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820c83b01c8e793/Nexus Economics/Projects/Enbridge/Model work 3-14-2024/"/>
    </mc:Choice>
  </mc:AlternateContent>
  <xr:revisionPtr revIDLastSave="0" documentId="8_{669A7A57-F741-4C87-898E-13F2364DECBE}" xr6:coauthVersionLast="47" xr6:coauthVersionMax="47" xr10:uidLastSave="{00000000-0000-0000-0000-000000000000}"/>
  <bookViews>
    <workbookView xWindow="-108" yWindow="-108" windowWidth="23256" windowHeight="12456" tabRatio="923" xr2:uid="{00000000-000D-0000-FFFF-FFFF00000000}"/>
  </bookViews>
  <sheets>
    <sheet name="Calculation" sheetId="48" r:id="rId1"/>
    <sheet name="Labor Expenditures" sheetId="7" r:id="rId2"/>
    <sheet name="Non-Labor Expenditures" sheetId="8" r:id="rId3"/>
    <sheet name="Total Customers" sheetId="17" r:id="rId4"/>
    <sheet name="Gross Dx Plant" sheetId="14" r:id="rId5"/>
    <sheet name="Dist Plant Depreciation" sheetId="16" r:id="rId6"/>
    <sheet name="Gross Gen Plant" sheetId="15" r:id="rId7"/>
    <sheet name="Gen. Plant Depreciation" sheetId="18" r:id="rId8"/>
    <sheet name="Dist. Plant Gas Additions" sheetId="19" r:id="rId9"/>
    <sheet name="Gen. Plant Additions" sheetId="20" r:id="rId10"/>
    <sheet name="Total Gas Plant" sheetId="49" r:id="rId11"/>
    <sheet name="Sheet1" sheetId="57" r:id="rId12"/>
    <sheet name="PPI-Construction" sheetId="21" r:id="rId13"/>
    <sheet name="GDP-PI" sheetId="22" r:id="rId14"/>
    <sheet name="ECI - Input Price" sheetId="28" r:id="rId15"/>
    <sheet name="RoR" sheetId="53" r:id="rId16"/>
    <sheet name="HW Dx Data" sheetId="56" r:id="rId17"/>
    <sheet name="State Tax Lookup" sheetId="55" r:id="rId18"/>
    <sheet name="Delete Companies" sheetId="52" r:id="rId19"/>
  </sheets>
  <definedNames>
    <definedName name="__FDS_HYPERLINK_TOGGLE_STATE__" hidden="1">"ON"</definedName>
    <definedName name="_1E_1">#N/A</definedName>
    <definedName name="_xlnm._FilterDatabase" localSheetId="0" hidden="1">Calculation!$B$1:$DZ$1351</definedName>
    <definedName name="_xlnm._FilterDatabase" localSheetId="18" hidden="1">'Delete Companies'!$A$4:$D$29</definedName>
    <definedName name="_xlnm._FilterDatabase" localSheetId="17" hidden="1">'State Tax Lookup'!$A$6:$Z$91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F1353" i="48" l="1"/>
  <c r="DF1352" i="48"/>
  <c r="DF1351" i="48"/>
  <c r="DF1350" i="48"/>
  <c r="DF1349" i="48"/>
  <c r="DF1348" i="48"/>
  <c r="DF1347" i="48"/>
  <c r="DF1346" i="48"/>
  <c r="DF1345" i="48"/>
  <c r="DF1344" i="48"/>
  <c r="DF1343" i="48"/>
  <c r="DF1342" i="48"/>
  <c r="DF1341" i="48"/>
  <c r="DF1340" i="48"/>
  <c r="DF1339" i="48"/>
  <c r="DF1338" i="48"/>
  <c r="DF1337" i="48"/>
  <c r="DF1336" i="48"/>
  <c r="DF1335" i="48"/>
  <c r="DF1334" i="48"/>
  <c r="DF1328" i="48"/>
  <c r="DF1327" i="48"/>
  <c r="DF1326" i="48"/>
  <c r="DF1325" i="48"/>
  <c r="DF1324" i="48"/>
  <c r="DF1323" i="48"/>
  <c r="DF1322" i="48"/>
  <c r="DF1321" i="48"/>
  <c r="DF1320" i="48"/>
  <c r="DF1319" i="48"/>
  <c r="DF1318" i="48"/>
  <c r="DF1317" i="48"/>
  <c r="DF1316" i="48"/>
  <c r="DF1315" i="48"/>
  <c r="DF1314" i="48"/>
  <c r="DF1313" i="48"/>
  <c r="DF1312" i="48"/>
  <c r="DF1311" i="48"/>
  <c r="DF1310" i="48"/>
  <c r="DF1309" i="48"/>
  <c r="DF1303" i="48"/>
  <c r="DF1302" i="48"/>
  <c r="DF1301" i="48"/>
  <c r="DF1300" i="48"/>
  <c r="DF1299" i="48"/>
  <c r="DF1298" i="48"/>
  <c r="DF1297" i="48"/>
  <c r="DF1296" i="48"/>
  <c r="DF1295" i="48"/>
  <c r="DF1294" i="48"/>
  <c r="DF1293" i="48"/>
  <c r="DF1292" i="48"/>
  <c r="DF1291" i="48"/>
  <c r="DF1290" i="48"/>
  <c r="DF1289" i="48"/>
  <c r="DF1288" i="48"/>
  <c r="DF1287" i="48"/>
  <c r="DF1286" i="48"/>
  <c r="DF1285" i="48"/>
  <c r="DF1284" i="48"/>
  <c r="DF1278" i="48"/>
  <c r="DF1277" i="48"/>
  <c r="DF1276" i="48"/>
  <c r="DF1275" i="48"/>
  <c r="DF1274" i="48"/>
  <c r="DF1273" i="48"/>
  <c r="DF1272" i="48"/>
  <c r="DF1271" i="48"/>
  <c r="DF1270" i="48"/>
  <c r="DF1269" i="48"/>
  <c r="DF1268" i="48"/>
  <c r="DF1267" i="48"/>
  <c r="DF1266" i="48"/>
  <c r="DF1265" i="48"/>
  <c r="DF1264" i="48"/>
  <c r="DF1263" i="48"/>
  <c r="DF1262" i="48"/>
  <c r="DF1261" i="48"/>
  <c r="DF1260" i="48"/>
  <c r="DF1259" i="48"/>
  <c r="DF1253" i="48"/>
  <c r="DF1252" i="48"/>
  <c r="DF1251" i="48"/>
  <c r="DF1250" i="48"/>
  <c r="DF1249" i="48"/>
  <c r="DF1248" i="48"/>
  <c r="DF1247" i="48"/>
  <c r="DF1246" i="48"/>
  <c r="DF1245" i="48"/>
  <c r="DF1244" i="48"/>
  <c r="DF1243" i="48"/>
  <c r="DF1242" i="48"/>
  <c r="DF1241" i="48"/>
  <c r="DF1240" i="48"/>
  <c r="DF1239" i="48"/>
  <c r="DF1238" i="48"/>
  <c r="DF1237" i="48"/>
  <c r="DF1236" i="48"/>
  <c r="DF1235" i="48"/>
  <c r="DF1234" i="48"/>
  <c r="DF1228" i="48"/>
  <c r="DF1227" i="48"/>
  <c r="DF1226" i="48"/>
  <c r="DF1225" i="48"/>
  <c r="DF1224" i="48"/>
  <c r="DF1223" i="48"/>
  <c r="DF1222" i="48"/>
  <c r="DF1221" i="48"/>
  <c r="DF1220" i="48"/>
  <c r="DF1219" i="48"/>
  <c r="DF1218" i="48"/>
  <c r="DF1217" i="48"/>
  <c r="DF1216" i="48"/>
  <c r="DF1215" i="48"/>
  <c r="DF1214" i="48"/>
  <c r="DF1213" i="48"/>
  <c r="DF1212" i="48"/>
  <c r="DF1211" i="48"/>
  <c r="DF1210" i="48"/>
  <c r="DF1209" i="48"/>
  <c r="DF1203" i="48"/>
  <c r="DF1202" i="48"/>
  <c r="DF1201" i="48"/>
  <c r="DF1200" i="48"/>
  <c r="DF1199" i="48"/>
  <c r="DF1198" i="48"/>
  <c r="DF1197" i="48"/>
  <c r="DF1196" i="48"/>
  <c r="DF1195" i="48"/>
  <c r="DF1194" i="48"/>
  <c r="DF1193" i="48"/>
  <c r="DF1192" i="48"/>
  <c r="DF1191" i="48"/>
  <c r="DF1190" i="48"/>
  <c r="DF1189" i="48"/>
  <c r="DF1188" i="48"/>
  <c r="DF1187" i="48"/>
  <c r="DF1186" i="48"/>
  <c r="DF1185" i="48"/>
  <c r="DF1184" i="48"/>
  <c r="DF1178" i="48"/>
  <c r="DF1177" i="48"/>
  <c r="DF1176" i="48"/>
  <c r="DF1175" i="48"/>
  <c r="DF1174" i="48"/>
  <c r="DF1173" i="48"/>
  <c r="DF1172" i="48"/>
  <c r="DF1171" i="48"/>
  <c r="DF1170" i="48"/>
  <c r="DF1169" i="48"/>
  <c r="DF1168" i="48"/>
  <c r="DF1167" i="48"/>
  <c r="DF1166" i="48"/>
  <c r="DF1165" i="48"/>
  <c r="DF1164" i="48"/>
  <c r="DF1163" i="48"/>
  <c r="DF1162" i="48"/>
  <c r="DF1161" i="48"/>
  <c r="DF1160" i="48"/>
  <c r="DF1159" i="48"/>
  <c r="DF1153" i="48"/>
  <c r="DF1152" i="48"/>
  <c r="DF1151" i="48"/>
  <c r="DF1150" i="48"/>
  <c r="DF1149" i="48"/>
  <c r="DF1148" i="48"/>
  <c r="DF1147" i="48"/>
  <c r="DF1146" i="48"/>
  <c r="DF1145" i="48"/>
  <c r="DF1144" i="48"/>
  <c r="DF1143" i="48"/>
  <c r="DF1142" i="48"/>
  <c r="DF1141" i="48"/>
  <c r="DF1140" i="48"/>
  <c r="DF1139" i="48"/>
  <c r="DF1138" i="48"/>
  <c r="DF1137" i="48"/>
  <c r="DF1136" i="48"/>
  <c r="DF1135" i="48"/>
  <c r="DF1134" i="48"/>
  <c r="DF1128" i="48"/>
  <c r="DF1127" i="48"/>
  <c r="DF1126" i="48"/>
  <c r="DF1125" i="48"/>
  <c r="DF1124" i="48"/>
  <c r="DF1123" i="48"/>
  <c r="DF1122" i="48"/>
  <c r="DF1121" i="48"/>
  <c r="DF1120" i="48"/>
  <c r="DF1119" i="48"/>
  <c r="DF1118" i="48"/>
  <c r="DF1117" i="48"/>
  <c r="DF1116" i="48"/>
  <c r="DF1115" i="48"/>
  <c r="DF1114" i="48"/>
  <c r="DF1113" i="48"/>
  <c r="DF1112" i="48"/>
  <c r="DF1111" i="48"/>
  <c r="DF1110" i="48"/>
  <c r="DF1109" i="48"/>
  <c r="DF1103" i="48"/>
  <c r="DF1102" i="48"/>
  <c r="DF1101" i="48"/>
  <c r="DF1100" i="48"/>
  <c r="DF1099" i="48"/>
  <c r="DF1098" i="48"/>
  <c r="DF1097" i="48"/>
  <c r="DF1096" i="48"/>
  <c r="DF1095" i="48"/>
  <c r="DF1094" i="48"/>
  <c r="DF1093" i="48"/>
  <c r="DF1092" i="48"/>
  <c r="DF1091" i="48"/>
  <c r="DF1090" i="48"/>
  <c r="DF1089" i="48"/>
  <c r="DF1088" i="48"/>
  <c r="DF1087" i="48"/>
  <c r="DF1086" i="48"/>
  <c r="DF1085" i="48"/>
  <c r="DF1084" i="48"/>
  <c r="DF1078" i="48"/>
  <c r="DF1077" i="48"/>
  <c r="DF1076" i="48"/>
  <c r="DF1075" i="48"/>
  <c r="DF1074" i="48"/>
  <c r="DF1073" i="48"/>
  <c r="DF1072" i="48"/>
  <c r="DF1071" i="48"/>
  <c r="DF1070" i="48"/>
  <c r="DF1069" i="48"/>
  <c r="DF1068" i="48"/>
  <c r="DF1067" i="48"/>
  <c r="DF1066" i="48"/>
  <c r="DF1065" i="48"/>
  <c r="DF1064" i="48"/>
  <c r="DF1063" i="48"/>
  <c r="DF1062" i="48"/>
  <c r="DF1061" i="48"/>
  <c r="DF1060" i="48"/>
  <c r="DF1059" i="48"/>
  <c r="DF1053" i="48"/>
  <c r="DF1052" i="48"/>
  <c r="DF1051" i="48"/>
  <c r="DF1050" i="48"/>
  <c r="DF1049" i="48"/>
  <c r="DF1048" i="48"/>
  <c r="DF1047" i="48"/>
  <c r="DF1046" i="48"/>
  <c r="DF1045" i="48"/>
  <c r="DF1044" i="48"/>
  <c r="DF1043" i="48"/>
  <c r="DF1042" i="48"/>
  <c r="DF1041" i="48"/>
  <c r="DF1040" i="48"/>
  <c r="DF1039" i="48"/>
  <c r="DF1038" i="48"/>
  <c r="DF1037" i="48"/>
  <c r="DF1036" i="48"/>
  <c r="DF1035" i="48"/>
  <c r="DF1034" i="48"/>
  <c r="DF1028" i="48"/>
  <c r="DF1027" i="48"/>
  <c r="DF1026" i="48"/>
  <c r="DF1025" i="48"/>
  <c r="DF1024" i="48"/>
  <c r="DF1023" i="48"/>
  <c r="DF1022" i="48"/>
  <c r="DF1021" i="48"/>
  <c r="DF1020" i="48"/>
  <c r="DF1019" i="48"/>
  <c r="DF1018" i="48"/>
  <c r="DF1017" i="48"/>
  <c r="DF1016" i="48"/>
  <c r="DF1015" i="48"/>
  <c r="DF1014" i="48"/>
  <c r="DF1013" i="48"/>
  <c r="DF1012" i="48"/>
  <c r="DF1011" i="48"/>
  <c r="DF1010" i="48"/>
  <c r="DF1009" i="48"/>
  <c r="DF1003" i="48"/>
  <c r="DF1002" i="48"/>
  <c r="DF1001" i="48"/>
  <c r="DF1000" i="48"/>
  <c r="DF999" i="48"/>
  <c r="DF998" i="48"/>
  <c r="DF997" i="48"/>
  <c r="DF996" i="48"/>
  <c r="DF995" i="48"/>
  <c r="DF994" i="48"/>
  <c r="DF993" i="48"/>
  <c r="DF992" i="48"/>
  <c r="DF991" i="48"/>
  <c r="DF990" i="48"/>
  <c r="DF989" i="48"/>
  <c r="DF988" i="48"/>
  <c r="DF987" i="48"/>
  <c r="DF986" i="48"/>
  <c r="DF985" i="48"/>
  <c r="DF984" i="48"/>
  <c r="DF978" i="48"/>
  <c r="DF977" i="48"/>
  <c r="DF976" i="48"/>
  <c r="DF975" i="48"/>
  <c r="DF974" i="48"/>
  <c r="DF973" i="48"/>
  <c r="DF972" i="48"/>
  <c r="DF971" i="48"/>
  <c r="DF970" i="48"/>
  <c r="DF969" i="48"/>
  <c r="DF968" i="48"/>
  <c r="DF967" i="48"/>
  <c r="DF966" i="48"/>
  <c r="DF965" i="48"/>
  <c r="DF964" i="48"/>
  <c r="DF963" i="48"/>
  <c r="DF962" i="48"/>
  <c r="DF961" i="48"/>
  <c r="DF960" i="48"/>
  <c r="DF959" i="48"/>
  <c r="DF953" i="48"/>
  <c r="DF952" i="48"/>
  <c r="DF951" i="48"/>
  <c r="DF950" i="48"/>
  <c r="DF949" i="48"/>
  <c r="DF948" i="48"/>
  <c r="DF947" i="48"/>
  <c r="DF946" i="48"/>
  <c r="DF945" i="48"/>
  <c r="DF944" i="48"/>
  <c r="DF943" i="48"/>
  <c r="DF942" i="48"/>
  <c r="DF941" i="48"/>
  <c r="DF940" i="48"/>
  <c r="DF939" i="48"/>
  <c r="DF938" i="48"/>
  <c r="DF937" i="48"/>
  <c r="DF936" i="48"/>
  <c r="DF935" i="48"/>
  <c r="DF934" i="48"/>
  <c r="DF928" i="48"/>
  <c r="DF927" i="48"/>
  <c r="DF926" i="48"/>
  <c r="DF925" i="48"/>
  <c r="DF924" i="48"/>
  <c r="DF923" i="48"/>
  <c r="DF922" i="48"/>
  <c r="DF921" i="48"/>
  <c r="DF920" i="48"/>
  <c r="DF919" i="48"/>
  <c r="DF918" i="48"/>
  <c r="DF917" i="48"/>
  <c r="DF916" i="48"/>
  <c r="DF915" i="48"/>
  <c r="DF914" i="48"/>
  <c r="DF913" i="48"/>
  <c r="DF912" i="48"/>
  <c r="DF911" i="48"/>
  <c r="DF910" i="48"/>
  <c r="DF909" i="48"/>
  <c r="DF903" i="48"/>
  <c r="DF902" i="48"/>
  <c r="DF901" i="48"/>
  <c r="DF900" i="48"/>
  <c r="DF899" i="48"/>
  <c r="DF898" i="48"/>
  <c r="DF897" i="48"/>
  <c r="DF896" i="48"/>
  <c r="DF895" i="48"/>
  <c r="DF894" i="48"/>
  <c r="DF893" i="48"/>
  <c r="DF892" i="48"/>
  <c r="DF891" i="48"/>
  <c r="DF890" i="48"/>
  <c r="DF889" i="48"/>
  <c r="DF888" i="48"/>
  <c r="DF887" i="48"/>
  <c r="DF886" i="48"/>
  <c r="DF885" i="48"/>
  <c r="DF884" i="48"/>
  <c r="DF878" i="48"/>
  <c r="DF877" i="48"/>
  <c r="DF876" i="48"/>
  <c r="DF875" i="48"/>
  <c r="DF874" i="48"/>
  <c r="DF873" i="48"/>
  <c r="DF872" i="48"/>
  <c r="DF871" i="48"/>
  <c r="DF870" i="48"/>
  <c r="DF869" i="48"/>
  <c r="DF868" i="48"/>
  <c r="DF867" i="48"/>
  <c r="DF866" i="48"/>
  <c r="DF865" i="48"/>
  <c r="DF864" i="48"/>
  <c r="DF863" i="48"/>
  <c r="DF862" i="48"/>
  <c r="DF861" i="48"/>
  <c r="DF860" i="48"/>
  <c r="DF859" i="48"/>
  <c r="DF853" i="48"/>
  <c r="DF852" i="48"/>
  <c r="DF851" i="48"/>
  <c r="DF850" i="48"/>
  <c r="DF849" i="48"/>
  <c r="DF848" i="48"/>
  <c r="DF847" i="48"/>
  <c r="DF846" i="48"/>
  <c r="DF845" i="48"/>
  <c r="DF844" i="48"/>
  <c r="DF843" i="48"/>
  <c r="DF842" i="48"/>
  <c r="DF841" i="48"/>
  <c r="DF840" i="48"/>
  <c r="DF839" i="48"/>
  <c r="DF838" i="48"/>
  <c r="DF837" i="48"/>
  <c r="DF836" i="48"/>
  <c r="DF835" i="48"/>
  <c r="DF834" i="48"/>
  <c r="DF828" i="48"/>
  <c r="DF827" i="48"/>
  <c r="DF826" i="48"/>
  <c r="DF825" i="48"/>
  <c r="DF824" i="48"/>
  <c r="DF823" i="48"/>
  <c r="DF822" i="48"/>
  <c r="DF821" i="48"/>
  <c r="DF820" i="48"/>
  <c r="DF819" i="48"/>
  <c r="DF818" i="48"/>
  <c r="DF817" i="48"/>
  <c r="DF816" i="48"/>
  <c r="DF815" i="48"/>
  <c r="DF814" i="48"/>
  <c r="DF813" i="48"/>
  <c r="DF812" i="48"/>
  <c r="DF811" i="48"/>
  <c r="DF810" i="48"/>
  <c r="DF809" i="48"/>
  <c r="DF803" i="48"/>
  <c r="DF802" i="48"/>
  <c r="DF801" i="48"/>
  <c r="DF800" i="48"/>
  <c r="DF799" i="48"/>
  <c r="DF798" i="48"/>
  <c r="DF797" i="48"/>
  <c r="DF796" i="48"/>
  <c r="DF795" i="48"/>
  <c r="DF794" i="48"/>
  <c r="DF793" i="48"/>
  <c r="DF792" i="48"/>
  <c r="DF791" i="48"/>
  <c r="DF790" i="48"/>
  <c r="DF789" i="48"/>
  <c r="DF788" i="48"/>
  <c r="DF787" i="48"/>
  <c r="DF786" i="48"/>
  <c r="DF785" i="48"/>
  <c r="DF784" i="48"/>
  <c r="DF778" i="48"/>
  <c r="DF777" i="48"/>
  <c r="DF776" i="48"/>
  <c r="DF775" i="48"/>
  <c r="DF774" i="48"/>
  <c r="DF773" i="48"/>
  <c r="DF772" i="48"/>
  <c r="DF771" i="48"/>
  <c r="DF770" i="48"/>
  <c r="DF769" i="48"/>
  <c r="DF768" i="48"/>
  <c r="DF767" i="48"/>
  <c r="DF766" i="48"/>
  <c r="DF765" i="48"/>
  <c r="DF764" i="48"/>
  <c r="DF763" i="48"/>
  <c r="DF762" i="48"/>
  <c r="DF761" i="48"/>
  <c r="DF760" i="48"/>
  <c r="DF759" i="48"/>
  <c r="DF753" i="48"/>
  <c r="DF752" i="48"/>
  <c r="DF751" i="48"/>
  <c r="DF750" i="48"/>
  <c r="DF749" i="48"/>
  <c r="DF748" i="48"/>
  <c r="DF747" i="48"/>
  <c r="DF746" i="48"/>
  <c r="DF745" i="48"/>
  <c r="DF744" i="48"/>
  <c r="DF743" i="48"/>
  <c r="DF742" i="48"/>
  <c r="DF741" i="48"/>
  <c r="DF740" i="48"/>
  <c r="DF739" i="48"/>
  <c r="DF738" i="48"/>
  <c r="DF737" i="48"/>
  <c r="DF736" i="48"/>
  <c r="DF735" i="48"/>
  <c r="DF734" i="48"/>
  <c r="DF728" i="48"/>
  <c r="DF727" i="48"/>
  <c r="DF726" i="48"/>
  <c r="DF725" i="48"/>
  <c r="DF724" i="48"/>
  <c r="DF723" i="48"/>
  <c r="DF722" i="48"/>
  <c r="DF721" i="48"/>
  <c r="DF720" i="48"/>
  <c r="DF719" i="48"/>
  <c r="DF718" i="48"/>
  <c r="DF717" i="48"/>
  <c r="DF716" i="48"/>
  <c r="DF715" i="48"/>
  <c r="DF714" i="48"/>
  <c r="DF713" i="48"/>
  <c r="DF712" i="48"/>
  <c r="DF711" i="48"/>
  <c r="DF710" i="48"/>
  <c r="DF709" i="48"/>
  <c r="DF703" i="48"/>
  <c r="DF702" i="48"/>
  <c r="DF701" i="48"/>
  <c r="DF700" i="48"/>
  <c r="DF699" i="48"/>
  <c r="DF698" i="48"/>
  <c r="DF697" i="48"/>
  <c r="DF696" i="48"/>
  <c r="DF695" i="48"/>
  <c r="DF694" i="48"/>
  <c r="DF693" i="48"/>
  <c r="DF692" i="48"/>
  <c r="DF691" i="48"/>
  <c r="DF690" i="48"/>
  <c r="DF689" i="48"/>
  <c r="DF688" i="48"/>
  <c r="DF687" i="48"/>
  <c r="DF686" i="48"/>
  <c r="DF685" i="48"/>
  <c r="DF684" i="48"/>
  <c r="DF678" i="48"/>
  <c r="DF677" i="48"/>
  <c r="DF676" i="48"/>
  <c r="DF675" i="48"/>
  <c r="DF674" i="48"/>
  <c r="DF673" i="48"/>
  <c r="DF672" i="48"/>
  <c r="DF671" i="48"/>
  <c r="DF670" i="48"/>
  <c r="DF669" i="48"/>
  <c r="DF668" i="48"/>
  <c r="DF667" i="48"/>
  <c r="DF666" i="48"/>
  <c r="DF665" i="48"/>
  <c r="DF664" i="48"/>
  <c r="DF663" i="48"/>
  <c r="DF662" i="48"/>
  <c r="DF661" i="48"/>
  <c r="DF660" i="48"/>
  <c r="DF659" i="48"/>
  <c r="DF653" i="48"/>
  <c r="DF652" i="48"/>
  <c r="DF651" i="48"/>
  <c r="DF650" i="48"/>
  <c r="DF649" i="48"/>
  <c r="DF648" i="48"/>
  <c r="DF647" i="48"/>
  <c r="DF646" i="48"/>
  <c r="DF645" i="48"/>
  <c r="DF644" i="48"/>
  <c r="DF643" i="48"/>
  <c r="DF642" i="48"/>
  <c r="DF641" i="48"/>
  <c r="DF640" i="48"/>
  <c r="DF639" i="48"/>
  <c r="DF638" i="48"/>
  <c r="DF637" i="48"/>
  <c r="DF636" i="48"/>
  <c r="DF635" i="48"/>
  <c r="DF634" i="48"/>
  <c r="DF628" i="48"/>
  <c r="DF627" i="48"/>
  <c r="DF626" i="48"/>
  <c r="DF625" i="48"/>
  <c r="DF624" i="48"/>
  <c r="DF623" i="48"/>
  <c r="DF622" i="48"/>
  <c r="DF621" i="48"/>
  <c r="DF620" i="48"/>
  <c r="DF619" i="48"/>
  <c r="DF618" i="48"/>
  <c r="DF617" i="48"/>
  <c r="DF616" i="48"/>
  <c r="DF615" i="48"/>
  <c r="DF614" i="48"/>
  <c r="DF613" i="48"/>
  <c r="DF612" i="48"/>
  <c r="DF611" i="48"/>
  <c r="DF610" i="48"/>
  <c r="DF609" i="48"/>
  <c r="DF603" i="48"/>
  <c r="DF602" i="48"/>
  <c r="DF601" i="48"/>
  <c r="DF600" i="48"/>
  <c r="DF599" i="48"/>
  <c r="DF598" i="48"/>
  <c r="DF597" i="48"/>
  <c r="DF596" i="48"/>
  <c r="DF595" i="48"/>
  <c r="DF594" i="48"/>
  <c r="DF593" i="48"/>
  <c r="DF592" i="48"/>
  <c r="DF591" i="48"/>
  <c r="DF590" i="48"/>
  <c r="DF589" i="48"/>
  <c r="DF588" i="48"/>
  <c r="DF587" i="48"/>
  <c r="DF586" i="48"/>
  <c r="DF585" i="48"/>
  <c r="DF584" i="48"/>
  <c r="DF578" i="48"/>
  <c r="DF577" i="48"/>
  <c r="DF576" i="48"/>
  <c r="DF575" i="48"/>
  <c r="DF574" i="48"/>
  <c r="DF573" i="48"/>
  <c r="DF572" i="48"/>
  <c r="DF571" i="48"/>
  <c r="DF570" i="48"/>
  <c r="DF569" i="48"/>
  <c r="DF568" i="48"/>
  <c r="DF567" i="48"/>
  <c r="DF566" i="48"/>
  <c r="DF565" i="48"/>
  <c r="DF564" i="48"/>
  <c r="DF563" i="48"/>
  <c r="DF562" i="48"/>
  <c r="DF561" i="48"/>
  <c r="DF560" i="48"/>
  <c r="DF559" i="48"/>
  <c r="DF553" i="48"/>
  <c r="DF552" i="48"/>
  <c r="DF551" i="48"/>
  <c r="DF550" i="48"/>
  <c r="DF549" i="48"/>
  <c r="DF548" i="48"/>
  <c r="DF547" i="48"/>
  <c r="DF546" i="48"/>
  <c r="DF545" i="48"/>
  <c r="DF544" i="48"/>
  <c r="DF543" i="48"/>
  <c r="DF542" i="48"/>
  <c r="DF541" i="48"/>
  <c r="DF540" i="48"/>
  <c r="DF539" i="48"/>
  <c r="DF538" i="48"/>
  <c r="DF537" i="48"/>
  <c r="DF536" i="48"/>
  <c r="DF535" i="48"/>
  <c r="DF534" i="48"/>
  <c r="DF528" i="48"/>
  <c r="DF527" i="48"/>
  <c r="DF526" i="48"/>
  <c r="DF525" i="48"/>
  <c r="DF524" i="48"/>
  <c r="DF523" i="48"/>
  <c r="DF522" i="48"/>
  <c r="DF521" i="48"/>
  <c r="DF520" i="48"/>
  <c r="DF519" i="48"/>
  <c r="DF518" i="48"/>
  <c r="DF517" i="48"/>
  <c r="DF516" i="48"/>
  <c r="DF515" i="48"/>
  <c r="DF514" i="48"/>
  <c r="DF513" i="48"/>
  <c r="DF512" i="48"/>
  <c r="DF511" i="48"/>
  <c r="DF510" i="48"/>
  <c r="DF509" i="48"/>
  <c r="DF503" i="48"/>
  <c r="DF502" i="48"/>
  <c r="DF501" i="48"/>
  <c r="DF500" i="48"/>
  <c r="DF499" i="48"/>
  <c r="DF498" i="48"/>
  <c r="DF497" i="48"/>
  <c r="DF496" i="48"/>
  <c r="DF495" i="48"/>
  <c r="DF494" i="48"/>
  <c r="DF493" i="48"/>
  <c r="DF492" i="48"/>
  <c r="DF491" i="48"/>
  <c r="DF490" i="48"/>
  <c r="DF489" i="48"/>
  <c r="DF488" i="48"/>
  <c r="DF487" i="48"/>
  <c r="DF486" i="48"/>
  <c r="DF485" i="48"/>
  <c r="DF484" i="48"/>
  <c r="DF478" i="48"/>
  <c r="DF477" i="48"/>
  <c r="DF476" i="48"/>
  <c r="DF475" i="48"/>
  <c r="DF474" i="48"/>
  <c r="DF473" i="48"/>
  <c r="DF472" i="48"/>
  <c r="DF471" i="48"/>
  <c r="DF470" i="48"/>
  <c r="DF469" i="48"/>
  <c r="DF468" i="48"/>
  <c r="DF467" i="48"/>
  <c r="DF466" i="48"/>
  <c r="DF465" i="48"/>
  <c r="DF464" i="48"/>
  <c r="DF463" i="48"/>
  <c r="DF462" i="48"/>
  <c r="DF461" i="48"/>
  <c r="DF460" i="48"/>
  <c r="DF459" i="48"/>
  <c r="DF453" i="48"/>
  <c r="DF452" i="48"/>
  <c r="DF451" i="48"/>
  <c r="DF450" i="48"/>
  <c r="DF449" i="48"/>
  <c r="DF448" i="48"/>
  <c r="DF447" i="48"/>
  <c r="DF446" i="48"/>
  <c r="DF445" i="48"/>
  <c r="DF444" i="48"/>
  <c r="DF443" i="48"/>
  <c r="DF442" i="48"/>
  <c r="DF441" i="48"/>
  <c r="DF440" i="48"/>
  <c r="DF439" i="48"/>
  <c r="DF438" i="48"/>
  <c r="DF437" i="48"/>
  <c r="DF436" i="48"/>
  <c r="DF435" i="48"/>
  <c r="DF434" i="48"/>
  <c r="DF428" i="48"/>
  <c r="DF427" i="48"/>
  <c r="DF426" i="48"/>
  <c r="DF425" i="48"/>
  <c r="DF424" i="48"/>
  <c r="DF423" i="48"/>
  <c r="DF422" i="48"/>
  <c r="DF421" i="48"/>
  <c r="DF420" i="48"/>
  <c r="DF419" i="48"/>
  <c r="DF418" i="48"/>
  <c r="DF417" i="48"/>
  <c r="DF416" i="48"/>
  <c r="DF415" i="48"/>
  <c r="DF414" i="48"/>
  <c r="DF413" i="48"/>
  <c r="DF412" i="48"/>
  <c r="DF411" i="48"/>
  <c r="DF410" i="48"/>
  <c r="DF409" i="48"/>
  <c r="DF403" i="48"/>
  <c r="DF402" i="48"/>
  <c r="DF401" i="48"/>
  <c r="DF400" i="48"/>
  <c r="DF399" i="48"/>
  <c r="DF398" i="48"/>
  <c r="DF397" i="48"/>
  <c r="DF396" i="48"/>
  <c r="DF395" i="48"/>
  <c r="DF394" i="48"/>
  <c r="DF393" i="48"/>
  <c r="DF392" i="48"/>
  <c r="DF391" i="48"/>
  <c r="DF390" i="48"/>
  <c r="DF389" i="48"/>
  <c r="DF388" i="48"/>
  <c r="DF387" i="48"/>
  <c r="DF386" i="48"/>
  <c r="DF385" i="48"/>
  <c r="DF384" i="48"/>
  <c r="DF378" i="48"/>
  <c r="DF377" i="48"/>
  <c r="DF376" i="48"/>
  <c r="DF375" i="48"/>
  <c r="DF374" i="48"/>
  <c r="DF373" i="48"/>
  <c r="DF372" i="48"/>
  <c r="DF371" i="48"/>
  <c r="DF370" i="48"/>
  <c r="DF369" i="48"/>
  <c r="DF368" i="48"/>
  <c r="DF367" i="48"/>
  <c r="DF366" i="48"/>
  <c r="DF365" i="48"/>
  <c r="DF364" i="48"/>
  <c r="DF363" i="48"/>
  <c r="DF362" i="48"/>
  <c r="DF361" i="48"/>
  <c r="DF360" i="48"/>
  <c r="DF359" i="48"/>
  <c r="DF353" i="48"/>
  <c r="DF352" i="48"/>
  <c r="DF351" i="48"/>
  <c r="DF350" i="48"/>
  <c r="DF349" i="48"/>
  <c r="DF348" i="48"/>
  <c r="DF347" i="48"/>
  <c r="DF346" i="48"/>
  <c r="DF345" i="48"/>
  <c r="DF344" i="48"/>
  <c r="DF343" i="48"/>
  <c r="DF342" i="48"/>
  <c r="DF341" i="48"/>
  <c r="DF340" i="48"/>
  <c r="DF339" i="48"/>
  <c r="DF338" i="48"/>
  <c r="DF337" i="48"/>
  <c r="DF336" i="48"/>
  <c r="DF335" i="48"/>
  <c r="DF334" i="48"/>
  <c r="DF328" i="48"/>
  <c r="DF327" i="48"/>
  <c r="DF326" i="48"/>
  <c r="DF325" i="48"/>
  <c r="DF324" i="48"/>
  <c r="DF323" i="48"/>
  <c r="DF322" i="48"/>
  <c r="DF321" i="48"/>
  <c r="DF320" i="48"/>
  <c r="DF319" i="48"/>
  <c r="DF318" i="48"/>
  <c r="DF317" i="48"/>
  <c r="DF316" i="48"/>
  <c r="DF315" i="48"/>
  <c r="DF314" i="48"/>
  <c r="DF313" i="48"/>
  <c r="DF312" i="48"/>
  <c r="DF311" i="48"/>
  <c r="DF310" i="48"/>
  <c r="DF309" i="48"/>
  <c r="DF303" i="48"/>
  <c r="DF302" i="48"/>
  <c r="DF301" i="48"/>
  <c r="DF300" i="48"/>
  <c r="DF299" i="48"/>
  <c r="DF298" i="48"/>
  <c r="DF297" i="48"/>
  <c r="DF296" i="48"/>
  <c r="DF295" i="48"/>
  <c r="DF294" i="48"/>
  <c r="DF293" i="48"/>
  <c r="DF292" i="48"/>
  <c r="DF291" i="48"/>
  <c r="DF290" i="48"/>
  <c r="DF289" i="48"/>
  <c r="DF288" i="48"/>
  <c r="DF287" i="48"/>
  <c r="DF286" i="48"/>
  <c r="DF285" i="48"/>
  <c r="DF284" i="48"/>
  <c r="DF278" i="48"/>
  <c r="DF277" i="48"/>
  <c r="DF276" i="48"/>
  <c r="DF275" i="48"/>
  <c r="DF274" i="48"/>
  <c r="DF273" i="48"/>
  <c r="DF272" i="48"/>
  <c r="DF271" i="48"/>
  <c r="DF270" i="48"/>
  <c r="DF269" i="48"/>
  <c r="DF268" i="48"/>
  <c r="DF267" i="48"/>
  <c r="DF266" i="48"/>
  <c r="DF265" i="48"/>
  <c r="DF264" i="48"/>
  <c r="DF263" i="48"/>
  <c r="DF262" i="48"/>
  <c r="DF261" i="48"/>
  <c r="DF260" i="48"/>
  <c r="DF259" i="48"/>
  <c r="DF253" i="48"/>
  <c r="DF252" i="48"/>
  <c r="DF251" i="48"/>
  <c r="DF250" i="48"/>
  <c r="DF249" i="48"/>
  <c r="DF248" i="48"/>
  <c r="DF247" i="48"/>
  <c r="DF246" i="48"/>
  <c r="DF245" i="48"/>
  <c r="DF244" i="48"/>
  <c r="DF243" i="48"/>
  <c r="DF242" i="48"/>
  <c r="DF241" i="48"/>
  <c r="DF240" i="48"/>
  <c r="DF239" i="48"/>
  <c r="DF238" i="48"/>
  <c r="DF237" i="48"/>
  <c r="DF236" i="48"/>
  <c r="DF235" i="48"/>
  <c r="DF234" i="48"/>
  <c r="DF228" i="48"/>
  <c r="DF227" i="48"/>
  <c r="DF226" i="48"/>
  <c r="DF225" i="48"/>
  <c r="DF224" i="48"/>
  <c r="DF223" i="48"/>
  <c r="DF222" i="48"/>
  <c r="DF221" i="48"/>
  <c r="DF220" i="48"/>
  <c r="DF219" i="48"/>
  <c r="DF218" i="48"/>
  <c r="DF217" i="48"/>
  <c r="DF216" i="48"/>
  <c r="DF215" i="48"/>
  <c r="DF214" i="48"/>
  <c r="DF213" i="48"/>
  <c r="DF212" i="48"/>
  <c r="DF211" i="48"/>
  <c r="DF210" i="48"/>
  <c r="DF209" i="48"/>
  <c r="DF203" i="48"/>
  <c r="DF202" i="48"/>
  <c r="DF201" i="48"/>
  <c r="DF200" i="48"/>
  <c r="DF199" i="48"/>
  <c r="DF198" i="48"/>
  <c r="DF197" i="48"/>
  <c r="DF196" i="48"/>
  <c r="DF195" i="48"/>
  <c r="DF194" i="48"/>
  <c r="DF193" i="48"/>
  <c r="DF192" i="48"/>
  <c r="DF191" i="48"/>
  <c r="DF190" i="48"/>
  <c r="DF189" i="48"/>
  <c r="DF188" i="48"/>
  <c r="DF187" i="48"/>
  <c r="DF186" i="48"/>
  <c r="DF185" i="48"/>
  <c r="DF184" i="48"/>
  <c r="DF177" i="48"/>
  <c r="DF176" i="48"/>
  <c r="DF175" i="48"/>
  <c r="DF174" i="48"/>
  <c r="DF173" i="48"/>
  <c r="DF172" i="48"/>
  <c r="DF171" i="48"/>
  <c r="DF170" i="48"/>
  <c r="DF169" i="48"/>
  <c r="DF168" i="48"/>
  <c r="DF167" i="48"/>
  <c r="DF166" i="48"/>
  <c r="DF165" i="48"/>
  <c r="DF164" i="48"/>
  <c r="DF163" i="48"/>
  <c r="DF162" i="48"/>
  <c r="DF161" i="48"/>
  <c r="DF160" i="48"/>
  <c r="DF159" i="48"/>
  <c r="DF158" i="48"/>
  <c r="DF152" i="48"/>
  <c r="DF151" i="48"/>
  <c r="DF150" i="48"/>
  <c r="DF149" i="48"/>
  <c r="DF148" i="48"/>
  <c r="DF147" i="48"/>
  <c r="DF146" i="48"/>
  <c r="DF145" i="48"/>
  <c r="DF144" i="48"/>
  <c r="DF143" i="48"/>
  <c r="DF142" i="48"/>
  <c r="DF141" i="48"/>
  <c r="DF140" i="48"/>
  <c r="DF139" i="48"/>
  <c r="DF138" i="48"/>
  <c r="DF137" i="48"/>
  <c r="DF136" i="48"/>
  <c r="DF135" i="48"/>
  <c r="DF134" i="48"/>
  <c r="DF133" i="48"/>
  <c r="DF127" i="48"/>
  <c r="DF126" i="48"/>
  <c r="DF125" i="48"/>
  <c r="DF124" i="48"/>
  <c r="DF123" i="48"/>
  <c r="DF122" i="48"/>
  <c r="DF121" i="48"/>
  <c r="DF120" i="48"/>
  <c r="DF119" i="48"/>
  <c r="DF118" i="48"/>
  <c r="DF117" i="48"/>
  <c r="DF116" i="48"/>
  <c r="DF115" i="48"/>
  <c r="DF114" i="48"/>
  <c r="DF113" i="48"/>
  <c r="DF112" i="48"/>
  <c r="DF111" i="48"/>
  <c r="DF110" i="48"/>
  <c r="DF109" i="48"/>
  <c r="DF108" i="48"/>
  <c r="DF102" i="48"/>
  <c r="DF101" i="48"/>
  <c r="DF100" i="48"/>
  <c r="DF99" i="48"/>
  <c r="DF98" i="48"/>
  <c r="DF97" i="48"/>
  <c r="DF96" i="48"/>
  <c r="DF95" i="48"/>
  <c r="DF94" i="48"/>
  <c r="DF93" i="48"/>
  <c r="DF92" i="48"/>
  <c r="DF91" i="48"/>
  <c r="DF90" i="48"/>
  <c r="DF89" i="48"/>
  <c r="DF88" i="48"/>
  <c r="DF87" i="48"/>
  <c r="DF86" i="48"/>
  <c r="DF85" i="48"/>
  <c r="DF84" i="48"/>
  <c r="DF83" i="48"/>
  <c r="DF77" i="48"/>
  <c r="DF76" i="48"/>
  <c r="DF75" i="48"/>
  <c r="DF74" i="48"/>
  <c r="DF73" i="48"/>
  <c r="DF72" i="48"/>
  <c r="DF71" i="48"/>
  <c r="DF70" i="48"/>
  <c r="DF69" i="48"/>
  <c r="DF68" i="48"/>
  <c r="DF67" i="48"/>
  <c r="DF66" i="48"/>
  <c r="DF65" i="48"/>
  <c r="DF64" i="48"/>
  <c r="DF63" i="48"/>
  <c r="DF62" i="48"/>
  <c r="DF61" i="48"/>
  <c r="DF60" i="48"/>
  <c r="DF59" i="48"/>
  <c r="DF58" i="48"/>
  <c r="DF52" i="48"/>
  <c r="DF51" i="48"/>
  <c r="DF50" i="48"/>
  <c r="DF49" i="48"/>
  <c r="DF48" i="48"/>
  <c r="DF47" i="48"/>
  <c r="DF46" i="48"/>
  <c r="DF45" i="48"/>
  <c r="DF44" i="48"/>
  <c r="DF43" i="48"/>
  <c r="DF42" i="48"/>
  <c r="DF41" i="48"/>
  <c r="DF40" i="48"/>
  <c r="DF39" i="48"/>
  <c r="DF38" i="48"/>
  <c r="DF37" i="48"/>
  <c r="DF36" i="48"/>
  <c r="DF35" i="48"/>
  <c r="DF34" i="48"/>
  <c r="DF33" i="48"/>
  <c r="DF27" i="48"/>
  <c r="DF26" i="48"/>
  <c r="DF25" i="48"/>
  <c r="DF24" i="48"/>
  <c r="DF23" i="48"/>
  <c r="DF22" i="48"/>
  <c r="DF21" i="48"/>
  <c r="DF20" i="48"/>
  <c r="DF19" i="48"/>
  <c r="DF18" i="48"/>
  <c r="DF17" i="48"/>
  <c r="DF16" i="48"/>
  <c r="DF15" i="48"/>
  <c r="DF14" i="48"/>
  <c r="DF13" i="48"/>
  <c r="DF12" i="48"/>
  <c r="DF11" i="48"/>
  <c r="DF10" i="48"/>
  <c r="DF9" i="48"/>
  <c r="DF8" i="48"/>
  <c r="DF153" i="48"/>
  <c r="DG166" i="48" l="1"/>
  <c r="DG1353" i="48"/>
  <c r="DG1352" i="48"/>
  <c r="DG1351" i="48"/>
  <c r="DG1350" i="48"/>
  <c r="DG1349" i="48"/>
  <c r="DG1348" i="48"/>
  <c r="DG1347" i="48"/>
  <c r="DG1346" i="48"/>
  <c r="DG1345" i="48"/>
  <c r="DG1344" i="48"/>
  <c r="DG1343" i="48"/>
  <c r="DG1342" i="48"/>
  <c r="DG1341" i="48"/>
  <c r="DG1340" i="48"/>
  <c r="DG1339" i="48"/>
  <c r="DG1338" i="48"/>
  <c r="DG1337" i="48"/>
  <c r="DG1336" i="48"/>
  <c r="DG1335" i="48"/>
  <c r="DG1328" i="48"/>
  <c r="DG1327" i="48"/>
  <c r="DG1326" i="48"/>
  <c r="DG1325" i="48"/>
  <c r="DG1324" i="48"/>
  <c r="DG1323" i="48"/>
  <c r="DG1322" i="48"/>
  <c r="DG1321" i="48"/>
  <c r="DG1320" i="48"/>
  <c r="DG1319" i="48"/>
  <c r="DG1318" i="48"/>
  <c r="DG1317" i="48"/>
  <c r="DG1316" i="48"/>
  <c r="DG1315" i="48"/>
  <c r="DG1314" i="48"/>
  <c r="DG1313" i="48"/>
  <c r="DG1312" i="48"/>
  <c r="DG1311" i="48"/>
  <c r="DG1310" i="48"/>
  <c r="DG1303" i="48"/>
  <c r="DG1302" i="48"/>
  <c r="DG1301" i="48"/>
  <c r="DG1300" i="48"/>
  <c r="DG1299" i="48"/>
  <c r="DG1298" i="48"/>
  <c r="DG1297" i="48"/>
  <c r="DG1296" i="48"/>
  <c r="DG1295" i="48"/>
  <c r="DG1294" i="48"/>
  <c r="DG1293" i="48"/>
  <c r="DG1292" i="48"/>
  <c r="DG1291" i="48"/>
  <c r="DG1290" i="48"/>
  <c r="DG1289" i="48"/>
  <c r="DG1288" i="48"/>
  <c r="DG1287" i="48"/>
  <c r="DG1286" i="48"/>
  <c r="DG1285" i="48"/>
  <c r="DG1278" i="48"/>
  <c r="DG1277" i="48"/>
  <c r="DG1276" i="48"/>
  <c r="DG1275" i="48"/>
  <c r="DG1274" i="48"/>
  <c r="DG1273" i="48"/>
  <c r="DG1272" i="48"/>
  <c r="DG1271" i="48"/>
  <c r="DG1270" i="48"/>
  <c r="DG1269" i="48"/>
  <c r="DG1268" i="48"/>
  <c r="DG1267" i="48"/>
  <c r="DG1266" i="48"/>
  <c r="DG1265" i="48"/>
  <c r="DG1264" i="48"/>
  <c r="DG1263" i="48"/>
  <c r="DG1262" i="48"/>
  <c r="DG1261" i="48"/>
  <c r="DG1260" i="48"/>
  <c r="DG1253" i="48"/>
  <c r="DG1252" i="48"/>
  <c r="DG1251" i="48"/>
  <c r="DG1250" i="48"/>
  <c r="DG1249" i="48"/>
  <c r="DG1248" i="48"/>
  <c r="DG1247" i="48"/>
  <c r="DG1246" i="48"/>
  <c r="DG1245" i="48"/>
  <c r="DG1244" i="48"/>
  <c r="DG1243" i="48"/>
  <c r="DG1242" i="48"/>
  <c r="DG1241" i="48"/>
  <c r="DG1240" i="48"/>
  <c r="DG1239" i="48"/>
  <c r="DG1238" i="48"/>
  <c r="DG1237" i="48"/>
  <c r="DG1236" i="48"/>
  <c r="DG1235" i="48"/>
  <c r="DG1228" i="48"/>
  <c r="DG1227" i="48"/>
  <c r="DG1226" i="48"/>
  <c r="DG1225" i="48"/>
  <c r="DG1224" i="48"/>
  <c r="DG1223" i="48"/>
  <c r="DG1222" i="48"/>
  <c r="DG1221" i="48"/>
  <c r="DG1220" i="48"/>
  <c r="DG1219" i="48"/>
  <c r="DG1218" i="48"/>
  <c r="DG1217" i="48"/>
  <c r="DG1216" i="48"/>
  <c r="DG1215" i="48"/>
  <c r="DG1214" i="48"/>
  <c r="DG1213" i="48"/>
  <c r="DG1212" i="48"/>
  <c r="DG1211" i="48"/>
  <c r="DG1210" i="48"/>
  <c r="DG1203" i="48"/>
  <c r="DG1202" i="48"/>
  <c r="DG1201" i="48"/>
  <c r="DG1200" i="48"/>
  <c r="DG1199" i="48"/>
  <c r="DG1198" i="48"/>
  <c r="DG1197" i="48"/>
  <c r="DG1196" i="48"/>
  <c r="DG1195" i="48"/>
  <c r="DG1194" i="48"/>
  <c r="DG1193" i="48"/>
  <c r="DG1192" i="48"/>
  <c r="DG1191" i="48"/>
  <c r="DG1190" i="48"/>
  <c r="DG1189" i="48"/>
  <c r="DG1188" i="48"/>
  <c r="DG1187" i="48"/>
  <c r="DG1186" i="48"/>
  <c r="DG1185" i="48"/>
  <c r="DG1178" i="48"/>
  <c r="DG1177" i="48"/>
  <c r="DG1176" i="48"/>
  <c r="DG1175" i="48"/>
  <c r="DG1174" i="48"/>
  <c r="DG1173" i="48"/>
  <c r="DG1172" i="48"/>
  <c r="DG1171" i="48"/>
  <c r="DG1170" i="48"/>
  <c r="DG1169" i="48"/>
  <c r="DG1168" i="48"/>
  <c r="DG1167" i="48"/>
  <c r="DG1166" i="48"/>
  <c r="DG1165" i="48"/>
  <c r="DG1164" i="48"/>
  <c r="DG1163" i="48"/>
  <c r="DG1162" i="48"/>
  <c r="DG1161" i="48"/>
  <c r="DG1160" i="48"/>
  <c r="DG1153" i="48"/>
  <c r="DG1152" i="48"/>
  <c r="DG1151" i="48"/>
  <c r="DG1150" i="48"/>
  <c r="DG1149" i="48"/>
  <c r="DG1148" i="48"/>
  <c r="DG1147" i="48"/>
  <c r="DG1146" i="48"/>
  <c r="DG1145" i="48"/>
  <c r="DG1144" i="48"/>
  <c r="DG1143" i="48"/>
  <c r="DG1142" i="48"/>
  <c r="DG1141" i="48"/>
  <c r="DG1140" i="48"/>
  <c r="DG1139" i="48"/>
  <c r="DG1138" i="48"/>
  <c r="DG1137" i="48"/>
  <c r="DG1136" i="48"/>
  <c r="DG1135" i="48"/>
  <c r="DG1128" i="48"/>
  <c r="DG1127" i="48"/>
  <c r="DG1126" i="48"/>
  <c r="DG1125" i="48"/>
  <c r="DG1124" i="48"/>
  <c r="DG1123" i="48"/>
  <c r="DG1122" i="48"/>
  <c r="DG1121" i="48"/>
  <c r="DG1120" i="48"/>
  <c r="DG1119" i="48"/>
  <c r="DG1118" i="48"/>
  <c r="DG1117" i="48"/>
  <c r="DG1116" i="48"/>
  <c r="DG1115" i="48"/>
  <c r="DG1114" i="48"/>
  <c r="DG1113" i="48"/>
  <c r="DG1112" i="48"/>
  <c r="DG1111" i="48"/>
  <c r="DG1110" i="48"/>
  <c r="DG1103" i="48"/>
  <c r="DG1102" i="48"/>
  <c r="DG1101" i="48"/>
  <c r="DG1100" i="48"/>
  <c r="DG1099" i="48"/>
  <c r="DG1098" i="48"/>
  <c r="DG1097" i="48"/>
  <c r="DG1096" i="48"/>
  <c r="DG1095" i="48"/>
  <c r="DG1094" i="48"/>
  <c r="DG1093" i="48"/>
  <c r="DG1092" i="48"/>
  <c r="DG1091" i="48"/>
  <c r="DG1090" i="48"/>
  <c r="DG1089" i="48"/>
  <c r="DG1088" i="48"/>
  <c r="DG1087" i="48"/>
  <c r="DG1086" i="48"/>
  <c r="DG1085" i="48"/>
  <c r="DG1078" i="48"/>
  <c r="DG1077" i="48"/>
  <c r="DG1076" i="48"/>
  <c r="DG1075" i="48"/>
  <c r="DG1074" i="48"/>
  <c r="DG1073" i="48"/>
  <c r="DG1072" i="48"/>
  <c r="DG1071" i="48"/>
  <c r="DG1070" i="48"/>
  <c r="DG1069" i="48"/>
  <c r="DG1068" i="48"/>
  <c r="DG1067" i="48"/>
  <c r="DG1066" i="48"/>
  <c r="DG1065" i="48"/>
  <c r="DG1064" i="48"/>
  <c r="DG1063" i="48"/>
  <c r="DG1062" i="48"/>
  <c r="DG1061" i="48"/>
  <c r="DG1060" i="48"/>
  <c r="DG1053" i="48"/>
  <c r="DG1052" i="48"/>
  <c r="DG1051" i="48"/>
  <c r="DG1050" i="48"/>
  <c r="DG1049" i="48"/>
  <c r="DG1048" i="48"/>
  <c r="DG1047" i="48"/>
  <c r="DG1046" i="48"/>
  <c r="DG1045" i="48"/>
  <c r="DG1044" i="48"/>
  <c r="DG1043" i="48"/>
  <c r="DG1042" i="48"/>
  <c r="DG1041" i="48"/>
  <c r="DG1040" i="48"/>
  <c r="DG1039" i="48"/>
  <c r="DG1038" i="48"/>
  <c r="DG1037" i="48"/>
  <c r="DG1036" i="48"/>
  <c r="DG1035" i="48"/>
  <c r="DG1028" i="48"/>
  <c r="DG1027" i="48"/>
  <c r="DG1026" i="48"/>
  <c r="DG1025" i="48"/>
  <c r="DG1024" i="48"/>
  <c r="DG1023" i="48"/>
  <c r="DG1022" i="48"/>
  <c r="DG1021" i="48"/>
  <c r="DG1020" i="48"/>
  <c r="DG1019" i="48"/>
  <c r="DG1018" i="48"/>
  <c r="DG1017" i="48"/>
  <c r="DG1016" i="48"/>
  <c r="DG1015" i="48"/>
  <c r="DG1014" i="48"/>
  <c r="DG1013" i="48"/>
  <c r="DG1012" i="48"/>
  <c r="DG1011" i="48"/>
  <c r="DG1010" i="48"/>
  <c r="DG1003" i="48"/>
  <c r="DG1002" i="48"/>
  <c r="DG1001" i="48"/>
  <c r="DG1000" i="48"/>
  <c r="DG999" i="48"/>
  <c r="DG998" i="48"/>
  <c r="DG997" i="48"/>
  <c r="DG996" i="48"/>
  <c r="DG995" i="48"/>
  <c r="DG994" i="48"/>
  <c r="DG993" i="48"/>
  <c r="DG992" i="48"/>
  <c r="DG991" i="48"/>
  <c r="DG990" i="48"/>
  <c r="DG989" i="48"/>
  <c r="DG988" i="48"/>
  <c r="DG987" i="48"/>
  <c r="DG986" i="48"/>
  <c r="DG985" i="48"/>
  <c r="DG978" i="48"/>
  <c r="DG977" i="48"/>
  <c r="DG976" i="48"/>
  <c r="DG975" i="48"/>
  <c r="DG974" i="48"/>
  <c r="DG973" i="48"/>
  <c r="DG972" i="48"/>
  <c r="DG971" i="48"/>
  <c r="DG970" i="48"/>
  <c r="DG969" i="48"/>
  <c r="DG968" i="48"/>
  <c r="DG967" i="48"/>
  <c r="DG966" i="48"/>
  <c r="DG965" i="48"/>
  <c r="DG964" i="48"/>
  <c r="DG963" i="48"/>
  <c r="DG962" i="48"/>
  <c r="DG961" i="48"/>
  <c r="DG960" i="48"/>
  <c r="DG953" i="48"/>
  <c r="DG952" i="48"/>
  <c r="DG951" i="48"/>
  <c r="DG950" i="48"/>
  <c r="DG949" i="48"/>
  <c r="DG948" i="48"/>
  <c r="DG947" i="48"/>
  <c r="DG946" i="48"/>
  <c r="DG945" i="48"/>
  <c r="DG944" i="48"/>
  <c r="DG943" i="48"/>
  <c r="DG942" i="48"/>
  <c r="DG941" i="48"/>
  <c r="DG940" i="48"/>
  <c r="DG939" i="48"/>
  <c r="DG938" i="48"/>
  <c r="DG937" i="48"/>
  <c r="DG936" i="48"/>
  <c r="DG935" i="48"/>
  <c r="DG928" i="48"/>
  <c r="DG927" i="48"/>
  <c r="DG926" i="48"/>
  <c r="DG925" i="48"/>
  <c r="DG924" i="48"/>
  <c r="DG923" i="48"/>
  <c r="DG922" i="48"/>
  <c r="DG921" i="48"/>
  <c r="DG920" i="48"/>
  <c r="DG919" i="48"/>
  <c r="DG918" i="48"/>
  <c r="DG917" i="48"/>
  <c r="DG916" i="48"/>
  <c r="DG915" i="48"/>
  <c r="DG914" i="48"/>
  <c r="DG913" i="48"/>
  <c r="DG912" i="48"/>
  <c r="DG911" i="48"/>
  <c r="DG910" i="48"/>
  <c r="DG903" i="48"/>
  <c r="DG902" i="48"/>
  <c r="DG901" i="48"/>
  <c r="DG900" i="48"/>
  <c r="DG899" i="48"/>
  <c r="DG898" i="48"/>
  <c r="DG897" i="48"/>
  <c r="DG896" i="48"/>
  <c r="DG895" i="48"/>
  <c r="DG894" i="48"/>
  <c r="DG893" i="48"/>
  <c r="DG892" i="48"/>
  <c r="DG891" i="48"/>
  <c r="DG890" i="48"/>
  <c r="DG889" i="48"/>
  <c r="DG888" i="48"/>
  <c r="DG887" i="48"/>
  <c r="DG886" i="48"/>
  <c r="DG885" i="48"/>
  <c r="DG878" i="48"/>
  <c r="DG877" i="48"/>
  <c r="DG876" i="48"/>
  <c r="DG875" i="48"/>
  <c r="DG874" i="48"/>
  <c r="DG873" i="48"/>
  <c r="DG872" i="48"/>
  <c r="DG871" i="48"/>
  <c r="DG870" i="48"/>
  <c r="DG869" i="48"/>
  <c r="DG868" i="48"/>
  <c r="DG867" i="48"/>
  <c r="DG866" i="48"/>
  <c r="DG865" i="48"/>
  <c r="DG864" i="48"/>
  <c r="DG863" i="48"/>
  <c r="DG862" i="48"/>
  <c r="DG861" i="48"/>
  <c r="DG860" i="48"/>
  <c r="DG853" i="48"/>
  <c r="DG852" i="48"/>
  <c r="DG851" i="48"/>
  <c r="DG850" i="48"/>
  <c r="DG849" i="48"/>
  <c r="DG848" i="48"/>
  <c r="DG847" i="48"/>
  <c r="DG846" i="48"/>
  <c r="DG845" i="48"/>
  <c r="DG844" i="48"/>
  <c r="DG843" i="48"/>
  <c r="DG842" i="48"/>
  <c r="DG841" i="48"/>
  <c r="DG840" i="48"/>
  <c r="DG839" i="48"/>
  <c r="DG838" i="48"/>
  <c r="DG837" i="48"/>
  <c r="DG836" i="48"/>
  <c r="DG835" i="48"/>
  <c r="DG828" i="48"/>
  <c r="DG827" i="48"/>
  <c r="DG826" i="48"/>
  <c r="DG825" i="48"/>
  <c r="DG824" i="48"/>
  <c r="DG823" i="48"/>
  <c r="DG822" i="48"/>
  <c r="DG821" i="48"/>
  <c r="DG820" i="48"/>
  <c r="DG819" i="48"/>
  <c r="DG818" i="48"/>
  <c r="DG817" i="48"/>
  <c r="DG816" i="48"/>
  <c r="DG815" i="48"/>
  <c r="DG814" i="48"/>
  <c r="DG813" i="48"/>
  <c r="DG812" i="48"/>
  <c r="DG811" i="48"/>
  <c r="DG810" i="48"/>
  <c r="DG803" i="48"/>
  <c r="DG802" i="48"/>
  <c r="DG801" i="48"/>
  <c r="DG800" i="48"/>
  <c r="DG799" i="48"/>
  <c r="DG798" i="48"/>
  <c r="DG797" i="48"/>
  <c r="DG796" i="48"/>
  <c r="DG795" i="48"/>
  <c r="DG794" i="48"/>
  <c r="DG793" i="48"/>
  <c r="DG792" i="48"/>
  <c r="DG791" i="48"/>
  <c r="DG790" i="48"/>
  <c r="DG789" i="48"/>
  <c r="DG788" i="48"/>
  <c r="DG787" i="48"/>
  <c r="DG786" i="48"/>
  <c r="DG785" i="48"/>
  <c r="DG778" i="48"/>
  <c r="DG777" i="48"/>
  <c r="DG776" i="48"/>
  <c r="DG775" i="48"/>
  <c r="DG774" i="48"/>
  <c r="DG773" i="48"/>
  <c r="DG772" i="48"/>
  <c r="DG771" i="48"/>
  <c r="DG770" i="48"/>
  <c r="DG769" i="48"/>
  <c r="DG768" i="48"/>
  <c r="DG767" i="48"/>
  <c r="DG766" i="48"/>
  <c r="DG765" i="48"/>
  <c r="DG764" i="48"/>
  <c r="DG763" i="48"/>
  <c r="DG762" i="48"/>
  <c r="DG761" i="48"/>
  <c r="DG760" i="48"/>
  <c r="DG753" i="48"/>
  <c r="DG752" i="48"/>
  <c r="DG751" i="48"/>
  <c r="DG750" i="48"/>
  <c r="DG749" i="48"/>
  <c r="DG748" i="48"/>
  <c r="DG747" i="48"/>
  <c r="DG746" i="48"/>
  <c r="DG745" i="48"/>
  <c r="DG744" i="48"/>
  <c r="DG743" i="48"/>
  <c r="DG742" i="48"/>
  <c r="DG741" i="48"/>
  <c r="DG740" i="48"/>
  <c r="DG739" i="48"/>
  <c r="DG738" i="48"/>
  <c r="DG737" i="48"/>
  <c r="DG736" i="48"/>
  <c r="DG735" i="48"/>
  <c r="DG728" i="48"/>
  <c r="DG727" i="48"/>
  <c r="DG726" i="48"/>
  <c r="DG725" i="48"/>
  <c r="DG724" i="48"/>
  <c r="DG723" i="48"/>
  <c r="DG722" i="48"/>
  <c r="DG721" i="48"/>
  <c r="DG720" i="48"/>
  <c r="DG719" i="48"/>
  <c r="DG718" i="48"/>
  <c r="DG717" i="48"/>
  <c r="DG716" i="48"/>
  <c r="DG715" i="48"/>
  <c r="DG714" i="48"/>
  <c r="DG713" i="48"/>
  <c r="DG712" i="48"/>
  <c r="DG711" i="48"/>
  <c r="DG710" i="48"/>
  <c r="DG703" i="48"/>
  <c r="DG702" i="48"/>
  <c r="DG701" i="48"/>
  <c r="DG700" i="48"/>
  <c r="DG699" i="48"/>
  <c r="DG698" i="48"/>
  <c r="DG697" i="48"/>
  <c r="DG696" i="48"/>
  <c r="DG695" i="48"/>
  <c r="DG694" i="48"/>
  <c r="DG693" i="48"/>
  <c r="DG692" i="48"/>
  <c r="DG691" i="48"/>
  <c r="DG690" i="48"/>
  <c r="DG689" i="48"/>
  <c r="DG688" i="48"/>
  <c r="DG687" i="48"/>
  <c r="DG686" i="48"/>
  <c r="DG685" i="48"/>
  <c r="DG678" i="48"/>
  <c r="DG677" i="48"/>
  <c r="DG676" i="48"/>
  <c r="DG675" i="48"/>
  <c r="DG674" i="48"/>
  <c r="DG673" i="48"/>
  <c r="DG672" i="48"/>
  <c r="DG671" i="48"/>
  <c r="DG670" i="48"/>
  <c r="DG669" i="48"/>
  <c r="DG668" i="48"/>
  <c r="DG667" i="48"/>
  <c r="DG666" i="48"/>
  <c r="DG665" i="48"/>
  <c r="DG664" i="48"/>
  <c r="DG663" i="48"/>
  <c r="DG662" i="48"/>
  <c r="DG661" i="48"/>
  <c r="DG660" i="48"/>
  <c r="DG653" i="48"/>
  <c r="DG652" i="48"/>
  <c r="DG651" i="48"/>
  <c r="DG650" i="48"/>
  <c r="DG649" i="48"/>
  <c r="DG648" i="48"/>
  <c r="DG647" i="48"/>
  <c r="DG646" i="48"/>
  <c r="DG645" i="48"/>
  <c r="DG644" i="48"/>
  <c r="DG643" i="48"/>
  <c r="DG642" i="48"/>
  <c r="DG641" i="48"/>
  <c r="DG640" i="48"/>
  <c r="DG639" i="48"/>
  <c r="DG638" i="48"/>
  <c r="DG637" i="48"/>
  <c r="DG636" i="48"/>
  <c r="DG635" i="48"/>
  <c r="DG628" i="48"/>
  <c r="DG627" i="48"/>
  <c r="DG626" i="48"/>
  <c r="DG625" i="48"/>
  <c r="DG624" i="48"/>
  <c r="DG623" i="48"/>
  <c r="DG622" i="48"/>
  <c r="DG621" i="48"/>
  <c r="DG620" i="48"/>
  <c r="DG619" i="48"/>
  <c r="DG618" i="48"/>
  <c r="DG617" i="48"/>
  <c r="DG616" i="48"/>
  <c r="DG615" i="48"/>
  <c r="DG614" i="48"/>
  <c r="DG613" i="48"/>
  <c r="DG612" i="48"/>
  <c r="DG611" i="48"/>
  <c r="DG610" i="48"/>
  <c r="DG603" i="48"/>
  <c r="DG602" i="48"/>
  <c r="DG601" i="48"/>
  <c r="DG600" i="48"/>
  <c r="DG599" i="48"/>
  <c r="DG598" i="48"/>
  <c r="DG597" i="48"/>
  <c r="DG596" i="48"/>
  <c r="DG595" i="48"/>
  <c r="DG594" i="48"/>
  <c r="DG593" i="48"/>
  <c r="DG592" i="48"/>
  <c r="DG591" i="48"/>
  <c r="DG590" i="48"/>
  <c r="DG589" i="48"/>
  <c r="DG588" i="48"/>
  <c r="DG587" i="48"/>
  <c r="DG586" i="48"/>
  <c r="DG585" i="48"/>
  <c r="DG578" i="48"/>
  <c r="DG577" i="48"/>
  <c r="DG576" i="48"/>
  <c r="DG575" i="48"/>
  <c r="DG574" i="48"/>
  <c r="DG573" i="48"/>
  <c r="DG572" i="48"/>
  <c r="DG571" i="48"/>
  <c r="DG570" i="48"/>
  <c r="DG569" i="48"/>
  <c r="DG568" i="48"/>
  <c r="DG567" i="48"/>
  <c r="DG566" i="48"/>
  <c r="DG565" i="48"/>
  <c r="DG564" i="48"/>
  <c r="DG563" i="48"/>
  <c r="DG562" i="48"/>
  <c r="DG561" i="48"/>
  <c r="DG560" i="48"/>
  <c r="DG553" i="48"/>
  <c r="DG552" i="48"/>
  <c r="DG551" i="48"/>
  <c r="DG550" i="48"/>
  <c r="DG549" i="48"/>
  <c r="DG548" i="48"/>
  <c r="DG547" i="48"/>
  <c r="DG546" i="48"/>
  <c r="DG545" i="48"/>
  <c r="DG544" i="48"/>
  <c r="DG543" i="48"/>
  <c r="DG542" i="48"/>
  <c r="DG541" i="48"/>
  <c r="DG540" i="48"/>
  <c r="DG539" i="48"/>
  <c r="DG538" i="48"/>
  <c r="DG537" i="48"/>
  <c r="DG536" i="48"/>
  <c r="DG535" i="48"/>
  <c r="DG528" i="48"/>
  <c r="DG527" i="48"/>
  <c r="DG526" i="48"/>
  <c r="DG525" i="48"/>
  <c r="DG524" i="48"/>
  <c r="DG523" i="48"/>
  <c r="DG522" i="48"/>
  <c r="DG521" i="48"/>
  <c r="DG520" i="48"/>
  <c r="DG519" i="48"/>
  <c r="DG518" i="48"/>
  <c r="DG517" i="48"/>
  <c r="DG516" i="48"/>
  <c r="DG515" i="48"/>
  <c r="DG514" i="48"/>
  <c r="DG513" i="48"/>
  <c r="DG512" i="48"/>
  <c r="DG511" i="48"/>
  <c r="DG510" i="48"/>
  <c r="DG503" i="48"/>
  <c r="DG502" i="48"/>
  <c r="DG501" i="48"/>
  <c r="DG500" i="48"/>
  <c r="DG499" i="48"/>
  <c r="DG498" i="48"/>
  <c r="DG497" i="48"/>
  <c r="DG496" i="48"/>
  <c r="DG495" i="48"/>
  <c r="DG494" i="48"/>
  <c r="DG493" i="48"/>
  <c r="DG492" i="48"/>
  <c r="DG491" i="48"/>
  <c r="DG490" i="48"/>
  <c r="DG489" i="48"/>
  <c r="DG488" i="48"/>
  <c r="DG487" i="48"/>
  <c r="DG486" i="48"/>
  <c r="DG485" i="48"/>
  <c r="DG478" i="48"/>
  <c r="DG477" i="48"/>
  <c r="DG476" i="48"/>
  <c r="DG475" i="48"/>
  <c r="DG474" i="48"/>
  <c r="DG473" i="48"/>
  <c r="DG472" i="48"/>
  <c r="DG471" i="48"/>
  <c r="DG470" i="48"/>
  <c r="DG469" i="48"/>
  <c r="DG468" i="48"/>
  <c r="DG467" i="48"/>
  <c r="DG466" i="48"/>
  <c r="DG465" i="48"/>
  <c r="DG464" i="48"/>
  <c r="DG463" i="48"/>
  <c r="DG462" i="48"/>
  <c r="DG461" i="48"/>
  <c r="DG460" i="48"/>
  <c r="DG453" i="48"/>
  <c r="DG452" i="48"/>
  <c r="DG451" i="48"/>
  <c r="DG450" i="48"/>
  <c r="DG449" i="48"/>
  <c r="DG448" i="48"/>
  <c r="DG447" i="48"/>
  <c r="DG446" i="48"/>
  <c r="DG445" i="48"/>
  <c r="DG444" i="48"/>
  <c r="DG443" i="48"/>
  <c r="DG442" i="48"/>
  <c r="DG441" i="48"/>
  <c r="DG440" i="48"/>
  <c r="DG439" i="48"/>
  <c r="DG438" i="48"/>
  <c r="DG437" i="48"/>
  <c r="DG436" i="48"/>
  <c r="DG435" i="48"/>
  <c r="DG428" i="48"/>
  <c r="DG427" i="48"/>
  <c r="DG426" i="48"/>
  <c r="DG425" i="48"/>
  <c r="DG424" i="48"/>
  <c r="DG423" i="48"/>
  <c r="DG422" i="48"/>
  <c r="DG421" i="48"/>
  <c r="DG420" i="48"/>
  <c r="DG419" i="48"/>
  <c r="DG418" i="48"/>
  <c r="DG417" i="48"/>
  <c r="DG416" i="48"/>
  <c r="DG415" i="48"/>
  <c r="DG414" i="48"/>
  <c r="DG413" i="48"/>
  <c r="DG412" i="48"/>
  <c r="DG411" i="48"/>
  <c r="DG410" i="48"/>
  <c r="DG403" i="48"/>
  <c r="DG402" i="48"/>
  <c r="DG401" i="48"/>
  <c r="DG400" i="48"/>
  <c r="DG399" i="48"/>
  <c r="DG398" i="48"/>
  <c r="DG397" i="48"/>
  <c r="DG396" i="48"/>
  <c r="DG395" i="48"/>
  <c r="DG394" i="48"/>
  <c r="DG393" i="48"/>
  <c r="DG392" i="48"/>
  <c r="DG391" i="48"/>
  <c r="DG390" i="48"/>
  <c r="DG389" i="48"/>
  <c r="DG388" i="48"/>
  <c r="DG387" i="48"/>
  <c r="DG386" i="48"/>
  <c r="DG385" i="48"/>
  <c r="DG378" i="48"/>
  <c r="DG377" i="48"/>
  <c r="DG376" i="48"/>
  <c r="DG375" i="48"/>
  <c r="DG374" i="48"/>
  <c r="DG373" i="48"/>
  <c r="DG372" i="48"/>
  <c r="DG371" i="48"/>
  <c r="DG370" i="48"/>
  <c r="DG369" i="48"/>
  <c r="DG368" i="48"/>
  <c r="DG367" i="48"/>
  <c r="DG366" i="48"/>
  <c r="DG365" i="48"/>
  <c r="DG364" i="48"/>
  <c r="DG363" i="48"/>
  <c r="DG362" i="48"/>
  <c r="DG361" i="48"/>
  <c r="DG360" i="48"/>
  <c r="DG353" i="48"/>
  <c r="DG352" i="48"/>
  <c r="DG351" i="48"/>
  <c r="DG350" i="48"/>
  <c r="DG349" i="48"/>
  <c r="DG348" i="48"/>
  <c r="DG347" i="48"/>
  <c r="DG346" i="48"/>
  <c r="DG345" i="48"/>
  <c r="DG344" i="48"/>
  <c r="DG343" i="48"/>
  <c r="DG342" i="48"/>
  <c r="DG341" i="48"/>
  <c r="DG340" i="48"/>
  <c r="DG339" i="48"/>
  <c r="DG338" i="48"/>
  <c r="DG337" i="48"/>
  <c r="DG336" i="48"/>
  <c r="DG335" i="48"/>
  <c r="DG328" i="48"/>
  <c r="DG327" i="48"/>
  <c r="DG326" i="48"/>
  <c r="DG325" i="48"/>
  <c r="DG324" i="48"/>
  <c r="DG323" i="48"/>
  <c r="DG322" i="48"/>
  <c r="DG321" i="48"/>
  <c r="DG320" i="48"/>
  <c r="DG319" i="48"/>
  <c r="DG318" i="48"/>
  <c r="DG317" i="48"/>
  <c r="DG316" i="48"/>
  <c r="DG315" i="48"/>
  <c r="DG314" i="48"/>
  <c r="DG313" i="48"/>
  <c r="DG312" i="48"/>
  <c r="DG311" i="48"/>
  <c r="DG310" i="48"/>
  <c r="DG303" i="48"/>
  <c r="DG302" i="48"/>
  <c r="DG301" i="48"/>
  <c r="DG300" i="48"/>
  <c r="DG299" i="48"/>
  <c r="DG298" i="48"/>
  <c r="DG297" i="48"/>
  <c r="DG296" i="48"/>
  <c r="DG295" i="48"/>
  <c r="DG294" i="48"/>
  <c r="DG293" i="48"/>
  <c r="DG292" i="48"/>
  <c r="DG291" i="48"/>
  <c r="DG290" i="48"/>
  <c r="DG289" i="48"/>
  <c r="DG288" i="48"/>
  <c r="DG287" i="48"/>
  <c r="DG286" i="48"/>
  <c r="DG285" i="48"/>
  <c r="DG278" i="48"/>
  <c r="DG277" i="48"/>
  <c r="DG276" i="48"/>
  <c r="DG275" i="48"/>
  <c r="DG274" i="48"/>
  <c r="DG273" i="48"/>
  <c r="DG272" i="48"/>
  <c r="DG271" i="48"/>
  <c r="DG270" i="48"/>
  <c r="DG269" i="48"/>
  <c r="DG268" i="48"/>
  <c r="DG267" i="48"/>
  <c r="DG266" i="48"/>
  <c r="DG265" i="48"/>
  <c r="DG264" i="48"/>
  <c r="DG263" i="48"/>
  <c r="DG262" i="48"/>
  <c r="DG261" i="48"/>
  <c r="DG260" i="48"/>
  <c r="DG253" i="48"/>
  <c r="DG252" i="48"/>
  <c r="DG251" i="48"/>
  <c r="DG250" i="48"/>
  <c r="DG249" i="48"/>
  <c r="DG248" i="48"/>
  <c r="DG247" i="48"/>
  <c r="DG246" i="48"/>
  <c r="DG245" i="48"/>
  <c r="DG244" i="48"/>
  <c r="DG243" i="48"/>
  <c r="DG242" i="48"/>
  <c r="DG241" i="48"/>
  <c r="DG240" i="48"/>
  <c r="DG239" i="48"/>
  <c r="DG238" i="48"/>
  <c r="DG237" i="48"/>
  <c r="DG236" i="48"/>
  <c r="DG235" i="48"/>
  <c r="DG228" i="48"/>
  <c r="DG227" i="48"/>
  <c r="DG226" i="48"/>
  <c r="DG225" i="48"/>
  <c r="DG224" i="48"/>
  <c r="DG223" i="48"/>
  <c r="DG222" i="48"/>
  <c r="DG221" i="48"/>
  <c r="DG220" i="48"/>
  <c r="DG219" i="48"/>
  <c r="DG218" i="48"/>
  <c r="DG217" i="48"/>
  <c r="DG216" i="48"/>
  <c r="DG215" i="48"/>
  <c r="DG214" i="48"/>
  <c r="DG213" i="48"/>
  <c r="DG212" i="48"/>
  <c r="DG211" i="48"/>
  <c r="DG210" i="48"/>
  <c r="DG203" i="48"/>
  <c r="DG202" i="48"/>
  <c r="DG201" i="48"/>
  <c r="DG200" i="48"/>
  <c r="DG199" i="48"/>
  <c r="DG198" i="48"/>
  <c r="DG197" i="48"/>
  <c r="DG196" i="48"/>
  <c r="DG195" i="48"/>
  <c r="DG194" i="48"/>
  <c r="DG193" i="48"/>
  <c r="DG192" i="48"/>
  <c r="DG191" i="48"/>
  <c r="DG190" i="48"/>
  <c r="DG189" i="48"/>
  <c r="DG188" i="48"/>
  <c r="DG187" i="48"/>
  <c r="DG186" i="48"/>
  <c r="DG185" i="48"/>
  <c r="DG178" i="48"/>
  <c r="DG177" i="48"/>
  <c r="DG176" i="48"/>
  <c r="DG175" i="48"/>
  <c r="DG174" i="48"/>
  <c r="DG173" i="48"/>
  <c r="DG172" i="48"/>
  <c r="DG171" i="48"/>
  <c r="DG170" i="48"/>
  <c r="DG169" i="48"/>
  <c r="DG168" i="48"/>
  <c r="DG167" i="48"/>
  <c r="DG165" i="48"/>
  <c r="DG164" i="48"/>
  <c r="DG163" i="48"/>
  <c r="DG162" i="48"/>
  <c r="DG161" i="48"/>
  <c r="DG160" i="48"/>
  <c r="DG152" i="48"/>
  <c r="DG151" i="48"/>
  <c r="DG150" i="48"/>
  <c r="DG149" i="48"/>
  <c r="DG148" i="48"/>
  <c r="DG147" i="48"/>
  <c r="DG146" i="48"/>
  <c r="DG145" i="48"/>
  <c r="DG144" i="48"/>
  <c r="DG143" i="48"/>
  <c r="DG142" i="48"/>
  <c r="DG139" i="48"/>
  <c r="DG138" i="48"/>
  <c r="DG137" i="48"/>
  <c r="DG136" i="48"/>
  <c r="DG135" i="48"/>
  <c r="DG134" i="48"/>
  <c r="DG127" i="48"/>
  <c r="DG126" i="48"/>
  <c r="DG125" i="48"/>
  <c r="DG124" i="48"/>
  <c r="DG123" i="48"/>
  <c r="DG122" i="48"/>
  <c r="DG121" i="48"/>
  <c r="DG120" i="48"/>
  <c r="DG119" i="48"/>
  <c r="DG118" i="48"/>
  <c r="DG117" i="48"/>
  <c r="DG114" i="48"/>
  <c r="DG113" i="48"/>
  <c r="DG112" i="48"/>
  <c r="DG111" i="48"/>
  <c r="DG110" i="48"/>
  <c r="DG109" i="48"/>
  <c r="DG102" i="48"/>
  <c r="DG101" i="48"/>
  <c r="DG100" i="48"/>
  <c r="DG99" i="48"/>
  <c r="DG98" i="48"/>
  <c r="DG97" i="48"/>
  <c r="DG96" i="48"/>
  <c r="DG95" i="48"/>
  <c r="DG94" i="48"/>
  <c r="DG93" i="48"/>
  <c r="DG92" i="48"/>
  <c r="DG91" i="48"/>
  <c r="DG90" i="48"/>
  <c r="DG89" i="48"/>
  <c r="DG88" i="48"/>
  <c r="DG87" i="48"/>
  <c r="DG86" i="48"/>
  <c r="DG85" i="48"/>
  <c r="DG84" i="48"/>
  <c r="DG77" i="48"/>
  <c r="DG76" i="48"/>
  <c r="DG75" i="48"/>
  <c r="DG74" i="48"/>
  <c r="DG73" i="48"/>
  <c r="DG72" i="48"/>
  <c r="DG71" i="48"/>
  <c r="DG70" i="48"/>
  <c r="DG69" i="48"/>
  <c r="DG68" i="48"/>
  <c r="DG67" i="48"/>
  <c r="DG66" i="48"/>
  <c r="DG65" i="48"/>
  <c r="DG64" i="48"/>
  <c r="DG63" i="48"/>
  <c r="DG62" i="48"/>
  <c r="DG61" i="48"/>
  <c r="DG60" i="48"/>
  <c r="DG59" i="48"/>
  <c r="DG115" i="48" l="1"/>
  <c r="DG116" i="48"/>
  <c r="DG140" i="48"/>
  <c r="DG141" i="48"/>
  <c r="DG10" i="48"/>
  <c r="BM1303" i="48"/>
  <c r="BM1302" i="48"/>
  <c r="BN1302" i="48"/>
  <c r="BN1277" i="48"/>
  <c r="BN1252" i="48"/>
  <c r="BN1227" i="48"/>
  <c r="BN1202" i="48"/>
  <c r="BN1177" i="48"/>
  <c r="BN1152" i="48"/>
  <c r="BN1127" i="48"/>
  <c r="BN1102" i="48"/>
  <c r="BN1079" i="48"/>
  <c r="BN1077" i="48"/>
  <c r="BN1075" i="48"/>
  <c r="BN1052" i="48"/>
  <c r="BN1050" i="48"/>
  <c r="BN1027" i="48"/>
  <c r="BN1008" i="48"/>
  <c r="BN1007" i="48"/>
  <c r="BN1002" i="48"/>
  <c r="BN977" i="48"/>
  <c r="BN952" i="48"/>
  <c r="BN950" i="48"/>
  <c r="BN927" i="48"/>
  <c r="BN902" i="48"/>
  <c r="BN877" i="48"/>
  <c r="BN852" i="48"/>
  <c r="BN827" i="48"/>
  <c r="BN802" i="48"/>
  <c r="BN777" i="48"/>
  <c r="BN752" i="48"/>
  <c r="BN727" i="48"/>
  <c r="BN702" i="48"/>
  <c r="BN677" i="48"/>
  <c r="BN652" i="48"/>
  <c r="BN627" i="48"/>
  <c r="BN602" i="48"/>
  <c r="BN577" i="48"/>
  <c r="BN552" i="48"/>
  <c r="BN527" i="48"/>
  <c r="BN502" i="48"/>
  <c r="BN477" i="48"/>
  <c r="BN452" i="48"/>
  <c r="BN427" i="48"/>
  <c r="BN402" i="48"/>
  <c r="BN377" i="48"/>
  <c r="BN352" i="48"/>
  <c r="BN327" i="48"/>
  <c r="BN302" i="48"/>
  <c r="BN277" i="48"/>
  <c r="BN252" i="48"/>
  <c r="BN227" i="48"/>
  <c r="BN202" i="48"/>
  <c r="BN177" i="48"/>
  <c r="BN152" i="48"/>
  <c r="BN127" i="48"/>
  <c r="BN102" i="48"/>
  <c r="BN77" i="48"/>
  <c r="BE19" i="48"/>
  <c r="BE29" i="48" l="1"/>
  <c r="AZ27" i="48"/>
  <c r="AW777" i="48" l="1"/>
  <c r="AW776" i="48"/>
  <c r="AW775" i="48"/>
  <c r="AW774" i="48"/>
  <c r="AW773" i="48"/>
  <c r="AW772" i="48"/>
  <c r="AW771" i="48"/>
  <c r="AW770" i="48"/>
  <c r="AW769" i="48"/>
  <c r="AW768" i="48"/>
  <c r="AW767" i="48"/>
  <c r="AW766" i="48"/>
  <c r="AW765" i="48"/>
  <c r="AW764" i="48"/>
  <c r="AW763" i="48"/>
  <c r="AW762" i="48"/>
  <c r="AW761" i="48"/>
  <c r="AW760" i="48"/>
  <c r="AW759" i="48"/>
  <c r="AW758" i="48"/>
  <c r="AW757" i="48"/>
  <c r="AW756" i="48"/>
  <c r="AW755" i="48"/>
  <c r="AW754" i="48"/>
  <c r="AW627" i="48"/>
  <c r="BK755" i="48"/>
  <c r="AV1078" i="48"/>
  <c r="Q151" i="48"/>
  <c r="AA1335" i="48"/>
  <c r="AA1334" i="48"/>
  <c r="AA1310" i="48"/>
  <c r="AA1309" i="48"/>
  <c r="AA1285" i="48"/>
  <c r="AA1284" i="48"/>
  <c r="AA1260" i="48"/>
  <c r="AA1259" i="48"/>
  <c r="AA1236" i="48"/>
  <c r="AA1235" i="48"/>
  <c r="AA1234" i="48"/>
  <c r="AA1210" i="48"/>
  <c r="AA1209" i="48"/>
  <c r="AA1185" i="48"/>
  <c r="AA1184" i="48"/>
  <c r="AA1160" i="48"/>
  <c r="AA1159" i="48"/>
  <c r="AA1110" i="48"/>
  <c r="AA1109" i="48"/>
  <c r="AA1085" i="48"/>
  <c r="AA1084" i="48"/>
  <c r="AA1060" i="48"/>
  <c r="AA1059" i="48"/>
  <c r="AA1035" i="48"/>
  <c r="AA1034" i="48"/>
  <c r="AA1010" i="48"/>
  <c r="AA1009" i="48"/>
  <c r="AA985" i="48"/>
  <c r="AA984" i="48"/>
  <c r="AA960" i="48"/>
  <c r="AA959" i="48"/>
  <c r="AA935" i="48"/>
  <c r="AA934" i="48"/>
  <c r="AA910" i="48"/>
  <c r="AA909" i="48"/>
  <c r="AA885" i="48"/>
  <c r="AA884" i="48"/>
  <c r="AA860" i="48"/>
  <c r="AA859" i="48"/>
  <c r="AA835" i="48"/>
  <c r="AA834" i="48"/>
  <c r="AA810" i="48"/>
  <c r="AA809" i="48"/>
  <c r="AA785" i="48"/>
  <c r="AA784" i="48"/>
  <c r="AA760" i="48"/>
  <c r="AA759" i="48"/>
  <c r="AA752" i="48"/>
  <c r="AA735" i="48"/>
  <c r="AA734" i="48"/>
  <c r="AA710" i="48"/>
  <c r="AA709" i="48"/>
  <c r="AA685" i="48"/>
  <c r="AA684" i="48"/>
  <c r="AA660" i="48"/>
  <c r="AA659" i="48"/>
  <c r="AA635" i="48"/>
  <c r="AA634" i="48"/>
  <c r="AA610" i="48"/>
  <c r="AA609" i="48"/>
  <c r="AA585" i="48"/>
  <c r="AA584" i="48"/>
  <c r="AA560" i="48"/>
  <c r="AA559" i="48"/>
  <c r="AA535" i="48"/>
  <c r="AA534" i="48"/>
  <c r="AA510" i="48"/>
  <c r="AA509" i="48"/>
  <c r="AA485" i="48"/>
  <c r="AA484" i="48"/>
  <c r="AA460" i="48"/>
  <c r="AA459" i="48"/>
  <c r="AA435" i="48"/>
  <c r="AA434" i="48"/>
  <c r="AA410" i="48"/>
  <c r="AA409" i="48"/>
  <c r="AA385" i="48"/>
  <c r="AA384" i="48"/>
  <c r="AA360" i="48"/>
  <c r="AA359" i="48"/>
  <c r="AA335" i="48"/>
  <c r="AA334" i="48"/>
  <c r="AA310" i="48"/>
  <c r="AA309" i="48"/>
  <c r="AA285" i="48"/>
  <c r="AA284" i="48"/>
  <c r="AA260" i="48"/>
  <c r="AA259" i="48"/>
  <c r="AA235" i="48"/>
  <c r="AA234" i="48"/>
  <c r="AA210" i="48"/>
  <c r="AA209" i="48"/>
  <c r="AA185" i="48"/>
  <c r="AA184" i="48"/>
  <c r="AA160" i="48"/>
  <c r="AA135" i="48"/>
  <c r="AA134" i="48"/>
  <c r="AA110" i="48"/>
  <c r="AA109" i="48"/>
  <c r="AA85" i="48"/>
  <c r="AA84" i="48"/>
  <c r="AA60" i="48"/>
  <c r="AA59" i="48"/>
  <c r="AA35" i="48"/>
  <c r="AA34" i="48"/>
  <c r="AD277" i="48"/>
  <c r="DB850" i="48"/>
  <c r="DB849" i="48"/>
  <c r="DB848" i="48"/>
  <c r="DB847" i="48"/>
  <c r="DB846" i="48"/>
  <c r="DB845" i="48"/>
  <c r="DB844" i="48"/>
  <c r="DB843" i="48"/>
  <c r="DB842" i="48"/>
  <c r="DB841" i="48"/>
  <c r="DB840" i="48"/>
  <c r="DB839" i="48"/>
  <c r="DB838" i="48"/>
  <c r="DB837" i="48"/>
  <c r="DB836" i="48"/>
  <c r="DB835" i="48"/>
  <c r="DB834" i="48"/>
  <c r="DB833" i="48"/>
  <c r="DB832" i="48"/>
  <c r="CS777" i="48"/>
  <c r="DC3" i="48" l="1"/>
  <c r="DH1351" i="48"/>
  <c r="DI1352" i="48" s="1"/>
  <c r="DE1351" i="48"/>
  <c r="DH1350" i="48"/>
  <c r="DE1350" i="48"/>
  <c r="DH1349" i="48"/>
  <c r="DE1349" i="48"/>
  <c r="DH1348" i="48"/>
  <c r="DE1348" i="48"/>
  <c r="DH1347" i="48"/>
  <c r="DE1347" i="48"/>
  <c r="DH1346" i="48"/>
  <c r="DE1346" i="48"/>
  <c r="DH1345" i="48"/>
  <c r="DE1345" i="48"/>
  <c r="DH1344" i="48"/>
  <c r="DE1344" i="48"/>
  <c r="DH1343" i="48"/>
  <c r="DE1343" i="48"/>
  <c r="DH1342" i="48"/>
  <c r="DE1342" i="48"/>
  <c r="DH1341" i="48"/>
  <c r="DE1341" i="48"/>
  <c r="DH1340" i="48"/>
  <c r="DE1340" i="48"/>
  <c r="DH1339" i="48"/>
  <c r="DE1339" i="48"/>
  <c r="DH1338" i="48"/>
  <c r="DE1338" i="48"/>
  <c r="DH1337" i="48"/>
  <c r="DE1337" i="48"/>
  <c r="DH1336" i="48"/>
  <c r="DE1336" i="48"/>
  <c r="DH1335" i="48"/>
  <c r="DE1335" i="48"/>
  <c r="DH1334" i="48"/>
  <c r="DE1334" i="48"/>
  <c r="DH1333" i="48"/>
  <c r="DE1333" i="48"/>
  <c r="DH1332" i="48"/>
  <c r="DE1332" i="48"/>
  <c r="DH1331" i="48"/>
  <c r="DE1331" i="48"/>
  <c r="DH1330" i="48"/>
  <c r="DE1330" i="48"/>
  <c r="DH1329" i="48"/>
  <c r="DE1329" i="48"/>
  <c r="DH1328" i="48"/>
  <c r="DE1328" i="48"/>
  <c r="DH1326" i="48"/>
  <c r="DI1327" i="48" s="1"/>
  <c r="DE1326" i="48"/>
  <c r="DH1325" i="48"/>
  <c r="DE1325" i="48"/>
  <c r="DH1324" i="48"/>
  <c r="DE1324" i="48"/>
  <c r="DH1323" i="48"/>
  <c r="DE1323" i="48"/>
  <c r="DH1322" i="48"/>
  <c r="DE1322" i="48"/>
  <c r="DH1321" i="48"/>
  <c r="DE1321" i="48"/>
  <c r="DH1320" i="48"/>
  <c r="DE1320" i="48"/>
  <c r="DH1319" i="48"/>
  <c r="DE1319" i="48"/>
  <c r="DH1318" i="48"/>
  <c r="DE1318" i="48"/>
  <c r="DH1317" i="48"/>
  <c r="DE1317" i="48"/>
  <c r="DH1316" i="48"/>
  <c r="DE1316" i="48"/>
  <c r="DH1315" i="48"/>
  <c r="DE1315" i="48"/>
  <c r="DH1314" i="48"/>
  <c r="DE1314" i="48"/>
  <c r="DH1313" i="48"/>
  <c r="DE1313" i="48"/>
  <c r="DH1312" i="48"/>
  <c r="DE1312" i="48"/>
  <c r="DH1311" i="48"/>
  <c r="DE1311" i="48"/>
  <c r="DH1310" i="48"/>
  <c r="DE1310" i="48"/>
  <c r="DH1309" i="48"/>
  <c r="DE1309" i="48"/>
  <c r="DH1308" i="48"/>
  <c r="DE1308" i="48"/>
  <c r="DH1307" i="48"/>
  <c r="DE1307" i="48"/>
  <c r="DH1306" i="48"/>
  <c r="DE1306" i="48"/>
  <c r="DH1305" i="48"/>
  <c r="DE1305" i="48"/>
  <c r="DH1304" i="48"/>
  <c r="DE1304" i="48"/>
  <c r="DH1303" i="48"/>
  <c r="DE1303" i="48"/>
  <c r="DH1301" i="48"/>
  <c r="DI1302" i="48" s="1"/>
  <c r="DE1301" i="48"/>
  <c r="DH1300" i="48"/>
  <c r="DE1300" i="48"/>
  <c r="DH1299" i="48"/>
  <c r="DE1299" i="48"/>
  <c r="DH1298" i="48"/>
  <c r="DE1298" i="48"/>
  <c r="DH1297" i="48"/>
  <c r="DE1297" i="48"/>
  <c r="DH1296" i="48"/>
  <c r="DE1296" i="48"/>
  <c r="DH1295" i="48"/>
  <c r="DE1295" i="48"/>
  <c r="DH1294" i="48"/>
  <c r="DE1294" i="48"/>
  <c r="DH1293" i="48"/>
  <c r="DE1293" i="48"/>
  <c r="DH1292" i="48"/>
  <c r="DE1292" i="48"/>
  <c r="DH1291" i="48"/>
  <c r="DE1291" i="48"/>
  <c r="DH1290" i="48"/>
  <c r="DE1290" i="48"/>
  <c r="DH1289" i="48"/>
  <c r="DE1289" i="48"/>
  <c r="DH1288" i="48"/>
  <c r="DE1288" i="48"/>
  <c r="DH1287" i="48"/>
  <c r="DE1287" i="48"/>
  <c r="DH1286" i="48"/>
  <c r="DE1286" i="48"/>
  <c r="DH1285" i="48"/>
  <c r="DE1285" i="48"/>
  <c r="DH1284" i="48"/>
  <c r="DE1284" i="48"/>
  <c r="DH1283" i="48"/>
  <c r="DE1283" i="48"/>
  <c r="DH1282" i="48"/>
  <c r="DE1282" i="48"/>
  <c r="DH1281" i="48"/>
  <c r="DE1281" i="48"/>
  <c r="DH1280" i="48"/>
  <c r="DE1280" i="48"/>
  <c r="DH1279" i="48"/>
  <c r="DE1279" i="48"/>
  <c r="DH1278" i="48"/>
  <c r="DE1278" i="48"/>
  <c r="DH1276" i="48"/>
  <c r="DI1277" i="48" s="1"/>
  <c r="DE1276" i="48"/>
  <c r="DH1275" i="48"/>
  <c r="DE1275" i="48"/>
  <c r="DH1274" i="48"/>
  <c r="DE1274" i="48"/>
  <c r="DH1273" i="48"/>
  <c r="DE1273" i="48"/>
  <c r="DH1272" i="48"/>
  <c r="DE1272" i="48"/>
  <c r="DH1271" i="48"/>
  <c r="DE1271" i="48"/>
  <c r="DH1270" i="48"/>
  <c r="DE1270" i="48"/>
  <c r="DH1269" i="48"/>
  <c r="DE1269" i="48"/>
  <c r="DH1268" i="48"/>
  <c r="DE1268" i="48"/>
  <c r="DH1267" i="48"/>
  <c r="DE1267" i="48"/>
  <c r="DH1266" i="48"/>
  <c r="DE1266" i="48"/>
  <c r="DH1265" i="48"/>
  <c r="DE1265" i="48"/>
  <c r="DH1264" i="48"/>
  <c r="DE1264" i="48"/>
  <c r="DH1263" i="48"/>
  <c r="DE1263" i="48"/>
  <c r="DH1262" i="48"/>
  <c r="DE1262" i="48"/>
  <c r="DH1261" i="48"/>
  <c r="DE1261" i="48"/>
  <c r="DH1260" i="48"/>
  <c r="DE1260" i="48"/>
  <c r="DH1259" i="48"/>
  <c r="DE1259" i="48"/>
  <c r="DH1258" i="48"/>
  <c r="DE1258" i="48"/>
  <c r="DH1257" i="48"/>
  <c r="DE1257" i="48"/>
  <c r="DH1256" i="48"/>
  <c r="DE1256" i="48"/>
  <c r="DH1255" i="48"/>
  <c r="DE1255" i="48"/>
  <c r="DH1254" i="48"/>
  <c r="DE1254" i="48"/>
  <c r="DH1253" i="48"/>
  <c r="DE1253" i="48"/>
  <c r="DH1251" i="48"/>
  <c r="DI1252" i="48" s="1"/>
  <c r="DE1251" i="48"/>
  <c r="DH1250" i="48"/>
  <c r="DE1250" i="48"/>
  <c r="DH1249" i="48"/>
  <c r="DE1249" i="48"/>
  <c r="DH1248" i="48"/>
  <c r="DE1248" i="48"/>
  <c r="DH1247" i="48"/>
  <c r="DE1247" i="48"/>
  <c r="DH1246" i="48"/>
  <c r="DE1246" i="48"/>
  <c r="DH1245" i="48"/>
  <c r="DE1245" i="48"/>
  <c r="DH1244" i="48"/>
  <c r="DE1244" i="48"/>
  <c r="DH1243" i="48"/>
  <c r="DE1243" i="48"/>
  <c r="DH1242" i="48"/>
  <c r="DE1242" i="48"/>
  <c r="DH1241" i="48"/>
  <c r="DE1241" i="48"/>
  <c r="DH1240" i="48"/>
  <c r="DE1240" i="48"/>
  <c r="DH1239" i="48"/>
  <c r="DE1239" i="48"/>
  <c r="DH1238" i="48"/>
  <c r="DE1238" i="48"/>
  <c r="DH1237" i="48"/>
  <c r="DE1237" i="48"/>
  <c r="DH1236" i="48"/>
  <c r="DE1236" i="48"/>
  <c r="DH1235" i="48"/>
  <c r="DE1235" i="48"/>
  <c r="DH1234" i="48"/>
  <c r="DE1234" i="48"/>
  <c r="DH1233" i="48"/>
  <c r="DE1233" i="48"/>
  <c r="DH1232" i="48"/>
  <c r="DE1232" i="48"/>
  <c r="DH1231" i="48"/>
  <c r="DE1231" i="48"/>
  <c r="DH1230" i="48"/>
  <c r="DE1230" i="48"/>
  <c r="DH1229" i="48"/>
  <c r="DE1229" i="48"/>
  <c r="DH1228" i="48"/>
  <c r="DE1228" i="48"/>
  <c r="DH1226" i="48"/>
  <c r="DI1227" i="48" s="1"/>
  <c r="DE1226" i="48"/>
  <c r="DH1225" i="48"/>
  <c r="DE1225" i="48"/>
  <c r="DH1224" i="48"/>
  <c r="DE1224" i="48"/>
  <c r="DH1223" i="48"/>
  <c r="DE1223" i="48"/>
  <c r="DH1222" i="48"/>
  <c r="DE1222" i="48"/>
  <c r="DH1221" i="48"/>
  <c r="DE1221" i="48"/>
  <c r="DH1220" i="48"/>
  <c r="DE1220" i="48"/>
  <c r="DH1219" i="48"/>
  <c r="DE1219" i="48"/>
  <c r="DH1218" i="48"/>
  <c r="DE1218" i="48"/>
  <c r="DH1217" i="48"/>
  <c r="DE1217" i="48"/>
  <c r="DH1216" i="48"/>
  <c r="DE1216" i="48"/>
  <c r="DH1215" i="48"/>
  <c r="DE1215" i="48"/>
  <c r="DH1214" i="48"/>
  <c r="DE1214" i="48"/>
  <c r="DH1213" i="48"/>
  <c r="DE1213" i="48"/>
  <c r="DH1212" i="48"/>
  <c r="DE1212" i="48"/>
  <c r="DH1211" i="48"/>
  <c r="DE1211" i="48"/>
  <c r="DH1210" i="48"/>
  <c r="DE1210" i="48"/>
  <c r="DH1209" i="48"/>
  <c r="DE1209" i="48"/>
  <c r="DH1208" i="48"/>
  <c r="DE1208" i="48"/>
  <c r="DH1207" i="48"/>
  <c r="DE1207" i="48"/>
  <c r="DH1206" i="48"/>
  <c r="DE1206" i="48"/>
  <c r="DH1205" i="48"/>
  <c r="DE1205" i="48"/>
  <c r="DH1204" i="48"/>
  <c r="DE1204" i="48"/>
  <c r="DH1203" i="48"/>
  <c r="DE1203" i="48"/>
  <c r="DH1201" i="48"/>
  <c r="DI1202" i="48" s="1"/>
  <c r="DE1201" i="48"/>
  <c r="DH1200" i="48"/>
  <c r="DE1200" i="48"/>
  <c r="DH1199" i="48"/>
  <c r="DE1199" i="48"/>
  <c r="DH1198" i="48"/>
  <c r="DE1198" i="48"/>
  <c r="DH1197" i="48"/>
  <c r="DE1197" i="48"/>
  <c r="DH1196" i="48"/>
  <c r="DE1196" i="48"/>
  <c r="DH1195" i="48"/>
  <c r="DE1195" i="48"/>
  <c r="DH1194" i="48"/>
  <c r="DE1194" i="48"/>
  <c r="DH1193" i="48"/>
  <c r="DE1193" i="48"/>
  <c r="DH1192" i="48"/>
  <c r="DE1192" i="48"/>
  <c r="DH1191" i="48"/>
  <c r="DE1191" i="48"/>
  <c r="DH1190" i="48"/>
  <c r="DE1190" i="48"/>
  <c r="DH1189" i="48"/>
  <c r="DE1189" i="48"/>
  <c r="DH1188" i="48"/>
  <c r="DE1188" i="48"/>
  <c r="DH1187" i="48"/>
  <c r="DE1187" i="48"/>
  <c r="DH1186" i="48"/>
  <c r="DE1186" i="48"/>
  <c r="DH1185" i="48"/>
  <c r="DE1185" i="48"/>
  <c r="DH1184" i="48"/>
  <c r="DE1184" i="48"/>
  <c r="DH1183" i="48"/>
  <c r="DE1183" i="48"/>
  <c r="DH1182" i="48"/>
  <c r="DE1182" i="48"/>
  <c r="DH1181" i="48"/>
  <c r="DE1181" i="48"/>
  <c r="DH1180" i="48"/>
  <c r="DE1180" i="48"/>
  <c r="DH1179" i="48"/>
  <c r="DE1179" i="48"/>
  <c r="DH1178" i="48"/>
  <c r="DE1178" i="48"/>
  <c r="DH1176" i="48"/>
  <c r="DI1177" i="48" s="1"/>
  <c r="DE1176" i="48"/>
  <c r="DH1175" i="48"/>
  <c r="DE1175" i="48"/>
  <c r="DH1174" i="48"/>
  <c r="DE1174" i="48"/>
  <c r="DH1173" i="48"/>
  <c r="DE1173" i="48"/>
  <c r="DH1172" i="48"/>
  <c r="DE1172" i="48"/>
  <c r="DH1171" i="48"/>
  <c r="DE1171" i="48"/>
  <c r="DH1170" i="48"/>
  <c r="DE1170" i="48"/>
  <c r="DH1169" i="48"/>
  <c r="DE1169" i="48"/>
  <c r="DH1168" i="48"/>
  <c r="DE1168" i="48"/>
  <c r="DH1167" i="48"/>
  <c r="DE1167" i="48"/>
  <c r="DH1166" i="48"/>
  <c r="DE1166" i="48"/>
  <c r="DH1165" i="48"/>
  <c r="DE1165" i="48"/>
  <c r="DH1164" i="48"/>
  <c r="DE1164" i="48"/>
  <c r="DH1163" i="48"/>
  <c r="DE1163" i="48"/>
  <c r="DH1162" i="48"/>
  <c r="DE1162" i="48"/>
  <c r="DH1161" i="48"/>
  <c r="DE1161" i="48"/>
  <c r="DH1160" i="48"/>
  <c r="DE1160" i="48"/>
  <c r="DH1159" i="48"/>
  <c r="DE1159" i="48"/>
  <c r="DH1158" i="48"/>
  <c r="DE1158" i="48"/>
  <c r="DH1157" i="48"/>
  <c r="DE1157" i="48"/>
  <c r="DH1156" i="48"/>
  <c r="DE1156" i="48"/>
  <c r="DH1155" i="48"/>
  <c r="DE1155" i="48"/>
  <c r="DH1154" i="48"/>
  <c r="DE1154" i="48"/>
  <c r="DH1153" i="48"/>
  <c r="DE1153" i="48"/>
  <c r="DH1151" i="48"/>
  <c r="DI1152" i="48" s="1"/>
  <c r="DE1151" i="48"/>
  <c r="DH1150" i="48"/>
  <c r="DE1150" i="48"/>
  <c r="DH1149" i="48"/>
  <c r="DE1149" i="48"/>
  <c r="DH1148" i="48"/>
  <c r="DE1148" i="48"/>
  <c r="DH1147" i="48"/>
  <c r="DE1147" i="48"/>
  <c r="DH1146" i="48"/>
  <c r="DE1146" i="48"/>
  <c r="DH1145" i="48"/>
  <c r="DE1145" i="48"/>
  <c r="DH1144" i="48"/>
  <c r="DE1144" i="48"/>
  <c r="DH1143" i="48"/>
  <c r="DE1143" i="48"/>
  <c r="DH1142" i="48"/>
  <c r="DE1142" i="48"/>
  <c r="DH1141" i="48"/>
  <c r="DE1141" i="48"/>
  <c r="DH1140" i="48"/>
  <c r="DE1140" i="48"/>
  <c r="DH1139" i="48"/>
  <c r="DE1139" i="48"/>
  <c r="DH1138" i="48"/>
  <c r="DE1138" i="48"/>
  <c r="DH1137" i="48"/>
  <c r="DE1137" i="48"/>
  <c r="DH1136" i="48"/>
  <c r="DE1136" i="48"/>
  <c r="DH1135" i="48"/>
  <c r="DE1135" i="48"/>
  <c r="DH1134" i="48"/>
  <c r="DE1134" i="48"/>
  <c r="DH1133" i="48"/>
  <c r="DE1133" i="48"/>
  <c r="DH1132" i="48"/>
  <c r="DE1132" i="48"/>
  <c r="DH1131" i="48"/>
  <c r="DE1131" i="48"/>
  <c r="DH1130" i="48"/>
  <c r="DE1130" i="48"/>
  <c r="DH1129" i="48"/>
  <c r="DE1129" i="48"/>
  <c r="DH1128" i="48"/>
  <c r="DE1128" i="48"/>
  <c r="DH1126" i="48"/>
  <c r="DI1127" i="48" s="1"/>
  <c r="DE1126" i="48"/>
  <c r="DH1125" i="48"/>
  <c r="DE1125" i="48"/>
  <c r="DH1124" i="48"/>
  <c r="DE1124" i="48"/>
  <c r="DH1123" i="48"/>
  <c r="DE1123" i="48"/>
  <c r="DH1122" i="48"/>
  <c r="DE1122" i="48"/>
  <c r="DH1121" i="48"/>
  <c r="DE1121" i="48"/>
  <c r="DH1120" i="48"/>
  <c r="DE1120" i="48"/>
  <c r="DH1119" i="48"/>
  <c r="DE1119" i="48"/>
  <c r="DH1118" i="48"/>
  <c r="DE1118" i="48"/>
  <c r="DH1117" i="48"/>
  <c r="DE1117" i="48"/>
  <c r="DH1116" i="48"/>
  <c r="DE1116" i="48"/>
  <c r="DH1115" i="48"/>
  <c r="DE1115" i="48"/>
  <c r="DH1114" i="48"/>
  <c r="DE1114" i="48"/>
  <c r="DH1113" i="48"/>
  <c r="DE1113" i="48"/>
  <c r="DH1112" i="48"/>
  <c r="DE1112" i="48"/>
  <c r="DH1111" i="48"/>
  <c r="DE1111" i="48"/>
  <c r="DH1110" i="48"/>
  <c r="DE1110" i="48"/>
  <c r="DH1109" i="48"/>
  <c r="DE1109" i="48"/>
  <c r="DH1108" i="48"/>
  <c r="DE1108" i="48"/>
  <c r="DH1107" i="48"/>
  <c r="DE1107" i="48"/>
  <c r="DH1106" i="48"/>
  <c r="DE1106" i="48"/>
  <c r="DH1105" i="48"/>
  <c r="DE1105" i="48"/>
  <c r="DH1104" i="48"/>
  <c r="DE1104" i="48"/>
  <c r="DH1103" i="48"/>
  <c r="DE1103" i="48"/>
  <c r="DH1101" i="48"/>
  <c r="DI1102" i="48" s="1"/>
  <c r="DE1101" i="48"/>
  <c r="DH1100" i="48"/>
  <c r="DE1100" i="48"/>
  <c r="DH1099" i="48"/>
  <c r="DE1099" i="48"/>
  <c r="DH1098" i="48"/>
  <c r="DE1098" i="48"/>
  <c r="DH1097" i="48"/>
  <c r="DE1097" i="48"/>
  <c r="DH1096" i="48"/>
  <c r="DE1096" i="48"/>
  <c r="DH1095" i="48"/>
  <c r="DE1095" i="48"/>
  <c r="DH1094" i="48"/>
  <c r="DE1094" i="48"/>
  <c r="DH1093" i="48"/>
  <c r="DE1093" i="48"/>
  <c r="DH1092" i="48"/>
  <c r="DE1092" i="48"/>
  <c r="DH1091" i="48"/>
  <c r="DE1091" i="48"/>
  <c r="DH1090" i="48"/>
  <c r="DE1090" i="48"/>
  <c r="DH1089" i="48"/>
  <c r="DE1089" i="48"/>
  <c r="DH1088" i="48"/>
  <c r="DE1088" i="48"/>
  <c r="DH1087" i="48"/>
  <c r="DE1087" i="48"/>
  <c r="DH1086" i="48"/>
  <c r="DE1086" i="48"/>
  <c r="DH1085" i="48"/>
  <c r="DE1085" i="48"/>
  <c r="DH1084" i="48"/>
  <c r="DE1084" i="48"/>
  <c r="DH1083" i="48"/>
  <c r="DE1083" i="48"/>
  <c r="DH1082" i="48"/>
  <c r="DE1082" i="48"/>
  <c r="DH1081" i="48"/>
  <c r="DE1081" i="48"/>
  <c r="DH1080" i="48"/>
  <c r="DE1080" i="48"/>
  <c r="DH1079" i="48"/>
  <c r="DE1079" i="48"/>
  <c r="DH1078" i="48"/>
  <c r="DE1078" i="48"/>
  <c r="DH1076" i="48"/>
  <c r="DI1077" i="48" s="1"/>
  <c r="DE1076" i="48"/>
  <c r="DH1075" i="48"/>
  <c r="DE1075" i="48"/>
  <c r="DH1074" i="48"/>
  <c r="DE1074" i="48"/>
  <c r="DH1073" i="48"/>
  <c r="DE1073" i="48"/>
  <c r="DH1072" i="48"/>
  <c r="DE1072" i="48"/>
  <c r="DH1071" i="48"/>
  <c r="DE1071" i="48"/>
  <c r="DH1070" i="48"/>
  <c r="DE1070" i="48"/>
  <c r="DH1069" i="48"/>
  <c r="DE1069" i="48"/>
  <c r="DH1068" i="48"/>
  <c r="DE1068" i="48"/>
  <c r="DH1067" i="48"/>
  <c r="DE1067" i="48"/>
  <c r="DH1066" i="48"/>
  <c r="DE1066" i="48"/>
  <c r="DH1065" i="48"/>
  <c r="DE1065" i="48"/>
  <c r="DH1064" i="48"/>
  <c r="DE1064" i="48"/>
  <c r="DH1063" i="48"/>
  <c r="DE1063" i="48"/>
  <c r="DH1062" i="48"/>
  <c r="DE1062" i="48"/>
  <c r="DH1061" i="48"/>
  <c r="DE1061" i="48"/>
  <c r="DH1060" i="48"/>
  <c r="DE1060" i="48"/>
  <c r="DH1059" i="48"/>
  <c r="DE1059" i="48"/>
  <c r="DH1058" i="48"/>
  <c r="DE1058" i="48"/>
  <c r="DH1057" i="48"/>
  <c r="DE1057" i="48"/>
  <c r="DH1056" i="48"/>
  <c r="DE1056" i="48"/>
  <c r="DH1055" i="48"/>
  <c r="DE1055" i="48"/>
  <c r="DH1054" i="48"/>
  <c r="DE1054" i="48"/>
  <c r="DH1053" i="48"/>
  <c r="DE1053" i="48"/>
  <c r="DH1051" i="48"/>
  <c r="DI1052" i="48" s="1"/>
  <c r="DE1051" i="48"/>
  <c r="DH1050" i="48"/>
  <c r="DE1050" i="48"/>
  <c r="DH1049" i="48"/>
  <c r="DE1049" i="48"/>
  <c r="DH1048" i="48"/>
  <c r="DE1048" i="48"/>
  <c r="DH1047" i="48"/>
  <c r="DE1047" i="48"/>
  <c r="DH1046" i="48"/>
  <c r="DE1046" i="48"/>
  <c r="DH1045" i="48"/>
  <c r="DE1045" i="48"/>
  <c r="DH1044" i="48"/>
  <c r="DE1044" i="48"/>
  <c r="DH1043" i="48"/>
  <c r="DE1043" i="48"/>
  <c r="DH1042" i="48"/>
  <c r="DE1042" i="48"/>
  <c r="DH1041" i="48"/>
  <c r="DE1041" i="48"/>
  <c r="DH1040" i="48"/>
  <c r="DE1040" i="48"/>
  <c r="DH1039" i="48"/>
  <c r="DE1039" i="48"/>
  <c r="DH1038" i="48"/>
  <c r="DE1038" i="48"/>
  <c r="DH1037" i="48"/>
  <c r="DE1037" i="48"/>
  <c r="DH1036" i="48"/>
  <c r="DE1036" i="48"/>
  <c r="DH1035" i="48"/>
  <c r="DE1035" i="48"/>
  <c r="DH1034" i="48"/>
  <c r="DE1034" i="48"/>
  <c r="DH1033" i="48"/>
  <c r="DE1033" i="48"/>
  <c r="DH1032" i="48"/>
  <c r="DE1032" i="48"/>
  <c r="DH1031" i="48"/>
  <c r="DE1031" i="48"/>
  <c r="DH1030" i="48"/>
  <c r="DE1030" i="48"/>
  <c r="DH1029" i="48"/>
  <c r="DE1029" i="48"/>
  <c r="DH1028" i="48"/>
  <c r="DE1028" i="48"/>
  <c r="DH1026" i="48"/>
  <c r="DI1027" i="48" s="1"/>
  <c r="DE1026" i="48"/>
  <c r="DH1025" i="48"/>
  <c r="DE1025" i="48"/>
  <c r="DH1024" i="48"/>
  <c r="DE1024" i="48"/>
  <c r="DH1023" i="48"/>
  <c r="DE1023" i="48"/>
  <c r="DH1022" i="48"/>
  <c r="DE1022" i="48"/>
  <c r="DH1021" i="48"/>
  <c r="DE1021" i="48"/>
  <c r="DH1020" i="48"/>
  <c r="DE1020" i="48"/>
  <c r="DH1019" i="48"/>
  <c r="DE1019" i="48"/>
  <c r="DH1018" i="48"/>
  <c r="DE1018" i="48"/>
  <c r="DH1017" i="48"/>
  <c r="DE1017" i="48"/>
  <c r="DH1016" i="48"/>
  <c r="DE1016" i="48"/>
  <c r="DH1015" i="48"/>
  <c r="DE1015" i="48"/>
  <c r="DH1014" i="48"/>
  <c r="DE1014" i="48"/>
  <c r="DH1013" i="48"/>
  <c r="DE1013" i="48"/>
  <c r="DH1012" i="48"/>
  <c r="DE1012" i="48"/>
  <c r="DH1011" i="48"/>
  <c r="DE1011" i="48"/>
  <c r="DH1010" i="48"/>
  <c r="DE1010" i="48"/>
  <c r="DH1009" i="48"/>
  <c r="DE1009" i="48"/>
  <c r="DH1008" i="48"/>
  <c r="DE1008" i="48"/>
  <c r="DH1007" i="48"/>
  <c r="DE1007" i="48"/>
  <c r="DH1006" i="48"/>
  <c r="DE1006" i="48"/>
  <c r="DH1005" i="48"/>
  <c r="DE1005" i="48"/>
  <c r="DH1004" i="48"/>
  <c r="DE1004" i="48"/>
  <c r="DH1003" i="48"/>
  <c r="DE1003" i="48"/>
  <c r="DH1001" i="48"/>
  <c r="DI1002" i="48" s="1"/>
  <c r="DE1001" i="48"/>
  <c r="DH1000" i="48"/>
  <c r="DE1000" i="48"/>
  <c r="DH999" i="48"/>
  <c r="DE999" i="48"/>
  <c r="DH998" i="48"/>
  <c r="DE998" i="48"/>
  <c r="DH997" i="48"/>
  <c r="DE997" i="48"/>
  <c r="DH996" i="48"/>
  <c r="DE996" i="48"/>
  <c r="DH995" i="48"/>
  <c r="DE995" i="48"/>
  <c r="DH994" i="48"/>
  <c r="DE994" i="48"/>
  <c r="DH993" i="48"/>
  <c r="DE993" i="48"/>
  <c r="DH992" i="48"/>
  <c r="DE992" i="48"/>
  <c r="DH991" i="48"/>
  <c r="DE991" i="48"/>
  <c r="DH990" i="48"/>
  <c r="DE990" i="48"/>
  <c r="DH989" i="48"/>
  <c r="DE989" i="48"/>
  <c r="DH988" i="48"/>
  <c r="DE988" i="48"/>
  <c r="DH987" i="48"/>
  <c r="DE987" i="48"/>
  <c r="DH986" i="48"/>
  <c r="DE986" i="48"/>
  <c r="DH985" i="48"/>
  <c r="DE985" i="48"/>
  <c r="DH984" i="48"/>
  <c r="DE984" i="48"/>
  <c r="DH983" i="48"/>
  <c r="DE983" i="48"/>
  <c r="DH982" i="48"/>
  <c r="DE982" i="48"/>
  <c r="DH981" i="48"/>
  <c r="DE981" i="48"/>
  <c r="DH980" i="48"/>
  <c r="DE980" i="48"/>
  <c r="DH979" i="48"/>
  <c r="DE979" i="48"/>
  <c r="DH978" i="48"/>
  <c r="DE978" i="48"/>
  <c r="DH976" i="48"/>
  <c r="DI977" i="48" s="1"/>
  <c r="DE976" i="48"/>
  <c r="DH975" i="48"/>
  <c r="DE975" i="48"/>
  <c r="DH974" i="48"/>
  <c r="DE974" i="48"/>
  <c r="DH973" i="48"/>
  <c r="DE973" i="48"/>
  <c r="DH972" i="48"/>
  <c r="DE972" i="48"/>
  <c r="DH971" i="48"/>
  <c r="DE971" i="48"/>
  <c r="DH970" i="48"/>
  <c r="DE970" i="48"/>
  <c r="DH969" i="48"/>
  <c r="DE969" i="48"/>
  <c r="DH968" i="48"/>
  <c r="DE968" i="48"/>
  <c r="DH967" i="48"/>
  <c r="DE967" i="48"/>
  <c r="DH966" i="48"/>
  <c r="DE966" i="48"/>
  <c r="DH965" i="48"/>
  <c r="DE965" i="48"/>
  <c r="DH964" i="48"/>
  <c r="DE964" i="48"/>
  <c r="DH963" i="48"/>
  <c r="DE963" i="48"/>
  <c r="DH962" i="48"/>
  <c r="DE962" i="48"/>
  <c r="DH961" i="48"/>
  <c r="DE961" i="48"/>
  <c r="DH960" i="48"/>
  <c r="DE960" i="48"/>
  <c r="DH959" i="48"/>
  <c r="DE959" i="48"/>
  <c r="DH958" i="48"/>
  <c r="DE958" i="48"/>
  <c r="DH957" i="48"/>
  <c r="DE957" i="48"/>
  <c r="DH956" i="48"/>
  <c r="DE956" i="48"/>
  <c r="DH955" i="48"/>
  <c r="DE955" i="48"/>
  <c r="DH954" i="48"/>
  <c r="DE954" i="48"/>
  <c r="DH953" i="48"/>
  <c r="DE953" i="48"/>
  <c r="DH951" i="48"/>
  <c r="DI952" i="48" s="1"/>
  <c r="DE951" i="48"/>
  <c r="DH950" i="48"/>
  <c r="DE950" i="48"/>
  <c r="DH949" i="48"/>
  <c r="DE949" i="48"/>
  <c r="DH948" i="48"/>
  <c r="DE948" i="48"/>
  <c r="DH947" i="48"/>
  <c r="DE947" i="48"/>
  <c r="DH946" i="48"/>
  <c r="DE946" i="48"/>
  <c r="DH945" i="48"/>
  <c r="DE945" i="48"/>
  <c r="DH944" i="48"/>
  <c r="DE944" i="48"/>
  <c r="DH943" i="48"/>
  <c r="DE943" i="48"/>
  <c r="DH942" i="48"/>
  <c r="DE942" i="48"/>
  <c r="DH941" i="48"/>
  <c r="DE941" i="48"/>
  <c r="DH940" i="48"/>
  <c r="DE940" i="48"/>
  <c r="DH939" i="48"/>
  <c r="DE939" i="48"/>
  <c r="DH938" i="48"/>
  <c r="DE938" i="48"/>
  <c r="DH937" i="48"/>
  <c r="DE937" i="48"/>
  <c r="DH936" i="48"/>
  <c r="DE936" i="48"/>
  <c r="DH935" i="48"/>
  <c r="DE935" i="48"/>
  <c r="DH934" i="48"/>
  <c r="DE934" i="48"/>
  <c r="DH933" i="48"/>
  <c r="DE933" i="48"/>
  <c r="DH932" i="48"/>
  <c r="DE932" i="48"/>
  <c r="DH931" i="48"/>
  <c r="DE931" i="48"/>
  <c r="DH930" i="48"/>
  <c r="DE930" i="48"/>
  <c r="DH929" i="48"/>
  <c r="DE929" i="48"/>
  <c r="DH928" i="48"/>
  <c r="DE928" i="48"/>
  <c r="DH926" i="48"/>
  <c r="DI927" i="48" s="1"/>
  <c r="DE926" i="48"/>
  <c r="DH925" i="48"/>
  <c r="DE925" i="48"/>
  <c r="DH924" i="48"/>
  <c r="DE924" i="48"/>
  <c r="DH923" i="48"/>
  <c r="DE923" i="48"/>
  <c r="DH922" i="48"/>
  <c r="DE922" i="48"/>
  <c r="DH921" i="48"/>
  <c r="DE921" i="48"/>
  <c r="DH920" i="48"/>
  <c r="DE920" i="48"/>
  <c r="DH919" i="48"/>
  <c r="DE919" i="48"/>
  <c r="DH918" i="48"/>
  <c r="DE918" i="48"/>
  <c r="DH917" i="48"/>
  <c r="DE917" i="48"/>
  <c r="DH916" i="48"/>
  <c r="DE916" i="48"/>
  <c r="DH915" i="48"/>
  <c r="DE915" i="48"/>
  <c r="DH914" i="48"/>
  <c r="DE914" i="48"/>
  <c r="DH913" i="48"/>
  <c r="DE913" i="48"/>
  <c r="DH912" i="48"/>
  <c r="DE912" i="48"/>
  <c r="DH911" i="48"/>
  <c r="DE911" i="48"/>
  <c r="DH910" i="48"/>
  <c r="DE910" i="48"/>
  <c r="DH909" i="48"/>
  <c r="DE909" i="48"/>
  <c r="DH908" i="48"/>
  <c r="DE908" i="48"/>
  <c r="DH907" i="48"/>
  <c r="DE907" i="48"/>
  <c r="DH906" i="48"/>
  <c r="DE906" i="48"/>
  <c r="DH905" i="48"/>
  <c r="DE905" i="48"/>
  <c r="DH904" i="48"/>
  <c r="DE904" i="48"/>
  <c r="DH903" i="48"/>
  <c r="DE903" i="48"/>
  <c r="DH901" i="48"/>
  <c r="DI902" i="48" s="1"/>
  <c r="DE901" i="48"/>
  <c r="DH900" i="48"/>
  <c r="DE900" i="48"/>
  <c r="DH899" i="48"/>
  <c r="DE899" i="48"/>
  <c r="DH898" i="48"/>
  <c r="DE898" i="48"/>
  <c r="DH897" i="48"/>
  <c r="DE897" i="48"/>
  <c r="DH896" i="48"/>
  <c r="DE896" i="48"/>
  <c r="DH895" i="48"/>
  <c r="DE895" i="48"/>
  <c r="DH894" i="48"/>
  <c r="DE894" i="48"/>
  <c r="DH893" i="48"/>
  <c r="DE893" i="48"/>
  <c r="DH892" i="48"/>
  <c r="DE892" i="48"/>
  <c r="DH891" i="48"/>
  <c r="DE891" i="48"/>
  <c r="DH890" i="48"/>
  <c r="DE890" i="48"/>
  <c r="DH889" i="48"/>
  <c r="DE889" i="48"/>
  <c r="DH888" i="48"/>
  <c r="DE888" i="48"/>
  <c r="DH887" i="48"/>
  <c r="DE887" i="48"/>
  <c r="DH886" i="48"/>
  <c r="DE886" i="48"/>
  <c r="DH885" i="48"/>
  <c r="DE885" i="48"/>
  <c r="DH884" i="48"/>
  <c r="DE884" i="48"/>
  <c r="DH883" i="48"/>
  <c r="DE883" i="48"/>
  <c r="DH882" i="48"/>
  <c r="DE882" i="48"/>
  <c r="DH881" i="48"/>
  <c r="DE881" i="48"/>
  <c r="DH880" i="48"/>
  <c r="DE880" i="48"/>
  <c r="DH879" i="48"/>
  <c r="DE879" i="48"/>
  <c r="DH878" i="48"/>
  <c r="DE878" i="48"/>
  <c r="DH876" i="48"/>
  <c r="DI877" i="48" s="1"/>
  <c r="DE876" i="48"/>
  <c r="DH875" i="48"/>
  <c r="DE875" i="48"/>
  <c r="DH874" i="48"/>
  <c r="DE874" i="48"/>
  <c r="DH873" i="48"/>
  <c r="DE873" i="48"/>
  <c r="DH872" i="48"/>
  <c r="DE872" i="48"/>
  <c r="DH871" i="48"/>
  <c r="DE871" i="48"/>
  <c r="DH870" i="48"/>
  <c r="DE870" i="48"/>
  <c r="DH869" i="48"/>
  <c r="DE869" i="48"/>
  <c r="DH868" i="48"/>
  <c r="DE868" i="48"/>
  <c r="DH867" i="48"/>
  <c r="DE867" i="48"/>
  <c r="DH866" i="48"/>
  <c r="DE866" i="48"/>
  <c r="DH865" i="48"/>
  <c r="DE865" i="48"/>
  <c r="DH864" i="48"/>
  <c r="DE864" i="48"/>
  <c r="DH863" i="48"/>
  <c r="DE863" i="48"/>
  <c r="DH862" i="48"/>
  <c r="DE862" i="48"/>
  <c r="DH861" i="48"/>
  <c r="DE861" i="48"/>
  <c r="DH860" i="48"/>
  <c r="DE860" i="48"/>
  <c r="DH859" i="48"/>
  <c r="DE859" i="48"/>
  <c r="DH858" i="48"/>
  <c r="DE858" i="48"/>
  <c r="DH857" i="48"/>
  <c r="DE857" i="48"/>
  <c r="DH856" i="48"/>
  <c r="DE856" i="48"/>
  <c r="DH855" i="48"/>
  <c r="DE855" i="48"/>
  <c r="DH854" i="48"/>
  <c r="DE854" i="48"/>
  <c r="DH853" i="48"/>
  <c r="DE853" i="48"/>
  <c r="DH851" i="48"/>
  <c r="DI852" i="48" s="1"/>
  <c r="DE851" i="48"/>
  <c r="DH850" i="48"/>
  <c r="DE850" i="48"/>
  <c r="DH849" i="48"/>
  <c r="DE849" i="48"/>
  <c r="DH848" i="48"/>
  <c r="DE848" i="48"/>
  <c r="DH847" i="48"/>
  <c r="DE847" i="48"/>
  <c r="DH846" i="48"/>
  <c r="DE846" i="48"/>
  <c r="DH845" i="48"/>
  <c r="DE845" i="48"/>
  <c r="DH844" i="48"/>
  <c r="DE844" i="48"/>
  <c r="DH843" i="48"/>
  <c r="DE843" i="48"/>
  <c r="DH842" i="48"/>
  <c r="DE842" i="48"/>
  <c r="DH841" i="48"/>
  <c r="DE841" i="48"/>
  <c r="DH840" i="48"/>
  <c r="DE840" i="48"/>
  <c r="DH839" i="48"/>
  <c r="DE839" i="48"/>
  <c r="DH838" i="48"/>
  <c r="DE838" i="48"/>
  <c r="DH837" i="48"/>
  <c r="DE837" i="48"/>
  <c r="DH836" i="48"/>
  <c r="DE836" i="48"/>
  <c r="DH835" i="48"/>
  <c r="DE835" i="48"/>
  <c r="DH834" i="48"/>
  <c r="DE834" i="48"/>
  <c r="DH833" i="48"/>
  <c r="DE833" i="48"/>
  <c r="DH832" i="48"/>
  <c r="DE832" i="48"/>
  <c r="DH831" i="48"/>
  <c r="DE831" i="48"/>
  <c r="DH830" i="48"/>
  <c r="DE830" i="48"/>
  <c r="DH829" i="48"/>
  <c r="DE829" i="48"/>
  <c r="DH828" i="48"/>
  <c r="DE828" i="48"/>
  <c r="DH826" i="48"/>
  <c r="DI827" i="48" s="1"/>
  <c r="DE826" i="48"/>
  <c r="DH825" i="48"/>
  <c r="DE825" i="48"/>
  <c r="DH824" i="48"/>
  <c r="DE824" i="48"/>
  <c r="DH823" i="48"/>
  <c r="DE823" i="48"/>
  <c r="DH822" i="48"/>
  <c r="DE822" i="48"/>
  <c r="DH821" i="48"/>
  <c r="DE821" i="48"/>
  <c r="DH820" i="48"/>
  <c r="DE820" i="48"/>
  <c r="DH819" i="48"/>
  <c r="DE819" i="48"/>
  <c r="DH818" i="48"/>
  <c r="DE818" i="48"/>
  <c r="DH817" i="48"/>
  <c r="DE817" i="48"/>
  <c r="DH816" i="48"/>
  <c r="DE816" i="48"/>
  <c r="DH815" i="48"/>
  <c r="DE815" i="48"/>
  <c r="DH814" i="48"/>
  <c r="DE814" i="48"/>
  <c r="DH813" i="48"/>
  <c r="DE813" i="48"/>
  <c r="DH812" i="48"/>
  <c r="DE812" i="48"/>
  <c r="DH811" i="48"/>
  <c r="DE811" i="48"/>
  <c r="DH810" i="48"/>
  <c r="DE810" i="48"/>
  <c r="DH809" i="48"/>
  <c r="DE809" i="48"/>
  <c r="DH808" i="48"/>
  <c r="DE808" i="48"/>
  <c r="DH807" i="48"/>
  <c r="DE807" i="48"/>
  <c r="DH806" i="48"/>
  <c r="DE806" i="48"/>
  <c r="DH805" i="48"/>
  <c r="DE805" i="48"/>
  <c r="DH804" i="48"/>
  <c r="DE804" i="48"/>
  <c r="DH803" i="48"/>
  <c r="DE803" i="48"/>
  <c r="DH801" i="48"/>
  <c r="DI802" i="48" s="1"/>
  <c r="DE801" i="48"/>
  <c r="DH800" i="48"/>
  <c r="DE800" i="48"/>
  <c r="DH799" i="48"/>
  <c r="DE799" i="48"/>
  <c r="DH798" i="48"/>
  <c r="DE798" i="48"/>
  <c r="DH797" i="48"/>
  <c r="DE797" i="48"/>
  <c r="DH796" i="48"/>
  <c r="DE796" i="48"/>
  <c r="DH795" i="48"/>
  <c r="DE795" i="48"/>
  <c r="DH794" i="48"/>
  <c r="DE794" i="48"/>
  <c r="DH793" i="48"/>
  <c r="DE793" i="48"/>
  <c r="DH792" i="48"/>
  <c r="DE792" i="48"/>
  <c r="DH791" i="48"/>
  <c r="DE791" i="48"/>
  <c r="DH790" i="48"/>
  <c r="DE790" i="48"/>
  <c r="DH789" i="48"/>
  <c r="DE789" i="48"/>
  <c r="DH788" i="48"/>
  <c r="DE788" i="48"/>
  <c r="DH787" i="48"/>
  <c r="DE787" i="48"/>
  <c r="DH786" i="48"/>
  <c r="DE786" i="48"/>
  <c r="DH785" i="48"/>
  <c r="DE785" i="48"/>
  <c r="DH784" i="48"/>
  <c r="DE784" i="48"/>
  <c r="DH783" i="48"/>
  <c r="DE783" i="48"/>
  <c r="DH782" i="48"/>
  <c r="DE782" i="48"/>
  <c r="DH781" i="48"/>
  <c r="DE781" i="48"/>
  <c r="DH780" i="48"/>
  <c r="DE780" i="48"/>
  <c r="DH779" i="48"/>
  <c r="DE779" i="48"/>
  <c r="DH778" i="48"/>
  <c r="DE778" i="48"/>
  <c r="DH776" i="48"/>
  <c r="DI777" i="48" s="1"/>
  <c r="DE776" i="48"/>
  <c r="DH775" i="48"/>
  <c r="DE775" i="48"/>
  <c r="DH774" i="48"/>
  <c r="DE774" i="48"/>
  <c r="DH773" i="48"/>
  <c r="DE773" i="48"/>
  <c r="DH772" i="48"/>
  <c r="DE772" i="48"/>
  <c r="DH771" i="48"/>
  <c r="DE771" i="48"/>
  <c r="DH770" i="48"/>
  <c r="DE770" i="48"/>
  <c r="DH769" i="48"/>
  <c r="DE769" i="48"/>
  <c r="DH768" i="48"/>
  <c r="DE768" i="48"/>
  <c r="DH767" i="48"/>
  <c r="DE767" i="48"/>
  <c r="DH766" i="48"/>
  <c r="DE766" i="48"/>
  <c r="DH765" i="48"/>
  <c r="DE765" i="48"/>
  <c r="DH764" i="48"/>
  <c r="DE764" i="48"/>
  <c r="DH763" i="48"/>
  <c r="DE763" i="48"/>
  <c r="DH762" i="48"/>
  <c r="DE762" i="48"/>
  <c r="DH761" i="48"/>
  <c r="DE761" i="48"/>
  <c r="DH760" i="48"/>
  <c r="DE760" i="48"/>
  <c r="DH759" i="48"/>
  <c r="DE759" i="48"/>
  <c r="DH758" i="48"/>
  <c r="DE758" i="48"/>
  <c r="DH757" i="48"/>
  <c r="DE757" i="48"/>
  <c r="DH756" i="48"/>
  <c r="DE756" i="48"/>
  <c r="DH755" i="48"/>
  <c r="DE755" i="48"/>
  <c r="DH754" i="48"/>
  <c r="DE754" i="48"/>
  <c r="DH753" i="48"/>
  <c r="DE753" i="48"/>
  <c r="DH751" i="48"/>
  <c r="DI752" i="48" s="1"/>
  <c r="DE751" i="48"/>
  <c r="DH750" i="48"/>
  <c r="DE750" i="48"/>
  <c r="DH749" i="48"/>
  <c r="DE749" i="48"/>
  <c r="DH748" i="48"/>
  <c r="DE748" i="48"/>
  <c r="DH747" i="48"/>
  <c r="DE747" i="48"/>
  <c r="DH746" i="48"/>
  <c r="DE746" i="48"/>
  <c r="DH745" i="48"/>
  <c r="DE745" i="48"/>
  <c r="DH744" i="48"/>
  <c r="DE744" i="48"/>
  <c r="DH743" i="48"/>
  <c r="DE743" i="48"/>
  <c r="DH742" i="48"/>
  <c r="DE742" i="48"/>
  <c r="DH741" i="48"/>
  <c r="DE741" i="48"/>
  <c r="DH740" i="48"/>
  <c r="DE740" i="48"/>
  <c r="DH739" i="48"/>
  <c r="DE739" i="48"/>
  <c r="DH738" i="48"/>
  <c r="DE738" i="48"/>
  <c r="DH737" i="48"/>
  <c r="DE737" i="48"/>
  <c r="DH736" i="48"/>
  <c r="DE736" i="48"/>
  <c r="DH735" i="48"/>
  <c r="DE735" i="48"/>
  <c r="DH734" i="48"/>
  <c r="DE734" i="48"/>
  <c r="DH733" i="48"/>
  <c r="DE733" i="48"/>
  <c r="DH732" i="48"/>
  <c r="DE732" i="48"/>
  <c r="DH731" i="48"/>
  <c r="DE731" i="48"/>
  <c r="DH730" i="48"/>
  <c r="DE730" i="48"/>
  <c r="DH729" i="48"/>
  <c r="DE729" i="48"/>
  <c r="DH728" i="48"/>
  <c r="DE728" i="48"/>
  <c r="DH726" i="48"/>
  <c r="DI727" i="48" s="1"/>
  <c r="DE726" i="48"/>
  <c r="DH725" i="48"/>
  <c r="DE725" i="48"/>
  <c r="DH724" i="48"/>
  <c r="DE724" i="48"/>
  <c r="DH723" i="48"/>
  <c r="DE723" i="48"/>
  <c r="DH722" i="48"/>
  <c r="DE722" i="48"/>
  <c r="DH721" i="48"/>
  <c r="DE721" i="48"/>
  <c r="DH720" i="48"/>
  <c r="DE720" i="48"/>
  <c r="DH719" i="48"/>
  <c r="DE719" i="48"/>
  <c r="DH718" i="48"/>
  <c r="DE718" i="48"/>
  <c r="DH717" i="48"/>
  <c r="DE717" i="48"/>
  <c r="DH716" i="48"/>
  <c r="DE716" i="48"/>
  <c r="DH715" i="48"/>
  <c r="DE715" i="48"/>
  <c r="DH714" i="48"/>
  <c r="DE714" i="48"/>
  <c r="DH713" i="48"/>
  <c r="DE713" i="48"/>
  <c r="DH712" i="48"/>
  <c r="DE712" i="48"/>
  <c r="DH711" i="48"/>
  <c r="DE711" i="48"/>
  <c r="DH710" i="48"/>
  <c r="DE710" i="48"/>
  <c r="DH709" i="48"/>
  <c r="DE709" i="48"/>
  <c r="DH708" i="48"/>
  <c r="DE708" i="48"/>
  <c r="DH707" i="48"/>
  <c r="DE707" i="48"/>
  <c r="DH706" i="48"/>
  <c r="DE706" i="48"/>
  <c r="DH705" i="48"/>
  <c r="DE705" i="48"/>
  <c r="DH704" i="48"/>
  <c r="DE704" i="48"/>
  <c r="DH703" i="48"/>
  <c r="DE703" i="48"/>
  <c r="DH701" i="48"/>
  <c r="DI702" i="48" s="1"/>
  <c r="DE701" i="48"/>
  <c r="DH700" i="48"/>
  <c r="DE700" i="48"/>
  <c r="DH699" i="48"/>
  <c r="DE699" i="48"/>
  <c r="DH698" i="48"/>
  <c r="DE698" i="48"/>
  <c r="DH697" i="48"/>
  <c r="DE697" i="48"/>
  <c r="DH696" i="48"/>
  <c r="DE696" i="48"/>
  <c r="DH695" i="48"/>
  <c r="DE695" i="48"/>
  <c r="DH694" i="48"/>
  <c r="DE694" i="48"/>
  <c r="DH693" i="48"/>
  <c r="DE693" i="48"/>
  <c r="DH692" i="48"/>
  <c r="DE692" i="48"/>
  <c r="DH691" i="48"/>
  <c r="DE691" i="48"/>
  <c r="DH690" i="48"/>
  <c r="DE690" i="48"/>
  <c r="DH689" i="48"/>
  <c r="DE689" i="48"/>
  <c r="DH688" i="48"/>
  <c r="DE688" i="48"/>
  <c r="DH687" i="48"/>
  <c r="DE687" i="48"/>
  <c r="DH686" i="48"/>
  <c r="DE686" i="48"/>
  <c r="DH685" i="48"/>
  <c r="DE685" i="48"/>
  <c r="DH684" i="48"/>
  <c r="DE684" i="48"/>
  <c r="DH683" i="48"/>
  <c r="DE683" i="48"/>
  <c r="DH682" i="48"/>
  <c r="DE682" i="48"/>
  <c r="DH681" i="48"/>
  <c r="DE681" i="48"/>
  <c r="DH680" i="48"/>
  <c r="DE680" i="48"/>
  <c r="DH679" i="48"/>
  <c r="DE679" i="48"/>
  <c r="DH678" i="48"/>
  <c r="DE678" i="48"/>
  <c r="DH676" i="48"/>
  <c r="DI677" i="48" s="1"/>
  <c r="DE676" i="48"/>
  <c r="DH675" i="48"/>
  <c r="DE675" i="48"/>
  <c r="DH674" i="48"/>
  <c r="DE674" i="48"/>
  <c r="DH673" i="48"/>
  <c r="DE673" i="48"/>
  <c r="DH672" i="48"/>
  <c r="DE672" i="48"/>
  <c r="DH671" i="48"/>
  <c r="DE671" i="48"/>
  <c r="DH670" i="48"/>
  <c r="DE670" i="48"/>
  <c r="DH669" i="48"/>
  <c r="DE669" i="48"/>
  <c r="DH668" i="48"/>
  <c r="DE668" i="48"/>
  <c r="DH667" i="48"/>
  <c r="DE667" i="48"/>
  <c r="DH666" i="48"/>
  <c r="DE666" i="48"/>
  <c r="DH665" i="48"/>
  <c r="DE665" i="48"/>
  <c r="DH664" i="48"/>
  <c r="DE664" i="48"/>
  <c r="DH663" i="48"/>
  <c r="DE663" i="48"/>
  <c r="DH662" i="48"/>
  <c r="DE662" i="48"/>
  <c r="DH661" i="48"/>
  <c r="DE661" i="48"/>
  <c r="DH660" i="48"/>
  <c r="DE660" i="48"/>
  <c r="DH659" i="48"/>
  <c r="DE659" i="48"/>
  <c r="DH658" i="48"/>
  <c r="DE658" i="48"/>
  <c r="DH657" i="48"/>
  <c r="DE657" i="48"/>
  <c r="DH656" i="48"/>
  <c r="DE656" i="48"/>
  <c r="DH655" i="48"/>
  <c r="DE655" i="48"/>
  <c r="DH654" i="48"/>
  <c r="DE654" i="48"/>
  <c r="DH653" i="48"/>
  <c r="DE653" i="48"/>
  <c r="DH651" i="48"/>
  <c r="DI652" i="48" s="1"/>
  <c r="DE651" i="48"/>
  <c r="DH650" i="48"/>
  <c r="DE650" i="48"/>
  <c r="DH649" i="48"/>
  <c r="DE649" i="48"/>
  <c r="DH648" i="48"/>
  <c r="DE648" i="48"/>
  <c r="DH647" i="48"/>
  <c r="DE647" i="48"/>
  <c r="DH646" i="48"/>
  <c r="DE646" i="48"/>
  <c r="DH645" i="48"/>
  <c r="DE645" i="48"/>
  <c r="DH644" i="48"/>
  <c r="DE644" i="48"/>
  <c r="DH643" i="48"/>
  <c r="DE643" i="48"/>
  <c r="DH642" i="48"/>
  <c r="DE642" i="48"/>
  <c r="DH641" i="48"/>
  <c r="DE641" i="48"/>
  <c r="DH640" i="48"/>
  <c r="DE640" i="48"/>
  <c r="DH639" i="48"/>
  <c r="DE639" i="48"/>
  <c r="DH638" i="48"/>
  <c r="DE638" i="48"/>
  <c r="DH637" i="48"/>
  <c r="DE637" i="48"/>
  <c r="DH636" i="48"/>
  <c r="DE636" i="48"/>
  <c r="DH635" i="48"/>
  <c r="DE635" i="48"/>
  <c r="DH634" i="48"/>
  <c r="DE634" i="48"/>
  <c r="DH633" i="48"/>
  <c r="DE633" i="48"/>
  <c r="DH632" i="48"/>
  <c r="DE632" i="48"/>
  <c r="DH631" i="48"/>
  <c r="DE631" i="48"/>
  <c r="DH630" i="48"/>
  <c r="DE630" i="48"/>
  <c r="DH629" i="48"/>
  <c r="DE629" i="48"/>
  <c r="DH628" i="48"/>
  <c r="DE628" i="48"/>
  <c r="DH626" i="48"/>
  <c r="DI627" i="48" s="1"/>
  <c r="DE626" i="48"/>
  <c r="DH625" i="48"/>
  <c r="DE625" i="48"/>
  <c r="DH624" i="48"/>
  <c r="DE624" i="48"/>
  <c r="DH623" i="48"/>
  <c r="DE623" i="48"/>
  <c r="DH622" i="48"/>
  <c r="DE622" i="48"/>
  <c r="DH621" i="48"/>
  <c r="DE621" i="48"/>
  <c r="DH620" i="48"/>
  <c r="DE620" i="48"/>
  <c r="DH619" i="48"/>
  <c r="DE619" i="48"/>
  <c r="DH618" i="48"/>
  <c r="DE618" i="48"/>
  <c r="DH617" i="48"/>
  <c r="DE617" i="48"/>
  <c r="DH616" i="48"/>
  <c r="DE616" i="48"/>
  <c r="DH615" i="48"/>
  <c r="DE615" i="48"/>
  <c r="DH614" i="48"/>
  <c r="DE614" i="48"/>
  <c r="DH613" i="48"/>
  <c r="DE613" i="48"/>
  <c r="DH612" i="48"/>
  <c r="DE612" i="48"/>
  <c r="DH611" i="48"/>
  <c r="DE611" i="48"/>
  <c r="DH610" i="48"/>
  <c r="DE610" i="48"/>
  <c r="DH609" i="48"/>
  <c r="DE609" i="48"/>
  <c r="DH608" i="48"/>
  <c r="DE608" i="48"/>
  <c r="DH607" i="48"/>
  <c r="DE607" i="48"/>
  <c r="DH606" i="48"/>
  <c r="DE606" i="48"/>
  <c r="DH605" i="48"/>
  <c r="DE605" i="48"/>
  <c r="DH604" i="48"/>
  <c r="DE604" i="48"/>
  <c r="DH603" i="48"/>
  <c r="DE603" i="48"/>
  <c r="DH601" i="48"/>
  <c r="DI602" i="48" s="1"/>
  <c r="DE601" i="48"/>
  <c r="DH600" i="48"/>
  <c r="DE600" i="48"/>
  <c r="DH599" i="48"/>
  <c r="DE599" i="48"/>
  <c r="DH598" i="48"/>
  <c r="DE598" i="48"/>
  <c r="DH597" i="48"/>
  <c r="DE597" i="48"/>
  <c r="DH596" i="48"/>
  <c r="DE596" i="48"/>
  <c r="DH595" i="48"/>
  <c r="DE595" i="48"/>
  <c r="DH594" i="48"/>
  <c r="DE594" i="48"/>
  <c r="DH593" i="48"/>
  <c r="DE593" i="48"/>
  <c r="DH592" i="48"/>
  <c r="DE592" i="48"/>
  <c r="DH591" i="48"/>
  <c r="DE591" i="48"/>
  <c r="DH590" i="48"/>
  <c r="DE590" i="48"/>
  <c r="DH589" i="48"/>
  <c r="DE589" i="48"/>
  <c r="DH588" i="48"/>
  <c r="DE588" i="48"/>
  <c r="DH587" i="48"/>
  <c r="DE587" i="48"/>
  <c r="DH586" i="48"/>
  <c r="DE586" i="48"/>
  <c r="DH585" i="48"/>
  <c r="DE585" i="48"/>
  <c r="DH584" i="48"/>
  <c r="DE584" i="48"/>
  <c r="DH583" i="48"/>
  <c r="DE583" i="48"/>
  <c r="DH582" i="48"/>
  <c r="DE582" i="48"/>
  <c r="DH581" i="48"/>
  <c r="DE581" i="48"/>
  <c r="DH580" i="48"/>
  <c r="DE580" i="48"/>
  <c r="DH579" i="48"/>
  <c r="DE579" i="48"/>
  <c r="DH578" i="48"/>
  <c r="DE578" i="48"/>
  <c r="DH576" i="48"/>
  <c r="DI577" i="48" s="1"/>
  <c r="DE576" i="48"/>
  <c r="DH575" i="48"/>
  <c r="DE575" i="48"/>
  <c r="DH574" i="48"/>
  <c r="DE574" i="48"/>
  <c r="DH573" i="48"/>
  <c r="DE573" i="48"/>
  <c r="DH572" i="48"/>
  <c r="DE572" i="48"/>
  <c r="DH571" i="48"/>
  <c r="DE571" i="48"/>
  <c r="DH570" i="48"/>
  <c r="DE570" i="48"/>
  <c r="DH569" i="48"/>
  <c r="DE569" i="48"/>
  <c r="DH568" i="48"/>
  <c r="DE568" i="48"/>
  <c r="DH567" i="48"/>
  <c r="DE567" i="48"/>
  <c r="DH566" i="48"/>
  <c r="DE566" i="48"/>
  <c r="DH565" i="48"/>
  <c r="DE565" i="48"/>
  <c r="DH564" i="48"/>
  <c r="DE564" i="48"/>
  <c r="DH563" i="48"/>
  <c r="DE563" i="48"/>
  <c r="DH562" i="48"/>
  <c r="DE562" i="48"/>
  <c r="DH561" i="48"/>
  <c r="DE561" i="48"/>
  <c r="DH560" i="48"/>
  <c r="DE560" i="48"/>
  <c r="DH559" i="48"/>
  <c r="DE559" i="48"/>
  <c r="DH558" i="48"/>
  <c r="DE558" i="48"/>
  <c r="DH557" i="48"/>
  <c r="DE557" i="48"/>
  <c r="DH556" i="48"/>
  <c r="DE556" i="48"/>
  <c r="DH555" i="48"/>
  <c r="DE555" i="48"/>
  <c r="DH554" i="48"/>
  <c r="DE554" i="48"/>
  <c r="DH553" i="48"/>
  <c r="DE553" i="48"/>
  <c r="DH551" i="48"/>
  <c r="DI552" i="48" s="1"/>
  <c r="DE551" i="48"/>
  <c r="DH550" i="48"/>
  <c r="DE550" i="48"/>
  <c r="DH549" i="48"/>
  <c r="DE549" i="48"/>
  <c r="DH548" i="48"/>
  <c r="DE548" i="48"/>
  <c r="DH547" i="48"/>
  <c r="DE547" i="48"/>
  <c r="DH546" i="48"/>
  <c r="DE546" i="48"/>
  <c r="DH545" i="48"/>
  <c r="DE545" i="48"/>
  <c r="DH544" i="48"/>
  <c r="DE544" i="48"/>
  <c r="DH543" i="48"/>
  <c r="DE543" i="48"/>
  <c r="DH542" i="48"/>
  <c r="DE542" i="48"/>
  <c r="DH541" i="48"/>
  <c r="DE541" i="48"/>
  <c r="DH540" i="48"/>
  <c r="DE540" i="48"/>
  <c r="DH539" i="48"/>
  <c r="DE539" i="48"/>
  <c r="DH538" i="48"/>
  <c r="DE538" i="48"/>
  <c r="DH537" i="48"/>
  <c r="DE537" i="48"/>
  <c r="DH536" i="48"/>
  <c r="DE536" i="48"/>
  <c r="DH535" i="48"/>
  <c r="DE535" i="48"/>
  <c r="DH534" i="48"/>
  <c r="DE534" i="48"/>
  <c r="DH533" i="48"/>
  <c r="DE533" i="48"/>
  <c r="DH532" i="48"/>
  <c r="DE532" i="48"/>
  <c r="DH531" i="48"/>
  <c r="DE531" i="48"/>
  <c r="DH530" i="48"/>
  <c r="DE530" i="48"/>
  <c r="DH529" i="48"/>
  <c r="DE529" i="48"/>
  <c r="DH528" i="48"/>
  <c r="DE528" i="48"/>
  <c r="DH526" i="48"/>
  <c r="DI527" i="48" s="1"/>
  <c r="DE526" i="48"/>
  <c r="DH525" i="48"/>
  <c r="DE525" i="48"/>
  <c r="DH524" i="48"/>
  <c r="DE524" i="48"/>
  <c r="DH523" i="48"/>
  <c r="DE523" i="48"/>
  <c r="DH522" i="48"/>
  <c r="DE522" i="48"/>
  <c r="DH521" i="48"/>
  <c r="DE521" i="48"/>
  <c r="DH520" i="48"/>
  <c r="DE520" i="48"/>
  <c r="DH519" i="48"/>
  <c r="DE519" i="48"/>
  <c r="DH518" i="48"/>
  <c r="DE518" i="48"/>
  <c r="DH517" i="48"/>
  <c r="DE517" i="48"/>
  <c r="DH516" i="48"/>
  <c r="DE516" i="48"/>
  <c r="DH515" i="48"/>
  <c r="DE515" i="48"/>
  <c r="DH514" i="48"/>
  <c r="DE514" i="48"/>
  <c r="DH513" i="48"/>
  <c r="DE513" i="48"/>
  <c r="DH512" i="48"/>
  <c r="DE512" i="48"/>
  <c r="DH511" i="48"/>
  <c r="DE511" i="48"/>
  <c r="DH510" i="48"/>
  <c r="DE510" i="48"/>
  <c r="DH509" i="48"/>
  <c r="DE509" i="48"/>
  <c r="DH508" i="48"/>
  <c r="DE508" i="48"/>
  <c r="DH507" i="48"/>
  <c r="DE507" i="48"/>
  <c r="DH506" i="48"/>
  <c r="DE506" i="48"/>
  <c r="DH505" i="48"/>
  <c r="DE505" i="48"/>
  <c r="DH504" i="48"/>
  <c r="DE504" i="48"/>
  <c r="DH503" i="48"/>
  <c r="DE503" i="48"/>
  <c r="DH501" i="48"/>
  <c r="DI502" i="48" s="1"/>
  <c r="DE501" i="48"/>
  <c r="DH500" i="48"/>
  <c r="DE500" i="48"/>
  <c r="DH499" i="48"/>
  <c r="DE499" i="48"/>
  <c r="DH498" i="48"/>
  <c r="DE498" i="48"/>
  <c r="DH497" i="48"/>
  <c r="DE497" i="48"/>
  <c r="DH496" i="48"/>
  <c r="DE496" i="48"/>
  <c r="DH495" i="48"/>
  <c r="DE495" i="48"/>
  <c r="DH494" i="48"/>
  <c r="DE494" i="48"/>
  <c r="DH493" i="48"/>
  <c r="DE493" i="48"/>
  <c r="DH492" i="48"/>
  <c r="DE492" i="48"/>
  <c r="DH491" i="48"/>
  <c r="DE491" i="48"/>
  <c r="DH490" i="48"/>
  <c r="DE490" i="48"/>
  <c r="DH489" i="48"/>
  <c r="DE489" i="48"/>
  <c r="DH488" i="48"/>
  <c r="DE488" i="48"/>
  <c r="DH487" i="48"/>
  <c r="DE487" i="48"/>
  <c r="DH486" i="48"/>
  <c r="DE486" i="48"/>
  <c r="DH485" i="48"/>
  <c r="DE485" i="48"/>
  <c r="DH484" i="48"/>
  <c r="DE484" i="48"/>
  <c r="DH483" i="48"/>
  <c r="DE483" i="48"/>
  <c r="DH482" i="48"/>
  <c r="DE482" i="48"/>
  <c r="DH481" i="48"/>
  <c r="DE481" i="48"/>
  <c r="DH480" i="48"/>
  <c r="DE480" i="48"/>
  <c r="DH479" i="48"/>
  <c r="DE479" i="48"/>
  <c r="DH478" i="48"/>
  <c r="DE478" i="48"/>
  <c r="DH476" i="48"/>
  <c r="DI477" i="48" s="1"/>
  <c r="DE476" i="48"/>
  <c r="DH475" i="48"/>
  <c r="DE475" i="48"/>
  <c r="DH474" i="48"/>
  <c r="DE474" i="48"/>
  <c r="DH473" i="48"/>
  <c r="DE473" i="48"/>
  <c r="DH472" i="48"/>
  <c r="DE472" i="48"/>
  <c r="DH471" i="48"/>
  <c r="DE471" i="48"/>
  <c r="DH470" i="48"/>
  <c r="DE470" i="48"/>
  <c r="DH469" i="48"/>
  <c r="DE469" i="48"/>
  <c r="DH468" i="48"/>
  <c r="DE468" i="48"/>
  <c r="DH467" i="48"/>
  <c r="DE467" i="48"/>
  <c r="DH466" i="48"/>
  <c r="DE466" i="48"/>
  <c r="DH465" i="48"/>
  <c r="DE465" i="48"/>
  <c r="DH464" i="48"/>
  <c r="DE464" i="48"/>
  <c r="DH463" i="48"/>
  <c r="DE463" i="48"/>
  <c r="DH462" i="48"/>
  <c r="DE462" i="48"/>
  <c r="DH461" i="48"/>
  <c r="DE461" i="48"/>
  <c r="DH460" i="48"/>
  <c r="DE460" i="48"/>
  <c r="DH459" i="48"/>
  <c r="DE459" i="48"/>
  <c r="DH458" i="48"/>
  <c r="DE458" i="48"/>
  <c r="DH457" i="48"/>
  <c r="DE457" i="48"/>
  <c r="DH456" i="48"/>
  <c r="DE456" i="48"/>
  <c r="DH455" i="48"/>
  <c r="DE455" i="48"/>
  <c r="DH454" i="48"/>
  <c r="DE454" i="48"/>
  <c r="DH453" i="48"/>
  <c r="DE453" i="48"/>
  <c r="DH451" i="48"/>
  <c r="DI452" i="48" s="1"/>
  <c r="DE451" i="48"/>
  <c r="DH450" i="48"/>
  <c r="DE450" i="48"/>
  <c r="DH449" i="48"/>
  <c r="DE449" i="48"/>
  <c r="DH448" i="48"/>
  <c r="DE448" i="48"/>
  <c r="DH447" i="48"/>
  <c r="DE447" i="48"/>
  <c r="DH446" i="48"/>
  <c r="DE446" i="48"/>
  <c r="DH445" i="48"/>
  <c r="DE445" i="48"/>
  <c r="DH444" i="48"/>
  <c r="DE444" i="48"/>
  <c r="DH443" i="48"/>
  <c r="DE443" i="48"/>
  <c r="DH442" i="48"/>
  <c r="DE442" i="48"/>
  <c r="DH441" i="48"/>
  <c r="DE441" i="48"/>
  <c r="DH440" i="48"/>
  <c r="DE440" i="48"/>
  <c r="DH439" i="48"/>
  <c r="DE439" i="48"/>
  <c r="DH438" i="48"/>
  <c r="DE438" i="48"/>
  <c r="DH437" i="48"/>
  <c r="DE437" i="48"/>
  <c r="DH436" i="48"/>
  <c r="DE436" i="48"/>
  <c r="DH435" i="48"/>
  <c r="DE435" i="48"/>
  <c r="DH434" i="48"/>
  <c r="DE434" i="48"/>
  <c r="DH433" i="48"/>
  <c r="DE433" i="48"/>
  <c r="DH432" i="48"/>
  <c r="DE432" i="48"/>
  <c r="DH431" i="48"/>
  <c r="DE431" i="48"/>
  <c r="DH430" i="48"/>
  <c r="DE430" i="48"/>
  <c r="DH429" i="48"/>
  <c r="DE429" i="48"/>
  <c r="DH428" i="48"/>
  <c r="DE428" i="48"/>
  <c r="DH426" i="48"/>
  <c r="DI427" i="48" s="1"/>
  <c r="DE426" i="48"/>
  <c r="DH425" i="48"/>
  <c r="DE425" i="48"/>
  <c r="DH424" i="48"/>
  <c r="DE424" i="48"/>
  <c r="DH423" i="48"/>
  <c r="DE423" i="48"/>
  <c r="DH422" i="48"/>
  <c r="DE422" i="48"/>
  <c r="DH421" i="48"/>
  <c r="DE421" i="48"/>
  <c r="DH420" i="48"/>
  <c r="DE420" i="48"/>
  <c r="DH419" i="48"/>
  <c r="DE419" i="48"/>
  <c r="DH418" i="48"/>
  <c r="DE418" i="48"/>
  <c r="DH417" i="48"/>
  <c r="DE417" i="48"/>
  <c r="DH416" i="48"/>
  <c r="DE416" i="48"/>
  <c r="DH415" i="48"/>
  <c r="DE415" i="48"/>
  <c r="DH414" i="48"/>
  <c r="DE414" i="48"/>
  <c r="DH413" i="48"/>
  <c r="DE413" i="48"/>
  <c r="DH412" i="48"/>
  <c r="DE412" i="48"/>
  <c r="DH411" i="48"/>
  <c r="DE411" i="48"/>
  <c r="DH410" i="48"/>
  <c r="DE410" i="48"/>
  <c r="DH409" i="48"/>
  <c r="DE409" i="48"/>
  <c r="DH408" i="48"/>
  <c r="DE408" i="48"/>
  <c r="DH407" i="48"/>
  <c r="DE407" i="48"/>
  <c r="DH406" i="48"/>
  <c r="DE406" i="48"/>
  <c r="DH405" i="48"/>
  <c r="DE405" i="48"/>
  <c r="DH404" i="48"/>
  <c r="DE404" i="48"/>
  <c r="DH403" i="48"/>
  <c r="DE403" i="48"/>
  <c r="DH401" i="48"/>
  <c r="DI402" i="48" s="1"/>
  <c r="DE401" i="48"/>
  <c r="DH400" i="48"/>
  <c r="DE400" i="48"/>
  <c r="DH399" i="48"/>
  <c r="DE399" i="48"/>
  <c r="DH398" i="48"/>
  <c r="DE398" i="48"/>
  <c r="DH397" i="48"/>
  <c r="DE397" i="48"/>
  <c r="DH396" i="48"/>
  <c r="DE396" i="48"/>
  <c r="DH395" i="48"/>
  <c r="DE395" i="48"/>
  <c r="DH394" i="48"/>
  <c r="DE394" i="48"/>
  <c r="DH393" i="48"/>
  <c r="DE393" i="48"/>
  <c r="DH392" i="48"/>
  <c r="DE392" i="48"/>
  <c r="DH391" i="48"/>
  <c r="DE391" i="48"/>
  <c r="DH390" i="48"/>
  <c r="DE390" i="48"/>
  <c r="DH389" i="48"/>
  <c r="DE389" i="48"/>
  <c r="DH388" i="48"/>
  <c r="DE388" i="48"/>
  <c r="DH387" i="48"/>
  <c r="DE387" i="48"/>
  <c r="DH386" i="48"/>
  <c r="DE386" i="48"/>
  <c r="DH385" i="48"/>
  <c r="DE385" i="48"/>
  <c r="DH384" i="48"/>
  <c r="DE384" i="48"/>
  <c r="DH383" i="48"/>
  <c r="DE383" i="48"/>
  <c r="DH382" i="48"/>
  <c r="DE382" i="48"/>
  <c r="DH381" i="48"/>
  <c r="DE381" i="48"/>
  <c r="DH380" i="48"/>
  <c r="DE380" i="48"/>
  <c r="DH379" i="48"/>
  <c r="DE379" i="48"/>
  <c r="DH378" i="48"/>
  <c r="DE378" i="48"/>
  <c r="DH376" i="48"/>
  <c r="DI377" i="48" s="1"/>
  <c r="DE376" i="48"/>
  <c r="DH375" i="48"/>
  <c r="DE375" i="48"/>
  <c r="DH374" i="48"/>
  <c r="DE374" i="48"/>
  <c r="DH373" i="48"/>
  <c r="DE373" i="48"/>
  <c r="DH372" i="48"/>
  <c r="DE372" i="48"/>
  <c r="DH371" i="48"/>
  <c r="DE371" i="48"/>
  <c r="DH370" i="48"/>
  <c r="DE370" i="48"/>
  <c r="DH369" i="48"/>
  <c r="DE369" i="48"/>
  <c r="DH368" i="48"/>
  <c r="DE368" i="48"/>
  <c r="DH367" i="48"/>
  <c r="DE367" i="48"/>
  <c r="DH366" i="48"/>
  <c r="DE366" i="48"/>
  <c r="DH365" i="48"/>
  <c r="DE365" i="48"/>
  <c r="DH364" i="48"/>
  <c r="DE364" i="48"/>
  <c r="DH363" i="48"/>
  <c r="DE363" i="48"/>
  <c r="DH362" i="48"/>
  <c r="DE362" i="48"/>
  <c r="DH361" i="48"/>
  <c r="DE361" i="48"/>
  <c r="DH360" i="48"/>
  <c r="DE360" i="48"/>
  <c r="DH359" i="48"/>
  <c r="DE359" i="48"/>
  <c r="DH358" i="48"/>
  <c r="DE358" i="48"/>
  <c r="DH357" i="48"/>
  <c r="DE357" i="48"/>
  <c r="DH356" i="48"/>
  <c r="DE356" i="48"/>
  <c r="DH355" i="48"/>
  <c r="DE355" i="48"/>
  <c r="DH354" i="48"/>
  <c r="DE354" i="48"/>
  <c r="DH353" i="48"/>
  <c r="DE353" i="48"/>
  <c r="DH351" i="48"/>
  <c r="DI352" i="48" s="1"/>
  <c r="DE351" i="48"/>
  <c r="DH350" i="48"/>
  <c r="DE350" i="48"/>
  <c r="DH349" i="48"/>
  <c r="DE349" i="48"/>
  <c r="DH348" i="48"/>
  <c r="DE348" i="48"/>
  <c r="DH347" i="48"/>
  <c r="DE347" i="48"/>
  <c r="DH346" i="48"/>
  <c r="DE346" i="48"/>
  <c r="DH345" i="48"/>
  <c r="DE345" i="48"/>
  <c r="DH344" i="48"/>
  <c r="DE344" i="48"/>
  <c r="DH343" i="48"/>
  <c r="DE343" i="48"/>
  <c r="DH342" i="48"/>
  <c r="DE342" i="48"/>
  <c r="DH341" i="48"/>
  <c r="DE341" i="48"/>
  <c r="DH340" i="48"/>
  <c r="DE340" i="48"/>
  <c r="DH339" i="48"/>
  <c r="DE339" i="48"/>
  <c r="DH338" i="48"/>
  <c r="DE338" i="48"/>
  <c r="DH337" i="48"/>
  <c r="DE337" i="48"/>
  <c r="DH336" i="48"/>
  <c r="DE336" i="48"/>
  <c r="DH335" i="48"/>
  <c r="DE335" i="48"/>
  <c r="DH334" i="48"/>
  <c r="DE334" i="48"/>
  <c r="DH333" i="48"/>
  <c r="DE333" i="48"/>
  <c r="DH332" i="48"/>
  <c r="DE332" i="48"/>
  <c r="DH331" i="48"/>
  <c r="DE331" i="48"/>
  <c r="DH330" i="48"/>
  <c r="DE330" i="48"/>
  <c r="DH329" i="48"/>
  <c r="DE329" i="48"/>
  <c r="DH328" i="48"/>
  <c r="DE328" i="48"/>
  <c r="DH326" i="48"/>
  <c r="DI327" i="48" s="1"/>
  <c r="DE326" i="48"/>
  <c r="DH325" i="48"/>
  <c r="DE325" i="48"/>
  <c r="DH324" i="48"/>
  <c r="DE324" i="48"/>
  <c r="DH323" i="48"/>
  <c r="DE323" i="48"/>
  <c r="DH322" i="48"/>
  <c r="DE322" i="48"/>
  <c r="DH321" i="48"/>
  <c r="DE321" i="48"/>
  <c r="DH320" i="48"/>
  <c r="DE320" i="48"/>
  <c r="DH319" i="48"/>
  <c r="DE319" i="48"/>
  <c r="DH318" i="48"/>
  <c r="DE318" i="48"/>
  <c r="DH317" i="48"/>
  <c r="DE317" i="48"/>
  <c r="DH316" i="48"/>
  <c r="DE316" i="48"/>
  <c r="DH315" i="48"/>
  <c r="DE315" i="48"/>
  <c r="DH314" i="48"/>
  <c r="DE314" i="48"/>
  <c r="DH313" i="48"/>
  <c r="DE313" i="48"/>
  <c r="DH312" i="48"/>
  <c r="DE312" i="48"/>
  <c r="DH311" i="48"/>
  <c r="DE311" i="48"/>
  <c r="DH310" i="48"/>
  <c r="DE310" i="48"/>
  <c r="DH309" i="48"/>
  <c r="DE309" i="48"/>
  <c r="DH308" i="48"/>
  <c r="DE308" i="48"/>
  <c r="DH307" i="48"/>
  <c r="DE307" i="48"/>
  <c r="DH306" i="48"/>
  <c r="DE306" i="48"/>
  <c r="DH305" i="48"/>
  <c r="DE305" i="48"/>
  <c r="DH304" i="48"/>
  <c r="DE304" i="48"/>
  <c r="DH303" i="48"/>
  <c r="DE303" i="48"/>
  <c r="DH301" i="48"/>
  <c r="DI302" i="48" s="1"/>
  <c r="DE301" i="48"/>
  <c r="DH300" i="48"/>
  <c r="DE300" i="48"/>
  <c r="DH299" i="48"/>
  <c r="DE299" i="48"/>
  <c r="DH298" i="48"/>
  <c r="DE298" i="48"/>
  <c r="DH297" i="48"/>
  <c r="DE297" i="48"/>
  <c r="DH296" i="48"/>
  <c r="DE296" i="48"/>
  <c r="DH295" i="48"/>
  <c r="DE295" i="48"/>
  <c r="DH294" i="48"/>
  <c r="DE294" i="48"/>
  <c r="DH293" i="48"/>
  <c r="DE293" i="48"/>
  <c r="DH292" i="48"/>
  <c r="DE292" i="48"/>
  <c r="DH291" i="48"/>
  <c r="DE291" i="48"/>
  <c r="DH290" i="48"/>
  <c r="DE290" i="48"/>
  <c r="DH289" i="48"/>
  <c r="DE289" i="48"/>
  <c r="DH288" i="48"/>
  <c r="DE288" i="48"/>
  <c r="DH287" i="48"/>
  <c r="DE287" i="48"/>
  <c r="DH286" i="48"/>
  <c r="DE286" i="48"/>
  <c r="DH285" i="48"/>
  <c r="DE285" i="48"/>
  <c r="DH284" i="48"/>
  <c r="DE284" i="48"/>
  <c r="DH283" i="48"/>
  <c r="DE283" i="48"/>
  <c r="DH282" i="48"/>
  <c r="DE282" i="48"/>
  <c r="DH281" i="48"/>
  <c r="DE281" i="48"/>
  <c r="DH280" i="48"/>
  <c r="DE280" i="48"/>
  <c r="DH279" i="48"/>
  <c r="DE279" i="48"/>
  <c r="DH278" i="48"/>
  <c r="DE278" i="48"/>
  <c r="DH276" i="48"/>
  <c r="DI277" i="48" s="1"/>
  <c r="DE276" i="48"/>
  <c r="DH275" i="48"/>
  <c r="DE275" i="48"/>
  <c r="DH274" i="48"/>
  <c r="DE274" i="48"/>
  <c r="DH273" i="48"/>
  <c r="DE273" i="48"/>
  <c r="DH272" i="48"/>
  <c r="DE272" i="48"/>
  <c r="DH271" i="48"/>
  <c r="DE271" i="48"/>
  <c r="DH270" i="48"/>
  <c r="DE270" i="48"/>
  <c r="DH269" i="48"/>
  <c r="DE269" i="48"/>
  <c r="DH268" i="48"/>
  <c r="DE268" i="48"/>
  <c r="DH267" i="48"/>
  <c r="DE267" i="48"/>
  <c r="DH266" i="48"/>
  <c r="DE266" i="48"/>
  <c r="DH265" i="48"/>
  <c r="DE265" i="48"/>
  <c r="DH264" i="48"/>
  <c r="DE264" i="48"/>
  <c r="DH263" i="48"/>
  <c r="DE263" i="48"/>
  <c r="DH262" i="48"/>
  <c r="DE262" i="48"/>
  <c r="DH261" i="48"/>
  <c r="DE261" i="48"/>
  <c r="DH260" i="48"/>
  <c r="DE260" i="48"/>
  <c r="DH259" i="48"/>
  <c r="DE259" i="48"/>
  <c r="DH258" i="48"/>
  <c r="DE258" i="48"/>
  <c r="DH257" i="48"/>
  <c r="DE257" i="48"/>
  <c r="DH256" i="48"/>
  <c r="DE256" i="48"/>
  <c r="DH255" i="48"/>
  <c r="DE255" i="48"/>
  <c r="DH254" i="48"/>
  <c r="DE254" i="48"/>
  <c r="DH253" i="48"/>
  <c r="DE253" i="48"/>
  <c r="DH251" i="48"/>
  <c r="DI252" i="48" s="1"/>
  <c r="DE251" i="48"/>
  <c r="DH250" i="48"/>
  <c r="DE250" i="48"/>
  <c r="DH249" i="48"/>
  <c r="DE249" i="48"/>
  <c r="DH248" i="48"/>
  <c r="DE248" i="48"/>
  <c r="DH247" i="48"/>
  <c r="DE247" i="48"/>
  <c r="DH246" i="48"/>
  <c r="DE246" i="48"/>
  <c r="DH245" i="48"/>
  <c r="DE245" i="48"/>
  <c r="DH244" i="48"/>
  <c r="DE244" i="48"/>
  <c r="DH243" i="48"/>
  <c r="DE243" i="48"/>
  <c r="DH242" i="48"/>
  <c r="DE242" i="48"/>
  <c r="DH241" i="48"/>
  <c r="DE241" i="48"/>
  <c r="DH240" i="48"/>
  <c r="DE240" i="48"/>
  <c r="DH239" i="48"/>
  <c r="DE239" i="48"/>
  <c r="DH238" i="48"/>
  <c r="DE238" i="48"/>
  <c r="DH237" i="48"/>
  <c r="DE237" i="48"/>
  <c r="DH236" i="48"/>
  <c r="DE236" i="48"/>
  <c r="DH235" i="48"/>
  <c r="DE235" i="48"/>
  <c r="DH234" i="48"/>
  <c r="DE234" i="48"/>
  <c r="DH233" i="48"/>
  <c r="DE233" i="48"/>
  <c r="DH232" i="48"/>
  <c r="DE232" i="48"/>
  <c r="DH231" i="48"/>
  <c r="DE231" i="48"/>
  <c r="DH230" i="48"/>
  <c r="DE230" i="48"/>
  <c r="DH229" i="48"/>
  <c r="DE229" i="48"/>
  <c r="DH228" i="48"/>
  <c r="DE228" i="48"/>
  <c r="DH226" i="48"/>
  <c r="DI227" i="48" s="1"/>
  <c r="DE226" i="48"/>
  <c r="DH225" i="48"/>
  <c r="DE225" i="48"/>
  <c r="DH224" i="48"/>
  <c r="DE224" i="48"/>
  <c r="DH223" i="48"/>
  <c r="DE223" i="48"/>
  <c r="DH222" i="48"/>
  <c r="DE222" i="48"/>
  <c r="DH221" i="48"/>
  <c r="DE221" i="48"/>
  <c r="DH220" i="48"/>
  <c r="DE220" i="48"/>
  <c r="DH219" i="48"/>
  <c r="DE219" i="48"/>
  <c r="DH218" i="48"/>
  <c r="DE218" i="48"/>
  <c r="DH217" i="48"/>
  <c r="DE217" i="48"/>
  <c r="DH216" i="48"/>
  <c r="DE216" i="48"/>
  <c r="DH215" i="48"/>
  <c r="DE215" i="48"/>
  <c r="DH214" i="48"/>
  <c r="DE214" i="48"/>
  <c r="DH213" i="48"/>
  <c r="DE213" i="48"/>
  <c r="DH212" i="48"/>
  <c r="DE212" i="48"/>
  <c r="DH211" i="48"/>
  <c r="DE211" i="48"/>
  <c r="DH210" i="48"/>
  <c r="DE210" i="48"/>
  <c r="DH209" i="48"/>
  <c r="DE209" i="48"/>
  <c r="DH208" i="48"/>
  <c r="DE208" i="48"/>
  <c r="DH207" i="48"/>
  <c r="DE207" i="48"/>
  <c r="DH206" i="48"/>
  <c r="DE206" i="48"/>
  <c r="DH205" i="48"/>
  <c r="DE205" i="48"/>
  <c r="DH204" i="48"/>
  <c r="DE204" i="48"/>
  <c r="DH203" i="48"/>
  <c r="DE203" i="48"/>
  <c r="DH201" i="48"/>
  <c r="DI202" i="48" s="1"/>
  <c r="DE201" i="48"/>
  <c r="DH200" i="48"/>
  <c r="DE200" i="48"/>
  <c r="DH199" i="48"/>
  <c r="DE199" i="48"/>
  <c r="DH198" i="48"/>
  <c r="DE198" i="48"/>
  <c r="DH197" i="48"/>
  <c r="DE197" i="48"/>
  <c r="DH196" i="48"/>
  <c r="DE196" i="48"/>
  <c r="DH195" i="48"/>
  <c r="DE195" i="48"/>
  <c r="DH194" i="48"/>
  <c r="DE194" i="48"/>
  <c r="DH193" i="48"/>
  <c r="DE193" i="48"/>
  <c r="DH192" i="48"/>
  <c r="DE192" i="48"/>
  <c r="DH191" i="48"/>
  <c r="DE191" i="48"/>
  <c r="DH190" i="48"/>
  <c r="DE190" i="48"/>
  <c r="DH189" i="48"/>
  <c r="DE189" i="48"/>
  <c r="DH188" i="48"/>
  <c r="DE188" i="48"/>
  <c r="DH187" i="48"/>
  <c r="DE187" i="48"/>
  <c r="DH186" i="48"/>
  <c r="DE186" i="48"/>
  <c r="DH185" i="48"/>
  <c r="DE185" i="48"/>
  <c r="DH184" i="48"/>
  <c r="DE184" i="48"/>
  <c r="DH183" i="48"/>
  <c r="DE183" i="48"/>
  <c r="DH182" i="48"/>
  <c r="DE182" i="48"/>
  <c r="DH181" i="48"/>
  <c r="DE181" i="48"/>
  <c r="DH180" i="48"/>
  <c r="DE180" i="48"/>
  <c r="DH179" i="48"/>
  <c r="DE179" i="48"/>
  <c r="DH178" i="48"/>
  <c r="DE178" i="48"/>
  <c r="DH176" i="48"/>
  <c r="DI177" i="48" s="1"/>
  <c r="DE176" i="48"/>
  <c r="DH175" i="48"/>
  <c r="DE175" i="48"/>
  <c r="DH174" i="48"/>
  <c r="DE174" i="48"/>
  <c r="DH173" i="48"/>
  <c r="DE173" i="48"/>
  <c r="DH172" i="48"/>
  <c r="DE172" i="48"/>
  <c r="DH171" i="48"/>
  <c r="DE171" i="48"/>
  <c r="DH170" i="48"/>
  <c r="DE170" i="48"/>
  <c r="DH169" i="48"/>
  <c r="DE169" i="48"/>
  <c r="DH168" i="48"/>
  <c r="DE168" i="48"/>
  <c r="DH167" i="48"/>
  <c r="DE167" i="48"/>
  <c r="DH166" i="48"/>
  <c r="DE166" i="48"/>
  <c r="DH165" i="48"/>
  <c r="DE165" i="48"/>
  <c r="DH164" i="48"/>
  <c r="DE164" i="48"/>
  <c r="DH163" i="48"/>
  <c r="DE163" i="48"/>
  <c r="DH162" i="48"/>
  <c r="DE162" i="48"/>
  <c r="DH161" i="48"/>
  <c r="DE161" i="48"/>
  <c r="DH160" i="48"/>
  <c r="DE160" i="48"/>
  <c r="DH159" i="48"/>
  <c r="DE159" i="48"/>
  <c r="DH158" i="48"/>
  <c r="DE158" i="48"/>
  <c r="DH157" i="48"/>
  <c r="DE157" i="48"/>
  <c r="DH156" i="48"/>
  <c r="DE156" i="48"/>
  <c r="DH155" i="48"/>
  <c r="DE155" i="48"/>
  <c r="DH154" i="48"/>
  <c r="DE154" i="48"/>
  <c r="DH153" i="48"/>
  <c r="DE153" i="48"/>
  <c r="DH151" i="48"/>
  <c r="DI152" i="48" s="1"/>
  <c r="DE151" i="48"/>
  <c r="DH150" i="48"/>
  <c r="DE150" i="48"/>
  <c r="DH149" i="48"/>
  <c r="DE149" i="48"/>
  <c r="DH148" i="48"/>
  <c r="DE148" i="48"/>
  <c r="DH147" i="48"/>
  <c r="DE147" i="48"/>
  <c r="DH146" i="48"/>
  <c r="DE146" i="48"/>
  <c r="DH145" i="48"/>
  <c r="DE145" i="48"/>
  <c r="DH144" i="48"/>
  <c r="DE144" i="48"/>
  <c r="DH143" i="48"/>
  <c r="DE143" i="48"/>
  <c r="DH142" i="48"/>
  <c r="DE142" i="48"/>
  <c r="DH141" i="48"/>
  <c r="DE141" i="48"/>
  <c r="DH140" i="48"/>
  <c r="DE140" i="48"/>
  <c r="DH139" i="48"/>
  <c r="DE139" i="48"/>
  <c r="DH138" i="48"/>
  <c r="DE138" i="48"/>
  <c r="DH137" i="48"/>
  <c r="DE137" i="48"/>
  <c r="DH136" i="48"/>
  <c r="DE136" i="48"/>
  <c r="DH135" i="48"/>
  <c r="DE135" i="48"/>
  <c r="DH134" i="48"/>
  <c r="DE134" i="48"/>
  <c r="DH133" i="48"/>
  <c r="DE133" i="48"/>
  <c r="DH132" i="48"/>
  <c r="DE132" i="48"/>
  <c r="DH131" i="48"/>
  <c r="DE131" i="48"/>
  <c r="DH130" i="48"/>
  <c r="DE130" i="48"/>
  <c r="DH129" i="48"/>
  <c r="DE129" i="48"/>
  <c r="DH128" i="48"/>
  <c r="DE128" i="48"/>
  <c r="DH126" i="48"/>
  <c r="DI127" i="48" s="1"/>
  <c r="DE126" i="48"/>
  <c r="DH125" i="48"/>
  <c r="DE125" i="48"/>
  <c r="DH124" i="48"/>
  <c r="DE124" i="48"/>
  <c r="DH123" i="48"/>
  <c r="DE123" i="48"/>
  <c r="DH122" i="48"/>
  <c r="DE122" i="48"/>
  <c r="DH121" i="48"/>
  <c r="DE121" i="48"/>
  <c r="DH120" i="48"/>
  <c r="DE120" i="48"/>
  <c r="DH119" i="48"/>
  <c r="DE119" i="48"/>
  <c r="DH118" i="48"/>
  <c r="DE118" i="48"/>
  <c r="DH117" i="48"/>
  <c r="DE117" i="48"/>
  <c r="DH116" i="48"/>
  <c r="DE116" i="48"/>
  <c r="DH115" i="48"/>
  <c r="DE115" i="48"/>
  <c r="DH114" i="48"/>
  <c r="DE114" i="48"/>
  <c r="DH113" i="48"/>
  <c r="DE113" i="48"/>
  <c r="DH112" i="48"/>
  <c r="DE112" i="48"/>
  <c r="DH111" i="48"/>
  <c r="DE111" i="48"/>
  <c r="DH110" i="48"/>
  <c r="DE110" i="48"/>
  <c r="DH109" i="48"/>
  <c r="DE109" i="48"/>
  <c r="DH108" i="48"/>
  <c r="DE108" i="48"/>
  <c r="DH107" i="48"/>
  <c r="DE107" i="48"/>
  <c r="DH106" i="48"/>
  <c r="DE106" i="48"/>
  <c r="DH105" i="48"/>
  <c r="DE105" i="48"/>
  <c r="DH104" i="48"/>
  <c r="DE104" i="48"/>
  <c r="DH103" i="48"/>
  <c r="DE103" i="48"/>
  <c r="DH101" i="48"/>
  <c r="DI102" i="48" s="1"/>
  <c r="DE101" i="48"/>
  <c r="DH100" i="48"/>
  <c r="DE100" i="48"/>
  <c r="DH99" i="48"/>
  <c r="DE99" i="48"/>
  <c r="DH98" i="48"/>
  <c r="DE98" i="48"/>
  <c r="DH97" i="48"/>
  <c r="DE97" i="48"/>
  <c r="DH96" i="48"/>
  <c r="DE96" i="48"/>
  <c r="DH95" i="48"/>
  <c r="DE95" i="48"/>
  <c r="DH94" i="48"/>
  <c r="DE94" i="48"/>
  <c r="DH93" i="48"/>
  <c r="DE93" i="48"/>
  <c r="DH92" i="48"/>
  <c r="DE92" i="48"/>
  <c r="DH91" i="48"/>
  <c r="DE91" i="48"/>
  <c r="DH90" i="48"/>
  <c r="DE90" i="48"/>
  <c r="DH89" i="48"/>
  <c r="DE89" i="48"/>
  <c r="DH88" i="48"/>
  <c r="DE88" i="48"/>
  <c r="DH87" i="48"/>
  <c r="DE87" i="48"/>
  <c r="DH86" i="48"/>
  <c r="DE86" i="48"/>
  <c r="DH85" i="48"/>
  <c r="DE85" i="48"/>
  <c r="DH84" i="48"/>
  <c r="DE84" i="48"/>
  <c r="DH83" i="48"/>
  <c r="DE83" i="48"/>
  <c r="DH82" i="48"/>
  <c r="DE82" i="48"/>
  <c r="DH81" i="48"/>
  <c r="DE81" i="48"/>
  <c r="DH80" i="48"/>
  <c r="DE80" i="48"/>
  <c r="DH79" i="48"/>
  <c r="DE79" i="48"/>
  <c r="DH78" i="48"/>
  <c r="DE78" i="48"/>
  <c r="DH76" i="48"/>
  <c r="DI77" i="48" s="1"/>
  <c r="DE76" i="48"/>
  <c r="DH75" i="48"/>
  <c r="DE75" i="48"/>
  <c r="DH74" i="48"/>
  <c r="DE74" i="48"/>
  <c r="DH73" i="48"/>
  <c r="DE73" i="48"/>
  <c r="DH72" i="48"/>
  <c r="DE72" i="48"/>
  <c r="DH71" i="48"/>
  <c r="DE71" i="48"/>
  <c r="DH70" i="48"/>
  <c r="DE70" i="48"/>
  <c r="DH69" i="48"/>
  <c r="DE69" i="48"/>
  <c r="DH68" i="48"/>
  <c r="DE68" i="48"/>
  <c r="DH67" i="48"/>
  <c r="DE67" i="48"/>
  <c r="DH66" i="48"/>
  <c r="DE66" i="48"/>
  <c r="DH65" i="48"/>
  <c r="DE65" i="48"/>
  <c r="DH64" i="48"/>
  <c r="DE64" i="48"/>
  <c r="DH63" i="48"/>
  <c r="DE63" i="48"/>
  <c r="DH62" i="48"/>
  <c r="DE62" i="48"/>
  <c r="DH61" i="48"/>
  <c r="DE61" i="48"/>
  <c r="DH60" i="48"/>
  <c r="DE60" i="48"/>
  <c r="DH59" i="48"/>
  <c r="DE59" i="48"/>
  <c r="DH58" i="48"/>
  <c r="DE58" i="48"/>
  <c r="DH57" i="48"/>
  <c r="DE57" i="48"/>
  <c r="DH56" i="48"/>
  <c r="DE56" i="48"/>
  <c r="DH55" i="48"/>
  <c r="DE55" i="48"/>
  <c r="DH54" i="48"/>
  <c r="DE54" i="48"/>
  <c r="DH53" i="48"/>
  <c r="DE53" i="48"/>
  <c r="DH51" i="48"/>
  <c r="DI52" i="48" s="1"/>
  <c r="DE51" i="48"/>
  <c r="DH50" i="48"/>
  <c r="DE50" i="48"/>
  <c r="DH49" i="48"/>
  <c r="DE49" i="48"/>
  <c r="DH48" i="48"/>
  <c r="DE48" i="48"/>
  <c r="DH47" i="48"/>
  <c r="DE47" i="48"/>
  <c r="DH46" i="48"/>
  <c r="DE46" i="48"/>
  <c r="DH45" i="48"/>
  <c r="DE45" i="48"/>
  <c r="DH44" i="48"/>
  <c r="DE44" i="48"/>
  <c r="DH43" i="48"/>
  <c r="DE43" i="48"/>
  <c r="DH42" i="48"/>
  <c r="DE42" i="48"/>
  <c r="DH41" i="48"/>
  <c r="DE41" i="48"/>
  <c r="DH40" i="48"/>
  <c r="DE40" i="48"/>
  <c r="DH39" i="48"/>
  <c r="DE39" i="48"/>
  <c r="DH38" i="48"/>
  <c r="DE38" i="48"/>
  <c r="DH37" i="48"/>
  <c r="DE37" i="48"/>
  <c r="DH36" i="48"/>
  <c r="DE36" i="48"/>
  <c r="DH35" i="48"/>
  <c r="DE35" i="48"/>
  <c r="DH34" i="48"/>
  <c r="DE34" i="48"/>
  <c r="DH33" i="48"/>
  <c r="DE33" i="48"/>
  <c r="DH32" i="48"/>
  <c r="DE32" i="48"/>
  <c r="DH31" i="48"/>
  <c r="DE31" i="48"/>
  <c r="DH30" i="48"/>
  <c r="DE30" i="48"/>
  <c r="DH29" i="48"/>
  <c r="DE29" i="48"/>
  <c r="DH28" i="48"/>
  <c r="DE28" i="48"/>
  <c r="R1227" i="48"/>
  <c r="R1352" i="48"/>
  <c r="K1352" i="48"/>
  <c r="R1327" i="48"/>
  <c r="K1327" i="48"/>
  <c r="R1302" i="48"/>
  <c r="K1302" i="48"/>
  <c r="R1277" i="48"/>
  <c r="K1277" i="48"/>
  <c r="R1252" i="48"/>
  <c r="K1252" i="48"/>
  <c r="K1227" i="48"/>
  <c r="R1202" i="48"/>
  <c r="K1202" i="48"/>
  <c r="R1177" i="48"/>
  <c r="K1177" i="48"/>
  <c r="R1152" i="48"/>
  <c r="K1152" i="48"/>
  <c r="R1127" i="48"/>
  <c r="K1127" i="48"/>
  <c r="R1102" i="48"/>
  <c r="K1102" i="48"/>
  <c r="R1077" i="48"/>
  <c r="K1077" i="48"/>
  <c r="R1052" i="48"/>
  <c r="K1052" i="48"/>
  <c r="R1027" i="48"/>
  <c r="K1027" i="48"/>
  <c r="R1002" i="48"/>
  <c r="K1002" i="48"/>
  <c r="R977" i="48"/>
  <c r="K977" i="48"/>
  <c r="R952" i="48"/>
  <c r="K952" i="48"/>
  <c r="R927" i="48"/>
  <c r="K927" i="48"/>
  <c r="R902" i="48"/>
  <c r="K902" i="48"/>
  <c r="R877" i="48"/>
  <c r="K877" i="48"/>
  <c r="R852" i="48"/>
  <c r="K852" i="48"/>
  <c r="R827" i="48"/>
  <c r="K827" i="48"/>
  <c r="R802" i="48"/>
  <c r="K802" i="48"/>
  <c r="R777" i="48"/>
  <c r="K777" i="48"/>
  <c r="R752" i="48"/>
  <c r="K752" i="48"/>
  <c r="R727" i="48"/>
  <c r="K727" i="48"/>
  <c r="R702" i="48"/>
  <c r="K702" i="48"/>
  <c r="R677" i="48"/>
  <c r="K677" i="48"/>
  <c r="R652" i="48"/>
  <c r="K652" i="48"/>
  <c r="R627" i="48"/>
  <c r="K627" i="48"/>
  <c r="R602" i="48"/>
  <c r="K602" i="48"/>
  <c r="R577" i="48"/>
  <c r="K577" i="48"/>
  <c r="R552" i="48"/>
  <c r="K552" i="48"/>
  <c r="R527" i="48"/>
  <c r="K527" i="48"/>
  <c r="R502" i="48"/>
  <c r="K502" i="48"/>
  <c r="R477" i="48"/>
  <c r="K477" i="48"/>
  <c r="R452" i="48"/>
  <c r="K452" i="48"/>
  <c r="R427" i="48"/>
  <c r="K427" i="48"/>
  <c r="R402" i="48"/>
  <c r="K402" i="48"/>
  <c r="R377" i="48"/>
  <c r="K377" i="48"/>
  <c r="R352" i="48"/>
  <c r="K352" i="48"/>
  <c r="R327" i="48"/>
  <c r="K327" i="48"/>
  <c r="R302" i="48"/>
  <c r="K302" i="48"/>
  <c r="R252" i="48"/>
  <c r="K252" i="48"/>
  <c r="R227" i="48"/>
  <c r="K227" i="48"/>
  <c r="R202" i="48"/>
  <c r="K202" i="48"/>
  <c r="R177" i="48"/>
  <c r="K177" i="48"/>
  <c r="R152" i="48"/>
  <c r="K152" i="48"/>
  <c r="R127" i="48"/>
  <c r="K127" i="48"/>
  <c r="R102" i="48"/>
  <c r="K102" i="48"/>
  <c r="R77" i="48"/>
  <c r="K77" i="48"/>
  <c r="R52" i="48"/>
  <c r="R27" i="48"/>
  <c r="K27" i="48"/>
  <c r="DI661" i="48" l="1"/>
  <c r="DI665" i="48"/>
  <c r="DI669" i="48"/>
  <c r="DI757" i="48"/>
  <c r="DI1087" i="48"/>
  <c r="DI1091" i="48"/>
  <c r="DI907" i="48"/>
  <c r="DI874" i="48"/>
  <c r="DI884" i="48"/>
  <c r="DI892" i="48"/>
  <c r="DI900" i="48"/>
  <c r="DI974" i="48"/>
  <c r="DI996" i="48"/>
  <c r="DI1032" i="48"/>
  <c r="DI761" i="48"/>
  <c r="DI765" i="48"/>
  <c r="DI769" i="48"/>
  <c r="DI773" i="48"/>
  <c r="DI917" i="48"/>
  <c r="DI32" i="48"/>
  <c r="DI74" i="48"/>
  <c r="DI184" i="48"/>
  <c r="DI188" i="48"/>
  <c r="DI192" i="48"/>
  <c r="DI196" i="48"/>
  <c r="DI200" i="48"/>
  <c r="DI222" i="48"/>
  <c r="DI232" i="48"/>
  <c r="DI274" i="48"/>
  <c r="DI284" i="48"/>
  <c r="DI288" i="48"/>
  <c r="DI292" i="48"/>
  <c r="DI296" i="48"/>
  <c r="DI300" i="48"/>
  <c r="DI332" i="48"/>
  <c r="DI362" i="48"/>
  <c r="DI366" i="48"/>
  <c r="DI370" i="48"/>
  <c r="DI374" i="48"/>
  <c r="DI462" i="48"/>
  <c r="DI466" i="48"/>
  <c r="DI470" i="48"/>
  <c r="DI474" i="48"/>
  <c r="DI484" i="48"/>
  <c r="DI488" i="48"/>
  <c r="DI492" i="48"/>
  <c r="DI496" i="48"/>
  <c r="DI500" i="48"/>
  <c r="DI532" i="48"/>
  <c r="DI584" i="48"/>
  <c r="DI588" i="48"/>
  <c r="DI592" i="48"/>
  <c r="DI596" i="48"/>
  <c r="DI600" i="48"/>
  <c r="DI632" i="48"/>
  <c r="DI662" i="48"/>
  <c r="DI666" i="48"/>
  <c r="DI670" i="48"/>
  <c r="DI674" i="48"/>
  <c r="DI762" i="48"/>
  <c r="DI770" i="48"/>
  <c r="DI784" i="48"/>
  <c r="DI792" i="48"/>
  <c r="DI800" i="48"/>
  <c r="DI858" i="48"/>
  <c r="DI862" i="48"/>
  <c r="DI1040" i="48"/>
  <c r="DI361" i="48"/>
  <c r="DI365" i="48"/>
  <c r="DI369" i="48"/>
  <c r="DI373" i="48"/>
  <c r="DI425" i="48"/>
  <c r="DI461" i="48"/>
  <c r="DI465" i="48"/>
  <c r="DI469" i="48"/>
  <c r="DI473" i="48"/>
  <c r="DI595" i="48"/>
  <c r="DI959" i="48"/>
  <c r="DI967" i="48"/>
  <c r="DI1007" i="48"/>
  <c r="DI1011" i="48"/>
  <c r="DI1015" i="48"/>
  <c r="DI1019" i="48"/>
  <c r="DI1023" i="48"/>
  <c r="DI1048" i="48"/>
  <c r="DI1088" i="48"/>
  <c r="DI1092" i="48"/>
  <c r="DI1096" i="48"/>
  <c r="DI1107" i="48"/>
  <c r="DI1111" i="48"/>
  <c r="DI1119" i="48"/>
  <c r="DI1132" i="48"/>
  <c r="DI1158" i="48"/>
  <c r="DI1345" i="48"/>
  <c r="DI43" i="48"/>
  <c r="DI46" i="48"/>
  <c r="DI108" i="48"/>
  <c r="DI112" i="48"/>
  <c r="DI124" i="48"/>
  <c r="DI134" i="48"/>
  <c r="DI138" i="48"/>
  <c r="DI142" i="48"/>
  <c r="DI146" i="48"/>
  <c r="DI150" i="48"/>
  <c r="DI182" i="48"/>
  <c r="DI334" i="48"/>
  <c r="DI338" i="48"/>
  <c r="DI342" i="48"/>
  <c r="DI346" i="48"/>
  <c r="DI350" i="48"/>
  <c r="DI408" i="48"/>
  <c r="DI412" i="48"/>
  <c r="DI416" i="48"/>
  <c r="DI924" i="48"/>
  <c r="DI934" i="48"/>
  <c r="DI942" i="48"/>
  <c r="DI950" i="48"/>
  <c r="DI1034" i="48"/>
  <c r="DI1042" i="48"/>
  <c r="DI1050" i="48"/>
  <c r="DI1064" i="48"/>
  <c r="DI1068" i="48"/>
  <c r="DI1072" i="48"/>
  <c r="DI1094" i="48"/>
  <c r="DI1098" i="48"/>
  <c r="DI1346" i="48"/>
  <c r="DI511" i="48"/>
  <c r="DI515" i="48"/>
  <c r="DI519" i="48"/>
  <c r="DI523" i="48"/>
  <c r="DI63" i="48"/>
  <c r="DI71" i="48"/>
  <c r="DI259" i="48"/>
  <c r="DI263" i="48"/>
  <c r="DI267" i="48"/>
  <c r="DI271" i="48"/>
  <c r="DI59" i="48"/>
  <c r="DI67" i="48"/>
  <c r="DI434" i="48"/>
  <c r="DI438" i="48"/>
  <c r="DI442" i="48"/>
  <c r="DI446" i="48"/>
  <c r="DI450" i="48"/>
  <c r="DI512" i="48"/>
  <c r="DI534" i="48"/>
  <c r="DI538" i="48"/>
  <c r="DI542" i="48"/>
  <c r="DI546" i="48"/>
  <c r="DI550" i="48"/>
  <c r="DI582" i="48"/>
  <c r="DI634" i="48"/>
  <c r="DI963" i="48"/>
  <c r="DI971" i="48"/>
  <c r="DI1038" i="48"/>
  <c r="DI1046" i="48"/>
  <c r="DI1059" i="48"/>
  <c r="DI1063" i="48"/>
  <c r="DI1067" i="48"/>
  <c r="DI1071" i="48"/>
  <c r="DI1075" i="48"/>
  <c r="DI1137" i="48"/>
  <c r="DI1182" i="48"/>
  <c r="DI1207" i="48"/>
  <c r="DI1212" i="48"/>
  <c r="DI1220" i="48"/>
  <c r="DI1237" i="48"/>
  <c r="DI1241" i="48"/>
  <c r="DI1245" i="48"/>
  <c r="DI1249" i="48"/>
  <c r="DI1259" i="48"/>
  <c r="DI1267" i="48"/>
  <c r="DI1275" i="48"/>
  <c r="DI1286" i="48"/>
  <c r="DI1290" i="48"/>
  <c r="DI1294" i="48"/>
  <c r="DI1298" i="48"/>
  <c r="DI1333" i="48"/>
  <c r="DI1341" i="48"/>
  <c r="DI1349" i="48"/>
  <c r="DI641" i="48"/>
  <c r="DI645" i="48"/>
  <c r="DI867" i="48"/>
  <c r="DI34" i="48"/>
  <c r="DI38" i="48"/>
  <c r="DI42" i="48"/>
  <c r="DI83" i="48"/>
  <c r="DI99" i="48"/>
  <c r="DI157" i="48"/>
  <c r="DI209" i="48"/>
  <c r="DI213" i="48"/>
  <c r="DI217" i="48"/>
  <c r="DI221" i="48"/>
  <c r="DI225" i="48"/>
  <c r="DI283" i="48"/>
  <c r="DI291" i="48"/>
  <c r="DI299" i="48"/>
  <c r="DI309" i="48"/>
  <c r="DI313" i="48"/>
  <c r="DI317" i="48"/>
  <c r="DI321" i="48"/>
  <c r="DI325" i="48"/>
  <c r="DI420" i="48"/>
  <c r="DI932" i="48"/>
  <c r="DI936" i="48"/>
  <c r="DI940" i="48"/>
  <c r="DI944" i="48"/>
  <c r="DI962" i="48"/>
  <c r="DI966" i="48"/>
  <c r="DI970" i="48"/>
  <c r="DI1035" i="48"/>
  <c r="DI1057" i="48"/>
  <c r="DI1066" i="48"/>
  <c r="DI1070" i="48"/>
  <c r="DI1084" i="48"/>
  <c r="DI1100" i="48"/>
  <c r="DI1113" i="48"/>
  <c r="DI1117" i="48"/>
  <c r="DI1125" i="48"/>
  <c r="DI1136" i="48"/>
  <c r="DI1140" i="48"/>
  <c r="DI1157" i="48"/>
  <c r="DI1209" i="48"/>
  <c r="DI1213" i="48"/>
  <c r="DI1217" i="48"/>
  <c r="DI1221" i="48"/>
  <c r="DI1225" i="48"/>
  <c r="DI1262" i="48"/>
  <c r="DI1291" i="48"/>
  <c r="DI1299" i="48"/>
  <c r="DI1309" i="48"/>
  <c r="DI1317" i="48"/>
  <c r="DI1325" i="48"/>
  <c r="DI638" i="48"/>
  <c r="DI642" i="48"/>
  <c r="DI646" i="48"/>
  <c r="DI650" i="48"/>
  <c r="DI708" i="48"/>
  <c r="DI712" i="48"/>
  <c r="DI716" i="48"/>
  <c r="DI720" i="48"/>
  <c r="DI724" i="48"/>
  <c r="DI734" i="48"/>
  <c r="DI738" i="48"/>
  <c r="DI742" i="48"/>
  <c r="DI746" i="48"/>
  <c r="DI782" i="48"/>
  <c r="DI808" i="48"/>
  <c r="DI812" i="48"/>
  <c r="DI816" i="48"/>
  <c r="DI820" i="48"/>
  <c r="DI824" i="48"/>
  <c r="DI834" i="48"/>
  <c r="DI842" i="48"/>
  <c r="DI850" i="48"/>
  <c r="DI908" i="48"/>
  <c r="DI347" i="48"/>
  <c r="DI357" i="48"/>
  <c r="DI383" i="48"/>
  <c r="DI387" i="48"/>
  <c r="DI392" i="48"/>
  <c r="DI396" i="48"/>
  <c r="DI399" i="48"/>
  <c r="DI409" i="48"/>
  <c r="DI417" i="48"/>
  <c r="DI432" i="48"/>
  <c r="DI436" i="48"/>
  <c r="DI440" i="48"/>
  <c r="DI444" i="48"/>
  <c r="DI448" i="48"/>
  <c r="DI457" i="48"/>
  <c r="DI517" i="48"/>
  <c r="DI521" i="48"/>
  <c r="DI525" i="48"/>
  <c r="DI539" i="48"/>
  <c r="DI543" i="48"/>
  <c r="DI547" i="48"/>
  <c r="DI558" i="48"/>
  <c r="DI562" i="48"/>
  <c r="DI566" i="48"/>
  <c r="DI570" i="48"/>
  <c r="DI609" i="48"/>
  <c r="DI613" i="48"/>
  <c r="DI617" i="48"/>
  <c r="DI621" i="48"/>
  <c r="DI625" i="48"/>
  <c r="DI639" i="48"/>
  <c r="DI647" i="48"/>
  <c r="DI657" i="48"/>
  <c r="DI683" i="48"/>
  <c r="DI687" i="48"/>
  <c r="DI691" i="48"/>
  <c r="DI695" i="48"/>
  <c r="DI699" i="48"/>
  <c r="DI737" i="48"/>
  <c r="DI745" i="48"/>
  <c r="DI787" i="48"/>
  <c r="DI791" i="48"/>
  <c r="DI795" i="48"/>
  <c r="DI799" i="48"/>
  <c r="DI813" i="48"/>
  <c r="DI821" i="48"/>
  <c r="DI92" i="48"/>
  <c r="DI132" i="48"/>
  <c r="DI140" i="48"/>
  <c r="DI148" i="48"/>
  <c r="DI117" i="48"/>
  <c r="DI121" i="48"/>
  <c r="DI195" i="48"/>
  <c r="DI88" i="48"/>
  <c r="DI96" i="48"/>
  <c r="DI136" i="48"/>
  <c r="DI144" i="48"/>
  <c r="DI236" i="48"/>
  <c r="DI47" i="48"/>
  <c r="DI159" i="48"/>
  <c r="DI163" i="48"/>
  <c r="DI167" i="48"/>
  <c r="DI171" i="48"/>
  <c r="DI175" i="48"/>
  <c r="DI185" i="48"/>
  <c r="DI207" i="48"/>
  <c r="DI212" i="48"/>
  <c r="DI216" i="48"/>
  <c r="DI220" i="48"/>
  <c r="DI224" i="48"/>
  <c r="DI237" i="48"/>
  <c r="DI242" i="48"/>
  <c r="DI246" i="48"/>
  <c r="DI249" i="48"/>
  <c r="DI287" i="48"/>
  <c r="DI295" i="48"/>
  <c r="DI307" i="48"/>
  <c r="DI320" i="48"/>
  <c r="DI413" i="48"/>
  <c r="DI421" i="48"/>
  <c r="DI482" i="48"/>
  <c r="DI486" i="48"/>
  <c r="DI490" i="48"/>
  <c r="DI494" i="48"/>
  <c r="DI498" i="48"/>
  <c r="DI507" i="48"/>
  <c r="DI559" i="48"/>
  <c r="DI563" i="48"/>
  <c r="DI567" i="48"/>
  <c r="DI571" i="48"/>
  <c r="DI575" i="48"/>
  <c r="DI589" i="48"/>
  <c r="DI597" i="48"/>
  <c r="DI608" i="48"/>
  <c r="DI612" i="48"/>
  <c r="DI619" i="48"/>
  <c r="DI733" i="48"/>
  <c r="DI741" i="48"/>
  <c r="DI750" i="48"/>
  <c r="DI759" i="48"/>
  <c r="DI763" i="48"/>
  <c r="DI767" i="48"/>
  <c r="DI771" i="48"/>
  <c r="DI775" i="48"/>
  <c r="DI786" i="48"/>
  <c r="DI790" i="48"/>
  <c r="DI794" i="48"/>
  <c r="DI798" i="48"/>
  <c r="DI807" i="48"/>
  <c r="DI833" i="48"/>
  <c r="DI838" i="48"/>
  <c r="DI846" i="48"/>
  <c r="DI849" i="48"/>
  <c r="DI863" i="48"/>
  <c r="DI871" i="48"/>
  <c r="DI882" i="48"/>
  <c r="DI886" i="48"/>
  <c r="DI890" i="48"/>
  <c r="DI937" i="48"/>
  <c r="DI982" i="48"/>
  <c r="DI986" i="48"/>
  <c r="DI994" i="48"/>
  <c r="DI1039" i="48"/>
  <c r="DI1083" i="48"/>
  <c r="DI1093" i="48"/>
  <c r="DI1109" i="48"/>
  <c r="DI1208" i="48"/>
  <c r="DI1238" i="48"/>
  <c r="DI1242" i="48"/>
  <c r="DI1246" i="48"/>
  <c r="DI1250" i="48"/>
  <c r="DI1282" i="48"/>
  <c r="DI1312" i="48"/>
  <c r="DI1320" i="48"/>
  <c r="DI1338" i="48"/>
  <c r="DI948" i="48"/>
  <c r="DI988" i="48"/>
  <c r="DI1043" i="48"/>
  <c r="DI1097" i="48"/>
  <c r="DI1112" i="48"/>
  <c r="DI1120" i="48"/>
  <c r="DI857" i="48"/>
  <c r="DI883" i="48"/>
  <c r="DI887" i="48"/>
  <c r="DI891" i="48"/>
  <c r="DI895" i="48"/>
  <c r="DI899" i="48"/>
  <c r="DI913" i="48"/>
  <c r="DI921" i="48"/>
  <c r="DI987" i="48"/>
  <c r="DI995" i="48"/>
  <c r="DI1009" i="48"/>
  <c r="DI1013" i="48"/>
  <c r="DI1017" i="48"/>
  <c r="DI1021" i="48"/>
  <c r="DI1025" i="48"/>
  <c r="DI1047" i="48"/>
  <c r="DI1134" i="48"/>
  <c r="DI1138" i="48"/>
  <c r="DI1142" i="48"/>
  <c r="DI1146" i="48"/>
  <c r="DI1150" i="48"/>
  <c r="DI1163" i="48"/>
  <c r="DI1167" i="48"/>
  <c r="DI1170" i="48"/>
  <c r="DI1174" i="48"/>
  <c r="DI1184" i="48"/>
  <c r="DI1188" i="48"/>
  <c r="DI1192" i="48"/>
  <c r="DI1196" i="48"/>
  <c r="DI1200" i="48"/>
  <c r="DI1210" i="48"/>
  <c r="DI1218" i="48"/>
  <c r="DI1232" i="48"/>
  <c r="DI1263" i="48"/>
  <c r="DI1274" i="48"/>
  <c r="DI1288" i="48"/>
  <c r="DI1296" i="48"/>
  <c r="DI1332" i="48"/>
  <c r="DI36" i="48"/>
  <c r="DI84" i="48"/>
  <c r="DI371" i="48"/>
  <c r="DI400" i="48"/>
  <c r="DI458" i="48"/>
  <c r="DI459" i="48"/>
  <c r="DI1049" i="48"/>
  <c r="DI33" i="48"/>
  <c r="DI41" i="48"/>
  <c r="DI44" i="48"/>
  <c r="DI45" i="48"/>
  <c r="DI48" i="48"/>
  <c r="DI49" i="48"/>
  <c r="DI60" i="48"/>
  <c r="DI62" i="48"/>
  <c r="DI68" i="48"/>
  <c r="DI70" i="48"/>
  <c r="DI82" i="48"/>
  <c r="DI89" i="48"/>
  <c r="DI91" i="48"/>
  <c r="DI97" i="48"/>
  <c r="DI98" i="48"/>
  <c r="DI110" i="48"/>
  <c r="DI111" i="48"/>
  <c r="DI118" i="48"/>
  <c r="DI120" i="48"/>
  <c r="DI133" i="48"/>
  <c r="DI141" i="48"/>
  <c r="DI149" i="48"/>
  <c r="DI162" i="48"/>
  <c r="DI170" i="48"/>
  <c r="DI183" i="48"/>
  <c r="DI191" i="48"/>
  <c r="DI199" i="48"/>
  <c r="DI243" i="48"/>
  <c r="DI245" i="48"/>
  <c r="DI258" i="48"/>
  <c r="DI264" i="48"/>
  <c r="DI266" i="48"/>
  <c r="DI272" i="48"/>
  <c r="DI273" i="48"/>
  <c r="DI308" i="48"/>
  <c r="DI316" i="48"/>
  <c r="DI324" i="48"/>
  <c r="DI337" i="48"/>
  <c r="DI345" i="48"/>
  <c r="DI382" i="48"/>
  <c r="DI389" i="48"/>
  <c r="DI391" i="48"/>
  <c r="DI397" i="48"/>
  <c r="DI398" i="48"/>
  <c r="DI433" i="48"/>
  <c r="DI441" i="48"/>
  <c r="DI449" i="48"/>
  <c r="DI487" i="48"/>
  <c r="DI495" i="48"/>
  <c r="DI533" i="48"/>
  <c r="DI560" i="48"/>
  <c r="DI564" i="48"/>
  <c r="DI568" i="48"/>
  <c r="DI590" i="48"/>
  <c r="DI598" i="48"/>
  <c r="DI721" i="48"/>
  <c r="DI1144" i="48"/>
  <c r="DI1175" i="48"/>
  <c r="DI35" i="48"/>
  <c r="DI113" i="48"/>
  <c r="DI164" i="48"/>
  <c r="DI172" i="48"/>
  <c r="DI186" i="48"/>
  <c r="DI193" i="48"/>
  <c r="DI214" i="48"/>
  <c r="DI238" i="48"/>
  <c r="DI275" i="48"/>
  <c r="DI310" i="48"/>
  <c r="DI339" i="48"/>
  <c r="DI348" i="48"/>
  <c r="DI467" i="48"/>
  <c r="DI513" i="48"/>
  <c r="DI535" i="48"/>
  <c r="DI684" i="48"/>
  <c r="DI896" i="48"/>
  <c r="DI1033" i="48"/>
  <c r="DI1095" i="48"/>
  <c r="DI39" i="48"/>
  <c r="DI40" i="48"/>
  <c r="DI75" i="48"/>
  <c r="DI109" i="48"/>
  <c r="DI125" i="48"/>
  <c r="DI160" i="48"/>
  <c r="DI161" i="48"/>
  <c r="DI168" i="48"/>
  <c r="DI169" i="48"/>
  <c r="DI189" i="48"/>
  <c r="DI190" i="48"/>
  <c r="DI197" i="48"/>
  <c r="DI198" i="48"/>
  <c r="DI210" i="48"/>
  <c r="DI218" i="48"/>
  <c r="DI233" i="48"/>
  <c r="DI234" i="48"/>
  <c r="DI250" i="48"/>
  <c r="DI314" i="48"/>
  <c r="DI315" i="48"/>
  <c r="DI322" i="48"/>
  <c r="DI323" i="48"/>
  <c r="DI335" i="48"/>
  <c r="DI336" i="48"/>
  <c r="DI343" i="48"/>
  <c r="DI344" i="48"/>
  <c r="DI358" i="48"/>
  <c r="DI359" i="48"/>
  <c r="DI367" i="48"/>
  <c r="DI375" i="48"/>
  <c r="DI388" i="48"/>
  <c r="DI463" i="48"/>
  <c r="DI471" i="48"/>
  <c r="DI508" i="48"/>
  <c r="DI509" i="48"/>
  <c r="DI671" i="48"/>
  <c r="DI692" i="48"/>
  <c r="DI796" i="48"/>
  <c r="DI817" i="48"/>
  <c r="DI888" i="48"/>
  <c r="DI909" i="48"/>
  <c r="DI925" i="48"/>
  <c r="DI938" i="48"/>
  <c r="DI975" i="48"/>
  <c r="DI1036" i="48"/>
  <c r="DI1037" i="48"/>
  <c r="DI1044" i="48"/>
  <c r="DI1045" i="48"/>
  <c r="DI100" i="48"/>
  <c r="DI165" i="48"/>
  <c r="DI173" i="48"/>
  <c r="DI311" i="48"/>
  <c r="DI318" i="48"/>
  <c r="DI340" i="48"/>
  <c r="DI363" i="48"/>
  <c r="DI384" i="48"/>
  <c r="DI475" i="48"/>
  <c r="DI663" i="48"/>
  <c r="DI700" i="48"/>
  <c r="DI788" i="48"/>
  <c r="DI809" i="48"/>
  <c r="DI825" i="48"/>
  <c r="DI1041" i="48"/>
  <c r="DI1121" i="48"/>
  <c r="DI37" i="48"/>
  <c r="DI58" i="48"/>
  <c r="DI64" i="48"/>
  <c r="DI66" i="48"/>
  <c r="DI72" i="48"/>
  <c r="DI73" i="48"/>
  <c r="DI85" i="48"/>
  <c r="DI87" i="48"/>
  <c r="DI93" i="48"/>
  <c r="DI95" i="48"/>
  <c r="DI107" i="48"/>
  <c r="DI114" i="48"/>
  <c r="DI116" i="48"/>
  <c r="DI122" i="48"/>
  <c r="DI123" i="48"/>
  <c r="DI137" i="48"/>
  <c r="DI145" i="48"/>
  <c r="DI158" i="48"/>
  <c r="DI166" i="48"/>
  <c r="DI174" i="48"/>
  <c r="DI187" i="48"/>
  <c r="DI208" i="48"/>
  <c r="DI239" i="48"/>
  <c r="DI241" i="48"/>
  <c r="DI247" i="48"/>
  <c r="DI248" i="48"/>
  <c r="DI260" i="48"/>
  <c r="DI262" i="48"/>
  <c r="DI268" i="48"/>
  <c r="DI270" i="48"/>
  <c r="DI282" i="48"/>
  <c r="DI285" i="48"/>
  <c r="DI286" i="48"/>
  <c r="DI289" i="48"/>
  <c r="DI290" i="48"/>
  <c r="DI293" i="48"/>
  <c r="DI294" i="48"/>
  <c r="DI297" i="48"/>
  <c r="DI298" i="48"/>
  <c r="DI312" i="48"/>
  <c r="DI333" i="48"/>
  <c r="DI341" i="48"/>
  <c r="DI349" i="48"/>
  <c r="DI385" i="48"/>
  <c r="DI386" i="48"/>
  <c r="DI393" i="48"/>
  <c r="DI395" i="48"/>
  <c r="DI407" i="48"/>
  <c r="DI410" i="48"/>
  <c r="DI411" i="48"/>
  <c r="DI414" i="48"/>
  <c r="DI415" i="48"/>
  <c r="DI418" i="48"/>
  <c r="DI419" i="48"/>
  <c r="DI422" i="48"/>
  <c r="DI424" i="48"/>
  <c r="DI437" i="48"/>
  <c r="DI445" i="48"/>
  <c r="DI483" i="48"/>
  <c r="DI491" i="48"/>
  <c r="DI499" i="48"/>
  <c r="DI520" i="48"/>
  <c r="DI536" i="48"/>
  <c r="DI540" i="48"/>
  <c r="DI544" i="48"/>
  <c r="DI548" i="48"/>
  <c r="DI610" i="48"/>
  <c r="DI618" i="48"/>
  <c r="DI648" i="48"/>
  <c r="DI713" i="48"/>
  <c r="DI859" i="48"/>
  <c r="DI875" i="48"/>
  <c r="DI990" i="48"/>
  <c r="DI998" i="48"/>
  <c r="DI1073" i="48"/>
  <c r="DI516" i="48"/>
  <c r="DI524" i="48"/>
  <c r="DI537" i="48"/>
  <c r="DI545" i="48"/>
  <c r="DI574" i="48"/>
  <c r="DI587" i="48"/>
  <c r="DI616" i="48"/>
  <c r="DI624" i="48"/>
  <c r="DI637" i="48"/>
  <c r="DI682" i="48"/>
  <c r="DI689" i="48"/>
  <c r="DI690" i="48"/>
  <c r="DI697" i="48"/>
  <c r="DI698" i="48"/>
  <c r="DI710" i="48"/>
  <c r="DI711" i="48"/>
  <c r="DI718" i="48"/>
  <c r="DI719" i="48"/>
  <c r="DI732" i="48"/>
  <c r="DI735" i="48"/>
  <c r="DI736" i="48"/>
  <c r="DI739" i="48"/>
  <c r="DI740" i="48"/>
  <c r="DI743" i="48"/>
  <c r="DI744" i="48"/>
  <c r="DI747" i="48"/>
  <c r="DI749" i="48"/>
  <c r="DI814" i="48"/>
  <c r="DI815" i="48"/>
  <c r="DI822" i="48"/>
  <c r="DI823" i="48"/>
  <c r="DI835" i="48"/>
  <c r="DI837" i="48"/>
  <c r="DI843" i="48"/>
  <c r="DI845" i="48"/>
  <c r="DI864" i="48"/>
  <c r="DI866" i="48"/>
  <c r="DI872" i="48"/>
  <c r="DI873" i="48"/>
  <c r="DI893" i="48"/>
  <c r="DI894" i="48"/>
  <c r="DI914" i="48"/>
  <c r="DI916" i="48"/>
  <c r="DI922" i="48"/>
  <c r="DI923" i="48"/>
  <c r="DI947" i="48"/>
  <c r="DI958" i="48"/>
  <c r="DI968" i="48"/>
  <c r="DI972" i="48"/>
  <c r="DI973" i="48"/>
  <c r="DI1020" i="48"/>
  <c r="DI1061" i="48"/>
  <c r="DI1086" i="48"/>
  <c r="DI1115" i="48"/>
  <c r="DI1148" i="48"/>
  <c r="DI1186" i="48"/>
  <c r="DI1190" i="48"/>
  <c r="DI1194" i="48"/>
  <c r="DI1198" i="48"/>
  <c r="DI572" i="48"/>
  <c r="DI573" i="48"/>
  <c r="DI585" i="48"/>
  <c r="DI586" i="48"/>
  <c r="DI593" i="48"/>
  <c r="DI614" i="48"/>
  <c r="DI615" i="48"/>
  <c r="DI622" i="48"/>
  <c r="DI623" i="48"/>
  <c r="DI635" i="48"/>
  <c r="DI636" i="48"/>
  <c r="DI643" i="48"/>
  <c r="DI658" i="48"/>
  <c r="DI659" i="48"/>
  <c r="DI667" i="48"/>
  <c r="DI675" i="48"/>
  <c r="DI688" i="48"/>
  <c r="DI696" i="48"/>
  <c r="DI709" i="48"/>
  <c r="DI717" i="48"/>
  <c r="DI725" i="48"/>
  <c r="DI783" i="48"/>
  <c r="DI945" i="48"/>
  <c r="DI946" i="48"/>
  <c r="DI1060" i="48"/>
  <c r="DI1099" i="48"/>
  <c r="DI1171" i="48"/>
  <c r="DI1233" i="48"/>
  <c r="DI541" i="48"/>
  <c r="DI549" i="48"/>
  <c r="DI583" i="48"/>
  <c r="DI591" i="48"/>
  <c r="DI599" i="48"/>
  <c r="DI620" i="48"/>
  <c r="DI633" i="48"/>
  <c r="DI649" i="48"/>
  <c r="DI672" i="48"/>
  <c r="DI673" i="48"/>
  <c r="DI685" i="48"/>
  <c r="DI686" i="48"/>
  <c r="DI693" i="48"/>
  <c r="DI694" i="48"/>
  <c r="DI707" i="48"/>
  <c r="DI714" i="48"/>
  <c r="DI715" i="48"/>
  <c r="DI722" i="48"/>
  <c r="DI723" i="48"/>
  <c r="DI758" i="48"/>
  <c r="DI766" i="48"/>
  <c r="DI774" i="48"/>
  <c r="DI810" i="48"/>
  <c r="DI811" i="48"/>
  <c r="DI818" i="48"/>
  <c r="DI819" i="48"/>
  <c r="DI832" i="48"/>
  <c r="DI839" i="48"/>
  <c r="DI841" i="48"/>
  <c r="DI847" i="48"/>
  <c r="DI848" i="48"/>
  <c r="DI960" i="48"/>
  <c r="DI964" i="48"/>
  <c r="DI983" i="48"/>
  <c r="DI984" i="48"/>
  <c r="DI991" i="48"/>
  <c r="DI992" i="48"/>
  <c r="DI999" i="48"/>
  <c r="DI1000" i="48"/>
  <c r="DI1012" i="48"/>
  <c r="DI1058" i="48"/>
  <c r="DI1074" i="48"/>
  <c r="DI1082" i="48"/>
  <c r="DI1090" i="48"/>
  <c r="DI1123" i="48"/>
  <c r="DI1159" i="48"/>
  <c r="DI1145" i="48"/>
  <c r="DI1164" i="48"/>
  <c r="DI1166" i="48"/>
  <c r="DI1172" i="48"/>
  <c r="DI1173" i="48"/>
  <c r="DI1187" i="48"/>
  <c r="DI1195" i="48"/>
  <c r="DI1260" i="48"/>
  <c r="DI1268" i="48"/>
  <c r="DI1269" i="48"/>
  <c r="DI1283" i="48"/>
  <c r="DI1284" i="48"/>
  <c r="DI1292" i="48"/>
  <c r="DI1300" i="48"/>
  <c r="DI1313" i="48"/>
  <c r="DI1321" i="48"/>
  <c r="DI1334" i="48"/>
  <c r="DI1342" i="48"/>
  <c r="DI1350" i="48"/>
  <c r="DI1214" i="48"/>
  <c r="DI1216" i="48"/>
  <c r="DI1222" i="48"/>
  <c r="DI1224" i="48"/>
  <c r="DI1310" i="48"/>
  <c r="DI1311" i="48"/>
  <c r="DI1318" i="48"/>
  <c r="DI1319" i="48"/>
  <c r="DI1339" i="48"/>
  <c r="DI1340" i="48"/>
  <c r="DI1347" i="48"/>
  <c r="DI1348" i="48"/>
  <c r="DI860" i="48"/>
  <c r="DI861" i="48"/>
  <c r="DI868" i="48"/>
  <c r="DI870" i="48"/>
  <c r="DI897" i="48"/>
  <c r="DI898" i="48"/>
  <c r="DI910" i="48"/>
  <c r="DI912" i="48"/>
  <c r="DI918" i="48"/>
  <c r="DI920" i="48"/>
  <c r="DI933" i="48"/>
  <c r="DI941" i="48"/>
  <c r="DI949" i="48"/>
  <c r="DI1008" i="48"/>
  <c r="DI1016" i="48"/>
  <c r="DI1024" i="48"/>
  <c r="DI1062" i="48"/>
  <c r="DI1108" i="48"/>
  <c r="DI1116" i="48"/>
  <c r="DI1124" i="48"/>
  <c r="DI1133" i="48"/>
  <c r="DI1141" i="48"/>
  <c r="DI1149" i="48"/>
  <c r="DI1160" i="48"/>
  <c r="DI1162" i="48"/>
  <c r="DI1168" i="48"/>
  <c r="DI1169" i="48"/>
  <c r="DI1183" i="48"/>
  <c r="DI1191" i="48"/>
  <c r="DI1199" i="48"/>
  <c r="DI1234" i="48"/>
  <c r="DI1235" i="48"/>
  <c r="DI1236" i="48"/>
  <c r="DI1239" i="48"/>
  <c r="DI1240" i="48"/>
  <c r="DI1243" i="48"/>
  <c r="DI1244" i="48"/>
  <c r="DI1247" i="48"/>
  <c r="DI1248" i="48"/>
  <c r="DI1258" i="48"/>
  <c r="DI1264" i="48"/>
  <c r="DI1266" i="48"/>
  <c r="DI1272" i="48"/>
  <c r="DI1273" i="48"/>
  <c r="DI1287" i="48"/>
  <c r="DI1295" i="48"/>
  <c r="DI1308" i="48"/>
  <c r="DI1316" i="48"/>
  <c r="DI1324" i="48"/>
  <c r="DI1337" i="48"/>
  <c r="DI1270" i="48"/>
  <c r="DI1271" i="48"/>
  <c r="DI1307" i="48"/>
  <c r="DI1314" i="48"/>
  <c r="DI1315" i="48"/>
  <c r="DI1322" i="48"/>
  <c r="DI1323" i="48"/>
  <c r="DI1335" i="48"/>
  <c r="DI1336" i="48"/>
  <c r="DI1343" i="48"/>
  <c r="DI1351" i="48"/>
  <c r="DI1344" i="48"/>
  <c r="DI1326" i="48"/>
  <c r="DI1285" i="48"/>
  <c r="DI1289" i="48"/>
  <c r="DI1293" i="48"/>
  <c r="DI1297" i="48"/>
  <c r="DI1301" i="48"/>
  <c r="DI1276" i="48"/>
  <c r="DI1257" i="48"/>
  <c r="DI1261" i="48"/>
  <c r="DI1265" i="48"/>
  <c r="DI1251" i="48"/>
  <c r="DI1226" i="48"/>
  <c r="DI1211" i="48"/>
  <c r="DI1215" i="48"/>
  <c r="DI1219" i="48"/>
  <c r="DI1223" i="48"/>
  <c r="DI1185" i="48"/>
  <c r="DI1189" i="48"/>
  <c r="DI1193" i="48"/>
  <c r="DI1197" i="48"/>
  <c r="DI1201" i="48"/>
  <c r="DI1176" i="48"/>
  <c r="DI1161" i="48"/>
  <c r="DI1165" i="48"/>
  <c r="DI1135" i="48"/>
  <c r="DI1139" i="48"/>
  <c r="DI1143" i="48"/>
  <c r="DI1147" i="48"/>
  <c r="DI1151" i="48"/>
  <c r="DI1110" i="48"/>
  <c r="DI1114" i="48"/>
  <c r="DI1118" i="48"/>
  <c r="DI1122" i="48"/>
  <c r="DI1126" i="48"/>
  <c r="DI1085" i="48"/>
  <c r="DI1089" i="48"/>
  <c r="DI1101" i="48"/>
  <c r="DI1076" i="48"/>
  <c r="DI1065" i="48"/>
  <c r="DI1069" i="48"/>
  <c r="DI1051" i="48"/>
  <c r="DI1010" i="48"/>
  <c r="DI1014" i="48"/>
  <c r="DI1018" i="48"/>
  <c r="DI1022" i="48"/>
  <c r="DI1026" i="48"/>
  <c r="DI985" i="48"/>
  <c r="DI989" i="48"/>
  <c r="DI993" i="48"/>
  <c r="DI997" i="48"/>
  <c r="DI1001" i="48"/>
  <c r="DI976" i="48"/>
  <c r="DI957" i="48"/>
  <c r="DI961" i="48"/>
  <c r="DI965" i="48"/>
  <c r="DI969" i="48"/>
  <c r="DI935" i="48"/>
  <c r="DI939" i="48"/>
  <c r="DI943" i="48"/>
  <c r="DI951" i="48"/>
  <c r="DI926" i="48"/>
  <c r="DI911" i="48"/>
  <c r="DI915" i="48"/>
  <c r="DI919" i="48"/>
  <c r="DI885" i="48"/>
  <c r="DI889" i="48"/>
  <c r="DI901" i="48"/>
  <c r="DI876" i="48"/>
  <c r="DI865" i="48"/>
  <c r="DI869" i="48"/>
  <c r="DI851" i="48"/>
  <c r="DI836" i="48"/>
  <c r="DI840" i="48"/>
  <c r="DI844" i="48"/>
  <c r="DI826" i="48"/>
  <c r="DI785" i="48"/>
  <c r="DI789" i="48"/>
  <c r="DI793" i="48"/>
  <c r="DI797" i="48"/>
  <c r="DI801" i="48"/>
  <c r="DI760" i="48"/>
  <c r="DI764" i="48"/>
  <c r="DI768" i="48"/>
  <c r="DI772" i="48"/>
  <c r="DI776" i="48"/>
  <c r="DI751" i="48"/>
  <c r="DI748" i="48"/>
  <c r="DI726" i="48"/>
  <c r="DI701" i="48"/>
  <c r="DI660" i="48"/>
  <c r="DI664" i="48"/>
  <c r="DI668" i="48"/>
  <c r="DI676" i="48"/>
  <c r="DI651" i="48"/>
  <c r="DI640" i="48"/>
  <c r="DI644" i="48"/>
  <c r="DI626" i="48"/>
  <c r="DI607" i="48"/>
  <c r="DI611" i="48"/>
  <c r="DI601" i="48"/>
  <c r="DI594" i="48"/>
  <c r="DI576" i="48"/>
  <c r="DI557" i="48"/>
  <c r="DI561" i="48"/>
  <c r="DI565" i="48"/>
  <c r="DI569" i="48"/>
  <c r="DI551" i="48"/>
  <c r="DI510" i="48"/>
  <c r="DI514" i="48"/>
  <c r="DI518" i="48"/>
  <c r="DI522" i="48"/>
  <c r="DI526" i="48"/>
  <c r="DI485" i="48"/>
  <c r="DI489" i="48"/>
  <c r="DI493" i="48"/>
  <c r="DI497" i="48"/>
  <c r="DI501" i="48"/>
  <c r="DI460" i="48"/>
  <c r="DI464" i="48"/>
  <c r="DI468" i="48"/>
  <c r="DI472" i="48"/>
  <c r="DI476" i="48"/>
  <c r="DI435" i="48"/>
  <c r="DI439" i="48"/>
  <c r="DI443" i="48"/>
  <c r="DI447" i="48"/>
  <c r="DI451" i="48"/>
  <c r="DI426" i="48"/>
  <c r="DI423" i="48"/>
  <c r="DI401" i="48"/>
  <c r="DI390" i="48"/>
  <c r="DI394" i="48"/>
  <c r="DI360" i="48"/>
  <c r="DI364" i="48"/>
  <c r="DI368" i="48"/>
  <c r="DI372" i="48"/>
  <c r="DI376" i="48"/>
  <c r="DI351" i="48"/>
  <c r="DI326" i="48"/>
  <c r="DI319" i="48"/>
  <c r="DI301" i="48"/>
  <c r="DI276" i="48"/>
  <c r="DI257" i="48"/>
  <c r="DI261" i="48"/>
  <c r="DI265" i="48"/>
  <c r="DI269" i="48"/>
  <c r="DI235" i="48"/>
  <c r="DI251" i="48"/>
  <c r="DI240" i="48"/>
  <c r="DI244" i="48"/>
  <c r="DI226" i="48"/>
  <c r="DI211" i="48"/>
  <c r="DI215" i="48"/>
  <c r="DI219" i="48"/>
  <c r="DI223" i="48"/>
  <c r="DI201" i="48"/>
  <c r="DI194" i="48"/>
  <c r="DI176" i="48"/>
  <c r="DI135" i="48"/>
  <c r="DI139" i="48"/>
  <c r="DI143" i="48"/>
  <c r="DI147" i="48"/>
  <c r="DI151" i="48"/>
  <c r="DI115" i="48"/>
  <c r="DI119" i="48"/>
  <c r="DI126" i="48"/>
  <c r="DI101" i="48"/>
  <c r="DI86" i="48"/>
  <c r="DI90" i="48"/>
  <c r="DI94" i="48"/>
  <c r="DI76" i="48"/>
  <c r="DI57" i="48"/>
  <c r="DI61" i="48"/>
  <c r="DI65" i="48"/>
  <c r="DI69" i="48"/>
  <c r="DI50" i="48"/>
  <c r="DI51" i="48"/>
  <c r="AW1002" i="48"/>
  <c r="AW1001" i="48"/>
  <c r="AW952" i="48"/>
  <c r="AW951" i="48"/>
  <c r="AW302" i="48"/>
  <c r="AW301" i="48"/>
  <c r="CR1127" i="48"/>
  <c r="CN1125" i="48"/>
  <c r="CP1125" i="48" s="1"/>
  <c r="CR1125" i="48"/>
  <c r="CR1102" i="48"/>
  <c r="CR1077" i="48"/>
  <c r="CR1052" i="48"/>
  <c r="CR1027" i="48"/>
  <c r="CR1002" i="48"/>
  <c r="CR977" i="48"/>
  <c r="CR952" i="48"/>
  <c r="CR927" i="48"/>
  <c r="CR902" i="48"/>
  <c r="CR877" i="48"/>
  <c r="CR852" i="48"/>
  <c r="CR827" i="48"/>
  <c r="CR802" i="48"/>
  <c r="CH51" i="48" l="1"/>
  <c r="CH52" i="48"/>
  <c r="CR777" i="48"/>
  <c r="CR131" i="48"/>
  <c r="CR132" i="48"/>
  <c r="CR133" i="48"/>
  <c r="CR134" i="48"/>
  <c r="CR135" i="48"/>
  <c r="CR136" i="48"/>
  <c r="CR137" i="48"/>
  <c r="CR138" i="48"/>
  <c r="CR139" i="48"/>
  <c r="CR140" i="48"/>
  <c r="CR141" i="48"/>
  <c r="CR142" i="48"/>
  <c r="CR143" i="48"/>
  <c r="CR144" i="48"/>
  <c r="CR145" i="48"/>
  <c r="CR146" i="48"/>
  <c r="CR147" i="48"/>
  <c r="CR148" i="48"/>
  <c r="CR149" i="48"/>
  <c r="CR150" i="48"/>
  <c r="CR151" i="48"/>
  <c r="CR152" i="48"/>
  <c r="CR52" i="48"/>
  <c r="CR51" i="48"/>
  <c r="CR50" i="48"/>
  <c r="CR49" i="48"/>
  <c r="CR48" i="48"/>
  <c r="CR47" i="48"/>
  <c r="CR46" i="48"/>
  <c r="CR45" i="48"/>
  <c r="CR44" i="48"/>
  <c r="CR43" i="48"/>
  <c r="CR42" i="48"/>
  <c r="CR41" i="48"/>
  <c r="CR40" i="48"/>
  <c r="CR39" i="48"/>
  <c r="CR38" i="48"/>
  <c r="CR37" i="48"/>
  <c r="CR36" i="48"/>
  <c r="CR35" i="48"/>
  <c r="CR34" i="48"/>
  <c r="CR33" i="48"/>
  <c r="CR32" i="48"/>
  <c r="CR31" i="48"/>
  <c r="CR727" i="48"/>
  <c r="CR652" i="48"/>
  <c r="CV627" i="48"/>
  <c r="CU627" i="48"/>
  <c r="CT627" i="48"/>
  <c r="CV1352" i="48"/>
  <c r="CU1352" i="48"/>
  <c r="CT1352" i="48"/>
  <c r="CV1327" i="48"/>
  <c r="CU1327" i="48"/>
  <c r="CT1327" i="48"/>
  <c r="CV1302" i="48"/>
  <c r="CU1302" i="48"/>
  <c r="CT1302" i="48"/>
  <c r="CV1277" i="48"/>
  <c r="CU1277" i="48"/>
  <c r="CT1277" i="48"/>
  <c r="CV1252" i="48"/>
  <c r="CU1252" i="48"/>
  <c r="CT1252" i="48"/>
  <c r="CR1252" i="48"/>
  <c r="CV1202" i="48"/>
  <c r="CU1202" i="48"/>
  <c r="CT1202" i="48"/>
  <c r="CR1202" i="48"/>
  <c r="CV1177" i="48"/>
  <c r="CU1177" i="48"/>
  <c r="CT1177" i="48"/>
  <c r="CR1177" i="48"/>
  <c r="CV1152" i="48"/>
  <c r="CU1152" i="48"/>
  <c r="CT1152" i="48"/>
  <c r="CR1152" i="48"/>
  <c r="CV1127" i="48"/>
  <c r="CU1127" i="48"/>
  <c r="CT1127" i="48"/>
  <c r="CV1102" i="48"/>
  <c r="CU1102" i="48"/>
  <c r="CT1102" i="48"/>
  <c r="CV1077" i="48"/>
  <c r="CU1077" i="48"/>
  <c r="CT1077" i="48"/>
  <c r="CV1052" i="48"/>
  <c r="CU1052" i="48"/>
  <c r="CT1052" i="48"/>
  <c r="CV1027" i="48"/>
  <c r="CU1027" i="48"/>
  <c r="CT1027" i="48"/>
  <c r="CV1002" i="48"/>
  <c r="CU1002" i="48"/>
  <c r="CT1002" i="48"/>
  <c r="CV977" i="48"/>
  <c r="CU977" i="48"/>
  <c r="CT977" i="48"/>
  <c r="CV952" i="48"/>
  <c r="CU952" i="48"/>
  <c r="CT952" i="48"/>
  <c r="CV927" i="48"/>
  <c r="CU927" i="48"/>
  <c r="CT927" i="48"/>
  <c r="CV902" i="48"/>
  <c r="CU902" i="48"/>
  <c r="CT902" i="48"/>
  <c r="CV877" i="48"/>
  <c r="CU877" i="48"/>
  <c r="CT877" i="48"/>
  <c r="CV852" i="48"/>
  <c r="CU852" i="48"/>
  <c r="CT852" i="48"/>
  <c r="CV827" i="48"/>
  <c r="CU827" i="48"/>
  <c r="CT827" i="48"/>
  <c r="CR826" i="48"/>
  <c r="CV802" i="48"/>
  <c r="CU802" i="48"/>
  <c r="CT802" i="48"/>
  <c r="CX778" i="48"/>
  <c r="CS778" i="48" s="1"/>
  <c r="CR752" i="48"/>
  <c r="CR677" i="48"/>
  <c r="CR602" i="48"/>
  <c r="CR577" i="48"/>
  <c r="CR552" i="48"/>
  <c r="CR527" i="48"/>
  <c r="CR502" i="48"/>
  <c r="CR477" i="48"/>
  <c r="CR452" i="48"/>
  <c r="CR427" i="48"/>
  <c r="CR402" i="48"/>
  <c r="CR377" i="48"/>
  <c r="CR352" i="48"/>
  <c r="CR327" i="48"/>
  <c r="CR302" i="48"/>
  <c r="CR277" i="48"/>
  <c r="CR252" i="48"/>
  <c r="CR227" i="48"/>
  <c r="CR202" i="48"/>
  <c r="CR177" i="48"/>
  <c r="CP27" i="48"/>
  <c r="DD1251" i="48"/>
  <c r="DC1251" i="48"/>
  <c r="DD1250" i="48"/>
  <c r="DC1250" i="48"/>
  <c r="DD1249" i="48"/>
  <c r="DC1249" i="48"/>
  <c r="DD1248" i="48"/>
  <c r="DC1248" i="48"/>
  <c r="DD1247" i="48"/>
  <c r="DC1247" i="48"/>
  <c r="DD1246" i="48"/>
  <c r="DC1246" i="48"/>
  <c r="DD1245" i="48"/>
  <c r="DC1245" i="48"/>
  <c r="DD1244" i="48"/>
  <c r="DC1244" i="48"/>
  <c r="DD1243" i="48"/>
  <c r="DC1243" i="48"/>
  <c r="DD1242" i="48"/>
  <c r="DC1242" i="48"/>
  <c r="DD1241" i="48"/>
  <c r="DC1241" i="48"/>
  <c r="DD1240" i="48"/>
  <c r="DC1240" i="48"/>
  <c r="DD1239" i="48"/>
  <c r="DC1239" i="48"/>
  <c r="DD1238" i="48"/>
  <c r="DC1238" i="48"/>
  <c r="DD1237" i="48"/>
  <c r="DC1237" i="48"/>
  <c r="DD1236" i="48"/>
  <c r="DC1236" i="48"/>
  <c r="DD1235" i="48"/>
  <c r="DC1235" i="48"/>
  <c r="DD1234" i="48"/>
  <c r="DC1234" i="48"/>
  <c r="DD1233" i="48"/>
  <c r="DC1233" i="48"/>
  <c r="DD1232" i="48"/>
  <c r="DC1232" i="48"/>
  <c r="DD1231" i="48"/>
  <c r="DC1231" i="48"/>
  <c r="DD1230" i="48"/>
  <c r="DC1230" i="48"/>
  <c r="DD1229" i="48"/>
  <c r="DC1229" i="48"/>
  <c r="DD1228" i="48"/>
  <c r="DC1228" i="48"/>
  <c r="CG1352" i="48"/>
  <c r="CG1327" i="48"/>
  <c r="CG1302" i="48"/>
  <c r="CG1277" i="48"/>
  <c r="CG1252" i="48"/>
  <c r="CG1227" i="48"/>
  <c r="CG1177" i="48"/>
  <c r="CG1152" i="48"/>
  <c r="CG1127" i="48"/>
  <c r="CG1102" i="48"/>
  <c r="CG1077" i="48"/>
  <c r="CG1052" i="48"/>
  <c r="CG1027" i="48"/>
  <c r="CG1002" i="48"/>
  <c r="CG977" i="48"/>
  <c r="CG952" i="48"/>
  <c r="CG927" i="48"/>
  <c r="CG902" i="48"/>
  <c r="CG877" i="48"/>
  <c r="CG852" i="48"/>
  <c r="CG827" i="48"/>
  <c r="CG802" i="48"/>
  <c r="CG777" i="48"/>
  <c r="CG752" i="48"/>
  <c r="CG727" i="48"/>
  <c r="CG702" i="48"/>
  <c r="CG677" i="48"/>
  <c r="CG652" i="48"/>
  <c r="CG627" i="48"/>
  <c r="CG602" i="48"/>
  <c r="CG577" i="48"/>
  <c r="CG552" i="48"/>
  <c r="CG527" i="48"/>
  <c r="CG502" i="48"/>
  <c r="CG477" i="48"/>
  <c r="CG452" i="48"/>
  <c r="CG427" i="48"/>
  <c r="CG402" i="48"/>
  <c r="CG377" i="48"/>
  <c r="CG352" i="48"/>
  <c r="CG327" i="48"/>
  <c r="CG302" i="48"/>
  <c r="CG252" i="48"/>
  <c r="CG227" i="48"/>
  <c r="CG202" i="48"/>
  <c r="DD1351" i="48"/>
  <c r="DC1351" i="48"/>
  <c r="DD1350" i="48"/>
  <c r="DC1350" i="48"/>
  <c r="DD1349" i="48"/>
  <c r="DC1349" i="48"/>
  <c r="DD1348" i="48"/>
  <c r="DC1348" i="48"/>
  <c r="DD1347" i="48"/>
  <c r="DC1347" i="48"/>
  <c r="DD1346" i="48"/>
  <c r="DC1346" i="48"/>
  <c r="DD1345" i="48"/>
  <c r="DC1345" i="48"/>
  <c r="DD1344" i="48"/>
  <c r="DC1344" i="48"/>
  <c r="DD1343" i="48"/>
  <c r="DC1343" i="48"/>
  <c r="DD1342" i="48"/>
  <c r="DC1342" i="48"/>
  <c r="DD1341" i="48"/>
  <c r="DC1341" i="48"/>
  <c r="DD1340" i="48"/>
  <c r="DC1340" i="48"/>
  <c r="DD1339" i="48"/>
  <c r="DC1339" i="48"/>
  <c r="DD1338" i="48"/>
  <c r="DC1338" i="48"/>
  <c r="DD1337" i="48"/>
  <c r="DC1337" i="48"/>
  <c r="DD1336" i="48"/>
  <c r="DC1336" i="48"/>
  <c r="DD1335" i="48"/>
  <c r="DC1335" i="48"/>
  <c r="DD1334" i="48"/>
  <c r="DC1334" i="48"/>
  <c r="DD1333" i="48"/>
  <c r="DC1333" i="48"/>
  <c r="DD1332" i="48"/>
  <c r="DC1332" i="48"/>
  <c r="DD1331" i="48"/>
  <c r="DC1331" i="48"/>
  <c r="DD1330" i="48"/>
  <c r="DC1330" i="48"/>
  <c r="DD1329" i="48"/>
  <c r="DC1329" i="48"/>
  <c r="DD1328" i="48"/>
  <c r="DC1328" i="48"/>
  <c r="DD1326" i="48"/>
  <c r="DC1326" i="48"/>
  <c r="DD1325" i="48"/>
  <c r="DC1325" i="48"/>
  <c r="DD1324" i="48"/>
  <c r="DC1324" i="48"/>
  <c r="DD1323" i="48"/>
  <c r="DC1323" i="48"/>
  <c r="DD1322" i="48"/>
  <c r="DC1322" i="48"/>
  <c r="DD1321" i="48"/>
  <c r="DC1321" i="48"/>
  <c r="DD1320" i="48"/>
  <c r="DC1320" i="48"/>
  <c r="DD1319" i="48"/>
  <c r="DC1319" i="48"/>
  <c r="DD1318" i="48"/>
  <c r="DC1318" i="48"/>
  <c r="DD1317" i="48"/>
  <c r="DC1317" i="48"/>
  <c r="DD1316" i="48"/>
  <c r="DC1316" i="48"/>
  <c r="DD1315" i="48"/>
  <c r="DC1315" i="48"/>
  <c r="DD1314" i="48"/>
  <c r="DC1314" i="48"/>
  <c r="DD1313" i="48"/>
  <c r="DC1313" i="48"/>
  <c r="DD1312" i="48"/>
  <c r="DC1312" i="48"/>
  <c r="DD1311" i="48"/>
  <c r="DC1311" i="48"/>
  <c r="DD1310" i="48"/>
  <c r="DC1310" i="48"/>
  <c r="DD1309" i="48"/>
  <c r="DC1309" i="48"/>
  <c r="DD1308" i="48"/>
  <c r="DC1308" i="48"/>
  <c r="DD1307" i="48"/>
  <c r="DC1307" i="48"/>
  <c r="DD1306" i="48"/>
  <c r="DC1306" i="48"/>
  <c r="DD1305" i="48"/>
  <c r="DC1305" i="48"/>
  <c r="DD1304" i="48"/>
  <c r="DC1304" i="48"/>
  <c r="DD1303" i="48"/>
  <c r="DC1303" i="48"/>
  <c r="DD1301" i="48"/>
  <c r="DC1301" i="48"/>
  <c r="DD1300" i="48"/>
  <c r="DC1300" i="48"/>
  <c r="DD1299" i="48"/>
  <c r="DC1299" i="48"/>
  <c r="DD1298" i="48"/>
  <c r="DC1298" i="48"/>
  <c r="DD1297" i="48"/>
  <c r="DC1297" i="48"/>
  <c r="DD1296" i="48"/>
  <c r="DC1296" i="48"/>
  <c r="DD1295" i="48"/>
  <c r="DC1295" i="48"/>
  <c r="DD1294" i="48"/>
  <c r="DC1294" i="48"/>
  <c r="DD1293" i="48"/>
  <c r="DC1293" i="48"/>
  <c r="DD1292" i="48"/>
  <c r="DC1292" i="48"/>
  <c r="DD1291" i="48"/>
  <c r="DC1291" i="48"/>
  <c r="DD1290" i="48"/>
  <c r="DC1290" i="48"/>
  <c r="DD1289" i="48"/>
  <c r="DC1289" i="48"/>
  <c r="DD1288" i="48"/>
  <c r="DC1288" i="48"/>
  <c r="DD1287" i="48"/>
  <c r="DC1287" i="48"/>
  <c r="DD1286" i="48"/>
  <c r="DC1286" i="48"/>
  <c r="DD1285" i="48"/>
  <c r="DC1285" i="48"/>
  <c r="DD1284" i="48"/>
  <c r="DC1284" i="48"/>
  <c r="DD1283" i="48"/>
  <c r="DC1283" i="48"/>
  <c r="DD1282" i="48"/>
  <c r="DC1282" i="48"/>
  <c r="DD1281" i="48"/>
  <c r="DC1281" i="48"/>
  <c r="DD1280" i="48"/>
  <c r="DC1280" i="48"/>
  <c r="DD1279" i="48"/>
  <c r="DC1279" i="48"/>
  <c r="DD1278" i="48"/>
  <c r="DC1278" i="48"/>
  <c r="DD1275" i="48"/>
  <c r="DC1275" i="48"/>
  <c r="DD1274" i="48"/>
  <c r="DC1274" i="48"/>
  <c r="DD1273" i="48"/>
  <c r="DC1273" i="48"/>
  <c r="DD1272" i="48"/>
  <c r="DC1272" i="48"/>
  <c r="DD1271" i="48"/>
  <c r="DC1271" i="48"/>
  <c r="DD1270" i="48"/>
  <c r="DC1270" i="48"/>
  <c r="DD1269" i="48"/>
  <c r="DC1269" i="48"/>
  <c r="DD1268" i="48"/>
  <c r="DC1268" i="48"/>
  <c r="DD1267" i="48"/>
  <c r="DC1267" i="48"/>
  <c r="DD1266" i="48"/>
  <c r="DC1266" i="48"/>
  <c r="DD1265" i="48"/>
  <c r="DC1265" i="48"/>
  <c r="DD1264" i="48"/>
  <c r="DC1264" i="48"/>
  <c r="DD1263" i="48"/>
  <c r="DC1263" i="48"/>
  <c r="DD1262" i="48"/>
  <c r="DC1262" i="48"/>
  <c r="DD1261" i="48"/>
  <c r="DC1261" i="48"/>
  <c r="DD1260" i="48"/>
  <c r="DC1260" i="48"/>
  <c r="DD1259" i="48"/>
  <c r="DC1259" i="48"/>
  <c r="DD1258" i="48"/>
  <c r="DC1258" i="48"/>
  <c r="DD1257" i="48"/>
  <c r="DC1257" i="48"/>
  <c r="DD1256" i="48"/>
  <c r="DC1256" i="48"/>
  <c r="DD1255" i="48"/>
  <c r="DC1255" i="48"/>
  <c r="DD1254" i="48"/>
  <c r="DC1254" i="48"/>
  <c r="DD1227" i="48"/>
  <c r="DC1227" i="48"/>
  <c r="CV1227" i="48" s="1"/>
  <c r="DD1226" i="48"/>
  <c r="DC1226" i="48"/>
  <c r="DD1225" i="48"/>
  <c r="DC1225" i="48"/>
  <c r="DD1224" i="48"/>
  <c r="DC1224" i="48"/>
  <c r="DD1223" i="48"/>
  <c r="DC1223" i="48"/>
  <c r="DD1222" i="48"/>
  <c r="DC1222" i="48"/>
  <c r="DD1221" i="48"/>
  <c r="DC1221" i="48"/>
  <c r="DD1220" i="48"/>
  <c r="DC1220" i="48"/>
  <c r="DD1219" i="48"/>
  <c r="DC1219" i="48"/>
  <c r="DD1218" i="48"/>
  <c r="DC1218" i="48"/>
  <c r="DD1217" i="48"/>
  <c r="DC1217" i="48"/>
  <c r="DD1216" i="48"/>
  <c r="DC1216" i="48"/>
  <c r="DD1215" i="48"/>
  <c r="DC1215" i="48"/>
  <c r="DD1214" i="48"/>
  <c r="DC1214" i="48"/>
  <c r="DD1213" i="48"/>
  <c r="DC1213" i="48"/>
  <c r="DD1212" i="48"/>
  <c r="DC1212" i="48"/>
  <c r="DD1211" i="48"/>
  <c r="DC1211" i="48"/>
  <c r="DD1210" i="48"/>
  <c r="DC1210" i="48"/>
  <c r="DD1209" i="48"/>
  <c r="DC1209" i="48"/>
  <c r="DD1208" i="48"/>
  <c r="DC1208" i="48"/>
  <c r="DD1207" i="48"/>
  <c r="DC1207" i="48"/>
  <c r="DD1206" i="48"/>
  <c r="DC1206" i="48"/>
  <c r="DD1205" i="48"/>
  <c r="DC1205" i="48"/>
  <c r="DD1204" i="48"/>
  <c r="DC1204" i="48"/>
  <c r="DD1203" i="48"/>
  <c r="DC1203" i="48"/>
  <c r="DD1201" i="48"/>
  <c r="DC1201" i="48"/>
  <c r="DD1200" i="48"/>
  <c r="DC1200" i="48"/>
  <c r="DD1199" i="48"/>
  <c r="DC1199" i="48"/>
  <c r="DD1198" i="48"/>
  <c r="DC1198" i="48"/>
  <c r="DD1197" i="48"/>
  <c r="DC1197" i="48"/>
  <c r="DD1196" i="48"/>
  <c r="DC1196" i="48"/>
  <c r="DD1195" i="48"/>
  <c r="DC1195" i="48"/>
  <c r="DD1194" i="48"/>
  <c r="DC1194" i="48"/>
  <c r="DD1193" i="48"/>
  <c r="DC1193" i="48"/>
  <c r="DD1192" i="48"/>
  <c r="DC1192" i="48"/>
  <c r="DD1191" i="48"/>
  <c r="DC1191" i="48"/>
  <c r="DD1190" i="48"/>
  <c r="DC1190" i="48"/>
  <c r="DD1189" i="48"/>
  <c r="DC1189" i="48"/>
  <c r="DD1188" i="48"/>
  <c r="DC1188" i="48"/>
  <c r="DD1187" i="48"/>
  <c r="DC1187" i="48"/>
  <c r="DD1186" i="48"/>
  <c r="DC1186" i="48"/>
  <c r="DD1185" i="48"/>
  <c r="DC1185" i="48"/>
  <c r="DD1184" i="48"/>
  <c r="DC1184" i="48"/>
  <c r="DD1183" i="48"/>
  <c r="DC1183" i="48"/>
  <c r="DD1182" i="48"/>
  <c r="DC1182" i="48"/>
  <c r="DD1181" i="48"/>
  <c r="DC1181" i="48"/>
  <c r="DD1180" i="48"/>
  <c r="DC1180" i="48"/>
  <c r="DD1179" i="48"/>
  <c r="DC1179" i="48"/>
  <c r="DD1178" i="48"/>
  <c r="DC1178" i="48"/>
  <c r="DD1176" i="48"/>
  <c r="DC1176" i="48"/>
  <c r="DD1175" i="48"/>
  <c r="DC1175" i="48"/>
  <c r="DD1174" i="48"/>
  <c r="DC1174" i="48"/>
  <c r="DD1173" i="48"/>
  <c r="DC1173" i="48"/>
  <c r="DD1172" i="48"/>
  <c r="DC1172" i="48"/>
  <c r="DD1171" i="48"/>
  <c r="DC1171" i="48"/>
  <c r="DD1170" i="48"/>
  <c r="DC1170" i="48"/>
  <c r="DD1169" i="48"/>
  <c r="DC1169" i="48"/>
  <c r="DD1168" i="48"/>
  <c r="DC1168" i="48"/>
  <c r="DD1167" i="48"/>
  <c r="DC1167" i="48"/>
  <c r="DD1166" i="48"/>
  <c r="DC1166" i="48"/>
  <c r="DD1165" i="48"/>
  <c r="DC1165" i="48"/>
  <c r="DD1164" i="48"/>
  <c r="DC1164" i="48"/>
  <c r="DD1163" i="48"/>
  <c r="DC1163" i="48"/>
  <c r="DD1162" i="48"/>
  <c r="DC1162" i="48"/>
  <c r="DD1161" i="48"/>
  <c r="DC1161" i="48"/>
  <c r="DD1160" i="48"/>
  <c r="DC1160" i="48"/>
  <c r="DD1159" i="48"/>
  <c r="DC1159" i="48"/>
  <c r="DD1158" i="48"/>
  <c r="DC1158" i="48"/>
  <c r="DD1157" i="48"/>
  <c r="DC1157" i="48"/>
  <c r="DD1156" i="48"/>
  <c r="DC1156" i="48"/>
  <c r="DD1155" i="48"/>
  <c r="DC1155" i="48"/>
  <c r="DD1154" i="48"/>
  <c r="DC1154" i="48"/>
  <c r="DD1153" i="48"/>
  <c r="DC1153" i="48"/>
  <c r="DD1151" i="48"/>
  <c r="DC1151" i="48"/>
  <c r="DD1150" i="48"/>
  <c r="DC1150" i="48"/>
  <c r="DD1149" i="48"/>
  <c r="DC1149" i="48"/>
  <c r="DD1148" i="48"/>
  <c r="DC1148" i="48"/>
  <c r="DD1147" i="48"/>
  <c r="DC1147" i="48"/>
  <c r="DD1146" i="48"/>
  <c r="DC1146" i="48"/>
  <c r="DD1145" i="48"/>
  <c r="DC1145" i="48"/>
  <c r="DD1144" i="48"/>
  <c r="DC1144" i="48"/>
  <c r="DD1143" i="48"/>
  <c r="DC1143" i="48"/>
  <c r="DD1142" i="48"/>
  <c r="DC1142" i="48"/>
  <c r="DD1141" i="48"/>
  <c r="DC1141" i="48"/>
  <c r="DD1140" i="48"/>
  <c r="DC1140" i="48"/>
  <c r="DD1139" i="48"/>
  <c r="DC1139" i="48"/>
  <c r="DD1138" i="48"/>
  <c r="DC1138" i="48"/>
  <c r="DD1137" i="48"/>
  <c r="DC1137" i="48"/>
  <c r="DD1136" i="48"/>
  <c r="DC1136" i="48"/>
  <c r="DD1135" i="48"/>
  <c r="DC1135" i="48"/>
  <c r="DD1134" i="48"/>
  <c r="DC1134" i="48"/>
  <c r="DD1133" i="48"/>
  <c r="DC1133" i="48"/>
  <c r="DD1132" i="48"/>
  <c r="DC1132" i="48"/>
  <c r="DD1131" i="48"/>
  <c r="DC1131" i="48"/>
  <c r="DD1130" i="48"/>
  <c r="DC1130" i="48"/>
  <c r="DD1129" i="48"/>
  <c r="DC1129" i="48"/>
  <c r="DD1128" i="48"/>
  <c r="DC1128" i="48"/>
  <c r="DD1126" i="48"/>
  <c r="DC1126" i="48"/>
  <c r="DD1125" i="48"/>
  <c r="DC1125" i="48"/>
  <c r="DD1124" i="48"/>
  <c r="DC1124" i="48"/>
  <c r="DD1123" i="48"/>
  <c r="DC1123" i="48"/>
  <c r="DD1122" i="48"/>
  <c r="DC1122" i="48"/>
  <c r="DD1121" i="48"/>
  <c r="DC1121" i="48"/>
  <c r="DD1120" i="48"/>
  <c r="DC1120" i="48"/>
  <c r="DD1119" i="48"/>
  <c r="DC1119" i="48"/>
  <c r="DD1118" i="48"/>
  <c r="DC1118" i="48"/>
  <c r="DD1117" i="48"/>
  <c r="DC1117" i="48"/>
  <c r="DD1116" i="48"/>
  <c r="DC1116" i="48"/>
  <c r="DD1115" i="48"/>
  <c r="DC1115" i="48"/>
  <c r="DD1114" i="48"/>
  <c r="DC1114" i="48"/>
  <c r="DD1113" i="48"/>
  <c r="DC1113" i="48"/>
  <c r="DD1112" i="48"/>
  <c r="DC1112" i="48"/>
  <c r="DD1111" i="48"/>
  <c r="DC1111" i="48"/>
  <c r="DD1110" i="48"/>
  <c r="DC1110" i="48"/>
  <c r="DD1109" i="48"/>
  <c r="DC1109" i="48"/>
  <c r="DD1108" i="48"/>
  <c r="DC1108" i="48"/>
  <c r="DD1107" i="48"/>
  <c r="DC1107" i="48"/>
  <c r="DD1106" i="48"/>
  <c r="DC1106" i="48"/>
  <c r="DD1105" i="48"/>
  <c r="DC1105" i="48"/>
  <c r="DD1104" i="48"/>
  <c r="DC1104" i="48"/>
  <c r="DD1103" i="48"/>
  <c r="DC1103" i="48"/>
  <c r="DD1101" i="48"/>
  <c r="DC1101" i="48"/>
  <c r="DD1100" i="48"/>
  <c r="DC1100" i="48"/>
  <c r="DD1099" i="48"/>
  <c r="DC1099" i="48"/>
  <c r="DD1098" i="48"/>
  <c r="DC1098" i="48"/>
  <c r="DD1097" i="48"/>
  <c r="DC1097" i="48"/>
  <c r="DD1096" i="48"/>
  <c r="DC1096" i="48"/>
  <c r="DD1095" i="48"/>
  <c r="DC1095" i="48"/>
  <c r="DD1094" i="48"/>
  <c r="DC1094" i="48"/>
  <c r="DD1093" i="48"/>
  <c r="DC1093" i="48"/>
  <c r="DD1092" i="48"/>
  <c r="DC1092" i="48"/>
  <c r="DD1091" i="48"/>
  <c r="DC1091" i="48"/>
  <c r="DD1090" i="48"/>
  <c r="DC1090" i="48"/>
  <c r="DD1089" i="48"/>
  <c r="DC1089" i="48"/>
  <c r="DD1088" i="48"/>
  <c r="DC1088" i="48"/>
  <c r="DD1087" i="48"/>
  <c r="DC1087" i="48"/>
  <c r="DD1086" i="48"/>
  <c r="DC1086" i="48"/>
  <c r="DD1085" i="48"/>
  <c r="DC1085" i="48"/>
  <c r="DD1084" i="48"/>
  <c r="DC1084" i="48"/>
  <c r="DD1083" i="48"/>
  <c r="DC1083" i="48"/>
  <c r="DD1082" i="48"/>
  <c r="DC1082" i="48"/>
  <c r="DD1081" i="48"/>
  <c r="DC1081" i="48"/>
  <c r="DD1080" i="48"/>
  <c r="DC1080" i="48"/>
  <c r="DD1079" i="48"/>
  <c r="DC1079" i="48"/>
  <c r="DD1078" i="48"/>
  <c r="DC1078" i="48"/>
  <c r="DD1076" i="48"/>
  <c r="DC1076" i="48"/>
  <c r="DD1075" i="48"/>
  <c r="DC1075" i="48"/>
  <c r="DD1074" i="48"/>
  <c r="DC1074" i="48"/>
  <c r="DD1073" i="48"/>
  <c r="DC1073" i="48"/>
  <c r="DD1072" i="48"/>
  <c r="DC1072" i="48"/>
  <c r="DD1071" i="48"/>
  <c r="DC1071" i="48"/>
  <c r="DD1070" i="48"/>
  <c r="DC1070" i="48"/>
  <c r="DD1069" i="48"/>
  <c r="DC1069" i="48"/>
  <c r="DD1068" i="48"/>
  <c r="DC1068" i="48"/>
  <c r="DD1067" i="48"/>
  <c r="DC1067" i="48"/>
  <c r="DD1066" i="48"/>
  <c r="DC1066" i="48"/>
  <c r="DD1065" i="48"/>
  <c r="DC1065" i="48"/>
  <c r="DD1064" i="48"/>
  <c r="DC1064" i="48"/>
  <c r="DD1063" i="48"/>
  <c r="DC1063" i="48"/>
  <c r="DD1062" i="48"/>
  <c r="DC1062" i="48"/>
  <c r="DD1061" i="48"/>
  <c r="DC1061" i="48"/>
  <c r="DD1060" i="48"/>
  <c r="DC1060" i="48"/>
  <c r="DD1059" i="48"/>
  <c r="DC1059" i="48"/>
  <c r="DD1058" i="48"/>
  <c r="DC1058" i="48"/>
  <c r="DD1057" i="48"/>
  <c r="DC1057" i="48"/>
  <c r="DD1056" i="48"/>
  <c r="DC1056" i="48"/>
  <c r="DD1055" i="48"/>
  <c r="DC1055" i="48"/>
  <c r="DD1054" i="48"/>
  <c r="DC1054" i="48"/>
  <c r="DD1053" i="48"/>
  <c r="DC1053" i="48"/>
  <c r="DD1051" i="48"/>
  <c r="DC1051" i="48"/>
  <c r="DD1050" i="48"/>
  <c r="DC1050" i="48"/>
  <c r="DD1049" i="48"/>
  <c r="DC1049" i="48"/>
  <c r="DD1048" i="48"/>
  <c r="DC1048" i="48"/>
  <c r="DD1047" i="48"/>
  <c r="DC1047" i="48"/>
  <c r="DD1046" i="48"/>
  <c r="DC1046" i="48"/>
  <c r="DD1045" i="48"/>
  <c r="DC1045" i="48"/>
  <c r="DD1044" i="48"/>
  <c r="DC1044" i="48"/>
  <c r="DD1043" i="48"/>
  <c r="DC1043" i="48"/>
  <c r="DD1042" i="48"/>
  <c r="DC1042" i="48"/>
  <c r="DD1041" i="48"/>
  <c r="DC1041" i="48"/>
  <c r="DD1040" i="48"/>
  <c r="DC1040" i="48"/>
  <c r="DD1039" i="48"/>
  <c r="DC1039" i="48"/>
  <c r="DD1038" i="48"/>
  <c r="DC1038" i="48"/>
  <c r="DD1037" i="48"/>
  <c r="DC1037" i="48"/>
  <c r="DD1036" i="48"/>
  <c r="DC1036" i="48"/>
  <c r="DD1035" i="48"/>
  <c r="DC1035" i="48"/>
  <c r="DD1034" i="48"/>
  <c r="DC1034" i="48"/>
  <c r="DD1033" i="48"/>
  <c r="DC1033" i="48"/>
  <c r="DD1032" i="48"/>
  <c r="DC1032" i="48"/>
  <c r="DD1031" i="48"/>
  <c r="DC1031" i="48"/>
  <c r="DD1030" i="48"/>
  <c r="DC1030" i="48"/>
  <c r="DD1029" i="48"/>
  <c r="DC1029" i="48"/>
  <c r="DD1028" i="48"/>
  <c r="DC1028" i="48"/>
  <c r="DD1026" i="48"/>
  <c r="DC1026" i="48"/>
  <c r="DD1025" i="48"/>
  <c r="DC1025" i="48"/>
  <c r="DD1024" i="48"/>
  <c r="DC1024" i="48"/>
  <c r="DD1023" i="48"/>
  <c r="DC1023" i="48"/>
  <c r="DD1022" i="48"/>
  <c r="DC1022" i="48"/>
  <c r="DD1021" i="48"/>
  <c r="DC1021" i="48"/>
  <c r="DD1020" i="48"/>
  <c r="DC1020" i="48"/>
  <c r="DD1019" i="48"/>
  <c r="DC1019" i="48"/>
  <c r="DD1018" i="48"/>
  <c r="DC1018" i="48"/>
  <c r="DD1017" i="48"/>
  <c r="DC1017" i="48"/>
  <c r="DD1016" i="48"/>
  <c r="DC1016" i="48"/>
  <c r="DD1015" i="48"/>
  <c r="DC1015" i="48"/>
  <c r="DD1014" i="48"/>
  <c r="DC1014" i="48"/>
  <c r="DD1013" i="48"/>
  <c r="DC1013" i="48"/>
  <c r="DD1012" i="48"/>
  <c r="DC1012" i="48"/>
  <c r="DD1011" i="48"/>
  <c r="DC1011" i="48"/>
  <c r="DD1010" i="48"/>
  <c r="DC1010" i="48"/>
  <c r="DD1009" i="48"/>
  <c r="DC1009" i="48"/>
  <c r="DD1008" i="48"/>
  <c r="DC1008" i="48"/>
  <c r="DD1007" i="48"/>
  <c r="DC1007" i="48"/>
  <c r="DD1006" i="48"/>
  <c r="DC1006" i="48"/>
  <c r="DD1005" i="48"/>
  <c r="DC1005" i="48"/>
  <c r="DD1004" i="48"/>
  <c r="DC1004" i="48"/>
  <c r="DD1003" i="48"/>
  <c r="DC1003" i="48"/>
  <c r="DD1001" i="48"/>
  <c r="DC1001" i="48"/>
  <c r="DD1000" i="48"/>
  <c r="DC1000" i="48"/>
  <c r="DD999" i="48"/>
  <c r="DC999" i="48"/>
  <c r="DD998" i="48"/>
  <c r="DC998" i="48"/>
  <c r="DD997" i="48"/>
  <c r="DC997" i="48"/>
  <c r="DD996" i="48"/>
  <c r="DC996" i="48"/>
  <c r="DD995" i="48"/>
  <c r="DC995" i="48"/>
  <c r="DD994" i="48"/>
  <c r="DC994" i="48"/>
  <c r="DD993" i="48"/>
  <c r="DC993" i="48"/>
  <c r="DD992" i="48"/>
  <c r="DC992" i="48"/>
  <c r="DD991" i="48"/>
  <c r="DC991" i="48"/>
  <c r="DD990" i="48"/>
  <c r="DC990" i="48"/>
  <c r="DD989" i="48"/>
  <c r="DC989" i="48"/>
  <c r="DD988" i="48"/>
  <c r="DC988" i="48"/>
  <c r="DD987" i="48"/>
  <c r="DC987" i="48"/>
  <c r="DD986" i="48"/>
  <c r="DC986" i="48"/>
  <c r="DD985" i="48"/>
  <c r="DC985" i="48"/>
  <c r="DD984" i="48"/>
  <c r="DC984" i="48"/>
  <c r="DD983" i="48"/>
  <c r="DC983" i="48"/>
  <c r="DD982" i="48"/>
  <c r="DC982" i="48"/>
  <c r="DD981" i="48"/>
  <c r="DC981" i="48"/>
  <c r="DD980" i="48"/>
  <c r="DC980" i="48"/>
  <c r="DD979" i="48"/>
  <c r="DC979" i="48"/>
  <c r="DD978" i="48"/>
  <c r="DC978" i="48"/>
  <c r="DD976" i="48"/>
  <c r="DC976" i="48"/>
  <c r="DD975" i="48"/>
  <c r="DC975" i="48"/>
  <c r="DD974" i="48"/>
  <c r="DC974" i="48"/>
  <c r="DD973" i="48"/>
  <c r="DC973" i="48"/>
  <c r="DD972" i="48"/>
  <c r="DC972" i="48"/>
  <c r="DD971" i="48"/>
  <c r="DC971" i="48"/>
  <c r="DD970" i="48"/>
  <c r="DC970" i="48"/>
  <c r="DD969" i="48"/>
  <c r="DC969" i="48"/>
  <c r="DD968" i="48"/>
  <c r="DC968" i="48"/>
  <c r="DD967" i="48"/>
  <c r="DC967" i="48"/>
  <c r="DD966" i="48"/>
  <c r="DC966" i="48"/>
  <c r="DD965" i="48"/>
  <c r="DC965" i="48"/>
  <c r="DD964" i="48"/>
  <c r="DC964" i="48"/>
  <c r="DD963" i="48"/>
  <c r="DC963" i="48"/>
  <c r="DD962" i="48"/>
  <c r="DC962" i="48"/>
  <c r="DD961" i="48"/>
  <c r="DC961" i="48"/>
  <c r="DD960" i="48"/>
  <c r="DC960" i="48"/>
  <c r="DD959" i="48"/>
  <c r="DC959" i="48"/>
  <c r="DD958" i="48"/>
  <c r="DC958" i="48"/>
  <c r="DD957" i="48"/>
  <c r="DC957" i="48"/>
  <c r="DD956" i="48"/>
  <c r="DC956" i="48"/>
  <c r="DD955" i="48"/>
  <c r="DC955" i="48"/>
  <c r="DD954" i="48"/>
  <c r="DC954" i="48"/>
  <c r="DD953" i="48"/>
  <c r="DC953" i="48"/>
  <c r="DD951" i="48"/>
  <c r="DC951" i="48"/>
  <c r="DD950" i="48"/>
  <c r="DC950" i="48"/>
  <c r="DD949" i="48"/>
  <c r="DC949" i="48"/>
  <c r="DD948" i="48"/>
  <c r="DC948" i="48"/>
  <c r="DD947" i="48"/>
  <c r="DC947" i="48"/>
  <c r="DD946" i="48"/>
  <c r="DC946" i="48"/>
  <c r="DD945" i="48"/>
  <c r="DC945" i="48"/>
  <c r="DD944" i="48"/>
  <c r="DC944" i="48"/>
  <c r="DD943" i="48"/>
  <c r="DC943" i="48"/>
  <c r="DD942" i="48"/>
  <c r="DC942" i="48"/>
  <c r="DD941" i="48"/>
  <c r="DC941" i="48"/>
  <c r="DD940" i="48"/>
  <c r="DC940" i="48"/>
  <c r="DD939" i="48"/>
  <c r="DC939" i="48"/>
  <c r="DD938" i="48"/>
  <c r="DC938" i="48"/>
  <c r="DD937" i="48"/>
  <c r="DC937" i="48"/>
  <c r="DD936" i="48"/>
  <c r="DC936" i="48"/>
  <c r="DD935" i="48"/>
  <c r="DC935" i="48"/>
  <c r="DD934" i="48"/>
  <c r="DC934" i="48"/>
  <c r="DD933" i="48"/>
  <c r="DC933" i="48"/>
  <c r="DD932" i="48"/>
  <c r="DC932" i="48"/>
  <c r="DD931" i="48"/>
  <c r="DC931" i="48"/>
  <c r="DD930" i="48"/>
  <c r="DC930" i="48"/>
  <c r="DD929" i="48"/>
  <c r="DC929" i="48"/>
  <c r="DD928" i="48"/>
  <c r="DC928" i="48"/>
  <c r="DD926" i="48"/>
  <c r="DC926" i="48"/>
  <c r="DD925" i="48"/>
  <c r="DC925" i="48"/>
  <c r="DD924" i="48"/>
  <c r="DC924" i="48"/>
  <c r="DD923" i="48"/>
  <c r="DC923" i="48"/>
  <c r="DD922" i="48"/>
  <c r="DC922" i="48"/>
  <c r="DD921" i="48"/>
  <c r="DC921" i="48"/>
  <c r="DD920" i="48"/>
  <c r="DC920" i="48"/>
  <c r="DD919" i="48"/>
  <c r="DC919" i="48"/>
  <c r="DD918" i="48"/>
  <c r="DC918" i="48"/>
  <c r="DD917" i="48"/>
  <c r="DC917" i="48"/>
  <c r="DD916" i="48"/>
  <c r="DC916" i="48"/>
  <c r="DD915" i="48"/>
  <c r="DC915" i="48"/>
  <c r="DD914" i="48"/>
  <c r="DC914" i="48"/>
  <c r="DD913" i="48"/>
  <c r="DC913" i="48"/>
  <c r="DD912" i="48"/>
  <c r="DC912" i="48"/>
  <c r="DD911" i="48"/>
  <c r="DC911" i="48"/>
  <c r="DD910" i="48"/>
  <c r="DC910" i="48"/>
  <c r="DD909" i="48"/>
  <c r="DC909" i="48"/>
  <c r="DD908" i="48"/>
  <c r="DC908" i="48"/>
  <c r="DD907" i="48"/>
  <c r="DC907" i="48"/>
  <c r="DD906" i="48"/>
  <c r="DC906" i="48"/>
  <c r="DD905" i="48"/>
  <c r="DC905" i="48"/>
  <c r="DD904" i="48"/>
  <c r="DC904" i="48"/>
  <c r="DD903" i="48"/>
  <c r="DC903" i="48"/>
  <c r="DD901" i="48"/>
  <c r="DC901" i="48"/>
  <c r="DD900" i="48"/>
  <c r="DC900" i="48"/>
  <c r="DD899" i="48"/>
  <c r="DC899" i="48"/>
  <c r="DD898" i="48"/>
  <c r="DC898" i="48"/>
  <c r="DD897" i="48"/>
  <c r="DC897" i="48"/>
  <c r="DD896" i="48"/>
  <c r="DC896" i="48"/>
  <c r="DD895" i="48"/>
  <c r="DC895" i="48"/>
  <c r="DD894" i="48"/>
  <c r="DC894" i="48"/>
  <c r="DD893" i="48"/>
  <c r="DC893" i="48"/>
  <c r="DD892" i="48"/>
  <c r="DC892" i="48"/>
  <c r="DD891" i="48"/>
  <c r="DC891" i="48"/>
  <c r="DD890" i="48"/>
  <c r="DC890" i="48"/>
  <c r="DD889" i="48"/>
  <c r="DC889" i="48"/>
  <c r="DD888" i="48"/>
  <c r="DC888" i="48"/>
  <c r="DD887" i="48"/>
  <c r="DC887" i="48"/>
  <c r="DD886" i="48"/>
  <c r="DC886" i="48"/>
  <c r="DD885" i="48"/>
  <c r="DC885" i="48"/>
  <c r="DD884" i="48"/>
  <c r="DC884" i="48"/>
  <c r="DD883" i="48"/>
  <c r="DC883" i="48"/>
  <c r="DD882" i="48"/>
  <c r="DC882" i="48"/>
  <c r="DD881" i="48"/>
  <c r="DC881" i="48"/>
  <c r="DD880" i="48"/>
  <c r="DC880" i="48"/>
  <c r="DD879" i="48"/>
  <c r="DC879" i="48"/>
  <c r="DD878" i="48"/>
  <c r="DC878" i="48"/>
  <c r="DD876" i="48"/>
  <c r="DC876" i="48"/>
  <c r="DD875" i="48"/>
  <c r="DC875" i="48"/>
  <c r="DD874" i="48"/>
  <c r="DC874" i="48"/>
  <c r="DD873" i="48"/>
  <c r="DC873" i="48"/>
  <c r="DD872" i="48"/>
  <c r="DC872" i="48"/>
  <c r="DD871" i="48"/>
  <c r="DC871" i="48"/>
  <c r="DD870" i="48"/>
  <c r="DC870" i="48"/>
  <c r="DD869" i="48"/>
  <c r="DC869" i="48"/>
  <c r="DD868" i="48"/>
  <c r="DC868" i="48"/>
  <c r="DD867" i="48"/>
  <c r="DC867" i="48"/>
  <c r="DD866" i="48"/>
  <c r="DC866" i="48"/>
  <c r="DD865" i="48"/>
  <c r="DC865" i="48"/>
  <c r="DD864" i="48"/>
  <c r="DC864" i="48"/>
  <c r="DD863" i="48"/>
  <c r="DC863" i="48"/>
  <c r="DD862" i="48"/>
  <c r="DC862" i="48"/>
  <c r="DD861" i="48"/>
  <c r="DC861" i="48"/>
  <c r="DD860" i="48"/>
  <c r="DC860" i="48"/>
  <c r="DD859" i="48"/>
  <c r="DC859" i="48"/>
  <c r="DD858" i="48"/>
  <c r="DC858" i="48"/>
  <c r="DD857" i="48"/>
  <c r="DC857" i="48"/>
  <c r="DD856" i="48"/>
  <c r="DC856" i="48"/>
  <c r="DD855" i="48"/>
  <c r="DC855" i="48"/>
  <c r="DD854" i="48"/>
  <c r="DC854" i="48"/>
  <c r="DD853" i="48"/>
  <c r="DC853" i="48"/>
  <c r="DD826" i="48"/>
  <c r="DC826" i="48"/>
  <c r="CU826" i="48" s="1"/>
  <c r="DD825" i="48"/>
  <c r="DC825" i="48"/>
  <c r="DD824" i="48"/>
  <c r="DC824" i="48"/>
  <c r="DD823" i="48"/>
  <c r="DC823" i="48"/>
  <c r="DD822" i="48"/>
  <c r="DC822" i="48"/>
  <c r="DD821" i="48"/>
  <c r="DC821" i="48"/>
  <c r="DD820" i="48"/>
  <c r="DC820" i="48"/>
  <c r="DD819" i="48"/>
  <c r="DC819" i="48"/>
  <c r="DD818" i="48"/>
  <c r="DC818" i="48"/>
  <c r="DD817" i="48"/>
  <c r="DC817" i="48"/>
  <c r="DD816" i="48"/>
  <c r="DC816" i="48"/>
  <c r="DD815" i="48"/>
  <c r="DC815" i="48"/>
  <c r="DD814" i="48"/>
  <c r="DC814" i="48"/>
  <c r="DD813" i="48"/>
  <c r="DC813" i="48"/>
  <c r="DD812" i="48"/>
  <c r="DC812" i="48"/>
  <c r="DD811" i="48"/>
  <c r="DC811" i="48"/>
  <c r="DD810" i="48"/>
  <c r="DC810" i="48"/>
  <c r="DD809" i="48"/>
  <c r="DC809" i="48"/>
  <c r="DD808" i="48"/>
  <c r="DC808" i="48"/>
  <c r="DD807" i="48"/>
  <c r="DC807" i="48"/>
  <c r="DD806" i="48"/>
  <c r="DC806" i="48"/>
  <c r="DD805" i="48"/>
  <c r="DC805" i="48"/>
  <c r="DD804" i="48"/>
  <c r="DC804" i="48"/>
  <c r="DD803" i="48"/>
  <c r="DC803" i="48"/>
  <c r="DD801" i="48"/>
  <c r="DC801" i="48"/>
  <c r="DD800" i="48"/>
  <c r="DC800" i="48"/>
  <c r="DD799" i="48"/>
  <c r="DC799" i="48"/>
  <c r="DD798" i="48"/>
  <c r="DC798" i="48"/>
  <c r="DD797" i="48"/>
  <c r="DC797" i="48"/>
  <c r="DD796" i="48"/>
  <c r="DC796" i="48"/>
  <c r="DD795" i="48"/>
  <c r="DC795" i="48"/>
  <c r="DD794" i="48"/>
  <c r="DC794" i="48"/>
  <c r="DD793" i="48"/>
  <c r="DC793" i="48"/>
  <c r="DD792" i="48"/>
  <c r="DC792" i="48"/>
  <c r="DD791" i="48"/>
  <c r="DC791" i="48"/>
  <c r="DD790" i="48"/>
  <c r="DC790" i="48"/>
  <c r="DD789" i="48"/>
  <c r="DC789" i="48"/>
  <c r="DD788" i="48"/>
  <c r="DC788" i="48"/>
  <c r="DD787" i="48"/>
  <c r="DC787" i="48"/>
  <c r="DD786" i="48"/>
  <c r="DC786" i="48"/>
  <c r="DD785" i="48"/>
  <c r="DC785" i="48"/>
  <c r="DD784" i="48"/>
  <c r="DC784" i="48"/>
  <c r="DD783" i="48"/>
  <c r="DC783" i="48"/>
  <c r="DD782" i="48"/>
  <c r="DC782" i="48"/>
  <c r="DD781" i="48"/>
  <c r="DC781" i="48"/>
  <c r="DD780" i="48"/>
  <c r="DC780" i="48"/>
  <c r="DD779" i="48"/>
  <c r="DC779" i="48"/>
  <c r="DD778" i="48"/>
  <c r="DC778" i="48"/>
  <c r="DD776" i="48"/>
  <c r="DC776" i="48"/>
  <c r="DD775" i="48"/>
  <c r="DC775" i="48"/>
  <c r="DD774" i="48"/>
  <c r="DC774" i="48"/>
  <c r="DD773" i="48"/>
  <c r="DC773" i="48"/>
  <c r="DD772" i="48"/>
  <c r="DC772" i="48"/>
  <c r="DD771" i="48"/>
  <c r="DC771" i="48"/>
  <c r="DD770" i="48"/>
  <c r="DC770" i="48"/>
  <c r="DD769" i="48"/>
  <c r="DC769" i="48"/>
  <c r="DD768" i="48"/>
  <c r="DC768" i="48"/>
  <c r="DD767" i="48"/>
  <c r="DC767" i="48"/>
  <c r="DD766" i="48"/>
  <c r="DC766" i="48"/>
  <c r="DD765" i="48"/>
  <c r="DC765" i="48"/>
  <c r="DD764" i="48"/>
  <c r="DC764" i="48"/>
  <c r="DD763" i="48"/>
  <c r="DC763" i="48"/>
  <c r="DD762" i="48"/>
  <c r="DC762" i="48"/>
  <c r="DD761" i="48"/>
  <c r="DC761" i="48"/>
  <c r="DD760" i="48"/>
  <c r="DC760" i="48"/>
  <c r="DD759" i="48"/>
  <c r="DC759" i="48"/>
  <c r="DD758" i="48"/>
  <c r="DC758" i="48"/>
  <c r="DD757" i="48"/>
  <c r="DC757" i="48"/>
  <c r="DD756" i="48"/>
  <c r="DC756" i="48"/>
  <c r="DD755" i="48"/>
  <c r="DC755" i="48"/>
  <c r="DD754" i="48"/>
  <c r="DC754" i="48"/>
  <c r="DD753" i="48"/>
  <c r="DC753" i="48"/>
  <c r="DD751" i="48"/>
  <c r="DC751" i="48"/>
  <c r="DD750" i="48"/>
  <c r="DC750" i="48"/>
  <c r="DD749" i="48"/>
  <c r="DC749" i="48"/>
  <c r="DD748" i="48"/>
  <c r="DC748" i="48"/>
  <c r="DD747" i="48"/>
  <c r="DC747" i="48"/>
  <c r="DD746" i="48"/>
  <c r="DC746" i="48"/>
  <c r="DD745" i="48"/>
  <c r="DC745" i="48"/>
  <c r="DD744" i="48"/>
  <c r="DC744" i="48"/>
  <c r="DD743" i="48"/>
  <c r="DC743" i="48"/>
  <c r="DD742" i="48"/>
  <c r="DC742" i="48"/>
  <c r="DD741" i="48"/>
  <c r="DC741" i="48"/>
  <c r="DD740" i="48"/>
  <c r="DC740" i="48"/>
  <c r="DD739" i="48"/>
  <c r="DC739" i="48"/>
  <c r="DD738" i="48"/>
  <c r="DC738" i="48"/>
  <c r="DD737" i="48"/>
  <c r="DC737" i="48"/>
  <c r="DD736" i="48"/>
  <c r="DC736" i="48"/>
  <c r="DD735" i="48"/>
  <c r="DC735" i="48"/>
  <c r="DD734" i="48"/>
  <c r="DC734" i="48"/>
  <c r="DD733" i="48"/>
  <c r="DC733" i="48"/>
  <c r="DD732" i="48"/>
  <c r="DC732" i="48"/>
  <c r="DD731" i="48"/>
  <c r="DC731" i="48"/>
  <c r="DD730" i="48"/>
  <c r="DC730" i="48"/>
  <c r="DD729" i="48"/>
  <c r="DC729" i="48"/>
  <c r="DD728" i="48"/>
  <c r="DC728" i="48"/>
  <c r="DD726" i="48"/>
  <c r="DC726" i="48"/>
  <c r="DD725" i="48"/>
  <c r="DC725" i="48"/>
  <c r="DD724" i="48"/>
  <c r="DC724" i="48"/>
  <c r="DD723" i="48"/>
  <c r="DC723" i="48"/>
  <c r="DD722" i="48"/>
  <c r="DC722" i="48"/>
  <c r="DD721" i="48"/>
  <c r="DC721" i="48"/>
  <c r="DD720" i="48"/>
  <c r="DC720" i="48"/>
  <c r="DD719" i="48"/>
  <c r="DC719" i="48"/>
  <c r="DD718" i="48"/>
  <c r="DC718" i="48"/>
  <c r="DD717" i="48"/>
  <c r="DC717" i="48"/>
  <c r="DD716" i="48"/>
  <c r="DC716" i="48"/>
  <c r="DD715" i="48"/>
  <c r="DC715" i="48"/>
  <c r="DD714" i="48"/>
  <c r="DC714" i="48"/>
  <c r="DD713" i="48"/>
  <c r="DC713" i="48"/>
  <c r="DD712" i="48"/>
  <c r="DC712" i="48"/>
  <c r="DD711" i="48"/>
  <c r="DC711" i="48"/>
  <c r="DD710" i="48"/>
  <c r="DC710" i="48"/>
  <c r="DD709" i="48"/>
  <c r="DC709" i="48"/>
  <c r="DD708" i="48"/>
  <c r="DC708" i="48"/>
  <c r="DD707" i="48"/>
  <c r="DC707" i="48"/>
  <c r="DD706" i="48"/>
  <c r="DC706" i="48"/>
  <c r="DD705" i="48"/>
  <c r="DC705" i="48"/>
  <c r="DD704" i="48"/>
  <c r="DC704" i="48"/>
  <c r="DD703" i="48"/>
  <c r="DC703" i="48"/>
  <c r="DD701" i="48"/>
  <c r="DC701" i="48"/>
  <c r="DD700" i="48"/>
  <c r="DC700" i="48"/>
  <c r="DD699" i="48"/>
  <c r="DC699" i="48"/>
  <c r="DD698" i="48"/>
  <c r="DC698" i="48"/>
  <c r="DD697" i="48"/>
  <c r="DC697" i="48"/>
  <c r="DD696" i="48"/>
  <c r="DC696" i="48"/>
  <c r="DD695" i="48"/>
  <c r="DC695" i="48"/>
  <c r="DD694" i="48"/>
  <c r="DC694" i="48"/>
  <c r="DD693" i="48"/>
  <c r="DC693" i="48"/>
  <c r="DD692" i="48"/>
  <c r="DC692" i="48"/>
  <c r="DD691" i="48"/>
  <c r="DC691" i="48"/>
  <c r="DD690" i="48"/>
  <c r="DC690" i="48"/>
  <c r="DD689" i="48"/>
  <c r="DC689" i="48"/>
  <c r="DD688" i="48"/>
  <c r="DC688" i="48"/>
  <c r="DD687" i="48"/>
  <c r="DC687" i="48"/>
  <c r="DD686" i="48"/>
  <c r="DC686" i="48"/>
  <c r="DD685" i="48"/>
  <c r="DC685" i="48"/>
  <c r="DD684" i="48"/>
  <c r="DC684" i="48"/>
  <c r="DD683" i="48"/>
  <c r="DC683" i="48"/>
  <c r="DD682" i="48"/>
  <c r="DC682" i="48"/>
  <c r="DD681" i="48"/>
  <c r="DC681" i="48"/>
  <c r="DD680" i="48"/>
  <c r="DC680" i="48"/>
  <c r="DD679" i="48"/>
  <c r="DC679" i="48"/>
  <c r="DD678" i="48"/>
  <c r="DC678" i="48"/>
  <c r="DD676" i="48"/>
  <c r="DC676" i="48"/>
  <c r="DD675" i="48"/>
  <c r="DC675" i="48"/>
  <c r="DD674" i="48"/>
  <c r="DC674" i="48"/>
  <c r="DD673" i="48"/>
  <c r="DC673" i="48"/>
  <c r="DD672" i="48"/>
  <c r="DC672" i="48"/>
  <c r="DD671" i="48"/>
  <c r="DC671" i="48"/>
  <c r="DD670" i="48"/>
  <c r="DC670" i="48"/>
  <c r="DD669" i="48"/>
  <c r="DC669" i="48"/>
  <c r="DD668" i="48"/>
  <c r="DC668" i="48"/>
  <c r="DD667" i="48"/>
  <c r="DC667" i="48"/>
  <c r="DD666" i="48"/>
  <c r="DC666" i="48"/>
  <c r="DD665" i="48"/>
  <c r="DC665" i="48"/>
  <c r="DD664" i="48"/>
  <c r="DC664" i="48"/>
  <c r="DD663" i="48"/>
  <c r="DC663" i="48"/>
  <c r="DD662" i="48"/>
  <c r="DC662" i="48"/>
  <c r="DD661" i="48"/>
  <c r="DC661" i="48"/>
  <c r="DD660" i="48"/>
  <c r="DC660" i="48"/>
  <c r="DD659" i="48"/>
  <c r="DC659" i="48"/>
  <c r="DD658" i="48"/>
  <c r="DC658" i="48"/>
  <c r="DD657" i="48"/>
  <c r="DC657" i="48"/>
  <c r="DD656" i="48"/>
  <c r="DC656" i="48"/>
  <c r="DD655" i="48"/>
  <c r="DC655" i="48"/>
  <c r="DD654" i="48"/>
  <c r="DC654" i="48"/>
  <c r="DD653" i="48"/>
  <c r="DC653" i="48"/>
  <c r="DD651" i="48"/>
  <c r="DC651" i="48"/>
  <c r="DD650" i="48"/>
  <c r="DC650" i="48"/>
  <c r="DD649" i="48"/>
  <c r="DC649" i="48"/>
  <c r="DD648" i="48"/>
  <c r="DC648" i="48"/>
  <c r="DD647" i="48"/>
  <c r="DC647" i="48"/>
  <c r="DD646" i="48"/>
  <c r="DC646" i="48"/>
  <c r="DD645" i="48"/>
  <c r="DC645" i="48"/>
  <c r="DD644" i="48"/>
  <c r="DC644" i="48"/>
  <c r="DD643" i="48"/>
  <c r="DC643" i="48"/>
  <c r="DD642" i="48"/>
  <c r="DC642" i="48"/>
  <c r="DD641" i="48"/>
  <c r="DC641" i="48"/>
  <c r="DD640" i="48"/>
  <c r="DC640" i="48"/>
  <c r="DD639" i="48"/>
  <c r="DC639" i="48"/>
  <c r="DD638" i="48"/>
  <c r="DC638" i="48"/>
  <c r="DD637" i="48"/>
  <c r="DC637" i="48"/>
  <c r="DD636" i="48"/>
  <c r="DC636" i="48"/>
  <c r="DD635" i="48"/>
  <c r="DC635" i="48"/>
  <c r="DD634" i="48"/>
  <c r="DC634" i="48"/>
  <c r="DD633" i="48"/>
  <c r="DC633" i="48"/>
  <c r="DD632" i="48"/>
  <c r="DC632" i="48"/>
  <c r="DD631" i="48"/>
  <c r="DC631" i="48"/>
  <c r="DD630" i="48"/>
  <c r="DC630" i="48"/>
  <c r="DD629" i="48"/>
  <c r="DC629" i="48"/>
  <c r="DD628" i="48"/>
  <c r="DC628" i="48"/>
  <c r="DD626" i="48"/>
  <c r="DC626" i="48"/>
  <c r="DD625" i="48"/>
  <c r="DC625" i="48"/>
  <c r="DD624" i="48"/>
  <c r="DC624" i="48"/>
  <c r="DD623" i="48"/>
  <c r="DC623" i="48"/>
  <c r="DD622" i="48"/>
  <c r="DC622" i="48"/>
  <c r="DD621" i="48"/>
  <c r="DC621" i="48"/>
  <c r="DD620" i="48"/>
  <c r="DC620" i="48"/>
  <c r="DD619" i="48"/>
  <c r="DC619" i="48"/>
  <c r="DD618" i="48"/>
  <c r="DC618" i="48"/>
  <c r="DD617" i="48"/>
  <c r="DC617" i="48"/>
  <c r="DD616" i="48"/>
  <c r="DC616" i="48"/>
  <c r="DD615" i="48"/>
  <c r="DC615" i="48"/>
  <c r="DD614" i="48"/>
  <c r="DC614" i="48"/>
  <c r="DD613" i="48"/>
  <c r="DC613" i="48"/>
  <c r="DD612" i="48"/>
  <c r="DC612" i="48"/>
  <c r="DD611" i="48"/>
  <c r="DC611" i="48"/>
  <c r="DD610" i="48"/>
  <c r="DC610" i="48"/>
  <c r="DD609" i="48"/>
  <c r="DC609" i="48"/>
  <c r="DD608" i="48"/>
  <c r="DC608" i="48"/>
  <c r="DD607" i="48"/>
  <c r="DC607" i="48"/>
  <c r="DD606" i="48"/>
  <c r="DC606" i="48"/>
  <c r="DD605" i="48"/>
  <c r="DC605" i="48"/>
  <c r="DD604" i="48"/>
  <c r="DC604" i="48"/>
  <c r="DD603" i="48"/>
  <c r="DC603" i="48"/>
  <c r="DD601" i="48"/>
  <c r="DC601" i="48"/>
  <c r="DD600" i="48"/>
  <c r="DC600" i="48"/>
  <c r="DD599" i="48"/>
  <c r="DC599" i="48"/>
  <c r="DD598" i="48"/>
  <c r="DC598" i="48"/>
  <c r="DD597" i="48"/>
  <c r="DC597" i="48"/>
  <c r="DD596" i="48"/>
  <c r="DC596" i="48"/>
  <c r="DD595" i="48"/>
  <c r="DC595" i="48"/>
  <c r="DD594" i="48"/>
  <c r="DC594" i="48"/>
  <c r="DD593" i="48"/>
  <c r="DC593" i="48"/>
  <c r="DD592" i="48"/>
  <c r="DC592" i="48"/>
  <c r="DD591" i="48"/>
  <c r="DC591" i="48"/>
  <c r="DD590" i="48"/>
  <c r="DC590" i="48"/>
  <c r="DD589" i="48"/>
  <c r="DC589" i="48"/>
  <c r="DD588" i="48"/>
  <c r="DC588" i="48"/>
  <c r="DD587" i="48"/>
  <c r="DC587" i="48"/>
  <c r="DD586" i="48"/>
  <c r="DC586" i="48"/>
  <c r="DD585" i="48"/>
  <c r="DC585" i="48"/>
  <c r="DD584" i="48"/>
  <c r="DC584" i="48"/>
  <c r="DD583" i="48"/>
  <c r="DC583" i="48"/>
  <c r="DD582" i="48"/>
  <c r="DC582" i="48"/>
  <c r="DD581" i="48"/>
  <c r="DC581" i="48"/>
  <c r="DD580" i="48"/>
  <c r="DC580" i="48"/>
  <c r="DD579" i="48"/>
  <c r="DC579" i="48"/>
  <c r="DD578" i="48"/>
  <c r="DC578" i="48"/>
  <c r="DD576" i="48"/>
  <c r="DC576" i="48"/>
  <c r="DD575" i="48"/>
  <c r="DC575" i="48"/>
  <c r="DD574" i="48"/>
  <c r="DC574" i="48"/>
  <c r="DD573" i="48"/>
  <c r="DC573" i="48"/>
  <c r="DD572" i="48"/>
  <c r="DC572" i="48"/>
  <c r="DD571" i="48"/>
  <c r="DC571" i="48"/>
  <c r="DD570" i="48"/>
  <c r="DC570" i="48"/>
  <c r="DD569" i="48"/>
  <c r="DC569" i="48"/>
  <c r="DD568" i="48"/>
  <c r="DC568" i="48"/>
  <c r="DD567" i="48"/>
  <c r="DC567" i="48"/>
  <c r="DD566" i="48"/>
  <c r="DC566" i="48"/>
  <c r="DD565" i="48"/>
  <c r="DC565" i="48"/>
  <c r="DD564" i="48"/>
  <c r="DC564" i="48"/>
  <c r="DD563" i="48"/>
  <c r="DC563" i="48"/>
  <c r="DD562" i="48"/>
  <c r="DC562" i="48"/>
  <c r="DD561" i="48"/>
  <c r="DC561" i="48"/>
  <c r="DD560" i="48"/>
  <c r="DC560" i="48"/>
  <c r="DD559" i="48"/>
  <c r="DC559" i="48"/>
  <c r="DD558" i="48"/>
  <c r="DC558" i="48"/>
  <c r="DD557" i="48"/>
  <c r="DC557" i="48"/>
  <c r="DD556" i="48"/>
  <c r="DC556" i="48"/>
  <c r="DD555" i="48"/>
  <c r="DC555" i="48"/>
  <c r="DD554" i="48"/>
  <c r="DC554" i="48"/>
  <c r="DD553" i="48"/>
  <c r="DC553" i="48"/>
  <c r="DD551" i="48"/>
  <c r="DC551" i="48"/>
  <c r="DD550" i="48"/>
  <c r="DC550" i="48"/>
  <c r="DD549" i="48"/>
  <c r="DC549" i="48"/>
  <c r="DD548" i="48"/>
  <c r="DC548" i="48"/>
  <c r="DD547" i="48"/>
  <c r="DC547" i="48"/>
  <c r="DD546" i="48"/>
  <c r="DC546" i="48"/>
  <c r="DD545" i="48"/>
  <c r="DC545" i="48"/>
  <c r="DD544" i="48"/>
  <c r="DC544" i="48"/>
  <c r="DD543" i="48"/>
  <c r="DC543" i="48"/>
  <c r="DD542" i="48"/>
  <c r="DC542" i="48"/>
  <c r="DD541" i="48"/>
  <c r="DC541" i="48"/>
  <c r="DD540" i="48"/>
  <c r="DC540" i="48"/>
  <c r="DD539" i="48"/>
  <c r="DC539" i="48"/>
  <c r="DD538" i="48"/>
  <c r="DC538" i="48"/>
  <c r="DD537" i="48"/>
  <c r="DC537" i="48"/>
  <c r="DD536" i="48"/>
  <c r="DC536" i="48"/>
  <c r="DD535" i="48"/>
  <c r="DC535" i="48"/>
  <c r="DD534" i="48"/>
  <c r="DC534" i="48"/>
  <c r="DD533" i="48"/>
  <c r="DC533" i="48"/>
  <c r="DD532" i="48"/>
  <c r="DC532" i="48"/>
  <c r="DD531" i="48"/>
  <c r="DC531" i="48"/>
  <c r="DD530" i="48"/>
  <c r="DC530" i="48"/>
  <c r="DD529" i="48"/>
  <c r="DC529" i="48"/>
  <c r="DD528" i="48"/>
  <c r="DC528" i="48"/>
  <c r="DD526" i="48"/>
  <c r="DC526" i="48"/>
  <c r="DD525" i="48"/>
  <c r="DC525" i="48"/>
  <c r="DD524" i="48"/>
  <c r="DC524" i="48"/>
  <c r="DD523" i="48"/>
  <c r="DC523" i="48"/>
  <c r="DD522" i="48"/>
  <c r="DC522" i="48"/>
  <c r="DD521" i="48"/>
  <c r="DC521" i="48"/>
  <c r="DD520" i="48"/>
  <c r="DC520" i="48"/>
  <c r="DD519" i="48"/>
  <c r="DC519" i="48"/>
  <c r="DD518" i="48"/>
  <c r="DC518" i="48"/>
  <c r="DD517" i="48"/>
  <c r="DC517" i="48"/>
  <c r="DD516" i="48"/>
  <c r="DC516" i="48"/>
  <c r="DD515" i="48"/>
  <c r="DC515" i="48"/>
  <c r="DD514" i="48"/>
  <c r="DC514" i="48"/>
  <c r="DD513" i="48"/>
  <c r="DC513" i="48"/>
  <c r="DD512" i="48"/>
  <c r="DC512" i="48"/>
  <c r="DD511" i="48"/>
  <c r="DC511" i="48"/>
  <c r="DD510" i="48"/>
  <c r="DC510" i="48"/>
  <c r="DD509" i="48"/>
  <c r="DC509" i="48"/>
  <c r="DD508" i="48"/>
  <c r="DC508" i="48"/>
  <c r="DD507" i="48"/>
  <c r="DC507" i="48"/>
  <c r="DD506" i="48"/>
  <c r="DC506" i="48"/>
  <c r="DD505" i="48"/>
  <c r="DC505" i="48"/>
  <c r="DD504" i="48"/>
  <c r="DC504" i="48"/>
  <c r="DD503" i="48"/>
  <c r="DC503" i="48"/>
  <c r="DD501" i="48"/>
  <c r="DC501" i="48"/>
  <c r="DD500" i="48"/>
  <c r="DC500" i="48"/>
  <c r="DD499" i="48"/>
  <c r="DC499" i="48"/>
  <c r="DD498" i="48"/>
  <c r="DC498" i="48"/>
  <c r="DD497" i="48"/>
  <c r="DC497" i="48"/>
  <c r="DD496" i="48"/>
  <c r="DC496" i="48"/>
  <c r="DD495" i="48"/>
  <c r="DC495" i="48"/>
  <c r="DD494" i="48"/>
  <c r="DC494" i="48"/>
  <c r="DD493" i="48"/>
  <c r="DC493" i="48"/>
  <c r="DD492" i="48"/>
  <c r="DC492" i="48"/>
  <c r="DD491" i="48"/>
  <c r="DC491" i="48"/>
  <c r="DD490" i="48"/>
  <c r="DC490" i="48"/>
  <c r="DD489" i="48"/>
  <c r="DC489" i="48"/>
  <c r="DD488" i="48"/>
  <c r="DC488" i="48"/>
  <c r="DD487" i="48"/>
  <c r="DC487" i="48"/>
  <c r="DD486" i="48"/>
  <c r="DC486" i="48"/>
  <c r="DD485" i="48"/>
  <c r="DC485" i="48"/>
  <c r="DD484" i="48"/>
  <c r="DC484" i="48"/>
  <c r="DD483" i="48"/>
  <c r="DC483" i="48"/>
  <c r="DD482" i="48"/>
  <c r="DC482" i="48"/>
  <c r="DD481" i="48"/>
  <c r="DC481" i="48"/>
  <c r="DD480" i="48"/>
  <c r="DC480" i="48"/>
  <c r="DD479" i="48"/>
  <c r="DC479" i="48"/>
  <c r="DD478" i="48"/>
  <c r="DC478" i="48"/>
  <c r="DD476" i="48"/>
  <c r="DC476" i="48"/>
  <c r="DD475" i="48"/>
  <c r="DC475" i="48"/>
  <c r="DD474" i="48"/>
  <c r="DC474" i="48"/>
  <c r="DD473" i="48"/>
  <c r="DC473" i="48"/>
  <c r="DD472" i="48"/>
  <c r="DC472" i="48"/>
  <c r="DD471" i="48"/>
  <c r="DC471" i="48"/>
  <c r="DD470" i="48"/>
  <c r="DC470" i="48"/>
  <c r="DD469" i="48"/>
  <c r="DC469" i="48"/>
  <c r="DD468" i="48"/>
  <c r="DC468" i="48"/>
  <c r="DD467" i="48"/>
  <c r="DC467" i="48"/>
  <c r="DD466" i="48"/>
  <c r="DC466" i="48"/>
  <c r="DD465" i="48"/>
  <c r="DC465" i="48"/>
  <c r="DD464" i="48"/>
  <c r="DC464" i="48"/>
  <c r="DD463" i="48"/>
  <c r="DC463" i="48"/>
  <c r="DD462" i="48"/>
  <c r="DC462" i="48"/>
  <c r="DD461" i="48"/>
  <c r="DC461" i="48"/>
  <c r="DD460" i="48"/>
  <c r="DC460" i="48"/>
  <c r="DD459" i="48"/>
  <c r="DC459" i="48"/>
  <c r="DD458" i="48"/>
  <c r="DC458" i="48"/>
  <c r="DD457" i="48"/>
  <c r="DC457" i="48"/>
  <c r="DD456" i="48"/>
  <c r="DC456" i="48"/>
  <c r="DD455" i="48"/>
  <c r="DC455" i="48"/>
  <c r="DD454" i="48"/>
  <c r="DC454" i="48"/>
  <c r="DD453" i="48"/>
  <c r="DC453" i="48"/>
  <c r="DD451" i="48"/>
  <c r="DC451" i="48"/>
  <c r="DD450" i="48"/>
  <c r="DC450" i="48"/>
  <c r="DD449" i="48"/>
  <c r="DC449" i="48"/>
  <c r="DD448" i="48"/>
  <c r="DC448" i="48"/>
  <c r="DD447" i="48"/>
  <c r="DC447" i="48"/>
  <c r="DD446" i="48"/>
  <c r="DC446" i="48"/>
  <c r="DD445" i="48"/>
  <c r="DC445" i="48"/>
  <c r="DD444" i="48"/>
  <c r="DC444" i="48"/>
  <c r="DD443" i="48"/>
  <c r="DC443" i="48"/>
  <c r="DD442" i="48"/>
  <c r="DC442" i="48"/>
  <c r="DD441" i="48"/>
  <c r="DC441" i="48"/>
  <c r="DD440" i="48"/>
  <c r="DC440" i="48"/>
  <c r="DD439" i="48"/>
  <c r="DC439" i="48"/>
  <c r="DD438" i="48"/>
  <c r="DC438" i="48"/>
  <c r="DD437" i="48"/>
  <c r="DC437" i="48"/>
  <c r="DD436" i="48"/>
  <c r="DC436" i="48"/>
  <c r="DD435" i="48"/>
  <c r="DC435" i="48"/>
  <c r="DD434" i="48"/>
  <c r="DC434" i="48"/>
  <c r="DD433" i="48"/>
  <c r="DC433" i="48"/>
  <c r="DD432" i="48"/>
  <c r="DC432" i="48"/>
  <c r="DD431" i="48"/>
  <c r="DC431" i="48"/>
  <c r="DD430" i="48"/>
  <c r="DC430" i="48"/>
  <c r="DD429" i="48"/>
  <c r="DC429" i="48"/>
  <c r="DD428" i="48"/>
  <c r="DC428" i="48"/>
  <c r="DD426" i="48"/>
  <c r="DC426" i="48"/>
  <c r="DD425" i="48"/>
  <c r="DC425" i="48"/>
  <c r="DD424" i="48"/>
  <c r="DC424" i="48"/>
  <c r="DD423" i="48"/>
  <c r="DC423" i="48"/>
  <c r="DD422" i="48"/>
  <c r="DC422" i="48"/>
  <c r="DD421" i="48"/>
  <c r="DC421" i="48"/>
  <c r="DD420" i="48"/>
  <c r="DC420" i="48"/>
  <c r="DD419" i="48"/>
  <c r="DC419" i="48"/>
  <c r="DD418" i="48"/>
  <c r="DC418" i="48"/>
  <c r="DD417" i="48"/>
  <c r="DC417" i="48"/>
  <c r="DD416" i="48"/>
  <c r="DC416" i="48"/>
  <c r="DD415" i="48"/>
  <c r="DC415" i="48"/>
  <c r="DD414" i="48"/>
  <c r="DC414" i="48"/>
  <c r="DD413" i="48"/>
  <c r="DC413" i="48"/>
  <c r="DD412" i="48"/>
  <c r="DC412" i="48"/>
  <c r="DD411" i="48"/>
  <c r="DC411" i="48"/>
  <c r="DD410" i="48"/>
  <c r="DC410" i="48"/>
  <c r="DD409" i="48"/>
  <c r="DC409" i="48"/>
  <c r="DD408" i="48"/>
  <c r="DC408" i="48"/>
  <c r="DD407" i="48"/>
  <c r="DC407" i="48"/>
  <c r="DD406" i="48"/>
  <c r="DC406" i="48"/>
  <c r="DD405" i="48"/>
  <c r="DC405" i="48"/>
  <c r="DD404" i="48"/>
  <c r="DC404" i="48"/>
  <c r="DD403" i="48"/>
  <c r="DC403" i="48"/>
  <c r="DD401" i="48"/>
  <c r="DC401" i="48"/>
  <c r="DD400" i="48"/>
  <c r="DC400" i="48"/>
  <c r="DD399" i="48"/>
  <c r="DC399" i="48"/>
  <c r="DD398" i="48"/>
  <c r="DC398" i="48"/>
  <c r="DD397" i="48"/>
  <c r="DC397" i="48"/>
  <c r="DD396" i="48"/>
  <c r="DC396" i="48"/>
  <c r="DD395" i="48"/>
  <c r="DC395" i="48"/>
  <c r="DD394" i="48"/>
  <c r="DC394" i="48"/>
  <c r="DD393" i="48"/>
  <c r="DC393" i="48"/>
  <c r="DD392" i="48"/>
  <c r="DC392" i="48"/>
  <c r="DD391" i="48"/>
  <c r="DC391" i="48"/>
  <c r="DD390" i="48"/>
  <c r="DC390" i="48"/>
  <c r="DD389" i="48"/>
  <c r="DC389" i="48"/>
  <c r="DD388" i="48"/>
  <c r="DC388" i="48"/>
  <c r="DD387" i="48"/>
  <c r="DC387" i="48"/>
  <c r="DD386" i="48"/>
  <c r="DC386" i="48"/>
  <c r="DD385" i="48"/>
  <c r="DC385" i="48"/>
  <c r="DD384" i="48"/>
  <c r="DC384" i="48"/>
  <c r="DD383" i="48"/>
  <c r="DC383" i="48"/>
  <c r="DD382" i="48"/>
  <c r="DC382" i="48"/>
  <c r="DD381" i="48"/>
  <c r="DC381" i="48"/>
  <c r="DD380" i="48"/>
  <c r="DC380" i="48"/>
  <c r="DD379" i="48"/>
  <c r="DC379" i="48"/>
  <c r="DD378" i="48"/>
  <c r="DC378" i="48"/>
  <c r="DD376" i="48"/>
  <c r="DC376" i="48"/>
  <c r="DD375" i="48"/>
  <c r="DC375" i="48"/>
  <c r="DD374" i="48"/>
  <c r="DC374" i="48"/>
  <c r="DD373" i="48"/>
  <c r="DC373" i="48"/>
  <c r="DD372" i="48"/>
  <c r="DC372" i="48"/>
  <c r="DD371" i="48"/>
  <c r="DC371" i="48"/>
  <c r="DD370" i="48"/>
  <c r="DC370" i="48"/>
  <c r="DD369" i="48"/>
  <c r="DC369" i="48"/>
  <c r="DD368" i="48"/>
  <c r="DC368" i="48"/>
  <c r="DD367" i="48"/>
  <c r="DC367" i="48"/>
  <c r="DD366" i="48"/>
  <c r="DC366" i="48"/>
  <c r="DD365" i="48"/>
  <c r="DC365" i="48"/>
  <c r="DD364" i="48"/>
  <c r="DC364" i="48"/>
  <c r="DD363" i="48"/>
  <c r="DC363" i="48"/>
  <c r="DD362" i="48"/>
  <c r="DC362" i="48"/>
  <c r="DD361" i="48"/>
  <c r="DC361" i="48"/>
  <c r="DD360" i="48"/>
  <c r="DC360" i="48"/>
  <c r="DD359" i="48"/>
  <c r="DC359" i="48"/>
  <c r="DD358" i="48"/>
  <c r="DC358" i="48"/>
  <c r="DD357" i="48"/>
  <c r="DC357" i="48"/>
  <c r="DD356" i="48"/>
  <c r="DC356" i="48"/>
  <c r="DD355" i="48"/>
  <c r="DC355" i="48"/>
  <c r="DD354" i="48"/>
  <c r="DC354" i="48"/>
  <c r="DD353" i="48"/>
  <c r="DC353" i="48"/>
  <c r="DD351" i="48"/>
  <c r="DC351" i="48"/>
  <c r="DD350" i="48"/>
  <c r="DC350" i="48"/>
  <c r="DD349" i="48"/>
  <c r="DC349" i="48"/>
  <c r="DD348" i="48"/>
  <c r="DC348" i="48"/>
  <c r="DD347" i="48"/>
  <c r="DC347" i="48"/>
  <c r="DD346" i="48"/>
  <c r="DC346" i="48"/>
  <c r="DD345" i="48"/>
  <c r="DC345" i="48"/>
  <c r="DD344" i="48"/>
  <c r="DC344" i="48"/>
  <c r="DD343" i="48"/>
  <c r="DC343" i="48"/>
  <c r="DD342" i="48"/>
  <c r="DC342" i="48"/>
  <c r="DD341" i="48"/>
  <c r="DC341" i="48"/>
  <c r="DD340" i="48"/>
  <c r="DC340" i="48"/>
  <c r="DD339" i="48"/>
  <c r="DC339" i="48"/>
  <c r="DD338" i="48"/>
  <c r="DC338" i="48"/>
  <c r="DD337" i="48"/>
  <c r="DC337" i="48"/>
  <c r="DD336" i="48"/>
  <c r="DC336" i="48"/>
  <c r="DD335" i="48"/>
  <c r="DC335" i="48"/>
  <c r="DD334" i="48"/>
  <c r="DC334" i="48"/>
  <c r="DD333" i="48"/>
  <c r="DC333" i="48"/>
  <c r="DD332" i="48"/>
  <c r="DC332" i="48"/>
  <c r="DD331" i="48"/>
  <c r="DC331" i="48"/>
  <c r="DD330" i="48"/>
  <c r="DC330" i="48"/>
  <c r="DD329" i="48"/>
  <c r="DC329" i="48"/>
  <c r="DD328" i="48"/>
  <c r="DC328" i="48"/>
  <c r="DD326" i="48"/>
  <c r="DC326" i="48"/>
  <c r="DD325" i="48"/>
  <c r="DC325" i="48"/>
  <c r="DD324" i="48"/>
  <c r="DC324" i="48"/>
  <c r="DD323" i="48"/>
  <c r="DC323" i="48"/>
  <c r="DD322" i="48"/>
  <c r="DC322" i="48"/>
  <c r="DD321" i="48"/>
  <c r="DC321" i="48"/>
  <c r="DD320" i="48"/>
  <c r="DC320" i="48"/>
  <c r="DD319" i="48"/>
  <c r="DC319" i="48"/>
  <c r="DD318" i="48"/>
  <c r="DC318" i="48"/>
  <c r="DD317" i="48"/>
  <c r="DC317" i="48"/>
  <c r="DD316" i="48"/>
  <c r="DC316" i="48"/>
  <c r="DD315" i="48"/>
  <c r="DC315" i="48"/>
  <c r="DD314" i="48"/>
  <c r="DC314" i="48"/>
  <c r="DD313" i="48"/>
  <c r="DC313" i="48"/>
  <c r="DD312" i="48"/>
  <c r="DC312" i="48"/>
  <c r="DD311" i="48"/>
  <c r="DC311" i="48"/>
  <c r="DD310" i="48"/>
  <c r="DC310" i="48"/>
  <c r="DD309" i="48"/>
  <c r="DC309" i="48"/>
  <c r="DD308" i="48"/>
  <c r="DC308" i="48"/>
  <c r="DD307" i="48"/>
  <c r="DC307" i="48"/>
  <c r="DD306" i="48"/>
  <c r="DC306" i="48"/>
  <c r="DD305" i="48"/>
  <c r="DC305" i="48"/>
  <c r="DD304" i="48"/>
  <c r="DC304" i="48"/>
  <c r="DD303" i="48"/>
  <c r="DC303" i="48"/>
  <c r="DD301" i="48"/>
  <c r="DC301" i="48"/>
  <c r="DD300" i="48"/>
  <c r="DC300" i="48"/>
  <c r="DD299" i="48"/>
  <c r="DC299" i="48"/>
  <c r="DD298" i="48"/>
  <c r="DC298" i="48"/>
  <c r="DD297" i="48"/>
  <c r="DC297" i="48"/>
  <c r="DD296" i="48"/>
  <c r="DC296" i="48"/>
  <c r="DD295" i="48"/>
  <c r="DC295" i="48"/>
  <c r="DD294" i="48"/>
  <c r="DC294" i="48"/>
  <c r="DD293" i="48"/>
  <c r="DC293" i="48"/>
  <c r="DD292" i="48"/>
  <c r="DC292" i="48"/>
  <c r="DD291" i="48"/>
  <c r="DC291" i="48"/>
  <c r="DD290" i="48"/>
  <c r="DC290" i="48"/>
  <c r="DD289" i="48"/>
  <c r="DC289" i="48"/>
  <c r="DD288" i="48"/>
  <c r="DC288" i="48"/>
  <c r="DD287" i="48"/>
  <c r="DC287" i="48"/>
  <c r="DD286" i="48"/>
  <c r="DC286" i="48"/>
  <c r="DD285" i="48"/>
  <c r="DC285" i="48"/>
  <c r="DD284" i="48"/>
  <c r="DC284" i="48"/>
  <c r="DD283" i="48"/>
  <c r="DC283" i="48"/>
  <c r="DD282" i="48"/>
  <c r="DC282" i="48"/>
  <c r="DD281" i="48"/>
  <c r="DC281" i="48"/>
  <c r="DD280" i="48"/>
  <c r="DC280" i="48"/>
  <c r="DD279" i="48"/>
  <c r="DC279" i="48"/>
  <c r="DD278" i="48"/>
  <c r="DC278" i="48"/>
  <c r="DD276" i="48"/>
  <c r="DC276" i="48"/>
  <c r="DD275" i="48"/>
  <c r="DC275" i="48"/>
  <c r="DD274" i="48"/>
  <c r="DC274" i="48"/>
  <c r="DD273" i="48"/>
  <c r="DC273" i="48"/>
  <c r="DD272" i="48"/>
  <c r="DC272" i="48"/>
  <c r="DD271" i="48"/>
  <c r="DC271" i="48"/>
  <c r="DD270" i="48"/>
  <c r="DC270" i="48"/>
  <c r="DD269" i="48"/>
  <c r="DC269" i="48"/>
  <c r="DD268" i="48"/>
  <c r="DC268" i="48"/>
  <c r="DD267" i="48"/>
  <c r="DC267" i="48"/>
  <c r="DD266" i="48"/>
  <c r="DC266" i="48"/>
  <c r="DD265" i="48"/>
  <c r="DC265" i="48"/>
  <c r="DD264" i="48"/>
  <c r="DC264" i="48"/>
  <c r="DD263" i="48"/>
  <c r="DC263" i="48"/>
  <c r="DD262" i="48"/>
  <c r="DC262" i="48"/>
  <c r="DD261" i="48"/>
  <c r="DC261" i="48"/>
  <c r="DD260" i="48"/>
  <c r="DC260" i="48"/>
  <c r="DD259" i="48"/>
  <c r="DC259" i="48"/>
  <c r="DD258" i="48"/>
  <c r="DC258" i="48"/>
  <c r="DD257" i="48"/>
  <c r="DC257" i="48"/>
  <c r="DD256" i="48"/>
  <c r="DC256" i="48"/>
  <c r="DD255" i="48"/>
  <c r="DC255" i="48"/>
  <c r="DD254" i="48"/>
  <c r="DC254" i="48"/>
  <c r="DD253" i="48"/>
  <c r="DC253" i="48"/>
  <c r="DD251" i="48"/>
  <c r="DC251" i="48"/>
  <c r="DD250" i="48"/>
  <c r="DC250" i="48"/>
  <c r="DD249" i="48"/>
  <c r="DC249" i="48"/>
  <c r="DD248" i="48"/>
  <c r="DC248" i="48"/>
  <c r="DD247" i="48"/>
  <c r="DC247" i="48"/>
  <c r="DD246" i="48"/>
  <c r="DC246" i="48"/>
  <c r="DD245" i="48"/>
  <c r="DC245" i="48"/>
  <c r="DD244" i="48"/>
  <c r="DC244" i="48"/>
  <c r="DD243" i="48"/>
  <c r="DC243" i="48"/>
  <c r="DD242" i="48"/>
  <c r="DC242" i="48"/>
  <c r="DD241" i="48"/>
  <c r="DC241" i="48"/>
  <c r="DD240" i="48"/>
  <c r="DC240" i="48"/>
  <c r="DD239" i="48"/>
  <c r="DC239" i="48"/>
  <c r="DD238" i="48"/>
  <c r="DC238" i="48"/>
  <c r="DD237" i="48"/>
  <c r="DC237" i="48"/>
  <c r="DD236" i="48"/>
  <c r="DC236" i="48"/>
  <c r="DD235" i="48"/>
  <c r="DC235" i="48"/>
  <c r="DD234" i="48"/>
  <c r="DC234" i="48"/>
  <c r="DD233" i="48"/>
  <c r="DC233" i="48"/>
  <c r="DD232" i="48"/>
  <c r="DC232" i="48"/>
  <c r="DD231" i="48"/>
  <c r="DC231" i="48"/>
  <c r="DD230" i="48"/>
  <c r="DC230" i="48"/>
  <c r="DD229" i="48"/>
  <c r="DC229" i="48"/>
  <c r="DD228" i="48"/>
  <c r="DC228" i="48"/>
  <c r="DD226" i="48"/>
  <c r="DC226" i="48"/>
  <c r="DD225" i="48"/>
  <c r="DC225" i="48"/>
  <c r="DD224" i="48"/>
  <c r="DC224" i="48"/>
  <c r="DD223" i="48"/>
  <c r="DC223" i="48"/>
  <c r="DD222" i="48"/>
  <c r="DC222" i="48"/>
  <c r="DD221" i="48"/>
  <c r="DC221" i="48"/>
  <c r="DD220" i="48"/>
  <c r="DC220" i="48"/>
  <c r="DD219" i="48"/>
  <c r="DC219" i="48"/>
  <c r="DD218" i="48"/>
  <c r="DC218" i="48"/>
  <c r="DD217" i="48"/>
  <c r="DC217" i="48"/>
  <c r="DD216" i="48"/>
  <c r="DC216" i="48"/>
  <c r="DD215" i="48"/>
  <c r="DC215" i="48"/>
  <c r="DD214" i="48"/>
  <c r="DC214" i="48"/>
  <c r="DD213" i="48"/>
  <c r="DC213" i="48"/>
  <c r="DD212" i="48"/>
  <c r="DC212" i="48"/>
  <c r="DD211" i="48"/>
  <c r="DC211" i="48"/>
  <c r="DD210" i="48"/>
  <c r="DC210" i="48"/>
  <c r="DD209" i="48"/>
  <c r="DC209" i="48"/>
  <c r="DD208" i="48"/>
  <c r="DC208" i="48"/>
  <c r="DD207" i="48"/>
  <c r="DC207" i="48"/>
  <c r="DD206" i="48"/>
  <c r="DC206" i="48"/>
  <c r="DD205" i="48"/>
  <c r="DC205" i="48"/>
  <c r="DD204" i="48"/>
  <c r="DC204" i="48"/>
  <c r="DD203" i="48"/>
  <c r="DC203" i="48"/>
  <c r="DD201" i="48"/>
  <c r="DC201" i="48"/>
  <c r="DD200" i="48"/>
  <c r="DC200" i="48"/>
  <c r="DD199" i="48"/>
  <c r="DC199" i="48"/>
  <c r="DD198" i="48"/>
  <c r="DC198" i="48"/>
  <c r="DD197" i="48"/>
  <c r="DC197" i="48"/>
  <c r="DD196" i="48"/>
  <c r="DC196" i="48"/>
  <c r="DD195" i="48"/>
  <c r="DC195" i="48"/>
  <c r="DD194" i="48"/>
  <c r="DC194" i="48"/>
  <c r="DD193" i="48"/>
  <c r="DC193" i="48"/>
  <c r="DD192" i="48"/>
  <c r="DC192" i="48"/>
  <c r="DD191" i="48"/>
  <c r="DC191" i="48"/>
  <c r="DD190" i="48"/>
  <c r="DC190" i="48"/>
  <c r="DD189" i="48"/>
  <c r="DC189" i="48"/>
  <c r="DD188" i="48"/>
  <c r="DC188" i="48"/>
  <c r="DD187" i="48"/>
  <c r="DC187" i="48"/>
  <c r="DD186" i="48"/>
  <c r="DC186" i="48"/>
  <c r="DD185" i="48"/>
  <c r="DC185" i="48"/>
  <c r="DD184" i="48"/>
  <c r="DC184" i="48"/>
  <c r="DD183" i="48"/>
  <c r="DC183" i="48"/>
  <c r="DD182" i="48"/>
  <c r="DC182" i="48"/>
  <c r="DD181" i="48"/>
  <c r="DC181" i="48"/>
  <c r="DD180" i="48"/>
  <c r="DC180" i="48"/>
  <c r="DD179" i="48"/>
  <c r="DC179" i="48"/>
  <c r="DD178" i="48"/>
  <c r="DC178" i="48"/>
  <c r="DD176" i="48"/>
  <c r="DC176" i="48"/>
  <c r="DD175" i="48"/>
  <c r="DC175" i="48"/>
  <c r="DD174" i="48"/>
  <c r="DC174" i="48"/>
  <c r="DD173" i="48"/>
  <c r="DC173" i="48"/>
  <c r="DD172" i="48"/>
  <c r="DC172" i="48"/>
  <c r="DD171" i="48"/>
  <c r="DC171" i="48"/>
  <c r="DD170" i="48"/>
  <c r="DC170" i="48"/>
  <c r="DD169" i="48"/>
  <c r="DC169" i="48"/>
  <c r="DD168" i="48"/>
  <c r="DC168" i="48"/>
  <c r="DD167" i="48"/>
  <c r="DC167" i="48"/>
  <c r="DD166" i="48"/>
  <c r="DC166" i="48"/>
  <c r="DD165" i="48"/>
  <c r="DC165" i="48"/>
  <c r="DD164" i="48"/>
  <c r="DC164" i="48"/>
  <c r="DD163" i="48"/>
  <c r="DC163" i="48"/>
  <c r="DD162" i="48"/>
  <c r="DC162" i="48"/>
  <c r="DD161" i="48"/>
  <c r="DC161" i="48"/>
  <c r="DD160" i="48"/>
  <c r="DC160" i="48"/>
  <c r="DD159" i="48"/>
  <c r="DC159" i="48"/>
  <c r="DD158" i="48"/>
  <c r="DC158" i="48"/>
  <c r="DD157" i="48"/>
  <c r="DC157" i="48"/>
  <c r="DD156" i="48"/>
  <c r="DC156" i="48"/>
  <c r="DD155" i="48"/>
  <c r="DC155" i="48"/>
  <c r="DD154" i="48"/>
  <c r="DC154" i="48"/>
  <c r="DD153" i="48"/>
  <c r="DC153" i="48"/>
  <c r="DD151" i="48"/>
  <c r="DC151" i="48"/>
  <c r="DD150" i="48"/>
  <c r="DC150" i="48"/>
  <c r="DD149" i="48"/>
  <c r="DC149" i="48"/>
  <c r="DD148" i="48"/>
  <c r="DC148" i="48"/>
  <c r="DD147" i="48"/>
  <c r="DC147" i="48"/>
  <c r="DD146" i="48"/>
  <c r="DC146" i="48"/>
  <c r="DD145" i="48"/>
  <c r="DC145" i="48"/>
  <c r="DD144" i="48"/>
  <c r="DC144" i="48"/>
  <c r="DD143" i="48"/>
  <c r="DC143" i="48"/>
  <c r="DD142" i="48"/>
  <c r="DC142" i="48"/>
  <c r="DD141" i="48"/>
  <c r="DC141" i="48"/>
  <c r="DD140" i="48"/>
  <c r="DC140" i="48"/>
  <c r="DD139" i="48"/>
  <c r="DC139" i="48"/>
  <c r="DD138" i="48"/>
  <c r="DC138" i="48"/>
  <c r="DD137" i="48"/>
  <c r="DC137" i="48"/>
  <c r="DD136" i="48"/>
  <c r="DC136" i="48"/>
  <c r="DD135" i="48"/>
  <c r="DC135" i="48"/>
  <c r="DD134" i="48"/>
  <c r="DC134" i="48"/>
  <c r="DD133" i="48"/>
  <c r="DC133" i="48"/>
  <c r="DD132" i="48"/>
  <c r="DC132" i="48"/>
  <c r="DD131" i="48"/>
  <c r="DC131" i="48"/>
  <c r="DD130" i="48"/>
  <c r="DC130" i="48"/>
  <c r="DD129" i="48"/>
  <c r="DC129" i="48"/>
  <c r="DD128" i="48"/>
  <c r="DC128" i="48"/>
  <c r="CG77" i="48"/>
  <c r="CW1102" i="48" l="1"/>
  <c r="CW1077" i="48"/>
  <c r="CW627" i="48"/>
  <c r="CW927" i="48"/>
  <c r="CW1252" i="48"/>
  <c r="CW1352" i="48"/>
  <c r="CV826" i="48"/>
  <c r="CW827" i="48"/>
  <c r="CW852" i="48"/>
  <c r="CW952" i="48"/>
  <c r="CW977" i="48"/>
  <c r="CW1127" i="48"/>
  <c r="CW1177" i="48"/>
  <c r="CT1227" i="48"/>
  <c r="CW1277" i="48"/>
  <c r="CW877" i="48"/>
  <c r="CW1002" i="48"/>
  <c r="CW1027" i="48"/>
  <c r="CW1202" i="48"/>
  <c r="CU1227" i="48"/>
  <c r="CW1302" i="48"/>
  <c r="CW802" i="48"/>
  <c r="CT826" i="48"/>
  <c r="CW902" i="48"/>
  <c r="CW1052" i="48"/>
  <c r="CW1152" i="48"/>
  <c r="CW1327" i="48"/>
  <c r="CZ778" i="48"/>
  <c r="DD126" i="48"/>
  <c r="DC126" i="48"/>
  <c r="DD125" i="48"/>
  <c r="DC125" i="48"/>
  <c r="DD124" i="48"/>
  <c r="DC124" i="48"/>
  <c r="DD123" i="48"/>
  <c r="DC123" i="48"/>
  <c r="DD122" i="48"/>
  <c r="DC122" i="48"/>
  <c r="DD121" i="48"/>
  <c r="DC121" i="48"/>
  <c r="DD120" i="48"/>
  <c r="DC120" i="48"/>
  <c r="DD119" i="48"/>
  <c r="DC119" i="48"/>
  <c r="DD118" i="48"/>
  <c r="DC118" i="48"/>
  <c r="DD117" i="48"/>
  <c r="DC117" i="48"/>
  <c r="DD116" i="48"/>
  <c r="DC116" i="48"/>
  <c r="DD115" i="48"/>
  <c r="DC115" i="48"/>
  <c r="DD114" i="48"/>
  <c r="DC114" i="48"/>
  <c r="DD113" i="48"/>
  <c r="DC113" i="48"/>
  <c r="DD112" i="48"/>
  <c r="DC112" i="48"/>
  <c r="DD111" i="48"/>
  <c r="DC111" i="48"/>
  <c r="DD110" i="48"/>
  <c r="DC110" i="48"/>
  <c r="DD109" i="48"/>
  <c r="DC109" i="48"/>
  <c r="DD108" i="48"/>
  <c r="DC108" i="48"/>
  <c r="DD107" i="48"/>
  <c r="DC107" i="48"/>
  <c r="DD106" i="48"/>
  <c r="DC106" i="48"/>
  <c r="DD105" i="48"/>
  <c r="DC105" i="48"/>
  <c r="DD104" i="48"/>
  <c r="DC104" i="48"/>
  <c r="DD103" i="48"/>
  <c r="DC103" i="48"/>
  <c r="DD101" i="48"/>
  <c r="DC101" i="48"/>
  <c r="DD100" i="48"/>
  <c r="DC100" i="48"/>
  <c r="DD99" i="48"/>
  <c r="DC99" i="48"/>
  <c r="DD98" i="48"/>
  <c r="DC98" i="48"/>
  <c r="DD97" i="48"/>
  <c r="DC97" i="48"/>
  <c r="DD96" i="48"/>
  <c r="DC96" i="48"/>
  <c r="DD95" i="48"/>
  <c r="DC95" i="48"/>
  <c r="DD94" i="48"/>
  <c r="DC94" i="48"/>
  <c r="DD93" i="48"/>
  <c r="DC93" i="48"/>
  <c r="DD92" i="48"/>
  <c r="DC92" i="48"/>
  <c r="DD91" i="48"/>
  <c r="DC91" i="48"/>
  <c r="DD90" i="48"/>
  <c r="DC90" i="48"/>
  <c r="DD89" i="48"/>
  <c r="DC89" i="48"/>
  <c r="DD88" i="48"/>
  <c r="DC88" i="48"/>
  <c r="DD87" i="48"/>
  <c r="DC87" i="48"/>
  <c r="DD86" i="48"/>
  <c r="DC86" i="48"/>
  <c r="DD85" i="48"/>
  <c r="DC85" i="48"/>
  <c r="DD84" i="48"/>
  <c r="DC84" i="48"/>
  <c r="DD83" i="48"/>
  <c r="DC83" i="48"/>
  <c r="DD82" i="48"/>
  <c r="DC82" i="48"/>
  <c r="DD81" i="48"/>
  <c r="DC81" i="48"/>
  <c r="DD80" i="48"/>
  <c r="DC80" i="48"/>
  <c r="DD79" i="48"/>
  <c r="DC79" i="48"/>
  <c r="DD78" i="48"/>
  <c r="DC78" i="48"/>
  <c r="DD76" i="48"/>
  <c r="DC76" i="48"/>
  <c r="DD75" i="48"/>
  <c r="DC75" i="48"/>
  <c r="DD74" i="48"/>
  <c r="DC74" i="48"/>
  <c r="DD73" i="48"/>
  <c r="DC73" i="48"/>
  <c r="DD72" i="48"/>
  <c r="DC72" i="48"/>
  <c r="DD71" i="48"/>
  <c r="DC71" i="48"/>
  <c r="DD70" i="48"/>
  <c r="DC70" i="48"/>
  <c r="DD69" i="48"/>
  <c r="DC69" i="48"/>
  <c r="DD68" i="48"/>
  <c r="DC68" i="48"/>
  <c r="DD67" i="48"/>
  <c r="DC67" i="48"/>
  <c r="DD66" i="48"/>
  <c r="DC66" i="48"/>
  <c r="DD65" i="48"/>
  <c r="DC65" i="48"/>
  <c r="DD64" i="48"/>
  <c r="DC64" i="48"/>
  <c r="DD63" i="48"/>
  <c r="DC63" i="48"/>
  <c r="DD62" i="48"/>
  <c r="DC62" i="48"/>
  <c r="DD61" i="48"/>
  <c r="DC61" i="48"/>
  <c r="DD60" i="48"/>
  <c r="DC60" i="48"/>
  <c r="DD59" i="48"/>
  <c r="DC59" i="48"/>
  <c r="DD58" i="48"/>
  <c r="DC58" i="48"/>
  <c r="DD57" i="48"/>
  <c r="DC57" i="48"/>
  <c r="DD56" i="48"/>
  <c r="DC56" i="48"/>
  <c r="DD55" i="48"/>
  <c r="DC55" i="48"/>
  <c r="DD54" i="48"/>
  <c r="DC54" i="48"/>
  <c r="DD53" i="48"/>
  <c r="DC53" i="48"/>
  <c r="DD51" i="48"/>
  <c r="DC51" i="48"/>
  <c r="DD50" i="48"/>
  <c r="DC50" i="48"/>
  <c r="DD49" i="48"/>
  <c r="DC49" i="48"/>
  <c r="DD48" i="48"/>
  <c r="DC48" i="48"/>
  <c r="DD47" i="48"/>
  <c r="DC47" i="48"/>
  <c r="DD46" i="48"/>
  <c r="DC46" i="48"/>
  <c r="DD45" i="48"/>
  <c r="DC45" i="48"/>
  <c r="DD44" i="48"/>
  <c r="DC44" i="48"/>
  <c r="DD43" i="48"/>
  <c r="DC43" i="48"/>
  <c r="DD42" i="48"/>
  <c r="DC42" i="48"/>
  <c r="DD41" i="48"/>
  <c r="DC41" i="48"/>
  <c r="DD40" i="48"/>
  <c r="DC40" i="48"/>
  <c r="DD39" i="48"/>
  <c r="DC39" i="48"/>
  <c r="DD38" i="48"/>
  <c r="DC38" i="48"/>
  <c r="DD37" i="48"/>
  <c r="DC37" i="48"/>
  <c r="DD36" i="48"/>
  <c r="DC36" i="48"/>
  <c r="DD35" i="48"/>
  <c r="DC35" i="48"/>
  <c r="DD34" i="48"/>
  <c r="DC34" i="48"/>
  <c r="DD33" i="48"/>
  <c r="DC33" i="48"/>
  <c r="DD32" i="48"/>
  <c r="DC32" i="48"/>
  <c r="DD31" i="48"/>
  <c r="DC31" i="48"/>
  <c r="DD30" i="48"/>
  <c r="DC30" i="48"/>
  <c r="DD29" i="48"/>
  <c r="DC29" i="48"/>
  <c r="DD28" i="48"/>
  <c r="DC28" i="48"/>
  <c r="EB104" i="48"/>
  <c r="EB105" i="48" s="1"/>
  <c r="EB106" i="48" s="1"/>
  <c r="EB79" i="48"/>
  <c r="EB80" i="48" s="1"/>
  <c r="EB81" i="48" s="1"/>
  <c r="EB82" i="48" s="1"/>
  <c r="EB83" i="48" s="1"/>
  <c r="EB84" i="48" s="1"/>
  <c r="EB85" i="48" s="1"/>
  <c r="EB86" i="48" s="1"/>
  <c r="EB87" i="48" s="1"/>
  <c r="EB88" i="48" s="1"/>
  <c r="EB89" i="48" s="1"/>
  <c r="EB90" i="48" s="1"/>
  <c r="EB91" i="48" s="1"/>
  <c r="EB92" i="48" s="1"/>
  <c r="EB93" i="48" s="1"/>
  <c r="EB94" i="48" s="1"/>
  <c r="EB95" i="48" s="1"/>
  <c r="EB96" i="48" s="1"/>
  <c r="EB97" i="48" s="1"/>
  <c r="EB98" i="48" s="1"/>
  <c r="EB99" i="48" s="1"/>
  <c r="EB100" i="48" s="1"/>
  <c r="EB101" i="48" s="1"/>
  <c r="EB102" i="48" s="1"/>
  <c r="EB54" i="48"/>
  <c r="EB55" i="48" s="1"/>
  <c r="EB56" i="48" s="1"/>
  <c r="EB57" i="48" s="1"/>
  <c r="EB58" i="48" s="1"/>
  <c r="EB59" i="48" s="1"/>
  <c r="EB60" i="48" s="1"/>
  <c r="EB61" i="48" s="1"/>
  <c r="EB62" i="48" s="1"/>
  <c r="EB63" i="48" s="1"/>
  <c r="EB64" i="48" s="1"/>
  <c r="EB65" i="48" s="1"/>
  <c r="EB66" i="48" s="1"/>
  <c r="EB67" i="48" s="1"/>
  <c r="EB68" i="48" s="1"/>
  <c r="EB69" i="48" s="1"/>
  <c r="EB70" i="48" s="1"/>
  <c r="EB71" i="48" s="1"/>
  <c r="EB72" i="48" s="1"/>
  <c r="EB73" i="48" s="1"/>
  <c r="EB74" i="48" s="1"/>
  <c r="EB75" i="48" s="1"/>
  <c r="EB76" i="48" s="1"/>
  <c r="EB77" i="48" s="1"/>
  <c r="EB29" i="48"/>
  <c r="EB30" i="48" s="1"/>
  <c r="EB31" i="48" s="1"/>
  <c r="EB32" i="48" s="1"/>
  <c r="EB33" i="48" s="1"/>
  <c r="EB34" i="48" s="1"/>
  <c r="EB35" i="48" s="1"/>
  <c r="EB36" i="48" s="1"/>
  <c r="EB37" i="48" s="1"/>
  <c r="EB38" i="48" s="1"/>
  <c r="EB39" i="48" s="1"/>
  <c r="EB40" i="48" s="1"/>
  <c r="EB41" i="48" s="1"/>
  <c r="EB42" i="48" s="1"/>
  <c r="EB43" i="48" s="1"/>
  <c r="EB44" i="48" s="1"/>
  <c r="EB45" i="48" s="1"/>
  <c r="EB46" i="48" s="1"/>
  <c r="EB47" i="48" s="1"/>
  <c r="EB48" i="48" s="1"/>
  <c r="EB49" i="48" s="1"/>
  <c r="EB50" i="48" s="1"/>
  <c r="EB51" i="48" s="1"/>
  <c r="EB52" i="48" s="1"/>
  <c r="EB4" i="48"/>
  <c r="EB5" i="48" s="1"/>
  <c r="EB6" i="48" s="1"/>
  <c r="EB7" i="48" s="1"/>
  <c r="EB8" i="48" s="1"/>
  <c r="EB9" i="48" s="1"/>
  <c r="EB10" i="48" s="1"/>
  <c r="EB11" i="48" s="1"/>
  <c r="EB12" i="48" s="1"/>
  <c r="EB13" i="48" s="1"/>
  <c r="EB14" i="48" s="1"/>
  <c r="EB15" i="48" s="1"/>
  <c r="EB16" i="48" s="1"/>
  <c r="EB17" i="48" s="1"/>
  <c r="EB18" i="48" s="1"/>
  <c r="EB19" i="48" s="1"/>
  <c r="EB20" i="48" s="1"/>
  <c r="EB21" i="48" s="1"/>
  <c r="EB22" i="48" s="1"/>
  <c r="EB23" i="48" s="1"/>
  <c r="EB24" i="48" s="1"/>
  <c r="EB25" i="48" s="1"/>
  <c r="EB26" i="48" s="1"/>
  <c r="EB27" i="48" s="1"/>
  <c r="CG102" i="48"/>
  <c r="CG52" i="48"/>
  <c r="CG27" i="48"/>
  <c r="CH1352" i="48"/>
  <c r="CH1327" i="48"/>
  <c r="CH1302" i="48"/>
  <c r="CH1277" i="48"/>
  <c r="CH1252" i="48"/>
  <c r="CH1227" i="48"/>
  <c r="CH1202" i="48"/>
  <c r="CH1177" i="48"/>
  <c r="CH1152" i="48"/>
  <c r="CH1127" i="48"/>
  <c r="CH1102" i="48"/>
  <c r="CH1077" i="48"/>
  <c r="CH1052" i="48"/>
  <c r="CH1027" i="48"/>
  <c r="CH1002" i="48"/>
  <c r="CH977" i="48"/>
  <c r="CH952" i="48"/>
  <c r="CH927" i="48"/>
  <c r="CH902" i="48"/>
  <c r="CH877" i="48"/>
  <c r="CH852" i="48"/>
  <c r="CH827" i="48"/>
  <c r="CH802" i="48"/>
  <c r="CH777" i="48"/>
  <c r="CH752" i="48"/>
  <c r="CH727" i="48"/>
  <c r="CH702" i="48"/>
  <c r="CH677" i="48"/>
  <c r="CH652" i="48"/>
  <c r="CH627" i="48"/>
  <c r="CH602" i="48"/>
  <c r="CH577" i="48"/>
  <c r="CH552" i="48"/>
  <c r="CH527" i="48"/>
  <c r="CH502" i="48"/>
  <c r="CH477" i="48"/>
  <c r="CH452" i="48"/>
  <c r="CH427" i="48"/>
  <c r="CH402" i="48"/>
  <c r="CH377" i="48"/>
  <c r="CH352" i="48"/>
  <c r="CH327" i="48"/>
  <c r="CH302" i="48"/>
  <c r="CH252" i="48"/>
  <c r="CH227" i="48"/>
  <c r="CH202" i="48"/>
  <c r="CH177" i="48"/>
  <c r="CH152" i="48"/>
  <c r="CH127" i="48"/>
  <c r="CH102" i="48"/>
  <c r="CH77" i="48"/>
  <c r="CW1227" i="48" l="1"/>
  <c r="CW826" i="48"/>
  <c r="CH277" i="48"/>
  <c r="CH27" i="48"/>
  <c r="AC10" i="48"/>
  <c r="V10" i="48"/>
  <c r="BG19" i="48" l="1"/>
  <c r="BD19" i="48"/>
  <c r="BF19" i="48" s="1"/>
  <c r="Q1435" i="48"/>
  <c r="R1435" i="48"/>
  <c r="Q1412" i="48"/>
  <c r="R1412" i="48"/>
  <c r="R1451" i="48"/>
  <c r="R1450" i="48"/>
  <c r="R1449" i="48"/>
  <c r="R1448" i="48"/>
  <c r="R1447" i="48"/>
  <c r="Q1446" i="48"/>
  <c r="R1445" i="48"/>
  <c r="R1444" i="48"/>
  <c r="R1443" i="48"/>
  <c r="Q1442" i="48"/>
  <c r="R1441" i="48"/>
  <c r="R1440" i="48"/>
  <c r="R1439" i="48"/>
  <c r="Q1438" i="48"/>
  <c r="R1437" i="48"/>
  <c r="R1436" i="48"/>
  <c r="Q1450" i="48"/>
  <c r="Q1436" i="48"/>
  <c r="Q1447" i="48"/>
  <c r="Q1445" i="48"/>
  <c r="Q1443" i="48"/>
  <c r="Q1441" i="48"/>
  <c r="Q1439" i="48"/>
  <c r="Q1437" i="48"/>
  <c r="R1428" i="48"/>
  <c r="R1427" i="48"/>
  <c r="R1426" i="48"/>
  <c r="R1425" i="48"/>
  <c r="R1424" i="48"/>
  <c r="R1423" i="48"/>
  <c r="R1422" i="48"/>
  <c r="R1421" i="48"/>
  <c r="R1420" i="48"/>
  <c r="R1419" i="48"/>
  <c r="R1418" i="48"/>
  <c r="R1417" i="48"/>
  <c r="R1416" i="48"/>
  <c r="R1415" i="48"/>
  <c r="R1414" i="48"/>
  <c r="R1413" i="48"/>
  <c r="S1413" i="48" s="1"/>
  <c r="Q1428" i="48"/>
  <c r="Q1427" i="48"/>
  <c r="Q1426" i="48"/>
  <c r="Q1425" i="48"/>
  <c r="Q1424" i="48"/>
  <c r="Q1423" i="48"/>
  <c r="Q1422" i="48"/>
  <c r="Q1421" i="48"/>
  <c r="Q1420" i="48"/>
  <c r="Q1419" i="48"/>
  <c r="Q1418" i="48"/>
  <c r="Q1417" i="48"/>
  <c r="Q1416" i="48"/>
  <c r="Q1415" i="48"/>
  <c r="Q1414" i="48"/>
  <c r="Q1413" i="48"/>
  <c r="J1389" i="48"/>
  <c r="J1390" i="48"/>
  <c r="J1391" i="48"/>
  <c r="J1392" i="48"/>
  <c r="J1393" i="48"/>
  <c r="J1394" i="48"/>
  <c r="J1395" i="48"/>
  <c r="J1396" i="48"/>
  <c r="J1397" i="48"/>
  <c r="J1398" i="48"/>
  <c r="J1399" i="48"/>
  <c r="J1400" i="48"/>
  <c r="J1401" i="48"/>
  <c r="J1402" i="48"/>
  <c r="J1403" i="48"/>
  <c r="J1404" i="48"/>
  <c r="J1405" i="48"/>
  <c r="J1406" i="48"/>
  <c r="J1407" i="48"/>
  <c r="J1408" i="48"/>
  <c r="G1387" i="48"/>
  <c r="G1388" i="48" s="1"/>
  <c r="G1389" i="48" s="1"/>
  <c r="G1390" i="48" s="1"/>
  <c r="G1391" i="48" s="1"/>
  <c r="G1392" i="48" s="1"/>
  <c r="G1393" i="48" s="1"/>
  <c r="G1394" i="48" s="1"/>
  <c r="G1395" i="48" s="1"/>
  <c r="G1396" i="48" s="1"/>
  <c r="G1397" i="48" s="1"/>
  <c r="G1398" i="48" s="1"/>
  <c r="G1399" i="48" s="1"/>
  <c r="G1400" i="48" s="1"/>
  <c r="G1401" i="48" s="1"/>
  <c r="G1402" i="48" s="1"/>
  <c r="G1403" i="48" s="1"/>
  <c r="G1404" i="48" s="1"/>
  <c r="G1405" i="48" s="1"/>
  <c r="G1406" i="48" s="1"/>
  <c r="G1407" i="48" s="1"/>
  <c r="G1408" i="48" s="1"/>
  <c r="G1409" i="48" s="1"/>
  <c r="R1382" i="48"/>
  <c r="R1381" i="48"/>
  <c r="K1409" i="48" s="1"/>
  <c r="R1380" i="48"/>
  <c r="K1408" i="48" s="1"/>
  <c r="R1379" i="48"/>
  <c r="K1407" i="48" s="1"/>
  <c r="R1378" i="48"/>
  <c r="K1406" i="48" s="1"/>
  <c r="R1377" i="48"/>
  <c r="K1405" i="48" s="1"/>
  <c r="R1376" i="48"/>
  <c r="K1404" i="48" s="1"/>
  <c r="R1375" i="48"/>
  <c r="K1403" i="48" s="1"/>
  <c r="R1374" i="48"/>
  <c r="K1402" i="48" s="1"/>
  <c r="R1373" i="48"/>
  <c r="K1401" i="48" s="1"/>
  <c r="R1372" i="48"/>
  <c r="K1400" i="48" s="1"/>
  <c r="R1371" i="48"/>
  <c r="K1399" i="48" s="1"/>
  <c r="R1370" i="48"/>
  <c r="K1398" i="48" s="1"/>
  <c r="R1369" i="48"/>
  <c r="K1397" i="48" s="1"/>
  <c r="R1368" i="48"/>
  <c r="K1396" i="48" s="1"/>
  <c r="R1367" i="48"/>
  <c r="K1395" i="48" s="1"/>
  <c r="R1366" i="48"/>
  <c r="K1394" i="48" s="1"/>
  <c r="R1365" i="48"/>
  <c r="K1393" i="48" s="1"/>
  <c r="R1364" i="48"/>
  <c r="K1392" i="48" s="1"/>
  <c r="R1363" i="48"/>
  <c r="K1391" i="48" s="1"/>
  <c r="R1362" i="48"/>
  <c r="K1390" i="48" s="1"/>
  <c r="R1361" i="48"/>
  <c r="K1389" i="48" s="1"/>
  <c r="R1360" i="48"/>
  <c r="R1359" i="48"/>
  <c r="G1360" i="48"/>
  <c r="G1361" i="48" s="1"/>
  <c r="G1362" i="48" s="1"/>
  <c r="G1363" i="48" s="1"/>
  <c r="G1364" i="48" s="1"/>
  <c r="G1365" i="48" s="1"/>
  <c r="G1366" i="48" s="1"/>
  <c r="G1367" i="48" s="1"/>
  <c r="G1368" i="48" s="1"/>
  <c r="G1369" i="48" s="1"/>
  <c r="G1370" i="48" s="1"/>
  <c r="G1371" i="48" s="1"/>
  <c r="G1372" i="48" s="1"/>
  <c r="G1373" i="48" s="1"/>
  <c r="G1374" i="48" s="1"/>
  <c r="G1375" i="48" s="1"/>
  <c r="G1376" i="48" s="1"/>
  <c r="G1377" i="48" s="1"/>
  <c r="G1378" i="48" s="1"/>
  <c r="G1379" i="48" s="1"/>
  <c r="G1380" i="48" s="1"/>
  <c r="G1381" i="48" s="1"/>
  <c r="G1382" i="48" s="1"/>
  <c r="R1395" i="48" l="1"/>
  <c r="R1403" i="48"/>
  <c r="S1420" i="48"/>
  <c r="S1424" i="48"/>
  <c r="S1451" i="48"/>
  <c r="R1396" i="48"/>
  <c r="R1400" i="48"/>
  <c r="R1404" i="48"/>
  <c r="S1436" i="48"/>
  <c r="R1399" i="48"/>
  <c r="S1416" i="48"/>
  <c r="S1428" i="48"/>
  <c r="R1408" i="48"/>
  <c r="S1417" i="48"/>
  <c r="S1421" i="48"/>
  <c r="S1425" i="48"/>
  <c r="S1440" i="48"/>
  <c r="S1444" i="48"/>
  <c r="S1448" i="48"/>
  <c r="R1393" i="48"/>
  <c r="J1458" i="48" s="1"/>
  <c r="R1397" i="48"/>
  <c r="R1401" i="48"/>
  <c r="R1405" i="48"/>
  <c r="S1414" i="48"/>
  <c r="S1418" i="48"/>
  <c r="S1422" i="48"/>
  <c r="S1426" i="48"/>
  <c r="S1437" i="48"/>
  <c r="S1441" i="48"/>
  <c r="S1445" i="48"/>
  <c r="S1449" i="48"/>
  <c r="R1394" i="48"/>
  <c r="S1415" i="48"/>
  <c r="S1419" i="48"/>
  <c r="S1423" i="48"/>
  <c r="S1427" i="48"/>
  <c r="S1450" i="48"/>
  <c r="Q1440" i="48"/>
  <c r="R1398" i="48" s="1"/>
  <c r="Q1444" i="48"/>
  <c r="R1402" i="48" s="1"/>
  <c r="Q1448" i="48"/>
  <c r="R1406" i="48" s="1"/>
  <c r="Q1449" i="48"/>
  <c r="R1407" i="48" s="1"/>
  <c r="R1438" i="48"/>
  <c r="S1438" i="48" s="1"/>
  <c r="R1442" i="48"/>
  <c r="S1442" i="48" s="1"/>
  <c r="R1446" i="48"/>
  <c r="S1446" i="48" s="1"/>
  <c r="Q1451" i="48"/>
  <c r="R1409" i="48" s="1"/>
  <c r="L1391" i="48"/>
  <c r="L1403" i="48"/>
  <c r="L1407" i="48"/>
  <c r="L1392" i="48"/>
  <c r="L1408" i="48"/>
  <c r="L1404" i="48"/>
  <c r="L1400" i="48"/>
  <c r="L1396" i="48"/>
  <c r="L1399" i="48"/>
  <c r="L1395" i="48"/>
  <c r="S1361" i="48"/>
  <c r="S1360" i="48"/>
  <c r="S1376" i="48"/>
  <c r="S1362" i="48"/>
  <c r="S1366" i="48"/>
  <c r="S1370" i="48"/>
  <c r="S1374" i="48"/>
  <c r="S1378" i="48"/>
  <c r="S1382" i="48"/>
  <c r="S1372" i="48"/>
  <c r="S1368" i="48"/>
  <c r="S1380" i="48"/>
  <c r="S1364" i="48"/>
  <c r="S1379" i="48"/>
  <c r="S1375" i="48"/>
  <c r="S1371" i="48"/>
  <c r="S1367" i="48"/>
  <c r="S1363" i="48"/>
  <c r="S1381" i="48"/>
  <c r="S1377" i="48"/>
  <c r="S1373" i="48"/>
  <c r="S1369" i="48"/>
  <c r="S1365" i="48"/>
  <c r="L1390" i="48"/>
  <c r="L1393" i="48"/>
  <c r="CU16" i="56"/>
  <c r="CT16" i="56"/>
  <c r="CS16" i="56"/>
  <c r="CR16" i="56"/>
  <c r="CQ16" i="56"/>
  <c r="CP16" i="56"/>
  <c r="CO16" i="56"/>
  <c r="CN16" i="56"/>
  <c r="CM16" i="56"/>
  <c r="CL16" i="56"/>
  <c r="CK16" i="56"/>
  <c r="CJ16" i="56"/>
  <c r="CI16" i="56"/>
  <c r="CH16" i="56"/>
  <c r="CG16" i="56"/>
  <c r="CF16" i="56"/>
  <c r="CE16" i="56"/>
  <c r="CD16" i="56"/>
  <c r="CC16" i="56"/>
  <c r="CB16" i="56"/>
  <c r="CA16" i="56"/>
  <c r="BZ16" i="56"/>
  <c r="BY16" i="56"/>
  <c r="BX16" i="56"/>
  <c r="BW16" i="56"/>
  <c r="BV16" i="56"/>
  <c r="BU16" i="56"/>
  <c r="BT16" i="56"/>
  <c r="BS16" i="56"/>
  <c r="BR16" i="56"/>
  <c r="BQ16" i="56"/>
  <c r="BP16" i="56"/>
  <c r="BO16" i="56"/>
  <c r="BN16" i="56"/>
  <c r="BM16" i="56"/>
  <c r="BL16" i="56"/>
  <c r="BK16" i="56"/>
  <c r="BJ16" i="56"/>
  <c r="BI16" i="56"/>
  <c r="BH16" i="56"/>
  <c r="BG16" i="56"/>
  <c r="BF16" i="56"/>
  <c r="BE16" i="56"/>
  <c r="BD16" i="56"/>
  <c r="BC16" i="56"/>
  <c r="BB16" i="56"/>
  <c r="BA16" i="56"/>
  <c r="AZ16" i="56"/>
  <c r="AY16" i="56"/>
  <c r="AX16" i="56"/>
  <c r="AW16" i="56"/>
  <c r="AV16" i="56"/>
  <c r="AU16" i="56"/>
  <c r="AT16" i="56"/>
  <c r="AS16" i="56"/>
  <c r="AR16" i="56"/>
  <c r="AQ16" i="56"/>
  <c r="AP16" i="56"/>
  <c r="AO16" i="56"/>
  <c r="AN16" i="56"/>
  <c r="AM16" i="56"/>
  <c r="AL16" i="56"/>
  <c r="AK16" i="56"/>
  <c r="AJ16" i="56"/>
  <c r="AI16" i="56"/>
  <c r="AH16" i="56"/>
  <c r="AG16" i="56"/>
  <c r="AF16" i="56"/>
  <c r="AE16" i="56"/>
  <c r="AD16" i="56"/>
  <c r="AC16" i="56"/>
  <c r="AB16" i="56"/>
  <c r="AA16" i="56"/>
  <c r="Z16" i="56"/>
  <c r="Y16" i="56"/>
  <c r="X16" i="56"/>
  <c r="W16" i="56"/>
  <c r="V16" i="56"/>
  <c r="U16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S1394" i="48" l="1"/>
  <c r="S1447" i="48"/>
  <c r="S1443" i="48"/>
  <c r="S1439" i="48"/>
  <c r="I1458" i="48"/>
  <c r="K1458" i="48" s="1"/>
  <c r="L1398" i="48"/>
  <c r="L1402" i="48"/>
  <c r="L1397" i="48"/>
  <c r="L1401" i="48"/>
  <c r="L1405" i="48"/>
  <c r="L1406" i="48"/>
  <c r="L1409" i="48"/>
  <c r="L1394" i="48"/>
  <c r="E87" i="17"/>
  <c r="CX1301" i="48" l="1"/>
  <c r="CX1076" i="48"/>
  <c r="BL1351" i="48"/>
  <c r="BL1226" i="48"/>
  <c r="BN1226" i="48" s="1"/>
  <c r="BL1126" i="48"/>
  <c r="BN1126" i="48" s="1"/>
  <c r="BL1101" i="48"/>
  <c r="BN1101" i="48" s="1"/>
  <c r="BL1076" i="48"/>
  <c r="BN1076" i="48" s="1"/>
  <c r="BL976" i="48"/>
  <c r="BN976" i="48" s="1"/>
  <c r="BL951" i="48"/>
  <c r="BN951" i="48" s="1"/>
  <c r="BL926" i="48"/>
  <c r="BN926" i="48" s="1"/>
  <c r="BL851" i="48"/>
  <c r="BN851" i="48" s="1"/>
  <c r="BL826" i="48"/>
  <c r="BN826" i="48" s="1"/>
  <c r="BL776" i="48"/>
  <c r="BN776" i="48" s="1"/>
  <c r="BL751" i="48"/>
  <c r="BN751" i="48" s="1"/>
  <c r="BL726" i="48"/>
  <c r="BN726" i="48" s="1"/>
  <c r="BL676" i="48"/>
  <c r="BN676" i="48" s="1"/>
  <c r="BL576" i="48"/>
  <c r="BN576" i="48" s="1"/>
  <c r="BL551" i="48"/>
  <c r="BN551" i="48" s="1"/>
  <c r="BL501" i="48"/>
  <c r="BN501" i="48" s="1"/>
  <c r="BL476" i="48"/>
  <c r="BN476" i="48" s="1"/>
  <c r="BL451" i="48"/>
  <c r="BN451" i="48" s="1"/>
  <c r="BL401" i="48"/>
  <c r="BN401" i="48" s="1"/>
  <c r="BL376" i="48"/>
  <c r="BN376" i="48" s="1"/>
  <c r="BL351" i="48"/>
  <c r="BN351" i="48" s="1"/>
  <c r="BL276" i="48"/>
  <c r="BL251" i="48"/>
  <c r="BN251" i="48" s="1"/>
  <c r="BL226" i="48"/>
  <c r="BN226" i="48" s="1"/>
  <c r="BL201" i="48"/>
  <c r="BN201" i="48" s="1"/>
  <c r="BL176" i="48"/>
  <c r="BN176" i="48" s="1"/>
  <c r="BL126" i="48"/>
  <c r="BN126" i="48" s="1"/>
  <c r="BL101" i="48"/>
  <c r="BN101" i="48" s="1"/>
  <c r="BL76" i="48"/>
  <c r="BN76" i="48" s="1"/>
  <c r="BL51" i="48"/>
  <c r="BL26" i="48"/>
  <c r="BN26" i="48" s="1"/>
  <c r="CN1351" i="48"/>
  <c r="CN1326" i="48"/>
  <c r="CN1301" i="48"/>
  <c r="CN1276" i="48"/>
  <c r="CN1251" i="48"/>
  <c r="CN1226" i="48"/>
  <c r="CN1201" i="48"/>
  <c r="CN1176" i="48"/>
  <c r="CN1151" i="48"/>
  <c r="CN1126" i="48"/>
  <c r="CN1101" i="48"/>
  <c r="CN1076" i="48"/>
  <c r="CN1051" i="48"/>
  <c r="CN1026" i="48"/>
  <c r="CN1001" i="48"/>
  <c r="CN976" i="48"/>
  <c r="CN951" i="48"/>
  <c r="CN926" i="48"/>
  <c r="CN901" i="48"/>
  <c r="CN876" i="48"/>
  <c r="CN851" i="48"/>
  <c r="CN826" i="48"/>
  <c r="CN801" i="48"/>
  <c r="CN751" i="48"/>
  <c r="CN726" i="48"/>
  <c r="CN701" i="48"/>
  <c r="CN676" i="48"/>
  <c r="CN651" i="48"/>
  <c r="CN626" i="48"/>
  <c r="CN601" i="48"/>
  <c r="CN576" i="48"/>
  <c r="CN551" i="48"/>
  <c r="CN526" i="48"/>
  <c r="CN501" i="48"/>
  <c r="CN476" i="48"/>
  <c r="CN451" i="48"/>
  <c r="CN426" i="48"/>
  <c r="CN401" i="48"/>
  <c r="CN376" i="48"/>
  <c r="CN351" i="48"/>
  <c r="CN326" i="48"/>
  <c r="CN301" i="48"/>
  <c r="CN276" i="48"/>
  <c r="CN251" i="48"/>
  <c r="CN226" i="48"/>
  <c r="CN201" i="48"/>
  <c r="CN176" i="48"/>
  <c r="CN151" i="48"/>
  <c r="CN126" i="48"/>
  <c r="CN101" i="48"/>
  <c r="CN76" i="48"/>
  <c r="CN51" i="48"/>
  <c r="BL1326" i="48"/>
  <c r="BL1301" i="48"/>
  <c r="BN1301" i="48" s="1"/>
  <c r="BL1276" i="48"/>
  <c r="BN1276" i="48" s="1"/>
  <c r="BL1251" i="48"/>
  <c r="BN1251" i="48" s="1"/>
  <c r="BL1201" i="48"/>
  <c r="BN1201" i="48" s="1"/>
  <c r="BL1176" i="48"/>
  <c r="BN1176" i="48" s="1"/>
  <c r="BL1151" i="48"/>
  <c r="BN1151" i="48" s="1"/>
  <c r="BL1051" i="48"/>
  <c r="BN1051" i="48" s="1"/>
  <c r="BL1026" i="48"/>
  <c r="BN1026" i="48" s="1"/>
  <c r="BL1001" i="48"/>
  <c r="BN1001" i="48" s="1"/>
  <c r="BL901" i="48"/>
  <c r="BN901" i="48" s="1"/>
  <c r="BL876" i="48"/>
  <c r="BN876" i="48" s="1"/>
  <c r="BL801" i="48"/>
  <c r="BN801" i="48" s="1"/>
  <c r="BL701" i="48"/>
  <c r="BN701" i="48" s="1"/>
  <c r="BL651" i="48"/>
  <c r="BN651" i="48" s="1"/>
  <c r="BL626" i="48"/>
  <c r="BN626" i="48" s="1"/>
  <c r="BL601" i="48"/>
  <c r="BN601" i="48" s="1"/>
  <c r="BL526" i="48"/>
  <c r="BN526" i="48" s="1"/>
  <c r="BL426" i="48"/>
  <c r="BN426" i="48" s="1"/>
  <c r="BL326" i="48"/>
  <c r="BN326" i="48" s="1"/>
  <c r="BL301" i="48"/>
  <c r="BN301" i="48" s="1"/>
  <c r="BL151" i="48"/>
  <c r="BN151" i="48" s="1"/>
  <c r="CV1351" i="48"/>
  <c r="CV1326" i="48"/>
  <c r="CT1301" i="48"/>
  <c r="CV1276" i="48"/>
  <c r="CV1251" i="48"/>
  <c r="CU1226" i="48"/>
  <c r="CV1201" i="48"/>
  <c r="CV1176" i="48"/>
  <c r="CV1151" i="48"/>
  <c r="CV1126" i="48"/>
  <c r="CT1101" i="48"/>
  <c r="CV1076" i="48"/>
  <c r="CV1051" i="48"/>
  <c r="CU1026" i="48"/>
  <c r="CV1001" i="48"/>
  <c r="CV976" i="48"/>
  <c r="CV951" i="48"/>
  <c r="CV926" i="48"/>
  <c r="CT901" i="48"/>
  <c r="CV876" i="48"/>
  <c r="CV851" i="48"/>
  <c r="CV801" i="48"/>
  <c r="CV776" i="48"/>
  <c r="CV751" i="48"/>
  <c r="CV726" i="48"/>
  <c r="CT701" i="48"/>
  <c r="CV676" i="48"/>
  <c r="CV651" i="48"/>
  <c r="CU626" i="48"/>
  <c r="CV601" i="48"/>
  <c r="CV576" i="48"/>
  <c r="CV551" i="48"/>
  <c r="CV526" i="48"/>
  <c r="CT501" i="48"/>
  <c r="CV476" i="48"/>
  <c r="CV451" i="48"/>
  <c r="CU426" i="48"/>
  <c r="CV401" i="48"/>
  <c r="CV376" i="48"/>
  <c r="CV351" i="48"/>
  <c r="CV326" i="48"/>
  <c r="CT301" i="48"/>
  <c r="CV276" i="48"/>
  <c r="CV251" i="48"/>
  <c r="CU226" i="48"/>
  <c r="CV201" i="48"/>
  <c r="CV176" i="48"/>
  <c r="CV151" i="48"/>
  <c r="CV126" i="48"/>
  <c r="CT101" i="48"/>
  <c r="CV76" i="48"/>
  <c r="CV51" i="48"/>
  <c r="CS1076" i="48" l="1"/>
  <c r="CX1077" i="48"/>
  <c r="CS1077" i="48" s="1"/>
  <c r="CS1301" i="48"/>
  <c r="CX1302" i="48"/>
  <c r="CS1302" i="48" s="1"/>
  <c r="CV101" i="48"/>
  <c r="CT651" i="48"/>
  <c r="CT51" i="48"/>
  <c r="CU576" i="48"/>
  <c r="CV1101" i="48"/>
  <c r="CU176" i="48"/>
  <c r="CV701" i="48"/>
  <c r="CT1251" i="48"/>
  <c r="CT251" i="48"/>
  <c r="CU776" i="48"/>
  <c r="CV1301" i="48"/>
  <c r="CV301" i="48"/>
  <c r="CT851" i="48"/>
  <c r="CU376" i="48"/>
  <c r="CV901" i="48"/>
  <c r="CT451" i="48"/>
  <c r="CU976" i="48"/>
  <c r="CU1176" i="48"/>
  <c r="CV501" i="48"/>
  <c r="CT1051" i="48"/>
  <c r="CU101" i="48"/>
  <c r="CT176" i="48"/>
  <c r="CV226" i="48"/>
  <c r="CU301" i="48"/>
  <c r="CT376" i="48"/>
  <c r="CV426" i="48"/>
  <c r="CU501" i="48"/>
  <c r="CT576" i="48"/>
  <c r="CV626" i="48"/>
  <c r="CU701" i="48"/>
  <c r="CT776" i="48"/>
  <c r="CU901" i="48"/>
  <c r="CT976" i="48"/>
  <c r="CV1026" i="48"/>
  <c r="CU1101" i="48"/>
  <c r="CT1176" i="48"/>
  <c r="CV1226" i="48"/>
  <c r="CU1301" i="48"/>
  <c r="CU51" i="48"/>
  <c r="CT126" i="48"/>
  <c r="CU251" i="48"/>
  <c r="CT326" i="48"/>
  <c r="CU451" i="48"/>
  <c r="CT526" i="48"/>
  <c r="CU651" i="48"/>
  <c r="CT726" i="48"/>
  <c r="CU851" i="48"/>
  <c r="CT926" i="48"/>
  <c r="CU1051" i="48"/>
  <c r="CT1126" i="48"/>
  <c r="CU1251" i="48"/>
  <c r="CT1326" i="48"/>
  <c r="CU126" i="48"/>
  <c r="CT201" i="48"/>
  <c r="CU326" i="48"/>
  <c r="CT401" i="48"/>
  <c r="CU526" i="48"/>
  <c r="CT601" i="48"/>
  <c r="CU726" i="48"/>
  <c r="CT801" i="48"/>
  <c r="CU926" i="48"/>
  <c r="CT1001" i="48"/>
  <c r="CU1126" i="48"/>
  <c r="CT1201" i="48"/>
  <c r="CU1326" i="48"/>
  <c r="CT76" i="48"/>
  <c r="CU201" i="48"/>
  <c r="CT276" i="48"/>
  <c r="CU401" i="48"/>
  <c r="CT476" i="48"/>
  <c r="CU601" i="48"/>
  <c r="CT676" i="48"/>
  <c r="CU801" i="48"/>
  <c r="CT876" i="48"/>
  <c r="CU1001" i="48"/>
  <c r="CT1076" i="48"/>
  <c r="CU1201" i="48"/>
  <c r="CT1276" i="48"/>
  <c r="CU76" i="48"/>
  <c r="CT151" i="48"/>
  <c r="CU276" i="48"/>
  <c r="CT351" i="48"/>
  <c r="CU476" i="48"/>
  <c r="CT551" i="48"/>
  <c r="CU676" i="48"/>
  <c r="CT751" i="48"/>
  <c r="CU876" i="48"/>
  <c r="CT951" i="48"/>
  <c r="CU1076" i="48"/>
  <c r="CT1151" i="48"/>
  <c r="CU1276" i="48"/>
  <c r="CT1351" i="48"/>
  <c r="CU151" i="48"/>
  <c r="CT226" i="48"/>
  <c r="CU351" i="48"/>
  <c r="CT426" i="48"/>
  <c r="CU551" i="48"/>
  <c r="CT626" i="48"/>
  <c r="CU751" i="48"/>
  <c r="CU951" i="48"/>
  <c r="CT1026" i="48"/>
  <c r="CU1151" i="48"/>
  <c r="CT1226" i="48"/>
  <c r="CU1351" i="48"/>
  <c r="CW101" i="48" l="1"/>
  <c r="CW1051" i="48"/>
  <c r="CW526" i="48"/>
  <c r="CW1326" i="48"/>
  <c r="CW651" i="48"/>
  <c r="CW701" i="48"/>
  <c r="CW1201" i="48"/>
  <c r="CW401" i="48"/>
  <c r="CW176" i="48"/>
  <c r="CW751" i="48"/>
  <c r="CW1276" i="48"/>
  <c r="CW476" i="48"/>
  <c r="CW301" i="48"/>
  <c r="CW601" i="48"/>
  <c r="CW901" i="48"/>
  <c r="CW376" i="48"/>
  <c r="CW851" i="48"/>
  <c r="CW51" i="48"/>
  <c r="CW1301" i="48"/>
  <c r="CW351" i="48"/>
  <c r="CW1101" i="48"/>
  <c r="CW576" i="48"/>
  <c r="CW1001" i="48"/>
  <c r="CW776" i="48"/>
  <c r="CW551" i="48"/>
  <c r="CW1076" i="48"/>
  <c r="CW276" i="48"/>
  <c r="CW801" i="48"/>
  <c r="CW726" i="48"/>
  <c r="CW1176" i="48"/>
  <c r="CW201" i="48"/>
  <c r="CW126" i="48"/>
  <c r="CW1251" i="48"/>
  <c r="CW451" i="48"/>
  <c r="CW501" i="48"/>
  <c r="CW926" i="48"/>
  <c r="CW976" i="48"/>
  <c r="CW251" i="48"/>
  <c r="CW1151" i="48"/>
  <c r="CW876" i="48"/>
  <c r="CW76" i="48"/>
  <c r="CW1026" i="48"/>
  <c r="CW951" i="48"/>
  <c r="CW151" i="48"/>
  <c r="CW676" i="48"/>
  <c r="CW426" i="48"/>
  <c r="CW1351" i="48"/>
  <c r="CW1126" i="48"/>
  <c r="CW326" i="48"/>
  <c r="CW226" i="48"/>
  <c r="CW1226" i="48"/>
  <c r="CW626" i="48"/>
  <c r="BK1351" i="48"/>
  <c r="CF1351" i="48" s="1"/>
  <c r="CG1351" i="48" s="1"/>
  <c r="BK1326" i="48"/>
  <c r="CF1326" i="48" s="1"/>
  <c r="BK1301" i="48"/>
  <c r="CF1301" i="48" s="1"/>
  <c r="BK1276" i="48"/>
  <c r="CF1276" i="48" s="1"/>
  <c r="BK1251" i="48"/>
  <c r="CF1251" i="48" s="1"/>
  <c r="BK1226" i="48"/>
  <c r="CF1226" i="48" s="1"/>
  <c r="BK1201" i="48"/>
  <c r="CF1201" i="48" s="1"/>
  <c r="BK1176" i="48"/>
  <c r="CF1176" i="48" s="1"/>
  <c r="BK1151" i="48"/>
  <c r="CF1151" i="48" s="1"/>
  <c r="BK1126" i="48"/>
  <c r="CF1126" i="48" s="1"/>
  <c r="BK1101" i="48"/>
  <c r="CF1101" i="48" s="1"/>
  <c r="BK1076" i="48"/>
  <c r="CF1076" i="48" s="1"/>
  <c r="BK1051" i="48"/>
  <c r="CF1051" i="48" s="1"/>
  <c r="BK1026" i="48"/>
  <c r="CF1026" i="48" s="1"/>
  <c r="BK1001" i="48"/>
  <c r="CF1001" i="48" s="1"/>
  <c r="BK976" i="48"/>
  <c r="CF976" i="48" s="1"/>
  <c r="BK951" i="48"/>
  <c r="CF951" i="48" s="1"/>
  <c r="BK926" i="48"/>
  <c r="CF926" i="48" s="1"/>
  <c r="BK901" i="48"/>
  <c r="CF901" i="48" s="1"/>
  <c r="BK876" i="48"/>
  <c r="CF876" i="48" s="1"/>
  <c r="BK851" i="48"/>
  <c r="CF851" i="48" s="1"/>
  <c r="BK826" i="48"/>
  <c r="CF826" i="48" s="1"/>
  <c r="BK801" i="48"/>
  <c r="CF801" i="48" s="1"/>
  <c r="BK776" i="48"/>
  <c r="CF776" i="48" s="1"/>
  <c r="BK751" i="48"/>
  <c r="CF751" i="48" s="1"/>
  <c r="BK726" i="48"/>
  <c r="CF726" i="48" s="1"/>
  <c r="BK701" i="48"/>
  <c r="CF701" i="48" s="1"/>
  <c r="BK676" i="48"/>
  <c r="CF676" i="48" s="1"/>
  <c r="BK651" i="48"/>
  <c r="CF651" i="48" s="1"/>
  <c r="BK626" i="48"/>
  <c r="CF626" i="48" s="1"/>
  <c r="BK601" i="48"/>
  <c r="CF601" i="48" s="1"/>
  <c r="BK576" i="48"/>
  <c r="CF576" i="48" s="1"/>
  <c r="BK551" i="48"/>
  <c r="CF551" i="48" s="1"/>
  <c r="BK526" i="48"/>
  <c r="CF526" i="48" s="1"/>
  <c r="BK501" i="48"/>
  <c r="CF501" i="48" s="1"/>
  <c r="BK476" i="48"/>
  <c r="CF476" i="48" s="1"/>
  <c r="BK451" i="48"/>
  <c r="CF451" i="48" s="1"/>
  <c r="BK426" i="48"/>
  <c r="CF426" i="48" s="1"/>
  <c r="BK401" i="48"/>
  <c r="CF401" i="48" s="1"/>
  <c r="BK376" i="48"/>
  <c r="CF376" i="48" s="1"/>
  <c r="BK351" i="48"/>
  <c r="CF351" i="48" s="1"/>
  <c r="BK326" i="48"/>
  <c r="CF326" i="48" s="1"/>
  <c r="BK301" i="48"/>
  <c r="CF301" i="48" s="1"/>
  <c r="BK276" i="48"/>
  <c r="BK251" i="48"/>
  <c r="CF251" i="48" s="1"/>
  <c r="BK226" i="48"/>
  <c r="CF226" i="48" s="1"/>
  <c r="BK201" i="48"/>
  <c r="CF201" i="48" s="1"/>
  <c r="BK176" i="48"/>
  <c r="CF176" i="48" s="1"/>
  <c r="CG177" i="48" s="1"/>
  <c r="BK151" i="48"/>
  <c r="CF151" i="48" s="1"/>
  <c r="BK126" i="48"/>
  <c r="CF126" i="48" s="1"/>
  <c r="BK101" i="48"/>
  <c r="CF101" i="48" s="1"/>
  <c r="BK76" i="48"/>
  <c r="CF76" i="48" s="1"/>
  <c r="BK51" i="48"/>
  <c r="CF51" i="48" s="1"/>
  <c r="BK26" i="48"/>
  <c r="CF26" i="48" s="1"/>
  <c r="DE26" i="48" l="1"/>
  <c r="CG26" i="48" s="1"/>
  <c r="DE25" i="48"/>
  <c r="DE24" i="48"/>
  <c r="DE23" i="48"/>
  <c r="DE22" i="48"/>
  <c r="DE21" i="48"/>
  <c r="DE20" i="48"/>
  <c r="DE19" i="48"/>
  <c r="DE18" i="48"/>
  <c r="DE17" i="48"/>
  <c r="DE16" i="48"/>
  <c r="DE15" i="48"/>
  <c r="DE14" i="48"/>
  <c r="DE13" i="48"/>
  <c r="DE12" i="48"/>
  <c r="DE11" i="48"/>
  <c r="DE10" i="48"/>
  <c r="DE9" i="48"/>
  <c r="DE8" i="48"/>
  <c r="DE7" i="48"/>
  <c r="DE6" i="48"/>
  <c r="DE5" i="48"/>
  <c r="DE4" i="48"/>
  <c r="DE3" i="48"/>
  <c r="CR27" i="48" l="1"/>
  <c r="CG101" i="48"/>
  <c r="CG151" i="48"/>
  <c r="CG201" i="48"/>
  <c r="CG326" i="48"/>
  <c r="CG526" i="48"/>
  <c r="CG676" i="48"/>
  <c r="CG801" i="48"/>
  <c r="CG926" i="48"/>
  <c r="CG951" i="48"/>
  <c r="CG1001" i="48"/>
  <c r="CG1126" i="48"/>
  <c r="CG1176" i="48"/>
  <c r="CG51" i="48"/>
  <c r="CG251" i="48"/>
  <c r="CG376" i="48"/>
  <c r="CG551" i="48"/>
  <c r="CG601" i="48"/>
  <c r="CG751" i="48"/>
  <c r="CG876" i="48"/>
  <c r="CG1151" i="48"/>
  <c r="CG1226" i="48"/>
  <c r="CG1326" i="48"/>
  <c r="CG76" i="48"/>
  <c r="CG126" i="48"/>
  <c r="CG176" i="48"/>
  <c r="CG301" i="48"/>
  <c r="CG351" i="48"/>
  <c r="CG476" i="48"/>
  <c r="CG701" i="48"/>
  <c r="CG826" i="48"/>
  <c r="CG1101" i="48"/>
  <c r="CG276" i="48"/>
  <c r="CG401" i="48"/>
  <c r="CG451" i="48"/>
  <c r="CG576" i="48"/>
  <c r="CG651" i="48"/>
  <c r="CG726" i="48"/>
  <c r="CG851" i="48"/>
  <c r="CG976" i="48"/>
  <c r="CG1051" i="48"/>
  <c r="CG1201" i="48"/>
  <c r="CG1276" i="48"/>
  <c r="CG226" i="48"/>
  <c r="CG426" i="48"/>
  <c r="CG501" i="48"/>
  <c r="CG626" i="48"/>
  <c r="CG776" i="48"/>
  <c r="CG901" i="48"/>
  <c r="CG1026" i="48"/>
  <c r="CG1076" i="48"/>
  <c r="CG1251" i="48"/>
  <c r="CG1301" i="48"/>
  <c r="CR176" i="48"/>
  <c r="CR201" i="48"/>
  <c r="CR226" i="48"/>
  <c r="CR251" i="48"/>
  <c r="CR276" i="48"/>
  <c r="CR301" i="48"/>
  <c r="CR326" i="48"/>
  <c r="CR351" i="48"/>
  <c r="CR376" i="48"/>
  <c r="CR401" i="48"/>
  <c r="CR426" i="48"/>
  <c r="CR451" i="48"/>
  <c r="CR476" i="48"/>
  <c r="CR501" i="48"/>
  <c r="CR526" i="48"/>
  <c r="CR551" i="48"/>
  <c r="CR576" i="48"/>
  <c r="CR601" i="48"/>
  <c r="CR651" i="48"/>
  <c r="CR676" i="48"/>
  <c r="CR726" i="48"/>
  <c r="CR751" i="48"/>
  <c r="CR776" i="48"/>
  <c r="CR801" i="48"/>
  <c r="CR851" i="48"/>
  <c r="CR876" i="48"/>
  <c r="CR901" i="48"/>
  <c r="CR926" i="48"/>
  <c r="CR951" i="48"/>
  <c r="CR976" i="48"/>
  <c r="CR1001" i="48"/>
  <c r="CR1026" i="48"/>
  <c r="CR1051" i="48"/>
  <c r="CR1076" i="48"/>
  <c r="CR1101" i="48"/>
  <c r="CR1126" i="48"/>
  <c r="CR1151" i="48"/>
  <c r="CR1176" i="48"/>
  <c r="CR1201" i="48"/>
  <c r="CR1226" i="48"/>
  <c r="CR1251" i="48"/>
  <c r="CR26" i="48"/>
  <c r="AV1326" i="48"/>
  <c r="AV1201" i="48"/>
  <c r="AV1126" i="48"/>
  <c r="AV1051" i="48"/>
  <c r="AV1026" i="48"/>
  <c r="AV676" i="48"/>
  <c r="AV576" i="48"/>
  <c r="AV526" i="48"/>
  <c r="AV501" i="48"/>
  <c r="AV451" i="48"/>
  <c r="AV401" i="48"/>
  <c r="AV326" i="48"/>
  <c r="AV251" i="48"/>
  <c r="AW251" i="48" s="1"/>
  <c r="AV226" i="48"/>
  <c r="AV126" i="48"/>
  <c r="AV51" i="48"/>
  <c r="AV101" i="48"/>
  <c r="AV151" i="48"/>
  <c r="AV176" i="48"/>
  <c r="AV201" i="48"/>
  <c r="AV351" i="48"/>
  <c r="AV376" i="48"/>
  <c r="AV426" i="48"/>
  <c r="AV476" i="48"/>
  <c r="AV551" i="48"/>
  <c r="AW552" i="48" s="1"/>
  <c r="AV601" i="48"/>
  <c r="AV651" i="48"/>
  <c r="AV701" i="48"/>
  <c r="AV726" i="48"/>
  <c r="AV751" i="48"/>
  <c r="AW751" i="48" s="1"/>
  <c r="AV801" i="48"/>
  <c r="AV826" i="48"/>
  <c r="AV851" i="48"/>
  <c r="AV876" i="48"/>
  <c r="AV901" i="48"/>
  <c r="AV1101" i="48"/>
  <c r="AV1176" i="48"/>
  <c r="AV1251" i="48"/>
  <c r="AV1301" i="48"/>
  <c r="AZ26" i="48" l="1"/>
  <c r="AW526" i="48"/>
  <c r="AW527" i="48"/>
  <c r="AW1102" i="48"/>
  <c r="AW602" i="48"/>
  <c r="AW227" i="48"/>
  <c r="AW1051" i="48"/>
  <c r="AW1052" i="48"/>
  <c r="AW1351" i="48"/>
  <c r="AW1352" i="48"/>
  <c r="AW1227" i="48"/>
  <c r="AW1076" i="48"/>
  <c r="AW1077" i="48"/>
  <c r="AW851" i="48"/>
  <c r="AW852" i="48"/>
  <c r="AW727" i="48"/>
  <c r="AW352" i="48"/>
  <c r="AW102" i="48"/>
  <c r="AW101" i="48"/>
  <c r="AW502" i="48"/>
  <c r="AW677" i="48"/>
  <c r="AW1127" i="48"/>
  <c r="AW1251" i="48"/>
  <c r="AW1252" i="48"/>
  <c r="AW752" i="48"/>
  <c r="AW152" i="48"/>
  <c r="AW452" i="48"/>
  <c r="AW451" i="48"/>
  <c r="AW1177" i="48"/>
  <c r="AW926" i="48"/>
  <c r="AW927" i="48"/>
  <c r="AW827" i="48"/>
  <c r="AW477" i="48"/>
  <c r="AW202" i="48"/>
  <c r="AW52" i="48"/>
  <c r="AW51" i="48"/>
  <c r="AW327" i="48"/>
  <c r="AW977" i="48"/>
  <c r="AW1202" i="48"/>
  <c r="AW877" i="48"/>
  <c r="AW377" i="48"/>
  <c r="AW27" i="48"/>
  <c r="AW26" i="48"/>
  <c r="AW1302" i="48"/>
  <c r="AW1276" i="48"/>
  <c r="AW1277" i="48"/>
  <c r="AW1152" i="48"/>
  <c r="AW902" i="48"/>
  <c r="AW802" i="48"/>
  <c r="AW652" i="48"/>
  <c r="AW427" i="48"/>
  <c r="AW177" i="48"/>
  <c r="AW127" i="48"/>
  <c r="AW126" i="48"/>
  <c r="AW402" i="48"/>
  <c r="AW577" i="48"/>
  <c r="AW576" i="48"/>
  <c r="AW1027" i="48"/>
  <c r="AW1327" i="48"/>
  <c r="K276" i="48" l="1"/>
  <c r="DH26" i="48"/>
  <c r="DI27" i="48" s="1"/>
  <c r="DD26" i="48"/>
  <c r="CR10" i="22"/>
  <c r="DG27" i="48"/>
  <c r="CN26" i="48"/>
  <c r="CP26" i="48" s="1"/>
  <c r="DC26" i="48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F19" i="53"/>
  <c r="F18" i="53"/>
  <c r="F17" i="53"/>
  <c r="F16" i="53"/>
  <c r="F15" i="53"/>
  <c r="F14" i="53"/>
  <c r="F13" i="53"/>
  <c r="E35" i="53"/>
  <c r="E34" i="53"/>
  <c r="E17" i="53"/>
  <c r="E18" i="53" s="1"/>
  <c r="E15" i="53"/>
  <c r="E14" i="53"/>
  <c r="C288" i="53"/>
  <c r="C287" i="53"/>
  <c r="C286" i="53"/>
  <c r="C285" i="53"/>
  <c r="C284" i="53"/>
  <c r="C283" i="53"/>
  <c r="C282" i="53"/>
  <c r="C281" i="53"/>
  <c r="C280" i="53"/>
  <c r="C279" i="53"/>
  <c r="C278" i="53"/>
  <c r="C277" i="53"/>
  <c r="C276" i="53"/>
  <c r="C275" i="53"/>
  <c r="C274" i="53"/>
  <c r="C273" i="53"/>
  <c r="C272" i="53"/>
  <c r="C271" i="53"/>
  <c r="C270" i="53"/>
  <c r="C269" i="53"/>
  <c r="C268" i="53"/>
  <c r="C267" i="53"/>
  <c r="C266" i="53"/>
  <c r="C265" i="53"/>
  <c r="C264" i="53"/>
  <c r="C263" i="53"/>
  <c r="C262" i="53"/>
  <c r="C261" i="53"/>
  <c r="C260" i="53"/>
  <c r="C259" i="53"/>
  <c r="C258" i="53"/>
  <c r="C257" i="53"/>
  <c r="C256" i="53"/>
  <c r="C255" i="53"/>
  <c r="C254" i="53"/>
  <c r="C253" i="53"/>
  <c r="C252" i="53"/>
  <c r="C251" i="53"/>
  <c r="C250" i="53"/>
  <c r="C249" i="53"/>
  <c r="C248" i="53"/>
  <c r="C247" i="53"/>
  <c r="C246" i="53"/>
  <c r="C245" i="53"/>
  <c r="C244" i="53"/>
  <c r="C243" i="53"/>
  <c r="C242" i="53"/>
  <c r="C241" i="53"/>
  <c r="C240" i="53"/>
  <c r="C239" i="53"/>
  <c r="C238" i="53"/>
  <c r="C237" i="53"/>
  <c r="C236" i="53"/>
  <c r="C235" i="53"/>
  <c r="C234" i="53"/>
  <c r="C233" i="53"/>
  <c r="C232" i="53"/>
  <c r="C231" i="53"/>
  <c r="C230" i="53"/>
  <c r="C229" i="53"/>
  <c r="C228" i="53"/>
  <c r="C227" i="53"/>
  <c r="C226" i="53"/>
  <c r="C225" i="53"/>
  <c r="C224" i="53"/>
  <c r="C223" i="53"/>
  <c r="C222" i="53"/>
  <c r="C221" i="53"/>
  <c r="C220" i="53"/>
  <c r="C219" i="53"/>
  <c r="C218" i="53"/>
  <c r="C217" i="53"/>
  <c r="C216" i="53"/>
  <c r="C215" i="53"/>
  <c r="C214" i="53"/>
  <c r="C213" i="53"/>
  <c r="C212" i="53"/>
  <c r="C211" i="53"/>
  <c r="C210" i="53"/>
  <c r="C209" i="53"/>
  <c r="C208" i="53"/>
  <c r="C207" i="53"/>
  <c r="C206" i="53"/>
  <c r="C205" i="53"/>
  <c r="C204" i="53"/>
  <c r="C203" i="53"/>
  <c r="C202" i="53"/>
  <c r="C201" i="53"/>
  <c r="C200" i="53"/>
  <c r="C199" i="53"/>
  <c r="C198" i="53"/>
  <c r="C197" i="53"/>
  <c r="C196" i="53"/>
  <c r="C195" i="53"/>
  <c r="C194" i="53"/>
  <c r="C193" i="53"/>
  <c r="C192" i="53"/>
  <c r="C191" i="53"/>
  <c r="C190" i="53"/>
  <c r="C189" i="53"/>
  <c r="C188" i="53"/>
  <c r="C187" i="53"/>
  <c r="C186" i="53"/>
  <c r="C185" i="53"/>
  <c r="C184" i="53"/>
  <c r="C183" i="53"/>
  <c r="C182" i="53"/>
  <c r="C181" i="53"/>
  <c r="C180" i="53"/>
  <c r="C179" i="53"/>
  <c r="C178" i="53"/>
  <c r="C177" i="53"/>
  <c r="C176" i="53"/>
  <c r="C175" i="53"/>
  <c r="C174" i="53"/>
  <c r="C173" i="53"/>
  <c r="C172" i="53"/>
  <c r="C171" i="53"/>
  <c r="C170" i="53"/>
  <c r="C169" i="53"/>
  <c r="C168" i="53"/>
  <c r="C167" i="53"/>
  <c r="C166" i="53"/>
  <c r="C165" i="53"/>
  <c r="C164" i="53"/>
  <c r="C163" i="53"/>
  <c r="C162" i="53"/>
  <c r="C161" i="53"/>
  <c r="C160" i="53"/>
  <c r="C159" i="53"/>
  <c r="C158" i="53"/>
  <c r="C157" i="53"/>
  <c r="C156" i="53"/>
  <c r="C155" i="53"/>
  <c r="C154" i="53"/>
  <c r="C153" i="53"/>
  <c r="C152" i="53"/>
  <c r="C151" i="53"/>
  <c r="C150" i="53"/>
  <c r="C149" i="53"/>
  <c r="C148" i="53"/>
  <c r="C147" i="53"/>
  <c r="C146" i="53"/>
  <c r="C145" i="53"/>
  <c r="C144" i="53"/>
  <c r="C143" i="53"/>
  <c r="C142" i="53"/>
  <c r="C141" i="53"/>
  <c r="C140" i="53"/>
  <c r="C139" i="53"/>
  <c r="C138" i="53"/>
  <c r="C137" i="53"/>
  <c r="C136" i="53"/>
  <c r="C135" i="53"/>
  <c r="C134" i="53"/>
  <c r="C133" i="53"/>
  <c r="C132" i="53"/>
  <c r="C131" i="53"/>
  <c r="C130" i="53"/>
  <c r="C129" i="53"/>
  <c r="C128" i="53"/>
  <c r="C127" i="53"/>
  <c r="C126" i="53"/>
  <c r="C125" i="53"/>
  <c r="C124" i="53"/>
  <c r="C123" i="53"/>
  <c r="C122" i="53"/>
  <c r="C121" i="53"/>
  <c r="C120" i="53"/>
  <c r="C119" i="53"/>
  <c r="C118" i="53"/>
  <c r="C117" i="53"/>
  <c r="C116" i="53"/>
  <c r="C115" i="53"/>
  <c r="C114" i="53"/>
  <c r="C113" i="53"/>
  <c r="C112" i="53"/>
  <c r="C111" i="53"/>
  <c r="C110" i="53"/>
  <c r="C109" i="53"/>
  <c r="C108" i="53"/>
  <c r="C107" i="53"/>
  <c r="C106" i="53"/>
  <c r="C105" i="53"/>
  <c r="C104" i="53"/>
  <c r="C103" i="53"/>
  <c r="C102" i="53"/>
  <c r="C101" i="53"/>
  <c r="C100" i="53"/>
  <c r="C99" i="53"/>
  <c r="C98" i="53"/>
  <c r="C97" i="53"/>
  <c r="C96" i="53"/>
  <c r="C95" i="53"/>
  <c r="C94" i="53"/>
  <c r="C93" i="53"/>
  <c r="C92" i="53"/>
  <c r="C91" i="53"/>
  <c r="C90" i="53"/>
  <c r="C89" i="53"/>
  <c r="C88" i="53"/>
  <c r="C87" i="53"/>
  <c r="C86" i="53"/>
  <c r="C85" i="53"/>
  <c r="C84" i="53"/>
  <c r="C83" i="53"/>
  <c r="C82" i="53"/>
  <c r="C81" i="53"/>
  <c r="C80" i="53"/>
  <c r="C79" i="53"/>
  <c r="C78" i="53"/>
  <c r="C77" i="53"/>
  <c r="C76" i="53"/>
  <c r="C75" i="53"/>
  <c r="C74" i="53"/>
  <c r="C73" i="53"/>
  <c r="C72" i="53"/>
  <c r="C71" i="53"/>
  <c r="C70" i="53"/>
  <c r="C69" i="53"/>
  <c r="C68" i="53"/>
  <c r="C67" i="53"/>
  <c r="C66" i="53"/>
  <c r="C65" i="53"/>
  <c r="C64" i="53"/>
  <c r="C63" i="53"/>
  <c r="C62" i="53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H37" i="28"/>
  <c r="H36" i="28"/>
  <c r="H35" i="28"/>
  <c r="H34" i="28"/>
  <c r="H33" i="28"/>
  <c r="H32" i="28"/>
  <c r="H31" i="28"/>
  <c r="I31" i="28" s="1"/>
  <c r="H30" i="28"/>
  <c r="I30" i="28" s="1"/>
  <c r="H29" i="28"/>
  <c r="H28" i="28"/>
  <c r="H27" i="28"/>
  <c r="H26" i="28"/>
  <c r="H25" i="28"/>
  <c r="H24" i="28"/>
  <c r="H23" i="28"/>
  <c r="I23" i="28" s="1"/>
  <c r="H22" i="28"/>
  <c r="I22" i="28" s="1"/>
  <c r="H21" i="28"/>
  <c r="H20" i="28"/>
  <c r="H19" i="28"/>
  <c r="H18" i="28"/>
  <c r="H17" i="28"/>
  <c r="G35" i="28"/>
  <c r="G36" i="28" s="1"/>
  <c r="I34" i="28"/>
  <c r="I33" i="28"/>
  <c r="I32" i="28"/>
  <c r="I29" i="28"/>
  <c r="I28" i="28"/>
  <c r="I27" i="28"/>
  <c r="I26" i="28"/>
  <c r="I25" i="28"/>
  <c r="I24" i="28"/>
  <c r="I18" i="28"/>
  <c r="I19" i="28"/>
  <c r="I21" i="28"/>
  <c r="DG26" i="48" l="1"/>
  <c r="CU26" i="48"/>
  <c r="CT26" i="48"/>
  <c r="CV26" i="48"/>
  <c r="E19" i="53"/>
  <c r="G37" i="28"/>
  <c r="I20" i="28"/>
  <c r="CW26" i="48" l="1"/>
  <c r="E20" i="53"/>
  <c r="E21" i="53" l="1"/>
  <c r="E22" i="53" l="1"/>
  <c r="E23" i="53" l="1"/>
  <c r="E24" i="53" l="1"/>
  <c r="E25" i="53" l="1"/>
  <c r="E26" i="53" l="1"/>
  <c r="E27" i="53" l="1"/>
  <c r="CH1351" i="48"/>
  <c r="CH1326" i="48"/>
  <c r="CH1301" i="48"/>
  <c r="CH1276" i="48"/>
  <c r="CH1251" i="48"/>
  <c r="CH1226" i="48"/>
  <c r="CH1201" i="48"/>
  <c r="CH1176" i="48"/>
  <c r="CH1151" i="48"/>
  <c r="CH1126" i="48"/>
  <c r="CH1101" i="48"/>
  <c r="CH1076" i="48"/>
  <c r="CH1051" i="48"/>
  <c r="CH1026" i="48"/>
  <c r="CH1001" i="48"/>
  <c r="CH976" i="48"/>
  <c r="CH951" i="48"/>
  <c r="CH926" i="48"/>
  <c r="CH901" i="48"/>
  <c r="CH876" i="48"/>
  <c r="CH851" i="48"/>
  <c r="CH826" i="48"/>
  <c r="CH801" i="48"/>
  <c r="CH776" i="48"/>
  <c r="CH751" i="48"/>
  <c r="CH726" i="48"/>
  <c r="CH701" i="48"/>
  <c r="CH676" i="48"/>
  <c r="CH651" i="48"/>
  <c r="CH626" i="48"/>
  <c r="CH601" i="48"/>
  <c r="CH576" i="48"/>
  <c r="CH551" i="48"/>
  <c r="CH526" i="48"/>
  <c r="CH501" i="48"/>
  <c r="CH476" i="48"/>
  <c r="CH451" i="48"/>
  <c r="CH426" i="48"/>
  <c r="CH401" i="48"/>
  <c r="CH376" i="48"/>
  <c r="CH351" i="48"/>
  <c r="CH326" i="48"/>
  <c r="CH301" i="48"/>
  <c r="CH276" i="48"/>
  <c r="CH251" i="48"/>
  <c r="CH226" i="48"/>
  <c r="CH201" i="48"/>
  <c r="CH176" i="48"/>
  <c r="CH151" i="48"/>
  <c r="CH126" i="48"/>
  <c r="CH101" i="48"/>
  <c r="CH76" i="48"/>
  <c r="CH26" i="48"/>
  <c r="E28" i="53" l="1"/>
  <c r="CR6" i="48"/>
  <c r="BR73" i="48"/>
  <c r="E29" i="53" l="1"/>
  <c r="BR72" i="48"/>
  <c r="E30" i="53" l="1"/>
  <c r="BR71" i="48"/>
  <c r="BR70" i="48" l="1"/>
  <c r="BR69" i="48" l="1"/>
  <c r="BR68" i="48" l="1"/>
  <c r="BR67" i="48" l="1"/>
  <c r="BR66" i="48" l="1"/>
  <c r="BR65" i="48" l="1"/>
  <c r="BR64" i="48" l="1"/>
  <c r="BR63" i="48" l="1"/>
  <c r="BR62" i="48" l="1"/>
  <c r="BR61" i="48" l="1"/>
  <c r="BR60" i="48" l="1"/>
  <c r="BR59" i="48" l="1"/>
  <c r="BR58" i="48" l="1"/>
  <c r="BR57" i="48" l="1"/>
  <c r="BR56" i="48" l="1"/>
  <c r="BR55" i="48" l="1"/>
  <c r="BR54" i="48" l="1"/>
  <c r="BR53" i="48" l="1"/>
  <c r="BR51" i="48" l="1"/>
  <c r="BR50" i="48" l="1"/>
  <c r="BR49" i="48" l="1"/>
  <c r="BR48" i="48" l="1"/>
  <c r="BR47" i="48" l="1"/>
  <c r="BR46" i="48" l="1"/>
  <c r="BR45" i="48" l="1"/>
  <c r="BR44" i="48" l="1"/>
  <c r="BR43" i="48" l="1"/>
  <c r="BR42" i="48" l="1"/>
  <c r="BR41" i="48" l="1"/>
  <c r="BR40" i="48" l="1"/>
  <c r="BR39" i="48" l="1"/>
  <c r="BR38" i="48" l="1"/>
  <c r="BR37" i="48" l="1"/>
  <c r="BR36" i="48" l="1"/>
  <c r="BR35" i="48" l="1"/>
  <c r="BR34" i="48" l="1"/>
  <c r="BR33" i="48" l="1"/>
  <c r="BR32" i="48" l="1"/>
  <c r="BR31" i="48" l="1"/>
  <c r="BR30" i="48" l="1"/>
  <c r="BR29" i="48" l="1"/>
  <c r="BR28" i="48" l="1"/>
  <c r="BR26" i="48" l="1"/>
  <c r="BR25" i="48" l="1"/>
  <c r="BR24" i="48" l="1"/>
  <c r="BR23" i="48" l="1"/>
  <c r="BR22" i="48" l="1"/>
  <c r="BR76" i="48" l="1"/>
  <c r="BT22" i="48" s="1"/>
  <c r="BU22" i="48" s="1"/>
  <c r="BT74" i="48" l="1"/>
  <c r="BU74" i="48" s="1"/>
  <c r="BT73" i="48"/>
  <c r="BU73" i="48" s="1"/>
  <c r="BT72" i="48"/>
  <c r="BU72" i="48" s="1"/>
  <c r="BT71" i="48"/>
  <c r="BU71" i="48" s="1"/>
  <c r="BT70" i="48"/>
  <c r="BU70" i="48" s="1"/>
  <c r="BT69" i="48"/>
  <c r="BU69" i="48" s="1"/>
  <c r="BT68" i="48"/>
  <c r="BU68" i="48" s="1"/>
  <c r="BT67" i="48"/>
  <c r="BU67" i="48" s="1"/>
  <c r="BT66" i="48"/>
  <c r="BU66" i="48" s="1"/>
  <c r="BT65" i="48"/>
  <c r="BU65" i="48" s="1"/>
  <c r="BT64" i="48"/>
  <c r="BU64" i="48" s="1"/>
  <c r="BT63" i="48"/>
  <c r="BU63" i="48" s="1"/>
  <c r="BT62" i="48"/>
  <c r="BU62" i="48" s="1"/>
  <c r="BT61" i="48"/>
  <c r="BU61" i="48" s="1"/>
  <c r="BT60" i="48"/>
  <c r="BU60" i="48" s="1"/>
  <c r="BT59" i="48"/>
  <c r="BU59" i="48" s="1"/>
  <c r="BT58" i="48"/>
  <c r="BU58" i="48" s="1"/>
  <c r="BT57" i="48"/>
  <c r="BU57" i="48" s="1"/>
  <c r="BT56" i="48"/>
  <c r="BU56" i="48" s="1"/>
  <c r="BT55" i="48"/>
  <c r="BU55" i="48" s="1"/>
  <c r="BT54" i="48"/>
  <c r="BU54" i="48" s="1"/>
  <c r="BT53" i="48"/>
  <c r="BU53" i="48" s="1"/>
  <c r="BT51" i="48"/>
  <c r="BU51" i="48" s="1"/>
  <c r="BT50" i="48"/>
  <c r="BU50" i="48" s="1"/>
  <c r="BT49" i="48"/>
  <c r="BU49" i="48" s="1"/>
  <c r="BT48" i="48"/>
  <c r="BU48" i="48" s="1"/>
  <c r="BT47" i="48"/>
  <c r="BU47" i="48" s="1"/>
  <c r="BT46" i="48"/>
  <c r="BU46" i="48" s="1"/>
  <c r="BT45" i="48"/>
  <c r="BU45" i="48" s="1"/>
  <c r="BT44" i="48"/>
  <c r="BU44" i="48" s="1"/>
  <c r="BT43" i="48"/>
  <c r="BU43" i="48" s="1"/>
  <c r="BT42" i="48"/>
  <c r="BU42" i="48" s="1"/>
  <c r="BT41" i="48"/>
  <c r="BU41" i="48" s="1"/>
  <c r="BT40" i="48"/>
  <c r="BU40" i="48" s="1"/>
  <c r="BT39" i="48"/>
  <c r="BU39" i="48" s="1"/>
  <c r="BT38" i="48"/>
  <c r="BU38" i="48" s="1"/>
  <c r="BT37" i="48"/>
  <c r="BU37" i="48" s="1"/>
  <c r="BT36" i="48"/>
  <c r="BU36" i="48" s="1"/>
  <c r="BT35" i="48"/>
  <c r="BU35" i="48" s="1"/>
  <c r="BT34" i="48"/>
  <c r="BU34" i="48" s="1"/>
  <c r="BT33" i="48"/>
  <c r="BU33" i="48" s="1"/>
  <c r="BT32" i="48"/>
  <c r="BU32" i="48" s="1"/>
  <c r="BT31" i="48"/>
  <c r="BU31" i="48" s="1"/>
  <c r="BT30" i="48"/>
  <c r="BU30" i="48" s="1"/>
  <c r="BT29" i="48"/>
  <c r="BU29" i="48" s="1"/>
  <c r="BT28" i="48"/>
  <c r="BU28" i="48" s="1"/>
  <c r="BT26" i="48"/>
  <c r="BU26" i="48" s="1"/>
  <c r="BT25" i="48"/>
  <c r="BU25" i="48" s="1"/>
  <c r="BT24" i="48"/>
  <c r="BU24" i="48" s="1"/>
  <c r="BT23" i="48"/>
  <c r="BU23" i="48" s="1"/>
  <c r="BU76" i="48" l="1"/>
  <c r="BV3" i="48" s="1"/>
  <c r="R50" i="48" l="1"/>
  <c r="CS1300" i="48"/>
  <c r="CR1250" i="48"/>
  <c r="CR1249" i="48"/>
  <c r="CR1248" i="48"/>
  <c r="CR1247" i="48"/>
  <c r="CR1246" i="48"/>
  <c r="CR1245" i="48"/>
  <c r="CR1244" i="48"/>
  <c r="CR1243" i="48"/>
  <c r="CR1242" i="48"/>
  <c r="CR1241" i="48"/>
  <c r="CR1240" i="48"/>
  <c r="CR1239" i="48"/>
  <c r="CR1238" i="48"/>
  <c r="CR1237" i="48"/>
  <c r="CR1236" i="48"/>
  <c r="CR1235" i="48"/>
  <c r="CR1234" i="48"/>
  <c r="CR1233" i="48"/>
  <c r="CR1232" i="48"/>
  <c r="CR1231" i="48"/>
  <c r="CR1225" i="48"/>
  <c r="CR1224" i="48"/>
  <c r="CR1223" i="48"/>
  <c r="CR1222" i="48"/>
  <c r="CR1221" i="48"/>
  <c r="CR1220" i="48"/>
  <c r="CR1219" i="48"/>
  <c r="CR1218" i="48"/>
  <c r="CR1217" i="48"/>
  <c r="CR1216" i="48"/>
  <c r="CR1215" i="48"/>
  <c r="CR1214" i="48"/>
  <c r="CR1213" i="48"/>
  <c r="CR1212" i="48"/>
  <c r="CR1211" i="48"/>
  <c r="CR1210" i="48"/>
  <c r="CR1209" i="48"/>
  <c r="CR1208" i="48"/>
  <c r="CR1207" i="48"/>
  <c r="CR1206" i="48"/>
  <c r="CR1200" i="48"/>
  <c r="CR1199" i="48"/>
  <c r="CR1198" i="48"/>
  <c r="CR1197" i="48"/>
  <c r="CR1196" i="48"/>
  <c r="CR1195" i="48"/>
  <c r="CR1194" i="48"/>
  <c r="CR1193" i="48"/>
  <c r="CR1192" i="48"/>
  <c r="CR1191" i="48"/>
  <c r="CR1190" i="48"/>
  <c r="CR1189" i="48"/>
  <c r="CR1188" i="48"/>
  <c r="CR1187" i="48"/>
  <c r="CR1186" i="48"/>
  <c r="CR1185" i="48"/>
  <c r="CR1184" i="48"/>
  <c r="CR1183" i="48"/>
  <c r="CR1182" i="48"/>
  <c r="CR1181" i="48"/>
  <c r="CR1175" i="48"/>
  <c r="CR1174" i="48"/>
  <c r="CR1173" i="48"/>
  <c r="CR1172" i="48"/>
  <c r="CR1171" i="48"/>
  <c r="CR1170" i="48"/>
  <c r="CR1169" i="48"/>
  <c r="CR1168" i="48"/>
  <c r="CR1167" i="48"/>
  <c r="CR1166" i="48"/>
  <c r="CR1165" i="48"/>
  <c r="CR1164" i="48"/>
  <c r="CR1163" i="48"/>
  <c r="CR1162" i="48"/>
  <c r="CR1161" i="48"/>
  <c r="CR1160" i="48"/>
  <c r="CR1159" i="48"/>
  <c r="CR1158" i="48"/>
  <c r="CR1157" i="48"/>
  <c r="CR1156" i="48"/>
  <c r="CR1150" i="48"/>
  <c r="CR1149" i="48"/>
  <c r="CR1148" i="48"/>
  <c r="CR1147" i="48"/>
  <c r="CR1146" i="48"/>
  <c r="CR1145" i="48"/>
  <c r="CR1144" i="48"/>
  <c r="CR1143" i="48"/>
  <c r="CR1142" i="48"/>
  <c r="CR1141" i="48"/>
  <c r="CR1140" i="48"/>
  <c r="CR1139" i="48"/>
  <c r="CR1138" i="48"/>
  <c r="CR1137" i="48"/>
  <c r="CR1136" i="48"/>
  <c r="CR1135" i="48"/>
  <c r="CR1134" i="48"/>
  <c r="CR1133" i="48"/>
  <c r="CR1132" i="48"/>
  <c r="CR1131" i="48"/>
  <c r="CR1124" i="48"/>
  <c r="CR1123" i="48"/>
  <c r="CR1122" i="48"/>
  <c r="CR1121" i="48"/>
  <c r="CR1120" i="48"/>
  <c r="CR1119" i="48"/>
  <c r="CR1118" i="48"/>
  <c r="CR1117" i="48"/>
  <c r="CR1116" i="48"/>
  <c r="CR1115" i="48"/>
  <c r="CR1114" i="48"/>
  <c r="CR1113" i="48"/>
  <c r="CR1112" i="48"/>
  <c r="CR1111" i="48"/>
  <c r="CR1110" i="48"/>
  <c r="CR1109" i="48"/>
  <c r="CR1108" i="48"/>
  <c r="CR1107" i="48"/>
  <c r="CR1106" i="48"/>
  <c r="CR1100" i="48"/>
  <c r="CR1099" i="48"/>
  <c r="CR1098" i="48"/>
  <c r="CR1097" i="48"/>
  <c r="CR1096" i="48"/>
  <c r="CR1095" i="48"/>
  <c r="CR1094" i="48"/>
  <c r="CR1093" i="48"/>
  <c r="CR1092" i="48"/>
  <c r="CR1091" i="48"/>
  <c r="CR1090" i="48"/>
  <c r="CR1089" i="48"/>
  <c r="CR1088" i="48"/>
  <c r="CR1087" i="48"/>
  <c r="CR1086" i="48"/>
  <c r="CR1085" i="48"/>
  <c r="CR1084" i="48"/>
  <c r="CR1083" i="48"/>
  <c r="CR1082" i="48"/>
  <c r="CR1081" i="48"/>
  <c r="CS1075" i="48"/>
  <c r="CR1075" i="48"/>
  <c r="CR1074" i="48"/>
  <c r="CR1073" i="48"/>
  <c r="CR1072" i="48"/>
  <c r="CR1071" i="48"/>
  <c r="CR1070" i="48"/>
  <c r="CR1069" i="48"/>
  <c r="CR1068" i="48"/>
  <c r="CR1067" i="48"/>
  <c r="CR1066" i="48"/>
  <c r="CR1065" i="48"/>
  <c r="CR1064" i="48"/>
  <c r="CR1063" i="48"/>
  <c r="CR1062" i="48"/>
  <c r="CR1061" i="48"/>
  <c r="CR1060" i="48"/>
  <c r="CR1059" i="48"/>
  <c r="CR1058" i="48"/>
  <c r="CR1057" i="48"/>
  <c r="CR1056" i="48"/>
  <c r="CR1050" i="48"/>
  <c r="CR1049" i="48"/>
  <c r="CR1048" i="48"/>
  <c r="CR1047" i="48"/>
  <c r="CR1046" i="48"/>
  <c r="CR1045" i="48"/>
  <c r="CR1044" i="48"/>
  <c r="CR1043" i="48"/>
  <c r="CR1042" i="48"/>
  <c r="CR1041" i="48"/>
  <c r="CR1040" i="48"/>
  <c r="CR1039" i="48"/>
  <c r="CR1038" i="48"/>
  <c r="CR1037" i="48"/>
  <c r="CR1036" i="48"/>
  <c r="CR1035" i="48"/>
  <c r="CR1034" i="48"/>
  <c r="CR1033" i="48"/>
  <c r="CR1032" i="48"/>
  <c r="CR1031" i="48"/>
  <c r="CR1025" i="48"/>
  <c r="CR1024" i="48"/>
  <c r="CR1023" i="48"/>
  <c r="CR1022" i="48"/>
  <c r="CR1021" i="48"/>
  <c r="CR1020" i="48"/>
  <c r="CR1019" i="48"/>
  <c r="CR1018" i="48"/>
  <c r="CR1017" i="48"/>
  <c r="CR1016" i="48"/>
  <c r="CR1015" i="48"/>
  <c r="CR1014" i="48"/>
  <c r="CR1013" i="48"/>
  <c r="CR1012" i="48"/>
  <c r="CR1011" i="48"/>
  <c r="CR1010" i="48"/>
  <c r="CR1009" i="48"/>
  <c r="CR1008" i="48"/>
  <c r="CR1007" i="48"/>
  <c r="CR1006" i="48"/>
  <c r="CR1000" i="48"/>
  <c r="CR999" i="48"/>
  <c r="CR998" i="48"/>
  <c r="CR997" i="48"/>
  <c r="CR996" i="48"/>
  <c r="CR995" i="48"/>
  <c r="CR994" i="48"/>
  <c r="CR993" i="48"/>
  <c r="CR992" i="48"/>
  <c r="CR991" i="48"/>
  <c r="CR990" i="48"/>
  <c r="CR989" i="48"/>
  <c r="CR988" i="48"/>
  <c r="CR987" i="48"/>
  <c r="CR986" i="48"/>
  <c r="CR985" i="48"/>
  <c r="CR984" i="48"/>
  <c r="CR983" i="48"/>
  <c r="CR982" i="48"/>
  <c r="CR981" i="48"/>
  <c r="CR975" i="48"/>
  <c r="CR974" i="48"/>
  <c r="CR973" i="48"/>
  <c r="CR972" i="48"/>
  <c r="CR971" i="48"/>
  <c r="CR970" i="48"/>
  <c r="CR969" i="48"/>
  <c r="CR968" i="48"/>
  <c r="CR967" i="48"/>
  <c r="CR966" i="48"/>
  <c r="CR965" i="48"/>
  <c r="CR964" i="48"/>
  <c r="CR963" i="48"/>
  <c r="CR962" i="48"/>
  <c r="CR961" i="48"/>
  <c r="CR960" i="48"/>
  <c r="CR959" i="48"/>
  <c r="CR958" i="48"/>
  <c r="CR957" i="48"/>
  <c r="CR956" i="48"/>
  <c r="CR950" i="48"/>
  <c r="CR949" i="48"/>
  <c r="CR948" i="48"/>
  <c r="CR947" i="48"/>
  <c r="CR946" i="48"/>
  <c r="CR945" i="48"/>
  <c r="CR944" i="48"/>
  <c r="CR943" i="48"/>
  <c r="CR942" i="48"/>
  <c r="CR941" i="48"/>
  <c r="CR940" i="48"/>
  <c r="CR939" i="48"/>
  <c r="CR938" i="48"/>
  <c r="CR937" i="48"/>
  <c r="CR936" i="48"/>
  <c r="CR935" i="48"/>
  <c r="CR934" i="48"/>
  <c r="CR933" i="48"/>
  <c r="CR932" i="48"/>
  <c r="CR931" i="48"/>
  <c r="CR925" i="48"/>
  <c r="CR924" i="48"/>
  <c r="CR923" i="48"/>
  <c r="CR922" i="48"/>
  <c r="CR921" i="48"/>
  <c r="CR920" i="48"/>
  <c r="CR919" i="48"/>
  <c r="CR918" i="48"/>
  <c r="CR917" i="48"/>
  <c r="CR916" i="48"/>
  <c r="CR915" i="48"/>
  <c r="CR914" i="48"/>
  <c r="CR913" i="48"/>
  <c r="CR912" i="48"/>
  <c r="CR911" i="48"/>
  <c r="CR910" i="48"/>
  <c r="CR909" i="48"/>
  <c r="CR908" i="48"/>
  <c r="CR907" i="48"/>
  <c r="CR906" i="48"/>
  <c r="CR900" i="48"/>
  <c r="CR899" i="48"/>
  <c r="CR898" i="48"/>
  <c r="CR897" i="48"/>
  <c r="CR896" i="48"/>
  <c r="CR895" i="48"/>
  <c r="CR894" i="48"/>
  <c r="CR893" i="48"/>
  <c r="CR892" i="48"/>
  <c r="CR891" i="48"/>
  <c r="CR890" i="48"/>
  <c r="CR889" i="48"/>
  <c r="CR888" i="48"/>
  <c r="CR887" i="48"/>
  <c r="CR886" i="48"/>
  <c r="CR885" i="48"/>
  <c r="CR884" i="48"/>
  <c r="CR883" i="48"/>
  <c r="CR882" i="48"/>
  <c r="CR881" i="48"/>
  <c r="CR875" i="48"/>
  <c r="CR874" i="48"/>
  <c r="CR873" i="48"/>
  <c r="CR872" i="48"/>
  <c r="CR871" i="48"/>
  <c r="CR870" i="48"/>
  <c r="CR869" i="48"/>
  <c r="CR868" i="48"/>
  <c r="CR867" i="48"/>
  <c r="CR866" i="48"/>
  <c r="CR865" i="48"/>
  <c r="CR864" i="48"/>
  <c r="CR863" i="48"/>
  <c r="CR862" i="48"/>
  <c r="CR861" i="48"/>
  <c r="CR860" i="48"/>
  <c r="CR859" i="48"/>
  <c r="CR858" i="48"/>
  <c r="CR857" i="48"/>
  <c r="CR856" i="48"/>
  <c r="CR850" i="48"/>
  <c r="CR849" i="48"/>
  <c r="CR848" i="48"/>
  <c r="CR847" i="48"/>
  <c r="CR846" i="48"/>
  <c r="CR845" i="48"/>
  <c r="CR844" i="48"/>
  <c r="CR843" i="48"/>
  <c r="CR842" i="48"/>
  <c r="CR841" i="48"/>
  <c r="CR840" i="48"/>
  <c r="CR839" i="48"/>
  <c r="CR838" i="48"/>
  <c r="CR837" i="48"/>
  <c r="CR836" i="48"/>
  <c r="CR835" i="48"/>
  <c r="CR834" i="48"/>
  <c r="CR833" i="48"/>
  <c r="CR832" i="48"/>
  <c r="CR831" i="48"/>
  <c r="CR825" i="48"/>
  <c r="CR824" i="48"/>
  <c r="CR823" i="48"/>
  <c r="CR822" i="48"/>
  <c r="CR821" i="48"/>
  <c r="CR820" i="48"/>
  <c r="CR819" i="48"/>
  <c r="CR818" i="48"/>
  <c r="CR817" i="48"/>
  <c r="CR816" i="48"/>
  <c r="CR815" i="48"/>
  <c r="CR814" i="48"/>
  <c r="CR813" i="48"/>
  <c r="CR812" i="48"/>
  <c r="CR811" i="48"/>
  <c r="CR810" i="48"/>
  <c r="CR809" i="48"/>
  <c r="CR808" i="48"/>
  <c r="CR807" i="48"/>
  <c r="CR806" i="48"/>
  <c r="CR800" i="48"/>
  <c r="CR799" i="48"/>
  <c r="CR798" i="48"/>
  <c r="CR797" i="48"/>
  <c r="CR796" i="48"/>
  <c r="CR795" i="48"/>
  <c r="CR794" i="48"/>
  <c r="CR793" i="48"/>
  <c r="CR792" i="48"/>
  <c r="CR791" i="48"/>
  <c r="CR790" i="48"/>
  <c r="CR789" i="48"/>
  <c r="CR788" i="48"/>
  <c r="CR787" i="48"/>
  <c r="CR786" i="48"/>
  <c r="CR785" i="48"/>
  <c r="CR784" i="48"/>
  <c r="CR783" i="48"/>
  <c r="CR782" i="48"/>
  <c r="CR781" i="48"/>
  <c r="CR775" i="48"/>
  <c r="CR774" i="48"/>
  <c r="CR773" i="48"/>
  <c r="CR772" i="48"/>
  <c r="CR771" i="48"/>
  <c r="CR770" i="48"/>
  <c r="CR769" i="48"/>
  <c r="CR768" i="48"/>
  <c r="CR767" i="48"/>
  <c r="CR766" i="48"/>
  <c r="CR765" i="48"/>
  <c r="CR764" i="48"/>
  <c r="CR763" i="48"/>
  <c r="CR762" i="48"/>
  <c r="CR761" i="48"/>
  <c r="CR760" i="48"/>
  <c r="CR759" i="48"/>
  <c r="CR758" i="48"/>
  <c r="CR757" i="48"/>
  <c r="CR756" i="48"/>
  <c r="CR750" i="48"/>
  <c r="CR749" i="48"/>
  <c r="CR748" i="48"/>
  <c r="CR747" i="48"/>
  <c r="CR746" i="48"/>
  <c r="CR745" i="48"/>
  <c r="CR744" i="48"/>
  <c r="CR743" i="48"/>
  <c r="CR742" i="48"/>
  <c r="CR741" i="48"/>
  <c r="CR740" i="48"/>
  <c r="CR739" i="48"/>
  <c r="CR738" i="48"/>
  <c r="CR737" i="48"/>
  <c r="CR736" i="48"/>
  <c r="CR735" i="48"/>
  <c r="CR734" i="48"/>
  <c r="CR733" i="48"/>
  <c r="CR732" i="48"/>
  <c r="CR731" i="48"/>
  <c r="CR725" i="48"/>
  <c r="CR724" i="48"/>
  <c r="CR723" i="48"/>
  <c r="CR722" i="48"/>
  <c r="CR721" i="48"/>
  <c r="CR720" i="48"/>
  <c r="CR719" i="48"/>
  <c r="CR718" i="48"/>
  <c r="CR717" i="48"/>
  <c r="CR716" i="48"/>
  <c r="CR715" i="48"/>
  <c r="CR714" i="48"/>
  <c r="CR713" i="48"/>
  <c r="CR712" i="48"/>
  <c r="CR711" i="48"/>
  <c r="CR710" i="48"/>
  <c r="CR709" i="48"/>
  <c r="CR708" i="48"/>
  <c r="CR707" i="48"/>
  <c r="CR706" i="48"/>
  <c r="CR675" i="48"/>
  <c r="CR674" i="48"/>
  <c r="CR673" i="48"/>
  <c r="CR672" i="48"/>
  <c r="CR671" i="48"/>
  <c r="CR670" i="48"/>
  <c r="CR669" i="48"/>
  <c r="CR668" i="48"/>
  <c r="CR667" i="48"/>
  <c r="CR666" i="48"/>
  <c r="CR665" i="48"/>
  <c r="CR664" i="48"/>
  <c r="CR663" i="48"/>
  <c r="CR662" i="48"/>
  <c r="CR661" i="48"/>
  <c r="CR660" i="48"/>
  <c r="CR659" i="48"/>
  <c r="CR658" i="48"/>
  <c r="CR657" i="48"/>
  <c r="CR656" i="48"/>
  <c r="CR650" i="48"/>
  <c r="CR649" i="48"/>
  <c r="CR648" i="48"/>
  <c r="CR647" i="48"/>
  <c r="CR646" i="48"/>
  <c r="CR645" i="48"/>
  <c r="CR644" i="48"/>
  <c r="CR643" i="48"/>
  <c r="CR642" i="48"/>
  <c r="CR641" i="48"/>
  <c r="CR640" i="48"/>
  <c r="CR639" i="48"/>
  <c r="CR638" i="48"/>
  <c r="CR637" i="48"/>
  <c r="CR636" i="48"/>
  <c r="CR635" i="48"/>
  <c r="CR634" i="48"/>
  <c r="CR633" i="48"/>
  <c r="CR632" i="48"/>
  <c r="CR631" i="48"/>
  <c r="CR600" i="48"/>
  <c r="CR599" i="48"/>
  <c r="CR598" i="48"/>
  <c r="CR597" i="48"/>
  <c r="CR596" i="48"/>
  <c r="CR595" i="48"/>
  <c r="CR594" i="48"/>
  <c r="CR593" i="48"/>
  <c r="CR592" i="48"/>
  <c r="CR591" i="48"/>
  <c r="CR590" i="48"/>
  <c r="CR589" i="48"/>
  <c r="CR588" i="48"/>
  <c r="CR587" i="48"/>
  <c r="CR586" i="48"/>
  <c r="CR585" i="48"/>
  <c r="CR584" i="48"/>
  <c r="CR583" i="48"/>
  <c r="CR582" i="48"/>
  <c r="CR581" i="48"/>
  <c r="CR575" i="48"/>
  <c r="CR574" i="48"/>
  <c r="CR573" i="48"/>
  <c r="CR572" i="48"/>
  <c r="CR571" i="48"/>
  <c r="CR570" i="48"/>
  <c r="CR569" i="48"/>
  <c r="CR568" i="48"/>
  <c r="CR567" i="48"/>
  <c r="CR566" i="48"/>
  <c r="CR565" i="48"/>
  <c r="CR564" i="48"/>
  <c r="CR563" i="48"/>
  <c r="CR562" i="48"/>
  <c r="CR561" i="48"/>
  <c r="CR560" i="48"/>
  <c r="CR559" i="48"/>
  <c r="CR558" i="48"/>
  <c r="CR557" i="48"/>
  <c r="CR556" i="48"/>
  <c r="CR550" i="48"/>
  <c r="CR549" i="48"/>
  <c r="CR548" i="48"/>
  <c r="CR547" i="48"/>
  <c r="CR546" i="48"/>
  <c r="CR545" i="48"/>
  <c r="CR544" i="48"/>
  <c r="CR543" i="48"/>
  <c r="CR542" i="48"/>
  <c r="CR541" i="48"/>
  <c r="CR540" i="48"/>
  <c r="CR539" i="48"/>
  <c r="CR538" i="48"/>
  <c r="CR537" i="48"/>
  <c r="CR536" i="48"/>
  <c r="CR535" i="48"/>
  <c r="CR534" i="48"/>
  <c r="CR533" i="48"/>
  <c r="CR532" i="48"/>
  <c r="CR531" i="48"/>
  <c r="CR525" i="48"/>
  <c r="CR524" i="48"/>
  <c r="CR523" i="48"/>
  <c r="CR522" i="48"/>
  <c r="CR521" i="48"/>
  <c r="CR520" i="48"/>
  <c r="CR519" i="48"/>
  <c r="CR518" i="48"/>
  <c r="CR517" i="48"/>
  <c r="CR516" i="48"/>
  <c r="CR515" i="48"/>
  <c r="CR514" i="48"/>
  <c r="CR513" i="48"/>
  <c r="CR512" i="48"/>
  <c r="CR511" i="48"/>
  <c r="CR510" i="48"/>
  <c r="CR509" i="48"/>
  <c r="CR508" i="48"/>
  <c r="CR507" i="48"/>
  <c r="CR506" i="48"/>
  <c r="CR500" i="48"/>
  <c r="CR499" i="48"/>
  <c r="CR498" i="48"/>
  <c r="CR497" i="48"/>
  <c r="CR496" i="48"/>
  <c r="CR495" i="48"/>
  <c r="CR494" i="48"/>
  <c r="CR493" i="48"/>
  <c r="CR492" i="48"/>
  <c r="CR491" i="48"/>
  <c r="CR490" i="48"/>
  <c r="CR489" i="48"/>
  <c r="CR488" i="48"/>
  <c r="CR487" i="48"/>
  <c r="CR486" i="48"/>
  <c r="CR485" i="48"/>
  <c r="CR484" i="48"/>
  <c r="CR483" i="48"/>
  <c r="CR482" i="48"/>
  <c r="CR481" i="48"/>
  <c r="CR475" i="48"/>
  <c r="CR474" i="48"/>
  <c r="CR473" i="48"/>
  <c r="CR472" i="48"/>
  <c r="CR471" i="48"/>
  <c r="CR470" i="48"/>
  <c r="CR469" i="48"/>
  <c r="CR468" i="48"/>
  <c r="CR467" i="48"/>
  <c r="CR466" i="48"/>
  <c r="CR465" i="48"/>
  <c r="CR464" i="48"/>
  <c r="CR463" i="48"/>
  <c r="CR462" i="48"/>
  <c r="CR461" i="48"/>
  <c r="CR460" i="48"/>
  <c r="CR459" i="48"/>
  <c r="CR458" i="48"/>
  <c r="CR457" i="48"/>
  <c r="CR456" i="48"/>
  <c r="CR450" i="48"/>
  <c r="CR449" i="48"/>
  <c r="CR448" i="48"/>
  <c r="CR447" i="48"/>
  <c r="CR446" i="48"/>
  <c r="CR445" i="48"/>
  <c r="CR444" i="48"/>
  <c r="CR443" i="48"/>
  <c r="CR442" i="48"/>
  <c r="CR441" i="48"/>
  <c r="CR440" i="48"/>
  <c r="CR439" i="48"/>
  <c r="CR438" i="48"/>
  <c r="CR437" i="48"/>
  <c r="CR436" i="48"/>
  <c r="CR435" i="48"/>
  <c r="CR434" i="48"/>
  <c r="CR433" i="48"/>
  <c r="CR432" i="48"/>
  <c r="CR431" i="48"/>
  <c r="CR425" i="48"/>
  <c r="CR424" i="48"/>
  <c r="CR423" i="48"/>
  <c r="CR422" i="48"/>
  <c r="CR421" i="48"/>
  <c r="CR420" i="48"/>
  <c r="CR419" i="48"/>
  <c r="CR418" i="48"/>
  <c r="CR417" i="48"/>
  <c r="CR416" i="48"/>
  <c r="CR415" i="48"/>
  <c r="CR414" i="48"/>
  <c r="CR413" i="48"/>
  <c r="CR412" i="48"/>
  <c r="CR411" i="48"/>
  <c r="CR410" i="48"/>
  <c r="CR409" i="48"/>
  <c r="CR408" i="48"/>
  <c r="CR407" i="48"/>
  <c r="CR406" i="48"/>
  <c r="CR400" i="48"/>
  <c r="CR399" i="48"/>
  <c r="CR398" i="48"/>
  <c r="CR397" i="48"/>
  <c r="CR396" i="48"/>
  <c r="CR395" i="48"/>
  <c r="CR394" i="48"/>
  <c r="CR393" i="48"/>
  <c r="CR392" i="48"/>
  <c r="CR391" i="48"/>
  <c r="CR390" i="48"/>
  <c r="CR389" i="48"/>
  <c r="CR388" i="48"/>
  <c r="CR387" i="48"/>
  <c r="CR386" i="48"/>
  <c r="CR385" i="48"/>
  <c r="CR384" i="48"/>
  <c r="CR383" i="48"/>
  <c r="CR382" i="48"/>
  <c r="CR381" i="48"/>
  <c r="CR375" i="48"/>
  <c r="CR374" i="48"/>
  <c r="CR373" i="48"/>
  <c r="CR372" i="48"/>
  <c r="CR371" i="48"/>
  <c r="CR370" i="48"/>
  <c r="CR369" i="48"/>
  <c r="CR368" i="48"/>
  <c r="CR367" i="48"/>
  <c r="CR366" i="48"/>
  <c r="CR365" i="48"/>
  <c r="CR364" i="48"/>
  <c r="CR363" i="48"/>
  <c r="CR362" i="48"/>
  <c r="CR361" i="48"/>
  <c r="CR360" i="48"/>
  <c r="CR359" i="48"/>
  <c r="CR358" i="48"/>
  <c r="CR357" i="48"/>
  <c r="CR356" i="48"/>
  <c r="CR350" i="48"/>
  <c r="CR349" i="48"/>
  <c r="CR348" i="48"/>
  <c r="CR347" i="48"/>
  <c r="CR346" i="48"/>
  <c r="CR345" i="48"/>
  <c r="CR344" i="48"/>
  <c r="CR343" i="48"/>
  <c r="CR342" i="48"/>
  <c r="CR341" i="48"/>
  <c r="CR340" i="48"/>
  <c r="CR339" i="48"/>
  <c r="CR338" i="48"/>
  <c r="CR337" i="48"/>
  <c r="CR336" i="48"/>
  <c r="CR335" i="48"/>
  <c r="CR334" i="48"/>
  <c r="CR333" i="48"/>
  <c r="CR332" i="48"/>
  <c r="CR331" i="48"/>
  <c r="CR325" i="48"/>
  <c r="CR324" i="48"/>
  <c r="CR323" i="48"/>
  <c r="CR322" i="48"/>
  <c r="CR321" i="48"/>
  <c r="CR320" i="48"/>
  <c r="CR319" i="48"/>
  <c r="CR318" i="48"/>
  <c r="CR317" i="48"/>
  <c r="CR316" i="48"/>
  <c r="CR315" i="48"/>
  <c r="CR314" i="48"/>
  <c r="CR313" i="48"/>
  <c r="CR312" i="48"/>
  <c r="CR311" i="48"/>
  <c r="CR310" i="48"/>
  <c r="CR309" i="48"/>
  <c r="CR308" i="48"/>
  <c r="CR307" i="48"/>
  <c r="CR306" i="48"/>
  <c r="CR300" i="48"/>
  <c r="CR299" i="48"/>
  <c r="CR298" i="48"/>
  <c r="CR297" i="48"/>
  <c r="CR296" i="48"/>
  <c r="CR295" i="48"/>
  <c r="CR294" i="48"/>
  <c r="CR293" i="48"/>
  <c r="CR292" i="48"/>
  <c r="CR291" i="48"/>
  <c r="CR290" i="48"/>
  <c r="CR289" i="48"/>
  <c r="CR288" i="48"/>
  <c r="CR287" i="48"/>
  <c r="CR286" i="48"/>
  <c r="CR285" i="48"/>
  <c r="CR284" i="48"/>
  <c r="CR283" i="48"/>
  <c r="CR282" i="48"/>
  <c r="CR281" i="48"/>
  <c r="CC653" i="48"/>
  <c r="AA51" i="16"/>
  <c r="CC1328" i="48"/>
  <c r="CC1303" i="48"/>
  <c r="CC1278" i="48"/>
  <c r="CC1253" i="48"/>
  <c r="CC1228" i="48"/>
  <c r="CC1203" i="48"/>
  <c r="CC1178" i="48"/>
  <c r="CC1153" i="48"/>
  <c r="CC1128" i="48"/>
  <c r="CC1103" i="48"/>
  <c r="CC1078" i="48"/>
  <c r="CC1053" i="48"/>
  <c r="CC1028" i="48"/>
  <c r="CC1003" i="48"/>
  <c r="CC978" i="48"/>
  <c r="CC953" i="48"/>
  <c r="CC928" i="48"/>
  <c r="CC903" i="48"/>
  <c r="CC878" i="48"/>
  <c r="CC853" i="48"/>
  <c r="CC828" i="48"/>
  <c r="CC803" i="48"/>
  <c r="CC778" i="48"/>
  <c r="CC753" i="48"/>
  <c r="CC728" i="48"/>
  <c r="CC703" i="48"/>
  <c r="CC678" i="48"/>
  <c r="CC628" i="48"/>
  <c r="CC603" i="48"/>
  <c r="CC578" i="48"/>
  <c r="CC553" i="48"/>
  <c r="CC528" i="48"/>
  <c r="CC503" i="48"/>
  <c r="CC478" i="48"/>
  <c r="CC428" i="48"/>
  <c r="CC403" i="48"/>
  <c r="CC378" i="48"/>
  <c r="CC328" i="48"/>
  <c r="CC303" i="48"/>
  <c r="CC278" i="48"/>
  <c r="CC228" i="48"/>
  <c r="CC203" i="48"/>
  <c r="CC178" i="48"/>
  <c r="CC128" i="48"/>
  <c r="CC103" i="48"/>
  <c r="CC53" i="48"/>
  <c r="CC28" i="4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AA71" i="18" s="1"/>
  <c r="AA70" i="18" s="1"/>
  <c r="J71" i="18"/>
  <c r="I71" i="18"/>
  <c r="H71" i="18"/>
  <c r="G71" i="18"/>
  <c r="Z71" i="18"/>
  <c r="AA70" i="16"/>
  <c r="Y71" i="16"/>
  <c r="X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Z71" i="16"/>
  <c r="CC3" i="4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U8" i="16"/>
  <c r="V8" i="16" s="1"/>
  <c r="W8" i="16" s="1"/>
  <c r="X8" i="16" s="1"/>
  <c r="Y8" i="16" s="1"/>
  <c r="Z8" i="16" s="1"/>
  <c r="AA8" i="16" s="1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10" i="16" s="1"/>
  <c r="F10" i="18" l="1"/>
  <c r="CR275" i="48" l="1"/>
  <c r="CR274" i="48"/>
  <c r="CR273" i="48"/>
  <c r="CR272" i="48"/>
  <c r="CR271" i="48"/>
  <c r="CR270" i="48"/>
  <c r="CR269" i="48"/>
  <c r="CR268" i="48"/>
  <c r="CR267" i="48"/>
  <c r="CR266" i="48"/>
  <c r="CR265" i="48"/>
  <c r="CR264" i="48"/>
  <c r="CR263" i="48"/>
  <c r="CR262" i="48"/>
  <c r="CR261" i="48"/>
  <c r="CR260" i="48"/>
  <c r="CR259" i="48"/>
  <c r="CR258" i="48"/>
  <c r="CR257" i="48"/>
  <c r="CR256" i="48"/>
  <c r="CR250" i="48"/>
  <c r="CR249" i="48"/>
  <c r="CR248" i="48"/>
  <c r="CR247" i="48"/>
  <c r="CR246" i="48"/>
  <c r="CR245" i="48"/>
  <c r="CR244" i="48"/>
  <c r="CR243" i="48"/>
  <c r="CR242" i="48"/>
  <c r="CR241" i="48"/>
  <c r="CR240" i="48"/>
  <c r="CR239" i="48"/>
  <c r="CR238" i="48"/>
  <c r="CR237" i="48"/>
  <c r="CR236" i="48"/>
  <c r="CR235" i="48"/>
  <c r="CR234" i="48"/>
  <c r="CR233" i="48"/>
  <c r="CR232" i="48"/>
  <c r="CR231" i="48"/>
  <c r="CR225" i="48"/>
  <c r="CR224" i="48"/>
  <c r="CR223" i="48"/>
  <c r="CR222" i="48"/>
  <c r="CR221" i="48"/>
  <c r="CR220" i="48"/>
  <c r="CR219" i="48"/>
  <c r="CR218" i="48"/>
  <c r="CR217" i="48"/>
  <c r="CR216" i="48"/>
  <c r="CR215" i="48"/>
  <c r="CR214" i="48"/>
  <c r="CR213" i="48"/>
  <c r="CR212" i="48"/>
  <c r="CR211" i="48"/>
  <c r="CR210" i="48"/>
  <c r="CR209" i="48"/>
  <c r="CR208" i="48"/>
  <c r="CR207" i="48"/>
  <c r="CR206" i="48"/>
  <c r="CR200" i="48"/>
  <c r="CR199" i="48"/>
  <c r="CR198" i="48"/>
  <c r="CR197" i="48"/>
  <c r="CR196" i="48"/>
  <c r="CR195" i="48"/>
  <c r="CR194" i="48"/>
  <c r="CR193" i="48"/>
  <c r="CR192" i="48"/>
  <c r="CR191" i="48"/>
  <c r="CR190" i="48"/>
  <c r="CR189" i="48"/>
  <c r="CR188" i="48"/>
  <c r="CR187" i="48"/>
  <c r="CR186" i="48"/>
  <c r="CR185" i="48"/>
  <c r="CR184" i="48"/>
  <c r="CR183" i="48"/>
  <c r="CR182" i="48"/>
  <c r="CR181" i="48"/>
  <c r="CR175" i="48"/>
  <c r="CR174" i="48"/>
  <c r="CR173" i="48"/>
  <c r="CR172" i="48"/>
  <c r="CR171" i="48"/>
  <c r="CR170" i="48"/>
  <c r="CR169" i="48"/>
  <c r="CR168" i="48"/>
  <c r="CR167" i="48"/>
  <c r="CR166" i="48"/>
  <c r="CR165" i="48"/>
  <c r="CR164" i="48"/>
  <c r="CR163" i="48"/>
  <c r="CR162" i="48"/>
  <c r="CR161" i="48"/>
  <c r="CR160" i="48"/>
  <c r="CR159" i="48"/>
  <c r="CR158" i="48"/>
  <c r="CR157" i="48"/>
  <c r="CR156" i="48"/>
  <c r="CX175" i="48" l="1"/>
  <c r="CX174" i="48"/>
  <c r="CS174" i="48" s="1"/>
  <c r="CX173" i="48"/>
  <c r="CS173" i="48" s="1"/>
  <c r="CX172" i="48"/>
  <c r="CS172" i="48" s="1"/>
  <c r="CX171" i="48"/>
  <c r="CS171" i="48" s="1"/>
  <c r="CX170" i="48"/>
  <c r="CS170" i="48" s="1"/>
  <c r="CX169" i="48"/>
  <c r="CS169" i="48" s="1"/>
  <c r="CX168" i="48"/>
  <c r="CS168" i="48" s="1"/>
  <c r="CX167" i="48"/>
  <c r="CS167" i="48" s="1"/>
  <c r="CX166" i="48"/>
  <c r="CS166" i="48" s="1"/>
  <c r="CX165" i="48"/>
  <c r="CS165" i="48" s="1"/>
  <c r="CX164" i="48"/>
  <c r="CS164" i="48" s="1"/>
  <c r="CX163" i="48"/>
  <c r="CS163" i="48" s="1"/>
  <c r="CX162" i="48"/>
  <c r="CS162" i="48" s="1"/>
  <c r="CX161" i="48"/>
  <c r="CS161" i="48" s="1"/>
  <c r="CX160" i="48"/>
  <c r="CS160" i="48" s="1"/>
  <c r="CX159" i="48"/>
  <c r="CS159" i="48" s="1"/>
  <c r="CX158" i="48"/>
  <c r="CS158" i="48" s="1"/>
  <c r="CX157" i="48"/>
  <c r="CS157" i="48" s="1"/>
  <c r="CX156" i="48"/>
  <c r="CS156" i="48" s="1"/>
  <c r="CX155" i="48"/>
  <c r="CS155" i="48" s="1"/>
  <c r="CX154" i="48"/>
  <c r="CS154" i="48" s="1"/>
  <c r="CX153" i="48"/>
  <c r="CS175" i="48" l="1"/>
  <c r="CX176" i="48"/>
  <c r="CX177" i="48" s="1"/>
  <c r="CS177" i="48" s="1"/>
  <c r="CX273" i="48"/>
  <c r="CS273" i="48" s="1"/>
  <c r="CX272" i="48"/>
  <c r="CS272" i="48" s="1"/>
  <c r="CX271" i="48"/>
  <c r="CS271" i="48" s="1"/>
  <c r="CX270" i="48"/>
  <c r="CS270" i="48" s="1"/>
  <c r="CX269" i="48"/>
  <c r="CS269" i="48" s="1"/>
  <c r="CX268" i="48"/>
  <c r="CS268" i="48" s="1"/>
  <c r="CX267" i="48"/>
  <c r="CS267" i="48" s="1"/>
  <c r="CX266" i="48"/>
  <c r="CS266" i="48" s="1"/>
  <c r="CX265" i="48"/>
  <c r="CS265" i="48" s="1"/>
  <c r="CX264" i="48"/>
  <c r="CS264" i="48" s="1"/>
  <c r="CX263" i="48"/>
  <c r="CS263" i="48" s="1"/>
  <c r="CX262" i="48"/>
  <c r="CS262" i="48" s="1"/>
  <c r="CX261" i="48"/>
  <c r="CS261" i="48" s="1"/>
  <c r="CX260" i="48"/>
  <c r="CS260" i="48" s="1"/>
  <c r="CX259" i="48"/>
  <c r="CS259" i="48" s="1"/>
  <c r="CX258" i="48"/>
  <c r="CS258" i="48" s="1"/>
  <c r="CX257" i="48"/>
  <c r="CS257" i="48" s="1"/>
  <c r="CX256" i="48"/>
  <c r="CS256" i="48" s="1"/>
  <c r="CX255" i="48"/>
  <c r="CS255" i="48" s="1"/>
  <c r="CX254" i="48"/>
  <c r="CS254" i="48" s="1"/>
  <c r="CX253" i="48"/>
  <c r="CP251" i="48"/>
  <c r="CX249" i="48"/>
  <c r="CS249" i="48" s="1"/>
  <c r="CX248" i="48"/>
  <c r="CS248" i="48" s="1"/>
  <c r="CX247" i="48"/>
  <c r="CS247" i="48" s="1"/>
  <c r="CX246" i="48"/>
  <c r="CS246" i="48" s="1"/>
  <c r="CX245" i="48"/>
  <c r="CS245" i="48" s="1"/>
  <c r="CX244" i="48"/>
  <c r="CS244" i="48" s="1"/>
  <c r="CX243" i="48"/>
  <c r="CS243" i="48" s="1"/>
  <c r="CX242" i="48"/>
  <c r="CS242" i="48" s="1"/>
  <c r="CX241" i="48"/>
  <c r="CS241" i="48" s="1"/>
  <c r="CX240" i="48"/>
  <c r="CS240" i="48" s="1"/>
  <c r="CX239" i="48"/>
  <c r="CS239" i="48" s="1"/>
  <c r="CX238" i="48"/>
  <c r="CS238" i="48" s="1"/>
  <c r="CX237" i="48"/>
  <c r="CS237" i="48" s="1"/>
  <c r="CX236" i="48"/>
  <c r="CS236" i="48" s="1"/>
  <c r="CX235" i="48"/>
  <c r="CS235" i="48" s="1"/>
  <c r="CX234" i="48"/>
  <c r="CS234" i="48" s="1"/>
  <c r="CX233" i="48"/>
  <c r="CS233" i="48" s="1"/>
  <c r="CX232" i="48"/>
  <c r="CS232" i="48" s="1"/>
  <c r="CX231" i="48"/>
  <c r="CS231" i="48" s="1"/>
  <c r="CX230" i="48"/>
  <c r="CS230" i="48" s="1"/>
  <c r="CX229" i="48"/>
  <c r="CS229" i="48" s="1"/>
  <c r="CX228" i="48"/>
  <c r="CX224" i="48"/>
  <c r="CS224" i="48" s="1"/>
  <c r="CX223" i="48"/>
  <c r="CS223" i="48" s="1"/>
  <c r="CX222" i="48"/>
  <c r="CS222" i="48" s="1"/>
  <c r="CX221" i="48"/>
  <c r="CS221" i="48" s="1"/>
  <c r="CX220" i="48"/>
  <c r="CS220" i="48" s="1"/>
  <c r="CX219" i="48"/>
  <c r="CS219" i="48" s="1"/>
  <c r="CX218" i="48"/>
  <c r="CS218" i="48" s="1"/>
  <c r="CX217" i="48"/>
  <c r="CS217" i="48" s="1"/>
  <c r="CX216" i="48"/>
  <c r="CS216" i="48" s="1"/>
  <c r="CX215" i="48"/>
  <c r="CS215" i="48" s="1"/>
  <c r="CX214" i="48"/>
  <c r="CS214" i="48" s="1"/>
  <c r="CX213" i="48"/>
  <c r="CS213" i="48" s="1"/>
  <c r="CX212" i="48"/>
  <c r="CS212" i="48" s="1"/>
  <c r="CX211" i="48"/>
  <c r="CS211" i="48" s="1"/>
  <c r="CX210" i="48"/>
  <c r="CS210" i="48" s="1"/>
  <c r="CX209" i="48"/>
  <c r="CS209" i="48" s="1"/>
  <c r="CX208" i="48"/>
  <c r="CS208" i="48" s="1"/>
  <c r="CX207" i="48"/>
  <c r="CS207" i="48" s="1"/>
  <c r="CX206" i="48"/>
  <c r="CS206" i="48" s="1"/>
  <c r="CX205" i="48"/>
  <c r="CS205" i="48" s="1"/>
  <c r="CX204" i="48"/>
  <c r="CS204" i="48" s="1"/>
  <c r="CX203" i="48"/>
  <c r="CR25" i="48"/>
  <c r="CS176" i="48" l="1"/>
  <c r="CR24" i="48"/>
  <c r="CR23" i="48"/>
  <c r="CR22" i="48"/>
  <c r="CR21" i="48"/>
  <c r="CR20" i="48"/>
  <c r="CR19" i="48"/>
  <c r="CR18" i="48"/>
  <c r="CR17" i="48"/>
  <c r="CR16" i="48"/>
  <c r="CR15" i="48"/>
  <c r="CR14" i="48"/>
  <c r="CR13" i="48"/>
  <c r="CR12" i="48"/>
  <c r="CR11" i="48"/>
  <c r="CR10" i="48"/>
  <c r="CR9" i="48"/>
  <c r="CR8" i="48"/>
  <c r="CR7" i="48"/>
  <c r="AV3" i="48" l="1"/>
  <c r="R1350" i="48"/>
  <c r="AV1034" i="48"/>
  <c r="AV1033" i="48"/>
  <c r="AV1032" i="48"/>
  <c r="AW1033" i="48" l="1"/>
  <c r="AW1034" i="48"/>
  <c r="Q284" i="48"/>
  <c r="Q285" i="48"/>
  <c r="Q286" i="48"/>
  <c r="Q287" i="48"/>
  <c r="Q288" i="48"/>
  <c r="Q289" i="48"/>
  <c r="Q290" i="48"/>
  <c r="Q291" i="48"/>
  <c r="Q292" i="48"/>
  <c r="Q293" i="48"/>
  <c r="Q294" i="48"/>
  <c r="Q295" i="48"/>
  <c r="Q296" i="48"/>
  <c r="Q297" i="48"/>
  <c r="Q298" i="48"/>
  <c r="Q299" i="48"/>
  <c r="Q300" i="48"/>
  <c r="Q259" i="48"/>
  <c r="Q260" i="48"/>
  <c r="Q261" i="48"/>
  <c r="Q262" i="48"/>
  <c r="Q263" i="48"/>
  <c r="Q264" i="48"/>
  <c r="Q265" i="48"/>
  <c r="Q266" i="48"/>
  <c r="Q267" i="48"/>
  <c r="Q268" i="48"/>
  <c r="Q269" i="48"/>
  <c r="Q270" i="48"/>
  <c r="Q271" i="48"/>
  <c r="Q272" i="48"/>
  <c r="Q273" i="48"/>
  <c r="Q274" i="48"/>
  <c r="Q275" i="48"/>
  <c r="Q175" i="48"/>
  <c r="Q59" i="48"/>
  <c r="R59" i="48" s="1"/>
  <c r="Q60" i="48"/>
  <c r="R60" i="48" s="1"/>
  <c r="Q61" i="48"/>
  <c r="R61" i="48" s="1"/>
  <c r="Q62" i="48"/>
  <c r="R62" i="48" s="1"/>
  <c r="Q63" i="48"/>
  <c r="R63" i="48" s="1"/>
  <c r="Q64" i="48"/>
  <c r="R64" i="48" s="1"/>
  <c r="Q65" i="48"/>
  <c r="R65" i="48" s="1"/>
  <c r="Q66" i="48"/>
  <c r="R66" i="48" s="1"/>
  <c r="Q67" i="48"/>
  <c r="R67" i="48" s="1"/>
  <c r="Q68" i="48"/>
  <c r="R68" i="48" s="1"/>
  <c r="Q69" i="48"/>
  <c r="R69" i="48" s="1"/>
  <c r="Q70" i="48"/>
  <c r="R70" i="48" s="1"/>
  <c r="Q71" i="48"/>
  <c r="R71" i="48" s="1"/>
  <c r="Q72" i="48"/>
  <c r="R72" i="48" s="1"/>
  <c r="Q73" i="48"/>
  <c r="R73" i="48" s="1"/>
  <c r="Q74" i="48"/>
  <c r="R74" i="48" s="1"/>
  <c r="Q75" i="48"/>
  <c r="R75" i="48" s="1"/>
  <c r="Q34" i="48"/>
  <c r="R34" i="48" s="1"/>
  <c r="Q35" i="48"/>
  <c r="R35" i="48" s="1"/>
  <c r="Q36" i="48"/>
  <c r="R36" i="48" s="1"/>
  <c r="Q37" i="48"/>
  <c r="R37" i="48" s="1"/>
  <c r="Q38" i="48"/>
  <c r="R38" i="48" s="1"/>
  <c r="Q39" i="48"/>
  <c r="R39" i="48" s="1"/>
  <c r="Q40" i="48"/>
  <c r="R40" i="48" s="1"/>
  <c r="Q41" i="48"/>
  <c r="R41" i="48" s="1"/>
  <c r="Q42" i="48"/>
  <c r="R42" i="48" s="1"/>
  <c r="Q43" i="48"/>
  <c r="R43" i="48" s="1"/>
  <c r="Q44" i="48"/>
  <c r="R44" i="48" s="1"/>
  <c r="Q45" i="48"/>
  <c r="R45" i="48" s="1"/>
  <c r="Q46" i="48"/>
  <c r="R46" i="48" s="1"/>
  <c r="Q47" i="48"/>
  <c r="R47" i="48" s="1"/>
  <c r="Q48" i="48"/>
  <c r="R48" i="48" s="1"/>
  <c r="Q49" i="48"/>
  <c r="R49" i="48" s="1"/>
  <c r="J1074" i="48"/>
  <c r="J284" i="48"/>
  <c r="J285" i="48"/>
  <c r="J286" i="48"/>
  <c r="J287" i="48"/>
  <c r="J288" i="48"/>
  <c r="J289" i="48"/>
  <c r="J290" i="48"/>
  <c r="J291" i="48"/>
  <c r="J292" i="48"/>
  <c r="J293" i="48"/>
  <c r="J294" i="48"/>
  <c r="J295" i="48"/>
  <c r="J296" i="48"/>
  <c r="J297" i="48"/>
  <c r="J298" i="48"/>
  <c r="J299" i="48"/>
  <c r="J300" i="48"/>
  <c r="J259" i="48"/>
  <c r="J260" i="48"/>
  <c r="J261" i="48"/>
  <c r="J262" i="48"/>
  <c r="J263" i="48"/>
  <c r="J264" i="48"/>
  <c r="J265" i="48"/>
  <c r="J266" i="48"/>
  <c r="J267" i="48"/>
  <c r="J268" i="48"/>
  <c r="J269" i="48"/>
  <c r="J270" i="48"/>
  <c r="J271" i="48"/>
  <c r="J272" i="48"/>
  <c r="J273" i="48"/>
  <c r="J274" i="48"/>
  <c r="J275" i="48"/>
  <c r="J160" i="48"/>
  <c r="J161" i="48"/>
  <c r="J162" i="48"/>
  <c r="J163" i="48"/>
  <c r="J164" i="48"/>
  <c r="J165" i="48"/>
  <c r="J166" i="48"/>
  <c r="J167" i="48"/>
  <c r="J168" i="48"/>
  <c r="J169" i="48"/>
  <c r="J170" i="48"/>
  <c r="J171" i="48"/>
  <c r="J172" i="48"/>
  <c r="J173" i="48"/>
  <c r="J174" i="48"/>
  <c r="J175" i="48"/>
  <c r="J109" i="48"/>
  <c r="S45" i="48" l="1"/>
  <c r="S37" i="48"/>
  <c r="S71" i="48"/>
  <c r="S63" i="48"/>
  <c r="S69" i="48"/>
  <c r="S41" i="48"/>
  <c r="S67" i="48"/>
  <c r="S61" i="48"/>
  <c r="S75" i="48"/>
  <c r="S47" i="48"/>
  <c r="S43" i="48"/>
  <c r="S35" i="48"/>
  <c r="S39" i="48"/>
  <c r="S73" i="48"/>
  <c r="S65" i="48"/>
  <c r="S44" i="48"/>
  <c r="S36" i="48"/>
  <c r="S70" i="48"/>
  <c r="S62" i="48"/>
  <c r="S42" i="48"/>
  <c r="S68" i="48"/>
  <c r="S60" i="48"/>
  <c r="S48" i="48"/>
  <c r="S40" i="48"/>
  <c r="S74" i="48"/>
  <c r="S66" i="48"/>
  <c r="S49" i="48"/>
  <c r="S50" i="48"/>
  <c r="S46" i="48"/>
  <c r="S38" i="48"/>
  <c r="S72" i="48"/>
  <c r="S64" i="48"/>
  <c r="BX1350" i="48"/>
  <c r="BW1350" i="48"/>
  <c r="BM1351" i="48" s="1"/>
  <c r="BX1349" i="48"/>
  <c r="BW1349" i="48"/>
  <c r="BM1350" i="48" s="1"/>
  <c r="BX1348" i="48"/>
  <c r="BW1348" i="48"/>
  <c r="BX1347" i="48"/>
  <c r="BW1347" i="48"/>
  <c r="BM1348" i="48" s="1"/>
  <c r="BX1346" i="48"/>
  <c r="BW1346" i="48"/>
  <c r="BM1347" i="48" s="1"/>
  <c r="BX1345" i="48"/>
  <c r="BW1345" i="48"/>
  <c r="BM1346" i="48" s="1"/>
  <c r="BX1344" i="48"/>
  <c r="BW1344" i="48"/>
  <c r="BM1345" i="48" s="1"/>
  <c r="BX1343" i="48"/>
  <c r="BW1343" i="48"/>
  <c r="BM1344" i="48" s="1"/>
  <c r="BX1342" i="48"/>
  <c r="BW1342" i="48"/>
  <c r="BM1343" i="48" s="1"/>
  <c r="BX1341" i="48"/>
  <c r="BW1341" i="48"/>
  <c r="BM1342" i="48" s="1"/>
  <c r="BX1340" i="48"/>
  <c r="BW1340" i="48"/>
  <c r="BM1341" i="48" s="1"/>
  <c r="BX1339" i="48"/>
  <c r="BW1339" i="48"/>
  <c r="BM1340" i="48" s="1"/>
  <c r="BX1338" i="48"/>
  <c r="BW1338" i="48"/>
  <c r="BM1339" i="48" s="1"/>
  <c r="BX1337" i="48"/>
  <c r="BW1337" i="48"/>
  <c r="BM1338" i="48" s="1"/>
  <c r="BX1336" i="48"/>
  <c r="BW1336" i="48"/>
  <c r="BM1337" i="48" s="1"/>
  <c r="BX1335" i="48"/>
  <c r="BW1335" i="48"/>
  <c r="BM1336" i="48" s="1"/>
  <c r="BX1334" i="48"/>
  <c r="BW1334" i="48"/>
  <c r="BM1335" i="48" s="1"/>
  <c r="BX1333" i="48"/>
  <c r="BW1333" i="48"/>
  <c r="BM1334" i="48" s="1"/>
  <c r="BX1332" i="48"/>
  <c r="BW1332" i="48"/>
  <c r="BM1333" i="48" s="1"/>
  <c r="BX1331" i="48"/>
  <c r="BW1331" i="48"/>
  <c r="BM1332" i="48" s="1"/>
  <c r="BX1330" i="48"/>
  <c r="BW1330" i="48"/>
  <c r="BM1331" i="48" s="1"/>
  <c r="BX1329" i="48"/>
  <c r="BW1329" i="48"/>
  <c r="BM1330" i="48" s="1"/>
  <c r="BX1328" i="48"/>
  <c r="BW1328" i="48"/>
  <c r="BM1329" i="48" s="1"/>
  <c r="BX1325" i="48"/>
  <c r="BW1325" i="48"/>
  <c r="BM1326" i="48" s="1"/>
  <c r="BX1324" i="48"/>
  <c r="BW1324" i="48"/>
  <c r="BM1325" i="48" s="1"/>
  <c r="BX1323" i="48"/>
  <c r="BW1323" i="48"/>
  <c r="BM1324" i="48" s="1"/>
  <c r="BX1322" i="48"/>
  <c r="BW1322" i="48"/>
  <c r="BM1323" i="48" s="1"/>
  <c r="BX1321" i="48"/>
  <c r="BW1321" i="48"/>
  <c r="BM1322" i="48" s="1"/>
  <c r="BX1320" i="48"/>
  <c r="BW1320" i="48"/>
  <c r="BM1321" i="48" s="1"/>
  <c r="BX1319" i="48"/>
  <c r="BW1319" i="48"/>
  <c r="BM1320" i="48" s="1"/>
  <c r="BX1318" i="48"/>
  <c r="BW1318" i="48"/>
  <c r="BM1319" i="48" s="1"/>
  <c r="BX1317" i="48"/>
  <c r="BW1317" i="48"/>
  <c r="BM1318" i="48" s="1"/>
  <c r="BX1316" i="48"/>
  <c r="BW1316" i="48"/>
  <c r="BM1317" i="48" s="1"/>
  <c r="BX1315" i="48"/>
  <c r="BW1315" i="48"/>
  <c r="BM1316" i="48" s="1"/>
  <c r="BX1314" i="48"/>
  <c r="BW1314" i="48"/>
  <c r="BM1315" i="48" s="1"/>
  <c r="BX1313" i="48"/>
  <c r="BW1313" i="48"/>
  <c r="BM1314" i="48" s="1"/>
  <c r="BX1312" i="48"/>
  <c r="BW1312" i="48"/>
  <c r="BM1313" i="48" s="1"/>
  <c r="BX1311" i="48"/>
  <c r="BW1311" i="48"/>
  <c r="BM1312" i="48" s="1"/>
  <c r="BX1310" i="48"/>
  <c r="BW1310" i="48"/>
  <c r="BM1311" i="48" s="1"/>
  <c r="BN1311" i="48" s="1"/>
  <c r="BX1309" i="48"/>
  <c r="BW1309" i="48"/>
  <c r="BM1310" i="48" s="1"/>
  <c r="BX1308" i="48"/>
  <c r="BW1308" i="48"/>
  <c r="BM1309" i="48" s="1"/>
  <c r="BX1307" i="48"/>
  <c r="BW1307" i="48"/>
  <c r="BM1308" i="48" s="1"/>
  <c r="BX1306" i="48"/>
  <c r="BW1306" i="48"/>
  <c r="BM1307" i="48" s="1"/>
  <c r="BX1305" i="48"/>
  <c r="BW1305" i="48"/>
  <c r="BM1306" i="48" s="1"/>
  <c r="BX1304" i="48"/>
  <c r="BW1304" i="48"/>
  <c r="BM1305" i="48" s="1"/>
  <c r="BX1303" i="48"/>
  <c r="BW1303" i="48"/>
  <c r="BM1304" i="48" s="1"/>
  <c r="BX1300" i="48"/>
  <c r="BW1300" i="48"/>
  <c r="BM1301" i="48" s="1"/>
  <c r="BX1299" i="48"/>
  <c r="BW1299" i="48"/>
  <c r="BM1299" i="48" s="1"/>
  <c r="BX1298" i="48"/>
  <c r="BW1298" i="48"/>
  <c r="BM1298" i="48" s="1"/>
  <c r="BX1297" i="48"/>
  <c r="BW1297" i="48"/>
  <c r="BM1297" i="48" s="1"/>
  <c r="BX1296" i="48"/>
  <c r="BW1296" i="48"/>
  <c r="BM1296" i="48" s="1"/>
  <c r="BX1295" i="48"/>
  <c r="BW1295" i="48"/>
  <c r="BM1295" i="48" s="1"/>
  <c r="BX1294" i="48"/>
  <c r="BW1294" i="48"/>
  <c r="BX1293" i="48"/>
  <c r="BW1293" i="48"/>
  <c r="BM1293" i="48" s="1"/>
  <c r="BX1292" i="48"/>
  <c r="BW1292" i="48"/>
  <c r="BM1292" i="48" s="1"/>
  <c r="BX1291" i="48"/>
  <c r="BW1291" i="48"/>
  <c r="BM1291" i="48" s="1"/>
  <c r="BX1290" i="48"/>
  <c r="BW1290" i="48"/>
  <c r="BM1290" i="48" s="1"/>
  <c r="BX1289" i="48"/>
  <c r="BW1289" i="48"/>
  <c r="BM1289" i="48" s="1"/>
  <c r="BX1288" i="48"/>
  <c r="BW1288" i="48"/>
  <c r="BM1288" i="48" s="1"/>
  <c r="BX1287" i="48"/>
  <c r="BW1287" i="48"/>
  <c r="BM1287" i="48" s="1"/>
  <c r="BX1286" i="48"/>
  <c r="BW1286" i="48"/>
  <c r="BX1285" i="48"/>
  <c r="BW1285" i="48"/>
  <c r="BM1285" i="48" s="1"/>
  <c r="BX1284" i="48"/>
  <c r="BW1284" i="48"/>
  <c r="BX1283" i="48"/>
  <c r="BW1283" i="48"/>
  <c r="BM1283" i="48" s="1"/>
  <c r="BX1282" i="48"/>
  <c r="BW1282" i="48"/>
  <c r="BX1281" i="48"/>
  <c r="BW1281" i="48"/>
  <c r="BM1281" i="48" s="1"/>
  <c r="BX1280" i="48"/>
  <c r="BW1280" i="48"/>
  <c r="BX1279" i="48"/>
  <c r="BW1279" i="48"/>
  <c r="BM1279" i="48" s="1"/>
  <c r="BX1278" i="48"/>
  <c r="BW1278" i="48"/>
  <c r="BX1275" i="48"/>
  <c r="BW1275" i="48"/>
  <c r="BM1275" i="48" s="1"/>
  <c r="BX1274" i="48"/>
  <c r="BW1274" i="48"/>
  <c r="BM1274" i="48" s="1"/>
  <c r="BX1273" i="48"/>
  <c r="BW1273" i="48"/>
  <c r="BM1273" i="48" s="1"/>
  <c r="BX1272" i="48"/>
  <c r="BW1272" i="48"/>
  <c r="BX1271" i="48"/>
  <c r="BW1271" i="48"/>
  <c r="BM1271" i="48" s="1"/>
  <c r="BX1270" i="48"/>
  <c r="BW1270" i="48"/>
  <c r="BX1269" i="48"/>
  <c r="BW1269" i="48"/>
  <c r="BM1269" i="48" s="1"/>
  <c r="BX1268" i="48"/>
  <c r="BW1268" i="48"/>
  <c r="BX1267" i="48"/>
  <c r="BW1267" i="48"/>
  <c r="BM1267" i="48" s="1"/>
  <c r="BX1266" i="48"/>
  <c r="BW1266" i="48"/>
  <c r="BX1265" i="48"/>
  <c r="BW1265" i="48"/>
  <c r="BM1265" i="48" s="1"/>
  <c r="BX1264" i="48"/>
  <c r="BW1264" i="48"/>
  <c r="BX1263" i="48"/>
  <c r="BW1263" i="48"/>
  <c r="BM1263" i="48" s="1"/>
  <c r="BX1262" i="48"/>
  <c r="BW1262" i="48"/>
  <c r="BX1261" i="48"/>
  <c r="BW1261" i="48"/>
  <c r="BM1261" i="48" s="1"/>
  <c r="BX1260" i="48"/>
  <c r="BW1260" i="48"/>
  <c r="BX1259" i="48"/>
  <c r="BW1259" i="48"/>
  <c r="BM1259" i="48" s="1"/>
  <c r="BX1258" i="48"/>
  <c r="BW1258" i="48"/>
  <c r="BX1257" i="48"/>
  <c r="BW1257" i="48"/>
  <c r="BM1257" i="48" s="1"/>
  <c r="BX1256" i="48"/>
  <c r="BW1256" i="48"/>
  <c r="BX1255" i="48"/>
  <c r="BW1255" i="48"/>
  <c r="BM1255" i="48" s="1"/>
  <c r="BX1254" i="48"/>
  <c r="BW1254" i="48"/>
  <c r="BX1253" i="48"/>
  <c r="BW1253" i="48"/>
  <c r="BM1253" i="48" s="1"/>
  <c r="BX1250" i="48"/>
  <c r="BW1250" i="48"/>
  <c r="BX1249" i="48"/>
  <c r="BW1249" i="48"/>
  <c r="BM1249" i="48" s="1"/>
  <c r="BX1248" i="48"/>
  <c r="BW1248" i="48"/>
  <c r="BX1247" i="48"/>
  <c r="BW1247" i="48"/>
  <c r="BM1247" i="48" s="1"/>
  <c r="BX1246" i="48"/>
  <c r="BW1246" i="48"/>
  <c r="BX1245" i="48"/>
  <c r="BW1245" i="48"/>
  <c r="BM1245" i="48" s="1"/>
  <c r="BX1244" i="48"/>
  <c r="BW1244" i="48"/>
  <c r="BX1243" i="48"/>
  <c r="BW1243" i="48"/>
  <c r="BM1243" i="48" s="1"/>
  <c r="BX1242" i="48"/>
  <c r="BW1242" i="48"/>
  <c r="BX1241" i="48"/>
  <c r="BW1241" i="48"/>
  <c r="BM1241" i="48" s="1"/>
  <c r="BX1240" i="48"/>
  <c r="BW1240" i="48"/>
  <c r="BX1239" i="48"/>
  <c r="BW1239" i="48"/>
  <c r="BM1239" i="48" s="1"/>
  <c r="BX1238" i="48"/>
  <c r="BW1238" i="48"/>
  <c r="BX1237" i="48"/>
  <c r="BW1237" i="48"/>
  <c r="BM1237" i="48" s="1"/>
  <c r="BX1236" i="48"/>
  <c r="BW1236" i="48"/>
  <c r="BX1235" i="48"/>
  <c r="BW1235" i="48"/>
  <c r="BM1235" i="48" s="1"/>
  <c r="BX1234" i="48"/>
  <c r="BW1234" i="48"/>
  <c r="BX1233" i="48"/>
  <c r="BW1233" i="48"/>
  <c r="BM1233" i="48" s="1"/>
  <c r="BX1232" i="48"/>
  <c r="BW1232" i="48"/>
  <c r="BX1231" i="48"/>
  <c r="BW1231" i="48"/>
  <c r="BM1231" i="48" s="1"/>
  <c r="BX1230" i="48"/>
  <c r="BW1230" i="48"/>
  <c r="BX1229" i="48"/>
  <c r="BW1229" i="48"/>
  <c r="BM1229" i="48" s="1"/>
  <c r="BX1228" i="48"/>
  <c r="BW1228" i="48"/>
  <c r="BX1225" i="48"/>
  <c r="BW1225" i="48"/>
  <c r="BM1225" i="48" s="1"/>
  <c r="BX1224" i="48"/>
  <c r="BW1224" i="48"/>
  <c r="BX1223" i="48"/>
  <c r="BW1223" i="48"/>
  <c r="BM1223" i="48" s="1"/>
  <c r="BX1222" i="48"/>
  <c r="BW1222" i="48"/>
  <c r="BX1221" i="48"/>
  <c r="BW1221" i="48"/>
  <c r="BM1221" i="48" s="1"/>
  <c r="BX1220" i="48"/>
  <c r="BW1220" i="48"/>
  <c r="BX1219" i="48"/>
  <c r="BW1219" i="48"/>
  <c r="BM1219" i="48" s="1"/>
  <c r="BX1218" i="48"/>
  <c r="BW1218" i="48"/>
  <c r="BX1217" i="48"/>
  <c r="BW1217" i="48"/>
  <c r="BM1217" i="48" s="1"/>
  <c r="BX1216" i="48"/>
  <c r="BW1216" i="48"/>
  <c r="BX1215" i="48"/>
  <c r="BW1215" i="48"/>
  <c r="BM1215" i="48" s="1"/>
  <c r="BX1214" i="48"/>
  <c r="BW1214" i="48"/>
  <c r="BX1213" i="48"/>
  <c r="BW1213" i="48"/>
  <c r="BM1213" i="48" s="1"/>
  <c r="BX1212" i="48"/>
  <c r="BW1212" i="48"/>
  <c r="BX1211" i="48"/>
  <c r="BW1211" i="48"/>
  <c r="BM1211" i="48" s="1"/>
  <c r="BX1210" i="48"/>
  <c r="BW1210" i="48"/>
  <c r="BX1209" i="48"/>
  <c r="BW1209" i="48"/>
  <c r="BM1209" i="48" s="1"/>
  <c r="BX1208" i="48"/>
  <c r="BW1208" i="48"/>
  <c r="BX1207" i="48"/>
  <c r="BW1207" i="48"/>
  <c r="BM1207" i="48" s="1"/>
  <c r="BX1206" i="48"/>
  <c r="BW1206" i="48"/>
  <c r="BX1205" i="48"/>
  <c r="BW1205" i="48"/>
  <c r="BM1205" i="48" s="1"/>
  <c r="BX1204" i="48"/>
  <c r="BW1204" i="48"/>
  <c r="BX1203" i="48"/>
  <c r="BW1203" i="48"/>
  <c r="BM1203" i="48" s="1"/>
  <c r="BX1200" i="48"/>
  <c r="BW1200" i="48"/>
  <c r="BX1199" i="48"/>
  <c r="BW1199" i="48"/>
  <c r="BM1199" i="48" s="1"/>
  <c r="BX1198" i="48"/>
  <c r="BW1198" i="48"/>
  <c r="BX1197" i="48"/>
  <c r="BW1197" i="48"/>
  <c r="BM1197" i="48" s="1"/>
  <c r="BX1196" i="48"/>
  <c r="BW1196" i="48"/>
  <c r="BX1195" i="48"/>
  <c r="BW1195" i="48"/>
  <c r="BM1195" i="48" s="1"/>
  <c r="BX1194" i="48"/>
  <c r="BW1194" i="48"/>
  <c r="BX1193" i="48"/>
  <c r="BW1193" i="48"/>
  <c r="BM1193" i="48" s="1"/>
  <c r="BX1192" i="48"/>
  <c r="BW1192" i="48"/>
  <c r="BX1191" i="48"/>
  <c r="BW1191" i="48"/>
  <c r="BM1191" i="48" s="1"/>
  <c r="BX1190" i="48"/>
  <c r="BW1190" i="48"/>
  <c r="BX1189" i="48"/>
  <c r="BW1189" i="48"/>
  <c r="BM1189" i="48" s="1"/>
  <c r="BX1188" i="48"/>
  <c r="BW1188" i="48"/>
  <c r="BX1187" i="48"/>
  <c r="BW1187" i="48"/>
  <c r="BM1187" i="48" s="1"/>
  <c r="BX1186" i="48"/>
  <c r="BW1186" i="48"/>
  <c r="BX1185" i="48"/>
  <c r="BW1185" i="48"/>
  <c r="BM1185" i="48" s="1"/>
  <c r="BX1184" i="48"/>
  <c r="BW1184" i="48"/>
  <c r="BX1183" i="48"/>
  <c r="BW1183" i="48"/>
  <c r="BM1183" i="48" s="1"/>
  <c r="BX1182" i="48"/>
  <c r="BW1182" i="48"/>
  <c r="BX1181" i="48"/>
  <c r="BW1181" i="48"/>
  <c r="BM1181" i="48" s="1"/>
  <c r="BX1180" i="48"/>
  <c r="BW1180" i="48"/>
  <c r="BX1179" i="48"/>
  <c r="BW1179" i="48"/>
  <c r="BM1179" i="48" s="1"/>
  <c r="BX1178" i="48"/>
  <c r="BW1178" i="48"/>
  <c r="BX1175" i="48"/>
  <c r="BW1175" i="48"/>
  <c r="BM1175" i="48" s="1"/>
  <c r="BX1174" i="48"/>
  <c r="BW1174" i="48"/>
  <c r="BX1173" i="48"/>
  <c r="BW1173" i="48"/>
  <c r="BM1173" i="48" s="1"/>
  <c r="BX1172" i="48"/>
  <c r="BW1172" i="48"/>
  <c r="BX1171" i="48"/>
  <c r="BW1171" i="48"/>
  <c r="BM1171" i="48" s="1"/>
  <c r="BX1170" i="48"/>
  <c r="BW1170" i="48"/>
  <c r="BX1169" i="48"/>
  <c r="BW1169" i="48"/>
  <c r="BM1169" i="48" s="1"/>
  <c r="BX1168" i="48"/>
  <c r="BW1168" i="48"/>
  <c r="BX1167" i="48"/>
  <c r="BW1167" i="48"/>
  <c r="BM1167" i="48" s="1"/>
  <c r="BX1166" i="48"/>
  <c r="BW1166" i="48"/>
  <c r="BX1165" i="48"/>
  <c r="BW1165" i="48"/>
  <c r="BM1165" i="48" s="1"/>
  <c r="BX1164" i="48"/>
  <c r="BW1164" i="48"/>
  <c r="BX1163" i="48"/>
  <c r="BW1163" i="48"/>
  <c r="BM1163" i="48" s="1"/>
  <c r="BX1162" i="48"/>
  <c r="BW1162" i="48"/>
  <c r="BX1161" i="48"/>
  <c r="BW1161" i="48"/>
  <c r="BM1161" i="48" s="1"/>
  <c r="BX1160" i="48"/>
  <c r="BW1160" i="48"/>
  <c r="BX1159" i="48"/>
  <c r="BW1159" i="48"/>
  <c r="BM1159" i="48" s="1"/>
  <c r="BX1158" i="48"/>
  <c r="BW1158" i="48"/>
  <c r="BX1157" i="48"/>
  <c r="BW1157" i="48"/>
  <c r="BM1157" i="48" s="1"/>
  <c r="BX1156" i="48"/>
  <c r="BW1156" i="48"/>
  <c r="BX1155" i="48"/>
  <c r="BW1155" i="48"/>
  <c r="BM1155" i="48" s="1"/>
  <c r="BX1154" i="48"/>
  <c r="BW1154" i="48"/>
  <c r="BX1153" i="48"/>
  <c r="BW1153" i="48"/>
  <c r="BM1153" i="48" s="1"/>
  <c r="BX1150" i="48"/>
  <c r="BW1150" i="48"/>
  <c r="BX1149" i="48"/>
  <c r="BW1149" i="48"/>
  <c r="BM1149" i="48" s="1"/>
  <c r="BX1148" i="48"/>
  <c r="BW1148" i="48"/>
  <c r="BX1147" i="48"/>
  <c r="BW1147" i="48"/>
  <c r="BM1147" i="48" s="1"/>
  <c r="BX1146" i="48"/>
  <c r="BW1146" i="48"/>
  <c r="BX1145" i="48"/>
  <c r="BW1145" i="48"/>
  <c r="BM1145" i="48" s="1"/>
  <c r="BX1144" i="48"/>
  <c r="BW1144" i="48"/>
  <c r="BX1143" i="48"/>
  <c r="BW1143" i="48"/>
  <c r="BM1143" i="48" s="1"/>
  <c r="BX1142" i="48"/>
  <c r="BW1142" i="48"/>
  <c r="BX1141" i="48"/>
  <c r="BW1141" i="48"/>
  <c r="BM1141" i="48" s="1"/>
  <c r="BX1140" i="48"/>
  <c r="BW1140" i="48"/>
  <c r="BX1139" i="48"/>
  <c r="BW1139" i="48"/>
  <c r="BM1139" i="48" s="1"/>
  <c r="BX1138" i="48"/>
  <c r="BW1138" i="48"/>
  <c r="BX1137" i="48"/>
  <c r="BW1137" i="48"/>
  <c r="BM1137" i="48" s="1"/>
  <c r="BX1136" i="48"/>
  <c r="BW1136" i="48"/>
  <c r="BX1135" i="48"/>
  <c r="BW1135" i="48"/>
  <c r="BM1135" i="48" s="1"/>
  <c r="BX1134" i="48"/>
  <c r="BW1134" i="48"/>
  <c r="BX1133" i="48"/>
  <c r="BW1133" i="48"/>
  <c r="BM1133" i="48" s="1"/>
  <c r="BX1132" i="48"/>
  <c r="BW1132" i="48"/>
  <c r="BX1131" i="48"/>
  <c r="BW1131" i="48"/>
  <c r="BM1131" i="48" s="1"/>
  <c r="BX1130" i="48"/>
  <c r="BW1130" i="48"/>
  <c r="BX1129" i="48"/>
  <c r="BW1129" i="48"/>
  <c r="BM1129" i="48" s="1"/>
  <c r="BX1128" i="48"/>
  <c r="BW1128" i="48"/>
  <c r="BX1125" i="48"/>
  <c r="BW1125" i="48"/>
  <c r="BM1125" i="48" s="1"/>
  <c r="BX1124" i="48"/>
  <c r="BW1124" i="48"/>
  <c r="BX1123" i="48"/>
  <c r="BW1123" i="48"/>
  <c r="BM1123" i="48" s="1"/>
  <c r="BX1122" i="48"/>
  <c r="BW1122" i="48"/>
  <c r="BX1121" i="48"/>
  <c r="BW1121" i="48"/>
  <c r="BM1121" i="48" s="1"/>
  <c r="BX1120" i="48"/>
  <c r="BW1120" i="48"/>
  <c r="BX1119" i="48"/>
  <c r="BW1119" i="48"/>
  <c r="BM1119" i="48" s="1"/>
  <c r="BX1118" i="48"/>
  <c r="BW1118" i="48"/>
  <c r="BX1117" i="48"/>
  <c r="BW1117" i="48"/>
  <c r="BM1117" i="48" s="1"/>
  <c r="BX1116" i="48"/>
  <c r="BW1116" i="48"/>
  <c r="BX1115" i="48"/>
  <c r="BW1115" i="48"/>
  <c r="BM1115" i="48" s="1"/>
  <c r="BX1114" i="48"/>
  <c r="BW1114" i="48"/>
  <c r="BX1113" i="48"/>
  <c r="BW1113" i="48"/>
  <c r="BM1113" i="48" s="1"/>
  <c r="BX1112" i="48"/>
  <c r="BW1112" i="48"/>
  <c r="BX1111" i="48"/>
  <c r="BW1111" i="48"/>
  <c r="BM1111" i="48" s="1"/>
  <c r="BX1110" i="48"/>
  <c r="BW1110" i="48"/>
  <c r="BX1109" i="48"/>
  <c r="BW1109" i="48"/>
  <c r="BM1109" i="48" s="1"/>
  <c r="BX1108" i="48"/>
  <c r="BW1108" i="48"/>
  <c r="BX1107" i="48"/>
  <c r="BW1107" i="48"/>
  <c r="BM1107" i="48" s="1"/>
  <c r="BX1106" i="48"/>
  <c r="BW1106" i="48"/>
  <c r="BX1105" i="48"/>
  <c r="BW1105" i="48"/>
  <c r="BM1105" i="48" s="1"/>
  <c r="BX1104" i="48"/>
  <c r="BW1104" i="48"/>
  <c r="BX1103" i="48"/>
  <c r="BW1103" i="48"/>
  <c r="BM1103" i="48" s="1"/>
  <c r="BX1100" i="48"/>
  <c r="BW1100" i="48"/>
  <c r="BX1099" i="48"/>
  <c r="BW1099" i="48"/>
  <c r="BM1099" i="48" s="1"/>
  <c r="BX1098" i="48"/>
  <c r="BW1098" i="48"/>
  <c r="BX1097" i="48"/>
  <c r="BW1097" i="48"/>
  <c r="BM1097" i="48" s="1"/>
  <c r="BX1096" i="48"/>
  <c r="BW1096" i="48"/>
  <c r="BX1095" i="48"/>
  <c r="BW1095" i="48"/>
  <c r="BM1095" i="48" s="1"/>
  <c r="BX1094" i="48"/>
  <c r="BW1094" i="48"/>
  <c r="BX1093" i="48"/>
  <c r="BW1093" i="48"/>
  <c r="BM1093" i="48" s="1"/>
  <c r="BX1092" i="48"/>
  <c r="BW1092" i="48"/>
  <c r="BX1091" i="48"/>
  <c r="BW1091" i="48"/>
  <c r="BM1091" i="48" s="1"/>
  <c r="BX1090" i="48"/>
  <c r="BW1090" i="48"/>
  <c r="BX1089" i="48"/>
  <c r="BW1089" i="48"/>
  <c r="BM1089" i="48" s="1"/>
  <c r="BX1088" i="48"/>
  <c r="BW1088" i="48"/>
  <c r="BX1087" i="48"/>
  <c r="BW1087" i="48"/>
  <c r="BM1087" i="48" s="1"/>
  <c r="BX1086" i="48"/>
  <c r="BW1086" i="48"/>
  <c r="BX1085" i="48"/>
  <c r="BW1085" i="48"/>
  <c r="BM1085" i="48" s="1"/>
  <c r="BX1084" i="48"/>
  <c r="BW1084" i="48"/>
  <c r="BX1083" i="48"/>
  <c r="BW1083" i="48"/>
  <c r="BM1083" i="48" s="1"/>
  <c r="BX1082" i="48"/>
  <c r="BW1082" i="48"/>
  <c r="BX1081" i="48"/>
  <c r="BW1081" i="48"/>
  <c r="BM1081" i="48" s="1"/>
  <c r="BX1080" i="48"/>
  <c r="BW1080" i="48"/>
  <c r="BX1078" i="48"/>
  <c r="BW1078" i="48"/>
  <c r="BM1078" i="48" s="1"/>
  <c r="BX1074" i="48"/>
  <c r="BW1074" i="48"/>
  <c r="BX1073" i="48"/>
  <c r="BW1073" i="48"/>
  <c r="BM1073" i="48" s="1"/>
  <c r="BX1072" i="48"/>
  <c r="BW1072" i="48"/>
  <c r="BX1071" i="48"/>
  <c r="BW1071" i="48"/>
  <c r="BM1071" i="48" s="1"/>
  <c r="BX1070" i="48"/>
  <c r="BW1070" i="48"/>
  <c r="BX1069" i="48"/>
  <c r="BW1069" i="48"/>
  <c r="BM1069" i="48" s="1"/>
  <c r="BX1068" i="48"/>
  <c r="BW1068" i="48"/>
  <c r="BX1067" i="48"/>
  <c r="BW1067" i="48"/>
  <c r="BM1067" i="48" s="1"/>
  <c r="BX1066" i="48"/>
  <c r="BW1066" i="48"/>
  <c r="BX1065" i="48"/>
  <c r="BW1065" i="48"/>
  <c r="BM1065" i="48" s="1"/>
  <c r="BX1064" i="48"/>
  <c r="BW1064" i="48"/>
  <c r="BX1063" i="48"/>
  <c r="BW1063" i="48"/>
  <c r="BM1063" i="48" s="1"/>
  <c r="BX1062" i="48"/>
  <c r="BW1062" i="48"/>
  <c r="BX1061" i="48"/>
  <c r="BW1061" i="48"/>
  <c r="BM1061" i="48" s="1"/>
  <c r="BX1060" i="48"/>
  <c r="BW1060" i="48"/>
  <c r="BX1059" i="48"/>
  <c r="BW1059" i="48"/>
  <c r="BM1059" i="48" s="1"/>
  <c r="BX1058" i="48"/>
  <c r="BW1058" i="48"/>
  <c r="BX1057" i="48"/>
  <c r="BW1057" i="48"/>
  <c r="BM1057" i="48" s="1"/>
  <c r="BX1056" i="48"/>
  <c r="BW1056" i="48"/>
  <c r="BX1055" i="48"/>
  <c r="BW1055" i="48"/>
  <c r="BM1055" i="48" s="1"/>
  <c r="BX1054" i="48"/>
  <c r="BW1054" i="48"/>
  <c r="BX1053" i="48"/>
  <c r="BW1053" i="48"/>
  <c r="BM1053" i="48" s="1"/>
  <c r="BX1049" i="48"/>
  <c r="BW1049" i="48"/>
  <c r="BM1049" i="48" s="1"/>
  <c r="BX1048" i="48"/>
  <c r="BW1048" i="48"/>
  <c r="BX1047" i="48"/>
  <c r="BW1047" i="48"/>
  <c r="BM1047" i="48" s="1"/>
  <c r="BX1046" i="48"/>
  <c r="BW1046" i="48"/>
  <c r="BX1045" i="48"/>
  <c r="BW1045" i="48"/>
  <c r="BM1045" i="48" s="1"/>
  <c r="BX1044" i="48"/>
  <c r="BW1044" i="48"/>
  <c r="BX1043" i="48"/>
  <c r="BW1043" i="48"/>
  <c r="BM1043" i="48" s="1"/>
  <c r="BX1042" i="48"/>
  <c r="BW1042" i="48"/>
  <c r="BX1041" i="48"/>
  <c r="BW1041" i="48"/>
  <c r="BM1041" i="48" s="1"/>
  <c r="BX1040" i="48"/>
  <c r="BW1040" i="48"/>
  <c r="BX1039" i="48"/>
  <c r="BW1039" i="48"/>
  <c r="BM1039" i="48" s="1"/>
  <c r="BX1038" i="48"/>
  <c r="BW1038" i="48"/>
  <c r="BX1037" i="48"/>
  <c r="BW1037" i="48"/>
  <c r="BM1037" i="48" s="1"/>
  <c r="BX1036" i="48"/>
  <c r="BW1036" i="48"/>
  <c r="BX1035" i="48"/>
  <c r="BW1035" i="48"/>
  <c r="BM1035" i="48" s="1"/>
  <c r="BX1034" i="48"/>
  <c r="BW1034" i="48"/>
  <c r="BX1033" i="48"/>
  <c r="BW1033" i="48"/>
  <c r="BM1033" i="48" s="1"/>
  <c r="BX1032" i="48"/>
  <c r="BW1032" i="48"/>
  <c r="BX1031" i="48"/>
  <c r="BW1031" i="48"/>
  <c r="BM1031" i="48" s="1"/>
  <c r="BX1030" i="48"/>
  <c r="BW1030" i="48"/>
  <c r="BX1029" i="48"/>
  <c r="BW1029" i="48"/>
  <c r="BM1029" i="48" s="1"/>
  <c r="BX1028" i="48"/>
  <c r="BW1028" i="48"/>
  <c r="BX1025" i="48"/>
  <c r="BW1025" i="48"/>
  <c r="BM1025" i="48" s="1"/>
  <c r="BX1024" i="48"/>
  <c r="BW1024" i="48"/>
  <c r="BX1023" i="48"/>
  <c r="BW1023" i="48"/>
  <c r="BM1023" i="48" s="1"/>
  <c r="BX1022" i="48"/>
  <c r="BW1022" i="48"/>
  <c r="BX1021" i="48"/>
  <c r="BW1021" i="48"/>
  <c r="BM1021" i="48" s="1"/>
  <c r="BX1020" i="48"/>
  <c r="BW1020" i="48"/>
  <c r="BX1019" i="48"/>
  <c r="BW1019" i="48"/>
  <c r="BM1019" i="48" s="1"/>
  <c r="BX1018" i="48"/>
  <c r="BW1018" i="48"/>
  <c r="BX1017" i="48"/>
  <c r="BW1017" i="48"/>
  <c r="BM1017" i="48" s="1"/>
  <c r="BX1016" i="48"/>
  <c r="BW1016" i="48"/>
  <c r="BX1015" i="48"/>
  <c r="BW1015" i="48"/>
  <c r="BM1015" i="48" s="1"/>
  <c r="BX1014" i="48"/>
  <c r="BW1014" i="48"/>
  <c r="BX1013" i="48"/>
  <c r="BW1013" i="48"/>
  <c r="BM1013" i="48" s="1"/>
  <c r="BX1012" i="48"/>
  <c r="BW1012" i="48"/>
  <c r="BX1011" i="48"/>
  <c r="BW1011" i="48"/>
  <c r="BM1011" i="48" s="1"/>
  <c r="BX1010" i="48"/>
  <c r="BW1010" i="48"/>
  <c r="BX1009" i="48"/>
  <c r="BW1009" i="48"/>
  <c r="BM1009" i="48" s="1"/>
  <c r="BX1006" i="48"/>
  <c r="BW1006" i="48"/>
  <c r="BX1005" i="48"/>
  <c r="BW1005" i="48"/>
  <c r="BM1005" i="48" s="1"/>
  <c r="BX1004" i="48"/>
  <c r="BW1004" i="48"/>
  <c r="BX1003" i="48"/>
  <c r="BW1003" i="48"/>
  <c r="BM1003" i="48" s="1"/>
  <c r="BX1000" i="48"/>
  <c r="BW1000" i="48"/>
  <c r="BX999" i="48"/>
  <c r="BW999" i="48"/>
  <c r="BM999" i="48" s="1"/>
  <c r="BX998" i="48"/>
  <c r="BW998" i="48"/>
  <c r="BX997" i="48"/>
  <c r="BW997" i="48"/>
  <c r="BM997" i="48" s="1"/>
  <c r="BX996" i="48"/>
  <c r="BW996" i="48"/>
  <c r="BX995" i="48"/>
  <c r="BW995" i="48"/>
  <c r="BM995" i="48" s="1"/>
  <c r="BX994" i="48"/>
  <c r="BW994" i="48"/>
  <c r="BX993" i="48"/>
  <c r="BW993" i="48"/>
  <c r="BM993" i="48" s="1"/>
  <c r="BX992" i="48"/>
  <c r="BW992" i="48"/>
  <c r="BX991" i="48"/>
  <c r="BW991" i="48"/>
  <c r="BM991" i="48" s="1"/>
  <c r="BX990" i="48"/>
  <c r="BW990" i="48"/>
  <c r="BX989" i="48"/>
  <c r="BW989" i="48"/>
  <c r="BM989" i="48" s="1"/>
  <c r="BX988" i="48"/>
  <c r="BW988" i="48"/>
  <c r="BX987" i="48"/>
  <c r="BW987" i="48"/>
  <c r="BM987" i="48" s="1"/>
  <c r="BX986" i="48"/>
  <c r="BW986" i="48"/>
  <c r="BX985" i="48"/>
  <c r="BW985" i="48"/>
  <c r="BM985" i="48" s="1"/>
  <c r="BX984" i="48"/>
  <c r="BW984" i="48"/>
  <c r="BX983" i="48"/>
  <c r="BW983" i="48"/>
  <c r="BM983" i="48" s="1"/>
  <c r="BX982" i="48"/>
  <c r="BW982" i="48"/>
  <c r="BX981" i="48"/>
  <c r="BW981" i="48"/>
  <c r="BM981" i="48" s="1"/>
  <c r="BX980" i="48"/>
  <c r="BW980" i="48"/>
  <c r="BX979" i="48"/>
  <c r="BW979" i="48"/>
  <c r="BM979" i="48" s="1"/>
  <c r="BX978" i="48"/>
  <c r="BW978" i="48"/>
  <c r="BX975" i="48"/>
  <c r="BW975" i="48"/>
  <c r="BM975" i="48" s="1"/>
  <c r="BX974" i="48"/>
  <c r="BW974" i="48"/>
  <c r="BX973" i="48"/>
  <c r="BW973" i="48"/>
  <c r="BM973" i="48" s="1"/>
  <c r="BX972" i="48"/>
  <c r="BW972" i="48"/>
  <c r="BX971" i="48"/>
  <c r="BW971" i="48"/>
  <c r="BM971" i="48" s="1"/>
  <c r="BX970" i="48"/>
  <c r="BW970" i="48"/>
  <c r="BX969" i="48"/>
  <c r="BW969" i="48"/>
  <c r="BM969" i="48" s="1"/>
  <c r="BX968" i="48"/>
  <c r="BW968" i="48"/>
  <c r="BX967" i="48"/>
  <c r="BW967" i="48"/>
  <c r="BM967" i="48" s="1"/>
  <c r="BX966" i="48"/>
  <c r="BW966" i="48"/>
  <c r="BX965" i="48"/>
  <c r="BW965" i="48"/>
  <c r="BM965" i="48" s="1"/>
  <c r="BX964" i="48"/>
  <c r="BW964" i="48"/>
  <c r="BX963" i="48"/>
  <c r="BW963" i="48"/>
  <c r="BM963" i="48" s="1"/>
  <c r="BX962" i="48"/>
  <c r="BW962" i="48"/>
  <c r="BX961" i="48"/>
  <c r="BW961" i="48"/>
  <c r="BM961" i="48" s="1"/>
  <c r="BX960" i="48"/>
  <c r="BW960" i="48"/>
  <c r="BX959" i="48"/>
  <c r="BW959" i="48"/>
  <c r="BM959" i="48" s="1"/>
  <c r="BX958" i="48"/>
  <c r="BW958" i="48"/>
  <c r="BX957" i="48"/>
  <c r="BW957" i="48"/>
  <c r="BM957" i="48" s="1"/>
  <c r="BX956" i="48"/>
  <c r="BW956" i="48"/>
  <c r="BX955" i="48"/>
  <c r="BW955" i="48"/>
  <c r="BM955" i="48" s="1"/>
  <c r="BX954" i="48"/>
  <c r="BW954" i="48"/>
  <c r="BX953" i="48"/>
  <c r="BW953" i="48"/>
  <c r="BM953" i="48" s="1"/>
  <c r="BX949" i="48"/>
  <c r="BW949" i="48"/>
  <c r="BM949" i="48" s="1"/>
  <c r="BX948" i="48"/>
  <c r="BW948" i="48"/>
  <c r="BX947" i="48"/>
  <c r="BW947" i="48"/>
  <c r="BM947" i="48" s="1"/>
  <c r="BX946" i="48"/>
  <c r="BW946" i="48"/>
  <c r="BX945" i="48"/>
  <c r="BW945" i="48"/>
  <c r="BM945" i="48" s="1"/>
  <c r="BX944" i="48"/>
  <c r="BW944" i="48"/>
  <c r="BX943" i="48"/>
  <c r="BW943" i="48"/>
  <c r="BM943" i="48" s="1"/>
  <c r="BX942" i="48"/>
  <c r="BW942" i="48"/>
  <c r="BX941" i="48"/>
  <c r="BW941" i="48"/>
  <c r="BM941" i="48" s="1"/>
  <c r="BX940" i="48"/>
  <c r="BW940" i="48"/>
  <c r="BX939" i="48"/>
  <c r="BW939" i="48"/>
  <c r="BM939" i="48" s="1"/>
  <c r="BX938" i="48"/>
  <c r="BW938" i="48"/>
  <c r="BX937" i="48"/>
  <c r="BW937" i="48"/>
  <c r="BM937" i="48" s="1"/>
  <c r="BX936" i="48"/>
  <c r="BW936" i="48"/>
  <c r="BX935" i="48"/>
  <c r="BW935" i="48"/>
  <c r="BM935" i="48" s="1"/>
  <c r="BX934" i="48"/>
  <c r="BW934" i="48"/>
  <c r="BX933" i="48"/>
  <c r="BW933" i="48"/>
  <c r="BM933" i="48" s="1"/>
  <c r="BX932" i="48"/>
  <c r="BW932" i="48"/>
  <c r="BX931" i="48"/>
  <c r="BW931" i="48"/>
  <c r="BM931" i="48" s="1"/>
  <c r="BX930" i="48"/>
  <c r="BW930" i="48"/>
  <c r="BX929" i="48"/>
  <c r="BW929" i="48"/>
  <c r="BM929" i="48" s="1"/>
  <c r="BX928" i="48"/>
  <c r="BW928" i="48"/>
  <c r="BX925" i="48"/>
  <c r="BW925" i="48"/>
  <c r="BM925" i="48" s="1"/>
  <c r="BX924" i="48"/>
  <c r="BW924" i="48"/>
  <c r="BX923" i="48"/>
  <c r="BW923" i="48"/>
  <c r="BM923" i="48" s="1"/>
  <c r="BX922" i="48"/>
  <c r="BW922" i="48"/>
  <c r="BX921" i="48"/>
  <c r="BW921" i="48"/>
  <c r="BM921" i="48" s="1"/>
  <c r="BX920" i="48"/>
  <c r="BW920" i="48"/>
  <c r="BX919" i="48"/>
  <c r="BW919" i="48"/>
  <c r="BM919" i="48" s="1"/>
  <c r="BX918" i="48"/>
  <c r="BW918" i="48"/>
  <c r="BX917" i="48"/>
  <c r="BW917" i="48"/>
  <c r="BM917" i="48" s="1"/>
  <c r="BX916" i="48"/>
  <c r="BW916" i="48"/>
  <c r="BX915" i="48"/>
  <c r="BW915" i="48"/>
  <c r="BM915" i="48" s="1"/>
  <c r="BX914" i="48"/>
  <c r="BW914" i="48"/>
  <c r="BX913" i="48"/>
  <c r="BW913" i="48"/>
  <c r="BM913" i="48" s="1"/>
  <c r="BX912" i="48"/>
  <c r="BW912" i="48"/>
  <c r="BX911" i="48"/>
  <c r="BW911" i="48"/>
  <c r="BM911" i="48" s="1"/>
  <c r="BX910" i="48"/>
  <c r="BW910" i="48"/>
  <c r="BX909" i="48"/>
  <c r="BW909" i="48"/>
  <c r="BM909" i="48" s="1"/>
  <c r="BX908" i="48"/>
  <c r="BW908" i="48"/>
  <c r="BX907" i="48"/>
  <c r="BW907" i="48"/>
  <c r="BM907" i="48" s="1"/>
  <c r="BX906" i="48"/>
  <c r="BW906" i="48"/>
  <c r="BX905" i="48"/>
  <c r="BW905" i="48"/>
  <c r="BM905" i="48" s="1"/>
  <c r="BX904" i="48"/>
  <c r="BW904" i="48"/>
  <c r="BX903" i="48"/>
  <c r="BW903" i="48"/>
  <c r="BM903" i="48" s="1"/>
  <c r="BX900" i="48"/>
  <c r="BW900" i="48"/>
  <c r="BX899" i="48"/>
  <c r="BW899" i="48"/>
  <c r="BM899" i="48" s="1"/>
  <c r="BX898" i="48"/>
  <c r="BW898" i="48"/>
  <c r="BX897" i="48"/>
  <c r="BW897" i="48"/>
  <c r="BM897" i="48" s="1"/>
  <c r="BX896" i="48"/>
  <c r="BW896" i="48"/>
  <c r="BX895" i="48"/>
  <c r="BW895" i="48"/>
  <c r="BM895" i="48" s="1"/>
  <c r="BX894" i="48"/>
  <c r="BW894" i="48"/>
  <c r="BX893" i="48"/>
  <c r="BW893" i="48"/>
  <c r="BM893" i="48" s="1"/>
  <c r="BX892" i="48"/>
  <c r="BW892" i="48"/>
  <c r="BX891" i="48"/>
  <c r="BW891" i="48"/>
  <c r="BM891" i="48" s="1"/>
  <c r="BX890" i="48"/>
  <c r="BW890" i="48"/>
  <c r="BX889" i="48"/>
  <c r="BW889" i="48"/>
  <c r="BM889" i="48" s="1"/>
  <c r="BX888" i="48"/>
  <c r="BW888" i="48"/>
  <c r="BX887" i="48"/>
  <c r="BW887" i="48"/>
  <c r="BM887" i="48" s="1"/>
  <c r="BX886" i="48"/>
  <c r="BW886" i="48"/>
  <c r="BX885" i="48"/>
  <c r="BW885" i="48"/>
  <c r="BM885" i="48" s="1"/>
  <c r="BX884" i="48"/>
  <c r="BW884" i="48"/>
  <c r="BX883" i="48"/>
  <c r="BW883" i="48"/>
  <c r="BM883" i="48" s="1"/>
  <c r="BX882" i="48"/>
  <c r="BW882" i="48"/>
  <c r="BX881" i="48"/>
  <c r="BW881" i="48"/>
  <c r="BM881" i="48" s="1"/>
  <c r="BX880" i="48"/>
  <c r="BW880" i="48"/>
  <c r="BX879" i="48"/>
  <c r="BW879" i="48"/>
  <c r="BM879" i="48" s="1"/>
  <c r="BX878" i="48"/>
  <c r="BW878" i="48"/>
  <c r="BX875" i="48"/>
  <c r="BW875" i="48"/>
  <c r="BM875" i="48" s="1"/>
  <c r="BX874" i="48"/>
  <c r="BW874" i="48"/>
  <c r="BX873" i="48"/>
  <c r="BW873" i="48"/>
  <c r="BM873" i="48" s="1"/>
  <c r="BX872" i="48"/>
  <c r="BW872" i="48"/>
  <c r="BX871" i="48"/>
  <c r="BW871" i="48"/>
  <c r="BM871" i="48" s="1"/>
  <c r="BX870" i="48"/>
  <c r="BW870" i="48"/>
  <c r="BX869" i="48"/>
  <c r="BW869" i="48"/>
  <c r="BM869" i="48" s="1"/>
  <c r="BX868" i="48"/>
  <c r="BW868" i="48"/>
  <c r="BX867" i="48"/>
  <c r="BW867" i="48"/>
  <c r="BM867" i="48" s="1"/>
  <c r="BX866" i="48"/>
  <c r="BW866" i="48"/>
  <c r="BX865" i="48"/>
  <c r="BW865" i="48"/>
  <c r="BM865" i="48" s="1"/>
  <c r="BX864" i="48"/>
  <c r="BW864" i="48"/>
  <c r="BX863" i="48"/>
  <c r="BW863" i="48"/>
  <c r="BM863" i="48" s="1"/>
  <c r="BX862" i="48"/>
  <c r="BW862" i="48"/>
  <c r="BX861" i="48"/>
  <c r="BW861" i="48"/>
  <c r="BM861" i="48" s="1"/>
  <c r="BX860" i="48"/>
  <c r="BW860" i="48"/>
  <c r="BX859" i="48"/>
  <c r="BW859" i="48"/>
  <c r="BM859" i="48" s="1"/>
  <c r="BX858" i="48"/>
  <c r="BW858" i="48"/>
  <c r="BX857" i="48"/>
  <c r="BW857" i="48"/>
  <c r="BM857" i="48" s="1"/>
  <c r="BX856" i="48"/>
  <c r="BW856" i="48"/>
  <c r="BX855" i="48"/>
  <c r="BW855" i="48"/>
  <c r="BM855" i="48" s="1"/>
  <c r="BX854" i="48"/>
  <c r="BW854" i="48"/>
  <c r="BX853" i="48"/>
  <c r="BW853" i="48"/>
  <c r="BM853" i="48" s="1"/>
  <c r="BX850" i="48"/>
  <c r="BW850" i="48"/>
  <c r="BX849" i="48"/>
  <c r="BW849" i="48"/>
  <c r="BM849" i="48" s="1"/>
  <c r="BX848" i="48"/>
  <c r="BW848" i="48"/>
  <c r="BX847" i="48"/>
  <c r="BW847" i="48"/>
  <c r="BM847" i="48" s="1"/>
  <c r="BX846" i="48"/>
  <c r="BW846" i="48"/>
  <c r="BX845" i="48"/>
  <c r="BW845" i="48"/>
  <c r="BM845" i="48" s="1"/>
  <c r="BX844" i="48"/>
  <c r="BW844" i="48"/>
  <c r="BX843" i="48"/>
  <c r="BW843" i="48"/>
  <c r="BM843" i="48" s="1"/>
  <c r="BX842" i="48"/>
  <c r="BW842" i="48"/>
  <c r="BX841" i="48"/>
  <c r="BW841" i="48"/>
  <c r="BM841" i="48" s="1"/>
  <c r="BX840" i="48"/>
  <c r="BW840" i="48"/>
  <c r="BX839" i="48"/>
  <c r="BW839" i="48"/>
  <c r="BM839" i="48" s="1"/>
  <c r="BX838" i="48"/>
  <c r="BW838" i="48"/>
  <c r="BX837" i="48"/>
  <c r="BW837" i="48"/>
  <c r="BM837" i="48" s="1"/>
  <c r="BX836" i="48"/>
  <c r="BW836" i="48"/>
  <c r="BX835" i="48"/>
  <c r="BW835" i="48"/>
  <c r="BM835" i="48" s="1"/>
  <c r="BX834" i="48"/>
  <c r="BW834" i="48"/>
  <c r="BX833" i="48"/>
  <c r="BW833" i="48"/>
  <c r="BM833" i="48" s="1"/>
  <c r="BX832" i="48"/>
  <c r="BW832" i="48"/>
  <c r="BX831" i="48"/>
  <c r="BW831" i="48"/>
  <c r="BM831" i="48" s="1"/>
  <c r="BX830" i="48"/>
  <c r="BW830" i="48"/>
  <c r="BX829" i="48"/>
  <c r="BW829" i="48"/>
  <c r="BM829" i="48" s="1"/>
  <c r="BX828" i="48"/>
  <c r="BW828" i="48"/>
  <c r="BX825" i="48"/>
  <c r="BW825" i="48"/>
  <c r="BM825" i="48" s="1"/>
  <c r="BX824" i="48"/>
  <c r="BW824" i="48"/>
  <c r="BX823" i="48"/>
  <c r="BW823" i="48"/>
  <c r="BM823" i="48" s="1"/>
  <c r="BX822" i="48"/>
  <c r="BW822" i="48"/>
  <c r="BX821" i="48"/>
  <c r="BW821" i="48"/>
  <c r="BM821" i="48" s="1"/>
  <c r="BX820" i="48"/>
  <c r="BW820" i="48"/>
  <c r="BX819" i="48"/>
  <c r="BW819" i="48"/>
  <c r="BM819" i="48" s="1"/>
  <c r="BX818" i="48"/>
  <c r="BW818" i="48"/>
  <c r="BX817" i="48"/>
  <c r="BW817" i="48"/>
  <c r="BM817" i="48" s="1"/>
  <c r="BX816" i="48"/>
  <c r="BW816" i="48"/>
  <c r="BX815" i="48"/>
  <c r="BW815" i="48"/>
  <c r="BM815" i="48" s="1"/>
  <c r="BX814" i="48"/>
  <c r="BW814" i="48"/>
  <c r="BX813" i="48"/>
  <c r="BW813" i="48"/>
  <c r="BM813" i="48" s="1"/>
  <c r="BX812" i="48"/>
  <c r="BW812" i="48"/>
  <c r="BX811" i="48"/>
  <c r="BW811" i="48"/>
  <c r="BM811" i="48" s="1"/>
  <c r="BX810" i="48"/>
  <c r="BW810" i="48"/>
  <c r="BX809" i="48"/>
  <c r="BW809" i="48"/>
  <c r="BM809" i="48" s="1"/>
  <c r="BX808" i="48"/>
  <c r="BW808" i="48"/>
  <c r="BX807" i="48"/>
  <c r="BW807" i="48"/>
  <c r="BM807" i="48" s="1"/>
  <c r="BX806" i="48"/>
  <c r="BW806" i="48"/>
  <c r="BX805" i="48"/>
  <c r="BW805" i="48"/>
  <c r="BM805" i="48" s="1"/>
  <c r="BX804" i="48"/>
  <c r="BW804" i="48"/>
  <c r="BX803" i="48"/>
  <c r="BW803" i="48"/>
  <c r="BM803" i="48" s="1"/>
  <c r="BX800" i="48"/>
  <c r="BW800" i="48"/>
  <c r="BX799" i="48"/>
  <c r="BW799" i="48"/>
  <c r="BM799" i="48" s="1"/>
  <c r="BX798" i="48"/>
  <c r="BW798" i="48"/>
  <c r="BX797" i="48"/>
  <c r="BW797" i="48"/>
  <c r="BM797" i="48" s="1"/>
  <c r="BX796" i="48"/>
  <c r="BW796" i="48"/>
  <c r="BX795" i="48"/>
  <c r="BW795" i="48"/>
  <c r="BM795" i="48" s="1"/>
  <c r="BX794" i="48"/>
  <c r="BW794" i="48"/>
  <c r="BX793" i="48"/>
  <c r="BW793" i="48"/>
  <c r="BM793" i="48" s="1"/>
  <c r="BX792" i="48"/>
  <c r="BW792" i="48"/>
  <c r="BX791" i="48"/>
  <c r="BW791" i="48"/>
  <c r="BM791" i="48" s="1"/>
  <c r="BX790" i="48"/>
  <c r="BW790" i="48"/>
  <c r="BX789" i="48"/>
  <c r="BW789" i="48"/>
  <c r="BM789" i="48" s="1"/>
  <c r="BX788" i="48"/>
  <c r="BW788" i="48"/>
  <c r="BX787" i="48"/>
  <c r="BW787" i="48"/>
  <c r="BM787" i="48" s="1"/>
  <c r="BX786" i="48"/>
  <c r="BW786" i="48"/>
  <c r="BX785" i="48"/>
  <c r="BW785" i="48"/>
  <c r="BM785" i="48" s="1"/>
  <c r="BX784" i="48"/>
  <c r="BW784" i="48"/>
  <c r="BX783" i="48"/>
  <c r="BW783" i="48"/>
  <c r="BM783" i="48" s="1"/>
  <c r="BX782" i="48"/>
  <c r="BW782" i="48"/>
  <c r="BX781" i="48"/>
  <c r="BW781" i="48"/>
  <c r="BM781" i="48" s="1"/>
  <c r="BX780" i="48"/>
  <c r="BW780" i="48"/>
  <c r="BX779" i="48"/>
  <c r="BW779" i="48"/>
  <c r="BM779" i="48" s="1"/>
  <c r="BX778" i="48"/>
  <c r="BW778" i="48"/>
  <c r="BX775" i="48"/>
  <c r="BW775" i="48"/>
  <c r="BM775" i="48" s="1"/>
  <c r="BX774" i="48"/>
  <c r="BW774" i="48"/>
  <c r="BX773" i="48"/>
  <c r="BW773" i="48"/>
  <c r="BM773" i="48" s="1"/>
  <c r="BX772" i="48"/>
  <c r="BW772" i="48"/>
  <c r="BX771" i="48"/>
  <c r="BW771" i="48"/>
  <c r="BM771" i="48" s="1"/>
  <c r="BX770" i="48"/>
  <c r="BW770" i="48"/>
  <c r="BX769" i="48"/>
  <c r="BW769" i="48"/>
  <c r="BM769" i="48" s="1"/>
  <c r="BX768" i="48"/>
  <c r="BW768" i="48"/>
  <c r="BX767" i="48"/>
  <c r="BW767" i="48"/>
  <c r="BM767" i="48" s="1"/>
  <c r="BX766" i="48"/>
  <c r="BW766" i="48"/>
  <c r="BX765" i="48"/>
  <c r="BW765" i="48"/>
  <c r="BM765" i="48" s="1"/>
  <c r="BX764" i="48"/>
  <c r="BW764" i="48"/>
  <c r="BX763" i="48"/>
  <c r="BW763" i="48"/>
  <c r="BM763" i="48" s="1"/>
  <c r="BX762" i="48"/>
  <c r="BW762" i="48"/>
  <c r="BX761" i="48"/>
  <c r="BW761" i="48"/>
  <c r="BX760" i="48"/>
  <c r="BW760" i="48"/>
  <c r="BX759" i="48"/>
  <c r="BW759" i="48"/>
  <c r="BM759" i="48" s="1"/>
  <c r="BX758" i="48"/>
  <c r="BW758" i="48"/>
  <c r="BX757" i="48"/>
  <c r="BW757" i="48"/>
  <c r="BM757" i="48" s="1"/>
  <c r="BX756" i="48"/>
  <c r="BW756" i="48"/>
  <c r="BX755" i="48"/>
  <c r="BW755" i="48"/>
  <c r="BM755" i="48" s="1"/>
  <c r="BX754" i="48"/>
  <c r="BW754" i="48"/>
  <c r="BX753" i="48"/>
  <c r="BW753" i="48"/>
  <c r="BM753" i="48" s="1"/>
  <c r="BX750" i="48"/>
  <c r="BW750" i="48"/>
  <c r="BX749" i="48"/>
  <c r="BW749" i="48"/>
  <c r="BM749" i="48" s="1"/>
  <c r="BX748" i="48"/>
  <c r="BW748" i="48"/>
  <c r="BX747" i="48"/>
  <c r="BW747" i="48"/>
  <c r="BM747" i="48" s="1"/>
  <c r="BX746" i="48"/>
  <c r="BW746" i="48"/>
  <c r="BX745" i="48"/>
  <c r="BW745" i="48"/>
  <c r="BM745" i="48" s="1"/>
  <c r="BX744" i="48"/>
  <c r="BW744" i="48"/>
  <c r="BX743" i="48"/>
  <c r="BW743" i="48"/>
  <c r="BM743" i="48" s="1"/>
  <c r="BX742" i="48"/>
  <c r="BW742" i="48"/>
  <c r="BX741" i="48"/>
  <c r="BW741" i="48"/>
  <c r="BM741" i="48" s="1"/>
  <c r="BX740" i="48"/>
  <c r="BW740" i="48"/>
  <c r="BX739" i="48"/>
  <c r="BW739" i="48"/>
  <c r="BM739" i="48" s="1"/>
  <c r="BX738" i="48"/>
  <c r="BW738" i="48"/>
  <c r="BX737" i="48"/>
  <c r="BW737" i="48"/>
  <c r="BM737" i="48" s="1"/>
  <c r="BX736" i="48"/>
  <c r="BW736" i="48"/>
  <c r="BX735" i="48"/>
  <c r="BW735" i="48"/>
  <c r="BM735" i="48" s="1"/>
  <c r="BX734" i="48"/>
  <c r="BW734" i="48"/>
  <c r="BX733" i="48"/>
  <c r="BW733" i="48"/>
  <c r="BM733" i="48" s="1"/>
  <c r="BX732" i="48"/>
  <c r="BW732" i="48"/>
  <c r="BX731" i="48"/>
  <c r="BW731" i="48"/>
  <c r="BM731" i="48" s="1"/>
  <c r="BX730" i="48"/>
  <c r="BW730" i="48"/>
  <c r="BX729" i="48"/>
  <c r="BW729" i="48"/>
  <c r="BM729" i="48" s="1"/>
  <c r="BX728" i="48"/>
  <c r="BW728" i="48"/>
  <c r="BX725" i="48"/>
  <c r="BW725" i="48"/>
  <c r="BM725" i="48" s="1"/>
  <c r="BX724" i="48"/>
  <c r="BW724" i="48"/>
  <c r="BX723" i="48"/>
  <c r="BW723" i="48"/>
  <c r="BM723" i="48" s="1"/>
  <c r="BX722" i="48"/>
  <c r="BW722" i="48"/>
  <c r="BX721" i="48"/>
  <c r="BW721" i="48"/>
  <c r="BM721" i="48" s="1"/>
  <c r="BX720" i="48"/>
  <c r="BW720" i="48"/>
  <c r="BX719" i="48"/>
  <c r="BW719" i="48"/>
  <c r="BM719" i="48" s="1"/>
  <c r="BX718" i="48"/>
  <c r="BW718" i="48"/>
  <c r="BX717" i="48"/>
  <c r="BW717" i="48"/>
  <c r="BM717" i="48" s="1"/>
  <c r="BX716" i="48"/>
  <c r="BW716" i="48"/>
  <c r="BX715" i="48"/>
  <c r="BW715" i="48"/>
  <c r="BM715" i="48" s="1"/>
  <c r="BX714" i="48"/>
  <c r="BW714" i="48"/>
  <c r="BX713" i="48"/>
  <c r="BW713" i="48"/>
  <c r="BM713" i="48" s="1"/>
  <c r="BX712" i="48"/>
  <c r="BW712" i="48"/>
  <c r="BX711" i="48"/>
  <c r="BW711" i="48"/>
  <c r="BM711" i="48" s="1"/>
  <c r="BX710" i="48"/>
  <c r="BW710" i="48"/>
  <c r="BX709" i="48"/>
  <c r="BW709" i="48"/>
  <c r="BM709" i="48" s="1"/>
  <c r="BX708" i="48"/>
  <c r="BW708" i="48"/>
  <c r="BX707" i="48"/>
  <c r="BW707" i="48"/>
  <c r="BM707" i="48" s="1"/>
  <c r="BX706" i="48"/>
  <c r="BW706" i="48"/>
  <c r="BX705" i="48"/>
  <c r="BW705" i="48"/>
  <c r="BM705" i="48" s="1"/>
  <c r="BX704" i="48"/>
  <c r="BW704" i="48"/>
  <c r="BX703" i="48"/>
  <c r="BW703" i="48"/>
  <c r="BM703" i="48" s="1"/>
  <c r="BX700" i="48"/>
  <c r="BW700" i="48"/>
  <c r="BX699" i="48"/>
  <c r="BW699" i="48"/>
  <c r="BM699" i="48" s="1"/>
  <c r="BX698" i="48"/>
  <c r="BW698" i="48"/>
  <c r="BX697" i="48"/>
  <c r="BW697" i="48"/>
  <c r="BM697" i="48" s="1"/>
  <c r="BX696" i="48"/>
  <c r="BW696" i="48"/>
  <c r="BX695" i="48"/>
  <c r="BW695" i="48"/>
  <c r="BM695" i="48" s="1"/>
  <c r="BX694" i="48"/>
  <c r="BW694" i="48"/>
  <c r="BX693" i="48"/>
  <c r="BW693" i="48"/>
  <c r="BM693" i="48" s="1"/>
  <c r="BX692" i="48"/>
  <c r="BW692" i="48"/>
  <c r="BX691" i="48"/>
  <c r="BW691" i="48"/>
  <c r="BM691" i="48" s="1"/>
  <c r="BX690" i="48"/>
  <c r="BW690" i="48"/>
  <c r="BX689" i="48"/>
  <c r="BW689" i="48"/>
  <c r="BM689" i="48" s="1"/>
  <c r="BX688" i="48"/>
  <c r="BW688" i="48"/>
  <c r="BX687" i="48"/>
  <c r="BW687" i="48"/>
  <c r="BM687" i="48" s="1"/>
  <c r="BX686" i="48"/>
  <c r="BW686" i="48"/>
  <c r="BX685" i="48"/>
  <c r="BW685" i="48"/>
  <c r="BM685" i="48" s="1"/>
  <c r="BX684" i="48"/>
  <c r="BW684" i="48"/>
  <c r="BX683" i="48"/>
  <c r="BW683" i="48"/>
  <c r="BM683" i="48" s="1"/>
  <c r="BX682" i="48"/>
  <c r="BW682" i="48"/>
  <c r="BX681" i="48"/>
  <c r="BW681" i="48"/>
  <c r="BM681" i="48" s="1"/>
  <c r="BX680" i="48"/>
  <c r="BW680" i="48"/>
  <c r="BX679" i="48"/>
  <c r="BW679" i="48"/>
  <c r="BM679" i="48" s="1"/>
  <c r="BX678" i="48"/>
  <c r="BW678" i="48"/>
  <c r="BX675" i="48"/>
  <c r="BW675" i="48"/>
  <c r="BM675" i="48" s="1"/>
  <c r="BX674" i="48"/>
  <c r="BW674" i="48"/>
  <c r="BX673" i="48"/>
  <c r="BW673" i="48"/>
  <c r="BM673" i="48" s="1"/>
  <c r="BX672" i="48"/>
  <c r="BW672" i="48"/>
  <c r="BX671" i="48"/>
  <c r="BW671" i="48"/>
  <c r="BM671" i="48" s="1"/>
  <c r="BX670" i="48"/>
  <c r="BW670" i="48"/>
  <c r="BX669" i="48"/>
  <c r="BW669" i="48"/>
  <c r="BM669" i="48" s="1"/>
  <c r="BX668" i="48"/>
  <c r="BW668" i="48"/>
  <c r="BX667" i="48"/>
  <c r="BW667" i="48"/>
  <c r="BM667" i="48" s="1"/>
  <c r="BX666" i="48"/>
  <c r="BW666" i="48"/>
  <c r="BX665" i="48"/>
  <c r="BW665" i="48"/>
  <c r="BM665" i="48" s="1"/>
  <c r="BX664" i="48"/>
  <c r="BW664" i="48"/>
  <c r="BX663" i="48"/>
  <c r="BW663" i="48"/>
  <c r="BM663" i="48" s="1"/>
  <c r="BX662" i="48"/>
  <c r="BW662" i="48"/>
  <c r="BX661" i="48"/>
  <c r="BW661" i="48"/>
  <c r="BM661" i="48" s="1"/>
  <c r="BX660" i="48"/>
  <c r="BW660" i="48"/>
  <c r="BX659" i="48"/>
  <c r="BW659" i="48"/>
  <c r="BM659" i="48" s="1"/>
  <c r="BX658" i="48"/>
  <c r="BW658" i="48"/>
  <c r="BX657" i="48"/>
  <c r="BW657" i="48"/>
  <c r="BM657" i="48" s="1"/>
  <c r="BX656" i="48"/>
  <c r="BW656" i="48"/>
  <c r="BX655" i="48"/>
  <c r="BW655" i="48"/>
  <c r="BM655" i="48" s="1"/>
  <c r="BX654" i="48"/>
  <c r="BW654" i="48"/>
  <c r="BX653" i="48"/>
  <c r="BW653" i="48"/>
  <c r="BM653" i="48" s="1"/>
  <c r="BX650" i="48"/>
  <c r="BW650" i="48"/>
  <c r="BX649" i="48"/>
  <c r="BW649" i="48"/>
  <c r="BM649" i="48" s="1"/>
  <c r="BX648" i="48"/>
  <c r="BW648" i="48"/>
  <c r="BX647" i="48"/>
  <c r="BW647" i="48"/>
  <c r="BM647" i="48" s="1"/>
  <c r="BX646" i="48"/>
  <c r="BW646" i="48"/>
  <c r="BX645" i="48"/>
  <c r="BW645" i="48"/>
  <c r="BM645" i="48" s="1"/>
  <c r="BX644" i="48"/>
  <c r="BW644" i="48"/>
  <c r="BX643" i="48"/>
  <c r="BW643" i="48"/>
  <c r="BM643" i="48" s="1"/>
  <c r="BX642" i="48"/>
  <c r="BW642" i="48"/>
  <c r="BX641" i="48"/>
  <c r="BW641" i="48"/>
  <c r="BM641" i="48" s="1"/>
  <c r="BX640" i="48"/>
  <c r="BW640" i="48"/>
  <c r="BX639" i="48"/>
  <c r="BW639" i="48"/>
  <c r="BM639" i="48" s="1"/>
  <c r="BX638" i="48"/>
  <c r="BW638" i="48"/>
  <c r="BX637" i="48"/>
  <c r="BW637" i="48"/>
  <c r="BM637" i="48" s="1"/>
  <c r="BX636" i="48"/>
  <c r="BW636" i="48"/>
  <c r="BX635" i="48"/>
  <c r="BW635" i="48"/>
  <c r="BM635" i="48" s="1"/>
  <c r="BX634" i="48"/>
  <c r="BW634" i="48"/>
  <c r="BX633" i="48"/>
  <c r="BW633" i="48"/>
  <c r="BM633" i="48" s="1"/>
  <c r="BX632" i="48"/>
  <c r="BW632" i="48"/>
  <c r="BX631" i="48"/>
  <c r="BW631" i="48"/>
  <c r="BM631" i="48" s="1"/>
  <c r="BX630" i="48"/>
  <c r="BW630" i="48"/>
  <c r="BX629" i="48"/>
  <c r="BW629" i="48"/>
  <c r="BM629" i="48" s="1"/>
  <c r="BX628" i="48"/>
  <c r="BW628" i="48"/>
  <c r="BX625" i="48"/>
  <c r="BW625" i="48"/>
  <c r="BM625" i="48" s="1"/>
  <c r="BX624" i="48"/>
  <c r="BW624" i="48"/>
  <c r="BX623" i="48"/>
  <c r="BW623" i="48"/>
  <c r="BM623" i="48" s="1"/>
  <c r="BX622" i="48"/>
  <c r="BW622" i="48"/>
  <c r="BX621" i="48"/>
  <c r="BW621" i="48"/>
  <c r="BM621" i="48" s="1"/>
  <c r="BX620" i="48"/>
  <c r="BW620" i="48"/>
  <c r="BX619" i="48"/>
  <c r="BW619" i="48"/>
  <c r="BM619" i="48" s="1"/>
  <c r="BX618" i="48"/>
  <c r="BW618" i="48"/>
  <c r="BX617" i="48"/>
  <c r="BW617" i="48"/>
  <c r="BM617" i="48" s="1"/>
  <c r="BX616" i="48"/>
  <c r="BW616" i="48"/>
  <c r="BX615" i="48"/>
  <c r="BW615" i="48"/>
  <c r="BM615" i="48" s="1"/>
  <c r="BX614" i="48"/>
  <c r="BW614" i="48"/>
  <c r="BX613" i="48"/>
  <c r="BW613" i="48"/>
  <c r="BM613" i="48" s="1"/>
  <c r="BX612" i="48"/>
  <c r="BW612" i="48"/>
  <c r="BX611" i="48"/>
  <c r="BW611" i="48"/>
  <c r="BM611" i="48" s="1"/>
  <c r="BX610" i="48"/>
  <c r="BW610" i="48"/>
  <c r="BX609" i="48"/>
  <c r="BW609" i="48"/>
  <c r="BM609" i="48" s="1"/>
  <c r="BX608" i="48"/>
  <c r="BW608" i="48"/>
  <c r="BX607" i="48"/>
  <c r="BW607" i="48"/>
  <c r="BM607" i="48" s="1"/>
  <c r="BX606" i="48"/>
  <c r="BW606" i="48"/>
  <c r="BX605" i="48"/>
  <c r="BW605" i="48"/>
  <c r="BM605" i="48" s="1"/>
  <c r="BX604" i="48"/>
  <c r="BW604" i="48"/>
  <c r="BX603" i="48"/>
  <c r="BW603" i="48"/>
  <c r="BM603" i="48" s="1"/>
  <c r="BX600" i="48"/>
  <c r="BW600" i="48"/>
  <c r="BX599" i="48"/>
  <c r="BW599" i="48"/>
  <c r="BM599" i="48" s="1"/>
  <c r="BX598" i="48"/>
  <c r="BW598" i="48"/>
  <c r="BX597" i="48"/>
  <c r="BW597" i="48"/>
  <c r="BM597" i="48" s="1"/>
  <c r="BX596" i="48"/>
  <c r="BW596" i="48"/>
  <c r="BX595" i="48"/>
  <c r="BW595" i="48"/>
  <c r="BM595" i="48" s="1"/>
  <c r="BX594" i="48"/>
  <c r="BW594" i="48"/>
  <c r="BX593" i="48"/>
  <c r="BW593" i="48"/>
  <c r="BM593" i="48" s="1"/>
  <c r="BX592" i="48"/>
  <c r="BW592" i="48"/>
  <c r="BX591" i="48"/>
  <c r="BW591" i="48"/>
  <c r="BM591" i="48" s="1"/>
  <c r="BX590" i="48"/>
  <c r="BW590" i="48"/>
  <c r="BX589" i="48"/>
  <c r="BW589" i="48"/>
  <c r="BM589" i="48" s="1"/>
  <c r="BX588" i="48"/>
  <c r="BW588" i="48"/>
  <c r="BX587" i="48"/>
  <c r="BW587" i="48"/>
  <c r="BM587" i="48" s="1"/>
  <c r="BX586" i="48"/>
  <c r="BW586" i="48"/>
  <c r="BX585" i="48"/>
  <c r="BW585" i="48"/>
  <c r="BM585" i="48" s="1"/>
  <c r="BX584" i="48"/>
  <c r="BW584" i="48"/>
  <c r="BX583" i="48"/>
  <c r="BW583" i="48"/>
  <c r="BM583" i="48" s="1"/>
  <c r="BX582" i="48"/>
  <c r="BW582" i="48"/>
  <c r="BX581" i="48"/>
  <c r="BW581" i="48"/>
  <c r="BM581" i="48" s="1"/>
  <c r="BX580" i="48"/>
  <c r="BW580" i="48"/>
  <c r="BX579" i="48"/>
  <c r="BW579" i="48"/>
  <c r="BM579" i="48" s="1"/>
  <c r="BX578" i="48"/>
  <c r="BW578" i="48"/>
  <c r="BX575" i="48"/>
  <c r="BW575" i="48"/>
  <c r="BM575" i="48" s="1"/>
  <c r="BX574" i="48"/>
  <c r="BW574" i="48"/>
  <c r="BX573" i="48"/>
  <c r="BW573" i="48"/>
  <c r="BM573" i="48" s="1"/>
  <c r="BX572" i="48"/>
  <c r="BW572" i="48"/>
  <c r="BX571" i="48"/>
  <c r="BW571" i="48"/>
  <c r="BM571" i="48" s="1"/>
  <c r="BX570" i="48"/>
  <c r="BW570" i="48"/>
  <c r="BX569" i="48"/>
  <c r="BW569" i="48"/>
  <c r="BM569" i="48" s="1"/>
  <c r="BX568" i="48"/>
  <c r="BW568" i="48"/>
  <c r="BX567" i="48"/>
  <c r="BW567" i="48"/>
  <c r="BM567" i="48" s="1"/>
  <c r="BX566" i="48"/>
  <c r="BW566" i="48"/>
  <c r="BX565" i="48"/>
  <c r="BW565" i="48"/>
  <c r="BM565" i="48" s="1"/>
  <c r="BX564" i="48"/>
  <c r="BW564" i="48"/>
  <c r="BX563" i="48"/>
  <c r="BW563" i="48"/>
  <c r="BM563" i="48" s="1"/>
  <c r="BX562" i="48"/>
  <c r="BW562" i="48"/>
  <c r="BX561" i="48"/>
  <c r="BW561" i="48"/>
  <c r="BM561" i="48" s="1"/>
  <c r="BX560" i="48"/>
  <c r="BW560" i="48"/>
  <c r="BX559" i="48"/>
  <c r="BW559" i="48"/>
  <c r="BM559" i="48" s="1"/>
  <c r="BX558" i="48"/>
  <c r="BW558" i="48"/>
  <c r="BX557" i="48"/>
  <c r="BW557" i="48"/>
  <c r="BM557" i="48" s="1"/>
  <c r="BX556" i="48"/>
  <c r="BW556" i="48"/>
  <c r="BX555" i="48"/>
  <c r="BW555" i="48"/>
  <c r="BM555" i="48" s="1"/>
  <c r="BX554" i="48"/>
  <c r="BW554" i="48"/>
  <c r="BX553" i="48"/>
  <c r="BW553" i="48"/>
  <c r="BM553" i="48" s="1"/>
  <c r="BX550" i="48"/>
  <c r="BW550" i="48"/>
  <c r="BX549" i="48"/>
  <c r="BW549" i="48"/>
  <c r="BM549" i="48" s="1"/>
  <c r="BX548" i="48"/>
  <c r="BW548" i="48"/>
  <c r="BX547" i="48"/>
  <c r="BW547" i="48"/>
  <c r="BM547" i="48" s="1"/>
  <c r="BX546" i="48"/>
  <c r="BW546" i="48"/>
  <c r="BX545" i="48"/>
  <c r="BW545" i="48"/>
  <c r="BM545" i="48" s="1"/>
  <c r="BX544" i="48"/>
  <c r="BW544" i="48"/>
  <c r="BX543" i="48"/>
  <c r="BW543" i="48"/>
  <c r="BM543" i="48" s="1"/>
  <c r="BX542" i="48"/>
  <c r="BW542" i="48"/>
  <c r="BX541" i="48"/>
  <c r="BW541" i="48"/>
  <c r="BM541" i="48" s="1"/>
  <c r="BX540" i="48"/>
  <c r="BW540" i="48"/>
  <c r="BX539" i="48"/>
  <c r="BW539" i="48"/>
  <c r="BM539" i="48" s="1"/>
  <c r="BX538" i="48"/>
  <c r="BW538" i="48"/>
  <c r="BX537" i="48"/>
  <c r="BW537" i="48"/>
  <c r="BM537" i="48" s="1"/>
  <c r="BX536" i="48"/>
  <c r="BW536" i="48"/>
  <c r="BX535" i="48"/>
  <c r="BW535" i="48"/>
  <c r="BM535" i="48" s="1"/>
  <c r="BX534" i="48"/>
  <c r="BW534" i="48"/>
  <c r="BX533" i="48"/>
  <c r="BW533" i="48"/>
  <c r="BM533" i="48" s="1"/>
  <c r="BX532" i="48"/>
  <c r="BW532" i="48"/>
  <c r="BX531" i="48"/>
  <c r="BW531" i="48"/>
  <c r="BM531" i="48" s="1"/>
  <c r="BX530" i="48"/>
  <c r="BW530" i="48"/>
  <c r="BX529" i="48"/>
  <c r="BW529" i="48"/>
  <c r="BM529" i="48" s="1"/>
  <c r="BX528" i="48"/>
  <c r="BW528" i="48"/>
  <c r="BX525" i="48"/>
  <c r="BW525" i="48"/>
  <c r="BM525" i="48" s="1"/>
  <c r="BX524" i="48"/>
  <c r="BW524" i="48"/>
  <c r="BX523" i="48"/>
  <c r="BW523" i="48"/>
  <c r="BM523" i="48" s="1"/>
  <c r="BX522" i="48"/>
  <c r="BW522" i="48"/>
  <c r="BX521" i="48"/>
  <c r="BW521" i="48"/>
  <c r="BM521" i="48" s="1"/>
  <c r="BX520" i="48"/>
  <c r="BW520" i="48"/>
  <c r="BX519" i="48"/>
  <c r="BW519" i="48"/>
  <c r="BM519" i="48" s="1"/>
  <c r="BX518" i="48"/>
  <c r="BW518" i="48"/>
  <c r="BX517" i="48"/>
  <c r="BW517" i="48"/>
  <c r="BM517" i="48" s="1"/>
  <c r="BX516" i="48"/>
  <c r="BW516" i="48"/>
  <c r="BX515" i="48"/>
  <c r="BW515" i="48"/>
  <c r="BM515" i="48" s="1"/>
  <c r="BX514" i="48"/>
  <c r="BW514" i="48"/>
  <c r="BX513" i="48"/>
  <c r="BW513" i="48"/>
  <c r="BM513" i="48" s="1"/>
  <c r="BX512" i="48"/>
  <c r="BW512" i="48"/>
  <c r="BX511" i="48"/>
  <c r="BW511" i="48"/>
  <c r="BM511" i="48" s="1"/>
  <c r="BX510" i="48"/>
  <c r="BW510" i="48"/>
  <c r="BX509" i="48"/>
  <c r="BW509" i="48"/>
  <c r="BM509" i="48" s="1"/>
  <c r="BX508" i="48"/>
  <c r="BW508" i="48"/>
  <c r="BX507" i="48"/>
  <c r="BW507" i="48"/>
  <c r="BM507" i="48" s="1"/>
  <c r="BX506" i="48"/>
  <c r="BW506" i="48"/>
  <c r="BX505" i="48"/>
  <c r="BW505" i="48"/>
  <c r="BM505" i="48" s="1"/>
  <c r="BX504" i="48"/>
  <c r="BW504" i="48"/>
  <c r="BX503" i="48"/>
  <c r="BW503" i="48"/>
  <c r="BM503" i="48" s="1"/>
  <c r="BX500" i="48"/>
  <c r="BW500" i="48"/>
  <c r="BX499" i="48"/>
  <c r="BW499" i="48"/>
  <c r="BM499" i="48" s="1"/>
  <c r="BX498" i="48"/>
  <c r="BW498" i="48"/>
  <c r="BX497" i="48"/>
  <c r="BW497" i="48"/>
  <c r="BM497" i="48" s="1"/>
  <c r="BX496" i="48"/>
  <c r="BW496" i="48"/>
  <c r="BX495" i="48"/>
  <c r="BW495" i="48"/>
  <c r="BM495" i="48" s="1"/>
  <c r="BX494" i="48"/>
  <c r="BW494" i="48"/>
  <c r="BX493" i="48"/>
  <c r="BW493" i="48"/>
  <c r="BM493" i="48" s="1"/>
  <c r="BX492" i="48"/>
  <c r="BW492" i="48"/>
  <c r="BX491" i="48"/>
  <c r="BW491" i="48"/>
  <c r="BM491" i="48" s="1"/>
  <c r="BX490" i="48"/>
  <c r="BW490" i="48"/>
  <c r="BX489" i="48"/>
  <c r="BW489" i="48"/>
  <c r="BM489" i="48" s="1"/>
  <c r="BX488" i="48"/>
  <c r="BW488" i="48"/>
  <c r="BX487" i="48"/>
  <c r="BW487" i="48"/>
  <c r="BM487" i="48" s="1"/>
  <c r="BX486" i="48"/>
  <c r="BW486" i="48"/>
  <c r="BX485" i="48"/>
  <c r="BW485" i="48"/>
  <c r="BM485" i="48" s="1"/>
  <c r="BX484" i="48"/>
  <c r="BW484" i="48"/>
  <c r="BX483" i="48"/>
  <c r="BW483" i="48"/>
  <c r="BM483" i="48" s="1"/>
  <c r="BX482" i="48"/>
  <c r="BW482" i="48"/>
  <c r="BX481" i="48"/>
  <c r="BW481" i="48"/>
  <c r="BM481" i="48" s="1"/>
  <c r="BX480" i="48"/>
  <c r="BW480" i="48"/>
  <c r="BX479" i="48"/>
  <c r="BW479" i="48"/>
  <c r="BM479" i="48" s="1"/>
  <c r="BX478" i="48"/>
  <c r="BW478" i="48"/>
  <c r="BX475" i="48"/>
  <c r="BW475" i="48"/>
  <c r="BM475" i="48" s="1"/>
  <c r="BX474" i="48"/>
  <c r="BW474" i="48"/>
  <c r="BX473" i="48"/>
  <c r="BW473" i="48"/>
  <c r="BM473" i="48" s="1"/>
  <c r="BX472" i="48"/>
  <c r="BW472" i="48"/>
  <c r="BX471" i="48"/>
  <c r="BW471" i="48"/>
  <c r="BM471" i="48" s="1"/>
  <c r="BX470" i="48"/>
  <c r="BW470" i="48"/>
  <c r="BX469" i="48"/>
  <c r="BW469" i="48"/>
  <c r="BM469" i="48" s="1"/>
  <c r="BX468" i="48"/>
  <c r="BW468" i="48"/>
  <c r="BX467" i="48"/>
  <c r="BW467" i="48"/>
  <c r="BM467" i="48" s="1"/>
  <c r="BX466" i="48"/>
  <c r="BW466" i="48"/>
  <c r="BX465" i="48"/>
  <c r="BW465" i="48"/>
  <c r="BM465" i="48" s="1"/>
  <c r="BX464" i="48"/>
  <c r="BW464" i="48"/>
  <c r="BX463" i="48"/>
  <c r="BW463" i="48"/>
  <c r="BM463" i="48" s="1"/>
  <c r="BX462" i="48"/>
  <c r="BW462" i="48"/>
  <c r="BX461" i="48"/>
  <c r="BW461" i="48"/>
  <c r="BM461" i="48" s="1"/>
  <c r="BX460" i="48"/>
  <c r="BW460" i="48"/>
  <c r="BX459" i="48"/>
  <c r="BW459" i="48"/>
  <c r="BM459" i="48" s="1"/>
  <c r="BX458" i="48"/>
  <c r="BW458" i="48"/>
  <c r="BX457" i="48"/>
  <c r="BW457" i="48"/>
  <c r="BM457" i="48" s="1"/>
  <c r="BX456" i="48"/>
  <c r="BW456" i="48"/>
  <c r="BX455" i="48"/>
  <c r="BW455" i="48"/>
  <c r="BM455" i="48" s="1"/>
  <c r="BX454" i="48"/>
  <c r="BW454" i="48"/>
  <c r="BX453" i="48"/>
  <c r="BW453" i="48"/>
  <c r="BM453" i="48" s="1"/>
  <c r="BX450" i="48"/>
  <c r="BW450" i="48"/>
  <c r="BX449" i="48"/>
  <c r="BW449" i="48"/>
  <c r="BM449" i="48" s="1"/>
  <c r="BX448" i="48"/>
  <c r="BW448" i="48"/>
  <c r="BX447" i="48"/>
  <c r="BW447" i="48"/>
  <c r="BM447" i="48" s="1"/>
  <c r="BX446" i="48"/>
  <c r="BW446" i="48"/>
  <c r="BX445" i="48"/>
  <c r="BW445" i="48"/>
  <c r="BM445" i="48" s="1"/>
  <c r="BX444" i="48"/>
  <c r="BW444" i="48"/>
  <c r="BX443" i="48"/>
  <c r="BW443" i="48"/>
  <c r="BM443" i="48" s="1"/>
  <c r="BX442" i="48"/>
  <c r="BW442" i="48"/>
  <c r="BX441" i="48"/>
  <c r="BW441" i="48"/>
  <c r="BM441" i="48" s="1"/>
  <c r="BX440" i="48"/>
  <c r="BW440" i="48"/>
  <c r="BX439" i="48"/>
  <c r="BW439" i="48"/>
  <c r="BM439" i="48" s="1"/>
  <c r="BX438" i="48"/>
  <c r="BW438" i="48"/>
  <c r="BX437" i="48"/>
  <c r="BW437" i="48"/>
  <c r="BM437" i="48" s="1"/>
  <c r="BX436" i="48"/>
  <c r="BW436" i="48"/>
  <c r="BX435" i="48"/>
  <c r="BW435" i="48"/>
  <c r="BM435" i="48" s="1"/>
  <c r="BX434" i="48"/>
  <c r="BW434" i="48"/>
  <c r="BX433" i="48"/>
  <c r="BW433" i="48"/>
  <c r="BM433" i="48" s="1"/>
  <c r="BX432" i="48"/>
  <c r="BW432" i="48"/>
  <c r="BX431" i="48"/>
  <c r="BW431" i="48"/>
  <c r="BM431" i="48" s="1"/>
  <c r="BX430" i="48"/>
  <c r="BW430" i="48"/>
  <c r="BX429" i="48"/>
  <c r="BW429" i="48"/>
  <c r="BM429" i="48" s="1"/>
  <c r="BX428" i="48"/>
  <c r="BW428" i="48"/>
  <c r="BX425" i="48"/>
  <c r="BW425" i="48"/>
  <c r="BM425" i="48" s="1"/>
  <c r="BX424" i="48"/>
  <c r="BW424" i="48"/>
  <c r="BX423" i="48"/>
  <c r="BW423" i="48"/>
  <c r="BM423" i="48" s="1"/>
  <c r="BX422" i="48"/>
  <c r="BW422" i="48"/>
  <c r="BX421" i="48"/>
  <c r="BW421" i="48"/>
  <c r="BM421" i="48" s="1"/>
  <c r="BX420" i="48"/>
  <c r="BW420" i="48"/>
  <c r="BX419" i="48"/>
  <c r="BW419" i="48"/>
  <c r="BM419" i="48" s="1"/>
  <c r="BX418" i="48"/>
  <c r="BW418" i="48"/>
  <c r="BX417" i="48"/>
  <c r="BW417" i="48"/>
  <c r="BM417" i="48" s="1"/>
  <c r="BX416" i="48"/>
  <c r="BW416" i="48"/>
  <c r="BX415" i="48"/>
  <c r="BW415" i="48"/>
  <c r="BM415" i="48" s="1"/>
  <c r="BX414" i="48"/>
  <c r="BW414" i="48"/>
  <c r="BX413" i="48"/>
  <c r="BW413" i="48"/>
  <c r="BM413" i="48" s="1"/>
  <c r="BX412" i="48"/>
  <c r="BW412" i="48"/>
  <c r="BX411" i="48"/>
  <c r="BW411" i="48"/>
  <c r="BM411" i="48" s="1"/>
  <c r="BX410" i="48"/>
  <c r="BW410" i="48"/>
  <c r="BX409" i="48"/>
  <c r="BW409" i="48"/>
  <c r="BM409" i="48" s="1"/>
  <c r="BX408" i="48"/>
  <c r="BW408" i="48"/>
  <c r="BX407" i="48"/>
  <c r="BW407" i="48"/>
  <c r="BM407" i="48" s="1"/>
  <c r="BX406" i="48"/>
  <c r="BW406" i="48"/>
  <c r="BX405" i="48"/>
  <c r="BW405" i="48"/>
  <c r="BM405" i="48" s="1"/>
  <c r="BX404" i="48"/>
  <c r="BW404" i="48"/>
  <c r="BX403" i="48"/>
  <c r="BW403" i="48"/>
  <c r="BM403" i="48" s="1"/>
  <c r="BX400" i="48"/>
  <c r="BW400" i="48"/>
  <c r="BX399" i="48"/>
  <c r="BW399" i="48"/>
  <c r="BM399" i="48" s="1"/>
  <c r="BX398" i="48"/>
  <c r="BW398" i="48"/>
  <c r="BX397" i="48"/>
  <c r="BW397" i="48"/>
  <c r="BM397" i="48" s="1"/>
  <c r="BX396" i="48"/>
  <c r="BW396" i="48"/>
  <c r="BX395" i="48"/>
  <c r="BW395" i="48"/>
  <c r="BM395" i="48" s="1"/>
  <c r="BX394" i="48"/>
  <c r="BW394" i="48"/>
  <c r="BX393" i="48"/>
  <c r="BW393" i="48"/>
  <c r="BM393" i="48" s="1"/>
  <c r="BX392" i="48"/>
  <c r="BW392" i="48"/>
  <c r="BX391" i="48"/>
  <c r="BW391" i="48"/>
  <c r="BM391" i="48" s="1"/>
  <c r="BX390" i="48"/>
  <c r="BW390" i="48"/>
  <c r="BX389" i="48"/>
  <c r="BW389" i="48"/>
  <c r="BM389" i="48" s="1"/>
  <c r="BX388" i="48"/>
  <c r="BW388" i="48"/>
  <c r="BX387" i="48"/>
  <c r="BW387" i="48"/>
  <c r="BM387" i="48" s="1"/>
  <c r="BX386" i="48"/>
  <c r="BW386" i="48"/>
  <c r="BX385" i="48"/>
  <c r="BW385" i="48"/>
  <c r="BM385" i="48" s="1"/>
  <c r="BX384" i="48"/>
  <c r="BW384" i="48"/>
  <c r="BX383" i="48"/>
  <c r="BW383" i="48"/>
  <c r="BM383" i="48" s="1"/>
  <c r="BX382" i="48"/>
  <c r="BW382" i="48"/>
  <c r="BX381" i="48"/>
  <c r="BW381" i="48"/>
  <c r="BM381" i="48" s="1"/>
  <c r="BX380" i="48"/>
  <c r="BW380" i="48"/>
  <c r="BX379" i="48"/>
  <c r="BW379" i="48"/>
  <c r="BM379" i="48" s="1"/>
  <c r="BX378" i="48"/>
  <c r="BW378" i="48"/>
  <c r="BX375" i="48"/>
  <c r="BW375" i="48"/>
  <c r="BM375" i="48" s="1"/>
  <c r="BX374" i="48"/>
  <c r="BW374" i="48"/>
  <c r="BX373" i="48"/>
  <c r="BW373" i="48"/>
  <c r="BM373" i="48" s="1"/>
  <c r="BX372" i="48"/>
  <c r="BW372" i="48"/>
  <c r="BX371" i="48"/>
  <c r="BW371" i="48"/>
  <c r="BM371" i="48" s="1"/>
  <c r="BX370" i="48"/>
  <c r="BW370" i="48"/>
  <c r="BX369" i="48"/>
  <c r="BW369" i="48"/>
  <c r="BM369" i="48" s="1"/>
  <c r="BX368" i="48"/>
  <c r="BW368" i="48"/>
  <c r="BX367" i="48"/>
  <c r="BW367" i="48"/>
  <c r="BM367" i="48" s="1"/>
  <c r="BX366" i="48"/>
  <c r="BW366" i="48"/>
  <c r="BX365" i="48"/>
  <c r="BW365" i="48"/>
  <c r="BM365" i="48" s="1"/>
  <c r="BX364" i="48"/>
  <c r="BW364" i="48"/>
  <c r="BX363" i="48"/>
  <c r="BW363" i="48"/>
  <c r="BM363" i="48" s="1"/>
  <c r="BX362" i="48"/>
  <c r="BW362" i="48"/>
  <c r="BX361" i="48"/>
  <c r="BW361" i="48"/>
  <c r="BM361" i="48" s="1"/>
  <c r="BX360" i="48"/>
  <c r="BW360" i="48"/>
  <c r="BX359" i="48"/>
  <c r="BW359" i="48"/>
  <c r="BM359" i="48" s="1"/>
  <c r="BX358" i="48"/>
  <c r="BW358" i="48"/>
  <c r="BX357" i="48"/>
  <c r="BW357" i="48"/>
  <c r="BM357" i="48" s="1"/>
  <c r="BX356" i="48"/>
  <c r="BW356" i="48"/>
  <c r="BX355" i="48"/>
  <c r="BW355" i="48"/>
  <c r="BM355" i="48" s="1"/>
  <c r="BX354" i="48"/>
  <c r="BW354" i="48"/>
  <c r="BX353" i="48"/>
  <c r="BW353" i="48"/>
  <c r="BM353" i="48" s="1"/>
  <c r="BX350" i="48"/>
  <c r="BW350" i="48"/>
  <c r="BX349" i="48"/>
  <c r="BW349" i="48"/>
  <c r="BM349" i="48" s="1"/>
  <c r="BX348" i="48"/>
  <c r="BW348" i="48"/>
  <c r="BX347" i="48"/>
  <c r="BW347" i="48"/>
  <c r="BM347" i="48" s="1"/>
  <c r="BX346" i="48"/>
  <c r="BW346" i="48"/>
  <c r="BX345" i="48"/>
  <c r="BW345" i="48"/>
  <c r="BM345" i="48" s="1"/>
  <c r="BX344" i="48"/>
  <c r="BW344" i="48"/>
  <c r="BX343" i="48"/>
  <c r="BW343" i="48"/>
  <c r="BM343" i="48" s="1"/>
  <c r="BX342" i="48"/>
  <c r="BW342" i="48"/>
  <c r="BX341" i="48"/>
  <c r="BW341" i="48"/>
  <c r="BM341" i="48" s="1"/>
  <c r="BX340" i="48"/>
  <c r="BW340" i="48"/>
  <c r="BX339" i="48"/>
  <c r="BW339" i="48"/>
  <c r="BM339" i="48" s="1"/>
  <c r="BX338" i="48"/>
  <c r="BW338" i="48"/>
  <c r="BX337" i="48"/>
  <c r="BW337" i="48"/>
  <c r="BM337" i="48" s="1"/>
  <c r="BX336" i="48"/>
  <c r="BW336" i="48"/>
  <c r="BX335" i="48"/>
  <c r="BW335" i="48"/>
  <c r="BM335" i="48" s="1"/>
  <c r="BX334" i="48"/>
  <c r="BW334" i="48"/>
  <c r="BX333" i="48"/>
  <c r="BW333" i="48"/>
  <c r="BM333" i="48" s="1"/>
  <c r="BX332" i="48"/>
  <c r="BW332" i="48"/>
  <c r="BX331" i="48"/>
  <c r="BW331" i="48"/>
  <c r="BM331" i="48" s="1"/>
  <c r="BX330" i="48"/>
  <c r="BW330" i="48"/>
  <c r="BX329" i="48"/>
  <c r="BW329" i="48"/>
  <c r="BM329" i="48" s="1"/>
  <c r="BX328" i="48"/>
  <c r="BW328" i="48"/>
  <c r="BX325" i="48"/>
  <c r="BW325" i="48"/>
  <c r="BM325" i="48" s="1"/>
  <c r="BX324" i="48"/>
  <c r="BW324" i="48"/>
  <c r="BX323" i="48"/>
  <c r="BW323" i="48"/>
  <c r="BM323" i="48" s="1"/>
  <c r="BX322" i="48"/>
  <c r="BW322" i="48"/>
  <c r="BX321" i="48"/>
  <c r="BW321" i="48"/>
  <c r="BM321" i="48" s="1"/>
  <c r="BX320" i="48"/>
  <c r="BW320" i="48"/>
  <c r="BX319" i="48"/>
  <c r="BW319" i="48"/>
  <c r="BM319" i="48" s="1"/>
  <c r="BX318" i="48"/>
  <c r="BW318" i="48"/>
  <c r="BX317" i="48"/>
  <c r="BW317" i="48"/>
  <c r="BM317" i="48" s="1"/>
  <c r="BX316" i="48"/>
  <c r="BW316" i="48"/>
  <c r="BX315" i="48"/>
  <c r="BW315" i="48"/>
  <c r="BM315" i="48" s="1"/>
  <c r="BX314" i="48"/>
  <c r="BW314" i="48"/>
  <c r="BX313" i="48"/>
  <c r="BW313" i="48"/>
  <c r="BM313" i="48" s="1"/>
  <c r="BX312" i="48"/>
  <c r="BW312" i="48"/>
  <c r="BX311" i="48"/>
  <c r="BW311" i="48"/>
  <c r="BM311" i="48" s="1"/>
  <c r="BX310" i="48"/>
  <c r="BW310" i="48"/>
  <c r="BX309" i="48"/>
  <c r="BW309" i="48"/>
  <c r="BM309" i="48" s="1"/>
  <c r="BX308" i="48"/>
  <c r="BW308" i="48"/>
  <c r="BX307" i="48"/>
  <c r="BW307" i="48"/>
  <c r="BM307" i="48" s="1"/>
  <c r="BX306" i="48"/>
  <c r="BW306" i="48"/>
  <c r="BX305" i="48"/>
  <c r="BW305" i="48"/>
  <c r="BM305" i="48" s="1"/>
  <c r="BX304" i="48"/>
  <c r="BW304" i="48"/>
  <c r="BX303" i="48"/>
  <c r="BW303" i="48"/>
  <c r="BM303" i="48" s="1"/>
  <c r="BX300" i="48"/>
  <c r="BW300" i="48"/>
  <c r="BX299" i="48"/>
  <c r="BW299" i="48"/>
  <c r="BM299" i="48" s="1"/>
  <c r="BX298" i="48"/>
  <c r="BW298" i="48"/>
  <c r="BX297" i="48"/>
  <c r="BW297" i="48"/>
  <c r="BM297" i="48" s="1"/>
  <c r="BX296" i="48"/>
  <c r="BW296" i="48"/>
  <c r="BX295" i="48"/>
  <c r="BW295" i="48"/>
  <c r="BM295" i="48" s="1"/>
  <c r="BX294" i="48"/>
  <c r="BW294" i="48"/>
  <c r="BX293" i="48"/>
  <c r="BW293" i="48"/>
  <c r="BM293" i="48" s="1"/>
  <c r="BX292" i="48"/>
  <c r="BW292" i="48"/>
  <c r="BX291" i="48"/>
  <c r="BW291" i="48"/>
  <c r="BM291" i="48" s="1"/>
  <c r="BX290" i="48"/>
  <c r="BW290" i="48"/>
  <c r="BX289" i="48"/>
  <c r="BW289" i="48"/>
  <c r="BM289" i="48" s="1"/>
  <c r="BX288" i="48"/>
  <c r="BW288" i="48"/>
  <c r="BX287" i="48"/>
  <c r="BW287" i="48"/>
  <c r="BM287" i="48" s="1"/>
  <c r="BX286" i="48"/>
  <c r="BW286" i="48"/>
  <c r="BX285" i="48"/>
  <c r="BW285" i="48"/>
  <c r="BM285" i="48" s="1"/>
  <c r="BX284" i="48"/>
  <c r="BW284" i="48"/>
  <c r="BX283" i="48"/>
  <c r="BW283" i="48"/>
  <c r="BM283" i="48" s="1"/>
  <c r="BX282" i="48"/>
  <c r="BW282" i="48"/>
  <c r="BX281" i="48"/>
  <c r="BW281" i="48"/>
  <c r="BM281" i="48" s="1"/>
  <c r="BX280" i="48"/>
  <c r="BW280" i="48"/>
  <c r="BX279" i="48"/>
  <c r="BW279" i="48"/>
  <c r="BM279" i="48" s="1"/>
  <c r="BX278" i="48"/>
  <c r="BW278" i="48"/>
  <c r="BX275" i="48"/>
  <c r="BW275" i="48"/>
  <c r="BM275" i="48" s="1"/>
  <c r="BX274" i="48"/>
  <c r="BW274" i="48"/>
  <c r="BX273" i="48"/>
  <c r="BW273" i="48"/>
  <c r="BM273" i="48" s="1"/>
  <c r="BX272" i="48"/>
  <c r="BW272" i="48"/>
  <c r="BX271" i="48"/>
  <c r="BW271" i="48"/>
  <c r="BM271" i="48" s="1"/>
  <c r="BX270" i="48"/>
  <c r="BW270" i="48"/>
  <c r="BX269" i="48"/>
  <c r="BW269" i="48"/>
  <c r="BM269" i="48" s="1"/>
  <c r="BX268" i="48"/>
  <c r="BW268" i="48"/>
  <c r="BX267" i="48"/>
  <c r="BW267" i="48"/>
  <c r="BM267" i="48" s="1"/>
  <c r="BX266" i="48"/>
  <c r="BW266" i="48"/>
  <c r="BX265" i="48"/>
  <c r="BW265" i="48"/>
  <c r="BM265" i="48" s="1"/>
  <c r="BX264" i="48"/>
  <c r="BW264" i="48"/>
  <c r="BX263" i="48"/>
  <c r="BW263" i="48"/>
  <c r="BM263" i="48" s="1"/>
  <c r="BX262" i="48"/>
  <c r="BW262" i="48"/>
  <c r="BX261" i="48"/>
  <c r="BW261" i="48"/>
  <c r="BM261" i="48" s="1"/>
  <c r="BX260" i="48"/>
  <c r="BW260" i="48"/>
  <c r="BX259" i="48"/>
  <c r="BW259" i="48"/>
  <c r="BM259" i="48" s="1"/>
  <c r="BX258" i="48"/>
  <c r="BW258" i="48"/>
  <c r="BX257" i="48"/>
  <c r="BW257" i="48"/>
  <c r="BM257" i="48" s="1"/>
  <c r="BX256" i="48"/>
  <c r="BW256" i="48"/>
  <c r="BX255" i="48"/>
  <c r="BW255" i="48"/>
  <c r="BM255" i="48" s="1"/>
  <c r="BX254" i="48"/>
  <c r="BW254" i="48"/>
  <c r="BX253" i="48"/>
  <c r="BW253" i="48"/>
  <c r="BM253" i="48" s="1"/>
  <c r="BX249" i="48"/>
  <c r="BW249" i="48"/>
  <c r="BM249" i="48" s="1"/>
  <c r="BX248" i="48"/>
  <c r="BW248" i="48"/>
  <c r="BX247" i="48"/>
  <c r="BW247" i="48"/>
  <c r="BM247" i="48" s="1"/>
  <c r="BX246" i="48"/>
  <c r="BW246" i="48"/>
  <c r="BX245" i="48"/>
  <c r="BW245" i="48"/>
  <c r="BM245" i="48" s="1"/>
  <c r="BX244" i="48"/>
  <c r="BW244" i="48"/>
  <c r="BX243" i="48"/>
  <c r="BW243" i="48"/>
  <c r="BM243" i="48" s="1"/>
  <c r="BX242" i="48"/>
  <c r="BW242" i="48"/>
  <c r="BX241" i="48"/>
  <c r="BW241" i="48"/>
  <c r="BM241" i="48" s="1"/>
  <c r="BX240" i="48"/>
  <c r="BW240" i="48"/>
  <c r="BX239" i="48"/>
  <c r="BW239" i="48"/>
  <c r="BM239" i="48" s="1"/>
  <c r="BX238" i="48"/>
  <c r="BW238" i="48"/>
  <c r="BX237" i="48"/>
  <c r="BW237" i="48"/>
  <c r="BM237" i="48" s="1"/>
  <c r="BX236" i="48"/>
  <c r="BW236" i="48"/>
  <c r="BX235" i="48"/>
  <c r="BW235" i="48"/>
  <c r="BM235" i="48" s="1"/>
  <c r="BX234" i="48"/>
  <c r="BW234" i="48"/>
  <c r="BX233" i="48"/>
  <c r="BW233" i="48"/>
  <c r="BM233" i="48" s="1"/>
  <c r="BX232" i="48"/>
  <c r="BW232" i="48"/>
  <c r="BX231" i="48"/>
  <c r="BW231" i="48"/>
  <c r="BM231" i="48" s="1"/>
  <c r="BX230" i="48"/>
  <c r="BW230" i="48"/>
  <c r="BX229" i="48"/>
  <c r="BW229" i="48"/>
  <c r="BM229" i="48" s="1"/>
  <c r="BX228" i="48"/>
  <c r="BW228" i="48"/>
  <c r="BX225" i="48"/>
  <c r="BW225" i="48"/>
  <c r="BM225" i="48" s="1"/>
  <c r="BX224" i="48"/>
  <c r="BW224" i="48"/>
  <c r="BX223" i="48"/>
  <c r="BW223" i="48"/>
  <c r="BM223" i="48" s="1"/>
  <c r="BX222" i="48"/>
  <c r="BW222" i="48"/>
  <c r="BX221" i="48"/>
  <c r="BW221" i="48"/>
  <c r="BM221" i="48" s="1"/>
  <c r="BX220" i="48"/>
  <c r="BW220" i="48"/>
  <c r="BX219" i="48"/>
  <c r="BW219" i="48"/>
  <c r="BM219" i="48" s="1"/>
  <c r="BX218" i="48"/>
  <c r="BW218" i="48"/>
  <c r="BX217" i="48"/>
  <c r="BW217" i="48"/>
  <c r="BM217" i="48" s="1"/>
  <c r="BX216" i="48"/>
  <c r="BW216" i="48"/>
  <c r="BX215" i="48"/>
  <c r="BW215" i="48"/>
  <c r="BM215" i="48" s="1"/>
  <c r="BX214" i="48"/>
  <c r="BW214" i="48"/>
  <c r="BX213" i="48"/>
  <c r="BW213" i="48"/>
  <c r="BM213" i="48" s="1"/>
  <c r="BX212" i="48"/>
  <c r="BW212" i="48"/>
  <c r="BX211" i="48"/>
  <c r="BW211" i="48"/>
  <c r="BM211" i="48" s="1"/>
  <c r="BX210" i="48"/>
  <c r="BW210" i="48"/>
  <c r="BX209" i="48"/>
  <c r="BW209" i="48"/>
  <c r="BM209" i="48" s="1"/>
  <c r="BX208" i="48"/>
  <c r="BW208" i="48"/>
  <c r="BX207" i="48"/>
  <c r="BW207" i="48"/>
  <c r="BM207" i="48" s="1"/>
  <c r="BX206" i="48"/>
  <c r="BW206" i="48"/>
  <c r="BX205" i="48"/>
  <c r="BW205" i="48"/>
  <c r="BM205" i="48" s="1"/>
  <c r="BX204" i="48"/>
  <c r="BW204" i="48"/>
  <c r="BX203" i="48"/>
  <c r="BW203" i="48"/>
  <c r="BM203" i="48" s="1"/>
  <c r="BX200" i="48"/>
  <c r="BW200" i="48"/>
  <c r="BX199" i="48"/>
  <c r="BW199" i="48"/>
  <c r="BM199" i="48" s="1"/>
  <c r="BX198" i="48"/>
  <c r="BW198" i="48"/>
  <c r="BX197" i="48"/>
  <c r="BW197" i="48"/>
  <c r="BM197" i="48" s="1"/>
  <c r="BX196" i="48"/>
  <c r="BW196" i="48"/>
  <c r="BX195" i="48"/>
  <c r="BW195" i="48"/>
  <c r="BM195" i="48" s="1"/>
  <c r="BX194" i="48"/>
  <c r="BW194" i="48"/>
  <c r="BX193" i="48"/>
  <c r="BW193" i="48"/>
  <c r="BM193" i="48" s="1"/>
  <c r="BX192" i="48"/>
  <c r="BW192" i="48"/>
  <c r="BX191" i="48"/>
  <c r="BW191" i="48"/>
  <c r="BM191" i="48" s="1"/>
  <c r="BX190" i="48"/>
  <c r="BW190" i="48"/>
  <c r="BX189" i="48"/>
  <c r="BW189" i="48"/>
  <c r="BM189" i="48" s="1"/>
  <c r="BX188" i="48"/>
  <c r="BW188" i="48"/>
  <c r="BX187" i="48"/>
  <c r="BW187" i="48"/>
  <c r="BM187" i="48" s="1"/>
  <c r="BX186" i="48"/>
  <c r="BW186" i="48"/>
  <c r="BX185" i="48"/>
  <c r="BW185" i="48"/>
  <c r="BM185" i="48" s="1"/>
  <c r="BX184" i="48"/>
  <c r="BW184" i="48"/>
  <c r="BX183" i="48"/>
  <c r="BW183" i="48"/>
  <c r="BM183" i="48" s="1"/>
  <c r="BX182" i="48"/>
  <c r="BW182" i="48"/>
  <c r="BX181" i="48"/>
  <c r="BW181" i="48"/>
  <c r="BM181" i="48" s="1"/>
  <c r="BX180" i="48"/>
  <c r="BW180" i="48"/>
  <c r="BX179" i="48"/>
  <c r="BW179" i="48"/>
  <c r="BM179" i="48" s="1"/>
  <c r="BX178" i="48"/>
  <c r="BW178" i="48"/>
  <c r="BX175" i="48"/>
  <c r="BW175" i="48"/>
  <c r="BM175" i="48" s="1"/>
  <c r="BX174" i="48"/>
  <c r="BW174" i="48"/>
  <c r="BX173" i="48"/>
  <c r="BW173" i="48"/>
  <c r="BM173" i="48" s="1"/>
  <c r="BX172" i="48"/>
  <c r="BW172" i="48"/>
  <c r="BX171" i="48"/>
  <c r="BW171" i="48"/>
  <c r="BM171" i="48" s="1"/>
  <c r="BX170" i="48"/>
  <c r="BW170" i="48"/>
  <c r="BX169" i="48"/>
  <c r="BW169" i="48"/>
  <c r="BM169" i="48" s="1"/>
  <c r="BX168" i="48"/>
  <c r="BW168" i="48"/>
  <c r="BX167" i="48"/>
  <c r="BW167" i="48"/>
  <c r="BM167" i="48" s="1"/>
  <c r="BX166" i="48"/>
  <c r="BW166" i="48"/>
  <c r="BX165" i="48"/>
  <c r="BW165" i="48"/>
  <c r="BM165" i="48" s="1"/>
  <c r="BX164" i="48"/>
  <c r="BW164" i="48"/>
  <c r="BX163" i="48"/>
  <c r="BW163" i="48"/>
  <c r="BM163" i="48" s="1"/>
  <c r="BX162" i="48"/>
  <c r="BW162" i="48"/>
  <c r="BX161" i="48"/>
  <c r="BW161" i="48"/>
  <c r="BM161" i="48" s="1"/>
  <c r="BX160" i="48"/>
  <c r="BW160" i="48"/>
  <c r="BX159" i="48"/>
  <c r="BW159" i="48"/>
  <c r="BM159" i="48" s="1"/>
  <c r="BX158" i="48"/>
  <c r="BW158" i="48"/>
  <c r="BX157" i="48"/>
  <c r="BW157" i="48"/>
  <c r="BM157" i="48" s="1"/>
  <c r="BX156" i="48"/>
  <c r="BW156" i="48"/>
  <c r="BX155" i="48"/>
  <c r="BW155" i="48"/>
  <c r="BM155" i="48" s="1"/>
  <c r="BX154" i="48"/>
  <c r="BW154" i="48"/>
  <c r="BX153" i="48"/>
  <c r="BW153" i="48"/>
  <c r="BM153" i="48" s="1"/>
  <c r="BX150" i="48"/>
  <c r="BW150" i="48"/>
  <c r="BX149" i="48"/>
  <c r="BW149" i="48"/>
  <c r="BM149" i="48" s="1"/>
  <c r="BX148" i="48"/>
  <c r="BW148" i="48"/>
  <c r="BX147" i="48"/>
  <c r="BW147" i="48"/>
  <c r="BM147" i="48" s="1"/>
  <c r="BX146" i="48"/>
  <c r="BW146" i="48"/>
  <c r="BX145" i="48"/>
  <c r="BW145" i="48"/>
  <c r="BM145" i="48" s="1"/>
  <c r="BX144" i="48"/>
  <c r="BW144" i="48"/>
  <c r="BX143" i="48"/>
  <c r="BW143" i="48"/>
  <c r="BM143" i="48" s="1"/>
  <c r="BX142" i="48"/>
  <c r="BW142" i="48"/>
  <c r="BX141" i="48"/>
  <c r="BW141" i="48"/>
  <c r="BM141" i="48" s="1"/>
  <c r="BX140" i="48"/>
  <c r="BW140" i="48"/>
  <c r="BX139" i="48"/>
  <c r="BW139" i="48"/>
  <c r="BM139" i="48" s="1"/>
  <c r="BX138" i="48"/>
  <c r="BW138" i="48"/>
  <c r="BX137" i="48"/>
  <c r="BW137" i="48"/>
  <c r="BM137" i="48" s="1"/>
  <c r="BX136" i="48"/>
  <c r="BW136" i="48"/>
  <c r="BX135" i="48"/>
  <c r="BW135" i="48"/>
  <c r="BM135" i="48" s="1"/>
  <c r="BX134" i="48"/>
  <c r="BW134" i="48"/>
  <c r="BX133" i="48"/>
  <c r="BW133" i="48"/>
  <c r="BM133" i="48" s="1"/>
  <c r="BX132" i="48"/>
  <c r="BW132" i="48"/>
  <c r="BX131" i="48"/>
  <c r="BW131" i="48"/>
  <c r="BM131" i="48" s="1"/>
  <c r="BX130" i="48"/>
  <c r="BW130" i="48"/>
  <c r="BX129" i="48"/>
  <c r="BW129" i="48"/>
  <c r="BM129" i="48" s="1"/>
  <c r="BX128" i="48"/>
  <c r="BW128" i="48"/>
  <c r="BX125" i="48"/>
  <c r="BW125" i="48"/>
  <c r="BM125" i="48" s="1"/>
  <c r="BX124" i="48"/>
  <c r="BW124" i="48"/>
  <c r="BX123" i="48"/>
  <c r="BW123" i="48"/>
  <c r="BM123" i="48" s="1"/>
  <c r="BX122" i="48"/>
  <c r="BW122" i="48"/>
  <c r="BX121" i="48"/>
  <c r="BW121" i="48"/>
  <c r="BM121" i="48" s="1"/>
  <c r="BX120" i="48"/>
  <c r="BW120" i="48"/>
  <c r="BX119" i="48"/>
  <c r="BW119" i="48"/>
  <c r="BM119" i="48" s="1"/>
  <c r="BX118" i="48"/>
  <c r="BW118" i="48"/>
  <c r="BX117" i="48"/>
  <c r="BW117" i="48"/>
  <c r="BM117" i="48" s="1"/>
  <c r="BX116" i="48"/>
  <c r="BW116" i="48"/>
  <c r="BX115" i="48"/>
  <c r="BW115" i="48"/>
  <c r="BM115" i="48" s="1"/>
  <c r="BX114" i="48"/>
  <c r="BW114" i="48"/>
  <c r="BX113" i="48"/>
  <c r="BW113" i="48"/>
  <c r="BM113" i="48" s="1"/>
  <c r="BX112" i="48"/>
  <c r="BW112" i="48"/>
  <c r="BX111" i="48"/>
  <c r="BW111" i="48"/>
  <c r="BM111" i="48" s="1"/>
  <c r="BX110" i="48"/>
  <c r="BW110" i="48"/>
  <c r="BX109" i="48"/>
  <c r="BW109" i="48"/>
  <c r="BM109" i="48" s="1"/>
  <c r="BX108" i="48"/>
  <c r="BW108" i="48"/>
  <c r="BX107" i="48"/>
  <c r="BW107" i="48"/>
  <c r="BM107" i="48" s="1"/>
  <c r="BX106" i="48"/>
  <c r="BW106" i="48"/>
  <c r="BX105" i="48"/>
  <c r="BW105" i="48"/>
  <c r="BM105" i="48" s="1"/>
  <c r="BX104" i="48"/>
  <c r="BW104" i="48"/>
  <c r="BX103" i="48"/>
  <c r="BW103" i="48"/>
  <c r="BM103" i="48" s="1"/>
  <c r="BX100" i="48"/>
  <c r="BW100" i="48"/>
  <c r="BX99" i="48"/>
  <c r="BW99" i="48"/>
  <c r="BM99" i="48" s="1"/>
  <c r="BX98" i="48"/>
  <c r="BW98" i="48"/>
  <c r="BX97" i="48"/>
  <c r="BW97" i="48"/>
  <c r="BM97" i="48" s="1"/>
  <c r="BX96" i="48"/>
  <c r="BW96" i="48"/>
  <c r="BX95" i="48"/>
  <c r="BW95" i="48"/>
  <c r="BM95" i="48" s="1"/>
  <c r="BX94" i="48"/>
  <c r="BW94" i="48"/>
  <c r="BX93" i="48"/>
  <c r="BW93" i="48"/>
  <c r="BM93" i="48" s="1"/>
  <c r="BX92" i="48"/>
  <c r="BW92" i="48"/>
  <c r="BX91" i="48"/>
  <c r="BW91" i="48"/>
  <c r="BM91" i="48" s="1"/>
  <c r="BX90" i="48"/>
  <c r="BW90" i="48"/>
  <c r="BX89" i="48"/>
  <c r="BW89" i="48"/>
  <c r="BM89" i="48" s="1"/>
  <c r="BX88" i="48"/>
  <c r="BW88" i="48"/>
  <c r="BX87" i="48"/>
  <c r="BW87" i="48"/>
  <c r="BM87" i="48" s="1"/>
  <c r="BX86" i="48"/>
  <c r="BW86" i="48"/>
  <c r="BX85" i="48"/>
  <c r="BW85" i="48"/>
  <c r="BM85" i="48" s="1"/>
  <c r="BX84" i="48"/>
  <c r="BW84" i="48"/>
  <c r="BX83" i="48"/>
  <c r="BW83" i="48"/>
  <c r="BM83" i="48" s="1"/>
  <c r="BX82" i="48"/>
  <c r="BW82" i="48"/>
  <c r="BX81" i="48"/>
  <c r="BW81" i="48"/>
  <c r="BM81" i="48" s="1"/>
  <c r="BX80" i="48"/>
  <c r="BW80" i="48"/>
  <c r="BX79" i="48"/>
  <c r="BW79" i="48"/>
  <c r="BM79" i="48" s="1"/>
  <c r="BX78" i="48"/>
  <c r="BW78" i="48"/>
  <c r="BX75" i="48"/>
  <c r="BW75" i="48"/>
  <c r="BM75" i="48" s="1"/>
  <c r="BX74" i="48"/>
  <c r="BW74" i="48"/>
  <c r="BX73" i="48"/>
  <c r="BW73" i="48"/>
  <c r="BM73" i="48" s="1"/>
  <c r="BX72" i="48"/>
  <c r="BW72" i="48"/>
  <c r="BX71" i="48"/>
  <c r="BW71" i="48"/>
  <c r="BM71" i="48" s="1"/>
  <c r="BX70" i="48"/>
  <c r="BW70" i="48"/>
  <c r="BX69" i="48"/>
  <c r="BW69" i="48"/>
  <c r="BM69" i="48" s="1"/>
  <c r="BX68" i="48"/>
  <c r="BW68" i="48"/>
  <c r="BX67" i="48"/>
  <c r="BW67" i="48"/>
  <c r="BM67" i="48" s="1"/>
  <c r="BX66" i="48"/>
  <c r="BW66" i="48"/>
  <c r="BX65" i="48"/>
  <c r="BW65" i="48"/>
  <c r="BM65" i="48" s="1"/>
  <c r="BX64" i="48"/>
  <c r="BW64" i="48"/>
  <c r="BX63" i="48"/>
  <c r="BW63" i="48"/>
  <c r="BM63" i="48" s="1"/>
  <c r="BX62" i="48"/>
  <c r="BW62" i="48"/>
  <c r="BX61" i="48"/>
  <c r="BW61" i="48"/>
  <c r="BM61" i="48" s="1"/>
  <c r="BX60" i="48"/>
  <c r="BW60" i="48"/>
  <c r="BX59" i="48"/>
  <c r="BW59" i="48"/>
  <c r="BM59" i="48" s="1"/>
  <c r="BX58" i="48"/>
  <c r="BW58" i="48"/>
  <c r="BX57" i="48"/>
  <c r="BW57" i="48"/>
  <c r="BM57" i="48" s="1"/>
  <c r="BX56" i="48"/>
  <c r="BW56" i="48"/>
  <c r="BX55" i="48"/>
  <c r="BW55" i="48"/>
  <c r="BM55" i="48" s="1"/>
  <c r="BX54" i="48"/>
  <c r="BW54" i="48"/>
  <c r="BX53" i="48"/>
  <c r="BW53" i="48"/>
  <c r="BM53" i="48" s="1"/>
  <c r="BX50" i="48"/>
  <c r="BW50" i="48"/>
  <c r="BX49" i="48"/>
  <c r="BW49" i="48"/>
  <c r="BM49" i="48" s="1"/>
  <c r="BX48" i="48"/>
  <c r="BW48" i="48"/>
  <c r="BX47" i="48"/>
  <c r="BW47" i="48"/>
  <c r="BM47" i="48" s="1"/>
  <c r="BX46" i="48"/>
  <c r="BW46" i="48"/>
  <c r="BX45" i="48"/>
  <c r="BW45" i="48"/>
  <c r="BM45" i="48" s="1"/>
  <c r="BX44" i="48"/>
  <c r="BW44" i="48"/>
  <c r="BX43" i="48"/>
  <c r="BW43" i="48"/>
  <c r="BM43" i="48" s="1"/>
  <c r="BX42" i="48"/>
  <c r="BW42" i="48"/>
  <c r="BX41" i="48"/>
  <c r="BW41" i="48"/>
  <c r="BM41" i="48" s="1"/>
  <c r="BX40" i="48"/>
  <c r="BW40" i="48"/>
  <c r="BX39" i="48"/>
  <c r="BW39" i="48"/>
  <c r="BM39" i="48" s="1"/>
  <c r="BX38" i="48"/>
  <c r="BW38" i="48"/>
  <c r="BX37" i="48"/>
  <c r="BW37" i="48"/>
  <c r="BM37" i="48" s="1"/>
  <c r="BX36" i="48"/>
  <c r="BW36" i="48"/>
  <c r="BX35" i="48"/>
  <c r="BW35" i="48"/>
  <c r="BM35" i="48" s="1"/>
  <c r="BX34" i="48"/>
  <c r="BW34" i="48"/>
  <c r="BX33" i="48"/>
  <c r="BW33" i="48"/>
  <c r="BM33" i="48" s="1"/>
  <c r="BX32" i="48"/>
  <c r="BW32" i="48"/>
  <c r="BX31" i="48"/>
  <c r="BW31" i="48"/>
  <c r="BM31" i="48" s="1"/>
  <c r="BX30" i="48"/>
  <c r="BW30" i="48"/>
  <c r="BX29" i="48"/>
  <c r="BW29" i="48"/>
  <c r="BM29" i="48" s="1"/>
  <c r="BX28" i="48"/>
  <c r="BW28" i="48"/>
  <c r="BX25" i="48"/>
  <c r="BW25" i="48"/>
  <c r="BM25" i="48" s="1"/>
  <c r="BX24" i="48"/>
  <c r="BW24" i="48"/>
  <c r="BX23" i="48"/>
  <c r="BW23" i="48"/>
  <c r="BM23" i="48" s="1"/>
  <c r="BX22" i="48"/>
  <c r="BW22" i="48"/>
  <c r="BX21" i="48"/>
  <c r="BW21" i="48"/>
  <c r="BM21" i="48" s="1"/>
  <c r="BX20" i="48"/>
  <c r="BW20" i="48"/>
  <c r="BX19" i="48"/>
  <c r="BW19" i="48"/>
  <c r="BM19" i="48" s="1"/>
  <c r="BX18" i="48"/>
  <c r="BW18" i="48"/>
  <c r="BX17" i="48"/>
  <c r="BW17" i="48"/>
  <c r="BM17" i="48" s="1"/>
  <c r="BX16" i="48"/>
  <c r="BW16" i="48"/>
  <c r="BX15" i="48"/>
  <c r="BW15" i="48"/>
  <c r="BM15" i="48" s="1"/>
  <c r="BX14" i="48"/>
  <c r="BW14" i="48"/>
  <c r="BX13" i="48"/>
  <c r="BW13" i="48"/>
  <c r="BM13" i="48" s="1"/>
  <c r="BX12" i="48"/>
  <c r="BW12" i="48"/>
  <c r="BX11" i="48"/>
  <c r="BW11" i="48"/>
  <c r="BM11" i="48" s="1"/>
  <c r="BX10" i="48"/>
  <c r="BW10" i="48"/>
  <c r="BX9" i="48"/>
  <c r="BW9" i="48"/>
  <c r="BM9" i="48" s="1"/>
  <c r="BX8" i="48"/>
  <c r="BW8" i="48"/>
  <c r="BX7" i="48"/>
  <c r="BW7" i="48"/>
  <c r="BM7" i="48" s="1"/>
  <c r="BX6" i="48"/>
  <c r="BW6" i="48"/>
  <c r="BX5" i="48"/>
  <c r="BW5" i="48"/>
  <c r="BM5" i="48" s="1"/>
  <c r="BX4" i="48"/>
  <c r="BW4" i="48"/>
  <c r="BX3" i="48"/>
  <c r="BW3" i="48"/>
  <c r="BM3" i="48" s="1"/>
  <c r="BJ1328" i="48"/>
  <c r="BI1328" i="48"/>
  <c r="BJ1303" i="48"/>
  <c r="BI1303" i="48"/>
  <c r="BJ1278" i="48"/>
  <c r="BI1278" i="48"/>
  <c r="BJ1253" i="48"/>
  <c r="BI1253" i="48"/>
  <c r="BJ1228" i="48"/>
  <c r="BI1228" i="48"/>
  <c r="BJ1203" i="48"/>
  <c r="BI1203" i="48"/>
  <c r="BJ1178" i="48"/>
  <c r="BI1178" i="48"/>
  <c r="BJ1153" i="48"/>
  <c r="BI1153" i="48"/>
  <c r="BJ1128" i="48"/>
  <c r="BI1128" i="48"/>
  <c r="BJ1103" i="48"/>
  <c r="BI1103" i="48"/>
  <c r="BJ1078" i="48"/>
  <c r="BI1078" i="48"/>
  <c r="BJ1053" i="48"/>
  <c r="BI1053" i="48"/>
  <c r="BJ1028" i="48"/>
  <c r="BI1028" i="48"/>
  <c r="BJ1003" i="48"/>
  <c r="BI1003" i="48"/>
  <c r="BJ978" i="48"/>
  <c r="BI978" i="48"/>
  <c r="BJ953" i="48"/>
  <c r="BI953" i="48"/>
  <c r="BJ928" i="48"/>
  <c r="BI928" i="48"/>
  <c r="BJ903" i="48"/>
  <c r="BI903" i="48"/>
  <c r="BJ878" i="48"/>
  <c r="BI878" i="48"/>
  <c r="BJ853" i="48"/>
  <c r="BI853" i="48"/>
  <c r="BJ828" i="48"/>
  <c r="BI828" i="48"/>
  <c r="BJ803" i="48"/>
  <c r="BI803" i="48"/>
  <c r="BJ778" i="48"/>
  <c r="BI778" i="48"/>
  <c r="BJ753" i="48"/>
  <c r="BI753" i="48"/>
  <c r="BJ728" i="48"/>
  <c r="BI728" i="48"/>
  <c r="BJ703" i="48"/>
  <c r="BI703" i="48"/>
  <c r="BJ678" i="48"/>
  <c r="BI678" i="48"/>
  <c r="BJ653" i="48"/>
  <c r="BI653" i="48"/>
  <c r="BJ628" i="48"/>
  <c r="BI628" i="48"/>
  <c r="BJ603" i="48"/>
  <c r="BI603" i="48"/>
  <c r="BJ578" i="48"/>
  <c r="BI578" i="48"/>
  <c r="BJ553" i="48"/>
  <c r="BI553" i="48"/>
  <c r="BJ528" i="48"/>
  <c r="BI528" i="48"/>
  <c r="BJ503" i="48"/>
  <c r="BI503" i="48"/>
  <c r="BJ478" i="48"/>
  <c r="BI478" i="48"/>
  <c r="BJ453" i="48"/>
  <c r="BI453" i="48"/>
  <c r="BJ428" i="48"/>
  <c r="BI428" i="48"/>
  <c r="BJ403" i="48"/>
  <c r="BI403" i="48"/>
  <c r="BJ378" i="48"/>
  <c r="BI378" i="48"/>
  <c r="BJ353" i="48"/>
  <c r="BI353" i="48"/>
  <c r="BJ328" i="48"/>
  <c r="BI328" i="48"/>
  <c r="BJ303" i="48"/>
  <c r="BI303" i="48"/>
  <c r="BJ278" i="48"/>
  <c r="BI278" i="48"/>
  <c r="BJ253" i="48"/>
  <c r="BI253" i="48"/>
  <c r="BJ228" i="48"/>
  <c r="BI228" i="48"/>
  <c r="BJ203" i="48"/>
  <c r="BI203" i="48"/>
  <c r="BJ178" i="48"/>
  <c r="BI178" i="48"/>
  <c r="BJ153" i="48"/>
  <c r="BI153" i="48"/>
  <c r="BJ128" i="48"/>
  <c r="BI128" i="48"/>
  <c r="BJ103" i="48"/>
  <c r="BI103" i="48"/>
  <c r="BJ78" i="48"/>
  <c r="BI78" i="48"/>
  <c r="BJ53" i="48"/>
  <c r="BI53" i="48"/>
  <c r="BJ28" i="48"/>
  <c r="BI28" i="48"/>
  <c r="BJ3" i="48"/>
  <c r="BI3" i="48"/>
  <c r="BM27" i="48" l="1"/>
  <c r="BN27" i="48" s="1"/>
  <c r="BM1349" i="48"/>
  <c r="BM761" i="48"/>
  <c r="BM174" i="48"/>
  <c r="BM200" i="48"/>
  <c r="BM236" i="48"/>
  <c r="BM238" i="48"/>
  <c r="BM348" i="48"/>
  <c r="BM350" i="48"/>
  <c r="BM472" i="48"/>
  <c r="BM474" i="48"/>
  <c r="BM732" i="48"/>
  <c r="BM734" i="48"/>
  <c r="BM736" i="48"/>
  <c r="BM738" i="48"/>
  <c r="BM740" i="48"/>
  <c r="BM742" i="48"/>
  <c r="BM744" i="48"/>
  <c r="BM746" i="48"/>
  <c r="BM748" i="48"/>
  <c r="BM750" i="48"/>
  <c r="BM754" i="48"/>
  <c r="BM756" i="48"/>
  <c r="BM792" i="48"/>
  <c r="BM794" i="48"/>
  <c r="BM796" i="48"/>
  <c r="BM798" i="48"/>
  <c r="BM800" i="48"/>
  <c r="BM816" i="48"/>
  <c r="BM822" i="48"/>
  <c r="BM824" i="48"/>
  <c r="BM828" i="48"/>
  <c r="BM830" i="48"/>
  <c r="BM832" i="48"/>
  <c r="BM834" i="48"/>
  <c r="BM836" i="48"/>
  <c r="BM838" i="48"/>
  <c r="BM840" i="48"/>
  <c r="BM842" i="48"/>
  <c r="BM844" i="48"/>
  <c r="BM846" i="48"/>
  <c r="BM848" i="48"/>
  <c r="BM850" i="48"/>
  <c r="BM854" i="48"/>
  <c r="BM856" i="48"/>
  <c r="BM858" i="48"/>
  <c r="BM860" i="48"/>
  <c r="BM862" i="48"/>
  <c r="BM866" i="48"/>
  <c r="BM868" i="48"/>
  <c r="BM872" i="48"/>
  <c r="BM874" i="48"/>
  <c r="BM922" i="48"/>
  <c r="BM924" i="48"/>
  <c r="BM974" i="48"/>
  <c r="BM988" i="48"/>
  <c r="BM990" i="48"/>
  <c r="BM992" i="48"/>
  <c r="BM994" i="48"/>
  <c r="BM996" i="48"/>
  <c r="BM998" i="48"/>
  <c r="BM1000" i="48"/>
  <c r="BM1004" i="48"/>
  <c r="BM1006" i="48"/>
  <c r="BM1010" i="48"/>
  <c r="BM1012" i="48"/>
  <c r="BM1014" i="48"/>
  <c r="BM1016" i="48"/>
  <c r="BM1018" i="48"/>
  <c r="BM1020" i="48"/>
  <c r="BM1022" i="48"/>
  <c r="BM1024" i="48"/>
  <c r="BM1028" i="48"/>
  <c r="BM1030" i="48"/>
  <c r="BM1032" i="48"/>
  <c r="BM1034" i="48"/>
  <c r="BM1036" i="48"/>
  <c r="BM1038" i="48"/>
  <c r="BM1040" i="48"/>
  <c r="BM1042" i="48"/>
  <c r="BM1044" i="48"/>
  <c r="BM1046" i="48"/>
  <c r="BM1048" i="48"/>
  <c r="BM1056" i="48"/>
  <c r="BM1058" i="48"/>
  <c r="BM1224" i="48"/>
  <c r="BM1250" i="48"/>
  <c r="BM1272" i="48"/>
  <c r="BM1278" i="48"/>
  <c r="BM1280" i="48"/>
  <c r="BM1282" i="48"/>
  <c r="BM1286" i="48"/>
  <c r="BM1294" i="48"/>
  <c r="BM4" i="48"/>
  <c r="BM6" i="48"/>
  <c r="BM8" i="48"/>
  <c r="BM10" i="48"/>
  <c r="BM12" i="48"/>
  <c r="BM14" i="48"/>
  <c r="BM16" i="48"/>
  <c r="BM18" i="48"/>
  <c r="BM20" i="48"/>
  <c r="BM22" i="48"/>
  <c r="BM24" i="48"/>
  <c r="BM28" i="48"/>
  <c r="BM30" i="48"/>
  <c r="BM32" i="48"/>
  <c r="BM34" i="48"/>
  <c r="BM36" i="48"/>
  <c r="BM38" i="48"/>
  <c r="BM40" i="48"/>
  <c r="BM42" i="48"/>
  <c r="BM44" i="48"/>
  <c r="BM46" i="48"/>
  <c r="BM48" i="48"/>
  <c r="BM50" i="48"/>
  <c r="BM54" i="48"/>
  <c r="BM56" i="48"/>
  <c r="BM58" i="48"/>
  <c r="BM60" i="48"/>
  <c r="BM62" i="48"/>
  <c r="BM64" i="48"/>
  <c r="BM66" i="48"/>
  <c r="BM68" i="48"/>
  <c r="BM70" i="48"/>
  <c r="BM72" i="48"/>
  <c r="BM74" i="48"/>
  <c r="BM78" i="48"/>
  <c r="BM80" i="48"/>
  <c r="BM82" i="48"/>
  <c r="BM84" i="48"/>
  <c r="BM86" i="48"/>
  <c r="BM88" i="48"/>
  <c r="BM90" i="48"/>
  <c r="BM92" i="48"/>
  <c r="BM94" i="48"/>
  <c r="BM96" i="48"/>
  <c r="BM98" i="48"/>
  <c r="BM100" i="48"/>
  <c r="BM104" i="48"/>
  <c r="BM106" i="48"/>
  <c r="BM108" i="48"/>
  <c r="BM110" i="48"/>
  <c r="BM112" i="48"/>
  <c r="BM114" i="48"/>
  <c r="BM116" i="48"/>
  <c r="BM118" i="48"/>
  <c r="BM120" i="48"/>
  <c r="BM122" i="48"/>
  <c r="BM124" i="48"/>
  <c r="BM128" i="48"/>
  <c r="BM130" i="48"/>
  <c r="BM132" i="48"/>
  <c r="BM134" i="48"/>
  <c r="BM136" i="48"/>
  <c r="BM138" i="48"/>
  <c r="BM140" i="48"/>
  <c r="BM142" i="48"/>
  <c r="BM144" i="48"/>
  <c r="BM146" i="48"/>
  <c r="BM148" i="48"/>
  <c r="BM150" i="48"/>
  <c r="BM154" i="48"/>
  <c r="BM156" i="48"/>
  <c r="BM158" i="48"/>
  <c r="BM160" i="48"/>
  <c r="BM162" i="48"/>
  <c r="BM164" i="48"/>
  <c r="BM166" i="48"/>
  <c r="BM168" i="48"/>
  <c r="BM170" i="48"/>
  <c r="BM172" i="48"/>
  <c r="BM178" i="48"/>
  <c r="BM180" i="48"/>
  <c r="BM182" i="48"/>
  <c r="BM184" i="48"/>
  <c r="BM186" i="48"/>
  <c r="BM188" i="48"/>
  <c r="BM190" i="48"/>
  <c r="BM192" i="48"/>
  <c r="BM194" i="48"/>
  <c r="BM196" i="48"/>
  <c r="BM198" i="48"/>
  <c r="BM204" i="48"/>
  <c r="BM206" i="48"/>
  <c r="BM208" i="48"/>
  <c r="BM210" i="48"/>
  <c r="BM212" i="48"/>
  <c r="BM214" i="48"/>
  <c r="BM216" i="48"/>
  <c r="BM218" i="48"/>
  <c r="BM220" i="48"/>
  <c r="BM222" i="48"/>
  <c r="BM224" i="48"/>
  <c r="BM228" i="48"/>
  <c r="BM230" i="48"/>
  <c r="BM232" i="48"/>
  <c r="BM234" i="48"/>
  <c r="BM240" i="48"/>
  <c r="BM242" i="48"/>
  <c r="BM244" i="48"/>
  <c r="BM246" i="48"/>
  <c r="BM248" i="48"/>
  <c r="BM254" i="48"/>
  <c r="BM256" i="48"/>
  <c r="BM258" i="48"/>
  <c r="BM260" i="48"/>
  <c r="BM262" i="48"/>
  <c r="BM264" i="48"/>
  <c r="BM266" i="48"/>
  <c r="BM268" i="48"/>
  <c r="BM270" i="48"/>
  <c r="BM272" i="48"/>
  <c r="BM274" i="48"/>
  <c r="BM278" i="48"/>
  <c r="BM280" i="48"/>
  <c r="BM282" i="48"/>
  <c r="BM284" i="48"/>
  <c r="BM286" i="48"/>
  <c r="BM288" i="48"/>
  <c r="BM290" i="48"/>
  <c r="BM292" i="48"/>
  <c r="BM294" i="48"/>
  <c r="BM296" i="48"/>
  <c r="BM298" i="48"/>
  <c r="BM300" i="48"/>
  <c r="BM304" i="48"/>
  <c r="BM306" i="48"/>
  <c r="BM308" i="48"/>
  <c r="BM310" i="48"/>
  <c r="BM312" i="48"/>
  <c r="BM314" i="48"/>
  <c r="BM316" i="48"/>
  <c r="BM318" i="48"/>
  <c r="BM320" i="48"/>
  <c r="BM322" i="48"/>
  <c r="BM324" i="48"/>
  <c r="BM328" i="48"/>
  <c r="BM330" i="48"/>
  <c r="BM332" i="48"/>
  <c r="BM334" i="48"/>
  <c r="BM336" i="48"/>
  <c r="BM338" i="48"/>
  <c r="BM340" i="48"/>
  <c r="BM342" i="48"/>
  <c r="BM344" i="48"/>
  <c r="BM346" i="48"/>
  <c r="BM354" i="48"/>
  <c r="BM356" i="48"/>
  <c r="BM358" i="48"/>
  <c r="BM360" i="48"/>
  <c r="BM362" i="48"/>
  <c r="BM364" i="48"/>
  <c r="BM366" i="48"/>
  <c r="BM368" i="48"/>
  <c r="BM370" i="48"/>
  <c r="BM372" i="48"/>
  <c r="BM374" i="48"/>
  <c r="BM378" i="48"/>
  <c r="BM380" i="48"/>
  <c r="BM382" i="48"/>
  <c r="BM384" i="48"/>
  <c r="BM386" i="48"/>
  <c r="BM388" i="48"/>
  <c r="BM390" i="48"/>
  <c r="BM392" i="48"/>
  <c r="BM394" i="48"/>
  <c r="BM396" i="48"/>
  <c r="BM398" i="48"/>
  <c r="BM400" i="48"/>
  <c r="BM404" i="48"/>
  <c r="BM406" i="48"/>
  <c r="BM408" i="48"/>
  <c r="BM410" i="48"/>
  <c r="BM412" i="48"/>
  <c r="BM414" i="48"/>
  <c r="BM416" i="48"/>
  <c r="BM418" i="48"/>
  <c r="BM420" i="48"/>
  <c r="BM422" i="48"/>
  <c r="BM424" i="48"/>
  <c r="BM428" i="48"/>
  <c r="BM430" i="48"/>
  <c r="BM432" i="48"/>
  <c r="BM434" i="48"/>
  <c r="BM436" i="48"/>
  <c r="BM438" i="48"/>
  <c r="BM440" i="48"/>
  <c r="BM442" i="48"/>
  <c r="BM444" i="48"/>
  <c r="BM446" i="48"/>
  <c r="BM448" i="48"/>
  <c r="BM450" i="48"/>
  <c r="BM454" i="48"/>
  <c r="BM456" i="48"/>
  <c r="BM458" i="48"/>
  <c r="BM460" i="48"/>
  <c r="BM462" i="48"/>
  <c r="BM464" i="48"/>
  <c r="BM466" i="48"/>
  <c r="BM468" i="48"/>
  <c r="BM470" i="48"/>
  <c r="BM478" i="48"/>
  <c r="BM480" i="48"/>
  <c r="BM482" i="48"/>
  <c r="BM484" i="48"/>
  <c r="BM486" i="48"/>
  <c r="BM488" i="48"/>
  <c r="BM490" i="48"/>
  <c r="BM492" i="48"/>
  <c r="BM494" i="48"/>
  <c r="BM496" i="48"/>
  <c r="BM498" i="48"/>
  <c r="BM500" i="48"/>
  <c r="BM504" i="48"/>
  <c r="BM506" i="48"/>
  <c r="BM508" i="48"/>
  <c r="BM510" i="48"/>
  <c r="BM512" i="48"/>
  <c r="BM514" i="48"/>
  <c r="BM516" i="48"/>
  <c r="BM518" i="48"/>
  <c r="BM520" i="48"/>
  <c r="BM522" i="48"/>
  <c r="BM524" i="48"/>
  <c r="BM528" i="48"/>
  <c r="BM530" i="48"/>
  <c r="BM532" i="48"/>
  <c r="BM534" i="48"/>
  <c r="BM536" i="48"/>
  <c r="BM538" i="48"/>
  <c r="BM540" i="48"/>
  <c r="BM542" i="48"/>
  <c r="BM544" i="48"/>
  <c r="BM546" i="48"/>
  <c r="BM548" i="48"/>
  <c r="BM550" i="48"/>
  <c r="BM554" i="48"/>
  <c r="BM556" i="48"/>
  <c r="BM558" i="48"/>
  <c r="BM560" i="48"/>
  <c r="BM562" i="48"/>
  <c r="BM564" i="48"/>
  <c r="BM566" i="48"/>
  <c r="BM568" i="48"/>
  <c r="BM570" i="48"/>
  <c r="BM572" i="48"/>
  <c r="BM574" i="48"/>
  <c r="BM578" i="48"/>
  <c r="BM580" i="48"/>
  <c r="BM582" i="48"/>
  <c r="BM584" i="48"/>
  <c r="BM586" i="48"/>
  <c r="BM588" i="48"/>
  <c r="BM590" i="48"/>
  <c r="BM592" i="48"/>
  <c r="BM594" i="48"/>
  <c r="BM596" i="48"/>
  <c r="BM598" i="48"/>
  <c r="BM600" i="48"/>
  <c r="BM604" i="48"/>
  <c r="BM606" i="48"/>
  <c r="BM608" i="48"/>
  <c r="BM610" i="48"/>
  <c r="BM612" i="48"/>
  <c r="BM614" i="48"/>
  <c r="BM616" i="48"/>
  <c r="BM618" i="48"/>
  <c r="BM620" i="48"/>
  <c r="BM622" i="48"/>
  <c r="BM624" i="48"/>
  <c r="BM628" i="48"/>
  <c r="BM630" i="48"/>
  <c r="BM632" i="48"/>
  <c r="BM634" i="48"/>
  <c r="BM636" i="48"/>
  <c r="BM638" i="48"/>
  <c r="BM640" i="48"/>
  <c r="BM642" i="48"/>
  <c r="BM644" i="48"/>
  <c r="BM646" i="48"/>
  <c r="BM648" i="48"/>
  <c r="BM650" i="48"/>
  <c r="BM654" i="48"/>
  <c r="BM656" i="48"/>
  <c r="BM658" i="48"/>
  <c r="BM660" i="48"/>
  <c r="BM662" i="48"/>
  <c r="BM664" i="48"/>
  <c r="BM666" i="48"/>
  <c r="BM668" i="48"/>
  <c r="BM670" i="48"/>
  <c r="BM672" i="48"/>
  <c r="BM674" i="48"/>
  <c r="BM678" i="48"/>
  <c r="BM680" i="48"/>
  <c r="BM682" i="48"/>
  <c r="BM684" i="48"/>
  <c r="BM686" i="48"/>
  <c r="BM688" i="48"/>
  <c r="BM690" i="48"/>
  <c r="BM692" i="48"/>
  <c r="BM694" i="48"/>
  <c r="BM696" i="48"/>
  <c r="BM698" i="48"/>
  <c r="BM700" i="48"/>
  <c r="BM704" i="48"/>
  <c r="BM706" i="48"/>
  <c r="BM708" i="48"/>
  <c r="BM710" i="48"/>
  <c r="BM712" i="48"/>
  <c r="BM714" i="48"/>
  <c r="BM716" i="48"/>
  <c r="BM718" i="48"/>
  <c r="BM720" i="48"/>
  <c r="BM722" i="48"/>
  <c r="BM724" i="48"/>
  <c r="BM728" i="48"/>
  <c r="BM730" i="48"/>
  <c r="BM758" i="48"/>
  <c r="BM760" i="48"/>
  <c r="BM762" i="48"/>
  <c r="BM764" i="48"/>
  <c r="BM766" i="48"/>
  <c r="BM768" i="48"/>
  <c r="BM770" i="48"/>
  <c r="BM772" i="48"/>
  <c r="BM774" i="48"/>
  <c r="BM778" i="48"/>
  <c r="BM780" i="48"/>
  <c r="BM782" i="48"/>
  <c r="BM784" i="48"/>
  <c r="BM786" i="48"/>
  <c r="BM788" i="48"/>
  <c r="BM790" i="48"/>
  <c r="BM804" i="48"/>
  <c r="BM806" i="48"/>
  <c r="BM808" i="48"/>
  <c r="BM810" i="48"/>
  <c r="BM812" i="48"/>
  <c r="BM814" i="48"/>
  <c r="BM818" i="48"/>
  <c r="BM820" i="48"/>
  <c r="BM864" i="48"/>
  <c r="BM870" i="48"/>
  <c r="BM878" i="48"/>
  <c r="BM880" i="48"/>
  <c r="BM882" i="48"/>
  <c r="BM884" i="48"/>
  <c r="BM886" i="48"/>
  <c r="BM888" i="48"/>
  <c r="BM890" i="48"/>
  <c r="BM892" i="48"/>
  <c r="BM894" i="48"/>
  <c r="BM896" i="48"/>
  <c r="BM898" i="48"/>
  <c r="BM900" i="48"/>
  <c r="BM904" i="48"/>
  <c r="BM906" i="48"/>
  <c r="BM908" i="48"/>
  <c r="BM910" i="48"/>
  <c r="BM912" i="48"/>
  <c r="BM914" i="48"/>
  <c r="BM916" i="48"/>
  <c r="BM918" i="48"/>
  <c r="BM920" i="48"/>
  <c r="BM928" i="48"/>
  <c r="BM930" i="48"/>
  <c r="BM932" i="48"/>
  <c r="BM934" i="48"/>
  <c r="BM936" i="48"/>
  <c r="BM938" i="48"/>
  <c r="BM940" i="48"/>
  <c r="BM942" i="48"/>
  <c r="BM944" i="48"/>
  <c r="BM946" i="48"/>
  <c r="BM948" i="48"/>
  <c r="BM954" i="48"/>
  <c r="BM956" i="48"/>
  <c r="BM958" i="48"/>
  <c r="BM960" i="48"/>
  <c r="BM962" i="48"/>
  <c r="BM964" i="48"/>
  <c r="BM966" i="48"/>
  <c r="BM968" i="48"/>
  <c r="BM970" i="48"/>
  <c r="BM972" i="48"/>
  <c r="BM978" i="48"/>
  <c r="BM980" i="48"/>
  <c r="BM982" i="48"/>
  <c r="BM984" i="48"/>
  <c r="BM986" i="48"/>
  <c r="BM1054" i="48"/>
  <c r="BM1060" i="48"/>
  <c r="BM1062" i="48"/>
  <c r="BM1064" i="48"/>
  <c r="BM1066" i="48"/>
  <c r="BM1068" i="48"/>
  <c r="BM1070" i="48"/>
  <c r="BM1072" i="48"/>
  <c r="BM1074" i="48"/>
  <c r="BM1080" i="48"/>
  <c r="BM1082" i="48"/>
  <c r="BM1084" i="48"/>
  <c r="BM1086" i="48"/>
  <c r="BM1088" i="48"/>
  <c r="BM1090" i="48"/>
  <c r="BM1092" i="48"/>
  <c r="BM1094" i="48"/>
  <c r="BM1096" i="48"/>
  <c r="BM1098" i="48"/>
  <c r="BM1100" i="48"/>
  <c r="BM1104" i="48"/>
  <c r="BM1106" i="48"/>
  <c r="BM1108" i="48"/>
  <c r="BM1110" i="48"/>
  <c r="BM1112" i="48"/>
  <c r="BM1114" i="48"/>
  <c r="BM1116" i="48"/>
  <c r="BM1118" i="48"/>
  <c r="BM1120" i="48"/>
  <c r="BM1122" i="48"/>
  <c r="BM1124" i="48"/>
  <c r="BN1124" i="48" s="1"/>
  <c r="BM1128" i="48"/>
  <c r="BM1130" i="48"/>
  <c r="BM1132" i="48"/>
  <c r="BM1134" i="48"/>
  <c r="BM1136" i="48"/>
  <c r="BM1138" i="48"/>
  <c r="BM1140" i="48"/>
  <c r="BM1142" i="48"/>
  <c r="BM1144" i="48"/>
  <c r="BM1146" i="48"/>
  <c r="BM1148" i="48"/>
  <c r="BM1150" i="48"/>
  <c r="BM1154" i="48"/>
  <c r="BM1156" i="48"/>
  <c r="BM1158" i="48"/>
  <c r="BM1160" i="48"/>
  <c r="BM1162" i="48"/>
  <c r="BM1164" i="48"/>
  <c r="BM1166" i="48"/>
  <c r="BM1168" i="48"/>
  <c r="BM1170" i="48"/>
  <c r="BM1172" i="48"/>
  <c r="BN1172" i="48" s="1"/>
  <c r="BM1174" i="48"/>
  <c r="BM1178" i="48"/>
  <c r="BM1180" i="48"/>
  <c r="BM1182" i="48"/>
  <c r="BM1184" i="48"/>
  <c r="BM1186" i="48"/>
  <c r="BM1188" i="48"/>
  <c r="BM1190" i="48"/>
  <c r="BM1192" i="48"/>
  <c r="BM1194" i="48"/>
  <c r="BM1196" i="48"/>
  <c r="BM1198" i="48"/>
  <c r="BM1200" i="48"/>
  <c r="BM1204" i="48"/>
  <c r="BM1206" i="48"/>
  <c r="BM1208" i="48"/>
  <c r="BM1210" i="48"/>
  <c r="BM1212" i="48"/>
  <c r="BM1214" i="48"/>
  <c r="BM1216" i="48"/>
  <c r="BM1218" i="48"/>
  <c r="BM1220" i="48"/>
  <c r="BM1222" i="48"/>
  <c r="BM1228" i="48"/>
  <c r="BM1230" i="48"/>
  <c r="BM1232" i="48"/>
  <c r="BM1234" i="48"/>
  <c r="BM1236" i="48"/>
  <c r="BM1238" i="48"/>
  <c r="BM1240" i="48"/>
  <c r="BM1242" i="48"/>
  <c r="BM1244" i="48"/>
  <c r="BM1246" i="48"/>
  <c r="BM1248" i="48"/>
  <c r="BM1254" i="48"/>
  <c r="BM1256" i="48"/>
  <c r="BM1258" i="48"/>
  <c r="BM1260" i="48"/>
  <c r="BM1262" i="48"/>
  <c r="BM1264" i="48"/>
  <c r="BM1266" i="48"/>
  <c r="BM1268" i="48"/>
  <c r="BM1270" i="48"/>
  <c r="BM1284" i="48"/>
  <c r="CB3" i="48"/>
  <c r="CD3" i="48" s="1"/>
  <c r="CB53" i="48"/>
  <c r="CD53" i="48" s="1"/>
  <c r="CE53" i="48" s="1"/>
  <c r="CB103" i="48"/>
  <c r="CD103" i="48" s="1"/>
  <c r="CE103" i="48" s="1"/>
  <c r="CB203" i="48"/>
  <c r="CD203" i="48" s="1"/>
  <c r="CE203" i="48" s="1"/>
  <c r="CD253" i="48"/>
  <c r="CE253" i="48" s="1"/>
  <c r="CI253" i="48" s="1"/>
  <c r="W254" i="48" s="1"/>
  <c r="CB303" i="48"/>
  <c r="CD303" i="48" s="1"/>
  <c r="CE303" i="48" s="1"/>
  <c r="CB353" i="48"/>
  <c r="CD353" i="48" s="1"/>
  <c r="CE353" i="48" s="1"/>
  <c r="CB403" i="48"/>
  <c r="CD403" i="48" s="1"/>
  <c r="CE403" i="48" s="1"/>
  <c r="CB453" i="48"/>
  <c r="CD453" i="48" s="1"/>
  <c r="CE453" i="48" s="1"/>
  <c r="CB503" i="48"/>
  <c r="CD503" i="48" s="1"/>
  <c r="CE503" i="48" s="1"/>
  <c r="CB553" i="48"/>
  <c r="CD553" i="48" s="1"/>
  <c r="CE553" i="48" s="1"/>
  <c r="CB603" i="48"/>
  <c r="CD603" i="48" s="1"/>
  <c r="CE603" i="48" s="1"/>
  <c r="CB653" i="48"/>
  <c r="CD653" i="48" s="1"/>
  <c r="CE653" i="48" s="1"/>
  <c r="CB703" i="48"/>
  <c r="CD703" i="48" s="1"/>
  <c r="CE703" i="48" s="1"/>
  <c r="CB753" i="48"/>
  <c r="CD753" i="48" s="1"/>
  <c r="CE753" i="48" s="1"/>
  <c r="CB803" i="48"/>
  <c r="CD803" i="48" s="1"/>
  <c r="CE803" i="48" s="1"/>
  <c r="CB853" i="48"/>
  <c r="CD853" i="48" s="1"/>
  <c r="CE853" i="48" s="1"/>
  <c r="CB903" i="48"/>
  <c r="CD903" i="48" s="1"/>
  <c r="CE903" i="48" s="1"/>
  <c r="CB953" i="48"/>
  <c r="CD953" i="48" s="1"/>
  <c r="CE953" i="48" s="1"/>
  <c r="CB1003" i="48"/>
  <c r="CD1003" i="48" s="1"/>
  <c r="CE1003" i="48" s="1"/>
  <c r="CB1053" i="48"/>
  <c r="CD1053" i="48" s="1"/>
  <c r="CE1053" i="48" s="1"/>
  <c r="CB1103" i="48"/>
  <c r="CD1103" i="48" s="1"/>
  <c r="CE1103" i="48" s="1"/>
  <c r="CB1153" i="48"/>
  <c r="CD1153" i="48" s="1"/>
  <c r="CE1153" i="48" s="1"/>
  <c r="CB1203" i="48"/>
  <c r="CD1203" i="48" s="1"/>
  <c r="CE1203" i="48" s="1"/>
  <c r="CB1253" i="48"/>
  <c r="CD1253" i="48" s="1"/>
  <c r="CE1253" i="48" s="1"/>
  <c r="CB1303" i="48"/>
  <c r="CD1303" i="48" s="1"/>
  <c r="CE1303" i="48" s="1"/>
  <c r="CB153" i="48"/>
  <c r="CD153" i="48" s="1"/>
  <c r="CE153" i="48" s="1"/>
  <c r="CB28" i="48"/>
  <c r="CD28" i="48" s="1"/>
  <c r="CE28" i="48" s="1"/>
  <c r="CI28" i="48" s="1"/>
  <c r="CB78" i="48"/>
  <c r="CD78" i="48" s="1"/>
  <c r="CE78" i="48" s="1"/>
  <c r="CB128" i="48"/>
  <c r="CD128" i="48" s="1"/>
  <c r="CE128" i="48" s="1"/>
  <c r="CB178" i="48"/>
  <c r="CD178" i="48" s="1"/>
  <c r="CE178" i="48" s="1"/>
  <c r="CB228" i="48"/>
  <c r="CD228" i="48" s="1"/>
  <c r="CE228" i="48" s="1"/>
  <c r="CB278" i="48"/>
  <c r="CD278" i="48" s="1"/>
  <c r="CE278" i="48" s="1"/>
  <c r="CB328" i="48"/>
  <c r="CD328" i="48" s="1"/>
  <c r="CE328" i="48" s="1"/>
  <c r="CB378" i="48"/>
  <c r="CD378" i="48" s="1"/>
  <c r="CE378" i="48" s="1"/>
  <c r="CB428" i="48"/>
  <c r="CD428" i="48" s="1"/>
  <c r="CE428" i="48" s="1"/>
  <c r="CB478" i="48"/>
  <c r="CD478" i="48" s="1"/>
  <c r="CE478" i="48" s="1"/>
  <c r="CB528" i="48"/>
  <c r="CD528" i="48" s="1"/>
  <c r="CE528" i="48" s="1"/>
  <c r="CB578" i="48"/>
  <c r="CD578" i="48" s="1"/>
  <c r="CE578" i="48" s="1"/>
  <c r="CB628" i="48"/>
  <c r="CD628" i="48" s="1"/>
  <c r="CE628" i="48" s="1"/>
  <c r="CB678" i="48"/>
  <c r="CD678" i="48" s="1"/>
  <c r="CE678" i="48" s="1"/>
  <c r="CB728" i="48"/>
  <c r="CD728" i="48" s="1"/>
  <c r="CE728" i="48" s="1"/>
  <c r="CB778" i="48"/>
  <c r="CD778" i="48" s="1"/>
  <c r="CE778" i="48" s="1"/>
  <c r="CB828" i="48"/>
  <c r="CD828" i="48" s="1"/>
  <c r="CE828" i="48" s="1"/>
  <c r="CB878" i="48"/>
  <c r="CD878" i="48" s="1"/>
  <c r="CE878" i="48" s="1"/>
  <c r="CB928" i="48"/>
  <c r="CD928" i="48" s="1"/>
  <c r="CE928" i="48" s="1"/>
  <c r="CB978" i="48"/>
  <c r="CD978" i="48" s="1"/>
  <c r="CE978" i="48" s="1"/>
  <c r="CB1028" i="48"/>
  <c r="CD1028" i="48" s="1"/>
  <c r="CE1028" i="48" s="1"/>
  <c r="CB1078" i="48"/>
  <c r="CD1078" i="48" s="1"/>
  <c r="CE1078" i="48" s="1"/>
  <c r="CB1128" i="48"/>
  <c r="CD1128" i="48" s="1"/>
  <c r="CE1128" i="48" s="1"/>
  <c r="CB1178" i="48"/>
  <c r="CD1178" i="48" s="1"/>
  <c r="CE1178" i="48" s="1"/>
  <c r="CB1228" i="48"/>
  <c r="CD1228" i="48" s="1"/>
  <c r="CE1228" i="48" s="1"/>
  <c r="CB1278" i="48"/>
  <c r="CD1278" i="48" s="1"/>
  <c r="CE1278" i="48" s="1"/>
  <c r="BY78" i="48"/>
  <c r="CQ10" i="22"/>
  <c r="CP10" i="22"/>
  <c r="CO10" i="22"/>
  <c r="CN10" i="22"/>
  <c r="CM10" i="22"/>
  <c r="CL10" i="22"/>
  <c r="CK10" i="22"/>
  <c r="CJ10" i="22"/>
  <c r="CI10" i="22"/>
  <c r="CH10" i="22"/>
  <c r="CG10" i="22"/>
  <c r="CF10" i="22"/>
  <c r="CE10" i="22"/>
  <c r="CD10" i="22"/>
  <c r="CC10" i="22"/>
  <c r="CB10" i="22"/>
  <c r="CA10" i="22"/>
  <c r="BZ10" i="22"/>
  <c r="BY10" i="22"/>
  <c r="BX10" i="22"/>
  <c r="BW10" i="22"/>
  <c r="BV10" i="22"/>
  <c r="BU10" i="22"/>
  <c r="BT10" i="22"/>
  <c r="BS10" i="22"/>
  <c r="BR10" i="22"/>
  <c r="BQ10" i="22"/>
  <c r="BP10" i="22"/>
  <c r="BO10" i="22"/>
  <c r="BN10" i="22"/>
  <c r="BM10" i="22"/>
  <c r="BL10" i="22"/>
  <c r="BK10" i="22"/>
  <c r="BJ10" i="22"/>
  <c r="BI10" i="22"/>
  <c r="BH10" i="22"/>
  <c r="BG10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CX4" i="48"/>
  <c r="CS4" i="48" s="1"/>
  <c r="CX5" i="48"/>
  <c r="CS5" i="48" s="1"/>
  <c r="CX6" i="48"/>
  <c r="CS6" i="48" s="1"/>
  <c r="CX7" i="48"/>
  <c r="CS7" i="48" s="1"/>
  <c r="CX8" i="48"/>
  <c r="CS8" i="48" s="1"/>
  <c r="CX9" i="48"/>
  <c r="CS9" i="48" s="1"/>
  <c r="CX10" i="48"/>
  <c r="CS10" i="48" s="1"/>
  <c r="CX11" i="48"/>
  <c r="CS11" i="48" s="1"/>
  <c r="CX12" i="48"/>
  <c r="CS12" i="48" s="1"/>
  <c r="CX13" i="48"/>
  <c r="CS13" i="48" s="1"/>
  <c r="CX14" i="48"/>
  <c r="CS14" i="48" s="1"/>
  <c r="CX15" i="48"/>
  <c r="CS15" i="48" s="1"/>
  <c r="CX16" i="48"/>
  <c r="CS16" i="48" s="1"/>
  <c r="CX17" i="48"/>
  <c r="CS17" i="48" s="1"/>
  <c r="CX18" i="48"/>
  <c r="CS18" i="48" s="1"/>
  <c r="CX19" i="48"/>
  <c r="CS19" i="48" s="1"/>
  <c r="CX20" i="48"/>
  <c r="CS20" i="48" s="1"/>
  <c r="CX21" i="48"/>
  <c r="CS21" i="48" s="1"/>
  <c r="CX22" i="48"/>
  <c r="CS22" i="48" s="1"/>
  <c r="CX23" i="48"/>
  <c r="CS23" i="48" s="1"/>
  <c r="CX24" i="48"/>
  <c r="CS24" i="48" s="1"/>
  <c r="CX25" i="48"/>
  <c r="CX28" i="48"/>
  <c r="CX29" i="48"/>
  <c r="CS29" i="48" s="1"/>
  <c r="CX30" i="48"/>
  <c r="CS30" i="48" s="1"/>
  <c r="CX31" i="48"/>
  <c r="CS31" i="48" s="1"/>
  <c r="CX32" i="48"/>
  <c r="CS32" i="48" s="1"/>
  <c r="CX33" i="48"/>
  <c r="CS33" i="48" s="1"/>
  <c r="CX34" i="48"/>
  <c r="CS34" i="48" s="1"/>
  <c r="CX35" i="48"/>
  <c r="CS35" i="48" s="1"/>
  <c r="CX36" i="48"/>
  <c r="CS36" i="48" s="1"/>
  <c r="CX37" i="48"/>
  <c r="CS37" i="48" s="1"/>
  <c r="CX38" i="48"/>
  <c r="CS38" i="48" s="1"/>
  <c r="CX39" i="48"/>
  <c r="CS39" i="48" s="1"/>
  <c r="CX40" i="48"/>
  <c r="CS40" i="48" s="1"/>
  <c r="CX41" i="48"/>
  <c r="CS41" i="48" s="1"/>
  <c r="CX42" i="48"/>
  <c r="CS42" i="48" s="1"/>
  <c r="CX43" i="48"/>
  <c r="CS43" i="48" s="1"/>
  <c r="CX44" i="48"/>
  <c r="CS44" i="48" s="1"/>
  <c r="CX45" i="48"/>
  <c r="CS45" i="48" s="1"/>
  <c r="CX46" i="48"/>
  <c r="CS46" i="48" s="1"/>
  <c r="CX47" i="48"/>
  <c r="CS47" i="48" s="1"/>
  <c r="CX48" i="48"/>
  <c r="CS48" i="48" s="1"/>
  <c r="CX49" i="48"/>
  <c r="CS49" i="48" s="1"/>
  <c r="CX50" i="48"/>
  <c r="CX53" i="48"/>
  <c r="CX54" i="48"/>
  <c r="CS54" i="48" s="1"/>
  <c r="CX55" i="48"/>
  <c r="CS55" i="48" s="1"/>
  <c r="CX56" i="48"/>
  <c r="CS56" i="48" s="1"/>
  <c r="CX57" i="48"/>
  <c r="CS57" i="48" s="1"/>
  <c r="CX58" i="48"/>
  <c r="CS58" i="48" s="1"/>
  <c r="CX59" i="48"/>
  <c r="CS59" i="48" s="1"/>
  <c r="CX60" i="48"/>
  <c r="CS60" i="48" s="1"/>
  <c r="CX61" i="48"/>
  <c r="CS61" i="48" s="1"/>
  <c r="CX62" i="48"/>
  <c r="CS62" i="48" s="1"/>
  <c r="CX63" i="48"/>
  <c r="CS63" i="48" s="1"/>
  <c r="CX64" i="48"/>
  <c r="CS64" i="48" s="1"/>
  <c r="CX65" i="48"/>
  <c r="CS65" i="48" s="1"/>
  <c r="CX66" i="48"/>
  <c r="CS66" i="48" s="1"/>
  <c r="CX67" i="48"/>
  <c r="CS67" i="48" s="1"/>
  <c r="CX68" i="48"/>
  <c r="CS68" i="48" s="1"/>
  <c r="CX69" i="48"/>
  <c r="CS69" i="48" s="1"/>
  <c r="CX70" i="48"/>
  <c r="CS70" i="48" s="1"/>
  <c r="CX71" i="48"/>
  <c r="CS71" i="48" s="1"/>
  <c r="CX72" i="48"/>
  <c r="CS72" i="48" s="1"/>
  <c r="CX73" i="48"/>
  <c r="CS73" i="48" s="1"/>
  <c r="CX74" i="48"/>
  <c r="CS74" i="48" s="1"/>
  <c r="CX75" i="48"/>
  <c r="CX78" i="48"/>
  <c r="CX79" i="48"/>
  <c r="CS79" i="48" s="1"/>
  <c r="CX80" i="48"/>
  <c r="CS80" i="48" s="1"/>
  <c r="CX81" i="48"/>
  <c r="CS81" i="48" s="1"/>
  <c r="CX82" i="48"/>
  <c r="CS82" i="48" s="1"/>
  <c r="CX83" i="48"/>
  <c r="CS83" i="48" s="1"/>
  <c r="CX84" i="48"/>
  <c r="CS84" i="48" s="1"/>
  <c r="CX85" i="48"/>
  <c r="CS85" i="48" s="1"/>
  <c r="CX86" i="48"/>
  <c r="CS86" i="48" s="1"/>
  <c r="CX87" i="48"/>
  <c r="CS87" i="48" s="1"/>
  <c r="CX88" i="48"/>
  <c r="CS88" i="48" s="1"/>
  <c r="CX89" i="48"/>
  <c r="CS89" i="48" s="1"/>
  <c r="CX90" i="48"/>
  <c r="CS90" i="48" s="1"/>
  <c r="CX91" i="48"/>
  <c r="CS91" i="48" s="1"/>
  <c r="CX92" i="48"/>
  <c r="CS92" i="48" s="1"/>
  <c r="CX93" i="48"/>
  <c r="CS93" i="48" s="1"/>
  <c r="CX94" i="48"/>
  <c r="CS94" i="48" s="1"/>
  <c r="CX95" i="48"/>
  <c r="CS95" i="48" s="1"/>
  <c r="CX96" i="48"/>
  <c r="CS96" i="48" s="1"/>
  <c r="CX97" i="48"/>
  <c r="CS97" i="48" s="1"/>
  <c r="CX98" i="48"/>
  <c r="CS98" i="48" s="1"/>
  <c r="CX99" i="48"/>
  <c r="CS99" i="48" s="1"/>
  <c r="CX100" i="48"/>
  <c r="CX103" i="48"/>
  <c r="CX104" i="48"/>
  <c r="CS104" i="48" s="1"/>
  <c r="CX105" i="48"/>
  <c r="CS105" i="48" s="1"/>
  <c r="CX106" i="48"/>
  <c r="CS106" i="48" s="1"/>
  <c r="CX107" i="48"/>
  <c r="CS107" i="48" s="1"/>
  <c r="CX108" i="48"/>
  <c r="CS108" i="48" s="1"/>
  <c r="CX109" i="48"/>
  <c r="CS109" i="48" s="1"/>
  <c r="CX110" i="48"/>
  <c r="CS110" i="48" s="1"/>
  <c r="CX111" i="48"/>
  <c r="CS111" i="48" s="1"/>
  <c r="CX112" i="48"/>
  <c r="CS112" i="48" s="1"/>
  <c r="CX113" i="48"/>
  <c r="CS113" i="48" s="1"/>
  <c r="CX114" i="48"/>
  <c r="CS114" i="48" s="1"/>
  <c r="CX115" i="48"/>
  <c r="CS115" i="48" s="1"/>
  <c r="CX116" i="48"/>
  <c r="CS116" i="48" s="1"/>
  <c r="CX117" i="48"/>
  <c r="CS117" i="48" s="1"/>
  <c r="CX118" i="48"/>
  <c r="CS118" i="48" s="1"/>
  <c r="CX119" i="48"/>
  <c r="CS119" i="48" s="1"/>
  <c r="CX120" i="48"/>
  <c r="CS120" i="48" s="1"/>
  <c r="CX121" i="48"/>
  <c r="CS121" i="48" s="1"/>
  <c r="CX122" i="48"/>
  <c r="CS122" i="48" s="1"/>
  <c r="CX123" i="48"/>
  <c r="CS123" i="48" s="1"/>
  <c r="CX124" i="48"/>
  <c r="CS124" i="48" s="1"/>
  <c r="CX125" i="48"/>
  <c r="CX128" i="48"/>
  <c r="CX129" i="48"/>
  <c r="CS129" i="48" s="1"/>
  <c r="CX130" i="48"/>
  <c r="CS130" i="48" s="1"/>
  <c r="CX131" i="48"/>
  <c r="CS131" i="48" s="1"/>
  <c r="CX132" i="48"/>
  <c r="CS132" i="48" s="1"/>
  <c r="CX133" i="48"/>
  <c r="CS133" i="48" s="1"/>
  <c r="CX134" i="48"/>
  <c r="CS134" i="48" s="1"/>
  <c r="CX135" i="48"/>
  <c r="CS135" i="48" s="1"/>
  <c r="CX136" i="48"/>
  <c r="CS136" i="48" s="1"/>
  <c r="CX137" i="48"/>
  <c r="CS137" i="48" s="1"/>
  <c r="CX138" i="48"/>
  <c r="CS138" i="48" s="1"/>
  <c r="CX139" i="48"/>
  <c r="CS139" i="48" s="1"/>
  <c r="CX140" i="48"/>
  <c r="CS140" i="48" s="1"/>
  <c r="CX141" i="48"/>
  <c r="CS141" i="48" s="1"/>
  <c r="CX142" i="48"/>
  <c r="CS142" i="48" s="1"/>
  <c r="CX143" i="48"/>
  <c r="CS143" i="48" s="1"/>
  <c r="CX144" i="48"/>
  <c r="CS144" i="48" s="1"/>
  <c r="CX145" i="48"/>
  <c r="CS145" i="48" s="1"/>
  <c r="CX146" i="48"/>
  <c r="CS146" i="48" s="1"/>
  <c r="CX147" i="48"/>
  <c r="CS147" i="48" s="1"/>
  <c r="CX148" i="48"/>
  <c r="CS148" i="48" s="1"/>
  <c r="CX149" i="48"/>
  <c r="CS149" i="48" s="1"/>
  <c r="CX150" i="48"/>
  <c r="CX178" i="48"/>
  <c r="CX179" i="48"/>
  <c r="CS179" i="48" s="1"/>
  <c r="CX180" i="48"/>
  <c r="CS180" i="48" s="1"/>
  <c r="CX181" i="48"/>
  <c r="CS181" i="48" s="1"/>
  <c r="CX182" i="48"/>
  <c r="CS182" i="48" s="1"/>
  <c r="CX183" i="48"/>
  <c r="CS183" i="48" s="1"/>
  <c r="CX184" i="48"/>
  <c r="CS184" i="48" s="1"/>
  <c r="CX185" i="48"/>
  <c r="CS185" i="48" s="1"/>
  <c r="CX186" i="48"/>
  <c r="CS186" i="48" s="1"/>
  <c r="CX187" i="48"/>
  <c r="CS187" i="48" s="1"/>
  <c r="CX188" i="48"/>
  <c r="CS188" i="48" s="1"/>
  <c r="CX189" i="48"/>
  <c r="CS189" i="48" s="1"/>
  <c r="CX190" i="48"/>
  <c r="CS190" i="48" s="1"/>
  <c r="CX191" i="48"/>
  <c r="CS191" i="48" s="1"/>
  <c r="CX192" i="48"/>
  <c r="CS192" i="48" s="1"/>
  <c r="CX193" i="48"/>
  <c r="CS193" i="48" s="1"/>
  <c r="CX194" i="48"/>
  <c r="CS194" i="48" s="1"/>
  <c r="CX195" i="48"/>
  <c r="CS195" i="48" s="1"/>
  <c r="CX196" i="48"/>
  <c r="CS196" i="48" s="1"/>
  <c r="CX197" i="48"/>
  <c r="CS197" i="48" s="1"/>
  <c r="CX198" i="48"/>
  <c r="CS198" i="48" s="1"/>
  <c r="CX199" i="48"/>
  <c r="CS199" i="48" s="1"/>
  <c r="CX200" i="48"/>
  <c r="CX225" i="48"/>
  <c r="CX250" i="48"/>
  <c r="CX274" i="48"/>
  <c r="CS274" i="48" s="1"/>
  <c r="CX275" i="48"/>
  <c r="CX278" i="48"/>
  <c r="CX279" i="48"/>
  <c r="CS279" i="48" s="1"/>
  <c r="CX280" i="48"/>
  <c r="CS280" i="48" s="1"/>
  <c r="CX281" i="48"/>
  <c r="CS281" i="48" s="1"/>
  <c r="CX282" i="48"/>
  <c r="CS282" i="48" s="1"/>
  <c r="CX283" i="48"/>
  <c r="CS283" i="48" s="1"/>
  <c r="CX284" i="48"/>
  <c r="CS284" i="48" s="1"/>
  <c r="CX285" i="48"/>
  <c r="CS285" i="48" s="1"/>
  <c r="CX286" i="48"/>
  <c r="CS286" i="48" s="1"/>
  <c r="CX287" i="48"/>
  <c r="CS287" i="48" s="1"/>
  <c r="CX288" i="48"/>
  <c r="CS288" i="48" s="1"/>
  <c r="CX289" i="48"/>
  <c r="CS289" i="48" s="1"/>
  <c r="CX290" i="48"/>
  <c r="CS290" i="48" s="1"/>
  <c r="CX291" i="48"/>
  <c r="CS291" i="48" s="1"/>
  <c r="CX292" i="48"/>
  <c r="CS292" i="48" s="1"/>
  <c r="CX293" i="48"/>
  <c r="CS293" i="48" s="1"/>
  <c r="CX294" i="48"/>
  <c r="CS294" i="48" s="1"/>
  <c r="CX295" i="48"/>
  <c r="CS295" i="48" s="1"/>
  <c r="CX296" i="48"/>
  <c r="CS296" i="48" s="1"/>
  <c r="CX297" i="48"/>
  <c r="CS297" i="48" s="1"/>
  <c r="CX298" i="48"/>
  <c r="CS298" i="48" s="1"/>
  <c r="CX299" i="48"/>
  <c r="CS299" i="48" s="1"/>
  <c r="CX300" i="48"/>
  <c r="CX303" i="48"/>
  <c r="CX304" i="48"/>
  <c r="CS304" i="48" s="1"/>
  <c r="CX305" i="48"/>
  <c r="CS305" i="48" s="1"/>
  <c r="CX306" i="48"/>
  <c r="CS306" i="48" s="1"/>
  <c r="CX307" i="48"/>
  <c r="CS307" i="48" s="1"/>
  <c r="CX308" i="48"/>
  <c r="CS308" i="48" s="1"/>
  <c r="CX309" i="48"/>
  <c r="CS309" i="48" s="1"/>
  <c r="CX310" i="48"/>
  <c r="CS310" i="48" s="1"/>
  <c r="CX311" i="48"/>
  <c r="CS311" i="48" s="1"/>
  <c r="CX312" i="48"/>
  <c r="CS312" i="48" s="1"/>
  <c r="CX313" i="48"/>
  <c r="CS313" i="48" s="1"/>
  <c r="CX314" i="48"/>
  <c r="CS314" i="48" s="1"/>
  <c r="CX315" i="48"/>
  <c r="CS315" i="48" s="1"/>
  <c r="CX316" i="48"/>
  <c r="CS316" i="48" s="1"/>
  <c r="CX317" i="48"/>
  <c r="CS317" i="48" s="1"/>
  <c r="CX318" i="48"/>
  <c r="CS318" i="48" s="1"/>
  <c r="CX319" i="48"/>
  <c r="CS319" i="48" s="1"/>
  <c r="CX320" i="48"/>
  <c r="CS320" i="48" s="1"/>
  <c r="CX321" i="48"/>
  <c r="CS321" i="48" s="1"/>
  <c r="CX322" i="48"/>
  <c r="CS322" i="48" s="1"/>
  <c r="CX323" i="48"/>
  <c r="CS323" i="48" s="1"/>
  <c r="CX324" i="48"/>
  <c r="CS324" i="48" s="1"/>
  <c r="CX325" i="48"/>
  <c r="CX328" i="48"/>
  <c r="CX329" i="48"/>
  <c r="CS329" i="48" s="1"/>
  <c r="CX330" i="48"/>
  <c r="CS330" i="48" s="1"/>
  <c r="CX331" i="48"/>
  <c r="CS331" i="48" s="1"/>
  <c r="CX332" i="48"/>
  <c r="CS332" i="48" s="1"/>
  <c r="CX333" i="48"/>
  <c r="CS333" i="48" s="1"/>
  <c r="CX334" i="48"/>
  <c r="CS334" i="48" s="1"/>
  <c r="CX335" i="48"/>
  <c r="CS335" i="48" s="1"/>
  <c r="CX336" i="48"/>
  <c r="CS336" i="48" s="1"/>
  <c r="CX337" i="48"/>
  <c r="CS337" i="48" s="1"/>
  <c r="CX338" i="48"/>
  <c r="CS338" i="48" s="1"/>
  <c r="CX339" i="48"/>
  <c r="CS339" i="48" s="1"/>
  <c r="CX340" i="48"/>
  <c r="CS340" i="48" s="1"/>
  <c r="CX341" i="48"/>
  <c r="CS341" i="48" s="1"/>
  <c r="CX342" i="48"/>
  <c r="CS342" i="48" s="1"/>
  <c r="CX343" i="48"/>
  <c r="CS343" i="48" s="1"/>
  <c r="CX344" i="48"/>
  <c r="CS344" i="48" s="1"/>
  <c r="CX345" i="48"/>
  <c r="CS345" i="48" s="1"/>
  <c r="CX346" i="48"/>
  <c r="CS346" i="48" s="1"/>
  <c r="CX347" i="48"/>
  <c r="CS347" i="48" s="1"/>
  <c r="CX348" i="48"/>
  <c r="CS348" i="48" s="1"/>
  <c r="CX349" i="48"/>
  <c r="CS349" i="48" s="1"/>
  <c r="CX350" i="48"/>
  <c r="CX353" i="48"/>
  <c r="CX354" i="48"/>
  <c r="CS354" i="48" s="1"/>
  <c r="CX355" i="48"/>
  <c r="CS355" i="48" s="1"/>
  <c r="CX356" i="48"/>
  <c r="CS356" i="48" s="1"/>
  <c r="CX357" i="48"/>
  <c r="CS357" i="48" s="1"/>
  <c r="CX358" i="48"/>
  <c r="CS358" i="48" s="1"/>
  <c r="CX359" i="48"/>
  <c r="CS359" i="48" s="1"/>
  <c r="CX360" i="48"/>
  <c r="CS360" i="48" s="1"/>
  <c r="CX361" i="48"/>
  <c r="CS361" i="48" s="1"/>
  <c r="CX362" i="48"/>
  <c r="CS362" i="48" s="1"/>
  <c r="CX363" i="48"/>
  <c r="CS363" i="48" s="1"/>
  <c r="CX364" i="48"/>
  <c r="CS364" i="48" s="1"/>
  <c r="CX365" i="48"/>
  <c r="CS365" i="48" s="1"/>
  <c r="CX366" i="48"/>
  <c r="CS366" i="48" s="1"/>
  <c r="CX367" i="48"/>
  <c r="CS367" i="48" s="1"/>
  <c r="CX368" i="48"/>
  <c r="CS368" i="48" s="1"/>
  <c r="CX369" i="48"/>
  <c r="CS369" i="48" s="1"/>
  <c r="CX370" i="48"/>
  <c r="CS370" i="48" s="1"/>
  <c r="CX371" i="48"/>
  <c r="CS371" i="48" s="1"/>
  <c r="CX372" i="48"/>
  <c r="CS372" i="48" s="1"/>
  <c r="CX373" i="48"/>
  <c r="CS373" i="48" s="1"/>
  <c r="CX374" i="48"/>
  <c r="CS374" i="48" s="1"/>
  <c r="CX375" i="48"/>
  <c r="CX378" i="48"/>
  <c r="CX379" i="48"/>
  <c r="CS379" i="48" s="1"/>
  <c r="CX380" i="48"/>
  <c r="CS380" i="48" s="1"/>
  <c r="CX381" i="48"/>
  <c r="CS381" i="48" s="1"/>
  <c r="CX382" i="48"/>
  <c r="CS382" i="48" s="1"/>
  <c r="CX383" i="48"/>
  <c r="CS383" i="48" s="1"/>
  <c r="CX384" i="48"/>
  <c r="CS384" i="48" s="1"/>
  <c r="CX385" i="48"/>
  <c r="CS385" i="48" s="1"/>
  <c r="CX386" i="48"/>
  <c r="CS386" i="48" s="1"/>
  <c r="CX387" i="48"/>
  <c r="CS387" i="48" s="1"/>
  <c r="CX388" i="48"/>
  <c r="CS388" i="48" s="1"/>
  <c r="CX389" i="48"/>
  <c r="CS389" i="48" s="1"/>
  <c r="CX390" i="48"/>
  <c r="CS390" i="48" s="1"/>
  <c r="CX391" i="48"/>
  <c r="CS391" i="48" s="1"/>
  <c r="CX392" i="48"/>
  <c r="CS392" i="48" s="1"/>
  <c r="CX393" i="48"/>
  <c r="CS393" i="48" s="1"/>
  <c r="CX394" i="48"/>
  <c r="CS394" i="48" s="1"/>
  <c r="CX395" i="48"/>
  <c r="CS395" i="48" s="1"/>
  <c r="CX396" i="48"/>
  <c r="CS396" i="48" s="1"/>
  <c r="CX397" i="48"/>
  <c r="CS397" i="48" s="1"/>
  <c r="CX398" i="48"/>
  <c r="CS398" i="48" s="1"/>
  <c r="CX399" i="48"/>
  <c r="CS399" i="48" s="1"/>
  <c r="CX400" i="48"/>
  <c r="CX403" i="48"/>
  <c r="CX404" i="48"/>
  <c r="CS404" i="48" s="1"/>
  <c r="CX405" i="48"/>
  <c r="CS405" i="48" s="1"/>
  <c r="CX406" i="48"/>
  <c r="CS406" i="48" s="1"/>
  <c r="CX407" i="48"/>
  <c r="CS407" i="48" s="1"/>
  <c r="CX408" i="48"/>
  <c r="CS408" i="48" s="1"/>
  <c r="CX409" i="48"/>
  <c r="CS409" i="48" s="1"/>
  <c r="CX410" i="48"/>
  <c r="CS410" i="48" s="1"/>
  <c r="CX411" i="48"/>
  <c r="CS411" i="48" s="1"/>
  <c r="CX412" i="48"/>
  <c r="CS412" i="48" s="1"/>
  <c r="CX413" i="48"/>
  <c r="CS413" i="48" s="1"/>
  <c r="CX414" i="48"/>
  <c r="CS414" i="48" s="1"/>
  <c r="CX415" i="48"/>
  <c r="CS415" i="48" s="1"/>
  <c r="CX416" i="48"/>
  <c r="CS416" i="48" s="1"/>
  <c r="CX417" i="48"/>
  <c r="CS417" i="48" s="1"/>
  <c r="CX418" i="48"/>
  <c r="CS418" i="48" s="1"/>
  <c r="CX419" i="48"/>
  <c r="CS419" i="48" s="1"/>
  <c r="CX420" i="48"/>
  <c r="CS420" i="48" s="1"/>
  <c r="CX421" i="48"/>
  <c r="CS421" i="48" s="1"/>
  <c r="CX422" i="48"/>
  <c r="CS422" i="48" s="1"/>
  <c r="CX423" i="48"/>
  <c r="CS423" i="48" s="1"/>
  <c r="CX424" i="48"/>
  <c r="CS424" i="48" s="1"/>
  <c r="CX425" i="48"/>
  <c r="CX428" i="48"/>
  <c r="CX429" i="48"/>
  <c r="CS429" i="48" s="1"/>
  <c r="CX430" i="48"/>
  <c r="CS430" i="48" s="1"/>
  <c r="CX431" i="48"/>
  <c r="CS431" i="48" s="1"/>
  <c r="CX432" i="48"/>
  <c r="CS432" i="48" s="1"/>
  <c r="CX433" i="48"/>
  <c r="CS433" i="48" s="1"/>
  <c r="CX434" i="48"/>
  <c r="CS434" i="48" s="1"/>
  <c r="CX435" i="48"/>
  <c r="CS435" i="48" s="1"/>
  <c r="CX436" i="48"/>
  <c r="CS436" i="48" s="1"/>
  <c r="CX437" i="48"/>
  <c r="CS437" i="48" s="1"/>
  <c r="CX438" i="48"/>
  <c r="CS438" i="48" s="1"/>
  <c r="CX439" i="48"/>
  <c r="CS439" i="48" s="1"/>
  <c r="CX440" i="48"/>
  <c r="CS440" i="48" s="1"/>
  <c r="CX441" i="48"/>
  <c r="CS441" i="48" s="1"/>
  <c r="CX442" i="48"/>
  <c r="CS442" i="48" s="1"/>
  <c r="CX443" i="48"/>
  <c r="CS443" i="48" s="1"/>
  <c r="CX444" i="48"/>
  <c r="CS444" i="48" s="1"/>
  <c r="CX445" i="48"/>
  <c r="CS445" i="48" s="1"/>
  <c r="CX446" i="48"/>
  <c r="CS446" i="48" s="1"/>
  <c r="CX447" i="48"/>
  <c r="CS447" i="48" s="1"/>
  <c r="CX448" i="48"/>
  <c r="CS448" i="48" s="1"/>
  <c r="CX449" i="48"/>
  <c r="CS449" i="48" s="1"/>
  <c r="CX450" i="48"/>
  <c r="CX453" i="48"/>
  <c r="CX454" i="48"/>
  <c r="CS454" i="48" s="1"/>
  <c r="CX455" i="48"/>
  <c r="CS455" i="48" s="1"/>
  <c r="CX456" i="48"/>
  <c r="CS456" i="48" s="1"/>
  <c r="CX457" i="48"/>
  <c r="CS457" i="48" s="1"/>
  <c r="CX458" i="48"/>
  <c r="CS458" i="48" s="1"/>
  <c r="CX459" i="48"/>
  <c r="CS459" i="48" s="1"/>
  <c r="CX460" i="48"/>
  <c r="CS460" i="48" s="1"/>
  <c r="CX461" i="48"/>
  <c r="CS461" i="48" s="1"/>
  <c r="CX462" i="48"/>
  <c r="CS462" i="48" s="1"/>
  <c r="CX463" i="48"/>
  <c r="CS463" i="48" s="1"/>
  <c r="CX464" i="48"/>
  <c r="CS464" i="48" s="1"/>
  <c r="CX465" i="48"/>
  <c r="CS465" i="48" s="1"/>
  <c r="CX466" i="48"/>
  <c r="CS466" i="48" s="1"/>
  <c r="CX467" i="48"/>
  <c r="CS467" i="48" s="1"/>
  <c r="CX468" i="48"/>
  <c r="CS468" i="48" s="1"/>
  <c r="CX469" i="48"/>
  <c r="CS469" i="48" s="1"/>
  <c r="CX470" i="48"/>
  <c r="CS470" i="48" s="1"/>
  <c r="CX471" i="48"/>
  <c r="CS471" i="48" s="1"/>
  <c r="CX472" i="48"/>
  <c r="CS472" i="48" s="1"/>
  <c r="CX473" i="48"/>
  <c r="CS473" i="48" s="1"/>
  <c r="CX474" i="48"/>
  <c r="CS474" i="48" s="1"/>
  <c r="CX475" i="48"/>
  <c r="CX478" i="48"/>
  <c r="CX479" i="48"/>
  <c r="CS479" i="48" s="1"/>
  <c r="CX480" i="48"/>
  <c r="CS480" i="48" s="1"/>
  <c r="CX481" i="48"/>
  <c r="CS481" i="48" s="1"/>
  <c r="CX482" i="48"/>
  <c r="CS482" i="48" s="1"/>
  <c r="CX483" i="48"/>
  <c r="CS483" i="48" s="1"/>
  <c r="CX484" i="48"/>
  <c r="CS484" i="48" s="1"/>
  <c r="CX485" i="48"/>
  <c r="CS485" i="48" s="1"/>
  <c r="CX486" i="48"/>
  <c r="CS486" i="48" s="1"/>
  <c r="CX487" i="48"/>
  <c r="CS487" i="48" s="1"/>
  <c r="CX488" i="48"/>
  <c r="CS488" i="48" s="1"/>
  <c r="CX489" i="48"/>
  <c r="CS489" i="48" s="1"/>
  <c r="CX490" i="48"/>
  <c r="CS490" i="48" s="1"/>
  <c r="CX491" i="48"/>
  <c r="CS491" i="48" s="1"/>
  <c r="CX492" i="48"/>
  <c r="CS492" i="48" s="1"/>
  <c r="CX493" i="48"/>
  <c r="CS493" i="48" s="1"/>
  <c r="CX494" i="48"/>
  <c r="CS494" i="48" s="1"/>
  <c r="CX495" i="48"/>
  <c r="CS495" i="48" s="1"/>
  <c r="CX496" i="48"/>
  <c r="CS496" i="48" s="1"/>
  <c r="CX497" i="48"/>
  <c r="CS497" i="48" s="1"/>
  <c r="CX498" i="48"/>
  <c r="CS498" i="48" s="1"/>
  <c r="CX499" i="48"/>
  <c r="CS499" i="48" s="1"/>
  <c r="CX500" i="48"/>
  <c r="CX503" i="48"/>
  <c r="CX504" i="48"/>
  <c r="CS504" i="48" s="1"/>
  <c r="CX505" i="48"/>
  <c r="CS505" i="48" s="1"/>
  <c r="CX506" i="48"/>
  <c r="CS506" i="48" s="1"/>
  <c r="CX507" i="48"/>
  <c r="CS507" i="48" s="1"/>
  <c r="CX508" i="48"/>
  <c r="CS508" i="48" s="1"/>
  <c r="CX509" i="48"/>
  <c r="CS509" i="48" s="1"/>
  <c r="CX510" i="48"/>
  <c r="CS510" i="48" s="1"/>
  <c r="CX511" i="48"/>
  <c r="CS511" i="48" s="1"/>
  <c r="CX512" i="48"/>
  <c r="CS512" i="48" s="1"/>
  <c r="CX513" i="48"/>
  <c r="CS513" i="48" s="1"/>
  <c r="CX514" i="48"/>
  <c r="CS514" i="48" s="1"/>
  <c r="CX515" i="48"/>
  <c r="CS515" i="48" s="1"/>
  <c r="CX516" i="48"/>
  <c r="CS516" i="48" s="1"/>
  <c r="CX517" i="48"/>
  <c r="CS517" i="48" s="1"/>
  <c r="CX518" i="48"/>
  <c r="CS518" i="48" s="1"/>
  <c r="CX519" i="48"/>
  <c r="CS519" i="48" s="1"/>
  <c r="CX520" i="48"/>
  <c r="CS520" i="48" s="1"/>
  <c r="CX521" i="48"/>
  <c r="CS521" i="48" s="1"/>
  <c r="CX522" i="48"/>
  <c r="CS522" i="48" s="1"/>
  <c r="CX523" i="48"/>
  <c r="CS523" i="48" s="1"/>
  <c r="CX524" i="48"/>
  <c r="CS524" i="48" s="1"/>
  <c r="CX525" i="48"/>
  <c r="CX528" i="48"/>
  <c r="CX529" i="48"/>
  <c r="CS529" i="48" s="1"/>
  <c r="CX530" i="48"/>
  <c r="CS530" i="48" s="1"/>
  <c r="CX531" i="48"/>
  <c r="CS531" i="48" s="1"/>
  <c r="CX532" i="48"/>
  <c r="CS532" i="48" s="1"/>
  <c r="CX533" i="48"/>
  <c r="CS533" i="48" s="1"/>
  <c r="CX534" i="48"/>
  <c r="CS534" i="48" s="1"/>
  <c r="CX535" i="48"/>
  <c r="CS535" i="48" s="1"/>
  <c r="CX536" i="48"/>
  <c r="CS536" i="48" s="1"/>
  <c r="CX537" i="48"/>
  <c r="CS537" i="48" s="1"/>
  <c r="CX538" i="48"/>
  <c r="CS538" i="48" s="1"/>
  <c r="CX539" i="48"/>
  <c r="CS539" i="48" s="1"/>
  <c r="CX540" i="48"/>
  <c r="CS540" i="48" s="1"/>
  <c r="CX541" i="48"/>
  <c r="CS541" i="48" s="1"/>
  <c r="CX542" i="48"/>
  <c r="CS542" i="48" s="1"/>
  <c r="CX543" i="48"/>
  <c r="CS543" i="48" s="1"/>
  <c r="CX544" i="48"/>
  <c r="CS544" i="48" s="1"/>
  <c r="CX545" i="48"/>
  <c r="CS545" i="48" s="1"/>
  <c r="CX546" i="48"/>
  <c r="CS546" i="48" s="1"/>
  <c r="CX547" i="48"/>
  <c r="CS547" i="48" s="1"/>
  <c r="CX548" i="48"/>
  <c r="CS548" i="48" s="1"/>
  <c r="CX549" i="48"/>
  <c r="CS549" i="48" s="1"/>
  <c r="CX550" i="48"/>
  <c r="CX553" i="48"/>
  <c r="CX554" i="48"/>
  <c r="CS554" i="48" s="1"/>
  <c r="CX555" i="48"/>
  <c r="CS555" i="48" s="1"/>
  <c r="CX556" i="48"/>
  <c r="CS556" i="48" s="1"/>
  <c r="CX557" i="48"/>
  <c r="CS557" i="48" s="1"/>
  <c r="CX558" i="48"/>
  <c r="CS558" i="48" s="1"/>
  <c r="CX559" i="48"/>
  <c r="CS559" i="48" s="1"/>
  <c r="CX560" i="48"/>
  <c r="CS560" i="48" s="1"/>
  <c r="CX561" i="48"/>
  <c r="CS561" i="48" s="1"/>
  <c r="CX562" i="48"/>
  <c r="CS562" i="48" s="1"/>
  <c r="CX563" i="48"/>
  <c r="CS563" i="48" s="1"/>
  <c r="CX564" i="48"/>
  <c r="CS564" i="48" s="1"/>
  <c r="CX565" i="48"/>
  <c r="CS565" i="48" s="1"/>
  <c r="CX566" i="48"/>
  <c r="CS566" i="48" s="1"/>
  <c r="CX567" i="48"/>
  <c r="CS567" i="48" s="1"/>
  <c r="CX568" i="48"/>
  <c r="CS568" i="48" s="1"/>
  <c r="CX569" i="48"/>
  <c r="CS569" i="48" s="1"/>
  <c r="CX570" i="48"/>
  <c r="CS570" i="48" s="1"/>
  <c r="CX571" i="48"/>
  <c r="CS571" i="48" s="1"/>
  <c r="CX572" i="48"/>
  <c r="CS572" i="48" s="1"/>
  <c r="CX573" i="48"/>
  <c r="CS573" i="48" s="1"/>
  <c r="CX574" i="48"/>
  <c r="CS574" i="48" s="1"/>
  <c r="CX575" i="48"/>
  <c r="CX578" i="48"/>
  <c r="CX579" i="48"/>
  <c r="CS579" i="48" s="1"/>
  <c r="CX580" i="48"/>
  <c r="CS580" i="48" s="1"/>
  <c r="CX581" i="48"/>
  <c r="CS581" i="48" s="1"/>
  <c r="CX582" i="48"/>
  <c r="CS582" i="48" s="1"/>
  <c r="CX583" i="48"/>
  <c r="CS583" i="48" s="1"/>
  <c r="CX584" i="48"/>
  <c r="CS584" i="48" s="1"/>
  <c r="CX585" i="48"/>
  <c r="CS585" i="48" s="1"/>
  <c r="CX586" i="48"/>
  <c r="CS586" i="48" s="1"/>
  <c r="CX587" i="48"/>
  <c r="CS587" i="48" s="1"/>
  <c r="CX588" i="48"/>
  <c r="CS588" i="48" s="1"/>
  <c r="CX589" i="48"/>
  <c r="CS589" i="48" s="1"/>
  <c r="CX590" i="48"/>
  <c r="CS590" i="48" s="1"/>
  <c r="CX591" i="48"/>
  <c r="CS591" i="48" s="1"/>
  <c r="CX592" i="48"/>
  <c r="CS592" i="48" s="1"/>
  <c r="CX593" i="48"/>
  <c r="CS593" i="48" s="1"/>
  <c r="CX594" i="48"/>
  <c r="CS594" i="48" s="1"/>
  <c r="CX595" i="48"/>
  <c r="CS595" i="48" s="1"/>
  <c r="CX596" i="48"/>
  <c r="CS596" i="48" s="1"/>
  <c r="CX597" i="48"/>
  <c r="CS597" i="48" s="1"/>
  <c r="CX598" i="48"/>
  <c r="CS598" i="48" s="1"/>
  <c r="CX599" i="48"/>
  <c r="CS599" i="48" s="1"/>
  <c r="CX600" i="48"/>
  <c r="CX603" i="48"/>
  <c r="CX604" i="48"/>
  <c r="CS604" i="48" s="1"/>
  <c r="CX605" i="48"/>
  <c r="CS605" i="48" s="1"/>
  <c r="CX606" i="48"/>
  <c r="CS606" i="48" s="1"/>
  <c r="CX607" i="48"/>
  <c r="CS607" i="48" s="1"/>
  <c r="CX608" i="48"/>
  <c r="CS608" i="48" s="1"/>
  <c r="CX609" i="48"/>
  <c r="CS609" i="48" s="1"/>
  <c r="CX610" i="48"/>
  <c r="CS610" i="48" s="1"/>
  <c r="CX611" i="48"/>
  <c r="CS611" i="48" s="1"/>
  <c r="CX612" i="48"/>
  <c r="CS612" i="48" s="1"/>
  <c r="CX613" i="48"/>
  <c r="CS613" i="48" s="1"/>
  <c r="CX614" i="48"/>
  <c r="CS614" i="48" s="1"/>
  <c r="CX615" i="48"/>
  <c r="CS615" i="48" s="1"/>
  <c r="CX616" i="48"/>
  <c r="CS616" i="48" s="1"/>
  <c r="CX617" i="48"/>
  <c r="CS617" i="48" s="1"/>
  <c r="CX618" i="48"/>
  <c r="CS618" i="48" s="1"/>
  <c r="CX619" i="48"/>
  <c r="CS619" i="48" s="1"/>
  <c r="CX620" i="48"/>
  <c r="CS620" i="48" s="1"/>
  <c r="CX621" i="48"/>
  <c r="CS621" i="48" s="1"/>
  <c r="CX622" i="48"/>
  <c r="CS622" i="48" s="1"/>
  <c r="CX623" i="48"/>
  <c r="CS623" i="48" s="1"/>
  <c r="CX624" i="48"/>
  <c r="CS624" i="48" s="1"/>
  <c r="CX625" i="48"/>
  <c r="CX629" i="48"/>
  <c r="CS629" i="48" s="1"/>
  <c r="CX630" i="48"/>
  <c r="CS630" i="48" s="1"/>
  <c r="CX631" i="48"/>
  <c r="CS631" i="48" s="1"/>
  <c r="CX632" i="48"/>
  <c r="CS632" i="48" s="1"/>
  <c r="CX633" i="48"/>
  <c r="CS633" i="48" s="1"/>
  <c r="CX634" i="48"/>
  <c r="CS634" i="48" s="1"/>
  <c r="CX635" i="48"/>
  <c r="CS635" i="48" s="1"/>
  <c r="CX636" i="48"/>
  <c r="CS636" i="48" s="1"/>
  <c r="CX637" i="48"/>
  <c r="CS637" i="48" s="1"/>
  <c r="CX638" i="48"/>
  <c r="CS638" i="48" s="1"/>
  <c r="CX639" i="48"/>
  <c r="CS639" i="48" s="1"/>
  <c r="CX640" i="48"/>
  <c r="CS640" i="48" s="1"/>
  <c r="CX641" i="48"/>
  <c r="CS641" i="48" s="1"/>
  <c r="CX642" i="48"/>
  <c r="CS642" i="48" s="1"/>
  <c r="CX643" i="48"/>
  <c r="CS643" i="48" s="1"/>
  <c r="CX644" i="48"/>
  <c r="CS644" i="48" s="1"/>
  <c r="CX645" i="48"/>
  <c r="CS645" i="48" s="1"/>
  <c r="CX646" i="48"/>
  <c r="CS646" i="48" s="1"/>
  <c r="CX647" i="48"/>
  <c r="CS647" i="48" s="1"/>
  <c r="CX648" i="48"/>
  <c r="CS648" i="48" s="1"/>
  <c r="CX649" i="48"/>
  <c r="CS649" i="48" s="1"/>
  <c r="CX650" i="48"/>
  <c r="CX653" i="48"/>
  <c r="CX654" i="48"/>
  <c r="CS654" i="48" s="1"/>
  <c r="CX655" i="48"/>
  <c r="CS655" i="48" s="1"/>
  <c r="CX656" i="48"/>
  <c r="CS656" i="48" s="1"/>
  <c r="CX657" i="48"/>
  <c r="CS657" i="48" s="1"/>
  <c r="CX658" i="48"/>
  <c r="CS658" i="48" s="1"/>
  <c r="CX659" i="48"/>
  <c r="CS659" i="48" s="1"/>
  <c r="CX660" i="48"/>
  <c r="CS660" i="48" s="1"/>
  <c r="CX661" i="48"/>
  <c r="CS661" i="48" s="1"/>
  <c r="CX662" i="48"/>
  <c r="CS662" i="48" s="1"/>
  <c r="CX663" i="48"/>
  <c r="CS663" i="48" s="1"/>
  <c r="CX664" i="48"/>
  <c r="CS664" i="48" s="1"/>
  <c r="CX665" i="48"/>
  <c r="CS665" i="48" s="1"/>
  <c r="CX666" i="48"/>
  <c r="CS666" i="48" s="1"/>
  <c r="CX667" i="48"/>
  <c r="CS667" i="48" s="1"/>
  <c r="CX668" i="48"/>
  <c r="CS668" i="48" s="1"/>
  <c r="CX669" i="48"/>
  <c r="CS669" i="48" s="1"/>
  <c r="CX670" i="48"/>
  <c r="CS670" i="48" s="1"/>
  <c r="CX671" i="48"/>
  <c r="CS671" i="48" s="1"/>
  <c r="CX672" i="48"/>
  <c r="CS672" i="48" s="1"/>
  <c r="CX673" i="48"/>
  <c r="CS673" i="48" s="1"/>
  <c r="CX674" i="48"/>
  <c r="CS674" i="48" s="1"/>
  <c r="CX675" i="48"/>
  <c r="CX679" i="48"/>
  <c r="CS679" i="48" s="1"/>
  <c r="CX680" i="48"/>
  <c r="CS680" i="48" s="1"/>
  <c r="CX681" i="48"/>
  <c r="CS681" i="48" s="1"/>
  <c r="CX682" i="48"/>
  <c r="CS682" i="48" s="1"/>
  <c r="CX683" i="48"/>
  <c r="CS683" i="48" s="1"/>
  <c r="CX684" i="48"/>
  <c r="CS684" i="48" s="1"/>
  <c r="CX685" i="48"/>
  <c r="CS685" i="48" s="1"/>
  <c r="CX686" i="48"/>
  <c r="CS686" i="48" s="1"/>
  <c r="CX687" i="48"/>
  <c r="CS687" i="48" s="1"/>
  <c r="CX688" i="48"/>
  <c r="CS688" i="48" s="1"/>
  <c r="CX689" i="48"/>
  <c r="CS689" i="48" s="1"/>
  <c r="CX690" i="48"/>
  <c r="CS690" i="48" s="1"/>
  <c r="CX691" i="48"/>
  <c r="CS691" i="48" s="1"/>
  <c r="CX692" i="48"/>
  <c r="CS692" i="48" s="1"/>
  <c r="CX693" i="48"/>
  <c r="CS693" i="48" s="1"/>
  <c r="CX694" i="48"/>
  <c r="CS694" i="48" s="1"/>
  <c r="CX695" i="48"/>
  <c r="CS695" i="48" s="1"/>
  <c r="CX696" i="48"/>
  <c r="CS696" i="48" s="1"/>
  <c r="CX697" i="48"/>
  <c r="CS697" i="48" s="1"/>
  <c r="CX698" i="48"/>
  <c r="CS698" i="48" s="1"/>
  <c r="CX699" i="48"/>
  <c r="CS699" i="48" s="1"/>
  <c r="CX700" i="48"/>
  <c r="CX704" i="48"/>
  <c r="CS704" i="48" s="1"/>
  <c r="CX705" i="48"/>
  <c r="CS705" i="48" s="1"/>
  <c r="CX706" i="48"/>
  <c r="CS706" i="48" s="1"/>
  <c r="CX707" i="48"/>
  <c r="CS707" i="48" s="1"/>
  <c r="CX708" i="48"/>
  <c r="CS708" i="48" s="1"/>
  <c r="CX709" i="48"/>
  <c r="CS709" i="48" s="1"/>
  <c r="CX710" i="48"/>
  <c r="CS710" i="48" s="1"/>
  <c r="CX711" i="48"/>
  <c r="CS711" i="48" s="1"/>
  <c r="CX712" i="48"/>
  <c r="CS712" i="48" s="1"/>
  <c r="CX713" i="48"/>
  <c r="CS713" i="48" s="1"/>
  <c r="CX714" i="48"/>
  <c r="CS714" i="48" s="1"/>
  <c r="CX715" i="48"/>
  <c r="CS715" i="48" s="1"/>
  <c r="CX716" i="48"/>
  <c r="CS716" i="48" s="1"/>
  <c r="CX717" i="48"/>
  <c r="CS717" i="48" s="1"/>
  <c r="CX718" i="48"/>
  <c r="CS718" i="48" s="1"/>
  <c r="CX719" i="48"/>
  <c r="CS719" i="48" s="1"/>
  <c r="CX720" i="48"/>
  <c r="CS720" i="48" s="1"/>
  <c r="CX721" i="48"/>
  <c r="CS721" i="48" s="1"/>
  <c r="CX722" i="48"/>
  <c r="CS722" i="48" s="1"/>
  <c r="CX723" i="48"/>
  <c r="CS723" i="48" s="1"/>
  <c r="CX724" i="48"/>
  <c r="CS724" i="48" s="1"/>
  <c r="CX725" i="48"/>
  <c r="CX728" i="48"/>
  <c r="CX729" i="48"/>
  <c r="CS729" i="48" s="1"/>
  <c r="CX730" i="48"/>
  <c r="CS730" i="48" s="1"/>
  <c r="CX731" i="48"/>
  <c r="CS731" i="48" s="1"/>
  <c r="CX732" i="48"/>
  <c r="CS732" i="48" s="1"/>
  <c r="CX733" i="48"/>
  <c r="CS733" i="48" s="1"/>
  <c r="CX734" i="48"/>
  <c r="CS734" i="48" s="1"/>
  <c r="CX735" i="48"/>
  <c r="CS735" i="48" s="1"/>
  <c r="CX736" i="48"/>
  <c r="CS736" i="48" s="1"/>
  <c r="CX737" i="48"/>
  <c r="CS737" i="48" s="1"/>
  <c r="CX738" i="48"/>
  <c r="CS738" i="48" s="1"/>
  <c r="CX739" i="48"/>
  <c r="CS739" i="48" s="1"/>
  <c r="CX740" i="48"/>
  <c r="CS740" i="48" s="1"/>
  <c r="CX741" i="48"/>
  <c r="CS741" i="48" s="1"/>
  <c r="CX742" i="48"/>
  <c r="CS742" i="48" s="1"/>
  <c r="CX743" i="48"/>
  <c r="CS743" i="48" s="1"/>
  <c r="CX744" i="48"/>
  <c r="CS744" i="48" s="1"/>
  <c r="CX745" i="48"/>
  <c r="CS745" i="48" s="1"/>
  <c r="CX746" i="48"/>
  <c r="CS746" i="48" s="1"/>
  <c r="CX747" i="48"/>
  <c r="CS747" i="48" s="1"/>
  <c r="CX748" i="48"/>
  <c r="CS748" i="48" s="1"/>
  <c r="CX749" i="48"/>
  <c r="CS749" i="48" s="1"/>
  <c r="CX750" i="48"/>
  <c r="CX754" i="48"/>
  <c r="CS754" i="48" s="1"/>
  <c r="CX755" i="48"/>
  <c r="CS755" i="48" s="1"/>
  <c r="CX756" i="48"/>
  <c r="CS756" i="48" s="1"/>
  <c r="CX757" i="48"/>
  <c r="CS757" i="48" s="1"/>
  <c r="CX758" i="48"/>
  <c r="CS758" i="48" s="1"/>
  <c r="CX759" i="48"/>
  <c r="CS759" i="48" s="1"/>
  <c r="CX760" i="48"/>
  <c r="CS760" i="48" s="1"/>
  <c r="CX761" i="48"/>
  <c r="CS761" i="48" s="1"/>
  <c r="CX762" i="48"/>
  <c r="CS762" i="48" s="1"/>
  <c r="CX763" i="48"/>
  <c r="CS763" i="48" s="1"/>
  <c r="CX764" i="48"/>
  <c r="CS764" i="48" s="1"/>
  <c r="CX765" i="48"/>
  <c r="CS765" i="48" s="1"/>
  <c r="CX766" i="48"/>
  <c r="CS766" i="48" s="1"/>
  <c r="CX767" i="48"/>
  <c r="CS767" i="48" s="1"/>
  <c r="CX768" i="48"/>
  <c r="CS768" i="48" s="1"/>
  <c r="CX769" i="48"/>
  <c r="CS769" i="48" s="1"/>
  <c r="CX770" i="48"/>
  <c r="CS770" i="48" s="1"/>
  <c r="CX771" i="48"/>
  <c r="CS771" i="48" s="1"/>
  <c r="CX772" i="48"/>
  <c r="CS772" i="48" s="1"/>
  <c r="CX773" i="48"/>
  <c r="CS773" i="48" s="1"/>
  <c r="CX774" i="48"/>
  <c r="CS774" i="48" s="1"/>
  <c r="CX775" i="48"/>
  <c r="CX779" i="48"/>
  <c r="CS779" i="48" s="1"/>
  <c r="CX780" i="48"/>
  <c r="CS780" i="48" s="1"/>
  <c r="CX781" i="48"/>
  <c r="CS781" i="48" s="1"/>
  <c r="CX782" i="48"/>
  <c r="CS782" i="48" s="1"/>
  <c r="CX783" i="48"/>
  <c r="CS783" i="48" s="1"/>
  <c r="CX784" i="48"/>
  <c r="CS784" i="48" s="1"/>
  <c r="CX785" i="48"/>
  <c r="CS785" i="48" s="1"/>
  <c r="CX786" i="48"/>
  <c r="CS786" i="48" s="1"/>
  <c r="CX787" i="48"/>
  <c r="CS787" i="48" s="1"/>
  <c r="CX788" i="48"/>
  <c r="CS788" i="48" s="1"/>
  <c r="CX789" i="48"/>
  <c r="CS789" i="48" s="1"/>
  <c r="CX790" i="48"/>
  <c r="CS790" i="48" s="1"/>
  <c r="CX791" i="48"/>
  <c r="CS791" i="48" s="1"/>
  <c r="CX792" i="48"/>
  <c r="CS792" i="48" s="1"/>
  <c r="CX793" i="48"/>
  <c r="CS793" i="48" s="1"/>
  <c r="CX794" i="48"/>
  <c r="CS794" i="48" s="1"/>
  <c r="CX795" i="48"/>
  <c r="CS795" i="48" s="1"/>
  <c r="CX796" i="48"/>
  <c r="CS796" i="48" s="1"/>
  <c r="CX797" i="48"/>
  <c r="CS797" i="48" s="1"/>
  <c r="CX798" i="48"/>
  <c r="CS798" i="48" s="1"/>
  <c r="CX799" i="48"/>
  <c r="CS799" i="48" s="1"/>
  <c r="CX800" i="48"/>
  <c r="CX803" i="48"/>
  <c r="CX804" i="48"/>
  <c r="CS804" i="48" s="1"/>
  <c r="CX805" i="48"/>
  <c r="CS805" i="48" s="1"/>
  <c r="CX806" i="48"/>
  <c r="CS806" i="48" s="1"/>
  <c r="CX807" i="48"/>
  <c r="CS807" i="48" s="1"/>
  <c r="CX808" i="48"/>
  <c r="CS808" i="48" s="1"/>
  <c r="CX809" i="48"/>
  <c r="CS809" i="48" s="1"/>
  <c r="CX810" i="48"/>
  <c r="CS810" i="48" s="1"/>
  <c r="CX811" i="48"/>
  <c r="CS811" i="48" s="1"/>
  <c r="CX812" i="48"/>
  <c r="CS812" i="48" s="1"/>
  <c r="CX813" i="48"/>
  <c r="CS813" i="48" s="1"/>
  <c r="CX814" i="48"/>
  <c r="CS814" i="48" s="1"/>
  <c r="CX815" i="48"/>
  <c r="CS815" i="48" s="1"/>
  <c r="CX816" i="48"/>
  <c r="CS816" i="48" s="1"/>
  <c r="CX817" i="48"/>
  <c r="CS817" i="48" s="1"/>
  <c r="CX818" i="48"/>
  <c r="CS818" i="48" s="1"/>
  <c r="CX819" i="48"/>
  <c r="CS819" i="48" s="1"/>
  <c r="CX820" i="48"/>
  <c r="CS820" i="48" s="1"/>
  <c r="CX821" i="48"/>
  <c r="CS821" i="48" s="1"/>
  <c r="CX822" i="48"/>
  <c r="CS822" i="48" s="1"/>
  <c r="CX823" i="48"/>
  <c r="CS823" i="48" s="1"/>
  <c r="CX824" i="48"/>
  <c r="CS824" i="48" s="1"/>
  <c r="CX825" i="48"/>
  <c r="CX826" i="48" s="1"/>
  <c r="CX828" i="48"/>
  <c r="CX829" i="48"/>
  <c r="CS829" i="48" s="1"/>
  <c r="CX830" i="48"/>
  <c r="CS830" i="48" s="1"/>
  <c r="CX831" i="48"/>
  <c r="CS831" i="48" s="1"/>
  <c r="CX832" i="48"/>
  <c r="CS832" i="48" s="1"/>
  <c r="CX833" i="48"/>
  <c r="CS833" i="48" s="1"/>
  <c r="CX834" i="48"/>
  <c r="CS834" i="48" s="1"/>
  <c r="CX835" i="48"/>
  <c r="CS835" i="48" s="1"/>
  <c r="CX836" i="48"/>
  <c r="CS836" i="48" s="1"/>
  <c r="CX837" i="48"/>
  <c r="CS837" i="48" s="1"/>
  <c r="CX838" i="48"/>
  <c r="CS838" i="48" s="1"/>
  <c r="CX839" i="48"/>
  <c r="CS839" i="48" s="1"/>
  <c r="CX840" i="48"/>
  <c r="CS840" i="48" s="1"/>
  <c r="CX841" i="48"/>
  <c r="CS841" i="48" s="1"/>
  <c r="CX842" i="48"/>
  <c r="CS842" i="48" s="1"/>
  <c r="CX843" i="48"/>
  <c r="CS843" i="48" s="1"/>
  <c r="CX844" i="48"/>
  <c r="CS844" i="48" s="1"/>
  <c r="CX845" i="48"/>
  <c r="CS845" i="48" s="1"/>
  <c r="CX846" i="48"/>
  <c r="CS846" i="48" s="1"/>
  <c r="CX847" i="48"/>
  <c r="CS847" i="48" s="1"/>
  <c r="CX848" i="48"/>
  <c r="CS848" i="48" s="1"/>
  <c r="CX849" i="48"/>
  <c r="CS849" i="48" s="1"/>
  <c r="CX850" i="48"/>
  <c r="CX853" i="48"/>
  <c r="CX854" i="48"/>
  <c r="CS854" i="48" s="1"/>
  <c r="CX855" i="48"/>
  <c r="CS855" i="48" s="1"/>
  <c r="CX856" i="48"/>
  <c r="CS856" i="48" s="1"/>
  <c r="CX857" i="48"/>
  <c r="CS857" i="48" s="1"/>
  <c r="CX858" i="48"/>
  <c r="CS858" i="48" s="1"/>
  <c r="CX859" i="48"/>
  <c r="CS859" i="48" s="1"/>
  <c r="CX860" i="48"/>
  <c r="CS860" i="48" s="1"/>
  <c r="CX861" i="48"/>
  <c r="CS861" i="48" s="1"/>
  <c r="CX862" i="48"/>
  <c r="CS862" i="48" s="1"/>
  <c r="CX863" i="48"/>
  <c r="CS863" i="48" s="1"/>
  <c r="CX864" i="48"/>
  <c r="CS864" i="48" s="1"/>
  <c r="CX865" i="48"/>
  <c r="CS865" i="48" s="1"/>
  <c r="CX866" i="48"/>
  <c r="CS866" i="48" s="1"/>
  <c r="CX867" i="48"/>
  <c r="CS867" i="48" s="1"/>
  <c r="CX868" i="48"/>
  <c r="CS868" i="48" s="1"/>
  <c r="CX869" i="48"/>
  <c r="CS869" i="48" s="1"/>
  <c r="CX870" i="48"/>
  <c r="CS870" i="48" s="1"/>
  <c r="CX871" i="48"/>
  <c r="CS871" i="48" s="1"/>
  <c r="CX872" i="48"/>
  <c r="CS872" i="48" s="1"/>
  <c r="CX873" i="48"/>
  <c r="CS873" i="48" s="1"/>
  <c r="CX874" i="48"/>
  <c r="CS874" i="48" s="1"/>
  <c r="CX875" i="48"/>
  <c r="CX878" i="48"/>
  <c r="CX879" i="48"/>
  <c r="CS879" i="48" s="1"/>
  <c r="CX880" i="48"/>
  <c r="CS880" i="48" s="1"/>
  <c r="CX881" i="48"/>
  <c r="CS881" i="48" s="1"/>
  <c r="CX882" i="48"/>
  <c r="CS882" i="48" s="1"/>
  <c r="CX883" i="48"/>
  <c r="CS883" i="48" s="1"/>
  <c r="CX884" i="48"/>
  <c r="CS884" i="48" s="1"/>
  <c r="CX885" i="48"/>
  <c r="CS885" i="48" s="1"/>
  <c r="CX886" i="48"/>
  <c r="CS886" i="48" s="1"/>
  <c r="CX887" i="48"/>
  <c r="CS887" i="48" s="1"/>
  <c r="CX888" i="48"/>
  <c r="CS888" i="48" s="1"/>
  <c r="CX889" i="48"/>
  <c r="CS889" i="48" s="1"/>
  <c r="CX890" i="48"/>
  <c r="CS890" i="48" s="1"/>
  <c r="CX891" i="48"/>
  <c r="CS891" i="48" s="1"/>
  <c r="CX892" i="48"/>
  <c r="CS892" i="48" s="1"/>
  <c r="CX893" i="48"/>
  <c r="CS893" i="48" s="1"/>
  <c r="CX894" i="48"/>
  <c r="CS894" i="48" s="1"/>
  <c r="CX895" i="48"/>
  <c r="CS895" i="48" s="1"/>
  <c r="CX896" i="48"/>
  <c r="CS896" i="48" s="1"/>
  <c r="CX897" i="48"/>
  <c r="CS897" i="48" s="1"/>
  <c r="CX898" i="48"/>
  <c r="CS898" i="48" s="1"/>
  <c r="CX899" i="48"/>
  <c r="CS899" i="48" s="1"/>
  <c r="CX900" i="48"/>
  <c r="CX903" i="48"/>
  <c r="CX904" i="48"/>
  <c r="CS904" i="48" s="1"/>
  <c r="CX905" i="48"/>
  <c r="CS905" i="48" s="1"/>
  <c r="CX906" i="48"/>
  <c r="CS906" i="48" s="1"/>
  <c r="CX907" i="48"/>
  <c r="CS907" i="48" s="1"/>
  <c r="CX908" i="48"/>
  <c r="CS908" i="48" s="1"/>
  <c r="CX909" i="48"/>
  <c r="CS909" i="48" s="1"/>
  <c r="CX910" i="48"/>
  <c r="CS910" i="48" s="1"/>
  <c r="CX911" i="48"/>
  <c r="CS911" i="48" s="1"/>
  <c r="CX912" i="48"/>
  <c r="CS912" i="48" s="1"/>
  <c r="CX913" i="48"/>
  <c r="CS913" i="48" s="1"/>
  <c r="CX914" i="48"/>
  <c r="CS914" i="48" s="1"/>
  <c r="CX915" i="48"/>
  <c r="CS915" i="48" s="1"/>
  <c r="CX916" i="48"/>
  <c r="CS916" i="48" s="1"/>
  <c r="CX917" i="48"/>
  <c r="CS917" i="48" s="1"/>
  <c r="CX918" i="48"/>
  <c r="CS918" i="48" s="1"/>
  <c r="CX919" i="48"/>
  <c r="CS919" i="48" s="1"/>
  <c r="CX920" i="48"/>
  <c r="CS920" i="48" s="1"/>
  <c r="CX921" i="48"/>
  <c r="CS921" i="48" s="1"/>
  <c r="CX922" i="48"/>
  <c r="CS922" i="48" s="1"/>
  <c r="CX923" i="48"/>
  <c r="CS923" i="48" s="1"/>
  <c r="CX924" i="48"/>
  <c r="CS924" i="48" s="1"/>
  <c r="CX925" i="48"/>
  <c r="CX928" i="48"/>
  <c r="CX929" i="48"/>
  <c r="CS929" i="48" s="1"/>
  <c r="CX930" i="48"/>
  <c r="CS930" i="48" s="1"/>
  <c r="CX931" i="48"/>
  <c r="CS931" i="48" s="1"/>
  <c r="CX932" i="48"/>
  <c r="CS932" i="48" s="1"/>
  <c r="CX933" i="48"/>
  <c r="CS933" i="48" s="1"/>
  <c r="CX934" i="48"/>
  <c r="CS934" i="48" s="1"/>
  <c r="CX935" i="48"/>
  <c r="CS935" i="48" s="1"/>
  <c r="CX936" i="48"/>
  <c r="CS936" i="48" s="1"/>
  <c r="CX937" i="48"/>
  <c r="CS937" i="48" s="1"/>
  <c r="CX938" i="48"/>
  <c r="CS938" i="48" s="1"/>
  <c r="CX939" i="48"/>
  <c r="CS939" i="48" s="1"/>
  <c r="CX940" i="48"/>
  <c r="CS940" i="48" s="1"/>
  <c r="CX941" i="48"/>
  <c r="CS941" i="48" s="1"/>
  <c r="CX942" i="48"/>
  <c r="CS942" i="48" s="1"/>
  <c r="CX943" i="48"/>
  <c r="CS943" i="48" s="1"/>
  <c r="CX944" i="48"/>
  <c r="CS944" i="48" s="1"/>
  <c r="CX945" i="48"/>
  <c r="CS945" i="48" s="1"/>
  <c r="CX946" i="48"/>
  <c r="CS946" i="48" s="1"/>
  <c r="CX947" i="48"/>
  <c r="CS947" i="48" s="1"/>
  <c r="CX948" i="48"/>
  <c r="CS948" i="48" s="1"/>
  <c r="CX949" i="48"/>
  <c r="CS949" i="48" s="1"/>
  <c r="CX950" i="48"/>
  <c r="CX953" i="48"/>
  <c r="CX954" i="48"/>
  <c r="CS954" i="48" s="1"/>
  <c r="CX955" i="48"/>
  <c r="CS955" i="48" s="1"/>
  <c r="CX956" i="48"/>
  <c r="CS956" i="48" s="1"/>
  <c r="CX957" i="48"/>
  <c r="CS957" i="48" s="1"/>
  <c r="CX958" i="48"/>
  <c r="CS958" i="48" s="1"/>
  <c r="CX959" i="48"/>
  <c r="CS959" i="48" s="1"/>
  <c r="CX960" i="48"/>
  <c r="CS960" i="48" s="1"/>
  <c r="CX961" i="48"/>
  <c r="CS961" i="48" s="1"/>
  <c r="CX962" i="48"/>
  <c r="CS962" i="48" s="1"/>
  <c r="CX963" i="48"/>
  <c r="CS963" i="48" s="1"/>
  <c r="CX964" i="48"/>
  <c r="CS964" i="48" s="1"/>
  <c r="CX965" i="48"/>
  <c r="CS965" i="48" s="1"/>
  <c r="CX966" i="48"/>
  <c r="CS966" i="48" s="1"/>
  <c r="CX967" i="48"/>
  <c r="CS967" i="48" s="1"/>
  <c r="CX968" i="48"/>
  <c r="CS968" i="48" s="1"/>
  <c r="CX969" i="48"/>
  <c r="CS969" i="48" s="1"/>
  <c r="CX970" i="48"/>
  <c r="CS970" i="48" s="1"/>
  <c r="CX971" i="48"/>
  <c r="CS971" i="48" s="1"/>
  <c r="CX972" i="48"/>
  <c r="CS972" i="48" s="1"/>
  <c r="CX973" i="48"/>
  <c r="CS973" i="48" s="1"/>
  <c r="CX974" i="48"/>
  <c r="CS974" i="48" s="1"/>
  <c r="CX975" i="48"/>
  <c r="CX978" i="48"/>
  <c r="CX979" i="48"/>
  <c r="CS979" i="48" s="1"/>
  <c r="CX980" i="48"/>
  <c r="CS980" i="48" s="1"/>
  <c r="CX981" i="48"/>
  <c r="CS981" i="48" s="1"/>
  <c r="CX982" i="48"/>
  <c r="CS982" i="48" s="1"/>
  <c r="CX983" i="48"/>
  <c r="CS983" i="48" s="1"/>
  <c r="CX984" i="48"/>
  <c r="CS984" i="48" s="1"/>
  <c r="CX985" i="48"/>
  <c r="CS985" i="48" s="1"/>
  <c r="CX986" i="48"/>
  <c r="CS986" i="48" s="1"/>
  <c r="CX987" i="48"/>
  <c r="CS987" i="48" s="1"/>
  <c r="CX988" i="48"/>
  <c r="CS988" i="48" s="1"/>
  <c r="CX989" i="48"/>
  <c r="CS989" i="48" s="1"/>
  <c r="CX990" i="48"/>
  <c r="CS990" i="48" s="1"/>
  <c r="CX991" i="48"/>
  <c r="CS991" i="48" s="1"/>
  <c r="CX992" i="48"/>
  <c r="CS992" i="48" s="1"/>
  <c r="CX993" i="48"/>
  <c r="CS993" i="48" s="1"/>
  <c r="CX994" i="48"/>
  <c r="CS994" i="48" s="1"/>
  <c r="CX995" i="48"/>
  <c r="CS995" i="48" s="1"/>
  <c r="CX996" i="48"/>
  <c r="CS996" i="48" s="1"/>
  <c r="CX997" i="48"/>
  <c r="CS997" i="48" s="1"/>
  <c r="CX998" i="48"/>
  <c r="CS998" i="48" s="1"/>
  <c r="CX999" i="48"/>
  <c r="CS999" i="48" s="1"/>
  <c r="CX1000" i="48"/>
  <c r="CX1003" i="48"/>
  <c r="CX1004" i="48"/>
  <c r="CS1004" i="48" s="1"/>
  <c r="CX1005" i="48"/>
  <c r="CS1005" i="48" s="1"/>
  <c r="CX1006" i="48"/>
  <c r="CS1006" i="48" s="1"/>
  <c r="CX1007" i="48"/>
  <c r="CS1007" i="48" s="1"/>
  <c r="CX1008" i="48"/>
  <c r="CS1008" i="48" s="1"/>
  <c r="CX1009" i="48"/>
  <c r="CS1009" i="48" s="1"/>
  <c r="CX1010" i="48"/>
  <c r="CS1010" i="48" s="1"/>
  <c r="CX1011" i="48"/>
  <c r="CS1011" i="48" s="1"/>
  <c r="CX1012" i="48"/>
  <c r="CS1012" i="48" s="1"/>
  <c r="CX1013" i="48"/>
  <c r="CS1013" i="48" s="1"/>
  <c r="CX1014" i="48"/>
  <c r="CS1014" i="48" s="1"/>
  <c r="CX1015" i="48"/>
  <c r="CS1015" i="48" s="1"/>
  <c r="CX1016" i="48"/>
  <c r="CS1016" i="48" s="1"/>
  <c r="CX1017" i="48"/>
  <c r="CS1017" i="48" s="1"/>
  <c r="CX1018" i="48"/>
  <c r="CS1018" i="48" s="1"/>
  <c r="CX1019" i="48"/>
  <c r="CS1019" i="48" s="1"/>
  <c r="CX1020" i="48"/>
  <c r="CS1020" i="48" s="1"/>
  <c r="CX1021" i="48"/>
  <c r="CS1021" i="48" s="1"/>
  <c r="CX1022" i="48"/>
  <c r="CS1022" i="48" s="1"/>
  <c r="CX1023" i="48"/>
  <c r="CS1023" i="48" s="1"/>
  <c r="CX1024" i="48"/>
  <c r="CS1024" i="48" s="1"/>
  <c r="CX1025" i="48"/>
  <c r="CX1028" i="48"/>
  <c r="CX1029" i="48"/>
  <c r="CS1029" i="48" s="1"/>
  <c r="CX1030" i="48"/>
  <c r="CS1030" i="48" s="1"/>
  <c r="CX1031" i="48"/>
  <c r="CS1031" i="48" s="1"/>
  <c r="CX1032" i="48"/>
  <c r="CS1032" i="48" s="1"/>
  <c r="CX1033" i="48"/>
  <c r="CS1033" i="48" s="1"/>
  <c r="CX1034" i="48"/>
  <c r="CS1034" i="48" s="1"/>
  <c r="CX1035" i="48"/>
  <c r="CS1035" i="48" s="1"/>
  <c r="CX1036" i="48"/>
  <c r="CS1036" i="48" s="1"/>
  <c r="CX1037" i="48"/>
  <c r="CS1037" i="48" s="1"/>
  <c r="CX1038" i="48"/>
  <c r="CS1038" i="48" s="1"/>
  <c r="CX1039" i="48"/>
  <c r="CS1039" i="48" s="1"/>
  <c r="CX1040" i="48"/>
  <c r="CS1040" i="48" s="1"/>
  <c r="CX1041" i="48"/>
  <c r="CS1041" i="48" s="1"/>
  <c r="CX1042" i="48"/>
  <c r="CS1042" i="48" s="1"/>
  <c r="CX1043" i="48"/>
  <c r="CS1043" i="48" s="1"/>
  <c r="CX1044" i="48"/>
  <c r="CS1044" i="48" s="1"/>
  <c r="CX1045" i="48"/>
  <c r="CS1045" i="48" s="1"/>
  <c r="CX1046" i="48"/>
  <c r="CS1046" i="48" s="1"/>
  <c r="CX1047" i="48"/>
  <c r="CS1047" i="48" s="1"/>
  <c r="CX1048" i="48"/>
  <c r="CS1048" i="48" s="1"/>
  <c r="CX1049" i="48"/>
  <c r="CS1049" i="48" s="1"/>
  <c r="CX1050" i="48"/>
  <c r="CX1053" i="48"/>
  <c r="CX1054" i="48"/>
  <c r="CS1054" i="48" s="1"/>
  <c r="CX1055" i="48"/>
  <c r="CS1055" i="48" s="1"/>
  <c r="CX1056" i="48"/>
  <c r="CS1056" i="48" s="1"/>
  <c r="CX1057" i="48"/>
  <c r="CS1057" i="48" s="1"/>
  <c r="CX1058" i="48"/>
  <c r="CS1058" i="48" s="1"/>
  <c r="CX1059" i="48"/>
  <c r="CS1059" i="48" s="1"/>
  <c r="CX1060" i="48"/>
  <c r="CS1060" i="48" s="1"/>
  <c r="CX1061" i="48"/>
  <c r="CS1061" i="48" s="1"/>
  <c r="CX1062" i="48"/>
  <c r="CS1062" i="48" s="1"/>
  <c r="CX1063" i="48"/>
  <c r="CS1063" i="48" s="1"/>
  <c r="CX1064" i="48"/>
  <c r="CS1064" i="48" s="1"/>
  <c r="CX1065" i="48"/>
  <c r="CS1065" i="48" s="1"/>
  <c r="CX1066" i="48"/>
  <c r="CS1066" i="48" s="1"/>
  <c r="CX1067" i="48"/>
  <c r="CS1067" i="48" s="1"/>
  <c r="CX1068" i="48"/>
  <c r="CS1068" i="48" s="1"/>
  <c r="CX1069" i="48"/>
  <c r="CS1069" i="48" s="1"/>
  <c r="CX1070" i="48"/>
  <c r="CS1070" i="48" s="1"/>
  <c r="CX1071" i="48"/>
  <c r="CS1071" i="48" s="1"/>
  <c r="CX1072" i="48"/>
  <c r="CS1072" i="48" s="1"/>
  <c r="CX1073" i="48"/>
  <c r="CS1073" i="48" s="1"/>
  <c r="CX1074" i="48"/>
  <c r="CS1074" i="48" s="1"/>
  <c r="CX1078" i="48"/>
  <c r="CX1079" i="48"/>
  <c r="CS1079" i="48" s="1"/>
  <c r="CX1080" i="48"/>
  <c r="CS1080" i="48" s="1"/>
  <c r="CX1081" i="48"/>
  <c r="CS1081" i="48" s="1"/>
  <c r="CX1082" i="48"/>
  <c r="CS1082" i="48" s="1"/>
  <c r="CX1083" i="48"/>
  <c r="CS1083" i="48" s="1"/>
  <c r="CX1084" i="48"/>
  <c r="CS1084" i="48" s="1"/>
  <c r="CX1085" i="48"/>
  <c r="CS1085" i="48" s="1"/>
  <c r="CX1086" i="48"/>
  <c r="CS1086" i="48" s="1"/>
  <c r="CX1087" i="48"/>
  <c r="CS1087" i="48" s="1"/>
  <c r="CX1088" i="48"/>
  <c r="CS1088" i="48" s="1"/>
  <c r="CX1089" i="48"/>
  <c r="CS1089" i="48" s="1"/>
  <c r="CX1090" i="48"/>
  <c r="CS1090" i="48" s="1"/>
  <c r="CX1091" i="48"/>
  <c r="CS1091" i="48" s="1"/>
  <c r="CX1092" i="48"/>
  <c r="CS1092" i="48" s="1"/>
  <c r="CX1093" i="48"/>
  <c r="CS1093" i="48" s="1"/>
  <c r="CX1094" i="48"/>
  <c r="CS1094" i="48" s="1"/>
  <c r="CX1095" i="48"/>
  <c r="CS1095" i="48" s="1"/>
  <c r="CX1096" i="48"/>
  <c r="CS1096" i="48" s="1"/>
  <c r="CX1097" i="48"/>
  <c r="CS1097" i="48" s="1"/>
  <c r="CX1098" i="48"/>
  <c r="CS1098" i="48" s="1"/>
  <c r="CX1099" i="48"/>
  <c r="CS1099" i="48" s="1"/>
  <c r="CX1100" i="48"/>
  <c r="CX1103" i="48"/>
  <c r="CX1104" i="48"/>
  <c r="CS1104" i="48" s="1"/>
  <c r="CX1105" i="48"/>
  <c r="CS1105" i="48" s="1"/>
  <c r="CX1106" i="48"/>
  <c r="CS1106" i="48" s="1"/>
  <c r="CX1107" i="48"/>
  <c r="CS1107" i="48" s="1"/>
  <c r="CX1108" i="48"/>
  <c r="CS1108" i="48" s="1"/>
  <c r="CX1109" i="48"/>
  <c r="CS1109" i="48" s="1"/>
  <c r="CX1110" i="48"/>
  <c r="CS1110" i="48" s="1"/>
  <c r="CX1111" i="48"/>
  <c r="CS1111" i="48" s="1"/>
  <c r="CX1112" i="48"/>
  <c r="CS1112" i="48" s="1"/>
  <c r="CX1113" i="48"/>
  <c r="CS1113" i="48" s="1"/>
  <c r="CX1114" i="48"/>
  <c r="CS1114" i="48" s="1"/>
  <c r="CX1115" i="48"/>
  <c r="CS1115" i="48" s="1"/>
  <c r="CX1116" i="48"/>
  <c r="CS1116" i="48" s="1"/>
  <c r="CX1117" i="48"/>
  <c r="CS1117" i="48" s="1"/>
  <c r="CX1118" i="48"/>
  <c r="CS1118" i="48" s="1"/>
  <c r="CX1119" i="48"/>
  <c r="CS1119" i="48" s="1"/>
  <c r="CX1120" i="48"/>
  <c r="CS1120" i="48" s="1"/>
  <c r="CX1121" i="48"/>
  <c r="CS1121" i="48" s="1"/>
  <c r="CX1122" i="48"/>
  <c r="CS1122" i="48" s="1"/>
  <c r="CX1123" i="48"/>
  <c r="CS1123" i="48" s="1"/>
  <c r="CX1124" i="48"/>
  <c r="CS1124" i="48" s="1"/>
  <c r="CX1125" i="48"/>
  <c r="CX1128" i="48"/>
  <c r="CX1129" i="48"/>
  <c r="CS1129" i="48" s="1"/>
  <c r="CX1130" i="48"/>
  <c r="CS1130" i="48" s="1"/>
  <c r="CX1131" i="48"/>
  <c r="CS1131" i="48" s="1"/>
  <c r="CX1132" i="48"/>
  <c r="CS1132" i="48" s="1"/>
  <c r="CX1133" i="48"/>
  <c r="CS1133" i="48" s="1"/>
  <c r="CX1134" i="48"/>
  <c r="CS1134" i="48" s="1"/>
  <c r="CX1135" i="48"/>
  <c r="CS1135" i="48" s="1"/>
  <c r="CX1136" i="48"/>
  <c r="CS1136" i="48" s="1"/>
  <c r="CX1137" i="48"/>
  <c r="CS1137" i="48" s="1"/>
  <c r="CX1138" i="48"/>
  <c r="CS1138" i="48" s="1"/>
  <c r="CX1139" i="48"/>
  <c r="CS1139" i="48" s="1"/>
  <c r="CX1140" i="48"/>
  <c r="CS1140" i="48" s="1"/>
  <c r="CX1141" i="48"/>
  <c r="CS1141" i="48" s="1"/>
  <c r="CX1142" i="48"/>
  <c r="CS1142" i="48" s="1"/>
  <c r="CX1143" i="48"/>
  <c r="CS1143" i="48" s="1"/>
  <c r="CX1144" i="48"/>
  <c r="CS1144" i="48" s="1"/>
  <c r="CX1145" i="48"/>
  <c r="CS1145" i="48" s="1"/>
  <c r="CX1146" i="48"/>
  <c r="CS1146" i="48" s="1"/>
  <c r="CX1147" i="48"/>
  <c r="CS1147" i="48" s="1"/>
  <c r="CX1148" i="48"/>
  <c r="CS1148" i="48" s="1"/>
  <c r="CX1149" i="48"/>
  <c r="CS1149" i="48" s="1"/>
  <c r="CX1150" i="48"/>
  <c r="CX1153" i="48"/>
  <c r="CX1154" i="48"/>
  <c r="CS1154" i="48" s="1"/>
  <c r="CX1155" i="48"/>
  <c r="CS1155" i="48" s="1"/>
  <c r="CX1156" i="48"/>
  <c r="CS1156" i="48" s="1"/>
  <c r="CX1157" i="48"/>
  <c r="CS1157" i="48" s="1"/>
  <c r="CX1158" i="48"/>
  <c r="CS1158" i="48" s="1"/>
  <c r="CX1159" i="48"/>
  <c r="CS1159" i="48" s="1"/>
  <c r="CX1160" i="48"/>
  <c r="CS1160" i="48" s="1"/>
  <c r="CX1161" i="48"/>
  <c r="CS1161" i="48" s="1"/>
  <c r="CX1162" i="48"/>
  <c r="CS1162" i="48" s="1"/>
  <c r="CX1163" i="48"/>
  <c r="CS1163" i="48" s="1"/>
  <c r="CX1164" i="48"/>
  <c r="CS1164" i="48" s="1"/>
  <c r="CX1165" i="48"/>
  <c r="CS1165" i="48" s="1"/>
  <c r="CX1166" i="48"/>
  <c r="CS1166" i="48" s="1"/>
  <c r="CX1167" i="48"/>
  <c r="CS1167" i="48" s="1"/>
  <c r="CX1168" i="48"/>
  <c r="CS1168" i="48" s="1"/>
  <c r="CX1169" i="48"/>
  <c r="CS1169" i="48" s="1"/>
  <c r="CX1170" i="48"/>
  <c r="CS1170" i="48" s="1"/>
  <c r="CX1171" i="48"/>
  <c r="CS1171" i="48" s="1"/>
  <c r="CX1172" i="48"/>
  <c r="CS1172" i="48" s="1"/>
  <c r="CX1173" i="48"/>
  <c r="CS1173" i="48" s="1"/>
  <c r="CX1174" i="48"/>
  <c r="CS1174" i="48" s="1"/>
  <c r="CX1175" i="48"/>
  <c r="CX1178" i="48"/>
  <c r="CX1179" i="48"/>
  <c r="CS1179" i="48" s="1"/>
  <c r="CX1180" i="48"/>
  <c r="CS1180" i="48" s="1"/>
  <c r="CX1181" i="48"/>
  <c r="CS1181" i="48" s="1"/>
  <c r="CX1182" i="48"/>
  <c r="CS1182" i="48" s="1"/>
  <c r="CX1183" i="48"/>
  <c r="CS1183" i="48" s="1"/>
  <c r="CX1184" i="48"/>
  <c r="CS1184" i="48" s="1"/>
  <c r="CX1185" i="48"/>
  <c r="CS1185" i="48" s="1"/>
  <c r="CX1186" i="48"/>
  <c r="CS1186" i="48" s="1"/>
  <c r="CX1187" i="48"/>
  <c r="CS1187" i="48" s="1"/>
  <c r="CX1188" i="48"/>
  <c r="CS1188" i="48" s="1"/>
  <c r="CX1189" i="48"/>
  <c r="CS1189" i="48" s="1"/>
  <c r="CX1190" i="48"/>
  <c r="CS1190" i="48" s="1"/>
  <c r="CX1191" i="48"/>
  <c r="CS1191" i="48" s="1"/>
  <c r="CX1192" i="48"/>
  <c r="CS1192" i="48" s="1"/>
  <c r="CX1193" i="48"/>
  <c r="CS1193" i="48" s="1"/>
  <c r="CX1194" i="48"/>
  <c r="CS1194" i="48" s="1"/>
  <c r="CX1195" i="48"/>
  <c r="CS1195" i="48" s="1"/>
  <c r="CX1196" i="48"/>
  <c r="CS1196" i="48" s="1"/>
  <c r="CX1197" i="48"/>
  <c r="CS1197" i="48" s="1"/>
  <c r="CX1198" i="48"/>
  <c r="CS1198" i="48" s="1"/>
  <c r="CX1199" i="48"/>
  <c r="CS1199" i="48" s="1"/>
  <c r="CX1200" i="48"/>
  <c r="CX1203" i="48"/>
  <c r="CX1204" i="48"/>
  <c r="CS1204" i="48" s="1"/>
  <c r="CX1205" i="48"/>
  <c r="CS1205" i="48" s="1"/>
  <c r="CX1206" i="48"/>
  <c r="CS1206" i="48" s="1"/>
  <c r="CX1207" i="48"/>
  <c r="CS1207" i="48" s="1"/>
  <c r="CX1208" i="48"/>
  <c r="CS1208" i="48" s="1"/>
  <c r="CX1209" i="48"/>
  <c r="CS1209" i="48" s="1"/>
  <c r="CX1210" i="48"/>
  <c r="CS1210" i="48" s="1"/>
  <c r="CX1211" i="48"/>
  <c r="CS1211" i="48" s="1"/>
  <c r="CX1212" i="48"/>
  <c r="CS1212" i="48" s="1"/>
  <c r="CX1213" i="48"/>
  <c r="CS1213" i="48" s="1"/>
  <c r="CX1214" i="48"/>
  <c r="CS1214" i="48" s="1"/>
  <c r="CX1215" i="48"/>
  <c r="CS1215" i="48" s="1"/>
  <c r="CX1216" i="48"/>
  <c r="CS1216" i="48" s="1"/>
  <c r="CX1217" i="48"/>
  <c r="CS1217" i="48" s="1"/>
  <c r="CX1218" i="48"/>
  <c r="CS1218" i="48" s="1"/>
  <c r="CX1219" i="48"/>
  <c r="CS1219" i="48" s="1"/>
  <c r="CX1220" i="48"/>
  <c r="CS1220" i="48" s="1"/>
  <c r="CX1221" i="48"/>
  <c r="CS1221" i="48" s="1"/>
  <c r="CX1222" i="48"/>
  <c r="CS1222" i="48" s="1"/>
  <c r="CX1223" i="48"/>
  <c r="CS1223" i="48" s="1"/>
  <c r="CX1224" i="48"/>
  <c r="CS1224" i="48" s="1"/>
  <c r="CX1225" i="48"/>
  <c r="CX1228" i="48"/>
  <c r="CX1229" i="48"/>
  <c r="CS1229" i="48" s="1"/>
  <c r="CX1230" i="48"/>
  <c r="CS1230" i="48" s="1"/>
  <c r="CX1231" i="48"/>
  <c r="CS1231" i="48" s="1"/>
  <c r="CX1232" i="48"/>
  <c r="CS1232" i="48" s="1"/>
  <c r="CX1233" i="48"/>
  <c r="CS1233" i="48" s="1"/>
  <c r="CX1234" i="48"/>
  <c r="CS1234" i="48" s="1"/>
  <c r="CX1235" i="48"/>
  <c r="CS1235" i="48" s="1"/>
  <c r="CX1236" i="48"/>
  <c r="CS1236" i="48" s="1"/>
  <c r="CX1237" i="48"/>
  <c r="CS1237" i="48" s="1"/>
  <c r="CX1238" i="48"/>
  <c r="CS1238" i="48" s="1"/>
  <c r="CX1239" i="48"/>
  <c r="CS1239" i="48" s="1"/>
  <c r="CX1240" i="48"/>
  <c r="CS1240" i="48" s="1"/>
  <c r="CX1241" i="48"/>
  <c r="CS1241" i="48" s="1"/>
  <c r="CX1242" i="48"/>
  <c r="CS1242" i="48" s="1"/>
  <c r="CX1243" i="48"/>
  <c r="CS1243" i="48" s="1"/>
  <c r="CX1244" i="48"/>
  <c r="CS1244" i="48" s="1"/>
  <c r="CX1245" i="48"/>
  <c r="CS1245" i="48" s="1"/>
  <c r="CX1246" i="48"/>
  <c r="CS1246" i="48" s="1"/>
  <c r="CX1247" i="48"/>
  <c r="CS1247" i="48" s="1"/>
  <c r="CX1248" i="48"/>
  <c r="CS1248" i="48" s="1"/>
  <c r="CX1249" i="48"/>
  <c r="CS1249" i="48" s="1"/>
  <c r="CX1250" i="48"/>
  <c r="CX1253" i="48"/>
  <c r="CX1254" i="48"/>
  <c r="CS1254" i="48" s="1"/>
  <c r="CX1255" i="48"/>
  <c r="CS1255" i="48" s="1"/>
  <c r="CX1256" i="48"/>
  <c r="CS1256" i="48" s="1"/>
  <c r="CX1257" i="48"/>
  <c r="CS1257" i="48" s="1"/>
  <c r="CX1258" i="48"/>
  <c r="CS1258" i="48" s="1"/>
  <c r="CX1259" i="48"/>
  <c r="CS1259" i="48" s="1"/>
  <c r="CX1260" i="48"/>
  <c r="CS1260" i="48" s="1"/>
  <c r="CX1261" i="48"/>
  <c r="CS1261" i="48" s="1"/>
  <c r="CX1262" i="48"/>
  <c r="CS1262" i="48" s="1"/>
  <c r="CX1263" i="48"/>
  <c r="CS1263" i="48" s="1"/>
  <c r="CX1264" i="48"/>
  <c r="CS1264" i="48" s="1"/>
  <c r="CX1265" i="48"/>
  <c r="CS1265" i="48" s="1"/>
  <c r="CX1266" i="48"/>
  <c r="CS1266" i="48" s="1"/>
  <c r="CX1267" i="48"/>
  <c r="CS1267" i="48" s="1"/>
  <c r="CX1268" i="48"/>
  <c r="CS1268" i="48" s="1"/>
  <c r="CX1269" i="48"/>
  <c r="CS1269" i="48" s="1"/>
  <c r="CX1270" i="48"/>
  <c r="CS1270" i="48" s="1"/>
  <c r="CX1271" i="48"/>
  <c r="CS1271" i="48" s="1"/>
  <c r="CX1272" i="48"/>
  <c r="CS1272" i="48" s="1"/>
  <c r="CX1273" i="48"/>
  <c r="CS1273" i="48" s="1"/>
  <c r="CX1274" i="48"/>
  <c r="CS1274" i="48" s="1"/>
  <c r="CX1275" i="48"/>
  <c r="CX1278" i="48"/>
  <c r="CX1279" i="48"/>
  <c r="CS1279" i="48" s="1"/>
  <c r="CX1280" i="48"/>
  <c r="CS1280" i="48" s="1"/>
  <c r="CX1281" i="48"/>
  <c r="CS1281" i="48" s="1"/>
  <c r="CX1282" i="48"/>
  <c r="CS1282" i="48" s="1"/>
  <c r="CX1283" i="48"/>
  <c r="CS1283" i="48" s="1"/>
  <c r="CX1284" i="48"/>
  <c r="CS1284" i="48" s="1"/>
  <c r="CX1285" i="48"/>
  <c r="CS1285" i="48" s="1"/>
  <c r="CX1286" i="48"/>
  <c r="CS1286" i="48" s="1"/>
  <c r="CX1287" i="48"/>
  <c r="CS1287" i="48" s="1"/>
  <c r="CX1288" i="48"/>
  <c r="CS1288" i="48" s="1"/>
  <c r="CX1289" i="48"/>
  <c r="CS1289" i="48" s="1"/>
  <c r="CX1290" i="48"/>
  <c r="CS1290" i="48" s="1"/>
  <c r="CX1291" i="48"/>
  <c r="CS1291" i="48" s="1"/>
  <c r="CX1292" i="48"/>
  <c r="CS1292" i="48" s="1"/>
  <c r="CX1293" i="48"/>
  <c r="CS1293" i="48" s="1"/>
  <c r="CX1294" i="48"/>
  <c r="CS1294" i="48" s="1"/>
  <c r="CX1295" i="48"/>
  <c r="CS1295" i="48" s="1"/>
  <c r="CX1296" i="48"/>
  <c r="CS1296" i="48" s="1"/>
  <c r="CX1297" i="48"/>
  <c r="CS1297" i="48" s="1"/>
  <c r="CX1298" i="48"/>
  <c r="CS1298" i="48" s="1"/>
  <c r="CX1299" i="48"/>
  <c r="CS1299" i="48" s="1"/>
  <c r="CX1303" i="48"/>
  <c r="CX1304" i="48"/>
  <c r="CS1304" i="48" s="1"/>
  <c r="CX1305" i="48"/>
  <c r="CS1305" i="48" s="1"/>
  <c r="CX1306" i="48"/>
  <c r="CS1306" i="48" s="1"/>
  <c r="CX1307" i="48"/>
  <c r="CS1307" i="48" s="1"/>
  <c r="CX1308" i="48"/>
  <c r="CS1308" i="48" s="1"/>
  <c r="CX1309" i="48"/>
  <c r="CS1309" i="48" s="1"/>
  <c r="CX1310" i="48"/>
  <c r="CS1310" i="48" s="1"/>
  <c r="CX1311" i="48"/>
  <c r="CS1311" i="48" s="1"/>
  <c r="CX1312" i="48"/>
  <c r="CS1312" i="48" s="1"/>
  <c r="CX1313" i="48"/>
  <c r="CS1313" i="48" s="1"/>
  <c r="CX1314" i="48"/>
  <c r="CS1314" i="48" s="1"/>
  <c r="CX1315" i="48"/>
  <c r="CS1315" i="48" s="1"/>
  <c r="CX1316" i="48"/>
  <c r="CS1316" i="48" s="1"/>
  <c r="CX1317" i="48"/>
  <c r="CS1317" i="48" s="1"/>
  <c r="CX1318" i="48"/>
  <c r="CS1318" i="48" s="1"/>
  <c r="CX1319" i="48"/>
  <c r="CS1319" i="48" s="1"/>
  <c r="CX1320" i="48"/>
  <c r="CS1320" i="48" s="1"/>
  <c r="CX1321" i="48"/>
  <c r="CS1321" i="48" s="1"/>
  <c r="CX1322" i="48"/>
  <c r="CS1322" i="48" s="1"/>
  <c r="CX1323" i="48"/>
  <c r="CS1323" i="48" s="1"/>
  <c r="CX1324" i="48"/>
  <c r="CS1324" i="48" s="1"/>
  <c r="CX1325" i="48"/>
  <c r="CX1328" i="48"/>
  <c r="CX1329" i="48"/>
  <c r="CS1329" i="48" s="1"/>
  <c r="CX1330" i="48"/>
  <c r="CS1330" i="48" s="1"/>
  <c r="CX1331" i="48"/>
  <c r="CS1331" i="48" s="1"/>
  <c r="CX1332" i="48"/>
  <c r="CS1332" i="48" s="1"/>
  <c r="CX1333" i="48"/>
  <c r="CS1333" i="48" s="1"/>
  <c r="CX1334" i="48"/>
  <c r="CS1334" i="48" s="1"/>
  <c r="CX1335" i="48"/>
  <c r="CS1335" i="48" s="1"/>
  <c r="CX1336" i="48"/>
  <c r="CS1336" i="48" s="1"/>
  <c r="CX1337" i="48"/>
  <c r="CS1337" i="48" s="1"/>
  <c r="CX1338" i="48"/>
  <c r="CS1338" i="48" s="1"/>
  <c r="CX1339" i="48"/>
  <c r="CS1339" i="48" s="1"/>
  <c r="CX1340" i="48"/>
  <c r="CS1340" i="48" s="1"/>
  <c r="CX1341" i="48"/>
  <c r="CS1341" i="48" s="1"/>
  <c r="CX1342" i="48"/>
  <c r="CS1342" i="48" s="1"/>
  <c r="CX1343" i="48"/>
  <c r="CS1343" i="48" s="1"/>
  <c r="CX1344" i="48"/>
  <c r="CS1344" i="48" s="1"/>
  <c r="CX1345" i="48"/>
  <c r="CS1345" i="48" s="1"/>
  <c r="CX1346" i="48"/>
  <c r="CS1346" i="48" s="1"/>
  <c r="CX1347" i="48"/>
  <c r="CS1347" i="48" s="1"/>
  <c r="CX1348" i="48"/>
  <c r="CS1348" i="48" s="1"/>
  <c r="CX1349" i="48"/>
  <c r="CS1349" i="48" s="1"/>
  <c r="CX1350" i="48"/>
  <c r="CX3" i="48"/>
  <c r="E13" i="53"/>
  <c r="C13" i="53"/>
  <c r="BM51" i="48" l="1"/>
  <c r="CX827" i="48"/>
  <c r="CS827" i="48" s="1"/>
  <c r="CS826" i="48"/>
  <c r="CS650" i="48"/>
  <c r="CX651" i="48"/>
  <c r="CX652" i="48" s="1"/>
  <c r="CS652" i="48" s="1"/>
  <c r="CS50" i="48"/>
  <c r="CX51" i="48"/>
  <c r="CX52" i="48" s="1"/>
  <c r="CS52" i="48" s="1"/>
  <c r="CS1200" i="48"/>
  <c r="CX1201" i="48"/>
  <c r="CX1202" i="48" s="1"/>
  <c r="CS1202" i="48" s="1"/>
  <c r="CS1025" i="48"/>
  <c r="CX1026" i="48"/>
  <c r="CX1027" i="48" s="1"/>
  <c r="CS1027" i="48" s="1"/>
  <c r="CS825" i="48"/>
  <c r="CS625" i="48"/>
  <c r="CX626" i="48"/>
  <c r="CX627" i="48" s="1"/>
  <c r="CS425" i="48"/>
  <c r="CX426" i="48"/>
  <c r="CX427" i="48" s="1"/>
  <c r="CS427" i="48" s="1"/>
  <c r="CS1225" i="48"/>
  <c r="CX1226" i="48"/>
  <c r="CX1227" i="48" s="1"/>
  <c r="CS1227" i="48" s="1"/>
  <c r="CS850" i="48"/>
  <c r="CX851" i="48"/>
  <c r="CX852" i="48" s="1"/>
  <c r="CS852" i="48" s="1"/>
  <c r="CS1250" i="48"/>
  <c r="CX1251" i="48"/>
  <c r="CX1252" i="48" s="1"/>
  <c r="CS1252" i="48" s="1"/>
  <c r="CS875" i="48"/>
  <c r="CX876" i="48"/>
  <c r="CX877" i="48" s="1"/>
  <c r="CS877" i="48" s="1"/>
  <c r="CS675" i="48"/>
  <c r="CX676" i="48"/>
  <c r="CX677" i="48" s="1"/>
  <c r="CS475" i="48"/>
  <c r="CX476" i="48"/>
  <c r="CX477" i="48" s="1"/>
  <c r="CS477" i="48" s="1"/>
  <c r="CS275" i="48"/>
  <c r="CX276" i="48"/>
  <c r="CX277" i="48" s="1"/>
  <c r="CS277" i="48" s="1"/>
  <c r="CS75" i="48"/>
  <c r="CX76" i="48"/>
  <c r="CX77" i="48" s="1"/>
  <c r="CS77" i="48" s="1"/>
  <c r="CS1275" i="48"/>
  <c r="CX1276" i="48"/>
  <c r="CX1277" i="48" s="1"/>
  <c r="CS1277" i="48" s="1"/>
  <c r="CS900" i="48"/>
  <c r="CX901" i="48"/>
  <c r="CX902" i="48" s="1"/>
  <c r="CS902" i="48" s="1"/>
  <c r="CS700" i="48"/>
  <c r="CX701" i="48"/>
  <c r="CX702" i="48" s="1"/>
  <c r="CS500" i="48"/>
  <c r="CX501" i="48"/>
  <c r="CX502" i="48" s="1"/>
  <c r="CS502" i="48" s="1"/>
  <c r="CS300" i="48"/>
  <c r="CX301" i="48"/>
  <c r="CX302" i="48" s="1"/>
  <c r="CS302" i="48" s="1"/>
  <c r="CS100" i="48"/>
  <c r="CX101" i="48"/>
  <c r="CX102" i="48" s="1"/>
  <c r="CS102" i="48" s="1"/>
  <c r="CS450" i="48"/>
  <c r="CX451" i="48"/>
  <c r="CX452" i="48" s="1"/>
  <c r="CS452" i="48" s="1"/>
  <c r="CS1100" i="48"/>
  <c r="CX1101" i="48"/>
  <c r="CX1102" i="48" s="1"/>
  <c r="CS1102" i="48" s="1"/>
  <c r="CS925" i="48"/>
  <c r="CX926" i="48"/>
  <c r="CX927" i="48" s="1"/>
  <c r="CS927" i="48" s="1"/>
  <c r="CS725" i="48"/>
  <c r="CX726" i="48"/>
  <c r="CX727" i="48" s="1"/>
  <c r="CS727" i="48" s="1"/>
  <c r="CS525" i="48"/>
  <c r="CX526" i="48"/>
  <c r="CX527" i="48" s="1"/>
  <c r="CS527" i="48" s="1"/>
  <c r="CS325" i="48"/>
  <c r="CX326" i="48"/>
  <c r="CX327" i="48" s="1"/>
  <c r="CS327" i="48" s="1"/>
  <c r="CS250" i="48"/>
  <c r="CX251" i="48"/>
  <c r="CX252" i="48" s="1"/>
  <c r="CS252" i="48" s="1"/>
  <c r="CS125" i="48"/>
  <c r="CX126" i="48"/>
  <c r="CX127" i="48" s="1"/>
  <c r="CS127" i="48" s="1"/>
  <c r="CS1125" i="48"/>
  <c r="CX1126" i="48"/>
  <c r="CX1127" i="48" s="1"/>
  <c r="CS1127" i="48" s="1"/>
  <c r="CS950" i="48"/>
  <c r="CX951" i="48"/>
  <c r="CX952" i="48" s="1"/>
  <c r="CS952" i="48" s="1"/>
  <c r="CS750" i="48"/>
  <c r="CX751" i="48"/>
  <c r="CX752" i="48" s="1"/>
  <c r="CS550" i="48"/>
  <c r="CX551" i="48"/>
  <c r="CX552" i="48" s="1"/>
  <c r="CS552" i="48" s="1"/>
  <c r="CS350" i="48"/>
  <c r="CX351" i="48"/>
  <c r="CX352" i="48" s="1"/>
  <c r="CS352" i="48" s="1"/>
  <c r="CS225" i="48"/>
  <c r="CX226" i="48"/>
  <c r="CX227" i="48" s="1"/>
  <c r="CS227" i="48" s="1"/>
  <c r="CS150" i="48"/>
  <c r="CX151" i="48"/>
  <c r="CX152" i="48" s="1"/>
  <c r="CS152" i="48" s="1"/>
  <c r="CS1050" i="48"/>
  <c r="CX1051" i="48"/>
  <c r="CX1052" i="48" s="1"/>
  <c r="CS1052" i="48" s="1"/>
  <c r="CS1325" i="48"/>
  <c r="CX1326" i="48"/>
  <c r="CX1327" i="48" s="1"/>
  <c r="CS1327" i="48" s="1"/>
  <c r="CS1150" i="48"/>
  <c r="CX1151" i="48"/>
  <c r="CX1152" i="48" s="1"/>
  <c r="CS1152" i="48" s="1"/>
  <c r="CS975" i="48"/>
  <c r="CX976" i="48"/>
  <c r="CX977" i="48" s="1"/>
  <c r="CS977" i="48" s="1"/>
  <c r="CS775" i="48"/>
  <c r="CX776" i="48"/>
  <c r="CS575" i="48"/>
  <c r="CX576" i="48"/>
  <c r="CX577" i="48" s="1"/>
  <c r="CS577" i="48" s="1"/>
  <c r="CS375" i="48"/>
  <c r="CX376" i="48"/>
  <c r="CX377" i="48" s="1"/>
  <c r="CS377" i="48" s="1"/>
  <c r="CS200" i="48"/>
  <c r="CX201" i="48"/>
  <c r="CX202" i="48" s="1"/>
  <c r="CS202" i="48" s="1"/>
  <c r="CS1350" i="48"/>
  <c r="CX1351" i="48"/>
  <c r="CX1352" i="48" s="1"/>
  <c r="CS1352" i="48" s="1"/>
  <c r="CS1175" i="48"/>
  <c r="CX1176" i="48"/>
  <c r="CX1177" i="48" s="1"/>
  <c r="CS1177" i="48" s="1"/>
  <c r="CS1000" i="48"/>
  <c r="CX1001" i="48"/>
  <c r="CX1002" i="48" s="1"/>
  <c r="CS1002" i="48" s="1"/>
  <c r="CS800" i="48"/>
  <c r="CX801" i="48"/>
  <c r="CX802" i="48" s="1"/>
  <c r="CS802" i="48" s="1"/>
  <c r="CS600" i="48"/>
  <c r="CX601" i="48"/>
  <c r="CX602" i="48" s="1"/>
  <c r="CS602" i="48" s="1"/>
  <c r="CS400" i="48"/>
  <c r="CX401" i="48"/>
  <c r="CX402" i="48" s="1"/>
  <c r="CS402" i="48" s="1"/>
  <c r="CS25" i="48"/>
  <c r="CX26" i="48"/>
  <c r="CX27" i="48" s="1"/>
  <c r="CS27" i="48" s="1"/>
  <c r="CN1307" i="48"/>
  <c r="CP1307" i="48" s="1"/>
  <c r="CN430" i="48"/>
  <c r="CP430" i="48" s="1"/>
  <c r="DD8" i="48"/>
  <c r="DD16" i="48"/>
  <c r="DD9" i="48"/>
  <c r="DD17" i="48"/>
  <c r="DD25" i="48"/>
  <c r="DD6" i="48"/>
  <c r="DD14" i="48"/>
  <c r="DD22" i="48"/>
  <c r="DD7" i="48"/>
  <c r="DD15" i="48"/>
  <c r="DD23" i="48"/>
  <c r="DD10" i="48"/>
  <c r="DD18" i="48"/>
  <c r="DD3" i="48"/>
  <c r="DD11" i="48"/>
  <c r="DD19" i="48"/>
  <c r="DD4" i="48"/>
  <c r="DD12" i="48"/>
  <c r="DD20" i="48"/>
  <c r="DD5" i="48"/>
  <c r="DD13" i="48"/>
  <c r="DD21" i="48"/>
  <c r="DD24" i="48"/>
  <c r="E36" i="53"/>
  <c r="CN129" i="48"/>
  <c r="CP129" i="48" s="1"/>
  <c r="BM52" i="48" l="1"/>
  <c r="BN52" i="48" s="1"/>
  <c r="BN51" i="48"/>
  <c r="CX753" i="48"/>
  <c r="CS753" i="48" s="1"/>
  <c r="CZ753" i="48" s="1"/>
  <c r="CS752" i="48"/>
  <c r="CS702" i="48"/>
  <c r="CX703" i="48"/>
  <c r="CS703" i="48" s="1"/>
  <c r="CS677" i="48"/>
  <c r="CX678" i="48"/>
  <c r="CS678" i="48" s="1"/>
  <c r="CS627" i="48"/>
  <c r="CX628" i="48"/>
  <c r="CS628" i="48" s="1"/>
  <c r="CS1026" i="48"/>
  <c r="CS801" i="48"/>
  <c r="CS201" i="48"/>
  <c r="CS751" i="48"/>
  <c r="CS676" i="48"/>
  <c r="CS1001" i="48"/>
  <c r="CS376" i="48"/>
  <c r="CS1151" i="48"/>
  <c r="CS226" i="48"/>
  <c r="CS951" i="48"/>
  <c r="CS326" i="48"/>
  <c r="CS1101" i="48"/>
  <c r="CS501" i="48"/>
  <c r="CS76" i="48"/>
  <c r="CS876" i="48"/>
  <c r="CS426" i="48"/>
  <c r="CS1201" i="48"/>
  <c r="CS976" i="48"/>
  <c r="CS151" i="48"/>
  <c r="CS1276" i="48"/>
  <c r="CS1226" i="48"/>
  <c r="CS401" i="48"/>
  <c r="CS1176" i="48"/>
  <c r="CS576" i="48"/>
  <c r="CS1326" i="48"/>
  <c r="CS351" i="48"/>
  <c r="CS1126" i="48"/>
  <c r="CS526" i="48"/>
  <c r="CS451" i="48"/>
  <c r="CS701" i="48"/>
  <c r="CS276" i="48"/>
  <c r="CS1251" i="48"/>
  <c r="CS626" i="48"/>
  <c r="CS51" i="48"/>
  <c r="CS301" i="48"/>
  <c r="CS926" i="48"/>
  <c r="CS601" i="48"/>
  <c r="CS1351" i="48"/>
  <c r="CS776" i="48"/>
  <c r="CS1051" i="48"/>
  <c r="CS551" i="48"/>
  <c r="CS126" i="48"/>
  <c r="CS726" i="48"/>
  <c r="CS101" i="48"/>
  <c r="CS901" i="48"/>
  <c r="CS476" i="48"/>
  <c r="CS851" i="48"/>
  <c r="CS651" i="48"/>
  <c r="CS251" i="48"/>
  <c r="CS26" i="48"/>
  <c r="CN1028" i="48"/>
  <c r="CV1057" i="48"/>
  <c r="CU1307" i="48"/>
  <c r="CV907" i="48"/>
  <c r="CV632" i="48"/>
  <c r="CT307" i="48"/>
  <c r="CU182" i="48"/>
  <c r="CT557" i="48"/>
  <c r="CT1157" i="48"/>
  <c r="CT832" i="48"/>
  <c r="CT582" i="48"/>
  <c r="CU332" i="48"/>
  <c r="CV407" i="48"/>
  <c r="CU32" i="48"/>
  <c r="CU1257" i="48"/>
  <c r="CU1207" i="48"/>
  <c r="CV432" i="48"/>
  <c r="CT1282" i="48"/>
  <c r="CT132" i="48"/>
  <c r="CT357" i="48"/>
  <c r="CN7" i="48"/>
  <c r="CP7" i="48" s="1"/>
  <c r="CV282" i="48"/>
  <c r="CV207" i="48"/>
  <c r="CN453" i="48"/>
  <c r="CU857" i="48"/>
  <c r="CU682" i="48"/>
  <c r="CV457" i="48"/>
  <c r="CV107" i="48"/>
  <c r="CV382" i="48"/>
  <c r="CU957" i="48"/>
  <c r="CN178" i="48"/>
  <c r="CV1107" i="48"/>
  <c r="CT1332" i="48"/>
  <c r="CV82" i="48"/>
  <c r="CT882" i="48"/>
  <c r="CU932" i="48"/>
  <c r="CV257" i="48"/>
  <c r="CN378" i="48"/>
  <c r="CV707" i="48"/>
  <c r="CU1132" i="48"/>
  <c r="CU1232" i="48"/>
  <c r="CT1007" i="48"/>
  <c r="CU532" i="48"/>
  <c r="CV782" i="48"/>
  <c r="CN432" i="48"/>
  <c r="CP432" i="48" s="1"/>
  <c r="CN307" i="48"/>
  <c r="CP307" i="48" s="1"/>
  <c r="CN553" i="48"/>
  <c r="CU1032" i="48"/>
  <c r="CU1182" i="48"/>
  <c r="CV807" i="48"/>
  <c r="CV482" i="48"/>
  <c r="CU757" i="48"/>
  <c r="CN32" i="48"/>
  <c r="CP32" i="48" s="1"/>
  <c r="CN782" i="48"/>
  <c r="CP782" i="48" s="1"/>
  <c r="CV1081" i="48"/>
  <c r="CN781" i="48"/>
  <c r="CP781" i="48" s="1"/>
  <c r="CN1156" i="48"/>
  <c r="CP1156" i="48" s="1"/>
  <c r="CN556" i="48"/>
  <c r="CP556" i="48" s="1"/>
  <c r="CN981" i="48"/>
  <c r="CP981" i="48" s="1"/>
  <c r="CN1306" i="48"/>
  <c r="CP1306" i="48" s="1"/>
  <c r="CN856" i="48"/>
  <c r="CP856" i="48" s="1"/>
  <c r="CN1206" i="48"/>
  <c r="CP1206" i="48" s="1"/>
  <c r="CN1256" i="48"/>
  <c r="CP1256" i="48" s="1"/>
  <c r="CN1181" i="48"/>
  <c r="CP1181" i="48" s="1"/>
  <c r="CN1056" i="48"/>
  <c r="CP1056" i="48" s="1"/>
  <c r="CN831" i="48"/>
  <c r="CP831" i="48" s="1"/>
  <c r="CN706" i="48"/>
  <c r="CP706" i="48" s="1"/>
  <c r="CN1031" i="48"/>
  <c r="CP1031" i="48" s="1"/>
  <c r="CN681" i="48"/>
  <c r="CP681" i="48" s="1"/>
  <c r="CN281" i="48"/>
  <c r="CP281" i="48" s="1"/>
  <c r="CN731" i="48"/>
  <c r="CP731" i="48" s="1"/>
  <c r="CN1106" i="48"/>
  <c r="CP1106" i="48" s="1"/>
  <c r="CN1231" i="48"/>
  <c r="CP1231" i="48" s="1"/>
  <c r="CN906" i="48"/>
  <c r="CP906" i="48" s="1"/>
  <c r="CN881" i="48"/>
  <c r="CP881" i="48" s="1"/>
  <c r="CN481" i="48"/>
  <c r="CP481" i="48" s="1"/>
  <c r="CN931" i="48"/>
  <c r="CP931" i="48" s="1"/>
  <c r="CN1081" i="48"/>
  <c r="CP1081" i="48" s="1"/>
  <c r="CN756" i="48"/>
  <c r="CP756" i="48" s="1"/>
  <c r="CN1331" i="48"/>
  <c r="CP1331" i="48" s="1"/>
  <c r="CN606" i="48"/>
  <c r="CP606" i="48" s="1"/>
  <c r="CN56" i="48"/>
  <c r="CP56" i="48" s="1"/>
  <c r="CN6" i="48"/>
  <c r="CP6" i="48" s="1"/>
  <c r="CN181" i="48"/>
  <c r="CP181" i="48" s="1"/>
  <c r="CN106" i="48"/>
  <c r="CP106" i="48" s="1"/>
  <c r="CN81" i="48"/>
  <c r="CP81" i="48" s="1"/>
  <c r="CN206" i="48"/>
  <c r="CP206" i="48" s="1"/>
  <c r="CN256" i="48"/>
  <c r="CP256" i="48" s="1"/>
  <c r="CN1281" i="48"/>
  <c r="CP1281" i="48" s="1"/>
  <c r="CN406" i="48"/>
  <c r="CP406" i="48" s="1"/>
  <c r="CN656" i="48"/>
  <c r="CP656" i="48" s="1"/>
  <c r="CN306" i="48"/>
  <c r="CP306" i="48" s="1"/>
  <c r="CN1006" i="48"/>
  <c r="CP1006" i="48" s="1"/>
  <c r="CN356" i="48"/>
  <c r="CP356" i="48" s="1"/>
  <c r="CN331" i="48"/>
  <c r="CP331" i="48" s="1"/>
  <c r="CN506" i="48"/>
  <c r="CP506" i="48" s="1"/>
  <c r="CN531" i="48"/>
  <c r="CP531" i="48" s="1"/>
  <c r="CN431" i="48"/>
  <c r="CP431" i="48" s="1"/>
  <c r="CN156" i="48"/>
  <c r="CP156" i="48" s="1"/>
  <c r="CN131" i="48"/>
  <c r="CP131" i="48" s="1"/>
  <c r="CN1131" i="48"/>
  <c r="CP1131" i="48" s="1"/>
  <c r="CN381" i="48"/>
  <c r="CP381" i="48" s="1"/>
  <c r="CN631" i="48"/>
  <c r="CP631" i="48" s="1"/>
  <c r="CN456" i="48"/>
  <c r="CP456" i="48" s="1"/>
  <c r="CN581" i="48"/>
  <c r="CP581" i="48" s="1"/>
  <c r="CN31" i="48"/>
  <c r="CP31" i="48" s="1"/>
  <c r="CN806" i="48"/>
  <c r="CP806" i="48" s="1"/>
  <c r="CN231" i="48"/>
  <c r="CP231" i="48" s="1"/>
  <c r="CN354" i="48"/>
  <c r="CP354" i="48" s="1"/>
  <c r="CN204" i="48"/>
  <c r="CP204" i="48" s="1"/>
  <c r="CN956" i="48"/>
  <c r="CP956" i="48" s="1"/>
  <c r="CU454" i="48"/>
  <c r="CN804" i="48"/>
  <c r="CP804" i="48" s="1"/>
  <c r="CN1154" i="48"/>
  <c r="CP1154" i="48" s="1"/>
  <c r="CN1204" i="48"/>
  <c r="CP1204" i="48" s="1"/>
  <c r="CN1129" i="48"/>
  <c r="CP1129" i="48" s="1"/>
  <c r="CN1004" i="48"/>
  <c r="CP1004" i="48" s="1"/>
  <c r="CN779" i="48"/>
  <c r="CP779" i="48" s="1"/>
  <c r="CN1304" i="48"/>
  <c r="CP1304" i="48" s="1"/>
  <c r="CN979" i="48"/>
  <c r="CP979" i="48" s="1"/>
  <c r="CN679" i="48"/>
  <c r="CP679" i="48" s="1"/>
  <c r="CN1179" i="48"/>
  <c r="CP1179" i="48" s="1"/>
  <c r="CN854" i="48"/>
  <c r="CP854" i="48" s="1"/>
  <c r="CN829" i="48"/>
  <c r="CP829" i="48" s="1"/>
  <c r="CN429" i="48"/>
  <c r="CP429" i="48" s="1"/>
  <c r="CN879" i="48"/>
  <c r="CP879" i="48" s="1"/>
  <c r="CN1254" i="48"/>
  <c r="CP1254" i="48" s="1"/>
  <c r="CN1054" i="48"/>
  <c r="CP1054" i="48" s="1"/>
  <c r="CN704" i="48"/>
  <c r="CP704" i="48" s="1"/>
  <c r="CN1029" i="48"/>
  <c r="CP1029" i="48" s="1"/>
  <c r="CN629" i="48"/>
  <c r="CP629" i="48" s="1"/>
  <c r="CN554" i="48"/>
  <c r="CP554" i="48" s="1"/>
  <c r="CN1329" i="48"/>
  <c r="CP1329" i="48" s="1"/>
  <c r="CN1229" i="48"/>
  <c r="CP1229" i="48" s="1"/>
  <c r="CN904" i="48"/>
  <c r="CP904" i="48" s="1"/>
  <c r="CN729" i="48"/>
  <c r="CP729" i="48" s="1"/>
  <c r="CN1104" i="48"/>
  <c r="CP1104" i="48" s="1"/>
  <c r="CN954" i="48"/>
  <c r="CP954" i="48" s="1"/>
  <c r="CN254" i="48"/>
  <c r="CP254" i="48" s="1"/>
  <c r="CN229" i="48"/>
  <c r="CP229" i="48" s="1"/>
  <c r="CN929" i="48"/>
  <c r="CP929" i="48" s="1"/>
  <c r="CN279" i="48"/>
  <c r="CP279" i="48" s="1"/>
  <c r="CN1279" i="48"/>
  <c r="CP1279" i="48" s="1"/>
  <c r="CN454" i="48"/>
  <c r="CP454" i="48" s="1"/>
  <c r="CN1079" i="48"/>
  <c r="CP1079" i="48" s="1"/>
  <c r="CN4" i="48"/>
  <c r="CP4" i="48" s="1"/>
  <c r="CN479" i="48"/>
  <c r="CP479" i="48" s="1"/>
  <c r="CN379" i="48"/>
  <c r="CP379" i="48" s="1"/>
  <c r="CN104" i="48"/>
  <c r="CP104" i="48" s="1"/>
  <c r="CN329" i="48"/>
  <c r="CP329" i="48" s="1"/>
  <c r="CN304" i="48"/>
  <c r="CP304" i="48" s="1"/>
  <c r="CN579" i="48"/>
  <c r="CP579" i="48" s="1"/>
  <c r="CN79" i="48"/>
  <c r="CP79" i="48" s="1"/>
  <c r="CN404" i="48"/>
  <c r="CP404" i="48" s="1"/>
  <c r="CN529" i="48"/>
  <c r="CP529" i="48" s="1"/>
  <c r="CN604" i="48"/>
  <c r="CP604" i="48" s="1"/>
  <c r="CN504" i="48"/>
  <c r="CP504" i="48" s="1"/>
  <c r="CN179" i="48"/>
  <c r="CP179" i="48" s="1"/>
  <c r="CN29" i="48"/>
  <c r="CP29" i="48" s="1"/>
  <c r="CN654" i="48"/>
  <c r="CP654" i="48" s="1"/>
  <c r="CN754" i="48"/>
  <c r="CP754" i="48" s="1"/>
  <c r="CN54" i="48"/>
  <c r="CP54" i="48" s="1"/>
  <c r="CU1080" i="48"/>
  <c r="CN1255" i="48"/>
  <c r="CP1255" i="48" s="1"/>
  <c r="CN905" i="48"/>
  <c r="CP905" i="48" s="1"/>
  <c r="CN1205" i="48"/>
  <c r="CP1205" i="48" s="1"/>
  <c r="CN1105" i="48"/>
  <c r="CP1105" i="48" s="1"/>
  <c r="CN780" i="48"/>
  <c r="CP780" i="48" s="1"/>
  <c r="CN755" i="48"/>
  <c r="CP755" i="48" s="1"/>
  <c r="CN355" i="48"/>
  <c r="CP355" i="48" s="1"/>
  <c r="CN805" i="48"/>
  <c r="CP805" i="48" s="1"/>
  <c r="CN1180" i="48"/>
  <c r="CP1180" i="48" s="1"/>
  <c r="CN980" i="48"/>
  <c r="CP980" i="48" s="1"/>
  <c r="CN955" i="48"/>
  <c r="CP955" i="48" s="1"/>
  <c r="CN555" i="48"/>
  <c r="CP555" i="48" s="1"/>
  <c r="CN1005" i="48"/>
  <c r="CP1005" i="48" s="1"/>
  <c r="CN1155" i="48"/>
  <c r="CP1155" i="48" s="1"/>
  <c r="CN830" i="48"/>
  <c r="CP830" i="48" s="1"/>
  <c r="CN655" i="48"/>
  <c r="CP655" i="48" s="1"/>
  <c r="CN1030" i="48"/>
  <c r="CP1030" i="48" s="1"/>
  <c r="CN855" i="48"/>
  <c r="CP855" i="48" s="1"/>
  <c r="CN1230" i="48"/>
  <c r="CP1230" i="48" s="1"/>
  <c r="CN730" i="48"/>
  <c r="CP730" i="48" s="1"/>
  <c r="CN1305" i="48"/>
  <c r="CP1305" i="48" s="1"/>
  <c r="CN1055" i="48"/>
  <c r="CP1055" i="48" s="1"/>
  <c r="CN1080" i="48"/>
  <c r="CP1080" i="48" s="1"/>
  <c r="CN705" i="48"/>
  <c r="CP705" i="48" s="1"/>
  <c r="CN405" i="48"/>
  <c r="CP405" i="48" s="1"/>
  <c r="CN580" i="48"/>
  <c r="CP580" i="48" s="1"/>
  <c r="CN305" i="48"/>
  <c r="CP305" i="48" s="1"/>
  <c r="CN205" i="48"/>
  <c r="CP205" i="48" s="1"/>
  <c r="CN605" i="48"/>
  <c r="CP605" i="48" s="1"/>
  <c r="CN680" i="48"/>
  <c r="CP680" i="48" s="1"/>
  <c r="CN505" i="48"/>
  <c r="CP505" i="48" s="1"/>
  <c r="CN230" i="48"/>
  <c r="CP230" i="48" s="1"/>
  <c r="CN1130" i="48"/>
  <c r="CP1130" i="48" s="1"/>
  <c r="CN480" i="48"/>
  <c r="CP480" i="48" s="1"/>
  <c r="CN330" i="48"/>
  <c r="CP330" i="48" s="1"/>
  <c r="CN455" i="48"/>
  <c r="CP455" i="48" s="1"/>
  <c r="CN280" i="48"/>
  <c r="CP280" i="48" s="1"/>
  <c r="CN1330" i="48"/>
  <c r="CP1330" i="48" s="1"/>
  <c r="CN530" i="48"/>
  <c r="CP530" i="48" s="1"/>
  <c r="CN630" i="48"/>
  <c r="CP630" i="48" s="1"/>
  <c r="CN105" i="48"/>
  <c r="CP105" i="48" s="1"/>
  <c r="CN30" i="48"/>
  <c r="CP30" i="48" s="1"/>
  <c r="CN1280" i="48"/>
  <c r="CP1280" i="48" s="1"/>
  <c r="CN880" i="48"/>
  <c r="CP880" i="48" s="1"/>
  <c r="CN55" i="48"/>
  <c r="CP55" i="48" s="1"/>
  <c r="CN80" i="48"/>
  <c r="CP80" i="48" s="1"/>
  <c r="CN130" i="48"/>
  <c r="CP130" i="48" s="1"/>
  <c r="CN255" i="48"/>
  <c r="CP255" i="48" s="1"/>
  <c r="CN180" i="48"/>
  <c r="CP180" i="48" s="1"/>
  <c r="CN155" i="48"/>
  <c r="CP155" i="48" s="1"/>
  <c r="CN5" i="48"/>
  <c r="CP5" i="48" s="1"/>
  <c r="CN380" i="48"/>
  <c r="CP380" i="48" s="1"/>
  <c r="CN930" i="48"/>
  <c r="CP930" i="48" s="1"/>
  <c r="CN154" i="48"/>
  <c r="CP154" i="48" s="1"/>
  <c r="CN207" i="48"/>
  <c r="CP207" i="48" s="1"/>
  <c r="CN1153" i="48"/>
  <c r="CN482" i="48"/>
  <c r="CP482" i="48" s="1"/>
  <c r="CN578" i="48"/>
  <c r="CN528" i="48"/>
  <c r="CN353" i="48"/>
  <c r="CN582" i="48"/>
  <c r="CP582" i="48" s="1"/>
  <c r="CN457" i="48"/>
  <c r="CP457" i="48" s="1"/>
  <c r="CN303" i="48"/>
  <c r="CN728" i="48"/>
  <c r="CN1282" i="48"/>
  <c r="CP1282" i="48" s="1"/>
  <c r="CN1157" i="48"/>
  <c r="CP1157" i="48" s="1"/>
  <c r="CN282" i="48"/>
  <c r="CP282" i="48" s="1"/>
  <c r="CN857" i="48"/>
  <c r="CP857" i="48" s="1"/>
  <c r="CN328" i="48"/>
  <c r="CN557" i="48"/>
  <c r="CP557" i="48" s="1"/>
  <c r="CN382" i="48"/>
  <c r="CP382" i="48" s="1"/>
  <c r="CU328" i="48"/>
  <c r="CN753" i="48"/>
  <c r="CN1128" i="48"/>
  <c r="CN1253" i="48"/>
  <c r="CN928" i="48"/>
  <c r="CN903" i="48"/>
  <c r="CN503" i="48"/>
  <c r="CN428" i="48"/>
  <c r="CN953" i="48"/>
  <c r="CN1103" i="48"/>
  <c r="CN778" i="48"/>
  <c r="CN628" i="48"/>
  <c r="CN978" i="48"/>
  <c r="CN803" i="48"/>
  <c r="CN1178" i="48"/>
  <c r="CN678" i="48"/>
  <c r="CN1003" i="48"/>
  <c r="CN1078" i="48"/>
  <c r="CN1328" i="48"/>
  <c r="CN878" i="48"/>
  <c r="CN653" i="48"/>
  <c r="CN1228" i="48"/>
  <c r="CN1278" i="48"/>
  <c r="CN1203" i="48"/>
  <c r="CN853" i="48"/>
  <c r="CN3" i="48"/>
  <c r="CN228" i="48"/>
  <c r="CN103" i="48"/>
  <c r="CN128" i="48"/>
  <c r="CN203" i="48"/>
  <c r="CN357" i="48"/>
  <c r="CP357" i="48" s="1"/>
  <c r="CN703" i="48"/>
  <c r="CN982" i="48"/>
  <c r="CP982" i="48" s="1"/>
  <c r="CN1132" i="48"/>
  <c r="CP1132" i="48" s="1"/>
  <c r="CN807" i="48"/>
  <c r="CP807" i="48" s="1"/>
  <c r="CN1007" i="48"/>
  <c r="CP1007" i="48" s="1"/>
  <c r="CN1182" i="48"/>
  <c r="CP1182" i="48" s="1"/>
  <c r="CN832" i="48"/>
  <c r="CP832" i="48" s="1"/>
  <c r="CN1207" i="48"/>
  <c r="CP1207" i="48" s="1"/>
  <c r="CN707" i="48"/>
  <c r="CP707" i="48" s="1"/>
  <c r="CN1032" i="48"/>
  <c r="CP1032" i="48" s="1"/>
  <c r="CN407" i="48"/>
  <c r="CP407" i="48" s="1"/>
  <c r="CN1107" i="48"/>
  <c r="CP1107" i="48" s="1"/>
  <c r="CN907" i="48"/>
  <c r="CP907" i="48" s="1"/>
  <c r="CN682" i="48"/>
  <c r="CP682" i="48" s="1"/>
  <c r="CN1257" i="48"/>
  <c r="CP1257" i="48" s="1"/>
  <c r="CN1232" i="48"/>
  <c r="CP1232" i="48" s="1"/>
  <c r="CN882" i="48"/>
  <c r="CP882" i="48" s="1"/>
  <c r="CN1057" i="48"/>
  <c r="CP1057" i="48" s="1"/>
  <c r="CN1082" i="48"/>
  <c r="CP1082" i="48" s="1"/>
  <c r="CN757" i="48"/>
  <c r="CP757" i="48" s="1"/>
  <c r="CN1332" i="48"/>
  <c r="CP1332" i="48" s="1"/>
  <c r="CN732" i="48"/>
  <c r="CP732" i="48" s="1"/>
  <c r="CN332" i="48"/>
  <c r="CP332" i="48" s="1"/>
  <c r="CN78" i="48"/>
  <c r="CN257" i="48"/>
  <c r="CP257" i="48" s="1"/>
  <c r="CN132" i="48"/>
  <c r="CP132" i="48" s="1"/>
  <c r="CN157" i="48"/>
  <c r="CP157" i="48" s="1"/>
  <c r="CN232" i="48"/>
  <c r="CP232" i="48" s="1"/>
  <c r="CN607" i="48"/>
  <c r="CP607" i="48" s="1"/>
  <c r="CN1053" i="48"/>
  <c r="CN957" i="48"/>
  <c r="CP957" i="48" s="1"/>
  <c r="CN107" i="48"/>
  <c r="CP107" i="48" s="1"/>
  <c r="CN57" i="48"/>
  <c r="CP57" i="48" s="1"/>
  <c r="CN182" i="48"/>
  <c r="CP182" i="48" s="1"/>
  <c r="CN253" i="48"/>
  <c r="CN657" i="48"/>
  <c r="CP657" i="48" s="1"/>
  <c r="CN828" i="48"/>
  <c r="CN28" i="48"/>
  <c r="CN53" i="48"/>
  <c r="CN603" i="48"/>
  <c r="CN478" i="48"/>
  <c r="CN932" i="48"/>
  <c r="CP932" i="48" s="1"/>
  <c r="CV732" i="48"/>
  <c r="DC7" i="48"/>
  <c r="CU7" i="48" s="1"/>
  <c r="CN82" i="48"/>
  <c r="CP82" i="48" s="1"/>
  <c r="CN153" i="48"/>
  <c r="CN403" i="48"/>
  <c r="CN632" i="48"/>
  <c r="CP632" i="48" s="1"/>
  <c r="CN507" i="48"/>
  <c r="CP507" i="48" s="1"/>
  <c r="CN532" i="48"/>
  <c r="CP532" i="48" s="1"/>
  <c r="CN1303" i="48"/>
  <c r="CV1157" i="48"/>
  <c r="CU1157" i="48"/>
  <c r="CT432" i="48"/>
  <c r="CU432" i="48"/>
  <c r="CT1057" i="48"/>
  <c r="CV1207" i="48"/>
  <c r="CT982" i="48"/>
  <c r="CT282" i="48"/>
  <c r="CV1082" i="48"/>
  <c r="CV357" i="48"/>
  <c r="CT207" i="48"/>
  <c r="CV582" i="48"/>
  <c r="CU582" i="48"/>
  <c r="CV1307" i="48"/>
  <c r="CU907" i="48"/>
  <c r="CT907" i="48"/>
  <c r="CV307" i="48"/>
  <c r="CU307" i="48"/>
  <c r="CT757" i="48"/>
  <c r="CT407" i="48"/>
  <c r="CU407" i="48"/>
  <c r="DC6" i="48"/>
  <c r="CU6" i="48" s="1"/>
  <c r="DC4" i="48"/>
  <c r="CU4" i="48" s="1"/>
  <c r="DC5" i="48"/>
  <c r="CU5" i="48" s="1"/>
  <c r="CN133" i="48"/>
  <c r="CP133" i="48" s="1"/>
  <c r="CU282" i="48" l="1"/>
  <c r="CW282" i="48" s="1"/>
  <c r="CT1207" i="48"/>
  <c r="CW1207" i="48" s="1"/>
  <c r="CU1057" i="48"/>
  <c r="CW1057" i="48" s="1"/>
  <c r="CV682" i="48"/>
  <c r="CV957" i="48"/>
  <c r="CT1307" i="48"/>
  <c r="CW1307" i="48" s="1"/>
  <c r="CU357" i="48"/>
  <c r="CW357" i="48" s="1"/>
  <c r="CV832" i="48"/>
  <c r="CU457" i="48"/>
  <c r="CT457" i="48"/>
  <c r="CU632" i="48"/>
  <c r="CT632" i="48"/>
  <c r="CV1007" i="48"/>
  <c r="CV857" i="48"/>
  <c r="CU107" i="48"/>
  <c r="CT1182" i="48"/>
  <c r="CT82" i="48"/>
  <c r="CU1007" i="48"/>
  <c r="CT454" i="48"/>
  <c r="CU82" i="48"/>
  <c r="CV1182" i="48"/>
  <c r="CV454" i="48"/>
  <c r="CV932" i="48"/>
  <c r="CU1107" i="48"/>
  <c r="CT232" i="48"/>
  <c r="CT707" i="48"/>
  <c r="CV328" i="48"/>
  <c r="CU982" i="48"/>
  <c r="CU657" i="48"/>
  <c r="CV982" i="48"/>
  <c r="CT507" i="48"/>
  <c r="CV1032" i="48"/>
  <c r="CT657" i="48"/>
  <c r="CU132" i="48"/>
  <c r="CU507" i="48"/>
  <c r="CV132" i="48"/>
  <c r="CT1081" i="48"/>
  <c r="CV507" i="48"/>
  <c r="CT682" i="48"/>
  <c r="CU1081" i="48"/>
  <c r="CT1232" i="48"/>
  <c r="CV1232" i="48"/>
  <c r="CT1032" i="48"/>
  <c r="CV657" i="48"/>
  <c r="CT32" i="48"/>
  <c r="CV1257" i="48"/>
  <c r="CU807" i="48"/>
  <c r="CV182" i="48"/>
  <c r="CU882" i="48"/>
  <c r="CT157" i="48"/>
  <c r="CT482" i="48"/>
  <c r="CV232" i="48"/>
  <c r="CV32" i="48"/>
  <c r="CV882" i="48"/>
  <c r="CT182" i="48"/>
  <c r="CT807" i="48"/>
  <c r="CT532" i="48"/>
  <c r="CV532" i="48"/>
  <c r="CT107" i="48"/>
  <c r="CW107" i="48" s="1"/>
  <c r="CU482" i="48"/>
  <c r="CU157" i="48"/>
  <c r="CU557" i="48"/>
  <c r="CT782" i="48"/>
  <c r="CV157" i="48"/>
  <c r="CV557" i="48"/>
  <c r="CU782" i="48"/>
  <c r="CT382" i="48"/>
  <c r="CU382" i="48"/>
  <c r="CT1257" i="48"/>
  <c r="CT932" i="48"/>
  <c r="CV332" i="48"/>
  <c r="CU232" i="48"/>
  <c r="CU832" i="48"/>
  <c r="CV1282" i="48"/>
  <c r="CT607" i="48"/>
  <c r="CT732" i="48"/>
  <c r="CU207" i="48"/>
  <c r="CW207" i="48" s="1"/>
  <c r="CU1332" i="48"/>
  <c r="CT1082" i="48"/>
  <c r="CT332" i="48"/>
  <c r="CU1282" i="48"/>
  <c r="CU607" i="48"/>
  <c r="CU732" i="48"/>
  <c r="CV1132" i="48"/>
  <c r="CV1332" i="48"/>
  <c r="CU1082" i="48"/>
  <c r="CV607" i="48"/>
  <c r="CT1132" i="48"/>
  <c r="CT857" i="48"/>
  <c r="CT7" i="48"/>
  <c r="CT328" i="48"/>
  <c r="CV757" i="48"/>
  <c r="CW757" i="48" s="1"/>
  <c r="CU707" i="48"/>
  <c r="CT57" i="48"/>
  <c r="CT1107" i="48"/>
  <c r="CU57" i="48"/>
  <c r="CV1080" i="48"/>
  <c r="CV57" i="48"/>
  <c r="CT257" i="48"/>
  <c r="CT1080" i="48"/>
  <c r="CT957" i="48"/>
  <c r="CW957" i="48" s="1"/>
  <c r="CU257" i="48"/>
  <c r="CV7" i="48"/>
  <c r="CN333" i="48"/>
  <c r="CP333" i="48" s="1"/>
  <c r="CN58" i="48"/>
  <c r="CP58" i="48" s="1"/>
  <c r="CN408" i="48"/>
  <c r="CP408" i="48" s="1"/>
  <c r="CN158" i="48"/>
  <c r="CP158" i="48" s="1"/>
  <c r="CN83" i="48"/>
  <c r="CP83" i="48" s="1"/>
  <c r="CN583" i="48"/>
  <c r="CP583" i="48" s="1"/>
  <c r="CN1233" i="48"/>
  <c r="CP1233" i="48" s="1"/>
  <c r="CN433" i="48"/>
  <c r="CP433" i="48" s="1"/>
  <c r="CN8" i="48"/>
  <c r="CP8" i="48" s="1"/>
  <c r="CN233" i="48"/>
  <c r="CP233" i="48" s="1"/>
  <c r="CN183" i="48"/>
  <c r="CP183" i="48" s="1"/>
  <c r="CN108" i="48"/>
  <c r="CP108" i="48" s="1"/>
  <c r="CN608" i="48"/>
  <c r="CP608" i="48" s="1"/>
  <c r="CN833" i="48"/>
  <c r="CP833" i="48" s="1"/>
  <c r="CN1008" i="48"/>
  <c r="CP1008" i="48" s="1"/>
  <c r="CN1183" i="48"/>
  <c r="CP1183" i="48" s="1"/>
  <c r="CN358" i="48"/>
  <c r="CP358" i="48" s="1"/>
  <c r="CN983" i="48"/>
  <c r="CP983" i="48" s="1"/>
  <c r="CN1033" i="48"/>
  <c r="CP1033" i="48" s="1"/>
  <c r="CN1258" i="48"/>
  <c r="CP1258" i="48" s="1"/>
  <c r="CN1333" i="48"/>
  <c r="CP1333" i="48" s="1"/>
  <c r="CN258" i="48"/>
  <c r="CP258" i="48" s="1"/>
  <c r="CN1133" i="48"/>
  <c r="CP1133" i="48" s="1"/>
  <c r="CN308" i="48"/>
  <c r="CP308" i="48" s="1"/>
  <c r="CN1058" i="48"/>
  <c r="CP1058" i="48" s="1"/>
  <c r="CN1108" i="48"/>
  <c r="CP1108" i="48" s="1"/>
  <c r="CN1158" i="48"/>
  <c r="CP1158" i="48" s="1"/>
  <c r="CN283" i="48"/>
  <c r="CP283" i="48" s="1"/>
  <c r="CN458" i="48"/>
  <c r="CP458" i="48" s="1"/>
  <c r="CN1083" i="48"/>
  <c r="CP1083" i="48" s="1"/>
  <c r="CN508" i="48"/>
  <c r="CP508" i="48" s="1"/>
  <c r="CN1283" i="48"/>
  <c r="CP1283" i="48" s="1"/>
  <c r="CN383" i="48"/>
  <c r="CP383" i="48" s="1"/>
  <c r="CN658" i="48"/>
  <c r="CP658" i="48" s="1"/>
  <c r="CN858" i="48"/>
  <c r="CP858" i="48" s="1"/>
  <c r="CN633" i="48"/>
  <c r="CP633" i="48" s="1"/>
  <c r="CN483" i="48"/>
  <c r="CP483" i="48" s="1"/>
  <c r="CN1208" i="48"/>
  <c r="CP1208" i="48" s="1"/>
  <c r="CN883" i="48"/>
  <c r="CP883" i="48" s="1"/>
  <c r="CN958" i="48"/>
  <c r="CP958" i="48" s="1"/>
  <c r="CN733" i="48"/>
  <c r="CP733" i="48" s="1"/>
  <c r="CN533" i="48"/>
  <c r="CP533" i="48" s="1"/>
  <c r="CN808" i="48"/>
  <c r="CP808" i="48" s="1"/>
  <c r="CN783" i="48"/>
  <c r="CP783" i="48" s="1"/>
  <c r="CN1308" i="48"/>
  <c r="CP1308" i="48" s="1"/>
  <c r="CN683" i="48"/>
  <c r="CP683" i="48" s="1"/>
  <c r="CN558" i="48"/>
  <c r="CP558" i="48" s="1"/>
  <c r="CN708" i="48"/>
  <c r="CP708" i="48" s="1"/>
  <c r="CN208" i="48"/>
  <c r="CP208" i="48" s="1"/>
  <c r="CN933" i="48"/>
  <c r="CP933" i="48" s="1"/>
  <c r="CN758" i="48"/>
  <c r="CP758" i="48" s="1"/>
  <c r="CN33" i="48"/>
  <c r="CP33" i="48" s="1"/>
  <c r="CN908" i="48"/>
  <c r="CP908" i="48" s="1"/>
  <c r="CW407" i="48"/>
  <c r="CW432" i="48"/>
  <c r="CW307" i="48"/>
  <c r="CW907" i="48"/>
  <c r="CV1053" i="48"/>
  <c r="CU1053" i="48"/>
  <c r="CT1053" i="48"/>
  <c r="CT755" i="48"/>
  <c r="CU755" i="48"/>
  <c r="CV755" i="48"/>
  <c r="CV153" i="48"/>
  <c r="CU153" i="48"/>
  <c r="CT153" i="48"/>
  <c r="CT128" i="48"/>
  <c r="CV128" i="48"/>
  <c r="CU128" i="48"/>
  <c r="CV155" i="48"/>
  <c r="CU155" i="48"/>
  <c r="CT155" i="48"/>
  <c r="CV1155" i="48"/>
  <c r="CU1155" i="48"/>
  <c r="CT1155" i="48"/>
  <c r="CV330" i="48"/>
  <c r="CU330" i="48"/>
  <c r="CT330" i="48"/>
  <c r="CV780" i="48"/>
  <c r="CU780" i="48"/>
  <c r="CT780" i="48"/>
  <c r="CV80" i="48"/>
  <c r="CU80" i="48"/>
  <c r="CT80" i="48"/>
  <c r="CT830" i="48"/>
  <c r="CV830" i="48"/>
  <c r="CU830" i="48"/>
  <c r="CV180" i="48"/>
  <c r="CU180" i="48"/>
  <c r="CT180" i="48"/>
  <c r="CU1005" i="48"/>
  <c r="CT1005" i="48"/>
  <c r="CV1005" i="48"/>
  <c r="CV680" i="48"/>
  <c r="CU680" i="48"/>
  <c r="CT680" i="48"/>
  <c r="CV980" i="48"/>
  <c r="CU980" i="48"/>
  <c r="CT980" i="48"/>
  <c r="CV605" i="48"/>
  <c r="CU605" i="48"/>
  <c r="CT605" i="48"/>
  <c r="CV230" i="48"/>
  <c r="CU230" i="48"/>
  <c r="CT230" i="48"/>
  <c r="CV504" i="48"/>
  <c r="CU504" i="48"/>
  <c r="CT504" i="48"/>
  <c r="CT979" i="48"/>
  <c r="CV979" i="48"/>
  <c r="CU979" i="48"/>
  <c r="CV1004" i="48"/>
  <c r="CU1004" i="48"/>
  <c r="CT1004" i="48"/>
  <c r="CT854" i="48"/>
  <c r="CV854" i="48"/>
  <c r="CU854" i="48"/>
  <c r="CT379" i="48"/>
  <c r="CU379" i="48"/>
  <c r="CV379" i="48"/>
  <c r="CT354" i="48"/>
  <c r="CV354" i="48"/>
  <c r="CU354" i="48"/>
  <c r="CV104" i="48"/>
  <c r="CU104" i="48"/>
  <c r="CT104" i="48"/>
  <c r="CV754" i="48"/>
  <c r="CU754" i="48"/>
  <c r="CT754" i="48"/>
  <c r="CU54" i="48"/>
  <c r="CV54" i="48"/>
  <c r="CT54" i="48"/>
  <c r="CV1279" i="48"/>
  <c r="CU1279" i="48"/>
  <c r="CT1279" i="48"/>
  <c r="CU904" i="48"/>
  <c r="CT904" i="48"/>
  <c r="CV904" i="48"/>
  <c r="CT154" i="48"/>
  <c r="CV154" i="48"/>
  <c r="CU154" i="48"/>
  <c r="CT229" i="48"/>
  <c r="CV229" i="48"/>
  <c r="CU229" i="48"/>
  <c r="CV1131" i="48"/>
  <c r="CU1131" i="48"/>
  <c r="CT1131" i="48"/>
  <c r="CV931" i="48"/>
  <c r="CT931" i="48"/>
  <c r="CU931" i="48"/>
  <c r="CV506" i="48"/>
  <c r="CU506" i="48"/>
  <c r="CT506" i="48"/>
  <c r="CV481" i="48"/>
  <c r="CT481" i="48"/>
  <c r="CU481" i="48"/>
  <c r="CU281" i="48"/>
  <c r="CT281" i="48"/>
  <c r="CV281" i="48"/>
  <c r="CV456" i="48"/>
  <c r="CT456" i="48"/>
  <c r="CU456" i="48"/>
  <c r="CU631" i="48"/>
  <c r="CT631" i="48"/>
  <c r="CV631" i="48"/>
  <c r="CU256" i="48"/>
  <c r="CT256" i="48"/>
  <c r="CV256" i="48"/>
  <c r="CV1206" i="48"/>
  <c r="CU1206" i="48"/>
  <c r="CT1206" i="48"/>
  <c r="CT1106" i="48"/>
  <c r="CV1106" i="48"/>
  <c r="CU1106" i="48"/>
  <c r="CV606" i="48"/>
  <c r="CU606" i="48"/>
  <c r="CT606" i="48"/>
  <c r="CT1156" i="48"/>
  <c r="CV1156" i="48"/>
  <c r="CU1156" i="48"/>
  <c r="CV781" i="48"/>
  <c r="CU781" i="48"/>
  <c r="CT781" i="48"/>
  <c r="CV380" i="48"/>
  <c r="CU380" i="48"/>
  <c r="CT380" i="48"/>
  <c r="CU478" i="48"/>
  <c r="CV478" i="48"/>
  <c r="CT478" i="48"/>
  <c r="CT405" i="48"/>
  <c r="CV405" i="48"/>
  <c r="CU405" i="48"/>
  <c r="CV278" i="48"/>
  <c r="CT278" i="48"/>
  <c r="CU278" i="48"/>
  <c r="CT603" i="48"/>
  <c r="CV603" i="48"/>
  <c r="CU603" i="48"/>
  <c r="CU903" i="48"/>
  <c r="CT903" i="48"/>
  <c r="CV903" i="48"/>
  <c r="CT1328" i="48"/>
  <c r="CV1328" i="48"/>
  <c r="CU1328" i="48"/>
  <c r="CT1253" i="48"/>
  <c r="CU1253" i="48"/>
  <c r="CV1253" i="48"/>
  <c r="CV403" i="48"/>
  <c r="CU403" i="48"/>
  <c r="CT403" i="48"/>
  <c r="CT378" i="48"/>
  <c r="CU378" i="48"/>
  <c r="CV378" i="48"/>
  <c r="CV1078" i="48"/>
  <c r="CU1078" i="48"/>
  <c r="CT1078" i="48"/>
  <c r="CU1153" i="48"/>
  <c r="CT1153" i="48"/>
  <c r="CV1153" i="48"/>
  <c r="CW582" i="48"/>
  <c r="CW1157" i="48"/>
  <c r="CV1230" i="48"/>
  <c r="CU1230" i="48"/>
  <c r="CT1230" i="48"/>
  <c r="CU1130" i="48"/>
  <c r="CT1130" i="48"/>
  <c r="CV1130" i="48"/>
  <c r="CV653" i="48"/>
  <c r="CU653" i="48"/>
  <c r="CT653" i="48"/>
  <c r="CV1180" i="48"/>
  <c r="CU1180" i="48"/>
  <c r="CT1180" i="48"/>
  <c r="CU455" i="48"/>
  <c r="CV455" i="48"/>
  <c r="CT455" i="48"/>
  <c r="CT555" i="48"/>
  <c r="CV555" i="48"/>
  <c r="CU555" i="48"/>
  <c r="CU505" i="48"/>
  <c r="CT505" i="48"/>
  <c r="CV505" i="48"/>
  <c r="CV1305" i="48"/>
  <c r="CU1305" i="48"/>
  <c r="CT1305" i="48"/>
  <c r="CV930" i="48"/>
  <c r="CU930" i="48"/>
  <c r="CT930" i="48"/>
  <c r="CV905" i="48"/>
  <c r="CU905" i="48"/>
  <c r="CT905" i="48"/>
  <c r="CU805" i="48"/>
  <c r="CT805" i="48"/>
  <c r="CV805" i="48"/>
  <c r="CV855" i="48"/>
  <c r="CU855" i="48"/>
  <c r="CT855" i="48"/>
  <c r="CV430" i="48"/>
  <c r="CT430" i="48"/>
  <c r="CU430" i="48"/>
  <c r="CV1030" i="48"/>
  <c r="CT1030" i="48"/>
  <c r="CU1030" i="48"/>
  <c r="CT880" i="48"/>
  <c r="CV880" i="48"/>
  <c r="CU880" i="48"/>
  <c r="CT1179" i="48"/>
  <c r="CV1179" i="48"/>
  <c r="CU1179" i="48"/>
  <c r="CU954" i="48"/>
  <c r="CT954" i="48"/>
  <c r="CV954" i="48"/>
  <c r="CT704" i="48"/>
  <c r="CV704" i="48"/>
  <c r="CU704" i="48"/>
  <c r="CV179" i="48"/>
  <c r="CU179" i="48"/>
  <c r="CT179" i="48"/>
  <c r="CT929" i="48"/>
  <c r="CU929" i="48"/>
  <c r="CV929" i="48"/>
  <c r="CV1129" i="48"/>
  <c r="CU1129" i="48"/>
  <c r="CT1129" i="48"/>
  <c r="CU529" i="48"/>
  <c r="CT529" i="48"/>
  <c r="CV529" i="48"/>
  <c r="CV304" i="48"/>
  <c r="CU304" i="48"/>
  <c r="CT304" i="48"/>
  <c r="CV1229" i="48"/>
  <c r="CU1229" i="48"/>
  <c r="CT1229" i="48"/>
  <c r="CT79" i="48"/>
  <c r="CV79" i="48"/>
  <c r="CU79" i="48"/>
  <c r="CV879" i="48"/>
  <c r="CU879" i="48"/>
  <c r="CT879" i="48"/>
  <c r="CV654" i="48"/>
  <c r="CU654" i="48"/>
  <c r="CT654" i="48"/>
  <c r="CT1231" i="48"/>
  <c r="CV1231" i="48"/>
  <c r="CU1231" i="48"/>
  <c r="CT106" i="48"/>
  <c r="CV106" i="48"/>
  <c r="CU106" i="48"/>
  <c r="CV1331" i="48"/>
  <c r="CU1331" i="48"/>
  <c r="CT1331" i="48"/>
  <c r="CV1281" i="48"/>
  <c r="CU1281" i="48"/>
  <c r="CT1281" i="48"/>
  <c r="CV1006" i="48"/>
  <c r="CU1006" i="48"/>
  <c r="CT1006" i="48"/>
  <c r="CV706" i="48"/>
  <c r="CU706" i="48"/>
  <c r="CT706" i="48"/>
  <c r="CV856" i="48"/>
  <c r="CU856" i="48"/>
  <c r="CT856" i="48"/>
  <c r="CV1056" i="48"/>
  <c r="CU1056" i="48"/>
  <c r="CT1056" i="48"/>
  <c r="CV806" i="48"/>
  <c r="CU806" i="48"/>
  <c r="CT806" i="48"/>
  <c r="CT431" i="48"/>
  <c r="CV431" i="48"/>
  <c r="CU431" i="48"/>
  <c r="CU406" i="48"/>
  <c r="CT406" i="48"/>
  <c r="CV406" i="48"/>
  <c r="CU156" i="48"/>
  <c r="CT156" i="48"/>
  <c r="CV156" i="48"/>
  <c r="CT331" i="48"/>
  <c r="CV331" i="48"/>
  <c r="CU331" i="48"/>
  <c r="CV78" i="48"/>
  <c r="CU78" i="48"/>
  <c r="CT78" i="48"/>
  <c r="CT1306" i="48"/>
  <c r="CV1306" i="48"/>
  <c r="CU1306" i="48"/>
  <c r="CV353" i="48"/>
  <c r="CU353" i="48"/>
  <c r="CT353" i="48"/>
  <c r="CU178" i="48"/>
  <c r="CT178" i="48"/>
  <c r="CV178" i="48"/>
  <c r="CU1303" i="48"/>
  <c r="CT1303" i="48"/>
  <c r="CV1303" i="48"/>
  <c r="CT1203" i="48"/>
  <c r="CU1203" i="48"/>
  <c r="CV1203" i="48"/>
  <c r="CV303" i="48"/>
  <c r="CU303" i="48"/>
  <c r="CT303" i="48"/>
  <c r="CT428" i="48"/>
  <c r="CU428" i="48"/>
  <c r="CV428" i="48"/>
  <c r="CT53" i="48"/>
  <c r="CV53" i="48"/>
  <c r="CU53" i="48"/>
  <c r="CV1128" i="48"/>
  <c r="CU1128" i="48"/>
  <c r="CT1128" i="48"/>
  <c r="CV1330" i="48"/>
  <c r="CU1330" i="48"/>
  <c r="CT1330" i="48"/>
  <c r="CT55" i="48"/>
  <c r="CV55" i="48"/>
  <c r="CU55" i="48"/>
  <c r="CT630" i="48"/>
  <c r="CV630" i="48"/>
  <c r="CU630" i="48"/>
  <c r="CT655" i="48"/>
  <c r="CV655" i="48"/>
  <c r="CU655" i="48"/>
  <c r="CV355" i="48"/>
  <c r="CU355" i="48"/>
  <c r="CT355" i="48"/>
  <c r="CV530" i="48"/>
  <c r="CU530" i="48"/>
  <c r="CT530" i="48"/>
  <c r="CT730" i="48"/>
  <c r="CV730" i="48"/>
  <c r="CU730" i="48"/>
  <c r="CT205" i="48"/>
  <c r="CV205" i="48"/>
  <c r="CU205" i="48"/>
  <c r="CV829" i="48"/>
  <c r="CU829" i="48"/>
  <c r="CT829" i="48"/>
  <c r="CU204" i="48"/>
  <c r="CT204" i="48"/>
  <c r="CV204" i="48"/>
  <c r="CT1029" i="48"/>
  <c r="CV1029" i="48"/>
  <c r="CU1029" i="48"/>
  <c r="CV129" i="48"/>
  <c r="CU129" i="48"/>
  <c r="CT129" i="48"/>
  <c r="CT604" i="48"/>
  <c r="CV604" i="48"/>
  <c r="CU604" i="48"/>
  <c r="CU1329" i="48"/>
  <c r="CT1329" i="48"/>
  <c r="CV1329" i="48"/>
  <c r="CV729" i="48"/>
  <c r="CT729" i="48"/>
  <c r="CU729" i="48"/>
  <c r="CT1254" i="48"/>
  <c r="CV1254" i="48"/>
  <c r="CU1254" i="48"/>
  <c r="CU1304" i="48"/>
  <c r="CT1304" i="48"/>
  <c r="CV1304" i="48"/>
  <c r="CU479" i="48"/>
  <c r="CV479" i="48"/>
  <c r="CT479" i="48"/>
  <c r="CU804" i="48"/>
  <c r="CT804" i="48"/>
  <c r="CV804" i="48"/>
  <c r="CU329" i="48"/>
  <c r="CT329" i="48"/>
  <c r="CV329" i="48"/>
  <c r="CV1031" i="48"/>
  <c r="CU1031" i="48"/>
  <c r="CT1031" i="48"/>
  <c r="CT681" i="48"/>
  <c r="CV681" i="48"/>
  <c r="CU681" i="48"/>
  <c r="CU81" i="48"/>
  <c r="CT81" i="48"/>
  <c r="CV81" i="48"/>
  <c r="CU731" i="48"/>
  <c r="CV731" i="48"/>
  <c r="CT731" i="48"/>
  <c r="CU656" i="48"/>
  <c r="CT656" i="48"/>
  <c r="CV656" i="48"/>
  <c r="CU881" i="48"/>
  <c r="CT881" i="48"/>
  <c r="CV881" i="48"/>
  <c r="CU556" i="48"/>
  <c r="CT556" i="48"/>
  <c r="CV556" i="48"/>
  <c r="CU756" i="48"/>
  <c r="CV756" i="48"/>
  <c r="CT756" i="48"/>
  <c r="CT906" i="48"/>
  <c r="CV906" i="48"/>
  <c r="CU906" i="48"/>
  <c r="CV981" i="48"/>
  <c r="CU981" i="48"/>
  <c r="CT981" i="48"/>
  <c r="CV1181" i="48"/>
  <c r="CU1181" i="48"/>
  <c r="CT1181" i="48"/>
  <c r="CV356" i="48"/>
  <c r="CT356" i="48"/>
  <c r="CU356" i="48"/>
  <c r="CV531" i="48"/>
  <c r="CU531" i="48"/>
  <c r="CT531" i="48"/>
  <c r="CV1055" i="48"/>
  <c r="CU1055" i="48"/>
  <c r="CT1055" i="48"/>
  <c r="CV453" i="48"/>
  <c r="CT453" i="48"/>
  <c r="CU453" i="48"/>
  <c r="CV1255" i="48"/>
  <c r="CU1255" i="48"/>
  <c r="CT1255" i="48"/>
  <c r="CV1278" i="48"/>
  <c r="CU1278" i="48"/>
  <c r="CT1278" i="48"/>
  <c r="CV203" i="48"/>
  <c r="CU203" i="48"/>
  <c r="CT203" i="48"/>
  <c r="CU528" i="48"/>
  <c r="CT528" i="48"/>
  <c r="CV528" i="48"/>
  <c r="CT928" i="48"/>
  <c r="CV928" i="48"/>
  <c r="CU928" i="48"/>
  <c r="CU828" i="48"/>
  <c r="CV828" i="48"/>
  <c r="CT828" i="48"/>
  <c r="CT578" i="48"/>
  <c r="CV578" i="48"/>
  <c r="CU578" i="48"/>
  <c r="CT1178" i="48"/>
  <c r="CV1178" i="48"/>
  <c r="CU1178" i="48"/>
  <c r="CU1103" i="48"/>
  <c r="CT1103" i="48"/>
  <c r="CV1103" i="48"/>
  <c r="CV1003" i="48"/>
  <c r="CU1003" i="48"/>
  <c r="CT1003" i="48"/>
  <c r="CT1028" i="48"/>
  <c r="CU1028" i="48"/>
  <c r="CV1028" i="48"/>
  <c r="CT305" i="48"/>
  <c r="CV305" i="48"/>
  <c r="CU305" i="48"/>
  <c r="CV580" i="48"/>
  <c r="CU580" i="48"/>
  <c r="CT580" i="48"/>
  <c r="CU103" i="48"/>
  <c r="CT103" i="48"/>
  <c r="CV103" i="48"/>
  <c r="CT853" i="48"/>
  <c r="CV853" i="48"/>
  <c r="CU853" i="48"/>
  <c r="CV955" i="48"/>
  <c r="CU955" i="48"/>
  <c r="CT955" i="48"/>
  <c r="CV1205" i="48"/>
  <c r="CU1205" i="48"/>
  <c r="CT1205" i="48"/>
  <c r="CU130" i="48"/>
  <c r="CT130" i="48"/>
  <c r="CV130" i="48"/>
  <c r="CV105" i="48"/>
  <c r="CU105" i="48"/>
  <c r="CT105" i="48"/>
  <c r="CU1280" i="48"/>
  <c r="CT1280" i="48"/>
  <c r="CV1280" i="48"/>
  <c r="CT280" i="48"/>
  <c r="CV280" i="48"/>
  <c r="CU280" i="48"/>
  <c r="CV705" i="48"/>
  <c r="CU705" i="48"/>
  <c r="CT705" i="48"/>
  <c r="CU480" i="48"/>
  <c r="CV480" i="48"/>
  <c r="CT480" i="48"/>
  <c r="CV255" i="48"/>
  <c r="CU255" i="48"/>
  <c r="CT255" i="48"/>
  <c r="CV1105" i="48"/>
  <c r="CU1105" i="48"/>
  <c r="CT1105" i="48"/>
  <c r="CV404" i="48"/>
  <c r="CU404" i="48"/>
  <c r="CT404" i="48"/>
  <c r="CV629" i="48"/>
  <c r="CU629" i="48"/>
  <c r="CT629" i="48"/>
  <c r="CU579" i="48"/>
  <c r="CT579" i="48"/>
  <c r="CV579" i="48"/>
  <c r="CT779" i="48"/>
  <c r="CU779" i="48"/>
  <c r="CV779" i="48"/>
  <c r="CU1154" i="48"/>
  <c r="CT1154" i="48"/>
  <c r="CV1154" i="48"/>
  <c r="CT1054" i="48"/>
  <c r="CV1054" i="48"/>
  <c r="CU1054" i="48"/>
  <c r="CV554" i="48"/>
  <c r="CU554" i="48"/>
  <c r="CT554" i="48"/>
  <c r="CV279" i="48"/>
  <c r="CT279" i="48"/>
  <c r="CU279" i="48"/>
  <c r="CT1204" i="48"/>
  <c r="CV1204" i="48"/>
  <c r="CU1204" i="48"/>
  <c r="CT254" i="48"/>
  <c r="CV254" i="48"/>
  <c r="CU254" i="48"/>
  <c r="CU429" i="48"/>
  <c r="CT429" i="48"/>
  <c r="CV429" i="48"/>
  <c r="CU679" i="48"/>
  <c r="CT679" i="48"/>
  <c r="CV679" i="48"/>
  <c r="CU1104" i="48"/>
  <c r="CT1104" i="48"/>
  <c r="CV1104" i="48"/>
  <c r="CV1079" i="48"/>
  <c r="CU1079" i="48"/>
  <c r="CT1079" i="48"/>
  <c r="CT956" i="48"/>
  <c r="CV956" i="48"/>
  <c r="CU956" i="48"/>
  <c r="CV206" i="48"/>
  <c r="CU206" i="48"/>
  <c r="CT206" i="48"/>
  <c r="CT1256" i="48"/>
  <c r="CV1256" i="48"/>
  <c r="CU1256" i="48"/>
  <c r="CV131" i="48"/>
  <c r="CU131" i="48"/>
  <c r="CT131" i="48"/>
  <c r="CU831" i="48"/>
  <c r="CV831" i="48"/>
  <c r="CT831" i="48"/>
  <c r="CV381" i="48"/>
  <c r="CT381" i="48"/>
  <c r="CU381" i="48"/>
  <c r="CU56" i="48"/>
  <c r="CV56" i="48"/>
  <c r="CT56" i="48"/>
  <c r="CU231" i="48"/>
  <c r="CT231" i="48"/>
  <c r="CV231" i="48"/>
  <c r="CT181" i="48"/>
  <c r="CV181" i="48"/>
  <c r="CU181" i="48"/>
  <c r="CT306" i="48"/>
  <c r="CV306" i="48"/>
  <c r="CU306" i="48"/>
  <c r="CV581" i="48"/>
  <c r="CU581" i="48"/>
  <c r="CT581" i="48"/>
  <c r="CV503" i="48"/>
  <c r="CU503" i="48"/>
  <c r="CT503" i="48"/>
  <c r="CV803" i="48"/>
  <c r="CU803" i="48"/>
  <c r="CT803" i="48"/>
  <c r="CV1228" i="48"/>
  <c r="CU1228" i="48"/>
  <c r="CT1228" i="48"/>
  <c r="CV553" i="48"/>
  <c r="CU553" i="48"/>
  <c r="CT553" i="48"/>
  <c r="CV878" i="48"/>
  <c r="CU878" i="48"/>
  <c r="CT878" i="48"/>
  <c r="CU253" i="48"/>
  <c r="CT253" i="48"/>
  <c r="CV253" i="48"/>
  <c r="CT978" i="48"/>
  <c r="CV978" i="48"/>
  <c r="CU978" i="48"/>
  <c r="CU953" i="48"/>
  <c r="CT953" i="48"/>
  <c r="CV953" i="48"/>
  <c r="CU728" i="48"/>
  <c r="CV728" i="48"/>
  <c r="CT728" i="48"/>
  <c r="CV228" i="48"/>
  <c r="CU228" i="48"/>
  <c r="CT228" i="48"/>
  <c r="CT30" i="48"/>
  <c r="CU30" i="48"/>
  <c r="CV30" i="48"/>
  <c r="CV28" i="48"/>
  <c r="CU28" i="48"/>
  <c r="CT28" i="48"/>
  <c r="CV29" i="48"/>
  <c r="CU29" i="48"/>
  <c r="CT29" i="48"/>
  <c r="CU31" i="48"/>
  <c r="CT31" i="48"/>
  <c r="CV31" i="48"/>
  <c r="CV5" i="48"/>
  <c r="CT5" i="48"/>
  <c r="CV6" i="48"/>
  <c r="CT6" i="48"/>
  <c r="CT4" i="48"/>
  <c r="CV4" i="48"/>
  <c r="DC8" i="48"/>
  <c r="CU8" i="48" s="1"/>
  <c r="CN109" i="48"/>
  <c r="CP109" i="48" s="1"/>
  <c r="CW682" i="48" l="1"/>
  <c r="CW832" i="48"/>
  <c r="CW457" i="48"/>
  <c r="CW632" i="48"/>
  <c r="CW454" i="48"/>
  <c r="CW707" i="48"/>
  <c r="CW857" i="48"/>
  <c r="CW1007" i="48"/>
  <c r="CW82" i="48"/>
  <c r="CW1182" i="48"/>
  <c r="CW1082" i="48"/>
  <c r="CW732" i="48"/>
  <c r="CW7" i="48"/>
  <c r="CW1332" i="48"/>
  <c r="CW932" i="48"/>
  <c r="CU958" i="48"/>
  <c r="CW507" i="48"/>
  <c r="CW1107" i="48"/>
  <c r="CW1032" i="48"/>
  <c r="CW982" i="48"/>
  <c r="CW482" i="48"/>
  <c r="CW32" i="48"/>
  <c r="CW532" i="48"/>
  <c r="CW1081" i="48"/>
  <c r="CW657" i="48"/>
  <c r="CW232" i="48"/>
  <c r="CW1257" i="48"/>
  <c r="CW132" i="48"/>
  <c r="CW328" i="48"/>
  <c r="CW1232" i="48"/>
  <c r="CW807" i="48"/>
  <c r="CW182" i="48"/>
  <c r="CW882" i="48"/>
  <c r="CW157" i="48"/>
  <c r="CW382" i="48"/>
  <c r="CW1132" i="48"/>
  <c r="CW332" i="48"/>
  <c r="CW257" i="48"/>
  <c r="CW782" i="48"/>
  <c r="CT958" i="48"/>
  <c r="CW57" i="48"/>
  <c r="CW607" i="48"/>
  <c r="CW1282" i="48"/>
  <c r="CW1080" i="48"/>
  <c r="CW557" i="48"/>
  <c r="CV958" i="48"/>
  <c r="CN784" i="48"/>
  <c r="CP784" i="48" s="1"/>
  <c r="CN909" i="48"/>
  <c r="CP909" i="48" s="1"/>
  <c r="CN709" i="48"/>
  <c r="CP709" i="48" s="1"/>
  <c r="CU334" i="48"/>
  <c r="CN84" i="48"/>
  <c r="CP84" i="48" s="1"/>
  <c r="CN1284" i="48"/>
  <c r="CP1284" i="48" s="1"/>
  <c r="CN209" i="48"/>
  <c r="CP209" i="48" s="1"/>
  <c r="CN959" i="48"/>
  <c r="CP959" i="48" s="1"/>
  <c r="CN359" i="48"/>
  <c r="CP359" i="48" s="1"/>
  <c r="CN859" i="48"/>
  <c r="CP859" i="48" s="1"/>
  <c r="CN1109" i="48"/>
  <c r="CP1109" i="48" s="1"/>
  <c r="CN1309" i="48"/>
  <c r="CP1309" i="48" s="1"/>
  <c r="CN1184" i="48"/>
  <c r="CP1184" i="48" s="1"/>
  <c r="CN409" i="48"/>
  <c r="CP409" i="48" s="1"/>
  <c r="CN59" i="48"/>
  <c r="CP59" i="48" s="1"/>
  <c r="CN1259" i="48"/>
  <c r="CP1259" i="48" s="1"/>
  <c r="CN284" i="48"/>
  <c r="CP284" i="48" s="1"/>
  <c r="CN984" i="48"/>
  <c r="CP984" i="48" s="1"/>
  <c r="CN634" i="48"/>
  <c r="CP634" i="48" s="1"/>
  <c r="CN259" i="48"/>
  <c r="CP259" i="48" s="1"/>
  <c r="CN234" i="48"/>
  <c r="CP234" i="48" s="1"/>
  <c r="CN734" i="48"/>
  <c r="CP734" i="48" s="1"/>
  <c r="CN1334" i="48"/>
  <c r="CP1334" i="48" s="1"/>
  <c r="CN759" i="48"/>
  <c r="CP759" i="48" s="1"/>
  <c r="CN1034" i="48"/>
  <c r="CP1034" i="48" s="1"/>
  <c r="CN834" i="48"/>
  <c r="CP834" i="48" s="1"/>
  <c r="CN134" i="48"/>
  <c r="CP134" i="48" s="1"/>
  <c r="CN34" i="48"/>
  <c r="CP34" i="48" s="1"/>
  <c r="CN384" i="48"/>
  <c r="CP384" i="48" s="1"/>
  <c r="CN509" i="48"/>
  <c r="CP509" i="48" s="1"/>
  <c r="CN1159" i="48"/>
  <c r="CP1159" i="48" s="1"/>
  <c r="CN434" i="48"/>
  <c r="CP434" i="48" s="1"/>
  <c r="CN1209" i="48"/>
  <c r="CP1209" i="48" s="1"/>
  <c r="CN934" i="48"/>
  <c r="CP934" i="48" s="1"/>
  <c r="CN884" i="48"/>
  <c r="CP884" i="48" s="1"/>
  <c r="CN159" i="48"/>
  <c r="CP159" i="48" s="1"/>
  <c r="CN609" i="48"/>
  <c r="CP609" i="48" s="1"/>
  <c r="CN559" i="48"/>
  <c r="CP559" i="48" s="1"/>
  <c r="CN9" i="48"/>
  <c r="CP9" i="48" s="1"/>
  <c r="CN1009" i="48"/>
  <c r="CP1009" i="48" s="1"/>
  <c r="CN1059" i="48"/>
  <c r="CP1059" i="48" s="1"/>
  <c r="CN184" i="48"/>
  <c r="CP184" i="48" s="1"/>
  <c r="CN534" i="48"/>
  <c r="CP534" i="48" s="1"/>
  <c r="CN484" i="48"/>
  <c r="CP484" i="48" s="1"/>
  <c r="CN1084" i="48"/>
  <c r="CP1084" i="48" s="1"/>
  <c r="CN584" i="48"/>
  <c r="CP584" i="48" s="1"/>
  <c r="CN459" i="48"/>
  <c r="CP459" i="48" s="1"/>
  <c r="CN1134" i="48"/>
  <c r="CP1134" i="48" s="1"/>
  <c r="CN334" i="48"/>
  <c r="CP334" i="48" s="1"/>
  <c r="CN659" i="48"/>
  <c r="CP659" i="48" s="1"/>
  <c r="CN684" i="48"/>
  <c r="CP684" i="48" s="1"/>
  <c r="CN809" i="48"/>
  <c r="CP809" i="48" s="1"/>
  <c r="CN309" i="48"/>
  <c r="CP309" i="48" s="1"/>
  <c r="CN1234" i="48"/>
  <c r="CP1234" i="48" s="1"/>
  <c r="CW1156" i="48"/>
  <c r="CW431" i="48"/>
  <c r="CW253" i="48"/>
  <c r="CW553" i="48"/>
  <c r="CW503" i="48"/>
  <c r="CW580" i="48"/>
  <c r="CW729" i="48"/>
  <c r="CW1329" i="48"/>
  <c r="CW205" i="48"/>
  <c r="CW730" i="48"/>
  <c r="CW630" i="48"/>
  <c r="CW55" i="48"/>
  <c r="CW428" i="48"/>
  <c r="CW178" i="48"/>
  <c r="CW1229" i="48"/>
  <c r="CW1129" i="48"/>
  <c r="CW179" i="48"/>
  <c r="CW130" i="48"/>
  <c r="CW378" i="48"/>
  <c r="CW456" i="48"/>
  <c r="CW481" i="48"/>
  <c r="CW506" i="48"/>
  <c r="CW931" i="48"/>
  <c r="CW904" i="48"/>
  <c r="CW1004" i="48"/>
  <c r="CW504" i="48"/>
  <c r="CW230" i="48"/>
  <c r="CW53" i="48"/>
  <c r="CW1303" i="48"/>
  <c r="CW954" i="48"/>
  <c r="CW880" i="48"/>
  <c r="CW1305" i="48"/>
  <c r="CW505" i="48"/>
  <c r="CW555" i="48"/>
  <c r="CW1130" i="48"/>
  <c r="CW1103" i="48"/>
  <c r="CW79" i="48"/>
  <c r="CW106" i="48"/>
  <c r="CW1030" i="48"/>
  <c r="CW406" i="48"/>
  <c r="CW279" i="48"/>
  <c r="CW629" i="48"/>
  <c r="CW404" i="48"/>
  <c r="CW1205" i="48"/>
  <c r="CW955" i="48"/>
  <c r="CW853" i="48"/>
  <c r="CW531" i="48"/>
  <c r="CW356" i="48"/>
  <c r="CW1181" i="48"/>
  <c r="CW204" i="48"/>
  <c r="CW654" i="48"/>
  <c r="CW231" i="48"/>
  <c r="CW381" i="48"/>
  <c r="CW1104" i="48"/>
  <c r="CW1204" i="48"/>
  <c r="CW480" i="48"/>
  <c r="CW1031" i="48"/>
  <c r="CW1330" i="48"/>
  <c r="CW78" i="48"/>
  <c r="CW1078" i="48"/>
  <c r="CW903" i="48"/>
  <c r="CW603" i="48"/>
  <c r="CW229" i="48"/>
  <c r="CW354" i="48"/>
  <c r="CW854" i="48"/>
  <c r="CW1005" i="48"/>
  <c r="CW780" i="48"/>
  <c r="CW330" i="48"/>
  <c r="CW128" i="48"/>
  <c r="CW153" i="48"/>
  <c r="CW156" i="48"/>
  <c r="CW131" i="48"/>
  <c r="CW679" i="48"/>
  <c r="CW429" i="48"/>
  <c r="CW1054" i="48"/>
  <c r="CW1105" i="48"/>
  <c r="CW1280" i="48"/>
  <c r="CW1178" i="48"/>
  <c r="CW203" i="48"/>
  <c r="CW906" i="48"/>
  <c r="CW756" i="48"/>
  <c r="CW1231" i="48"/>
  <c r="CW278" i="48"/>
  <c r="CW979" i="48"/>
  <c r="CW254" i="48"/>
  <c r="CW928" i="48"/>
  <c r="CW1255" i="48"/>
  <c r="CW1106" i="48"/>
  <c r="CT58" i="48"/>
  <c r="CV58" i="48"/>
  <c r="CU58" i="48"/>
  <c r="CV733" i="48"/>
  <c r="CU733" i="48"/>
  <c r="CT733" i="48"/>
  <c r="CV108" i="48"/>
  <c r="CU108" i="48"/>
  <c r="CT108" i="48"/>
  <c r="CW255" i="48"/>
  <c r="CW731" i="48"/>
  <c r="CW256" i="48"/>
  <c r="CV633" i="48"/>
  <c r="CU633" i="48"/>
  <c r="CT633" i="48"/>
  <c r="CV708" i="48"/>
  <c r="CU708" i="48"/>
  <c r="CT708" i="48"/>
  <c r="CU558" i="48"/>
  <c r="CT558" i="48"/>
  <c r="CV558" i="48"/>
  <c r="CV1183" i="48"/>
  <c r="CT1183" i="48"/>
  <c r="CU1183" i="48"/>
  <c r="CU408" i="48"/>
  <c r="CT408" i="48"/>
  <c r="CV408" i="48"/>
  <c r="CW878" i="48"/>
  <c r="CW803" i="48"/>
  <c r="CW56" i="48"/>
  <c r="CW956" i="48"/>
  <c r="CW554" i="48"/>
  <c r="CW981" i="48"/>
  <c r="CW530" i="48"/>
  <c r="CW355" i="48"/>
  <c r="CW1128" i="48"/>
  <c r="CW303" i="48"/>
  <c r="CW353" i="48"/>
  <c r="CW879" i="48"/>
  <c r="CW1230" i="48"/>
  <c r="CW1131" i="48"/>
  <c r="CW1155" i="48"/>
  <c r="CW155" i="48"/>
  <c r="CV508" i="48"/>
  <c r="CU508" i="48"/>
  <c r="CT508" i="48"/>
  <c r="CT583" i="48"/>
  <c r="CV583" i="48"/>
  <c r="CU583" i="48"/>
  <c r="CU658" i="48"/>
  <c r="CT658" i="48"/>
  <c r="CV658" i="48"/>
  <c r="CT1108" i="48"/>
  <c r="CU1108" i="48"/>
  <c r="CV1108" i="48"/>
  <c r="CT158" i="48"/>
  <c r="CV158" i="48"/>
  <c r="CU158" i="48"/>
  <c r="CT1258" i="48"/>
  <c r="CV1258" i="48"/>
  <c r="CU1258" i="48"/>
  <c r="CU758" i="48"/>
  <c r="CV758" i="48"/>
  <c r="CT758" i="48"/>
  <c r="CV1083" i="48"/>
  <c r="CU1083" i="48"/>
  <c r="CT1083" i="48"/>
  <c r="CV483" i="48"/>
  <c r="CT483" i="48"/>
  <c r="CU483" i="48"/>
  <c r="CV1008" i="48"/>
  <c r="CU1008" i="48"/>
  <c r="CT1008" i="48"/>
  <c r="CV608" i="48"/>
  <c r="CU608" i="48"/>
  <c r="CT608" i="48"/>
  <c r="CV858" i="48"/>
  <c r="CT858" i="48"/>
  <c r="CU858" i="48"/>
  <c r="CU283" i="48"/>
  <c r="CV283" i="48"/>
  <c r="CT283" i="48"/>
  <c r="CV1133" i="48"/>
  <c r="CU1133" i="48"/>
  <c r="CT1133" i="48"/>
  <c r="CT83" i="48"/>
  <c r="CV83" i="48"/>
  <c r="CU83" i="48"/>
  <c r="CU783" i="48"/>
  <c r="CT783" i="48"/>
  <c r="CV783" i="48"/>
  <c r="CV1208" i="48"/>
  <c r="CU1208" i="48"/>
  <c r="CT1208" i="48"/>
  <c r="CV1283" i="48"/>
  <c r="CU1283" i="48"/>
  <c r="CT1283" i="48"/>
  <c r="CT1308" i="48"/>
  <c r="CV1308" i="48"/>
  <c r="CU1308" i="48"/>
  <c r="CU333" i="48"/>
  <c r="CT333" i="48"/>
  <c r="CV333" i="48"/>
  <c r="CT1233" i="48"/>
  <c r="CV1233" i="48"/>
  <c r="CU1233" i="48"/>
  <c r="CU433" i="48"/>
  <c r="CT433" i="48"/>
  <c r="CV433" i="48"/>
  <c r="CW953" i="48"/>
  <c r="CW978" i="48"/>
  <c r="CW306" i="48"/>
  <c r="CW181" i="48"/>
  <c r="CW1256" i="48"/>
  <c r="CW1079" i="48"/>
  <c r="CW705" i="48"/>
  <c r="CW1028" i="48"/>
  <c r="CW828" i="48"/>
  <c r="CW453" i="48"/>
  <c r="CW329" i="48"/>
  <c r="CW804" i="48"/>
  <c r="CW1304" i="48"/>
  <c r="CW1029" i="48"/>
  <c r="CW829" i="48"/>
  <c r="CW1203" i="48"/>
  <c r="CW331" i="48"/>
  <c r="CW806" i="48"/>
  <c r="CW1056" i="48"/>
  <c r="CW856" i="48"/>
  <c r="CW706" i="48"/>
  <c r="CW1006" i="48"/>
  <c r="CW1281" i="48"/>
  <c r="CW1331" i="48"/>
  <c r="CW529" i="48"/>
  <c r="CW929" i="48"/>
  <c r="CW704" i="48"/>
  <c r="CW1179" i="48"/>
  <c r="CW855" i="48"/>
  <c r="CW905" i="48"/>
  <c r="CW930" i="48"/>
  <c r="CW455" i="48"/>
  <c r="CW1180" i="48"/>
  <c r="CW403" i="48"/>
  <c r="CW1253" i="48"/>
  <c r="CW1328" i="48"/>
  <c r="CW405" i="48"/>
  <c r="CW478" i="48"/>
  <c r="CW380" i="48"/>
  <c r="CW781" i="48"/>
  <c r="CW606" i="48"/>
  <c r="CW1206" i="48"/>
  <c r="CW54" i="48"/>
  <c r="CW754" i="48"/>
  <c r="CW104" i="48"/>
  <c r="CW980" i="48"/>
  <c r="CW830" i="48"/>
  <c r="CW80" i="48"/>
  <c r="CW755" i="48"/>
  <c r="CU458" i="48"/>
  <c r="CV458" i="48"/>
  <c r="CT458" i="48"/>
  <c r="CV533" i="48"/>
  <c r="CU533" i="48"/>
  <c r="CT533" i="48"/>
  <c r="CV833" i="48"/>
  <c r="CU833" i="48"/>
  <c r="CT833" i="48"/>
  <c r="CT683" i="48"/>
  <c r="CV683" i="48"/>
  <c r="CU683" i="48"/>
  <c r="CV933" i="48"/>
  <c r="CU933" i="48"/>
  <c r="CT933" i="48"/>
  <c r="CT233" i="48"/>
  <c r="CV233" i="48"/>
  <c r="CU233" i="48"/>
  <c r="CV383" i="48"/>
  <c r="CU383" i="48"/>
  <c r="CT383" i="48"/>
  <c r="CV1333" i="48"/>
  <c r="CU1333" i="48"/>
  <c r="CT1333" i="48"/>
  <c r="CT358" i="48"/>
  <c r="CU358" i="48"/>
  <c r="CV358" i="48"/>
  <c r="CW728" i="48"/>
  <c r="CT258" i="48"/>
  <c r="CV258" i="48"/>
  <c r="CU258" i="48"/>
  <c r="CU208" i="48"/>
  <c r="CT208" i="48"/>
  <c r="CV208" i="48"/>
  <c r="CU883" i="48"/>
  <c r="CT883" i="48"/>
  <c r="CV883" i="48"/>
  <c r="CV983" i="48"/>
  <c r="CU983" i="48"/>
  <c r="CT983" i="48"/>
  <c r="CT308" i="48"/>
  <c r="CV308" i="48"/>
  <c r="CU308" i="48"/>
  <c r="CV808" i="48"/>
  <c r="CU808" i="48"/>
  <c r="CT808" i="48"/>
  <c r="CT1058" i="48"/>
  <c r="CV1058" i="48"/>
  <c r="CU1058" i="48"/>
  <c r="CT908" i="48"/>
  <c r="CV908" i="48"/>
  <c r="CU908" i="48"/>
  <c r="CT1158" i="48"/>
  <c r="CV1158" i="48"/>
  <c r="CU1158" i="48"/>
  <c r="CU133" i="48"/>
  <c r="CT133" i="48"/>
  <c r="CV133" i="48"/>
  <c r="CV1033" i="48"/>
  <c r="CU1033" i="48"/>
  <c r="CT1033" i="48"/>
  <c r="CV183" i="48"/>
  <c r="CU183" i="48"/>
  <c r="CT183" i="48"/>
  <c r="CW228" i="48"/>
  <c r="CW1228" i="48"/>
  <c r="CW581" i="48"/>
  <c r="CW831" i="48"/>
  <c r="CW206" i="48"/>
  <c r="CW1154" i="48"/>
  <c r="CW779" i="48"/>
  <c r="CW579" i="48"/>
  <c r="CW280" i="48"/>
  <c r="CW105" i="48"/>
  <c r="CW103" i="48"/>
  <c r="CW305" i="48"/>
  <c r="CW1003" i="48"/>
  <c r="CW578" i="48"/>
  <c r="CW528" i="48"/>
  <c r="CW1278" i="48"/>
  <c r="CW1055" i="48"/>
  <c r="CW556" i="48"/>
  <c r="CW881" i="48"/>
  <c r="CW656" i="48"/>
  <c r="CW81" i="48"/>
  <c r="CW681" i="48"/>
  <c r="CW479" i="48"/>
  <c r="CW1254" i="48"/>
  <c r="CW604" i="48"/>
  <c r="CW129" i="48"/>
  <c r="CW655" i="48"/>
  <c r="CW1306" i="48"/>
  <c r="CW304" i="48"/>
  <c r="CW430" i="48"/>
  <c r="CW805" i="48"/>
  <c r="CW653" i="48"/>
  <c r="CW1153" i="48"/>
  <c r="CW631" i="48"/>
  <c r="CW281" i="48"/>
  <c r="CW154" i="48"/>
  <c r="CW1279" i="48"/>
  <c r="CW379" i="48"/>
  <c r="CW605" i="48"/>
  <c r="CW680" i="48"/>
  <c r="CW180" i="48"/>
  <c r="CW1053" i="48"/>
  <c r="CW31" i="48"/>
  <c r="CW28" i="48"/>
  <c r="CW29" i="48"/>
  <c r="CW30" i="48"/>
  <c r="CU33" i="48"/>
  <c r="CT33" i="48"/>
  <c r="CV33" i="48"/>
  <c r="CW6" i="48"/>
  <c r="CW4" i="48"/>
  <c r="CT8" i="48"/>
  <c r="CV8" i="48"/>
  <c r="CW5" i="48"/>
  <c r="DC9" i="48"/>
  <c r="CU9" i="48" s="1"/>
  <c r="CN235" i="48"/>
  <c r="CP235" i="48" s="1"/>
  <c r="CT334" i="48" l="1"/>
  <c r="CV334" i="48"/>
  <c r="CW958" i="48"/>
  <c r="CN260" i="48"/>
  <c r="CP260" i="48" s="1"/>
  <c r="CN60" i="48"/>
  <c r="CP60" i="48" s="1"/>
  <c r="CN535" i="48"/>
  <c r="CP535" i="48" s="1"/>
  <c r="CN1085" i="48"/>
  <c r="CP1085" i="48" s="1"/>
  <c r="CN185" i="48"/>
  <c r="CP185" i="48" s="1"/>
  <c r="CN1285" i="48"/>
  <c r="CP1285" i="48" s="1"/>
  <c r="CN160" i="48"/>
  <c r="CP160" i="48" s="1"/>
  <c r="CN1210" i="48"/>
  <c r="CP1210" i="48" s="1"/>
  <c r="CN1035" i="48"/>
  <c r="CP1035" i="48" s="1"/>
  <c r="CN560" i="48"/>
  <c r="CP560" i="48" s="1"/>
  <c r="CN1335" i="48"/>
  <c r="CP1335" i="48" s="1"/>
  <c r="CN210" i="48"/>
  <c r="CP210" i="48" s="1"/>
  <c r="CU160" i="48"/>
  <c r="CN910" i="48"/>
  <c r="CP910" i="48" s="1"/>
  <c r="CN710" i="48"/>
  <c r="CP710" i="48" s="1"/>
  <c r="CN435" i="48"/>
  <c r="CP435" i="48" s="1"/>
  <c r="CN985" i="48"/>
  <c r="CP985" i="48" s="1"/>
  <c r="CN510" i="48"/>
  <c r="CP510" i="48" s="1"/>
  <c r="CN460" i="48"/>
  <c r="CP460" i="48" s="1"/>
  <c r="CN335" i="48"/>
  <c r="CP335" i="48" s="1"/>
  <c r="CN1135" i="48"/>
  <c r="CP1135" i="48" s="1"/>
  <c r="CN1060" i="48"/>
  <c r="CP1060" i="48" s="1"/>
  <c r="CN410" i="48"/>
  <c r="CP410" i="48" s="1"/>
  <c r="CN135" i="48"/>
  <c r="CP135" i="48" s="1"/>
  <c r="CN735" i="48"/>
  <c r="CP735" i="48" s="1"/>
  <c r="CN785" i="48"/>
  <c r="CP785" i="48" s="1"/>
  <c r="CN110" i="48"/>
  <c r="CP110" i="48" s="1"/>
  <c r="CN85" i="48"/>
  <c r="CP85" i="48" s="1"/>
  <c r="CN35" i="48"/>
  <c r="CP35" i="48" s="1"/>
  <c r="CN885" i="48"/>
  <c r="CP885" i="48" s="1"/>
  <c r="CN810" i="48"/>
  <c r="CP810" i="48" s="1"/>
  <c r="CN1160" i="48"/>
  <c r="CP1160" i="48" s="1"/>
  <c r="CN860" i="48"/>
  <c r="CP860" i="48" s="1"/>
  <c r="CN310" i="48"/>
  <c r="CP310" i="48" s="1"/>
  <c r="CN585" i="48"/>
  <c r="CP585" i="48" s="1"/>
  <c r="CN1260" i="48"/>
  <c r="CP1260" i="48" s="1"/>
  <c r="CN610" i="48"/>
  <c r="CP610" i="48" s="1"/>
  <c r="CN1185" i="48"/>
  <c r="CP1185" i="48" s="1"/>
  <c r="CN485" i="48"/>
  <c r="CP485" i="48" s="1"/>
  <c r="CN685" i="48"/>
  <c r="CP685" i="48" s="1"/>
  <c r="CN10" i="48"/>
  <c r="CP10" i="48" s="1"/>
  <c r="CN385" i="48"/>
  <c r="CP385" i="48" s="1"/>
  <c r="CN635" i="48"/>
  <c r="CP635" i="48" s="1"/>
  <c r="CN1310" i="48"/>
  <c r="CP1310" i="48" s="1"/>
  <c r="CN1010" i="48"/>
  <c r="CP1010" i="48" s="1"/>
  <c r="CN760" i="48"/>
  <c r="CP760" i="48" s="1"/>
  <c r="CN285" i="48"/>
  <c r="CP285" i="48" s="1"/>
  <c r="CN835" i="48"/>
  <c r="CP835" i="48" s="1"/>
  <c r="CN960" i="48"/>
  <c r="CP960" i="48" s="1"/>
  <c r="CN660" i="48"/>
  <c r="CP660" i="48" s="1"/>
  <c r="CN1110" i="48"/>
  <c r="CP1110" i="48" s="1"/>
  <c r="CN360" i="48"/>
  <c r="CP360" i="48" s="1"/>
  <c r="CN1235" i="48"/>
  <c r="CP1235" i="48" s="1"/>
  <c r="CN935" i="48"/>
  <c r="CP935" i="48" s="1"/>
  <c r="CW883" i="48"/>
  <c r="CW208" i="48"/>
  <c r="CW258" i="48"/>
  <c r="CW933" i="48"/>
  <c r="CW833" i="48"/>
  <c r="CW533" i="48"/>
  <c r="CW1233" i="48"/>
  <c r="CW1308" i="48"/>
  <c r="CW1133" i="48"/>
  <c r="CW858" i="48"/>
  <c r="CW608" i="48"/>
  <c r="CW1008" i="48"/>
  <c r="CW58" i="48"/>
  <c r="CW1183" i="48"/>
  <c r="CW708" i="48"/>
  <c r="CW633" i="48"/>
  <c r="CW133" i="48"/>
  <c r="CW1158" i="48"/>
  <c r="CW908" i="48"/>
  <c r="CW1058" i="48"/>
  <c r="CW658" i="48"/>
  <c r="CW233" i="48"/>
  <c r="CW83" i="48"/>
  <c r="CW308" i="48"/>
  <c r="CW1333" i="48"/>
  <c r="CW383" i="48"/>
  <c r="CW1283" i="48"/>
  <c r="CW1208" i="48"/>
  <c r="CW1108" i="48"/>
  <c r="CW108" i="48"/>
  <c r="CW183" i="48"/>
  <c r="CW483" i="48"/>
  <c r="CW1083" i="48"/>
  <c r="CT884" i="48"/>
  <c r="CV884" i="48"/>
  <c r="CU884" i="48"/>
  <c r="CV134" i="48"/>
  <c r="CU134" i="48"/>
  <c r="CT134" i="48"/>
  <c r="CV609" i="48"/>
  <c r="CU609" i="48"/>
  <c r="CT609" i="48"/>
  <c r="CU1134" i="48"/>
  <c r="CT1134" i="48"/>
  <c r="CV1134" i="48"/>
  <c r="CV384" i="48"/>
  <c r="CU384" i="48"/>
  <c r="CT384" i="48"/>
  <c r="CT309" i="48"/>
  <c r="CV309" i="48"/>
  <c r="CU309" i="48"/>
  <c r="CU734" i="48"/>
  <c r="CV734" i="48"/>
  <c r="CT734" i="48"/>
  <c r="CV1234" i="48"/>
  <c r="CU1234" i="48"/>
  <c r="CT1234" i="48"/>
  <c r="CU634" i="48"/>
  <c r="CT634" i="48"/>
  <c r="CV634" i="48"/>
  <c r="CV509" i="48"/>
  <c r="CU509" i="48"/>
  <c r="CT509" i="48"/>
  <c r="CV1109" i="48"/>
  <c r="CU1109" i="48"/>
  <c r="CT1109" i="48"/>
  <c r="CT659" i="48"/>
  <c r="CV659" i="48"/>
  <c r="CU659" i="48"/>
  <c r="CU234" i="48"/>
  <c r="CT234" i="48"/>
  <c r="CV234" i="48"/>
  <c r="CV584" i="48"/>
  <c r="CU584" i="48"/>
  <c r="CT584" i="48"/>
  <c r="CV1334" i="48"/>
  <c r="CU1334" i="48"/>
  <c r="CT1334" i="48"/>
  <c r="CU484" i="48"/>
  <c r="CV484" i="48"/>
  <c r="CT484" i="48"/>
  <c r="CU159" i="48"/>
  <c r="CT159" i="48"/>
  <c r="CV159" i="48"/>
  <c r="CU1009" i="48"/>
  <c r="CT1009" i="48"/>
  <c r="CV1009" i="48"/>
  <c r="CU459" i="48"/>
  <c r="CV459" i="48"/>
  <c r="CT459" i="48"/>
  <c r="CW1033" i="48"/>
  <c r="CW358" i="48"/>
  <c r="CW683" i="48"/>
  <c r="CW458" i="48"/>
  <c r="CW433" i="48"/>
  <c r="CW333" i="48"/>
  <c r="CW783" i="48"/>
  <c r="CW283" i="48"/>
  <c r="CW758" i="48"/>
  <c r="CW1258" i="48"/>
  <c r="CW158" i="48"/>
  <c r="CW508" i="48"/>
  <c r="CV909" i="48"/>
  <c r="CU909" i="48"/>
  <c r="CT909" i="48"/>
  <c r="CV959" i="48"/>
  <c r="CU959" i="48"/>
  <c r="CT959" i="48"/>
  <c r="CV934" i="48"/>
  <c r="CU934" i="48"/>
  <c r="CT934" i="48"/>
  <c r="CV1184" i="48"/>
  <c r="CU1184" i="48"/>
  <c r="CT1184" i="48"/>
  <c r="CU1284" i="48"/>
  <c r="CT1284" i="48"/>
  <c r="CV1284" i="48"/>
  <c r="CV859" i="48"/>
  <c r="CU859" i="48"/>
  <c r="CT859" i="48"/>
  <c r="CT759" i="48"/>
  <c r="CV759" i="48"/>
  <c r="CU759" i="48"/>
  <c r="CV984" i="48"/>
  <c r="CU984" i="48"/>
  <c r="CT984" i="48"/>
  <c r="CT109" i="48"/>
  <c r="CV109" i="48"/>
  <c r="CU109" i="48"/>
  <c r="CV709" i="48"/>
  <c r="CU709" i="48"/>
  <c r="CT709" i="48"/>
  <c r="CU259" i="48"/>
  <c r="CT259" i="48"/>
  <c r="CV259" i="48"/>
  <c r="CV1034" i="48"/>
  <c r="CU1034" i="48"/>
  <c r="CT1034" i="48"/>
  <c r="CT184" i="48"/>
  <c r="CV184" i="48"/>
  <c r="CU184" i="48"/>
  <c r="CV1259" i="48"/>
  <c r="CU1259" i="48"/>
  <c r="CT1259" i="48"/>
  <c r="CU84" i="48"/>
  <c r="CT84" i="48"/>
  <c r="CV84" i="48"/>
  <c r="CV684" i="48"/>
  <c r="CU684" i="48"/>
  <c r="CT684" i="48"/>
  <c r="CT559" i="48"/>
  <c r="CV559" i="48"/>
  <c r="CU559" i="48"/>
  <c r="CU434" i="48"/>
  <c r="CT434" i="48"/>
  <c r="CV434" i="48"/>
  <c r="CT359" i="48"/>
  <c r="CV359" i="48"/>
  <c r="CU359" i="48"/>
  <c r="CV834" i="48"/>
  <c r="CT834" i="48"/>
  <c r="CU834" i="48"/>
  <c r="CV1309" i="48"/>
  <c r="CU1309" i="48"/>
  <c r="CT1309" i="48"/>
  <c r="CU809" i="48"/>
  <c r="CV809" i="48"/>
  <c r="CT809" i="48"/>
  <c r="CT284" i="48"/>
  <c r="CV284" i="48"/>
  <c r="CU284" i="48"/>
  <c r="CV209" i="48"/>
  <c r="CU209" i="48"/>
  <c r="CT209" i="48"/>
  <c r="CT1059" i="48"/>
  <c r="CV1059" i="48"/>
  <c r="CU1059" i="48"/>
  <c r="CV784" i="48"/>
  <c r="CU784" i="48"/>
  <c r="CT784" i="48"/>
  <c r="CV534" i="48"/>
  <c r="CU534" i="48"/>
  <c r="CT534" i="48"/>
  <c r="CT409" i="48"/>
  <c r="CU409" i="48"/>
  <c r="CV409" i="48"/>
  <c r="CV1159" i="48"/>
  <c r="CU1159" i="48"/>
  <c r="CT1159" i="48"/>
  <c r="CV1209" i="48"/>
  <c r="CU1209" i="48"/>
  <c r="CT1209" i="48"/>
  <c r="CU1084" i="48"/>
  <c r="CT1084" i="48"/>
  <c r="CV1084" i="48"/>
  <c r="CV59" i="48"/>
  <c r="CT59" i="48"/>
  <c r="CU59" i="48"/>
  <c r="CW808" i="48"/>
  <c r="CW983" i="48"/>
  <c r="CW583" i="48"/>
  <c r="CW408" i="48"/>
  <c r="CW558" i="48"/>
  <c r="CW733" i="48"/>
  <c r="CW33" i="48"/>
  <c r="CT34" i="48"/>
  <c r="CV34" i="48"/>
  <c r="CU34" i="48"/>
  <c r="CT9" i="48"/>
  <c r="CV9" i="48"/>
  <c r="CW8" i="48"/>
  <c r="DC10" i="48"/>
  <c r="CU10" i="48" s="1"/>
  <c r="CW334" i="48" l="1"/>
  <c r="CV160" i="48"/>
  <c r="CT160" i="48"/>
  <c r="CN611" i="48"/>
  <c r="CP611" i="48" s="1"/>
  <c r="CN1236" i="48"/>
  <c r="CP1236" i="48" s="1"/>
  <c r="CN86" i="48"/>
  <c r="CP86" i="48" s="1"/>
  <c r="CN636" i="48"/>
  <c r="CP636" i="48" s="1"/>
  <c r="CN736" i="48"/>
  <c r="CP736" i="48" s="1"/>
  <c r="CN111" i="48"/>
  <c r="CP111" i="48" s="1"/>
  <c r="CN661" i="48"/>
  <c r="CP661" i="48" s="1"/>
  <c r="CN36" i="48"/>
  <c r="CP36" i="48" s="1"/>
  <c r="CN1061" i="48"/>
  <c r="CP1061" i="48" s="1"/>
  <c r="CN186" i="48"/>
  <c r="CP186" i="48" s="1"/>
  <c r="CN1211" i="48"/>
  <c r="CP1211" i="48" s="1"/>
  <c r="CN261" i="48"/>
  <c r="CP261" i="48" s="1"/>
  <c r="CN211" i="48"/>
  <c r="CP211" i="48" s="1"/>
  <c r="CW59" i="48"/>
  <c r="CW484" i="48"/>
  <c r="CW1334" i="48"/>
  <c r="CW834" i="48"/>
  <c r="CW434" i="48"/>
  <c r="CW559" i="48"/>
  <c r="CW1259" i="48"/>
  <c r="CW984" i="48"/>
  <c r="CW759" i="48"/>
  <c r="CW959" i="48"/>
  <c r="CW909" i="48"/>
  <c r="CW459" i="48"/>
  <c r="CW259" i="48"/>
  <c r="CW884" i="48"/>
  <c r="CW409" i="48"/>
  <c r="CW1309" i="48"/>
  <c r="CW934" i="48"/>
  <c r="CW159" i="48"/>
  <c r="CW784" i="48"/>
  <c r="CW709" i="48"/>
  <c r="CW109" i="48"/>
  <c r="CW659" i="48"/>
  <c r="CU285" i="48"/>
  <c r="CT285" i="48"/>
  <c r="CV285" i="48"/>
  <c r="CV260" i="48"/>
  <c r="CU260" i="48"/>
  <c r="CT260" i="48"/>
  <c r="CV1185" i="48"/>
  <c r="CU1185" i="48"/>
  <c r="CT1185" i="48"/>
  <c r="CT210" i="48"/>
  <c r="CV210" i="48"/>
  <c r="CU210" i="48"/>
  <c r="CT1235" i="48"/>
  <c r="CV1235" i="48"/>
  <c r="CU1235" i="48"/>
  <c r="CT585" i="48"/>
  <c r="CV585" i="48"/>
  <c r="CU585" i="48"/>
  <c r="CW1009" i="48"/>
  <c r="CV1210" i="48"/>
  <c r="CU1210" i="48"/>
  <c r="CT1210" i="48"/>
  <c r="CV1335" i="48"/>
  <c r="CU1335" i="48"/>
  <c r="CT1335" i="48"/>
  <c r="CU760" i="48"/>
  <c r="CT760" i="48"/>
  <c r="CV760" i="48"/>
  <c r="CV810" i="48"/>
  <c r="CT810" i="48"/>
  <c r="CU810" i="48"/>
  <c r="CV1085" i="48"/>
  <c r="CU1085" i="48"/>
  <c r="CT1085" i="48"/>
  <c r="CU60" i="48"/>
  <c r="CT60" i="48"/>
  <c r="CV60" i="48"/>
  <c r="CV335" i="48"/>
  <c r="CU335" i="48"/>
  <c r="CT335" i="48"/>
  <c r="CV860" i="48"/>
  <c r="CU860" i="48"/>
  <c r="CT860" i="48"/>
  <c r="CW359" i="48"/>
  <c r="CW1184" i="48"/>
  <c r="CU660" i="48"/>
  <c r="CT660" i="48"/>
  <c r="CV660" i="48"/>
  <c r="CV535" i="48"/>
  <c r="CU535" i="48"/>
  <c r="CT535" i="48"/>
  <c r="CV635" i="48"/>
  <c r="CU635" i="48"/>
  <c r="CT635" i="48"/>
  <c r="CV935" i="48"/>
  <c r="CT935" i="48"/>
  <c r="CU935" i="48"/>
  <c r="CT135" i="48"/>
  <c r="CV135" i="48"/>
  <c r="CU135" i="48"/>
  <c r="CT910" i="48"/>
  <c r="CV910" i="48"/>
  <c r="CU910" i="48"/>
  <c r="CT310" i="48"/>
  <c r="CV310" i="48"/>
  <c r="CU310" i="48"/>
  <c r="CV985" i="48"/>
  <c r="CU985" i="48"/>
  <c r="CT985" i="48"/>
  <c r="CV1285" i="48"/>
  <c r="CU1285" i="48"/>
  <c r="CT1285" i="48"/>
  <c r="CV835" i="48"/>
  <c r="CU835" i="48"/>
  <c r="CT835" i="48"/>
  <c r="CT685" i="48"/>
  <c r="CV685" i="48"/>
  <c r="CU685" i="48"/>
  <c r="CV485" i="48"/>
  <c r="CT485" i="48"/>
  <c r="CU485" i="48"/>
  <c r="CU560" i="48"/>
  <c r="CT560" i="48"/>
  <c r="CV560" i="48"/>
  <c r="CW1209" i="48"/>
  <c r="CW1159" i="48"/>
  <c r="CW534" i="48"/>
  <c r="CW209" i="48"/>
  <c r="CW809" i="48"/>
  <c r="CW84" i="48"/>
  <c r="CW1284" i="48"/>
  <c r="CW234" i="48"/>
  <c r="CW1109" i="48"/>
  <c r="CW309" i="48"/>
  <c r="CW609" i="48"/>
  <c r="CW134" i="48"/>
  <c r="CT785" i="48"/>
  <c r="CV785" i="48"/>
  <c r="CU785" i="48"/>
  <c r="CU1060" i="48"/>
  <c r="CT1060" i="48"/>
  <c r="CV1060" i="48"/>
  <c r="CT1260" i="48"/>
  <c r="CV1260" i="48"/>
  <c r="CU1260" i="48"/>
  <c r="CV385" i="48"/>
  <c r="CT385" i="48"/>
  <c r="CU385" i="48"/>
  <c r="CV710" i="48"/>
  <c r="CU710" i="48"/>
  <c r="CT710" i="48"/>
  <c r="CV1135" i="48"/>
  <c r="CU1135" i="48"/>
  <c r="CT1135" i="48"/>
  <c r="CV85" i="48"/>
  <c r="CU85" i="48"/>
  <c r="CT85" i="48"/>
  <c r="CV735" i="48"/>
  <c r="CT735" i="48"/>
  <c r="CU735" i="48"/>
  <c r="CU885" i="48"/>
  <c r="CT885" i="48"/>
  <c r="CV885" i="48"/>
  <c r="CT510" i="48"/>
  <c r="CV510" i="48"/>
  <c r="CU510" i="48"/>
  <c r="CW284" i="48"/>
  <c r="CW684" i="48"/>
  <c r="CW184" i="48"/>
  <c r="CW859" i="48"/>
  <c r="CV235" i="48"/>
  <c r="CU235" i="48"/>
  <c r="CT235" i="48"/>
  <c r="CT1160" i="48"/>
  <c r="CV1160" i="48"/>
  <c r="CU1160" i="48"/>
  <c r="CT1310" i="48"/>
  <c r="CV1310" i="48"/>
  <c r="CU1310" i="48"/>
  <c r="CV185" i="48"/>
  <c r="CU185" i="48"/>
  <c r="CT185" i="48"/>
  <c r="CU1035" i="48"/>
  <c r="CT1035" i="48"/>
  <c r="CV1035" i="48"/>
  <c r="CV610" i="48"/>
  <c r="CU610" i="48"/>
  <c r="CT610" i="48"/>
  <c r="CV110" i="48"/>
  <c r="CU110" i="48"/>
  <c r="CT110" i="48"/>
  <c r="CU360" i="48"/>
  <c r="CT360" i="48"/>
  <c r="CV360" i="48"/>
  <c r="CU410" i="48"/>
  <c r="CT410" i="48"/>
  <c r="CV410" i="48"/>
  <c r="CV435" i="48"/>
  <c r="CU435" i="48"/>
  <c r="CT435" i="48"/>
  <c r="CT460" i="48"/>
  <c r="CV460" i="48"/>
  <c r="CU460" i="48"/>
  <c r="CT1110" i="48"/>
  <c r="CV1110" i="48"/>
  <c r="CU1110" i="48"/>
  <c r="CT960" i="48"/>
  <c r="CV960" i="48"/>
  <c r="CU960" i="48"/>
  <c r="CW1084" i="48"/>
  <c r="CW1059" i="48"/>
  <c r="CW1034" i="48"/>
  <c r="CW584" i="48"/>
  <c r="CW509" i="48"/>
  <c r="CW634" i="48"/>
  <c r="CW1234" i="48"/>
  <c r="CW734" i="48"/>
  <c r="CW384" i="48"/>
  <c r="CW1134" i="48"/>
  <c r="CU35" i="48"/>
  <c r="CT35" i="48"/>
  <c r="CV35" i="48"/>
  <c r="CW34" i="48"/>
  <c r="CW9" i="48"/>
  <c r="CV10" i="48"/>
  <c r="CT10" i="48"/>
  <c r="CW160" i="48" l="1"/>
  <c r="CU536" i="48"/>
  <c r="CT536" i="48"/>
  <c r="CV536" i="48"/>
  <c r="CW735" i="48"/>
  <c r="CW1335" i="48"/>
  <c r="CW310" i="48"/>
  <c r="CW1085" i="48"/>
  <c r="CW1060" i="48"/>
  <c r="CW660" i="48"/>
  <c r="CW485" i="48"/>
  <c r="CW860" i="48"/>
  <c r="CW285" i="48"/>
  <c r="CW960" i="48"/>
  <c r="CW1110" i="48"/>
  <c r="CW460" i="48"/>
  <c r="CW435" i="48"/>
  <c r="CW1035" i="48"/>
  <c r="CW1310" i="48"/>
  <c r="CW1160" i="48"/>
  <c r="CW85" i="48"/>
  <c r="CW835" i="48"/>
  <c r="CW585" i="48"/>
  <c r="CW1235" i="48"/>
  <c r="CW210" i="48"/>
  <c r="CW235" i="48"/>
  <c r="CW335" i="48"/>
  <c r="CW60" i="48"/>
  <c r="CW760" i="48"/>
  <c r="CW1135" i="48"/>
  <c r="CW910" i="48"/>
  <c r="CV111" i="48"/>
  <c r="CU111" i="48"/>
  <c r="CT111" i="48"/>
  <c r="CT286" i="48"/>
  <c r="CV286" i="48"/>
  <c r="CU286" i="48"/>
  <c r="CU1286" i="48"/>
  <c r="CT1286" i="48"/>
  <c r="CV1286" i="48"/>
  <c r="CT236" i="48"/>
  <c r="CV236" i="48"/>
  <c r="CU236" i="48"/>
  <c r="CT511" i="48"/>
  <c r="CV511" i="48"/>
  <c r="CU511" i="48"/>
  <c r="CW410" i="48"/>
  <c r="CW360" i="48"/>
  <c r="CU486" i="48"/>
  <c r="CT486" i="48"/>
  <c r="CV486" i="48"/>
  <c r="CV586" i="48"/>
  <c r="CU586" i="48"/>
  <c r="CT586" i="48"/>
  <c r="CU811" i="48"/>
  <c r="CV811" i="48"/>
  <c r="CT811" i="48"/>
  <c r="CW610" i="48"/>
  <c r="CW185" i="48"/>
  <c r="CW885" i="48"/>
  <c r="CW1260" i="48"/>
  <c r="CW785" i="48"/>
  <c r="CW560" i="48"/>
  <c r="CT411" i="48"/>
  <c r="CU411" i="48"/>
  <c r="CV411" i="48"/>
  <c r="CU636" i="48"/>
  <c r="CT636" i="48"/>
  <c r="CV636" i="48"/>
  <c r="CT561" i="48"/>
  <c r="CV561" i="48"/>
  <c r="CU561" i="48"/>
  <c r="CV861" i="48"/>
  <c r="CU861" i="48"/>
  <c r="CT861" i="48"/>
  <c r="CW110" i="48"/>
  <c r="CW510" i="48"/>
  <c r="CW710" i="48"/>
  <c r="CW385" i="48"/>
  <c r="CW685" i="48"/>
  <c r="CW135" i="48"/>
  <c r="CW935" i="48"/>
  <c r="CW635" i="48"/>
  <c r="CW535" i="48"/>
  <c r="CV836" i="48"/>
  <c r="CU836" i="48"/>
  <c r="CT836" i="48"/>
  <c r="CV986" i="48"/>
  <c r="CU986" i="48"/>
  <c r="CT986" i="48"/>
  <c r="CU1061" i="48"/>
  <c r="CT1061" i="48"/>
  <c r="CV1061" i="48"/>
  <c r="CW1285" i="48"/>
  <c r="CW985" i="48"/>
  <c r="CW810" i="48"/>
  <c r="CW1210" i="48"/>
  <c r="CW1185" i="48"/>
  <c r="CW260" i="48"/>
  <c r="CW35" i="48"/>
  <c r="CW10" i="48"/>
  <c r="CW536" i="48" l="1"/>
  <c r="CW561" i="48"/>
  <c r="CW811" i="48"/>
  <c r="CW486" i="48"/>
  <c r="CW286" i="48"/>
  <c r="CW111" i="48"/>
  <c r="CW986" i="48"/>
  <c r="CW636" i="48"/>
  <c r="CW1061" i="48"/>
  <c r="CW836" i="48"/>
  <c r="CW586" i="48"/>
  <c r="CW861" i="48"/>
  <c r="CW411" i="48"/>
  <c r="CW511" i="48"/>
  <c r="CW236" i="48"/>
  <c r="CW1286" i="48"/>
  <c r="BP1350" i="48" l="1"/>
  <c r="BO1350" i="48"/>
  <c r="BP1349" i="48"/>
  <c r="BO1349" i="48"/>
  <c r="BP1348" i="48"/>
  <c r="BO1348" i="48"/>
  <c r="BP1347" i="48"/>
  <c r="BO1347" i="48"/>
  <c r="BP1346" i="48"/>
  <c r="BO1346" i="48"/>
  <c r="BP1345" i="48"/>
  <c r="BO1345" i="48"/>
  <c r="BP1344" i="48"/>
  <c r="BO1344" i="48"/>
  <c r="BP1343" i="48"/>
  <c r="BO1343" i="48"/>
  <c r="BP1342" i="48"/>
  <c r="BO1342" i="48"/>
  <c r="BP1341" i="48"/>
  <c r="BO1341" i="48"/>
  <c r="BP1340" i="48"/>
  <c r="BO1340" i="48"/>
  <c r="BP1339" i="48"/>
  <c r="BO1339" i="48"/>
  <c r="BP1338" i="48"/>
  <c r="BO1338" i="48"/>
  <c r="BP1337" i="48"/>
  <c r="BO1337" i="48"/>
  <c r="BP1336" i="48"/>
  <c r="BO1336" i="48"/>
  <c r="BP1335" i="48"/>
  <c r="BO1335" i="48"/>
  <c r="BP1334" i="48"/>
  <c r="BO1334" i="48"/>
  <c r="BP1333" i="48"/>
  <c r="BO1333" i="48"/>
  <c r="BP1332" i="48"/>
  <c r="BO1332" i="48"/>
  <c r="BP1329" i="48"/>
  <c r="BO1329" i="48"/>
  <c r="BP1328" i="48"/>
  <c r="BO1328" i="48"/>
  <c r="BP1325" i="48"/>
  <c r="BO1325" i="48"/>
  <c r="BP1324" i="48"/>
  <c r="BO1324" i="48"/>
  <c r="BP1323" i="48"/>
  <c r="BO1323" i="48"/>
  <c r="BP1322" i="48"/>
  <c r="BO1322" i="48"/>
  <c r="BP1321" i="48"/>
  <c r="BO1321" i="48"/>
  <c r="BP1320" i="48"/>
  <c r="BO1320" i="48"/>
  <c r="BP1319" i="48"/>
  <c r="BO1319" i="48"/>
  <c r="BP1318" i="48"/>
  <c r="BO1318" i="48"/>
  <c r="BP1317" i="48"/>
  <c r="BO1317" i="48"/>
  <c r="BP1316" i="48"/>
  <c r="BO1316" i="48"/>
  <c r="BP1315" i="48"/>
  <c r="BO1315" i="48"/>
  <c r="BP1314" i="48"/>
  <c r="BO1314" i="48"/>
  <c r="BP1313" i="48"/>
  <c r="BO1313" i="48"/>
  <c r="BP1312" i="48"/>
  <c r="BO1312" i="48"/>
  <c r="BP1311" i="48"/>
  <c r="BO1311" i="48"/>
  <c r="BP1310" i="48"/>
  <c r="BO1310" i="48"/>
  <c r="BP1309" i="48"/>
  <c r="BO1309" i="48"/>
  <c r="BP1308" i="48"/>
  <c r="BO1308" i="48"/>
  <c r="BP1307" i="48"/>
  <c r="BO1307" i="48"/>
  <c r="BP1306" i="48"/>
  <c r="BO1306" i="48"/>
  <c r="BP1305" i="48"/>
  <c r="BO1305" i="48"/>
  <c r="BP1304" i="48"/>
  <c r="BO1304" i="48"/>
  <c r="BP1303" i="48"/>
  <c r="BO1303" i="48"/>
  <c r="BP1300" i="48"/>
  <c r="BO1300" i="48"/>
  <c r="BP1299" i="48"/>
  <c r="BO1299" i="48"/>
  <c r="BP1298" i="48"/>
  <c r="BO1298" i="48"/>
  <c r="BP1297" i="48"/>
  <c r="BO1297" i="48"/>
  <c r="BP1296" i="48"/>
  <c r="BO1296" i="48"/>
  <c r="BP1295" i="48"/>
  <c r="BO1295" i="48"/>
  <c r="BP1294" i="48"/>
  <c r="BO1294" i="48"/>
  <c r="BP1293" i="48"/>
  <c r="BO1293" i="48"/>
  <c r="BP1292" i="48"/>
  <c r="BO1292" i="48"/>
  <c r="BP1291" i="48"/>
  <c r="BO1291" i="48"/>
  <c r="BP1290" i="48"/>
  <c r="BO1290" i="48"/>
  <c r="BP1289" i="48"/>
  <c r="BO1289" i="48"/>
  <c r="BP1288" i="48"/>
  <c r="BO1288" i="48"/>
  <c r="BP1287" i="48"/>
  <c r="BO1287" i="48"/>
  <c r="BP1286" i="48"/>
  <c r="BO1286" i="48"/>
  <c r="BP1285" i="48"/>
  <c r="BO1285" i="48"/>
  <c r="BP1284" i="48"/>
  <c r="BO1284" i="48"/>
  <c r="BP1283" i="48"/>
  <c r="BO1283" i="48"/>
  <c r="BP1282" i="48"/>
  <c r="BO1282" i="48"/>
  <c r="BP1281" i="48"/>
  <c r="BO1281" i="48"/>
  <c r="BP1280" i="48"/>
  <c r="BO1280" i="48"/>
  <c r="BP1279" i="48"/>
  <c r="BO1279" i="48"/>
  <c r="BP1278" i="48"/>
  <c r="BO1278" i="48"/>
  <c r="BP1275" i="48"/>
  <c r="BO1275" i="48"/>
  <c r="BP1274" i="48"/>
  <c r="BO1274" i="48"/>
  <c r="BP1273" i="48"/>
  <c r="BO1273" i="48"/>
  <c r="BP1272" i="48"/>
  <c r="BO1272" i="48"/>
  <c r="BP1271" i="48"/>
  <c r="BO1271" i="48"/>
  <c r="BP1270" i="48"/>
  <c r="BO1270" i="48"/>
  <c r="BP1269" i="48"/>
  <c r="BO1269" i="48"/>
  <c r="BP1268" i="48"/>
  <c r="BO1268" i="48"/>
  <c r="BP1267" i="48"/>
  <c r="BO1267" i="48"/>
  <c r="BP1266" i="48"/>
  <c r="BO1266" i="48"/>
  <c r="BP1265" i="48"/>
  <c r="BO1265" i="48"/>
  <c r="BP1264" i="48"/>
  <c r="BO1264" i="48"/>
  <c r="BP1263" i="48"/>
  <c r="BO1263" i="48"/>
  <c r="BP1262" i="48"/>
  <c r="BO1262" i="48"/>
  <c r="BP1261" i="48"/>
  <c r="BO1261" i="48"/>
  <c r="BP1260" i="48"/>
  <c r="BO1260" i="48"/>
  <c r="BP1259" i="48"/>
  <c r="BO1259" i="48"/>
  <c r="BP1258" i="48"/>
  <c r="BO1258" i="48"/>
  <c r="BP1257" i="48"/>
  <c r="BO1257" i="48"/>
  <c r="BP1256" i="48"/>
  <c r="BO1256" i="48"/>
  <c r="BP1255" i="48"/>
  <c r="BO1255" i="48"/>
  <c r="BP1254" i="48"/>
  <c r="BO1254" i="48"/>
  <c r="BP1253" i="48"/>
  <c r="BO1253" i="48"/>
  <c r="BP1250" i="48"/>
  <c r="BO1250" i="48"/>
  <c r="BP1249" i="48"/>
  <c r="BO1249" i="48"/>
  <c r="BP1248" i="48"/>
  <c r="BO1248" i="48"/>
  <c r="BP1247" i="48"/>
  <c r="BO1247" i="48"/>
  <c r="BP1246" i="48"/>
  <c r="BO1246" i="48"/>
  <c r="BP1245" i="48"/>
  <c r="BO1245" i="48"/>
  <c r="BP1244" i="48"/>
  <c r="BO1244" i="48"/>
  <c r="BP1243" i="48"/>
  <c r="BO1243" i="48"/>
  <c r="BP1242" i="48"/>
  <c r="BO1242" i="48"/>
  <c r="BP1241" i="48"/>
  <c r="BO1241" i="48"/>
  <c r="BP1240" i="48"/>
  <c r="BO1240" i="48"/>
  <c r="BP1239" i="48"/>
  <c r="BO1239" i="48"/>
  <c r="BP1238" i="48"/>
  <c r="BO1238" i="48"/>
  <c r="BP1237" i="48"/>
  <c r="BO1237" i="48"/>
  <c r="BP1236" i="48"/>
  <c r="BO1236" i="48"/>
  <c r="BP1235" i="48"/>
  <c r="BO1235" i="48"/>
  <c r="BP1234" i="48"/>
  <c r="BO1234" i="48"/>
  <c r="BP1233" i="48"/>
  <c r="BO1233" i="48"/>
  <c r="BP1232" i="48"/>
  <c r="BO1232" i="48"/>
  <c r="BP1231" i="48"/>
  <c r="BO1231" i="48"/>
  <c r="BP1230" i="48"/>
  <c r="BO1230" i="48"/>
  <c r="BP1229" i="48"/>
  <c r="BO1229" i="48"/>
  <c r="BP1228" i="48"/>
  <c r="BO1228" i="48"/>
  <c r="BP1225" i="48"/>
  <c r="BO1225" i="48"/>
  <c r="BP1224" i="48"/>
  <c r="BO1224" i="48"/>
  <c r="BP1223" i="48"/>
  <c r="BO1223" i="48"/>
  <c r="BP1222" i="48"/>
  <c r="BO1222" i="48"/>
  <c r="BP1221" i="48"/>
  <c r="BO1221" i="48"/>
  <c r="BP1220" i="48"/>
  <c r="BO1220" i="48"/>
  <c r="BP1219" i="48"/>
  <c r="BO1219" i="48"/>
  <c r="BP1218" i="48"/>
  <c r="BO1218" i="48"/>
  <c r="BP1217" i="48"/>
  <c r="BO1217" i="48"/>
  <c r="BP1216" i="48"/>
  <c r="BO1216" i="48"/>
  <c r="BP1215" i="48"/>
  <c r="BO1215" i="48"/>
  <c r="BP1214" i="48"/>
  <c r="BO1214" i="48"/>
  <c r="BP1213" i="48"/>
  <c r="BO1213" i="48"/>
  <c r="BP1212" i="48"/>
  <c r="BO1212" i="48"/>
  <c r="BP1211" i="48"/>
  <c r="BO1211" i="48"/>
  <c r="BP1210" i="48"/>
  <c r="BO1210" i="48"/>
  <c r="BP1209" i="48"/>
  <c r="BO1209" i="48"/>
  <c r="BP1208" i="48"/>
  <c r="BO1208" i="48"/>
  <c r="BP1207" i="48"/>
  <c r="BO1207" i="48"/>
  <c r="BP1206" i="48"/>
  <c r="BO1206" i="48"/>
  <c r="BP1205" i="48"/>
  <c r="BO1205" i="48"/>
  <c r="BP1204" i="48"/>
  <c r="BO1204" i="48"/>
  <c r="BP1203" i="48"/>
  <c r="BO1203" i="48"/>
  <c r="BP1200" i="48"/>
  <c r="BO1200" i="48"/>
  <c r="BP1199" i="48"/>
  <c r="BO1199" i="48"/>
  <c r="BP1198" i="48"/>
  <c r="BO1198" i="48"/>
  <c r="BP1197" i="48"/>
  <c r="BO1197" i="48"/>
  <c r="BP1196" i="48"/>
  <c r="BO1196" i="48"/>
  <c r="BP1195" i="48"/>
  <c r="BO1195" i="48"/>
  <c r="BP1194" i="48"/>
  <c r="BO1194" i="48"/>
  <c r="BP1193" i="48"/>
  <c r="BO1193" i="48"/>
  <c r="BP1192" i="48"/>
  <c r="BO1192" i="48"/>
  <c r="BP1191" i="48"/>
  <c r="BO1191" i="48"/>
  <c r="BP1190" i="48"/>
  <c r="BO1190" i="48"/>
  <c r="BP1189" i="48"/>
  <c r="BO1189" i="48"/>
  <c r="BP1188" i="48"/>
  <c r="BO1188" i="48"/>
  <c r="BP1187" i="48"/>
  <c r="BO1187" i="48"/>
  <c r="BP1186" i="48"/>
  <c r="BO1186" i="48"/>
  <c r="BP1185" i="48"/>
  <c r="BO1185" i="48"/>
  <c r="BP1184" i="48"/>
  <c r="BO1184" i="48"/>
  <c r="BP1183" i="48"/>
  <c r="BO1183" i="48"/>
  <c r="BP1182" i="48"/>
  <c r="BO1182" i="48"/>
  <c r="BP1181" i="48"/>
  <c r="BO1181" i="48"/>
  <c r="BP1180" i="48"/>
  <c r="BO1180" i="48"/>
  <c r="BP1179" i="48"/>
  <c r="BO1179" i="48"/>
  <c r="BP1178" i="48"/>
  <c r="BO1178" i="48"/>
  <c r="BP1175" i="48"/>
  <c r="BO1175" i="48"/>
  <c r="BP1174" i="48"/>
  <c r="BO1174" i="48"/>
  <c r="BP1173" i="48"/>
  <c r="BO1173" i="48"/>
  <c r="BP1171" i="48"/>
  <c r="BO1171" i="48"/>
  <c r="BP1170" i="48"/>
  <c r="BO1170" i="48"/>
  <c r="BP1169" i="48"/>
  <c r="BO1169" i="48"/>
  <c r="BP1168" i="48"/>
  <c r="BO1168" i="48"/>
  <c r="BP1167" i="48"/>
  <c r="BO1167" i="48"/>
  <c r="BP1166" i="48"/>
  <c r="BO1166" i="48"/>
  <c r="BP1165" i="48"/>
  <c r="BO1165" i="48"/>
  <c r="BP1164" i="48"/>
  <c r="BO1164" i="48"/>
  <c r="BP1163" i="48"/>
  <c r="BO1163" i="48"/>
  <c r="BP1162" i="48"/>
  <c r="BO1162" i="48"/>
  <c r="BP1161" i="48"/>
  <c r="BO1161" i="48"/>
  <c r="BP1160" i="48"/>
  <c r="BO1160" i="48"/>
  <c r="BP1159" i="48"/>
  <c r="BO1159" i="48"/>
  <c r="BP1158" i="48"/>
  <c r="BO1158" i="48"/>
  <c r="BP1157" i="48"/>
  <c r="BO1157" i="48"/>
  <c r="BP1156" i="48"/>
  <c r="BO1156" i="48"/>
  <c r="BP1155" i="48"/>
  <c r="BO1155" i="48"/>
  <c r="BP1154" i="48"/>
  <c r="BO1154" i="48"/>
  <c r="BP1153" i="48"/>
  <c r="BO1153" i="48"/>
  <c r="BP1150" i="48"/>
  <c r="BO1150" i="48"/>
  <c r="BP1149" i="48"/>
  <c r="BO1149" i="48"/>
  <c r="BP1148" i="48"/>
  <c r="BO1148" i="48"/>
  <c r="BP1147" i="48"/>
  <c r="BO1147" i="48"/>
  <c r="BP1146" i="48"/>
  <c r="BO1146" i="48"/>
  <c r="BP1145" i="48"/>
  <c r="BO1145" i="48"/>
  <c r="BP1144" i="48"/>
  <c r="BO1144" i="48"/>
  <c r="BP1143" i="48"/>
  <c r="BO1143" i="48"/>
  <c r="BP1142" i="48"/>
  <c r="BO1142" i="48"/>
  <c r="BP1141" i="48"/>
  <c r="BO1141" i="48"/>
  <c r="BP1140" i="48"/>
  <c r="BO1140" i="48"/>
  <c r="BP1139" i="48"/>
  <c r="BO1139" i="48"/>
  <c r="BP1138" i="48"/>
  <c r="BO1138" i="48"/>
  <c r="BP1137" i="48"/>
  <c r="BO1137" i="48"/>
  <c r="BP1136" i="48"/>
  <c r="BO1136" i="48"/>
  <c r="BP1135" i="48"/>
  <c r="BO1135" i="48"/>
  <c r="BP1134" i="48"/>
  <c r="BO1134" i="48"/>
  <c r="BP1133" i="48"/>
  <c r="BO1133" i="48"/>
  <c r="BP1132" i="48"/>
  <c r="BO1132" i="48"/>
  <c r="BP1131" i="48"/>
  <c r="BO1131" i="48"/>
  <c r="BP1130" i="48"/>
  <c r="BO1130" i="48"/>
  <c r="BP1129" i="48"/>
  <c r="BO1129" i="48"/>
  <c r="BP1128" i="48"/>
  <c r="BO1128" i="48"/>
  <c r="BP1125" i="48"/>
  <c r="BO1125" i="48"/>
  <c r="BP1123" i="48"/>
  <c r="BO1123" i="48"/>
  <c r="BP1122" i="48"/>
  <c r="BO1122" i="48"/>
  <c r="BP1121" i="48"/>
  <c r="BO1121" i="48"/>
  <c r="BP1120" i="48"/>
  <c r="BO1120" i="48"/>
  <c r="BP1119" i="48"/>
  <c r="BO1119" i="48"/>
  <c r="BP1118" i="48"/>
  <c r="BO1118" i="48"/>
  <c r="BP1117" i="48"/>
  <c r="BO1117" i="48"/>
  <c r="BP1116" i="48"/>
  <c r="BO1116" i="48"/>
  <c r="BP1115" i="48"/>
  <c r="BO1115" i="48"/>
  <c r="BP1114" i="48"/>
  <c r="BO1114" i="48"/>
  <c r="BP1113" i="48"/>
  <c r="BO1113" i="48"/>
  <c r="BP1112" i="48"/>
  <c r="BO1112" i="48"/>
  <c r="BP1111" i="48"/>
  <c r="BO1111" i="48"/>
  <c r="BP1110" i="48"/>
  <c r="BO1110" i="48"/>
  <c r="BP1109" i="48"/>
  <c r="BO1109" i="48"/>
  <c r="BP1108" i="48"/>
  <c r="BO1108" i="48"/>
  <c r="BP1107" i="48"/>
  <c r="BO1107" i="48"/>
  <c r="BP1106" i="48"/>
  <c r="BO1106" i="48"/>
  <c r="BP1105" i="48"/>
  <c r="BO1105" i="48"/>
  <c r="BP1104" i="48"/>
  <c r="BO1104" i="48"/>
  <c r="BP1103" i="48"/>
  <c r="BO1103" i="48"/>
  <c r="BP1100" i="48"/>
  <c r="BO1100" i="48"/>
  <c r="BP1099" i="48"/>
  <c r="BO1099" i="48"/>
  <c r="BP1098" i="48"/>
  <c r="BO1098" i="48"/>
  <c r="BP1097" i="48"/>
  <c r="BO1097" i="48"/>
  <c r="BP1096" i="48"/>
  <c r="BO1096" i="48"/>
  <c r="BP1095" i="48"/>
  <c r="BO1095" i="48"/>
  <c r="BP1094" i="48"/>
  <c r="BO1094" i="48"/>
  <c r="BP1093" i="48"/>
  <c r="BO1093" i="48"/>
  <c r="BP1092" i="48"/>
  <c r="BO1092" i="48"/>
  <c r="BP1091" i="48"/>
  <c r="BO1091" i="48"/>
  <c r="BP1090" i="48"/>
  <c r="BO1090" i="48"/>
  <c r="BP1089" i="48"/>
  <c r="BO1089" i="48"/>
  <c r="BP1088" i="48"/>
  <c r="BO1088" i="48"/>
  <c r="BP1087" i="48"/>
  <c r="BO1087" i="48"/>
  <c r="BP1086" i="48"/>
  <c r="BO1086" i="48"/>
  <c r="BP1085" i="48"/>
  <c r="BO1085" i="48"/>
  <c r="BP1084" i="48"/>
  <c r="BO1084" i="48"/>
  <c r="BP1083" i="48"/>
  <c r="BO1083" i="48"/>
  <c r="BP1082" i="48"/>
  <c r="BO1082" i="48"/>
  <c r="BP1081" i="48"/>
  <c r="BO1081" i="48"/>
  <c r="BP1080" i="48"/>
  <c r="BO1080" i="48"/>
  <c r="BP1078" i="48"/>
  <c r="BO1078" i="48"/>
  <c r="BP1074" i="48"/>
  <c r="BO1074" i="48"/>
  <c r="BP1073" i="48"/>
  <c r="BO1073" i="48"/>
  <c r="BP1072" i="48"/>
  <c r="BO1072" i="48"/>
  <c r="BP1071" i="48"/>
  <c r="BO1071" i="48"/>
  <c r="BP1070" i="48"/>
  <c r="BO1070" i="48"/>
  <c r="BP1069" i="48"/>
  <c r="BO1069" i="48"/>
  <c r="BP1068" i="48"/>
  <c r="BO1068" i="48"/>
  <c r="BP1067" i="48"/>
  <c r="BO1067" i="48"/>
  <c r="BP1066" i="48"/>
  <c r="BO1066" i="48"/>
  <c r="BP1065" i="48"/>
  <c r="BO1065" i="48"/>
  <c r="BP1064" i="48"/>
  <c r="BO1064" i="48"/>
  <c r="BP1063" i="48"/>
  <c r="BO1063" i="48"/>
  <c r="BP1062" i="48"/>
  <c r="BO1062" i="48"/>
  <c r="BP1061" i="48"/>
  <c r="BO1061" i="48"/>
  <c r="BP1060" i="48"/>
  <c r="BO1060" i="48"/>
  <c r="BP1059" i="48"/>
  <c r="BO1059" i="48"/>
  <c r="BP1058" i="48"/>
  <c r="BO1058" i="48"/>
  <c r="BP1057" i="48"/>
  <c r="BO1057" i="48"/>
  <c r="BP1056" i="48"/>
  <c r="BO1056" i="48"/>
  <c r="BP1055" i="48"/>
  <c r="BO1055" i="48"/>
  <c r="BP1054" i="48"/>
  <c r="BO1054" i="48"/>
  <c r="BP1053" i="48"/>
  <c r="BO1053" i="48"/>
  <c r="BP1049" i="48"/>
  <c r="BO1049" i="48"/>
  <c r="BP1048" i="48"/>
  <c r="BO1048" i="48"/>
  <c r="BP1047" i="48"/>
  <c r="BO1047" i="48"/>
  <c r="BP1046" i="48"/>
  <c r="BO1046" i="48"/>
  <c r="BP1045" i="48"/>
  <c r="BO1045" i="48"/>
  <c r="BP1044" i="48"/>
  <c r="BO1044" i="48"/>
  <c r="BP1043" i="48"/>
  <c r="BO1043" i="48"/>
  <c r="BP1042" i="48"/>
  <c r="BO1042" i="48"/>
  <c r="BP1041" i="48"/>
  <c r="BO1041" i="48"/>
  <c r="BP1040" i="48"/>
  <c r="BO1040" i="48"/>
  <c r="BP1039" i="48"/>
  <c r="BO1039" i="48"/>
  <c r="BP1038" i="48"/>
  <c r="BO1038" i="48"/>
  <c r="BP1037" i="48"/>
  <c r="BO1037" i="48"/>
  <c r="BP1036" i="48"/>
  <c r="BO1036" i="48"/>
  <c r="BP1035" i="48"/>
  <c r="BO1035" i="48"/>
  <c r="BP1034" i="48"/>
  <c r="BO1034" i="48"/>
  <c r="BP1033" i="48"/>
  <c r="BO1033" i="48"/>
  <c r="BP1032" i="48"/>
  <c r="BO1032" i="48"/>
  <c r="BP1031" i="48"/>
  <c r="BO1031" i="48"/>
  <c r="BP1030" i="48"/>
  <c r="BO1030" i="48"/>
  <c r="BP1029" i="48"/>
  <c r="BO1029" i="48"/>
  <c r="BP1028" i="48"/>
  <c r="BO1028" i="48"/>
  <c r="BP1025" i="48"/>
  <c r="BO1025" i="48"/>
  <c r="BP1024" i="48"/>
  <c r="BO1024" i="48"/>
  <c r="BP1023" i="48"/>
  <c r="BO1023" i="48"/>
  <c r="BP1022" i="48"/>
  <c r="BO1022" i="48"/>
  <c r="BP1021" i="48"/>
  <c r="BO1021" i="48"/>
  <c r="BP1020" i="48"/>
  <c r="BO1020" i="48"/>
  <c r="BP1019" i="48"/>
  <c r="BO1019" i="48"/>
  <c r="BP1018" i="48"/>
  <c r="BO1018" i="48"/>
  <c r="BP1017" i="48"/>
  <c r="BO1017" i="48"/>
  <c r="BP1016" i="48"/>
  <c r="BO1016" i="48"/>
  <c r="BP1015" i="48"/>
  <c r="BO1015" i="48"/>
  <c r="BP1014" i="48"/>
  <c r="BO1014" i="48"/>
  <c r="BP1013" i="48"/>
  <c r="BO1013" i="48"/>
  <c r="BP1012" i="48"/>
  <c r="BO1012" i="48"/>
  <c r="BP1011" i="48"/>
  <c r="BO1011" i="48"/>
  <c r="BP1010" i="48"/>
  <c r="BO1010" i="48"/>
  <c r="BP1009" i="48"/>
  <c r="BO1009" i="48"/>
  <c r="BP1006" i="48"/>
  <c r="BO1006" i="48"/>
  <c r="BP1005" i="48"/>
  <c r="BO1005" i="48"/>
  <c r="BP1004" i="48"/>
  <c r="BO1004" i="48"/>
  <c r="BP1003" i="48"/>
  <c r="BO1003" i="48"/>
  <c r="BP1000" i="48"/>
  <c r="BO1000" i="48"/>
  <c r="BP999" i="48"/>
  <c r="BO999" i="48"/>
  <c r="BP998" i="48"/>
  <c r="BO998" i="48"/>
  <c r="BP997" i="48"/>
  <c r="BO997" i="48"/>
  <c r="BP996" i="48"/>
  <c r="BO996" i="48"/>
  <c r="BP995" i="48"/>
  <c r="BO995" i="48"/>
  <c r="BP994" i="48"/>
  <c r="BO994" i="48"/>
  <c r="BP993" i="48"/>
  <c r="BO993" i="48"/>
  <c r="BP992" i="48"/>
  <c r="BO992" i="48"/>
  <c r="BP991" i="48"/>
  <c r="BO991" i="48"/>
  <c r="BP990" i="48"/>
  <c r="BO990" i="48"/>
  <c r="BP989" i="48"/>
  <c r="BO989" i="48"/>
  <c r="BP988" i="48"/>
  <c r="BO988" i="48"/>
  <c r="BP987" i="48"/>
  <c r="BO987" i="48"/>
  <c r="BP986" i="48"/>
  <c r="BO986" i="48"/>
  <c r="BP985" i="48"/>
  <c r="BO985" i="48"/>
  <c r="BP984" i="48"/>
  <c r="BO984" i="48"/>
  <c r="BP983" i="48"/>
  <c r="BO983" i="48"/>
  <c r="BP981" i="48"/>
  <c r="BO981" i="48"/>
  <c r="BP980" i="48"/>
  <c r="BO980" i="48"/>
  <c r="BP979" i="48"/>
  <c r="BO979" i="48"/>
  <c r="BP978" i="48"/>
  <c r="BO978" i="48"/>
  <c r="BP975" i="48"/>
  <c r="BO975" i="48"/>
  <c r="BP974" i="48"/>
  <c r="BO974" i="48"/>
  <c r="BP973" i="48"/>
  <c r="BO973" i="48"/>
  <c r="BP972" i="48"/>
  <c r="BO972" i="48"/>
  <c r="BP971" i="48"/>
  <c r="BO971" i="48"/>
  <c r="BP970" i="48"/>
  <c r="BO970" i="48"/>
  <c r="BP969" i="48"/>
  <c r="BO969" i="48"/>
  <c r="BP968" i="48"/>
  <c r="BO968" i="48"/>
  <c r="BP967" i="48"/>
  <c r="BO967" i="48"/>
  <c r="BP966" i="48"/>
  <c r="BO966" i="48"/>
  <c r="BP965" i="48"/>
  <c r="BO965" i="48"/>
  <c r="BP964" i="48"/>
  <c r="BO964" i="48"/>
  <c r="BP963" i="48"/>
  <c r="BO963" i="48"/>
  <c r="BP962" i="48"/>
  <c r="BO962" i="48"/>
  <c r="BP961" i="48"/>
  <c r="BO961" i="48"/>
  <c r="BP960" i="48"/>
  <c r="BO960" i="48"/>
  <c r="BP959" i="48"/>
  <c r="BO959" i="48"/>
  <c r="BP958" i="48"/>
  <c r="BO958" i="48"/>
  <c r="BP957" i="48"/>
  <c r="BO957" i="48"/>
  <c r="BP956" i="48"/>
  <c r="BO956" i="48"/>
  <c r="BP955" i="48"/>
  <c r="BO955" i="48"/>
  <c r="BP954" i="48"/>
  <c r="BO954" i="48"/>
  <c r="BP953" i="48"/>
  <c r="BO953" i="48"/>
  <c r="BP949" i="48"/>
  <c r="BO949" i="48"/>
  <c r="BP948" i="48"/>
  <c r="BO948" i="48"/>
  <c r="BP947" i="48"/>
  <c r="BO947" i="48"/>
  <c r="BP946" i="48"/>
  <c r="BO946" i="48"/>
  <c r="BP945" i="48"/>
  <c r="BO945" i="48"/>
  <c r="BP944" i="48"/>
  <c r="BO944" i="48"/>
  <c r="BP943" i="48"/>
  <c r="BO943" i="48"/>
  <c r="BP942" i="48"/>
  <c r="BO942" i="48"/>
  <c r="BP941" i="48"/>
  <c r="BO941" i="48"/>
  <c r="BP940" i="48"/>
  <c r="BO940" i="48"/>
  <c r="BP939" i="48"/>
  <c r="BO939" i="48"/>
  <c r="BP938" i="48"/>
  <c r="BO938" i="48"/>
  <c r="BP937" i="48"/>
  <c r="BO937" i="48"/>
  <c r="BP936" i="48"/>
  <c r="BO936" i="48"/>
  <c r="BP935" i="48"/>
  <c r="BO935" i="48"/>
  <c r="BP934" i="48"/>
  <c r="BO934" i="48"/>
  <c r="BP933" i="48"/>
  <c r="BO933" i="48"/>
  <c r="BP932" i="48"/>
  <c r="BO932" i="48"/>
  <c r="BP931" i="48"/>
  <c r="BO931" i="48"/>
  <c r="BP930" i="48"/>
  <c r="BO930" i="48"/>
  <c r="BP929" i="48"/>
  <c r="BO929" i="48"/>
  <c r="BP928" i="48"/>
  <c r="BO928" i="48"/>
  <c r="BP925" i="48"/>
  <c r="BO925" i="48"/>
  <c r="BP924" i="48"/>
  <c r="BO924" i="48"/>
  <c r="BP923" i="48"/>
  <c r="BO923" i="48"/>
  <c r="BP922" i="48"/>
  <c r="BO922" i="48"/>
  <c r="BP921" i="48"/>
  <c r="BO921" i="48"/>
  <c r="BP920" i="48"/>
  <c r="BO920" i="48"/>
  <c r="BP919" i="48"/>
  <c r="BO919" i="48"/>
  <c r="BP918" i="48"/>
  <c r="BO918" i="48"/>
  <c r="BP917" i="48"/>
  <c r="BO917" i="48"/>
  <c r="BP916" i="48"/>
  <c r="BO916" i="48"/>
  <c r="BP915" i="48"/>
  <c r="BO915" i="48"/>
  <c r="BP914" i="48"/>
  <c r="BO914" i="48"/>
  <c r="BP913" i="48"/>
  <c r="BO913" i="48"/>
  <c r="BP912" i="48"/>
  <c r="BO912" i="48"/>
  <c r="BP911" i="48"/>
  <c r="BO911" i="48"/>
  <c r="BP910" i="48"/>
  <c r="BO910" i="48"/>
  <c r="BP909" i="48"/>
  <c r="BO909" i="48"/>
  <c r="BP908" i="48"/>
  <c r="BO908" i="48"/>
  <c r="BP907" i="48"/>
  <c r="BO907" i="48"/>
  <c r="BP906" i="48"/>
  <c r="BO906" i="48"/>
  <c r="BP905" i="48"/>
  <c r="BO905" i="48"/>
  <c r="BP904" i="48"/>
  <c r="BO904" i="48"/>
  <c r="BP903" i="48"/>
  <c r="BO903" i="48"/>
  <c r="BP900" i="48"/>
  <c r="BO900" i="48"/>
  <c r="BP899" i="48"/>
  <c r="BO899" i="48"/>
  <c r="BP898" i="48"/>
  <c r="BO898" i="48"/>
  <c r="BP897" i="48"/>
  <c r="BO897" i="48"/>
  <c r="BP896" i="48"/>
  <c r="BO896" i="48"/>
  <c r="BP895" i="48"/>
  <c r="BO895" i="48"/>
  <c r="BP894" i="48"/>
  <c r="BO894" i="48"/>
  <c r="BP893" i="48"/>
  <c r="BO893" i="48"/>
  <c r="BP892" i="48"/>
  <c r="BO892" i="48"/>
  <c r="BP891" i="48"/>
  <c r="BO891" i="48"/>
  <c r="BP890" i="48"/>
  <c r="BO890" i="48"/>
  <c r="BP889" i="48"/>
  <c r="BO889" i="48"/>
  <c r="BP888" i="48"/>
  <c r="BO888" i="48"/>
  <c r="BP887" i="48"/>
  <c r="BO887" i="48"/>
  <c r="BP886" i="48"/>
  <c r="BO886" i="48"/>
  <c r="BP885" i="48"/>
  <c r="BO885" i="48"/>
  <c r="BP884" i="48"/>
  <c r="BO884" i="48"/>
  <c r="BP883" i="48"/>
  <c r="BO883" i="48"/>
  <c r="BP882" i="48"/>
  <c r="BO882" i="48"/>
  <c r="BP879" i="48"/>
  <c r="BO879" i="48"/>
  <c r="BP878" i="48"/>
  <c r="BO878" i="48"/>
  <c r="BP875" i="48"/>
  <c r="BO875" i="48"/>
  <c r="BP874" i="48"/>
  <c r="BO874" i="48"/>
  <c r="BP873" i="48"/>
  <c r="BO873" i="48"/>
  <c r="BP872" i="48"/>
  <c r="BO872" i="48"/>
  <c r="BP871" i="48"/>
  <c r="BO871" i="48"/>
  <c r="BP870" i="48"/>
  <c r="BO870" i="48"/>
  <c r="BP869" i="48"/>
  <c r="BO869" i="48"/>
  <c r="BP868" i="48"/>
  <c r="BO868" i="48"/>
  <c r="BP867" i="48"/>
  <c r="BO867" i="48"/>
  <c r="BP866" i="48"/>
  <c r="BO866" i="48"/>
  <c r="BP865" i="48"/>
  <c r="BO865" i="48"/>
  <c r="BP864" i="48"/>
  <c r="BO864" i="48"/>
  <c r="BP863" i="48"/>
  <c r="BO863" i="48"/>
  <c r="BP862" i="48"/>
  <c r="BO862" i="48"/>
  <c r="BP861" i="48"/>
  <c r="BO861" i="48"/>
  <c r="BP860" i="48"/>
  <c r="BO860" i="48"/>
  <c r="BP859" i="48"/>
  <c r="BO859" i="48"/>
  <c r="BP858" i="48"/>
  <c r="BO858" i="48"/>
  <c r="BP857" i="48"/>
  <c r="BO857" i="48"/>
  <c r="BP856" i="48"/>
  <c r="BO856" i="48"/>
  <c r="BP855" i="48"/>
  <c r="BO855" i="48"/>
  <c r="BP854" i="48"/>
  <c r="BO854" i="48"/>
  <c r="BP853" i="48"/>
  <c r="BO853" i="48"/>
  <c r="BP850" i="48"/>
  <c r="BO850" i="48"/>
  <c r="BP849" i="48"/>
  <c r="BO849" i="48"/>
  <c r="BP848" i="48"/>
  <c r="BO848" i="48"/>
  <c r="BP847" i="48"/>
  <c r="BO847" i="48"/>
  <c r="BP846" i="48"/>
  <c r="BO846" i="48"/>
  <c r="BP845" i="48"/>
  <c r="BO845" i="48"/>
  <c r="BP844" i="48"/>
  <c r="BO844" i="48"/>
  <c r="BP843" i="48"/>
  <c r="BO843" i="48"/>
  <c r="BP842" i="48"/>
  <c r="BO842" i="48"/>
  <c r="BP841" i="48"/>
  <c r="BO841" i="48"/>
  <c r="BP840" i="48"/>
  <c r="BO840" i="48"/>
  <c r="BP839" i="48"/>
  <c r="BO839" i="48"/>
  <c r="BP838" i="48"/>
  <c r="BO838" i="48"/>
  <c r="BP837" i="48"/>
  <c r="BO837" i="48"/>
  <c r="BP836" i="48"/>
  <c r="BO836" i="48"/>
  <c r="BP835" i="48"/>
  <c r="BO835" i="48"/>
  <c r="BP834" i="48"/>
  <c r="BO834" i="48"/>
  <c r="BP833" i="48"/>
  <c r="BO833" i="48"/>
  <c r="BP832" i="48"/>
  <c r="BO832" i="48"/>
  <c r="BP831" i="48"/>
  <c r="BO831" i="48"/>
  <c r="BP830" i="48"/>
  <c r="BO830" i="48"/>
  <c r="BP829" i="48"/>
  <c r="BO829" i="48"/>
  <c r="BP828" i="48"/>
  <c r="BO828" i="48"/>
  <c r="BP825" i="48"/>
  <c r="BO825" i="48"/>
  <c r="BP824" i="48"/>
  <c r="BO824" i="48"/>
  <c r="BP823" i="48"/>
  <c r="BO823" i="48"/>
  <c r="BP822" i="48"/>
  <c r="BO822" i="48"/>
  <c r="BP821" i="48"/>
  <c r="BO821" i="48"/>
  <c r="BP820" i="48"/>
  <c r="BO820" i="48"/>
  <c r="BP819" i="48"/>
  <c r="BO819" i="48"/>
  <c r="BP818" i="48"/>
  <c r="BO818" i="48"/>
  <c r="BP817" i="48"/>
  <c r="BO817" i="48"/>
  <c r="BP816" i="48"/>
  <c r="BO816" i="48"/>
  <c r="BP815" i="48"/>
  <c r="BO815" i="48"/>
  <c r="BP814" i="48"/>
  <c r="BO814" i="48"/>
  <c r="BP813" i="48"/>
  <c r="BO813" i="48"/>
  <c r="BP812" i="48"/>
  <c r="BO812" i="48"/>
  <c r="BP811" i="48"/>
  <c r="BO811" i="48"/>
  <c r="BP810" i="48"/>
  <c r="BO810" i="48"/>
  <c r="BP809" i="48"/>
  <c r="BO809" i="48"/>
  <c r="BP808" i="48"/>
  <c r="BO808" i="48"/>
  <c r="BP807" i="48"/>
  <c r="BO807" i="48"/>
  <c r="BP806" i="48"/>
  <c r="BO806" i="48"/>
  <c r="BP805" i="48"/>
  <c r="BO805" i="48"/>
  <c r="BP804" i="48"/>
  <c r="BO804" i="48"/>
  <c r="BP803" i="48"/>
  <c r="BO803" i="48"/>
  <c r="BP800" i="48"/>
  <c r="BO800" i="48"/>
  <c r="BP799" i="48"/>
  <c r="BO799" i="48"/>
  <c r="BP798" i="48"/>
  <c r="BO798" i="48"/>
  <c r="BP797" i="48"/>
  <c r="BO797" i="48"/>
  <c r="BP796" i="48"/>
  <c r="BO796" i="48"/>
  <c r="BP795" i="48"/>
  <c r="BO795" i="48"/>
  <c r="BP794" i="48"/>
  <c r="BO794" i="48"/>
  <c r="BP793" i="48"/>
  <c r="BO793" i="48"/>
  <c r="BP792" i="48"/>
  <c r="BO792" i="48"/>
  <c r="BP791" i="48"/>
  <c r="BO791" i="48"/>
  <c r="BP790" i="48"/>
  <c r="BO790" i="48"/>
  <c r="BP789" i="48"/>
  <c r="BO789" i="48"/>
  <c r="BP788" i="48"/>
  <c r="BO788" i="48"/>
  <c r="BP787" i="48"/>
  <c r="BO787" i="48"/>
  <c r="BP786" i="48"/>
  <c r="BO786" i="48"/>
  <c r="BP785" i="48"/>
  <c r="BO785" i="48"/>
  <c r="BP784" i="48"/>
  <c r="BO784" i="48"/>
  <c r="BP783" i="48"/>
  <c r="BO783" i="48"/>
  <c r="BP782" i="48"/>
  <c r="BO782" i="48"/>
  <c r="BP781" i="48"/>
  <c r="BO781" i="48"/>
  <c r="BP780" i="48"/>
  <c r="BO780" i="48"/>
  <c r="BP779" i="48"/>
  <c r="BO779" i="48"/>
  <c r="BP778" i="48"/>
  <c r="BO778" i="48"/>
  <c r="BP775" i="48"/>
  <c r="BO775" i="48"/>
  <c r="BP774" i="48"/>
  <c r="BO774" i="48"/>
  <c r="BP773" i="48"/>
  <c r="BO773" i="48"/>
  <c r="BP772" i="48"/>
  <c r="BO772" i="48"/>
  <c r="BP771" i="48"/>
  <c r="BO771" i="48"/>
  <c r="BP770" i="48"/>
  <c r="BO770" i="48"/>
  <c r="BP769" i="48"/>
  <c r="BO769" i="48"/>
  <c r="BP768" i="48"/>
  <c r="BO768" i="48"/>
  <c r="BP767" i="48"/>
  <c r="BO767" i="48"/>
  <c r="BP766" i="48"/>
  <c r="BO766" i="48"/>
  <c r="BP765" i="48"/>
  <c r="BO765" i="48"/>
  <c r="BP764" i="48"/>
  <c r="BO764" i="48"/>
  <c r="BP763" i="48"/>
  <c r="BO763" i="48"/>
  <c r="BP762" i="48"/>
  <c r="BO762" i="48"/>
  <c r="BP761" i="48"/>
  <c r="BO761" i="48"/>
  <c r="BP760" i="48"/>
  <c r="BO760" i="48"/>
  <c r="BP759" i="48"/>
  <c r="BO759" i="48"/>
  <c r="BP758" i="48"/>
  <c r="BO758" i="48"/>
  <c r="BP757" i="48"/>
  <c r="BO757" i="48"/>
  <c r="BP756" i="48"/>
  <c r="BO756" i="48"/>
  <c r="BP755" i="48"/>
  <c r="BO755" i="48"/>
  <c r="BP754" i="48"/>
  <c r="BO754" i="48"/>
  <c r="BP753" i="48"/>
  <c r="BO753" i="48"/>
  <c r="BP750" i="48"/>
  <c r="BO750" i="48"/>
  <c r="BP749" i="48"/>
  <c r="BO749" i="48"/>
  <c r="BP748" i="48"/>
  <c r="BO748" i="48"/>
  <c r="BP747" i="48"/>
  <c r="BO747" i="48"/>
  <c r="BP746" i="48"/>
  <c r="BO746" i="48"/>
  <c r="BP745" i="48"/>
  <c r="BO745" i="48"/>
  <c r="BP744" i="48"/>
  <c r="BO744" i="48"/>
  <c r="BP743" i="48"/>
  <c r="BO743" i="48"/>
  <c r="BP742" i="48"/>
  <c r="BO742" i="48"/>
  <c r="BP741" i="48"/>
  <c r="BO741" i="48"/>
  <c r="BP740" i="48"/>
  <c r="BO740" i="48"/>
  <c r="BP739" i="48"/>
  <c r="BO739" i="48"/>
  <c r="BP738" i="48"/>
  <c r="BO738" i="48"/>
  <c r="BP737" i="48"/>
  <c r="BO737" i="48"/>
  <c r="BP736" i="48"/>
  <c r="BO736" i="48"/>
  <c r="BP735" i="48"/>
  <c r="BO735" i="48"/>
  <c r="BP734" i="48"/>
  <c r="BO734" i="48"/>
  <c r="BP733" i="48"/>
  <c r="BO733" i="48"/>
  <c r="BP732" i="48"/>
  <c r="BO732" i="48"/>
  <c r="BP731" i="48"/>
  <c r="BO731" i="48"/>
  <c r="BP730" i="48"/>
  <c r="BO730" i="48"/>
  <c r="BP729" i="48"/>
  <c r="BO729" i="48"/>
  <c r="BP728" i="48"/>
  <c r="BO728" i="48"/>
  <c r="BP725" i="48"/>
  <c r="BO725" i="48"/>
  <c r="BP724" i="48"/>
  <c r="BO724" i="48"/>
  <c r="BP723" i="48"/>
  <c r="BO723" i="48"/>
  <c r="BP722" i="48"/>
  <c r="BO722" i="48"/>
  <c r="BP721" i="48"/>
  <c r="BO721" i="48"/>
  <c r="BP720" i="48"/>
  <c r="BO720" i="48"/>
  <c r="BP719" i="48"/>
  <c r="BO719" i="48"/>
  <c r="BP718" i="48"/>
  <c r="BO718" i="48"/>
  <c r="BP717" i="48"/>
  <c r="BO717" i="48"/>
  <c r="BP716" i="48"/>
  <c r="BO716" i="48"/>
  <c r="BP715" i="48"/>
  <c r="BO715" i="48"/>
  <c r="BP714" i="48"/>
  <c r="BO714" i="48"/>
  <c r="BP713" i="48"/>
  <c r="BO713" i="48"/>
  <c r="BP712" i="48"/>
  <c r="BO712" i="48"/>
  <c r="BP711" i="48"/>
  <c r="BO711" i="48"/>
  <c r="BP710" i="48"/>
  <c r="BO710" i="48"/>
  <c r="BP709" i="48"/>
  <c r="BO709" i="48"/>
  <c r="BP708" i="48"/>
  <c r="BO708" i="48"/>
  <c r="BP707" i="48"/>
  <c r="BO707" i="48"/>
  <c r="BP706" i="48"/>
  <c r="BO706" i="48"/>
  <c r="BP705" i="48"/>
  <c r="BO705" i="48"/>
  <c r="BP704" i="48"/>
  <c r="BO704" i="48"/>
  <c r="BP703" i="48"/>
  <c r="BO703" i="48"/>
  <c r="BP700" i="48"/>
  <c r="BO700" i="48"/>
  <c r="BP699" i="48"/>
  <c r="BO699" i="48"/>
  <c r="BP698" i="48"/>
  <c r="BO698" i="48"/>
  <c r="BP697" i="48"/>
  <c r="BO697" i="48"/>
  <c r="BP696" i="48"/>
  <c r="BO696" i="48"/>
  <c r="BP695" i="48"/>
  <c r="BO695" i="48"/>
  <c r="BP694" i="48"/>
  <c r="BO694" i="48"/>
  <c r="BP693" i="48"/>
  <c r="BO693" i="48"/>
  <c r="BP692" i="48"/>
  <c r="BO692" i="48"/>
  <c r="BP691" i="48"/>
  <c r="BO691" i="48"/>
  <c r="BP690" i="48"/>
  <c r="BO690" i="48"/>
  <c r="BP689" i="48"/>
  <c r="BO689" i="48"/>
  <c r="BP688" i="48"/>
  <c r="BO688" i="48"/>
  <c r="BP687" i="48"/>
  <c r="BO687" i="48"/>
  <c r="BP686" i="48"/>
  <c r="BO686" i="48"/>
  <c r="BP685" i="48"/>
  <c r="BO685" i="48"/>
  <c r="BP684" i="48"/>
  <c r="BO684" i="48"/>
  <c r="BP683" i="48"/>
  <c r="BO683" i="48"/>
  <c r="BP682" i="48"/>
  <c r="BO682" i="48"/>
  <c r="BP681" i="48"/>
  <c r="BO681" i="48"/>
  <c r="BP680" i="48"/>
  <c r="BO680" i="48"/>
  <c r="BP679" i="48"/>
  <c r="BO679" i="48"/>
  <c r="BP678" i="48"/>
  <c r="BO678" i="48"/>
  <c r="BP675" i="48"/>
  <c r="BO675" i="48"/>
  <c r="BP674" i="48"/>
  <c r="BO674" i="48"/>
  <c r="BP673" i="48"/>
  <c r="BO673" i="48"/>
  <c r="BP672" i="48"/>
  <c r="BO672" i="48"/>
  <c r="BP671" i="48"/>
  <c r="BO671" i="48"/>
  <c r="BP670" i="48"/>
  <c r="BO670" i="48"/>
  <c r="BP669" i="48"/>
  <c r="BO669" i="48"/>
  <c r="BP668" i="48"/>
  <c r="BO668" i="48"/>
  <c r="BP667" i="48"/>
  <c r="BO667" i="48"/>
  <c r="BP666" i="48"/>
  <c r="BO666" i="48"/>
  <c r="BP665" i="48"/>
  <c r="BO665" i="48"/>
  <c r="BP664" i="48"/>
  <c r="BO664" i="48"/>
  <c r="BP663" i="48"/>
  <c r="BO663" i="48"/>
  <c r="BP662" i="48"/>
  <c r="BO662" i="48"/>
  <c r="BP661" i="48"/>
  <c r="BO661" i="48"/>
  <c r="BP660" i="48"/>
  <c r="BO660" i="48"/>
  <c r="BP659" i="48"/>
  <c r="BO659" i="48"/>
  <c r="BP658" i="48"/>
  <c r="BO658" i="48"/>
  <c r="BP657" i="48"/>
  <c r="BO657" i="48"/>
  <c r="BP656" i="48"/>
  <c r="BO656" i="48"/>
  <c r="BP655" i="48"/>
  <c r="BO655" i="48"/>
  <c r="BP654" i="48"/>
  <c r="BO654" i="48"/>
  <c r="BO653" i="48"/>
  <c r="BP650" i="48"/>
  <c r="BO650" i="48"/>
  <c r="BP649" i="48"/>
  <c r="BO649" i="48"/>
  <c r="BP648" i="48"/>
  <c r="BO648" i="48"/>
  <c r="BP647" i="48"/>
  <c r="BO647" i="48"/>
  <c r="BP646" i="48"/>
  <c r="BO646" i="48"/>
  <c r="BP645" i="48"/>
  <c r="BO645" i="48"/>
  <c r="BP644" i="48"/>
  <c r="BO644" i="48"/>
  <c r="BP643" i="48"/>
  <c r="BO643" i="48"/>
  <c r="BP642" i="48"/>
  <c r="BO642" i="48"/>
  <c r="BP641" i="48"/>
  <c r="BO641" i="48"/>
  <c r="BP640" i="48"/>
  <c r="BO640" i="48"/>
  <c r="BP639" i="48"/>
  <c r="BO639" i="48"/>
  <c r="BP638" i="48"/>
  <c r="BO638" i="48"/>
  <c r="BP637" i="48"/>
  <c r="BO637" i="48"/>
  <c r="BP636" i="48"/>
  <c r="BO636" i="48"/>
  <c r="BP635" i="48"/>
  <c r="BO635" i="48"/>
  <c r="BP634" i="48"/>
  <c r="BO634" i="48"/>
  <c r="BP633" i="48"/>
  <c r="BO633" i="48"/>
  <c r="BP632" i="48"/>
  <c r="BO632" i="48"/>
  <c r="BP631" i="48"/>
  <c r="BO631" i="48"/>
  <c r="BP630" i="48"/>
  <c r="BO630" i="48"/>
  <c r="BP629" i="48"/>
  <c r="BO629" i="48"/>
  <c r="BP628" i="48"/>
  <c r="BO628" i="48"/>
  <c r="BP625" i="48"/>
  <c r="BO625" i="48"/>
  <c r="BP624" i="48"/>
  <c r="BO624" i="48"/>
  <c r="BP623" i="48"/>
  <c r="BO623" i="48"/>
  <c r="BP622" i="48"/>
  <c r="BO622" i="48"/>
  <c r="BP621" i="48"/>
  <c r="BO621" i="48"/>
  <c r="BP620" i="48"/>
  <c r="BO620" i="48"/>
  <c r="BP619" i="48"/>
  <c r="BO619" i="48"/>
  <c r="BP618" i="48"/>
  <c r="BO618" i="48"/>
  <c r="BP617" i="48"/>
  <c r="BO617" i="48"/>
  <c r="BP616" i="48"/>
  <c r="BO616" i="48"/>
  <c r="BP615" i="48"/>
  <c r="BO615" i="48"/>
  <c r="BP614" i="48"/>
  <c r="BO614" i="48"/>
  <c r="BP613" i="48"/>
  <c r="BO613" i="48"/>
  <c r="BP612" i="48"/>
  <c r="BO612" i="48"/>
  <c r="BP611" i="48"/>
  <c r="BO611" i="48"/>
  <c r="BP610" i="48"/>
  <c r="BO610" i="48"/>
  <c r="BP609" i="48"/>
  <c r="BO609" i="48"/>
  <c r="BP608" i="48"/>
  <c r="BO608" i="48"/>
  <c r="BP607" i="48"/>
  <c r="BO607" i="48"/>
  <c r="BP606" i="48"/>
  <c r="BO606" i="48"/>
  <c r="BP605" i="48"/>
  <c r="BO605" i="48"/>
  <c r="BP604" i="48"/>
  <c r="BO604" i="48"/>
  <c r="BP603" i="48"/>
  <c r="BO603" i="48"/>
  <c r="BP600" i="48"/>
  <c r="BO600" i="48"/>
  <c r="BP599" i="48"/>
  <c r="BO599" i="48"/>
  <c r="BP598" i="48"/>
  <c r="BO598" i="48"/>
  <c r="BP597" i="48"/>
  <c r="BO597" i="48"/>
  <c r="BP596" i="48"/>
  <c r="BO596" i="48"/>
  <c r="BP595" i="48"/>
  <c r="BO595" i="48"/>
  <c r="BP594" i="48"/>
  <c r="BO594" i="48"/>
  <c r="BP593" i="48"/>
  <c r="BO593" i="48"/>
  <c r="BP592" i="48"/>
  <c r="BO592" i="48"/>
  <c r="BP591" i="48"/>
  <c r="BO591" i="48"/>
  <c r="BP590" i="48"/>
  <c r="BO590" i="48"/>
  <c r="BP589" i="48"/>
  <c r="BO589" i="48"/>
  <c r="BP588" i="48"/>
  <c r="BO588" i="48"/>
  <c r="BP587" i="48"/>
  <c r="BO587" i="48"/>
  <c r="BP586" i="48"/>
  <c r="BO586" i="48"/>
  <c r="BP585" i="48"/>
  <c r="BO585" i="48"/>
  <c r="BP584" i="48"/>
  <c r="BO584" i="48"/>
  <c r="BP583" i="48"/>
  <c r="BO583" i="48"/>
  <c r="BP582" i="48"/>
  <c r="BO582" i="48"/>
  <c r="BP581" i="48"/>
  <c r="BO581" i="48"/>
  <c r="BP579" i="48"/>
  <c r="BO579" i="48"/>
  <c r="BP578" i="48"/>
  <c r="BO578" i="48"/>
  <c r="BP575" i="48"/>
  <c r="BO575" i="48"/>
  <c r="BP574" i="48"/>
  <c r="BO574" i="48"/>
  <c r="BP573" i="48"/>
  <c r="BO573" i="48"/>
  <c r="BP572" i="48"/>
  <c r="BO572" i="48"/>
  <c r="BP571" i="48"/>
  <c r="BO571" i="48"/>
  <c r="BP570" i="48"/>
  <c r="BO570" i="48"/>
  <c r="BP569" i="48"/>
  <c r="BO569" i="48"/>
  <c r="BP568" i="48"/>
  <c r="BO568" i="48"/>
  <c r="BP567" i="48"/>
  <c r="BO567" i="48"/>
  <c r="BP566" i="48"/>
  <c r="BO566" i="48"/>
  <c r="BP565" i="48"/>
  <c r="BO565" i="48"/>
  <c r="BP564" i="48"/>
  <c r="BO564" i="48"/>
  <c r="BP563" i="48"/>
  <c r="BO563" i="48"/>
  <c r="BP559" i="48"/>
  <c r="BO559" i="48"/>
  <c r="BP554" i="48"/>
  <c r="BO554" i="48"/>
  <c r="BP553" i="48"/>
  <c r="BO553" i="48"/>
  <c r="BP550" i="48"/>
  <c r="BO550" i="48"/>
  <c r="BP549" i="48"/>
  <c r="BO549" i="48"/>
  <c r="BP548" i="48"/>
  <c r="BO548" i="48"/>
  <c r="BP547" i="48"/>
  <c r="BO547" i="48"/>
  <c r="BP546" i="48"/>
  <c r="BO546" i="48"/>
  <c r="BP545" i="48"/>
  <c r="BO545" i="48"/>
  <c r="BP544" i="48"/>
  <c r="BO544" i="48"/>
  <c r="BP543" i="48"/>
  <c r="BO543" i="48"/>
  <c r="BP542" i="48"/>
  <c r="BO542" i="48"/>
  <c r="BP541" i="48"/>
  <c r="BO541" i="48"/>
  <c r="BP540" i="48"/>
  <c r="BO540" i="48"/>
  <c r="BP539" i="48"/>
  <c r="BO539" i="48"/>
  <c r="BP538" i="48"/>
  <c r="BO538" i="48"/>
  <c r="BP537" i="48"/>
  <c r="BO537" i="48"/>
  <c r="BP536" i="48"/>
  <c r="BO536" i="48"/>
  <c r="BP535" i="48"/>
  <c r="BO535" i="48"/>
  <c r="BP534" i="48"/>
  <c r="BO534" i="48"/>
  <c r="BP533" i="48"/>
  <c r="BO533" i="48"/>
  <c r="BP532" i="48"/>
  <c r="BO532" i="48"/>
  <c r="BP531" i="48"/>
  <c r="BO531" i="48"/>
  <c r="BP530" i="48"/>
  <c r="BO530" i="48"/>
  <c r="BP529" i="48"/>
  <c r="BO529" i="48"/>
  <c r="BP528" i="48"/>
  <c r="BO528" i="48"/>
  <c r="BP525" i="48"/>
  <c r="BO525" i="48"/>
  <c r="BP524" i="48"/>
  <c r="BO524" i="48"/>
  <c r="BP523" i="48"/>
  <c r="BO523" i="48"/>
  <c r="BP522" i="48"/>
  <c r="BO522" i="48"/>
  <c r="BP521" i="48"/>
  <c r="BO521" i="48"/>
  <c r="BP520" i="48"/>
  <c r="BO520" i="48"/>
  <c r="BP519" i="48"/>
  <c r="BO519" i="48"/>
  <c r="BP518" i="48"/>
  <c r="BO518" i="48"/>
  <c r="BP517" i="48"/>
  <c r="BO517" i="48"/>
  <c r="BP516" i="48"/>
  <c r="BO516" i="48"/>
  <c r="BP515" i="48"/>
  <c r="BO515" i="48"/>
  <c r="BP514" i="48"/>
  <c r="BO514" i="48"/>
  <c r="BP513" i="48"/>
  <c r="BO513" i="48"/>
  <c r="BP512" i="48"/>
  <c r="BO512" i="48"/>
  <c r="BP511" i="48"/>
  <c r="BO511" i="48"/>
  <c r="BP510" i="48"/>
  <c r="BO510" i="48"/>
  <c r="BP509" i="48"/>
  <c r="BO509" i="48"/>
  <c r="BP508" i="48"/>
  <c r="BO508" i="48"/>
  <c r="BP507" i="48"/>
  <c r="BO507" i="48"/>
  <c r="BP506" i="48"/>
  <c r="BO506" i="48"/>
  <c r="BP505" i="48"/>
  <c r="BO505" i="48"/>
  <c r="BP504" i="48"/>
  <c r="BO504" i="48"/>
  <c r="BP503" i="48"/>
  <c r="BO503" i="48"/>
  <c r="BP500" i="48"/>
  <c r="BO500" i="48"/>
  <c r="BP499" i="48"/>
  <c r="BO499" i="48"/>
  <c r="BP498" i="48"/>
  <c r="BO498" i="48"/>
  <c r="BP497" i="48"/>
  <c r="BO497" i="48"/>
  <c r="BP496" i="48"/>
  <c r="BO496" i="48"/>
  <c r="BP495" i="48"/>
  <c r="BO495" i="48"/>
  <c r="BP494" i="48"/>
  <c r="BO494" i="48"/>
  <c r="BP493" i="48"/>
  <c r="BO493" i="48"/>
  <c r="BP492" i="48"/>
  <c r="BO492" i="48"/>
  <c r="BP491" i="48"/>
  <c r="BO491" i="48"/>
  <c r="BP490" i="48"/>
  <c r="BO490" i="48"/>
  <c r="BP489" i="48"/>
  <c r="BO489" i="48"/>
  <c r="BP488" i="48"/>
  <c r="BO488" i="48"/>
  <c r="BP487" i="48"/>
  <c r="BO487" i="48"/>
  <c r="BP486" i="48"/>
  <c r="BO486" i="48"/>
  <c r="BP485" i="48"/>
  <c r="BO485" i="48"/>
  <c r="BP484" i="48"/>
  <c r="BO484" i="48"/>
  <c r="BP483" i="48"/>
  <c r="BO483" i="48"/>
  <c r="BP482" i="48"/>
  <c r="BO482" i="48"/>
  <c r="BP481" i="48"/>
  <c r="BO481" i="48"/>
  <c r="BP480" i="48"/>
  <c r="BO480" i="48"/>
  <c r="BP479" i="48"/>
  <c r="BO479" i="48"/>
  <c r="BP478" i="48"/>
  <c r="BO478" i="48"/>
  <c r="BP475" i="48"/>
  <c r="BO475" i="48"/>
  <c r="BP474" i="48"/>
  <c r="BO474" i="48"/>
  <c r="BP473" i="48"/>
  <c r="BO473" i="48"/>
  <c r="BP472" i="48"/>
  <c r="BO472" i="48"/>
  <c r="BP471" i="48"/>
  <c r="BO471" i="48"/>
  <c r="BP470" i="48"/>
  <c r="BO470" i="48"/>
  <c r="BP469" i="48"/>
  <c r="BO469" i="48"/>
  <c r="BP468" i="48"/>
  <c r="BO468" i="48"/>
  <c r="BP467" i="48"/>
  <c r="BO467" i="48"/>
  <c r="BP466" i="48"/>
  <c r="BO466" i="48"/>
  <c r="BP465" i="48"/>
  <c r="BO465" i="48"/>
  <c r="BP464" i="48"/>
  <c r="BO464" i="48"/>
  <c r="BP463" i="48"/>
  <c r="BO463" i="48"/>
  <c r="BP462" i="48"/>
  <c r="BO462" i="48"/>
  <c r="BP461" i="48"/>
  <c r="BO461" i="48"/>
  <c r="BP460" i="48"/>
  <c r="BO460" i="48"/>
  <c r="BP459" i="48"/>
  <c r="BO459" i="48"/>
  <c r="BP458" i="48"/>
  <c r="BO458" i="48"/>
  <c r="BP457" i="48"/>
  <c r="BO457" i="48"/>
  <c r="BP456" i="48"/>
  <c r="BO456" i="48"/>
  <c r="BP455" i="48"/>
  <c r="BO455" i="48"/>
  <c r="BP454" i="48"/>
  <c r="BO454" i="48"/>
  <c r="BP453" i="48"/>
  <c r="BO453" i="48"/>
  <c r="BP450" i="48"/>
  <c r="BO450" i="48"/>
  <c r="BP449" i="48"/>
  <c r="BO449" i="48"/>
  <c r="BP448" i="48"/>
  <c r="BO448" i="48"/>
  <c r="BP447" i="48"/>
  <c r="BO447" i="48"/>
  <c r="BP446" i="48"/>
  <c r="BO446" i="48"/>
  <c r="BP445" i="48"/>
  <c r="BO445" i="48"/>
  <c r="BP444" i="48"/>
  <c r="BO444" i="48"/>
  <c r="BP443" i="48"/>
  <c r="BO443" i="48"/>
  <c r="BP442" i="48"/>
  <c r="BO442" i="48"/>
  <c r="BP441" i="48"/>
  <c r="BO441" i="48"/>
  <c r="BP440" i="48"/>
  <c r="BO440" i="48"/>
  <c r="BP439" i="48"/>
  <c r="BO439" i="48"/>
  <c r="BP438" i="48"/>
  <c r="BO438" i="48"/>
  <c r="BP437" i="48"/>
  <c r="BO437" i="48"/>
  <c r="BP436" i="48"/>
  <c r="BO436" i="48"/>
  <c r="BP435" i="48"/>
  <c r="BO435" i="48"/>
  <c r="BP434" i="48"/>
  <c r="BO434" i="48"/>
  <c r="BP433" i="48"/>
  <c r="BO433" i="48"/>
  <c r="BP432" i="48"/>
  <c r="BO432" i="48"/>
  <c r="BP431" i="48"/>
  <c r="BO431" i="48"/>
  <c r="BP430" i="48"/>
  <c r="BO430" i="48"/>
  <c r="BP429" i="48"/>
  <c r="BO429" i="48"/>
  <c r="BP428" i="48"/>
  <c r="BO428" i="48"/>
  <c r="BP425" i="48"/>
  <c r="BO425" i="48"/>
  <c r="BP424" i="48"/>
  <c r="BO424" i="48"/>
  <c r="BP423" i="48"/>
  <c r="BO423" i="48"/>
  <c r="BP422" i="48"/>
  <c r="BO422" i="48"/>
  <c r="BP421" i="48"/>
  <c r="BO421" i="48"/>
  <c r="BP420" i="48"/>
  <c r="BO420" i="48"/>
  <c r="BP419" i="48"/>
  <c r="BO419" i="48"/>
  <c r="BP418" i="48"/>
  <c r="BO418" i="48"/>
  <c r="BP417" i="48"/>
  <c r="BO417" i="48"/>
  <c r="BP416" i="48"/>
  <c r="BO416" i="48"/>
  <c r="BP415" i="48"/>
  <c r="BO415" i="48"/>
  <c r="BP414" i="48"/>
  <c r="BO414" i="48"/>
  <c r="BP413" i="48"/>
  <c r="BO413" i="48"/>
  <c r="BP412" i="48"/>
  <c r="BO412" i="48"/>
  <c r="BP411" i="48"/>
  <c r="BO411" i="48"/>
  <c r="BP410" i="48"/>
  <c r="BO410" i="48"/>
  <c r="BP409" i="48"/>
  <c r="BO409" i="48"/>
  <c r="BP408" i="48"/>
  <c r="BO408" i="48"/>
  <c r="BP407" i="48"/>
  <c r="BO407" i="48"/>
  <c r="BP406" i="48"/>
  <c r="BO406" i="48"/>
  <c r="BP405" i="48"/>
  <c r="BO405" i="48"/>
  <c r="BP404" i="48"/>
  <c r="BO404" i="48"/>
  <c r="BP403" i="48"/>
  <c r="BO403" i="48"/>
  <c r="BP400" i="48"/>
  <c r="BO400" i="48"/>
  <c r="BP399" i="48"/>
  <c r="BO399" i="48"/>
  <c r="BP398" i="48"/>
  <c r="BO398" i="48"/>
  <c r="BP397" i="48"/>
  <c r="BO397" i="48"/>
  <c r="BP396" i="48"/>
  <c r="BO396" i="48"/>
  <c r="BP395" i="48"/>
  <c r="BO395" i="48"/>
  <c r="BP394" i="48"/>
  <c r="BO394" i="48"/>
  <c r="BP393" i="48"/>
  <c r="BO393" i="48"/>
  <c r="BP392" i="48"/>
  <c r="BO392" i="48"/>
  <c r="BP391" i="48"/>
  <c r="BO391" i="48"/>
  <c r="BP390" i="48"/>
  <c r="BO390" i="48"/>
  <c r="BP389" i="48"/>
  <c r="BO389" i="48"/>
  <c r="BP388" i="48"/>
  <c r="BO388" i="48"/>
  <c r="BP387" i="48"/>
  <c r="BO387" i="48"/>
  <c r="BP386" i="48"/>
  <c r="BO386" i="48"/>
  <c r="BP385" i="48"/>
  <c r="BO385" i="48"/>
  <c r="BP384" i="48"/>
  <c r="BO384" i="48"/>
  <c r="BP383" i="48"/>
  <c r="BO383" i="48"/>
  <c r="BP382" i="48"/>
  <c r="BO382" i="48"/>
  <c r="BP381" i="48"/>
  <c r="BO381" i="48"/>
  <c r="BP380" i="48"/>
  <c r="BO380" i="48"/>
  <c r="BP379" i="48"/>
  <c r="BO379" i="48"/>
  <c r="BP378" i="48"/>
  <c r="BO378" i="48"/>
  <c r="BP375" i="48"/>
  <c r="BO375" i="48"/>
  <c r="BP374" i="48"/>
  <c r="BO374" i="48"/>
  <c r="BP373" i="48"/>
  <c r="BO373" i="48"/>
  <c r="BP372" i="48"/>
  <c r="BO372" i="48"/>
  <c r="BP371" i="48"/>
  <c r="BO371" i="48"/>
  <c r="BP370" i="48"/>
  <c r="BO370" i="48"/>
  <c r="BP369" i="48"/>
  <c r="BO369" i="48"/>
  <c r="BP368" i="48"/>
  <c r="BO368" i="48"/>
  <c r="BP367" i="48"/>
  <c r="BO367" i="48"/>
  <c r="BP366" i="48"/>
  <c r="BO366" i="48"/>
  <c r="BP365" i="48"/>
  <c r="BO365" i="48"/>
  <c r="BP364" i="48"/>
  <c r="BO364" i="48"/>
  <c r="BP363" i="48"/>
  <c r="BO363" i="48"/>
  <c r="BP362" i="48"/>
  <c r="BO362" i="48"/>
  <c r="BP361" i="48"/>
  <c r="BO361" i="48"/>
  <c r="BP360" i="48"/>
  <c r="BO360" i="48"/>
  <c r="BP359" i="48"/>
  <c r="BO359" i="48"/>
  <c r="BP358" i="48"/>
  <c r="BO358" i="48"/>
  <c r="BP357" i="48"/>
  <c r="BO357" i="48"/>
  <c r="BP356" i="48"/>
  <c r="BO356" i="48"/>
  <c r="BP355" i="48"/>
  <c r="BO355" i="48"/>
  <c r="BP354" i="48"/>
  <c r="BO354" i="48"/>
  <c r="BP353" i="48"/>
  <c r="BO353" i="48"/>
  <c r="BP350" i="48"/>
  <c r="BO350" i="48"/>
  <c r="BP349" i="48"/>
  <c r="BO349" i="48"/>
  <c r="BP348" i="48"/>
  <c r="BO348" i="48"/>
  <c r="BP347" i="48"/>
  <c r="BO347" i="48"/>
  <c r="BP345" i="48"/>
  <c r="BO345" i="48"/>
  <c r="BP344" i="48"/>
  <c r="BO344" i="48"/>
  <c r="BP343" i="48"/>
  <c r="BO343" i="48"/>
  <c r="BP342" i="48"/>
  <c r="BO342" i="48"/>
  <c r="BP341" i="48"/>
  <c r="BO341" i="48"/>
  <c r="BP340" i="48"/>
  <c r="BO340" i="48"/>
  <c r="BP339" i="48"/>
  <c r="BO339" i="48"/>
  <c r="BP338" i="48"/>
  <c r="BO338" i="48"/>
  <c r="BP337" i="48"/>
  <c r="BO337" i="48"/>
  <c r="BP336" i="48"/>
  <c r="BO336" i="48"/>
  <c r="BP335" i="48"/>
  <c r="BO335" i="48"/>
  <c r="BP334" i="48"/>
  <c r="BO334" i="48"/>
  <c r="BP333" i="48"/>
  <c r="BO333" i="48"/>
  <c r="BP329" i="48"/>
  <c r="BO329" i="48"/>
  <c r="BP328" i="48"/>
  <c r="BO328" i="48"/>
  <c r="BP325" i="48"/>
  <c r="BO325" i="48"/>
  <c r="BP324" i="48"/>
  <c r="BO324" i="48"/>
  <c r="BP323" i="48"/>
  <c r="BO323" i="48"/>
  <c r="BP322" i="48"/>
  <c r="BO322" i="48"/>
  <c r="BP321" i="48"/>
  <c r="BO321" i="48"/>
  <c r="BP320" i="48"/>
  <c r="BO320" i="48"/>
  <c r="BP319" i="48"/>
  <c r="BO319" i="48"/>
  <c r="BP318" i="48"/>
  <c r="BO318" i="48"/>
  <c r="BP317" i="48"/>
  <c r="BO317" i="48"/>
  <c r="BP316" i="48"/>
  <c r="BO316" i="48"/>
  <c r="BP315" i="48"/>
  <c r="BO315" i="48"/>
  <c r="BP314" i="48"/>
  <c r="BO314" i="48"/>
  <c r="BP313" i="48"/>
  <c r="BO313" i="48"/>
  <c r="BP312" i="48"/>
  <c r="BO312" i="48"/>
  <c r="BP311" i="48"/>
  <c r="BO311" i="48"/>
  <c r="BP310" i="48"/>
  <c r="BO310" i="48"/>
  <c r="BP309" i="48"/>
  <c r="BO309" i="48"/>
  <c r="BP308" i="48"/>
  <c r="BO308" i="48"/>
  <c r="BP304" i="48"/>
  <c r="BO304" i="48"/>
  <c r="BP303" i="48"/>
  <c r="BO303" i="48"/>
  <c r="BP300" i="48"/>
  <c r="BO300" i="48"/>
  <c r="BP299" i="48"/>
  <c r="BO299" i="48"/>
  <c r="BP298" i="48"/>
  <c r="BO298" i="48"/>
  <c r="BP297" i="48"/>
  <c r="BO297" i="48"/>
  <c r="BP296" i="48"/>
  <c r="BO296" i="48"/>
  <c r="BP295" i="48"/>
  <c r="BO295" i="48"/>
  <c r="BP294" i="48"/>
  <c r="BO294" i="48"/>
  <c r="BP293" i="48"/>
  <c r="BO293" i="48"/>
  <c r="BP292" i="48"/>
  <c r="BO292" i="48"/>
  <c r="BP291" i="48"/>
  <c r="BO291" i="48"/>
  <c r="BP290" i="48"/>
  <c r="BO290" i="48"/>
  <c r="BP289" i="48"/>
  <c r="BO289" i="48"/>
  <c r="BP288" i="48"/>
  <c r="BO288" i="48"/>
  <c r="BP287" i="48"/>
  <c r="BO287" i="48"/>
  <c r="BP286" i="48"/>
  <c r="BO286" i="48"/>
  <c r="BP285" i="48"/>
  <c r="BO285" i="48"/>
  <c r="BP284" i="48"/>
  <c r="BO284" i="48"/>
  <c r="BP283" i="48"/>
  <c r="BO283" i="48"/>
  <c r="BP282" i="48"/>
  <c r="BO282" i="48"/>
  <c r="BP281" i="48"/>
  <c r="BO281" i="48"/>
  <c r="BP279" i="48"/>
  <c r="BO279" i="48"/>
  <c r="BP278" i="48"/>
  <c r="BO278" i="48"/>
  <c r="BP275" i="48"/>
  <c r="BO275" i="48"/>
  <c r="BP274" i="48"/>
  <c r="BO274" i="48"/>
  <c r="BP273" i="48"/>
  <c r="BO273" i="48"/>
  <c r="BP272" i="48"/>
  <c r="BO272" i="48"/>
  <c r="BP271" i="48"/>
  <c r="BO271" i="48"/>
  <c r="BP270" i="48"/>
  <c r="BO270" i="48"/>
  <c r="BP269" i="48"/>
  <c r="BO269" i="48"/>
  <c r="BP268" i="48"/>
  <c r="BO268" i="48"/>
  <c r="BP267" i="48"/>
  <c r="BO267" i="48"/>
  <c r="BP266" i="48"/>
  <c r="BO266" i="48"/>
  <c r="BP265" i="48"/>
  <c r="BO265" i="48"/>
  <c r="BP264" i="48"/>
  <c r="BO264" i="48"/>
  <c r="BP263" i="48"/>
  <c r="BO263" i="48"/>
  <c r="BP262" i="48"/>
  <c r="BO262" i="48"/>
  <c r="BP261" i="48"/>
  <c r="BO261" i="48"/>
  <c r="BP260" i="48"/>
  <c r="BO260" i="48"/>
  <c r="BP259" i="48"/>
  <c r="BO259" i="48"/>
  <c r="BP258" i="48"/>
  <c r="BO258" i="48"/>
  <c r="BP257" i="48"/>
  <c r="BO257" i="48"/>
  <c r="BP256" i="48"/>
  <c r="BO256" i="48"/>
  <c r="BP255" i="48"/>
  <c r="BO255" i="48"/>
  <c r="BP254" i="48"/>
  <c r="BO254" i="48"/>
  <c r="BP253" i="48"/>
  <c r="BO253" i="48"/>
  <c r="BP249" i="48"/>
  <c r="BO249" i="48"/>
  <c r="BP248" i="48"/>
  <c r="BO248" i="48"/>
  <c r="BP247" i="48"/>
  <c r="BO247" i="48"/>
  <c r="BP246" i="48"/>
  <c r="BO246" i="48"/>
  <c r="BP245" i="48"/>
  <c r="BO245" i="48"/>
  <c r="BP244" i="48"/>
  <c r="BO244" i="48"/>
  <c r="BP243" i="48"/>
  <c r="BO243" i="48"/>
  <c r="BP242" i="48"/>
  <c r="BO242" i="48"/>
  <c r="BP241" i="48"/>
  <c r="BO241" i="48"/>
  <c r="BP240" i="48"/>
  <c r="BO240" i="48"/>
  <c r="BP239" i="48"/>
  <c r="BO239" i="48"/>
  <c r="BP238" i="48"/>
  <c r="BO238" i="48"/>
  <c r="BP237" i="48"/>
  <c r="BO237" i="48"/>
  <c r="BP236" i="48"/>
  <c r="BO236" i="48"/>
  <c r="BP235" i="48"/>
  <c r="BO235" i="48"/>
  <c r="BP234" i="48"/>
  <c r="BO234" i="48"/>
  <c r="BP233" i="48"/>
  <c r="BO233" i="48"/>
  <c r="BP232" i="48"/>
  <c r="BO232" i="48"/>
  <c r="BP231" i="48"/>
  <c r="BO231" i="48"/>
  <c r="BP230" i="48"/>
  <c r="BO230" i="48"/>
  <c r="BP229" i="48"/>
  <c r="BO229" i="48"/>
  <c r="BP228" i="48"/>
  <c r="BO228" i="48"/>
  <c r="BP225" i="48"/>
  <c r="BO225" i="48"/>
  <c r="BP224" i="48"/>
  <c r="BO224" i="48"/>
  <c r="BP223" i="48"/>
  <c r="BO223" i="48"/>
  <c r="BP222" i="48"/>
  <c r="BO222" i="48"/>
  <c r="BP221" i="48"/>
  <c r="BO221" i="48"/>
  <c r="BP220" i="48"/>
  <c r="BO220" i="48"/>
  <c r="BP219" i="48"/>
  <c r="BO219" i="48"/>
  <c r="BP218" i="48"/>
  <c r="BO218" i="48"/>
  <c r="BP217" i="48"/>
  <c r="BO217" i="48"/>
  <c r="BP216" i="48"/>
  <c r="BO216" i="48"/>
  <c r="BP215" i="48"/>
  <c r="BO215" i="48"/>
  <c r="BP214" i="48"/>
  <c r="BO214" i="48"/>
  <c r="BP213" i="48"/>
  <c r="BO213" i="48"/>
  <c r="BP212" i="48"/>
  <c r="BO212" i="48"/>
  <c r="BP211" i="48"/>
  <c r="BO211" i="48"/>
  <c r="BP210" i="48"/>
  <c r="BO210" i="48"/>
  <c r="BP209" i="48"/>
  <c r="BO209" i="48"/>
  <c r="BP208" i="48"/>
  <c r="BO208" i="48"/>
  <c r="BP207" i="48"/>
  <c r="BO207" i="48"/>
  <c r="BP206" i="48"/>
  <c r="BO206" i="48"/>
  <c r="BP205" i="48"/>
  <c r="BO205" i="48"/>
  <c r="BP204" i="48"/>
  <c r="BO204" i="48"/>
  <c r="BP203" i="48"/>
  <c r="BO203" i="48"/>
  <c r="BP200" i="48"/>
  <c r="BO200" i="48"/>
  <c r="BP199" i="48"/>
  <c r="BO199" i="48"/>
  <c r="BP198" i="48"/>
  <c r="BO198" i="48"/>
  <c r="BP197" i="48"/>
  <c r="BO197" i="48"/>
  <c r="BP196" i="48"/>
  <c r="BO196" i="48"/>
  <c r="BP195" i="48"/>
  <c r="BO195" i="48"/>
  <c r="BP194" i="48"/>
  <c r="BO194" i="48"/>
  <c r="BP193" i="48"/>
  <c r="BO193" i="48"/>
  <c r="BP192" i="48"/>
  <c r="BO192" i="48"/>
  <c r="BP191" i="48"/>
  <c r="BO191" i="48"/>
  <c r="BP190" i="48"/>
  <c r="BO190" i="48"/>
  <c r="BP189" i="48"/>
  <c r="BO189" i="48"/>
  <c r="BP188" i="48"/>
  <c r="BO188" i="48"/>
  <c r="BP187" i="48"/>
  <c r="BO187" i="48"/>
  <c r="BP186" i="48"/>
  <c r="BO186" i="48"/>
  <c r="BP185" i="48"/>
  <c r="BO185" i="48"/>
  <c r="BP184" i="48"/>
  <c r="BO184" i="48"/>
  <c r="BP183" i="48"/>
  <c r="BO183" i="48"/>
  <c r="BP182" i="48"/>
  <c r="BO182" i="48"/>
  <c r="BP181" i="48"/>
  <c r="BO181" i="48"/>
  <c r="BP180" i="48"/>
  <c r="BO180" i="48"/>
  <c r="BP179" i="48"/>
  <c r="BO179" i="48"/>
  <c r="BP178" i="48"/>
  <c r="BO178" i="48"/>
  <c r="BP137" i="48"/>
  <c r="BO137" i="48"/>
  <c r="BP136" i="48"/>
  <c r="BO136" i="48"/>
  <c r="BP135" i="48"/>
  <c r="BO135" i="48"/>
  <c r="BP134" i="48"/>
  <c r="BO134" i="48"/>
  <c r="BP133" i="48"/>
  <c r="BO133" i="48"/>
  <c r="BP129" i="48"/>
  <c r="BO129" i="48"/>
  <c r="BP128" i="48"/>
  <c r="BO128" i="48"/>
  <c r="BP125" i="48"/>
  <c r="BO125" i="48"/>
  <c r="BP124" i="48"/>
  <c r="BO124" i="48"/>
  <c r="BP123" i="48"/>
  <c r="BO123" i="48"/>
  <c r="BP122" i="48"/>
  <c r="BO122" i="48"/>
  <c r="BP121" i="48"/>
  <c r="BO121" i="48"/>
  <c r="BP120" i="48"/>
  <c r="BO120" i="48"/>
  <c r="BP119" i="48"/>
  <c r="BO119" i="48"/>
  <c r="BP118" i="48"/>
  <c r="BO118" i="48"/>
  <c r="BP117" i="48"/>
  <c r="BO117" i="48"/>
  <c r="BP116" i="48"/>
  <c r="BO116" i="48"/>
  <c r="BP115" i="48"/>
  <c r="BO115" i="48"/>
  <c r="BP114" i="48"/>
  <c r="BO114" i="48"/>
  <c r="BP113" i="48"/>
  <c r="BO113" i="48"/>
  <c r="BP112" i="48"/>
  <c r="BO112" i="48"/>
  <c r="BP111" i="48"/>
  <c r="BO111" i="48"/>
  <c r="BP110" i="48"/>
  <c r="BO110" i="48"/>
  <c r="BP109" i="48"/>
  <c r="BO109" i="48"/>
  <c r="BP108" i="48"/>
  <c r="BO108" i="48"/>
  <c r="BP107" i="48"/>
  <c r="BO107" i="48"/>
  <c r="BP106" i="48"/>
  <c r="BO106" i="48"/>
  <c r="BP105" i="48"/>
  <c r="BO105" i="48"/>
  <c r="BP104" i="48"/>
  <c r="BO104" i="48"/>
  <c r="BP103" i="48"/>
  <c r="BO103" i="48"/>
  <c r="BP75" i="48"/>
  <c r="BO75" i="48"/>
  <c r="BP74" i="48"/>
  <c r="BO74" i="48"/>
  <c r="BP73" i="48"/>
  <c r="BO73" i="48"/>
  <c r="BP72" i="48"/>
  <c r="BO72" i="48"/>
  <c r="BP71" i="48"/>
  <c r="BO71" i="48"/>
  <c r="BP70" i="48"/>
  <c r="BO70" i="48"/>
  <c r="BP69" i="48"/>
  <c r="BO69" i="48"/>
  <c r="BP68" i="48"/>
  <c r="BO68" i="48"/>
  <c r="BP67" i="48"/>
  <c r="BO67" i="48"/>
  <c r="BP66" i="48"/>
  <c r="BO66" i="48"/>
  <c r="BP65" i="48"/>
  <c r="BO65" i="48"/>
  <c r="BP64" i="48"/>
  <c r="BO64" i="48"/>
  <c r="BP63" i="48"/>
  <c r="BO63" i="48"/>
  <c r="BP62" i="48"/>
  <c r="BO62" i="48"/>
  <c r="BP61" i="48"/>
  <c r="BO61" i="48"/>
  <c r="BP60" i="48"/>
  <c r="BO60" i="48"/>
  <c r="BP59" i="48"/>
  <c r="BO59" i="48"/>
  <c r="BP58" i="48"/>
  <c r="BO58" i="48"/>
  <c r="BP57" i="48"/>
  <c r="BO57" i="48"/>
  <c r="BP56" i="48"/>
  <c r="BO56" i="48"/>
  <c r="BP55" i="48"/>
  <c r="BO55" i="48"/>
  <c r="BP54" i="48"/>
  <c r="BO54" i="48"/>
  <c r="BP53" i="48"/>
  <c r="BO53" i="48"/>
  <c r="BP50" i="48"/>
  <c r="BO50" i="48"/>
  <c r="BP49" i="48"/>
  <c r="BO49" i="48"/>
  <c r="BP48" i="48"/>
  <c r="BO48" i="48"/>
  <c r="BP47" i="48"/>
  <c r="BO47" i="48"/>
  <c r="BP46" i="48"/>
  <c r="BO46" i="48"/>
  <c r="BP45" i="48"/>
  <c r="BO45" i="48"/>
  <c r="BP44" i="48"/>
  <c r="BO44" i="48"/>
  <c r="BP43" i="48"/>
  <c r="BO43" i="48"/>
  <c r="BP42" i="48"/>
  <c r="BO42" i="48"/>
  <c r="BP41" i="48"/>
  <c r="BO41" i="48"/>
  <c r="BP40" i="48"/>
  <c r="BO40" i="48"/>
  <c r="BP39" i="48"/>
  <c r="BO39" i="48"/>
  <c r="BP38" i="48"/>
  <c r="BO38" i="48"/>
  <c r="BP37" i="48"/>
  <c r="BO37" i="48"/>
  <c r="BP36" i="48"/>
  <c r="BO36" i="48"/>
  <c r="BP35" i="48"/>
  <c r="BO35" i="48"/>
  <c r="BP34" i="48"/>
  <c r="BO34" i="48"/>
  <c r="BP33" i="48"/>
  <c r="BO33" i="48"/>
  <c r="BP32" i="48"/>
  <c r="BO32" i="48"/>
  <c r="BP31" i="48"/>
  <c r="BO31" i="48"/>
  <c r="BP30" i="48"/>
  <c r="BO30" i="48"/>
  <c r="BP29" i="48"/>
  <c r="BO29" i="48"/>
  <c r="BP28" i="48"/>
  <c r="BO28" i="48"/>
  <c r="BP25" i="48"/>
  <c r="BO25" i="48"/>
  <c r="BP24" i="48"/>
  <c r="BO24" i="48"/>
  <c r="BP23" i="48"/>
  <c r="BO23" i="48"/>
  <c r="BP22" i="48"/>
  <c r="BO22" i="48"/>
  <c r="BP21" i="48"/>
  <c r="BO21" i="48"/>
  <c r="BP20" i="48"/>
  <c r="BO20" i="48"/>
  <c r="BP19" i="48"/>
  <c r="BO19" i="48"/>
  <c r="BP18" i="48"/>
  <c r="BO18" i="48"/>
  <c r="BP17" i="48"/>
  <c r="BO17" i="48"/>
  <c r="BP16" i="48"/>
  <c r="BO16" i="48"/>
  <c r="BP15" i="48"/>
  <c r="BO15" i="48"/>
  <c r="BP14" i="48"/>
  <c r="BO14" i="48"/>
  <c r="BP13" i="48"/>
  <c r="BO13" i="48"/>
  <c r="BP12" i="48"/>
  <c r="BO12" i="48"/>
  <c r="BP11" i="48"/>
  <c r="BO11" i="48"/>
  <c r="BP10" i="48"/>
  <c r="BO10" i="48"/>
  <c r="BO9" i="48"/>
  <c r="BO8" i="48"/>
  <c r="BO7" i="48"/>
  <c r="BO6" i="48"/>
  <c r="BO5" i="48"/>
  <c r="BO4" i="48"/>
  <c r="BO3" i="48"/>
  <c r="CN1147" i="48" l="1"/>
  <c r="CP1147" i="48" s="1"/>
  <c r="CN719" i="48"/>
  <c r="CP719" i="48" s="1"/>
  <c r="CN713" i="48"/>
  <c r="CP713" i="48" s="1"/>
  <c r="CN673" i="48"/>
  <c r="CP673" i="48" s="1"/>
  <c r="CN1114" i="48"/>
  <c r="CP1114" i="48" s="1"/>
  <c r="CN1042" i="48"/>
  <c r="CP1042" i="48" s="1"/>
  <c r="CN912" i="48"/>
  <c r="CP912" i="48" s="1"/>
  <c r="CN871" i="48"/>
  <c r="CP871" i="48" s="1"/>
  <c r="CN798" i="48"/>
  <c r="CP798" i="48" s="1"/>
  <c r="CN1094" i="48"/>
  <c r="CP1094" i="48" s="1"/>
  <c r="CN1192" i="48"/>
  <c r="CP1192" i="48" s="1"/>
  <c r="CN71" i="48"/>
  <c r="CP71" i="48" s="1"/>
  <c r="CN317" i="48"/>
  <c r="CP317" i="48" s="1"/>
  <c r="CN488" i="48"/>
  <c r="CP488" i="48" s="1"/>
  <c r="CN841" i="48"/>
  <c r="CP841" i="48" s="1"/>
  <c r="CN113" i="48"/>
  <c r="CP113" i="48" s="1"/>
  <c r="CN217" i="48"/>
  <c r="CP217" i="48" s="1"/>
  <c r="CN99" i="48"/>
  <c r="CP99" i="48" s="1"/>
  <c r="CN1243" i="48"/>
  <c r="CP1243" i="48" s="1"/>
  <c r="CN323" i="48"/>
  <c r="CP323" i="48" s="1"/>
  <c r="CN1062" i="48"/>
  <c r="CP1062" i="48" s="1"/>
  <c r="CN446" i="48"/>
  <c r="CP446" i="48" s="1"/>
  <c r="CN24" i="48"/>
  <c r="CP24" i="48" s="1"/>
  <c r="CN388" i="48"/>
  <c r="CP388" i="48" s="1"/>
  <c r="CN721" i="48"/>
  <c r="CP721" i="48" s="1"/>
  <c r="CN373" i="48"/>
  <c r="CP373" i="48" s="1"/>
  <c r="CN1188" i="48"/>
  <c r="CP1188" i="48" s="1"/>
  <c r="CN49" i="48"/>
  <c r="CP49" i="48" s="1"/>
  <c r="CN845" i="48"/>
  <c r="CP845" i="48" s="1"/>
  <c r="CN590" i="48"/>
  <c r="CP590" i="48" s="1"/>
  <c r="CN1047" i="48"/>
  <c r="CP1047" i="48" s="1"/>
  <c r="CN72" i="48"/>
  <c r="CP72" i="48" s="1"/>
  <c r="CN1292" i="48"/>
  <c r="CP1292" i="48" s="1"/>
  <c r="CN15" i="48"/>
  <c r="CP15" i="48" s="1"/>
  <c r="CN741" i="48"/>
  <c r="CP741" i="48" s="1"/>
  <c r="CN89" i="48"/>
  <c r="CP89" i="48" s="1"/>
  <c r="CN746" i="48"/>
  <c r="CP746" i="48" s="1"/>
  <c r="CN689" i="48"/>
  <c r="CP689" i="48" s="1"/>
  <c r="CN312" i="48"/>
  <c r="CP312" i="48" s="1"/>
  <c r="CN1119" i="48"/>
  <c r="CP1119" i="48" s="1"/>
  <c r="CN221" i="48"/>
  <c r="CP221" i="48" s="1"/>
  <c r="CN1242" i="48"/>
  <c r="CP1242" i="48" s="1"/>
  <c r="CN600" i="48"/>
  <c r="CP600" i="48" s="1"/>
  <c r="CN250" i="48"/>
  <c r="CP250" i="48" s="1"/>
  <c r="CN468" i="48"/>
  <c r="CP468" i="48" s="1"/>
  <c r="CN612" i="48"/>
  <c r="CP612" i="48" s="1"/>
  <c r="CN574" i="48"/>
  <c r="CP574" i="48" s="1"/>
  <c r="CN1315" i="48"/>
  <c r="CP1315" i="48" s="1"/>
  <c r="CN1296" i="48"/>
  <c r="CP1296" i="48" s="1"/>
  <c r="CN475" i="48"/>
  <c r="CP475" i="48" s="1"/>
  <c r="CN195" i="48"/>
  <c r="CP195" i="48" s="1"/>
  <c r="CN545" i="48"/>
  <c r="CP545" i="48" s="1"/>
  <c r="CN1190" i="48"/>
  <c r="CP1190" i="48" s="1"/>
  <c r="CN1199" i="48"/>
  <c r="CP1199" i="48" s="1"/>
  <c r="CN424" i="48"/>
  <c r="CP424" i="48" s="1"/>
  <c r="CN1266" i="48"/>
  <c r="CP1266" i="48" s="1"/>
  <c r="CN966" i="48"/>
  <c r="CP966" i="48" s="1"/>
  <c r="CN670" i="48"/>
  <c r="CP670" i="48" s="1"/>
  <c r="CN770" i="48"/>
  <c r="CP770" i="48" s="1"/>
  <c r="CN1165" i="48"/>
  <c r="CP1165" i="48" s="1"/>
  <c r="CN90" i="48"/>
  <c r="CP90" i="48" s="1"/>
  <c r="CN337" i="48"/>
  <c r="CP337" i="48" s="1"/>
  <c r="CN1294" i="48"/>
  <c r="CP1294" i="48" s="1"/>
  <c r="CN1118" i="48"/>
  <c r="CP1118" i="48" s="1"/>
  <c r="CN1336" i="48"/>
  <c r="CP1336" i="48" s="1"/>
  <c r="CN747" i="48"/>
  <c r="CP747" i="48" s="1"/>
  <c r="CN267" i="48"/>
  <c r="CP267" i="48" s="1"/>
  <c r="CN686" i="48"/>
  <c r="CP686" i="48" s="1"/>
  <c r="CN1245" i="48"/>
  <c r="CP1245" i="48" s="1"/>
  <c r="CN1217" i="48"/>
  <c r="CP1217" i="48" s="1"/>
  <c r="CN672" i="48"/>
  <c r="CP672" i="48" s="1"/>
  <c r="CN1038" i="48"/>
  <c r="CP1038" i="48" s="1"/>
  <c r="CN646" i="48"/>
  <c r="CP646" i="48" s="1"/>
  <c r="CN788" i="48"/>
  <c r="CP788" i="48" s="1"/>
  <c r="CN291" i="48"/>
  <c r="CP291" i="48" s="1"/>
  <c r="CN671" i="48"/>
  <c r="CP671" i="48" s="1"/>
  <c r="CN393" i="48"/>
  <c r="CP393" i="48" s="1"/>
  <c r="CN1146" i="48"/>
  <c r="CP1146" i="48" s="1"/>
  <c r="CN486" i="48"/>
  <c r="CP486" i="48" s="1"/>
  <c r="CN142" i="48"/>
  <c r="CP142" i="48" s="1"/>
  <c r="CN838" i="48"/>
  <c r="CP838" i="48" s="1"/>
  <c r="CN516" i="48"/>
  <c r="CP516" i="48" s="1"/>
  <c r="CN550" i="48"/>
  <c r="CP550" i="48" s="1"/>
  <c r="CN690" i="48"/>
  <c r="CP690" i="48" s="1"/>
  <c r="CN1288" i="48"/>
  <c r="CP1288" i="48" s="1"/>
  <c r="CN1018" i="48"/>
  <c r="CP1018" i="48" s="1"/>
  <c r="CN536" i="48"/>
  <c r="CP536" i="48" s="1"/>
  <c r="CN198" i="48"/>
  <c r="CP198" i="48" s="1"/>
  <c r="CN1025" i="48"/>
  <c r="CP1025" i="48" s="1"/>
  <c r="CN321" i="48"/>
  <c r="CP321" i="48" s="1"/>
  <c r="CN1087" i="48"/>
  <c r="CP1087" i="48" s="1"/>
  <c r="CN13" i="48"/>
  <c r="CP13" i="48" s="1"/>
  <c r="CN1270" i="48"/>
  <c r="CP1270" i="48" s="1"/>
  <c r="CN889" i="48"/>
  <c r="CP889" i="48" s="1"/>
  <c r="CN392" i="48"/>
  <c r="CP392" i="48" s="1"/>
  <c r="CN38" i="48"/>
  <c r="CP38" i="48" s="1"/>
  <c r="CN1143" i="48"/>
  <c r="CP1143" i="48" s="1"/>
  <c r="CN63" i="48"/>
  <c r="CP63" i="48" s="1"/>
  <c r="CN892" i="48"/>
  <c r="CP892" i="48" s="1"/>
  <c r="CN896" i="48"/>
  <c r="CP896" i="48" s="1"/>
  <c r="CN189" i="48"/>
  <c r="CP189" i="48" s="1"/>
  <c r="CN998" i="48"/>
  <c r="CP998" i="48" s="1"/>
  <c r="CN88" i="48"/>
  <c r="CP88" i="48" s="1"/>
  <c r="CN773" i="48"/>
  <c r="CP773" i="48" s="1"/>
  <c r="CN598" i="48"/>
  <c r="CP598" i="48" s="1"/>
  <c r="CN98" i="48"/>
  <c r="CP98" i="48" s="1"/>
  <c r="CN648" i="48"/>
  <c r="CP648" i="48" s="1"/>
  <c r="CN167" i="48"/>
  <c r="CP167" i="48" s="1"/>
  <c r="CN575" i="48"/>
  <c r="CP575" i="48" s="1"/>
  <c r="CN1088" i="48"/>
  <c r="CP1088" i="48" s="1"/>
  <c r="CN120" i="48"/>
  <c r="CP120" i="48" s="1"/>
  <c r="CN936" i="48"/>
  <c r="CP936" i="48" s="1"/>
  <c r="CN893" i="48"/>
  <c r="CP893" i="48" s="1"/>
  <c r="CN790" i="48"/>
  <c r="CP790" i="48" s="1"/>
  <c r="CN20" i="48"/>
  <c r="CP20" i="48" s="1"/>
  <c r="CN1099" i="48"/>
  <c r="CP1099" i="48" s="1"/>
  <c r="CN738" i="48"/>
  <c r="CP738" i="48" s="1"/>
  <c r="CN1289" i="48"/>
  <c r="CP1289" i="48" s="1"/>
  <c r="CN162" i="48"/>
  <c r="CP162" i="48" s="1"/>
  <c r="CN622" i="48"/>
  <c r="CP622" i="48" s="1"/>
  <c r="CN548" i="48"/>
  <c r="CP548" i="48" s="1"/>
  <c r="CN1044" i="48"/>
  <c r="CP1044" i="48" s="1"/>
  <c r="CN1198" i="48"/>
  <c r="CP1198" i="48" s="1"/>
  <c r="CN623" i="48"/>
  <c r="CP623" i="48" s="1"/>
  <c r="CN1239" i="48"/>
  <c r="CP1239" i="48" s="1"/>
  <c r="CN1196" i="48"/>
  <c r="CP1196" i="48" s="1"/>
  <c r="CN1337" i="48"/>
  <c r="CP1337" i="48" s="1"/>
  <c r="CN1121" i="48"/>
  <c r="CP1121" i="48" s="1"/>
  <c r="CN286" i="48"/>
  <c r="CP286" i="48" s="1"/>
  <c r="CN971" i="48"/>
  <c r="CP971" i="48" s="1"/>
  <c r="CN815" i="48"/>
  <c r="CP815" i="48" s="1"/>
  <c r="CN342" i="48"/>
  <c r="CP342" i="48" s="1"/>
  <c r="CN663" i="48"/>
  <c r="CP663" i="48" s="1"/>
  <c r="CN1218" i="48"/>
  <c r="CP1218" i="48" s="1"/>
  <c r="CN173" i="48"/>
  <c r="CP173" i="48" s="1"/>
  <c r="CN921" i="48"/>
  <c r="CP921" i="48" s="1"/>
  <c r="CN87" i="48"/>
  <c r="CP87" i="48" s="1"/>
  <c r="CN1224" i="48"/>
  <c r="CP1224" i="48" s="1"/>
  <c r="CN715" i="48"/>
  <c r="CP715" i="48" s="1"/>
  <c r="CN1012" i="48"/>
  <c r="CP1012" i="48" s="1"/>
  <c r="CN61" i="48"/>
  <c r="CP61" i="48" s="1"/>
  <c r="CN1037" i="48"/>
  <c r="CP1037" i="48" s="1"/>
  <c r="CN1112" i="48"/>
  <c r="CP1112" i="48" s="1"/>
  <c r="CN1287" i="48"/>
  <c r="CP1287" i="48" s="1"/>
  <c r="CN399" i="48"/>
  <c r="CP399" i="48" s="1"/>
  <c r="CN1267" i="48"/>
  <c r="CP1267" i="48" s="1"/>
  <c r="CN339" i="48"/>
  <c r="CP339" i="48" s="1"/>
  <c r="CN771" i="48"/>
  <c r="CP771" i="48" s="1"/>
  <c r="CN666" i="48"/>
  <c r="CP666" i="48" s="1"/>
  <c r="CN939" i="48"/>
  <c r="CP939" i="48" s="1"/>
  <c r="CN662" i="48"/>
  <c r="CP662" i="48" s="1"/>
  <c r="CN843" i="48"/>
  <c r="CP843" i="48" s="1"/>
  <c r="CN669" i="48"/>
  <c r="CP669" i="48" s="1"/>
  <c r="CN774" i="48"/>
  <c r="CP774" i="48" s="1"/>
  <c r="CN374" i="48"/>
  <c r="CP374" i="48" s="1"/>
  <c r="CN586" i="48"/>
  <c r="CP586" i="48" s="1"/>
  <c r="CN511" i="48"/>
  <c r="CP511" i="48" s="1"/>
  <c r="CN742" i="48"/>
  <c r="CP742" i="48" s="1"/>
  <c r="CN1086" i="48"/>
  <c r="CP1086" i="48" s="1"/>
  <c r="CN470" i="48"/>
  <c r="CP470" i="48" s="1"/>
  <c r="CN466" i="48"/>
  <c r="CP466" i="48" s="1"/>
  <c r="CN298" i="48"/>
  <c r="CP298" i="48" s="1"/>
  <c r="CN972" i="48"/>
  <c r="CP972" i="48" s="1"/>
  <c r="CN369" i="48"/>
  <c r="CP369" i="48" s="1"/>
  <c r="CN66" i="48"/>
  <c r="CP66" i="48" s="1"/>
  <c r="CN588" i="48"/>
  <c r="CP588" i="48" s="1"/>
  <c r="CN1350" i="48"/>
  <c r="CP1350" i="48" s="1"/>
  <c r="CN371" i="48"/>
  <c r="CP371" i="48" s="1"/>
  <c r="CN50" i="48"/>
  <c r="CP50" i="48" s="1"/>
  <c r="CN442" i="48"/>
  <c r="CP442" i="48" s="1"/>
  <c r="CN1244" i="48"/>
  <c r="CP1244" i="48" s="1"/>
  <c r="CN899" i="48"/>
  <c r="CP899" i="48" s="1"/>
  <c r="CN218" i="48"/>
  <c r="CP218" i="48" s="1"/>
  <c r="CN225" i="48"/>
  <c r="CP225" i="48" s="1"/>
  <c r="CN1293" i="48"/>
  <c r="CP1293" i="48" s="1"/>
  <c r="CN1313" i="48"/>
  <c r="CP1313" i="48" s="1"/>
  <c r="CN43" i="48"/>
  <c r="CP43" i="48" s="1"/>
  <c r="CN872" i="48"/>
  <c r="CP872" i="48" s="1"/>
  <c r="CN520" i="48"/>
  <c r="CP520" i="48" s="1"/>
  <c r="CN761" i="48"/>
  <c r="CP761" i="48" s="1"/>
  <c r="CN122" i="48"/>
  <c r="CP122" i="48" s="1"/>
  <c r="CN1097" i="48"/>
  <c r="CP1097" i="48" s="1"/>
  <c r="CN589" i="48"/>
  <c r="CP589" i="48" s="1"/>
  <c r="CN967" i="48"/>
  <c r="CP967" i="48" s="1"/>
  <c r="CN1314" i="48"/>
  <c r="CP1314" i="48" s="1"/>
  <c r="CN1173" i="48"/>
  <c r="CP1173" i="48" s="1"/>
  <c r="CN1043" i="48"/>
  <c r="CP1043" i="48" s="1"/>
  <c r="CN219" i="48"/>
  <c r="CP219" i="48" s="1"/>
  <c r="CN175" i="48"/>
  <c r="CP175" i="48" s="1"/>
  <c r="CN444" i="48"/>
  <c r="CP444" i="48" s="1"/>
  <c r="CN1322" i="48"/>
  <c r="CP1322" i="48" s="1"/>
  <c r="CN23" i="48"/>
  <c r="CP23" i="48" s="1"/>
  <c r="CN1273" i="48"/>
  <c r="CP1273" i="48" s="1"/>
  <c r="CN439" i="48"/>
  <c r="CP439" i="48" s="1"/>
  <c r="CN1169" i="48"/>
  <c r="CP1169" i="48" s="1"/>
  <c r="CN1193" i="48"/>
  <c r="CP1193" i="48" s="1"/>
  <c r="CN75" i="48"/>
  <c r="CP75" i="48" s="1"/>
  <c r="CN67" i="48"/>
  <c r="CP67" i="48" s="1"/>
  <c r="CN368" i="48"/>
  <c r="CP368" i="48" s="1"/>
  <c r="CN415" i="48"/>
  <c r="CP415" i="48" s="1"/>
  <c r="CN420" i="48"/>
  <c r="CP420" i="48" s="1"/>
  <c r="CN762" i="48"/>
  <c r="CP762" i="48" s="1"/>
  <c r="CN897" i="48"/>
  <c r="CP897" i="48" s="1"/>
  <c r="CN197" i="48"/>
  <c r="CP197" i="48" s="1"/>
  <c r="CN1049" i="48"/>
  <c r="CP1049" i="48" s="1"/>
  <c r="CN365" i="48"/>
  <c r="CP365" i="48" s="1"/>
  <c r="CN1117" i="48"/>
  <c r="CP1117" i="48" s="1"/>
  <c r="CN1271" i="48"/>
  <c r="CP1271" i="48" s="1"/>
  <c r="CN842" i="48"/>
  <c r="CP842" i="48" s="1"/>
  <c r="CN25" i="48"/>
  <c r="CP25" i="48" s="1"/>
  <c r="CN874" i="48"/>
  <c r="CP874" i="48" s="1"/>
  <c r="CN266" i="48"/>
  <c r="CP266" i="48" s="1"/>
  <c r="CN121" i="48"/>
  <c r="CP121" i="48" s="1"/>
  <c r="CN200" i="48"/>
  <c r="CP200" i="48" s="1"/>
  <c r="CN494" i="48"/>
  <c r="CP494" i="48" s="1"/>
  <c r="CN1264" i="48"/>
  <c r="CP1264" i="48" s="1"/>
  <c r="CN1269" i="48"/>
  <c r="CP1269" i="48" s="1"/>
  <c r="CN115" i="48"/>
  <c r="CP115" i="48" s="1"/>
  <c r="CN1213" i="48"/>
  <c r="CP1213" i="48" s="1"/>
  <c r="CN895" i="48"/>
  <c r="CP895" i="48" s="1"/>
  <c r="CN594" i="48"/>
  <c r="CP594" i="48" s="1"/>
  <c r="CN642" i="48"/>
  <c r="CP642" i="48" s="1"/>
  <c r="CN1144" i="48"/>
  <c r="CP1144" i="48" s="1"/>
  <c r="CN866" i="48"/>
  <c r="CP866" i="48" s="1"/>
  <c r="CN148" i="48"/>
  <c r="CP148" i="48" s="1"/>
  <c r="CN825" i="48"/>
  <c r="CP825" i="48" s="1"/>
  <c r="CN915" i="48"/>
  <c r="CP915" i="48" s="1"/>
  <c r="CN942" i="48"/>
  <c r="CP942" i="48" s="1"/>
  <c r="CN166" i="48"/>
  <c r="CP166" i="48" s="1"/>
  <c r="CN794" i="48"/>
  <c r="CP794" i="48" s="1"/>
  <c r="CN863" i="48"/>
  <c r="CP863" i="48" s="1"/>
  <c r="CN12" i="48"/>
  <c r="CP12" i="48" s="1"/>
  <c r="CN1011" i="48"/>
  <c r="CP1011" i="48" s="1"/>
  <c r="CN792" i="48"/>
  <c r="CP792" i="48" s="1"/>
  <c r="CN538" i="48"/>
  <c r="CP538" i="48" s="1"/>
  <c r="CN969" i="48"/>
  <c r="CP969" i="48" s="1"/>
  <c r="CN245" i="48"/>
  <c r="CP245" i="48" s="1"/>
  <c r="CN465" i="48"/>
  <c r="CP465" i="48" s="1"/>
  <c r="CN1197" i="48"/>
  <c r="CP1197" i="48" s="1"/>
  <c r="CN1299" i="48"/>
  <c r="CP1299" i="48" s="1"/>
  <c r="CN474" i="48"/>
  <c r="CP474" i="48" s="1"/>
  <c r="CN1237" i="48"/>
  <c r="CP1237" i="48" s="1"/>
  <c r="CN343" i="48"/>
  <c r="CP343" i="48" s="1"/>
  <c r="CN844" i="48"/>
  <c r="CP844" i="48" s="1"/>
  <c r="CN74" i="48"/>
  <c r="CP74" i="48" s="1"/>
  <c r="CN714" i="48"/>
  <c r="CP714" i="48" s="1"/>
  <c r="CN916" i="48"/>
  <c r="CP916" i="48" s="1"/>
  <c r="CN1216" i="48"/>
  <c r="CP1216" i="48" s="1"/>
  <c r="CN346" i="48"/>
  <c r="CP346" i="48" s="1"/>
  <c r="CN947" i="48"/>
  <c r="CP947" i="48" s="1"/>
  <c r="CN140" i="48"/>
  <c r="CP140" i="48" s="1"/>
  <c r="CN541" i="48"/>
  <c r="CP541" i="48" s="1"/>
  <c r="CN547" i="48"/>
  <c r="CP547" i="48" s="1"/>
  <c r="CN1075" i="48"/>
  <c r="CP1075" i="48" s="1"/>
  <c r="CN1324" i="48"/>
  <c r="CP1324" i="48" s="1"/>
  <c r="CN775" i="48"/>
  <c r="CP775" i="48" s="1"/>
  <c r="CN898" i="48"/>
  <c r="CP898" i="48" s="1"/>
  <c r="CN1092" i="48"/>
  <c r="CP1092" i="48" s="1"/>
  <c r="CN869" i="48"/>
  <c r="CP869" i="48" s="1"/>
  <c r="CN443" i="48"/>
  <c r="CP443" i="48" s="1"/>
  <c r="CN1095" i="48"/>
  <c r="CP1095" i="48" s="1"/>
  <c r="CN136" i="48"/>
  <c r="CP136" i="48" s="1"/>
  <c r="CN861" i="48"/>
  <c r="CP861" i="48" s="1"/>
  <c r="CN796" i="48"/>
  <c r="CP796" i="48" s="1"/>
  <c r="CN370" i="48"/>
  <c r="CP370" i="48" s="1"/>
  <c r="CN1175" i="48"/>
  <c r="CP1175" i="48" s="1"/>
  <c r="CN1321" i="48"/>
  <c r="CP1321" i="48" s="1"/>
  <c r="CN1214" i="48"/>
  <c r="CP1214" i="48" s="1"/>
  <c r="CN114" i="48"/>
  <c r="CP114" i="48" s="1"/>
  <c r="CN1221" i="48"/>
  <c r="CP1221" i="48" s="1"/>
  <c r="CN92" i="48"/>
  <c r="CP92" i="48" s="1"/>
  <c r="CN696" i="48"/>
  <c r="CP696" i="48" s="1"/>
  <c r="CN614" i="48"/>
  <c r="CP614" i="48" s="1"/>
  <c r="CN587" i="48"/>
  <c r="CP587" i="48" s="1"/>
  <c r="CN240" i="48"/>
  <c r="CP240" i="48" s="1"/>
  <c r="CN418" i="48"/>
  <c r="CP418" i="48" s="1"/>
  <c r="CN324" i="48"/>
  <c r="CP324" i="48" s="1"/>
  <c r="CN917" i="48"/>
  <c r="CP917" i="48" s="1"/>
  <c r="CN639" i="48"/>
  <c r="CP639" i="48" s="1"/>
  <c r="CN1021" i="48"/>
  <c r="CP1021" i="48" s="1"/>
  <c r="CN364" i="48"/>
  <c r="CP364" i="48" s="1"/>
  <c r="CN986" i="48"/>
  <c r="CP986" i="48" s="1"/>
  <c r="CN849" i="48"/>
  <c r="CP849" i="48" s="1"/>
  <c r="CN1013" i="48"/>
  <c r="CP1013" i="48" s="1"/>
  <c r="CN239" i="48"/>
  <c r="CP239" i="48" s="1"/>
  <c r="CN886" i="48"/>
  <c r="CP886" i="48" s="1"/>
  <c r="CN616" i="48"/>
  <c r="CP616" i="48" s="1"/>
  <c r="CN313" i="48"/>
  <c r="CP313" i="48" s="1"/>
  <c r="CN316" i="48"/>
  <c r="CP316" i="48" s="1"/>
  <c r="CN599" i="48"/>
  <c r="CP599" i="48" s="1"/>
  <c r="CN561" i="48"/>
  <c r="CP561" i="48" s="1"/>
  <c r="CN620" i="48"/>
  <c r="CP620" i="48" s="1"/>
  <c r="CN1045" i="48"/>
  <c r="CP1045" i="48" s="1"/>
  <c r="CN562" i="48"/>
  <c r="CP562" i="48" s="1"/>
  <c r="CN422" i="48"/>
  <c r="CP422" i="48" s="1"/>
  <c r="CN836" i="48"/>
  <c r="CP836" i="48" s="1"/>
  <c r="CN817" i="48"/>
  <c r="CP817" i="48" s="1"/>
  <c r="CN141" i="48"/>
  <c r="CP141" i="48" s="1"/>
  <c r="CN490" i="48"/>
  <c r="CP490" i="48" s="1"/>
  <c r="CN473" i="48"/>
  <c r="CP473" i="48" s="1"/>
  <c r="CN270" i="48"/>
  <c r="CP270" i="48" s="1"/>
  <c r="CN799" i="48"/>
  <c r="CP799" i="48" s="1"/>
  <c r="CN973" i="48"/>
  <c r="CP973" i="48" s="1"/>
  <c r="CN367" i="48"/>
  <c r="CP367" i="48" s="1"/>
  <c r="CN867" i="48"/>
  <c r="CP867" i="48" s="1"/>
  <c r="CN647" i="48"/>
  <c r="CP647" i="48" s="1"/>
  <c r="CN924" i="48"/>
  <c r="CP924" i="48" s="1"/>
  <c r="CN1274" i="48"/>
  <c r="CP1274" i="48" s="1"/>
  <c r="CN919" i="48"/>
  <c r="CP919" i="48" s="1"/>
  <c r="CN1096" i="48"/>
  <c r="CP1096" i="48" s="1"/>
  <c r="CN1223" i="48"/>
  <c r="CP1223" i="48" s="1"/>
  <c r="CN150" i="48"/>
  <c r="CP150" i="48" s="1"/>
  <c r="CN447" i="48"/>
  <c r="CP447" i="48" s="1"/>
  <c r="CN1023" i="48"/>
  <c r="CP1023" i="48" s="1"/>
  <c r="CN194" i="48"/>
  <c r="CP194" i="48" s="1"/>
  <c r="CN236" i="48"/>
  <c r="CP236" i="48" s="1"/>
  <c r="CN512" i="48"/>
  <c r="CP512" i="48" s="1"/>
  <c r="CN314" i="48"/>
  <c r="CP314" i="48" s="1"/>
  <c r="CN1111" i="48"/>
  <c r="CP1111" i="48" s="1"/>
  <c r="CN1140" i="48"/>
  <c r="CP1140" i="48" s="1"/>
  <c r="CN21" i="48"/>
  <c r="CP21" i="48" s="1"/>
  <c r="CN336" i="48"/>
  <c r="CP336" i="48" s="1"/>
  <c r="CN592" i="48"/>
  <c r="CP592" i="48" s="1"/>
  <c r="CN169" i="48"/>
  <c r="CP169" i="48" s="1"/>
  <c r="CN797" i="48"/>
  <c r="CP797" i="48" s="1"/>
  <c r="CN718" i="48"/>
  <c r="CP718" i="48" s="1"/>
  <c r="CN1250" i="48"/>
  <c r="CP1250" i="48" s="1"/>
  <c r="CN1046" i="48"/>
  <c r="CP1046" i="48" s="1"/>
  <c r="CN1200" i="48"/>
  <c r="CP1200" i="48" s="1"/>
  <c r="CN1166" i="48"/>
  <c r="CP1166" i="48" s="1"/>
  <c r="CN244" i="48"/>
  <c r="CP244" i="48" s="1"/>
  <c r="CN822" i="48"/>
  <c r="CP822" i="48" s="1"/>
  <c r="CN875" i="48"/>
  <c r="CP875" i="48" s="1"/>
  <c r="CN766" i="48"/>
  <c r="CP766" i="48" s="1"/>
  <c r="CN894" i="48"/>
  <c r="CP894" i="48" s="1"/>
  <c r="CN1115" i="48"/>
  <c r="CP1115" i="48" s="1"/>
  <c r="CN717" i="48"/>
  <c r="CP717" i="48" s="1"/>
  <c r="CN1311" i="48"/>
  <c r="CP1311" i="48" s="1"/>
  <c r="CN1091" i="48"/>
  <c r="CP1091" i="48" s="1"/>
  <c r="CN1068" i="48"/>
  <c r="CP1068" i="48" s="1"/>
  <c r="CN1171" i="48"/>
  <c r="CP1171" i="48" s="1"/>
  <c r="CN819" i="48"/>
  <c r="CP819" i="48" s="1"/>
  <c r="CN595" i="48"/>
  <c r="CP595" i="48" s="1"/>
  <c r="CN1142" i="48"/>
  <c r="CP1142" i="48" s="1"/>
  <c r="CN1116" i="48"/>
  <c r="CP1116" i="48" s="1"/>
  <c r="CN1347" i="48"/>
  <c r="CP1347" i="48" s="1"/>
  <c r="CN22" i="48"/>
  <c r="CP22" i="48" s="1"/>
  <c r="CN396" i="48"/>
  <c r="CP396" i="48" s="1"/>
  <c r="CN1222" i="48"/>
  <c r="CP1222" i="48" s="1"/>
  <c r="CN319" i="48"/>
  <c r="CP319" i="48" s="1"/>
  <c r="CN965" i="48"/>
  <c r="CP965" i="48" s="1"/>
  <c r="CN816" i="48"/>
  <c r="CP816" i="48" s="1"/>
  <c r="CN1300" i="48"/>
  <c r="CP1300" i="48" s="1"/>
  <c r="CN1048" i="48"/>
  <c r="CP1048" i="48" s="1"/>
  <c r="CN496" i="48"/>
  <c r="CP496" i="48" s="1"/>
  <c r="CN716" i="48"/>
  <c r="CP716" i="48" s="1"/>
  <c r="CN1298" i="48"/>
  <c r="CP1298" i="48" s="1"/>
  <c r="CN361" i="48"/>
  <c r="CP361" i="48" s="1"/>
  <c r="CN1219" i="48"/>
  <c r="CP1219" i="48" s="1"/>
  <c r="CN638" i="48"/>
  <c r="CP638" i="48" s="1"/>
  <c r="CN1286" i="48"/>
  <c r="CP1286" i="48" s="1"/>
  <c r="CN223" i="48"/>
  <c r="CP223" i="48" s="1"/>
  <c r="CN525" i="48"/>
  <c r="CP525" i="48" s="1"/>
  <c r="CN1346" i="48"/>
  <c r="CP1346" i="48" s="1"/>
  <c r="CN395" i="48"/>
  <c r="CP395" i="48" s="1"/>
  <c r="CN164" i="48"/>
  <c r="CP164" i="48" s="1"/>
  <c r="CN1316" i="48"/>
  <c r="CP1316" i="48" s="1"/>
  <c r="CN645" i="48"/>
  <c r="CP645" i="48" s="1"/>
  <c r="CN821" i="48"/>
  <c r="CP821" i="48" s="1"/>
  <c r="CN168" i="48"/>
  <c r="CP168" i="48" s="1"/>
  <c r="CN495" i="48"/>
  <c r="CP495" i="48" s="1"/>
  <c r="CN249" i="48"/>
  <c r="CP249" i="48" s="1"/>
  <c r="CN1341" i="48"/>
  <c r="CP1341" i="48" s="1"/>
  <c r="CN94" i="48"/>
  <c r="CP94" i="48" s="1"/>
  <c r="CN1212" i="48"/>
  <c r="CP1212" i="48" s="1"/>
  <c r="CN247" i="48"/>
  <c r="CP247" i="48" s="1"/>
  <c r="CN839" i="48"/>
  <c r="CP839" i="48" s="1"/>
  <c r="CN837" i="48"/>
  <c r="CP837" i="48" s="1"/>
  <c r="CN789" i="48"/>
  <c r="CP789" i="48" s="1"/>
  <c r="CN846" i="48"/>
  <c r="CP846" i="48" s="1"/>
  <c r="CN413" i="48"/>
  <c r="CP413" i="48" s="1"/>
  <c r="CN625" i="48"/>
  <c r="CP625" i="48" s="1"/>
  <c r="CN1295" i="48"/>
  <c r="CP1295" i="48" s="1"/>
  <c r="CN1100" i="48"/>
  <c r="CP1100" i="48" s="1"/>
  <c r="CN95" i="48"/>
  <c r="CP95" i="48" s="1"/>
  <c r="CN1066" i="48"/>
  <c r="CP1066" i="48" s="1"/>
  <c r="CN649" i="48"/>
  <c r="CP649" i="48" s="1"/>
  <c r="CN698" i="48"/>
  <c r="CP698" i="48" s="1"/>
  <c r="CN569" i="48"/>
  <c r="CP569" i="48" s="1"/>
  <c r="CN1290" i="48"/>
  <c r="CP1290" i="48" s="1"/>
  <c r="CN567" i="48"/>
  <c r="CP567" i="48" s="1"/>
  <c r="CN1019" i="48"/>
  <c r="CP1019" i="48" s="1"/>
  <c r="CN1039" i="48"/>
  <c r="CP1039" i="48" s="1"/>
  <c r="CN950" i="48"/>
  <c r="CP950" i="48" s="1"/>
  <c r="CN1172" i="48"/>
  <c r="CP1172" i="48" s="1"/>
  <c r="CN791" i="48"/>
  <c r="CP791" i="48" s="1"/>
  <c r="CN994" i="48"/>
  <c r="CP994" i="48" s="1"/>
  <c r="CN1343" i="48"/>
  <c r="CP1343" i="48" s="1"/>
  <c r="CN913" i="48"/>
  <c r="CP913" i="48" s="1"/>
  <c r="CN11" i="48"/>
  <c r="CP11" i="48" s="1"/>
  <c r="CN988" i="48"/>
  <c r="CP988" i="48" s="1"/>
  <c r="CN471" i="48"/>
  <c r="CP471" i="48" s="1"/>
  <c r="CN911" i="48"/>
  <c r="CP911" i="48" s="1"/>
  <c r="CN172" i="48"/>
  <c r="CP172" i="48" s="1"/>
  <c r="CN1024" i="48"/>
  <c r="CP1024" i="48" s="1"/>
  <c r="CN1191" i="48"/>
  <c r="CP1191" i="48" s="1"/>
  <c r="CN768" i="48"/>
  <c r="CP768" i="48" s="1"/>
  <c r="CN949" i="48"/>
  <c r="CP949" i="48" s="1"/>
  <c r="CN1120" i="48"/>
  <c r="CP1120" i="48" s="1"/>
  <c r="CN694" i="48"/>
  <c r="CP694" i="48" s="1"/>
  <c r="CN737" i="48"/>
  <c r="CP737" i="48" s="1"/>
  <c r="CN412" i="48"/>
  <c r="CP412" i="48" s="1"/>
  <c r="CN542" i="48"/>
  <c r="CP542" i="48" s="1"/>
  <c r="CN1148" i="48"/>
  <c r="CP1148" i="48" s="1"/>
  <c r="CN914" i="48"/>
  <c r="CP914" i="48" s="1"/>
  <c r="CN712" i="48"/>
  <c r="CP712" i="48" s="1"/>
  <c r="CN425" i="48"/>
  <c r="CP425" i="48" s="1"/>
  <c r="CN1113" i="48"/>
  <c r="CP1113" i="48" s="1"/>
  <c r="CN467" i="48"/>
  <c r="CP467" i="48" s="1"/>
  <c r="CN193" i="48"/>
  <c r="CP193" i="48" s="1"/>
  <c r="CN192" i="48"/>
  <c r="CP192" i="48" s="1"/>
  <c r="CN416" i="48"/>
  <c r="CP416" i="48" s="1"/>
  <c r="CN664" i="48"/>
  <c r="CP664" i="48" s="1"/>
  <c r="CN749" i="48"/>
  <c r="CP749" i="48" s="1"/>
  <c r="CN518" i="48"/>
  <c r="CP518" i="48" s="1"/>
  <c r="CN546" i="48"/>
  <c r="CP546" i="48" s="1"/>
  <c r="CN341" i="48"/>
  <c r="CP341" i="48" s="1"/>
  <c r="CN423" i="48"/>
  <c r="CP423" i="48" s="1"/>
  <c r="CN537" i="48"/>
  <c r="CP537" i="48" s="1"/>
  <c r="CN394" i="48"/>
  <c r="CP394" i="48" s="1"/>
  <c r="CN650" i="48"/>
  <c r="CP650" i="48" s="1"/>
  <c r="CN539" i="48"/>
  <c r="CP539" i="48" s="1"/>
  <c r="CN1016" i="48"/>
  <c r="CP1016" i="48" s="1"/>
  <c r="CN1093" i="48"/>
  <c r="CP1093" i="48" s="1"/>
  <c r="CN847" i="48"/>
  <c r="CP847" i="48" s="1"/>
  <c r="CN925" i="48"/>
  <c r="CP925" i="48" s="1"/>
  <c r="CN297" i="48"/>
  <c r="CP297" i="48" s="1"/>
  <c r="CN47" i="48"/>
  <c r="CP47" i="48" s="1"/>
  <c r="CN1069" i="48"/>
  <c r="CP1069" i="48" s="1"/>
  <c r="CN372" i="48"/>
  <c r="CP372" i="48" s="1"/>
  <c r="CN1345" i="48"/>
  <c r="CP1345" i="48" s="1"/>
  <c r="CN745" i="48"/>
  <c r="CP745" i="48" s="1"/>
  <c r="CN743" i="48"/>
  <c r="CP743" i="48" s="1"/>
  <c r="CN274" i="48"/>
  <c r="CP274" i="48" s="1"/>
  <c r="CN1138" i="48"/>
  <c r="CP1138" i="48" s="1"/>
  <c r="CN289" i="48"/>
  <c r="CP289" i="48" s="1"/>
  <c r="CN123" i="48"/>
  <c r="CP123" i="48" s="1"/>
  <c r="CN1070" i="48"/>
  <c r="CP1070" i="48" s="1"/>
  <c r="CN990" i="48"/>
  <c r="CP990" i="48" s="1"/>
  <c r="CN992" i="48"/>
  <c r="CP992" i="48" s="1"/>
  <c r="CN237" i="48"/>
  <c r="CP237" i="48" s="1"/>
  <c r="CN241" i="48"/>
  <c r="CP241" i="48" s="1"/>
  <c r="CN171" i="48"/>
  <c r="CP171" i="48" s="1"/>
  <c r="CN500" i="48"/>
  <c r="CP500" i="48" s="1"/>
  <c r="CN117" i="48"/>
  <c r="CP117" i="48" s="1"/>
  <c r="CN1141" i="48"/>
  <c r="CP1141" i="48" s="1"/>
  <c r="CN793" i="48"/>
  <c r="CP793" i="48" s="1"/>
  <c r="CN1215" i="48"/>
  <c r="CP1215" i="48" s="1"/>
  <c r="CN448" i="48"/>
  <c r="CP448" i="48" s="1"/>
  <c r="CN514" i="48"/>
  <c r="CP514" i="48" s="1"/>
  <c r="CN523" i="48"/>
  <c r="CP523" i="48" s="1"/>
  <c r="CN513" i="48"/>
  <c r="CP513" i="48" s="1"/>
  <c r="CN997" i="48"/>
  <c r="CP997" i="48" s="1"/>
  <c r="CN891" i="48"/>
  <c r="CP891" i="48" s="1"/>
  <c r="CN818" i="48"/>
  <c r="CP818" i="48" s="1"/>
  <c r="CN864" i="48"/>
  <c r="CP864" i="48" s="1"/>
  <c r="CN1064" i="48"/>
  <c r="CP1064" i="48" s="1"/>
  <c r="CN440" i="48"/>
  <c r="CP440" i="48" s="1"/>
  <c r="CN1136" i="48"/>
  <c r="CP1136" i="48" s="1"/>
  <c r="CN139" i="48"/>
  <c r="CP139" i="48" s="1"/>
  <c r="CN640" i="48"/>
  <c r="CP640" i="48" s="1"/>
  <c r="CN68" i="48"/>
  <c r="CP68" i="48" s="1"/>
  <c r="CN299" i="48"/>
  <c r="CP299" i="48" s="1"/>
  <c r="CN767" i="48"/>
  <c r="CP767" i="48" s="1"/>
  <c r="CN739" i="48"/>
  <c r="CP739" i="48" s="1"/>
  <c r="CN643" i="48"/>
  <c r="CP643" i="48" s="1"/>
  <c r="CN46" i="48"/>
  <c r="CP46" i="48" s="1"/>
  <c r="CN1015" i="48"/>
  <c r="CP1015" i="48" s="1"/>
  <c r="CN687" i="48"/>
  <c r="CP687" i="48" s="1"/>
  <c r="CN1139" i="48"/>
  <c r="CP1139" i="48" s="1"/>
  <c r="CN315" i="48"/>
  <c r="CP315" i="48" s="1"/>
  <c r="CN813" i="48"/>
  <c r="CP813" i="48" s="1"/>
  <c r="CN295" i="48"/>
  <c r="CP295" i="48" s="1"/>
  <c r="CN724" i="48"/>
  <c r="CP724" i="48" s="1"/>
  <c r="CN945" i="48"/>
  <c r="CP945" i="48" s="1"/>
  <c r="CN220" i="48"/>
  <c r="CP220" i="48" s="1"/>
  <c r="CN938" i="48"/>
  <c r="CP938" i="48" s="1"/>
  <c r="CN711" i="48"/>
  <c r="CP711" i="48" s="1"/>
  <c r="CN17" i="48"/>
  <c r="CP17" i="48" s="1"/>
  <c r="CN769" i="48"/>
  <c r="CP769" i="48" s="1"/>
  <c r="CN345" i="48"/>
  <c r="CP345" i="48" s="1"/>
  <c r="CN419" i="48"/>
  <c r="CP419" i="48" s="1"/>
  <c r="CN572" i="48"/>
  <c r="CP572" i="48" s="1"/>
  <c r="CN1261" i="48"/>
  <c r="CP1261" i="48" s="1"/>
  <c r="CN146" i="48"/>
  <c r="CP146" i="48" s="1"/>
  <c r="CN812" i="48"/>
  <c r="CP812" i="48" s="1"/>
  <c r="CN1170" i="48"/>
  <c r="CP1170" i="48" s="1"/>
  <c r="CN811" i="48"/>
  <c r="CP811" i="48" s="1"/>
  <c r="CN243" i="48"/>
  <c r="CP243" i="48" s="1"/>
  <c r="CN1338" i="48"/>
  <c r="CP1338" i="48" s="1"/>
  <c r="CN1262" i="48"/>
  <c r="CP1262" i="48" s="1"/>
  <c r="CN436" i="48"/>
  <c r="CP436" i="48" s="1"/>
  <c r="CN1137" i="48"/>
  <c r="CP1137" i="48" s="1"/>
  <c r="CN340" i="48"/>
  <c r="CP340" i="48" s="1"/>
  <c r="CN725" i="48"/>
  <c r="CP725" i="48" s="1"/>
  <c r="CN565" i="48"/>
  <c r="CP565" i="48" s="1"/>
  <c r="CN723" i="48"/>
  <c r="CP723" i="48" s="1"/>
  <c r="CN993" i="48"/>
  <c r="CP993" i="48" s="1"/>
  <c r="CN1187" i="48"/>
  <c r="CP1187" i="48" s="1"/>
  <c r="CN264" i="48"/>
  <c r="CP264" i="48" s="1"/>
  <c r="CN573" i="48"/>
  <c r="CP573" i="48" s="1"/>
  <c r="CN1263" i="48"/>
  <c r="CP1263" i="48" s="1"/>
  <c r="CN944" i="48"/>
  <c r="CP944" i="48" s="1"/>
  <c r="CN1017" i="48"/>
  <c r="CP1017" i="48" s="1"/>
  <c r="CN449" i="48"/>
  <c r="CP449" i="48" s="1"/>
  <c r="CN772" i="48"/>
  <c r="CP772" i="48" s="1"/>
  <c r="CN824" i="48"/>
  <c r="CP824" i="48" s="1"/>
  <c r="CN1297" i="48"/>
  <c r="CP1297" i="48" s="1"/>
  <c r="CN191" i="48"/>
  <c r="CP191" i="48" s="1"/>
  <c r="CN170" i="48"/>
  <c r="CP170" i="48" s="1"/>
  <c r="CN215" i="48"/>
  <c r="CP215" i="48" s="1"/>
  <c r="CN70" i="48"/>
  <c r="CP70" i="48" s="1"/>
  <c r="CN292" i="48"/>
  <c r="CP292" i="48" s="1"/>
  <c r="CN1073" i="48"/>
  <c r="CP1073" i="48" s="1"/>
  <c r="CN887" i="48"/>
  <c r="CP887" i="48" s="1"/>
  <c r="CN786" i="48"/>
  <c r="CP786" i="48" s="1"/>
  <c r="CN37" i="48"/>
  <c r="CP37" i="48" s="1"/>
  <c r="CN438" i="48"/>
  <c r="CP438" i="48" s="1"/>
  <c r="CN1161" i="48"/>
  <c r="CP1161" i="48" s="1"/>
  <c r="CN118" i="48"/>
  <c r="CP118" i="48" s="1"/>
  <c r="CN695" i="48"/>
  <c r="CP695" i="48" s="1"/>
  <c r="CN1089" i="48"/>
  <c r="CP1089" i="48" s="1"/>
  <c r="CN462" i="48"/>
  <c r="CP462" i="48" s="1"/>
  <c r="CN999" i="48"/>
  <c r="CP999" i="48" s="1"/>
  <c r="CN362" i="48"/>
  <c r="CP362" i="48" s="1"/>
  <c r="CN1186" i="48"/>
  <c r="CP1186" i="48" s="1"/>
  <c r="CN918" i="48"/>
  <c r="CP918" i="48" s="1"/>
  <c r="CN1124" i="48"/>
  <c r="CP1124" i="48" s="1"/>
  <c r="CN968" i="48"/>
  <c r="CP968" i="48" s="1"/>
  <c r="CN800" i="48"/>
  <c r="CP800" i="48" s="1"/>
  <c r="CN975" i="48"/>
  <c r="CP975" i="48" s="1"/>
  <c r="CN499" i="48"/>
  <c r="CP499" i="48" s="1"/>
  <c r="CN463" i="48"/>
  <c r="CP463" i="48" s="1"/>
  <c r="CN764" i="48"/>
  <c r="CP764" i="48" s="1"/>
  <c r="CN1020" i="48"/>
  <c r="CP1020" i="48" s="1"/>
  <c r="CN962" i="48"/>
  <c r="CP962" i="48" s="1"/>
  <c r="CN1344" i="48"/>
  <c r="CP1344" i="48" s="1"/>
  <c r="CN45" i="48"/>
  <c r="CP45" i="48" s="1"/>
  <c r="CN1323" i="48"/>
  <c r="CP1323" i="48" s="1"/>
  <c r="CN224" i="48"/>
  <c r="CP224" i="48" s="1"/>
  <c r="CN275" i="48"/>
  <c r="CP275" i="48" s="1"/>
  <c r="CN564" i="48"/>
  <c r="CP564" i="48" s="1"/>
  <c r="CN1342" i="48"/>
  <c r="CP1342" i="48" s="1"/>
  <c r="CN1320" i="48"/>
  <c r="CP1320" i="48" s="1"/>
  <c r="CN41" i="48"/>
  <c r="CP41" i="48" s="1"/>
  <c r="CN1225" i="48"/>
  <c r="CP1225" i="48" s="1"/>
  <c r="CN1240" i="48"/>
  <c r="CP1240" i="48" s="1"/>
  <c r="CN421" i="48"/>
  <c r="CP421" i="48" s="1"/>
  <c r="CN498" i="48"/>
  <c r="CP498" i="48" s="1"/>
  <c r="CN865" i="48"/>
  <c r="CP865" i="48" s="1"/>
  <c r="CN461" i="48"/>
  <c r="CP461" i="48" s="1"/>
  <c r="CN674" i="48"/>
  <c r="CP674" i="48" s="1"/>
  <c r="CN763" i="48"/>
  <c r="CP763" i="48" s="1"/>
  <c r="CN91" i="48"/>
  <c r="CP91" i="48" s="1"/>
  <c r="CN119" i="48"/>
  <c r="CP119" i="48" s="1"/>
  <c r="CN65" i="48"/>
  <c r="CP65" i="48" s="1"/>
  <c r="CN271" i="48"/>
  <c r="CP271" i="48" s="1"/>
  <c r="CN641" i="48"/>
  <c r="CP641" i="48" s="1"/>
  <c r="CN437" i="48"/>
  <c r="CP437" i="48" s="1"/>
  <c r="CN920" i="48"/>
  <c r="CP920" i="48" s="1"/>
  <c r="CN693" i="48"/>
  <c r="CP693" i="48" s="1"/>
  <c r="CN93" i="48"/>
  <c r="CP93" i="48" s="1"/>
  <c r="CN143" i="48"/>
  <c r="CP143" i="48" s="1"/>
  <c r="CN814" i="48"/>
  <c r="CP814" i="48" s="1"/>
  <c r="CN149" i="48"/>
  <c r="CP149" i="48" s="1"/>
  <c r="CN311" i="48"/>
  <c r="CP311" i="48" s="1"/>
  <c r="CN348" i="48"/>
  <c r="CP348" i="48" s="1"/>
  <c r="CN492" i="48"/>
  <c r="CP492" i="48" s="1"/>
  <c r="CN124" i="48"/>
  <c r="CP124" i="48" s="1"/>
  <c r="CN213" i="48"/>
  <c r="CP213" i="48" s="1"/>
  <c r="CN668" i="48"/>
  <c r="CP668" i="48" s="1"/>
  <c r="CN522" i="48"/>
  <c r="CP522" i="48" s="1"/>
  <c r="CN699" i="48"/>
  <c r="CP699" i="48" s="1"/>
  <c r="CN946" i="48"/>
  <c r="CP946" i="48" s="1"/>
  <c r="CN989" i="48"/>
  <c r="CP989" i="48" s="1"/>
  <c r="CN1000" i="48"/>
  <c r="CP1000" i="48" s="1"/>
  <c r="CN937" i="48"/>
  <c r="CP937" i="48" s="1"/>
  <c r="CN398" i="48"/>
  <c r="CP398" i="48" s="1"/>
  <c r="CN922" i="48"/>
  <c r="CP922" i="48" s="1"/>
  <c r="CN491" i="48"/>
  <c r="CP491" i="48" s="1"/>
  <c r="CN322" i="48"/>
  <c r="CP322" i="48" s="1"/>
  <c r="CN521" i="48"/>
  <c r="CP521" i="48" s="1"/>
  <c r="CN961" i="48"/>
  <c r="CP961" i="48" s="1"/>
  <c r="CN400" i="48"/>
  <c r="CP400" i="48" s="1"/>
  <c r="CN1339" i="48"/>
  <c r="CP1339" i="48" s="1"/>
  <c r="CN417" i="48"/>
  <c r="CP417" i="48" s="1"/>
  <c r="CN262" i="48"/>
  <c r="CP262" i="48" s="1"/>
  <c r="CN320" i="48"/>
  <c r="CP320" i="48" s="1"/>
  <c r="CN497" i="48"/>
  <c r="CP497" i="48" s="1"/>
  <c r="CN216" i="48"/>
  <c r="CP216" i="48" s="1"/>
  <c r="CN1074" i="48"/>
  <c r="CP1074" i="48" s="1"/>
  <c r="CN1098" i="48"/>
  <c r="CP1098" i="48" s="1"/>
  <c r="CN100" i="48"/>
  <c r="CP100" i="48" s="1"/>
  <c r="CN97" i="48"/>
  <c r="CP97" i="48" s="1"/>
  <c r="CN1248" i="48"/>
  <c r="CP1248" i="48" s="1"/>
  <c r="CN563" i="48"/>
  <c r="CP563" i="48" s="1"/>
  <c r="CN540" i="48"/>
  <c r="CP540" i="48" s="1"/>
  <c r="CN288" i="48"/>
  <c r="CP288" i="48" s="1"/>
  <c r="CN722" i="48"/>
  <c r="CP722" i="48" s="1"/>
  <c r="CN1040" i="48"/>
  <c r="CP1040" i="48" s="1"/>
  <c r="CN543" i="48"/>
  <c r="CP543" i="48" s="1"/>
  <c r="CN948" i="48"/>
  <c r="CP948" i="48" s="1"/>
  <c r="CN411" i="48"/>
  <c r="CP411" i="48" s="1"/>
  <c r="CN765" i="48"/>
  <c r="CP765" i="48" s="1"/>
  <c r="CN144" i="48"/>
  <c r="CP144" i="48" s="1"/>
  <c r="CN222" i="48"/>
  <c r="CP222" i="48" s="1"/>
  <c r="CN441" i="48"/>
  <c r="CP441" i="48" s="1"/>
  <c r="CN566" i="48"/>
  <c r="CP566" i="48" s="1"/>
  <c r="CN1275" i="48"/>
  <c r="CP1275" i="48" s="1"/>
  <c r="CN964" i="48"/>
  <c r="CP964" i="48" s="1"/>
  <c r="CN165" i="48"/>
  <c r="CP165" i="48" s="1"/>
  <c r="CN1036" i="48"/>
  <c r="CP1036" i="48" s="1"/>
  <c r="CN318" i="48"/>
  <c r="CP318" i="48" s="1"/>
  <c r="CN1122" i="48"/>
  <c r="CP1122" i="48" s="1"/>
  <c r="CN700" i="48"/>
  <c r="CP700" i="48" s="1"/>
  <c r="CN613" i="48"/>
  <c r="CP613" i="48" s="1"/>
  <c r="CN366" i="48"/>
  <c r="CP366" i="48" s="1"/>
  <c r="CN487" i="48"/>
  <c r="CP487" i="48" s="1"/>
  <c r="CN624" i="48"/>
  <c r="CP624" i="48" s="1"/>
  <c r="CN1268" i="48"/>
  <c r="CP1268" i="48" s="1"/>
  <c r="CN300" i="48"/>
  <c r="CP300" i="48" s="1"/>
  <c r="CN375" i="48"/>
  <c r="CP375" i="48" s="1"/>
  <c r="CN621" i="48"/>
  <c r="CP621" i="48" s="1"/>
  <c r="CN970" i="48"/>
  <c r="CP970" i="48" s="1"/>
  <c r="CN848" i="48"/>
  <c r="CP848" i="48" s="1"/>
  <c r="CN697" i="48"/>
  <c r="CP697" i="48" s="1"/>
  <c r="CN296" i="48"/>
  <c r="CP296" i="48" s="1"/>
  <c r="CN888" i="48"/>
  <c r="CP888" i="48" s="1"/>
  <c r="CN637" i="48"/>
  <c r="CP637" i="48" s="1"/>
  <c r="CN1149" i="48"/>
  <c r="CP1149" i="48" s="1"/>
  <c r="CN688" i="48"/>
  <c r="CP688" i="48" s="1"/>
  <c r="CN174" i="48"/>
  <c r="CP174" i="48" s="1"/>
  <c r="CN325" i="48"/>
  <c r="CP325" i="48" s="1"/>
  <c r="CN995" i="48"/>
  <c r="CP995" i="48" s="1"/>
  <c r="CN862" i="48"/>
  <c r="CP862" i="48" s="1"/>
  <c r="CN593" i="48"/>
  <c r="CP593" i="48" s="1"/>
  <c r="CN1067" i="48"/>
  <c r="CP1067" i="48" s="1"/>
  <c r="CN1164" i="48"/>
  <c r="CP1164" i="48" s="1"/>
  <c r="CN974" i="48"/>
  <c r="CP974" i="48" s="1"/>
  <c r="CN1246" i="48"/>
  <c r="CP1246" i="48" s="1"/>
  <c r="CN1189" i="48"/>
  <c r="CP1189" i="48" s="1"/>
  <c r="CN397" i="48"/>
  <c r="CP397" i="48" s="1"/>
  <c r="CN493" i="48"/>
  <c r="CP493" i="48" s="1"/>
  <c r="CN48" i="48"/>
  <c r="CP48" i="48" s="1"/>
  <c r="CN1220" i="48"/>
  <c r="CP1220" i="48" s="1"/>
  <c r="CN675" i="48"/>
  <c r="CP675" i="48" s="1"/>
  <c r="CN294" i="48"/>
  <c r="CP294" i="48" s="1"/>
  <c r="CN1163" i="48"/>
  <c r="CP1163" i="48" s="1"/>
  <c r="CN265" i="48"/>
  <c r="CP265" i="48" s="1"/>
  <c r="CN873" i="48"/>
  <c r="CP873" i="48" s="1"/>
  <c r="CN1194" i="48"/>
  <c r="CP1194" i="48" s="1"/>
  <c r="CN823" i="48"/>
  <c r="CP823" i="48" s="1"/>
  <c r="CN391" i="48"/>
  <c r="CP391" i="48" s="1"/>
  <c r="CN338" i="48"/>
  <c r="CP338" i="48" s="1"/>
  <c r="CN996" i="48"/>
  <c r="CP996" i="48" s="1"/>
  <c r="CN414" i="48"/>
  <c r="CP414" i="48" s="1"/>
  <c r="CN1123" i="48"/>
  <c r="CP1123" i="48" s="1"/>
  <c r="CN519" i="48"/>
  <c r="CP519" i="48" s="1"/>
  <c r="CN73" i="48"/>
  <c r="CP73" i="48" s="1"/>
  <c r="CN787" i="48"/>
  <c r="CP787" i="48" s="1"/>
  <c r="CN290" i="48"/>
  <c r="CP290" i="48" s="1"/>
  <c r="CN1014" i="48"/>
  <c r="CP1014" i="48" s="1"/>
  <c r="CN464" i="48"/>
  <c r="CP464" i="48" s="1"/>
  <c r="CN287" i="48"/>
  <c r="CP287" i="48" s="1"/>
  <c r="CN1247" i="48"/>
  <c r="CP1247" i="48" s="1"/>
  <c r="CN1318" i="48"/>
  <c r="CP1318" i="48" s="1"/>
  <c r="CN1090" i="48"/>
  <c r="CP1090" i="48" s="1"/>
  <c r="CN1325" i="48"/>
  <c r="CP1325" i="48" s="1"/>
  <c r="CN1022" i="48"/>
  <c r="CP1022" i="48" s="1"/>
  <c r="CN349" i="48"/>
  <c r="CP349" i="48" s="1"/>
  <c r="CN272" i="48"/>
  <c r="CP272" i="48" s="1"/>
  <c r="CN386" i="48"/>
  <c r="CP386" i="48" s="1"/>
  <c r="CN1168" i="48"/>
  <c r="CP1168" i="48" s="1"/>
  <c r="CN1072" i="48"/>
  <c r="CP1072" i="48" s="1"/>
  <c r="CN137" i="48"/>
  <c r="CP137" i="48" s="1"/>
  <c r="CN268" i="48"/>
  <c r="CP268" i="48" s="1"/>
  <c r="CN720" i="48"/>
  <c r="CP720" i="48" s="1"/>
  <c r="CN196" i="48"/>
  <c r="CP196" i="48" s="1"/>
  <c r="CN597" i="48"/>
  <c r="CP597" i="48" s="1"/>
  <c r="CN1150" i="48"/>
  <c r="CP1150" i="48" s="1"/>
  <c r="CN795" i="48"/>
  <c r="CP795" i="48" s="1"/>
  <c r="CN691" i="48"/>
  <c r="CP691" i="48" s="1"/>
  <c r="CN161" i="48"/>
  <c r="CP161" i="48" s="1"/>
  <c r="CN248" i="48"/>
  <c r="CP248" i="48" s="1"/>
  <c r="CN116" i="48"/>
  <c r="CP116" i="48" s="1"/>
  <c r="CN293" i="48"/>
  <c r="CP293" i="48" s="1"/>
  <c r="CN524" i="48"/>
  <c r="CP524" i="48" s="1"/>
  <c r="CN940" i="48"/>
  <c r="CP940" i="48" s="1"/>
  <c r="CN615" i="48"/>
  <c r="CP615" i="48" s="1"/>
  <c r="CN188" i="48"/>
  <c r="CP188" i="48" s="1"/>
  <c r="CN363" i="48"/>
  <c r="CP363" i="48" s="1"/>
  <c r="CN350" i="48"/>
  <c r="CP350" i="48" s="1"/>
  <c r="CN147" i="48"/>
  <c r="CP147" i="48" s="1"/>
  <c r="CN1349" i="48"/>
  <c r="CP1349" i="48" s="1"/>
  <c r="CN596" i="48"/>
  <c r="CP596" i="48" s="1"/>
  <c r="CN618" i="48"/>
  <c r="CP618" i="48" s="1"/>
  <c r="CN450" i="48"/>
  <c r="CP450" i="48" s="1"/>
  <c r="CN644" i="48"/>
  <c r="CP644" i="48" s="1"/>
  <c r="CN387" i="48"/>
  <c r="CP387" i="48" s="1"/>
  <c r="CN692" i="48"/>
  <c r="CP692" i="48" s="1"/>
  <c r="CN1238" i="48"/>
  <c r="CP1238" i="48" s="1"/>
  <c r="CN16" i="48"/>
  <c r="CP16" i="48" s="1"/>
  <c r="CN390" i="48"/>
  <c r="CP390" i="48" s="1"/>
  <c r="CN571" i="48"/>
  <c r="CP571" i="48" s="1"/>
  <c r="CN591" i="48"/>
  <c r="CP591" i="48" s="1"/>
  <c r="CN1065" i="48"/>
  <c r="CP1065" i="48" s="1"/>
  <c r="CN163" i="48"/>
  <c r="CP163" i="48" s="1"/>
  <c r="CN389" i="48"/>
  <c r="CP389" i="48" s="1"/>
  <c r="CN14" i="48"/>
  <c r="CP14" i="48" s="1"/>
  <c r="CN517" i="48"/>
  <c r="CP517" i="48" s="1"/>
  <c r="CN619" i="48"/>
  <c r="CP619" i="48" s="1"/>
  <c r="CN1291" i="48"/>
  <c r="CP1291" i="48" s="1"/>
  <c r="CN1195" i="48"/>
  <c r="CP1195" i="48" s="1"/>
  <c r="CN1167" i="48"/>
  <c r="CP1167" i="48" s="1"/>
  <c r="CN64" i="48"/>
  <c r="CP64" i="48" s="1"/>
  <c r="CN820" i="48"/>
  <c r="CP820" i="48" s="1"/>
  <c r="CN145" i="48"/>
  <c r="CP145" i="48" s="1"/>
  <c r="CN963" i="48"/>
  <c r="CP963" i="48" s="1"/>
  <c r="CN42" i="48"/>
  <c r="CP42" i="48" s="1"/>
  <c r="CN469" i="48"/>
  <c r="CP469" i="48" s="1"/>
  <c r="CN1317" i="48"/>
  <c r="CP1317" i="48" s="1"/>
  <c r="CN472" i="48"/>
  <c r="CP472" i="48" s="1"/>
  <c r="CN1319" i="48"/>
  <c r="CP1319" i="48" s="1"/>
  <c r="CN850" i="48"/>
  <c r="CP850" i="48" s="1"/>
  <c r="CN750" i="48"/>
  <c r="CP750" i="48" s="1"/>
  <c r="CN740" i="48"/>
  <c r="CP740" i="48" s="1"/>
  <c r="CN549" i="48"/>
  <c r="CP549" i="48" s="1"/>
  <c r="CN273" i="48"/>
  <c r="CP273" i="48" s="1"/>
  <c r="CN1265" i="48"/>
  <c r="CP1265" i="48" s="1"/>
  <c r="CN890" i="48"/>
  <c r="CP890" i="48" s="1"/>
  <c r="CN868" i="48"/>
  <c r="CP868" i="48" s="1"/>
  <c r="CN1162" i="48"/>
  <c r="CP1162" i="48" s="1"/>
  <c r="CN840" i="48"/>
  <c r="CP840" i="48" s="1"/>
  <c r="CN1241" i="48"/>
  <c r="CP1241" i="48" s="1"/>
  <c r="CN263" i="48"/>
  <c r="CP263" i="48" s="1"/>
  <c r="CN18" i="48"/>
  <c r="CP18" i="48" s="1"/>
  <c r="CN96" i="48"/>
  <c r="CP96" i="48" s="1"/>
  <c r="CN246" i="48"/>
  <c r="CP246" i="48" s="1"/>
  <c r="CN1063" i="48"/>
  <c r="CP1063" i="48" s="1"/>
  <c r="CN212" i="48"/>
  <c r="CP212" i="48" s="1"/>
  <c r="CN941" i="48"/>
  <c r="CP941" i="48" s="1"/>
  <c r="CN1348" i="48"/>
  <c r="CP1348" i="48" s="1"/>
  <c r="CN1312" i="48"/>
  <c r="CP1312" i="48" s="1"/>
  <c r="CN987" i="48"/>
  <c r="CP987" i="48" s="1"/>
  <c r="CN991" i="48"/>
  <c r="CP991" i="48" s="1"/>
  <c r="CN1340" i="48"/>
  <c r="CP1340" i="48" s="1"/>
  <c r="CN748" i="48"/>
  <c r="CP748" i="48" s="1"/>
  <c r="CN923" i="48"/>
  <c r="CP923" i="48" s="1"/>
  <c r="CN870" i="48"/>
  <c r="CP870" i="48" s="1"/>
  <c r="CN744" i="48"/>
  <c r="CP744" i="48" s="1"/>
  <c r="CN44" i="48"/>
  <c r="CP44" i="48" s="1"/>
  <c r="CN214" i="48"/>
  <c r="CP214" i="48" s="1"/>
  <c r="CN568" i="48"/>
  <c r="CP568" i="48" s="1"/>
  <c r="CN943" i="48"/>
  <c r="CP943" i="48" s="1"/>
  <c r="CN665" i="48"/>
  <c r="CP665" i="48" s="1"/>
  <c r="CN190" i="48"/>
  <c r="CP190" i="48" s="1"/>
  <c r="CN570" i="48"/>
  <c r="CP570" i="48" s="1"/>
  <c r="CN39" i="48"/>
  <c r="CP39" i="48" s="1"/>
  <c r="CN1145" i="48"/>
  <c r="CP1145" i="48" s="1"/>
  <c r="CN1041" i="48"/>
  <c r="CP1041" i="48" s="1"/>
  <c r="CN489" i="48"/>
  <c r="CP489" i="48" s="1"/>
  <c r="CN125" i="48"/>
  <c r="CP125" i="48" s="1"/>
  <c r="CN238" i="48"/>
  <c r="CP238" i="48" s="1"/>
  <c r="CN269" i="48"/>
  <c r="CP269" i="48" s="1"/>
  <c r="CN62" i="48"/>
  <c r="CP62" i="48" s="1"/>
  <c r="CN138" i="48"/>
  <c r="CP138" i="48" s="1"/>
  <c r="CN445" i="48"/>
  <c r="CP445" i="48" s="1"/>
  <c r="CN667" i="48"/>
  <c r="CP667" i="48" s="1"/>
  <c r="CN1174" i="48"/>
  <c r="CP1174" i="48" s="1"/>
  <c r="CN19" i="48"/>
  <c r="CP19" i="48" s="1"/>
  <c r="CN1249" i="48"/>
  <c r="CP1249" i="48" s="1"/>
  <c r="CN344" i="48"/>
  <c r="CP344" i="48" s="1"/>
  <c r="CN242" i="48"/>
  <c r="CP242" i="48" s="1"/>
  <c r="CN617" i="48"/>
  <c r="CP617" i="48" s="1"/>
  <c r="CN1050" i="48"/>
  <c r="CP1050" i="48" s="1"/>
  <c r="CN1272" i="48"/>
  <c r="CP1272" i="48" s="1"/>
  <c r="CN112" i="48"/>
  <c r="CP112" i="48" s="1"/>
  <c r="CN515" i="48"/>
  <c r="CP515" i="48" s="1"/>
  <c r="CN187" i="48"/>
  <c r="CP187" i="48" s="1"/>
  <c r="CN544" i="48"/>
  <c r="CP544" i="48" s="1"/>
  <c r="CN40" i="48"/>
  <c r="CP40" i="48" s="1"/>
  <c r="CN347" i="48"/>
  <c r="CP347" i="48" s="1"/>
  <c r="CN1071" i="48"/>
  <c r="CP1071" i="48" s="1"/>
  <c r="CN69" i="48"/>
  <c r="CP69" i="48" s="1"/>
  <c r="CN900" i="48"/>
  <c r="CP900" i="48" s="1"/>
  <c r="CN199" i="48"/>
  <c r="CP199" i="48" s="1"/>
  <c r="BY1286" i="48"/>
  <c r="BY1290" i="48"/>
  <c r="BY1294" i="48"/>
  <c r="BY1298" i="48"/>
  <c r="BY1304" i="48"/>
  <c r="BY1308" i="48"/>
  <c r="BY1312" i="48"/>
  <c r="BY1316" i="48"/>
  <c r="BY1320" i="48"/>
  <c r="BY1324" i="48"/>
  <c r="BY1330" i="48"/>
  <c r="BY1334" i="48"/>
  <c r="BY1338" i="48"/>
  <c r="BY1342" i="48"/>
  <c r="BY1346" i="48"/>
  <c r="BY1350" i="48"/>
  <c r="BY10" i="48"/>
  <c r="BY14" i="48"/>
  <c r="BY18" i="48"/>
  <c r="BY22" i="48"/>
  <c r="BY28" i="48"/>
  <c r="BY32" i="48"/>
  <c r="BY36" i="48"/>
  <c r="BY40" i="48"/>
  <c r="BY44" i="48"/>
  <c r="BY48" i="48"/>
  <c r="BY54" i="48"/>
  <c r="BY58" i="48"/>
  <c r="BY62" i="48"/>
  <c r="BY66" i="48"/>
  <c r="BY70" i="48"/>
  <c r="BY74" i="48"/>
  <c r="BY80" i="48"/>
  <c r="BY84" i="48"/>
  <c r="BY88" i="48"/>
  <c r="BY92" i="48"/>
  <c r="BY96" i="48"/>
  <c r="BY100" i="48"/>
  <c r="BY106" i="48"/>
  <c r="BY110" i="48"/>
  <c r="BY114" i="48"/>
  <c r="BY118" i="48"/>
  <c r="BY122" i="48"/>
  <c r="BY128" i="48"/>
  <c r="BY132" i="48"/>
  <c r="BY136" i="48"/>
  <c r="BY140" i="48"/>
  <c r="BY144" i="48"/>
  <c r="BY148" i="48"/>
  <c r="BY154" i="48"/>
  <c r="BY158" i="48"/>
  <c r="BY162" i="48"/>
  <c r="BY166" i="48"/>
  <c r="BY170" i="48"/>
  <c r="BY174" i="48"/>
  <c r="BY180" i="48"/>
  <c r="BY184" i="48"/>
  <c r="BY188" i="48"/>
  <c r="BY192" i="48"/>
  <c r="BY196" i="48"/>
  <c r="BY200" i="48"/>
  <c r="BY206" i="48"/>
  <c r="BY210" i="48"/>
  <c r="BY214" i="48"/>
  <c r="BY218" i="48"/>
  <c r="BY222" i="48"/>
  <c r="BY228" i="48"/>
  <c r="BY232" i="48"/>
  <c r="BY236" i="48"/>
  <c r="BY240" i="48"/>
  <c r="BY244" i="48"/>
  <c r="BY248" i="48"/>
  <c r="BY254" i="48"/>
  <c r="BY258" i="48"/>
  <c r="BY262" i="48"/>
  <c r="BY266" i="48"/>
  <c r="BY270" i="48"/>
  <c r="BY274" i="48"/>
  <c r="BY280" i="48"/>
  <c r="BY284" i="48"/>
  <c r="BY288" i="48"/>
  <c r="BY292" i="48"/>
  <c r="BY296" i="48"/>
  <c r="BY300" i="48"/>
  <c r="BY306" i="48"/>
  <c r="BY310" i="48"/>
  <c r="BY314" i="48"/>
  <c r="BY318" i="48"/>
  <c r="BY322" i="48"/>
  <c r="BY329" i="48"/>
  <c r="BY333" i="48"/>
  <c r="BY337" i="48"/>
  <c r="BY341" i="48"/>
  <c r="BY345" i="48"/>
  <c r="BY349" i="48"/>
  <c r="BY355" i="48"/>
  <c r="BY359" i="48"/>
  <c r="BY363" i="48"/>
  <c r="BY367" i="48"/>
  <c r="BY371" i="48"/>
  <c r="BY375" i="48"/>
  <c r="BY381" i="48"/>
  <c r="BY385" i="48"/>
  <c r="BY389" i="48"/>
  <c r="BY393" i="48"/>
  <c r="BY397" i="48"/>
  <c r="BY403" i="48"/>
  <c r="BY407" i="48"/>
  <c r="BY411" i="48"/>
  <c r="BY415" i="48"/>
  <c r="BY419" i="48"/>
  <c r="BY423" i="48"/>
  <c r="BY429" i="48"/>
  <c r="BY433" i="48"/>
  <c r="BY437" i="48"/>
  <c r="BY441" i="48"/>
  <c r="BY445" i="48"/>
  <c r="BY449" i="48"/>
  <c r="BY455" i="48"/>
  <c r="BY459" i="48"/>
  <c r="BY463" i="48"/>
  <c r="BY467" i="48"/>
  <c r="BY471" i="48"/>
  <c r="BY475" i="48"/>
  <c r="BY481" i="48"/>
  <c r="BY485" i="48"/>
  <c r="BY489" i="48"/>
  <c r="BY493" i="48"/>
  <c r="BY497" i="48"/>
  <c r="BY504" i="48"/>
  <c r="BY508" i="48"/>
  <c r="BY512" i="48"/>
  <c r="BY516" i="48"/>
  <c r="BY520" i="48"/>
  <c r="BY524" i="48"/>
  <c r="BY530" i="48"/>
  <c r="BY534" i="48"/>
  <c r="BY538" i="48"/>
  <c r="BY542" i="48"/>
  <c r="BY546" i="48"/>
  <c r="BY550" i="48"/>
  <c r="BY556" i="48"/>
  <c r="BY560" i="48"/>
  <c r="BY564" i="48"/>
  <c r="BY568" i="48"/>
  <c r="BY572" i="48"/>
  <c r="BY578" i="48"/>
  <c r="BY582" i="48"/>
  <c r="BY586" i="48"/>
  <c r="BY590" i="48"/>
  <c r="BY594" i="48"/>
  <c r="BY598" i="48"/>
  <c r="BY1345" i="48"/>
  <c r="BY1288" i="48"/>
  <c r="BY1292" i="48"/>
  <c r="BY1296" i="48"/>
  <c r="BY1300" i="48"/>
  <c r="BY1306" i="48"/>
  <c r="BY1310" i="48"/>
  <c r="BY1314" i="48"/>
  <c r="BY1318" i="48"/>
  <c r="BY1322" i="48"/>
  <c r="BY1328" i="48"/>
  <c r="BY1332" i="48"/>
  <c r="BY1336" i="48"/>
  <c r="BY1340" i="48"/>
  <c r="BY1344" i="48"/>
  <c r="BY1348" i="48"/>
  <c r="BY604" i="48"/>
  <c r="BY608" i="48"/>
  <c r="BY612" i="48"/>
  <c r="BY616" i="48"/>
  <c r="BY620" i="48"/>
  <c r="BY624" i="48"/>
  <c r="BY630" i="48"/>
  <c r="BY634" i="48"/>
  <c r="BY638" i="48"/>
  <c r="BY642" i="48"/>
  <c r="BY646" i="48"/>
  <c r="BY1349" i="48"/>
  <c r="BY11" i="48"/>
  <c r="BY15" i="48"/>
  <c r="BY19" i="48"/>
  <c r="BY23" i="48"/>
  <c r="BY29" i="48"/>
  <c r="BY33" i="48"/>
  <c r="BY37" i="48"/>
  <c r="BY41" i="48"/>
  <c r="BY45" i="48"/>
  <c r="BY49" i="48"/>
  <c r="BY55" i="48"/>
  <c r="BY59" i="48"/>
  <c r="BY63" i="48"/>
  <c r="BY67" i="48"/>
  <c r="BY71" i="48"/>
  <c r="BY75" i="48"/>
  <c r="BY81" i="48"/>
  <c r="BY85" i="48"/>
  <c r="BY89" i="48"/>
  <c r="BY93" i="48"/>
  <c r="BY97" i="48"/>
  <c r="BY103" i="48"/>
  <c r="BY107" i="48"/>
  <c r="BY111" i="48"/>
  <c r="BY115" i="48"/>
  <c r="BY119" i="48"/>
  <c r="BY123" i="48"/>
  <c r="BY129" i="48"/>
  <c r="BY133" i="48"/>
  <c r="BY137" i="48"/>
  <c r="BY141" i="48"/>
  <c r="BY145" i="48"/>
  <c r="BY149" i="48"/>
  <c r="BY155" i="48"/>
  <c r="BY159" i="48"/>
  <c r="BY163" i="48"/>
  <c r="BY167" i="48"/>
  <c r="BY171" i="48"/>
  <c r="BY175" i="48"/>
  <c r="BY181" i="48"/>
  <c r="BY185" i="48"/>
  <c r="BY189" i="48"/>
  <c r="BY193" i="48"/>
  <c r="BY197" i="48"/>
  <c r="BY203" i="48"/>
  <c r="BY207" i="48"/>
  <c r="BY211" i="48"/>
  <c r="BY215" i="48"/>
  <c r="BY219" i="48"/>
  <c r="BY223" i="48"/>
  <c r="BY229" i="48"/>
  <c r="BY233" i="48"/>
  <c r="BY237" i="48"/>
  <c r="BY241" i="48"/>
  <c r="BY245" i="48"/>
  <c r="BY249" i="48"/>
  <c r="BY255" i="48"/>
  <c r="BY259" i="48"/>
  <c r="BY263" i="48"/>
  <c r="BY267" i="48"/>
  <c r="BY271" i="48"/>
  <c r="BY275" i="48"/>
  <c r="BY281" i="48"/>
  <c r="BY285" i="48"/>
  <c r="BY289" i="48"/>
  <c r="BY293" i="48"/>
  <c r="BY297" i="48"/>
  <c r="BY303" i="48"/>
  <c r="BY307" i="48"/>
  <c r="BY311" i="48"/>
  <c r="BY315" i="48"/>
  <c r="BY319" i="48"/>
  <c r="BY323" i="48"/>
  <c r="BY330" i="48"/>
  <c r="BY334" i="48"/>
  <c r="BY338" i="48"/>
  <c r="BY342" i="48"/>
  <c r="BY346" i="48"/>
  <c r="BY350" i="48"/>
  <c r="BY356" i="48"/>
  <c r="BY360" i="48"/>
  <c r="BY364" i="48"/>
  <c r="BY368" i="48"/>
  <c r="BY372" i="48"/>
  <c r="BY378" i="48"/>
  <c r="BY382" i="48"/>
  <c r="BY386" i="48"/>
  <c r="BY390" i="48"/>
  <c r="BY394" i="48"/>
  <c r="BY398" i="48"/>
  <c r="BY404" i="48"/>
  <c r="BY408" i="48"/>
  <c r="BY412" i="48"/>
  <c r="BY416" i="48"/>
  <c r="BY420" i="48"/>
  <c r="BY424" i="48"/>
  <c r="BY430" i="48"/>
  <c r="BY434" i="48"/>
  <c r="BY438" i="48"/>
  <c r="BY442" i="48"/>
  <c r="BY446" i="48"/>
  <c r="BY450" i="48"/>
  <c r="BY456" i="48"/>
  <c r="BY460" i="48"/>
  <c r="BY464" i="48"/>
  <c r="BY468" i="48"/>
  <c r="BY472" i="48"/>
  <c r="BY478" i="48"/>
  <c r="BY482" i="48"/>
  <c r="BY486" i="48"/>
  <c r="BY490" i="48"/>
  <c r="BY494" i="48"/>
  <c r="BY498" i="48"/>
  <c r="BY505" i="48"/>
  <c r="BY509" i="48"/>
  <c r="BY513" i="48"/>
  <c r="BY517" i="48"/>
  <c r="BY521" i="48"/>
  <c r="BY525" i="48"/>
  <c r="BY531" i="48"/>
  <c r="BY535" i="48"/>
  <c r="BY539" i="48"/>
  <c r="BY543" i="48"/>
  <c r="BY547" i="48"/>
  <c r="BY553" i="48"/>
  <c r="BY557" i="48"/>
  <c r="BY561" i="48"/>
  <c r="BY565" i="48"/>
  <c r="BY569" i="48"/>
  <c r="BY573" i="48"/>
  <c r="BY579" i="48"/>
  <c r="BY583" i="48"/>
  <c r="BY587" i="48"/>
  <c r="BY591" i="48"/>
  <c r="BY595" i="48"/>
  <c r="BY599" i="48"/>
  <c r="BY605" i="48"/>
  <c r="BY609" i="48"/>
  <c r="BY613" i="48"/>
  <c r="BY617" i="48"/>
  <c r="BY621" i="48"/>
  <c r="BY625" i="48"/>
  <c r="BY631" i="48"/>
  <c r="BY635" i="48"/>
  <c r="BY639" i="48"/>
  <c r="BY643" i="48"/>
  <c r="BY647" i="48"/>
  <c r="BY653" i="48"/>
  <c r="BY657" i="48"/>
  <c r="BY661" i="48"/>
  <c r="BY665" i="48"/>
  <c r="BY669" i="48"/>
  <c r="BY673" i="48"/>
  <c r="BY679" i="48"/>
  <c r="BY683" i="48"/>
  <c r="BY687" i="48"/>
  <c r="BY691" i="48"/>
  <c r="BY695" i="48"/>
  <c r="BY699" i="48"/>
  <c r="BY705" i="48"/>
  <c r="BY709" i="48"/>
  <c r="BY713" i="48"/>
  <c r="BY717" i="48"/>
  <c r="BY721" i="48"/>
  <c r="BY725" i="48"/>
  <c r="BY731" i="48"/>
  <c r="BY735" i="48"/>
  <c r="BY739" i="48"/>
  <c r="BY743" i="48"/>
  <c r="BY747" i="48"/>
  <c r="BY753" i="48"/>
  <c r="BY757" i="48"/>
  <c r="BY761" i="48"/>
  <c r="BY765" i="48"/>
  <c r="BY769" i="48"/>
  <c r="BY773" i="48"/>
  <c r="BY779" i="48"/>
  <c r="BY783" i="48"/>
  <c r="BY787" i="48"/>
  <c r="BY791" i="48"/>
  <c r="BY795" i="48"/>
  <c r="BY799" i="48"/>
  <c r="BY806" i="48"/>
  <c r="BY810" i="48"/>
  <c r="BY814" i="48"/>
  <c r="BY818" i="48"/>
  <c r="BY822" i="48"/>
  <c r="BY828" i="48"/>
  <c r="BY832" i="48"/>
  <c r="BY836" i="48"/>
  <c r="BY840" i="48"/>
  <c r="BY844" i="48"/>
  <c r="BY848" i="48"/>
  <c r="BY855" i="48"/>
  <c r="BY859" i="48"/>
  <c r="BY863" i="48"/>
  <c r="BY867" i="48"/>
  <c r="BY871" i="48"/>
  <c r="BY875" i="48"/>
  <c r="BY881" i="48"/>
  <c r="BY885" i="48"/>
  <c r="BY889" i="48"/>
  <c r="BY893" i="48"/>
  <c r="BY897" i="48"/>
  <c r="BY903" i="48"/>
  <c r="BY907" i="48"/>
  <c r="BY911" i="48"/>
  <c r="BY915" i="48"/>
  <c r="BY919" i="48"/>
  <c r="BY923" i="48"/>
  <c r="BY929" i="48"/>
  <c r="BY933" i="48"/>
  <c r="BY937" i="48"/>
  <c r="BY1293" i="48"/>
  <c r="BY1297" i="48"/>
  <c r="BY1303" i="48"/>
  <c r="BY1307" i="48"/>
  <c r="BY1311" i="48"/>
  <c r="BY1315" i="48"/>
  <c r="BY1319" i="48"/>
  <c r="BY1323" i="48"/>
  <c r="BY1329" i="48"/>
  <c r="BY1333" i="48"/>
  <c r="BY1337" i="48"/>
  <c r="BY1341" i="48"/>
  <c r="BY941" i="48"/>
  <c r="BY945" i="48"/>
  <c r="BY949" i="48"/>
  <c r="BY955" i="48"/>
  <c r="BY959" i="48"/>
  <c r="BY963" i="48"/>
  <c r="BY967" i="48"/>
  <c r="BY971" i="48"/>
  <c r="BY975" i="48"/>
  <c r="BY981" i="48"/>
  <c r="BY985" i="48"/>
  <c r="BY989" i="48"/>
  <c r="BY993" i="48"/>
  <c r="BY997" i="48"/>
  <c r="BY1003" i="48"/>
  <c r="BY1007" i="48"/>
  <c r="BY1011" i="48"/>
  <c r="BY1015" i="48"/>
  <c r="BY1019" i="48"/>
  <c r="BY1023" i="48"/>
  <c r="BY1029" i="48"/>
  <c r="BY1033" i="48"/>
  <c r="BY1037" i="48"/>
  <c r="BY1041" i="48"/>
  <c r="BY1045" i="48"/>
  <c r="BY1049" i="48"/>
  <c r="BY1055" i="48"/>
  <c r="BY1059" i="48"/>
  <c r="BY1063" i="48"/>
  <c r="BY1067" i="48"/>
  <c r="BY1071" i="48"/>
  <c r="BY1081" i="48"/>
  <c r="BY1085" i="48"/>
  <c r="BY1089" i="48"/>
  <c r="BY1093" i="48"/>
  <c r="BY1097" i="48"/>
  <c r="BY1103" i="48"/>
  <c r="BY1107" i="48"/>
  <c r="BY1111" i="48"/>
  <c r="BY1115" i="48"/>
  <c r="BY1119" i="48"/>
  <c r="BY1123" i="48"/>
  <c r="BY1130" i="48"/>
  <c r="BY1134" i="48"/>
  <c r="BY1138" i="48"/>
  <c r="BY1142" i="48"/>
  <c r="BY1146" i="48"/>
  <c r="BY1150" i="48"/>
  <c r="BY1156" i="48"/>
  <c r="BY1160" i="48"/>
  <c r="BY1164" i="48"/>
  <c r="BY1168" i="48"/>
  <c r="BY1172" i="48"/>
  <c r="BY1178" i="48"/>
  <c r="BY1182" i="48"/>
  <c r="BY1186" i="48"/>
  <c r="BY1190" i="48"/>
  <c r="BY1194" i="48"/>
  <c r="BY1198" i="48"/>
  <c r="BY1204" i="48"/>
  <c r="BY1208" i="48"/>
  <c r="BY1212" i="48"/>
  <c r="BY1216" i="48"/>
  <c r="BY1220" i="48"/>
  <c r="BY1224" i="48"/>
  <c r="BY1230" i="48"/>
  <c r="BY1234" i="48"/>
  <c r="BY1238" i="48"/>
  <c r="BY1242" i="48"/>
  <c r="BY1246" i="48"/>
  <c r="BY1250" i="48"/>
  <c r="BY1256" i="48"/>
  <c r="BY1260" i="48"/>
  <c r="BY1264" i="48"/>
  <c r="BY1268" i="48"/>
  <c r="BY1272" i="48"/>
  <c r="BY1278" i="48"/>
  <c r="BY1282" i="48"/>
  <c r="BY13" i="48"/>
  <c r="BY17" i="48"/>
  <c r="BY21" i="48"/>
  <c r="BY25" i="48"/>
  <c r="BY31" i="48"/>
  <c r="BY35" i="48"/>
  <c r="BY39" i="48"/>
  <c r="BY43" i="48"/>
  <c r="BY47" i="48"/>
  <c r="BY53" i="48"/>
  <c r="BY57" i="48"/>
  <c r="BY61" i="48"/>
  <c r="BY65" i="48"/>
  <c r="BY69" i="48"/>
  <c r="BY73" i="48"/>
  <c r="BY79" i="48"/>
  <c r="BY83" i="48"/>
  <c r="BY87" i="48"/>
  <c r="BY91" i="48"/>
  <c r="BY95" i="48"/>
  <c r="BY99" i="48"/>
  <c r="BY105" i="48"/>
  <c r="BY109" i="48"/>
  <c r="BY113" i="48"/>
  <c r="BY117" i="48"/>
  <c r="BY121" i="48"/>
  <c r="BY125" i="48"/>
  <c r="BY131" i="48"/>
  <c r="BY135" i="48"/>
  <c r="BY139" i="48"/>
  <c r="BY143" i="48"/>
  <c r="BY147" i="48"/>
  <c r="BY153" i="48"/>
  <c r="BY157" i="48"/>
  <c r="BY161" i="48"/>
  <c r="BY165" i="48"/>
  <c r="BY169" i="48"/>
  <c r="BY173" i="48"/>
  <c r="BY179" i="48"/>
  <c r="BY183" i="48"/>
  <c r="BY187" i="48"/>
  <c r="BY191" i="48"/>
  <c r="BY195" i="48"/>
  <c r="BY199" i="48"/>
  <c r="BY205" i="48"/>
  <c r="BY209" i="48"/>
  <c r="BY213" i="48"/>
  <c r="BY217" i="48"/>
  <c r="BY221" i="48"/>
  <c r="BY225" i="48"/>
  <c r="BY231" i="48"/>
  <c r="BY235" i="48"/>
  <c r="BY239" i="48"/>
  <c r="BY243" i="48"/>
  <c r="BY247" i="48"/>
  <c r="BY253" i="48"/>
  <c r="BY257" i="48"/>
  <c r="BY261" i="48"/>
  <c r="BY265" i="48"/>
  <c r="BY269" i="48"/>
  <c r="BY273" i="48"/>
  <c r="BY279" i="48"/>
  <c r="BY283" i="48"/>
  <c r="BY287" i="48"/>
  <c r="BY291" i="48"/>
  <c r="BY295" i="48"/>
  <c r="BY299" i="48"/>
  <c r="BY305" i="48"/>
  <c r="BY309" i="48"/>
  <c r="BY313" i="48"/>
  <c r="BY317" i="48"/>
  <c r="BY321" i="48"/>
  <c r="BY325" i="48"/>
  <c r="BY328" i="48"/>
  <c r="BY332" i="48"/>
  <c r="BY336" i="48"/>
  <c r="BY340" i="48"/>
  <c r="BY344" i="48"/>
  <c r="BY348" i="48"/>
  <c r="BY354" i="48"/>
  <c r="BY358" i="48"/>
  <c r="BY362" i="48"/>
  <c r="BY366" i="48"/>
  <c r="BY370" i="48"/>
  <c r="BY374" i="48"/>
  <c r="BY380" i="48"/>
  <c r="BY384" i="48"/>
  <c r="BY388" i="48"/>
  <c r="BY392" i="48"/>
  <c r="BY396" i="48"/>
  <c r="BY400" i="48"/>
  <c r="BY406" i="48"/>
  <c r="BY410" i="48"/>
  <c r="BY414" i="48"/>
  <c r="BY418" i="48"/>
  <c r="BY422" i="48"/>
  <c r="BY428" i="48"/>
  <c r="BY432" i="48"/>
  <c r="BY436" i="48"/>
  <c r="BY440" i="48"/>
  <c r="BY444" i="48"/>
  <c r="BY448" i="48"/>
  <c r="BY454" i="48"/>
  <c r="BY458" i="48"/>
  <c r="BY462" i="48"/>
  <c r="BY466" i="48"/>
  <c r="BY470" i="48"/>
  <c r="BY474" i="48"/>
  <c r="BY480" i="48"/>
  <c r="BY484" i="48"/>
  <c r="BY488" i="48"/>
  <c r="BY492" i="48"/>
  <c r="BY496" i="48"/>
  <c r="BY500" i="48"/>
  <c r="BY503" i="48"/>
  <c r="BY507" i="48"/>
  <c r="BY511" i="48"/>
  <c r="BY515" i="48"/>
  <c r="BY519" i="48"/>
  <c r="BY523" i="48"/>
  <c r="BY529" i="48"/>
  <c r="BY533" i="48"/>
  <c r="BY537" i="48"/>
  <c r="BY541" i="48"/>
  <c r="BY545" i="48"/>
  <c r="BY549" i="48"/>
  <c r="BY555" i="48"/>
  <c r="BY559" i="48"/>
  <c r="BY563" i="48"/>
  <c r="BY567" i="48"/>
  <c r="BY571" i="48"/>
  <c r="BY575" i="48"/>
  <c r="BY581" i="48"/>
  <c r="BY585" i="48"/>
  <c r="BY589" i="48"/>
  <c r="BY593" i="48"/>
  <c r="BY597" i="48"/>
  <c r="BY603" i="48"/>
  <c r="BY607" i="48"/>
  <c r="BY611" i="48"/>
  <c r="BY615" i="48"/>
  <c r="BY619" i="48"/>
  <c r="BY623" i="48"/>
  <c r="BY629" i="48"/>
  <c r="BY633" i="48"/>
  <c r="BY637" i="48"/>
  <c r="BY641" i="48"/>
  <c r="BY645" i="48"/>
  <c r="BY649" i="48"/>
  <c r="BY655" i="48"/>
  <c r="BY659" i="48"/>
  <c r="BY663" i="48"/>
  <c r="BY667" i="48"/>
  <c r="BY671" i="48"/>
  <c r="BY675" i="48"/>
  <c r="BY681" i="48"/>
  <c r="BY685" i="48"/>
  <c r="BY12" i="48"/>
  <c r="BY16" i="48"/>
  <c r="BY20" i="48"/>
  <c r="BY24" i="48"/>
  <c r="BY30" i="48"/>
  <c r="BY34" i="48"/>
  <c r="BY38" i="48"/>
  <c r="BY42" i="48"/>
  <c r="BY46" i="48"/>
  <c r="BY50" i="48"/>
  <c r="BY56" i="48"/>
  <c r="BY60" i="48"/>
  <c r="BY64" i="48"/>
  <c r="BY68" i="48"/>
  <c r="BY72" i="48"/>
  <c r="BY82" i="48"/>
  <c r="BY86" i="48"/>
  <c r="BY90" i="48"/>
  <c r="BY94" i="48"/>
  <c r="BY98" i="48"/>
  <c r="BY104" i="48"/>
  <c r="BY108" i="48"/>
  <c r="BY112" i="48"/>
  <c r="BY116" i="48"/>
  <c r="BY120" i="48"/>
  <c r="BY124" i="48"/>
  <c r="BY130" i="48"/>
  <c r="BY134" i="48"/>
  <c r="BY138" i="48"/>
  <c r="BY142" i="48"/>
  <c r="BY146" i="48"/>
  <c r="BY150" i="48"/>
  <c r="BY156" i="48"/>
  <c r="BY160" i="48"/>
  <c r="BY164" i="48"/>
  <c r="BY168" i="48"/>
  <c r="BY172" i="48"/>
  <c r="BY178" i="48"/>
  <c r="BY182" i="48"/>
  <c r="BY186" i="48"/>
  <c r="BY190" i="48"/>
  <c r="BY194" i="48"/>
  <c r="BY198" i="48"/>
  <c r="BY204" i="48"/>
  <c r="BY208" i="48"/>
  <c r="BY212" i="48"/>
  <c r="BY216" i="48"/>
  <c r="BY220" i="48"/>
  <c r="BY224" i="48"/>
  <c r="BY230" i="48"/>
  <c r="BY234" i="48"/>
  <c r="BY238" i="48"/>
  <c r="BY242" i="48"/>
  <c r="BY246" i="48"/>
  <c r="BY256" i="48"/>
  <c r="BY260" i="48"/>
  <c r="BY264" i="48"/>
  <c r="BY268" i="48"/>
  <c r="BY272" i="48"/>
  <c r="BY278" i="48"/>
  <c r="BY282" i="48"/>
  <c r="BY286" i="48"/>
  <c r="BY290" i="48"/>
  <c r="BY294" i="48"/>
  <c r="BY298" i="48"/>
  <c r="BY304" i="48"/>
  <c r="BY308" i="48"/>
  <c r="BY312" i="48"/>
  <c r="BY316" i="48"/>
  <c r="BY320" i="48"/>
  <c r="BY324" i="48"/>
  <c r="BY331" i="48"/>
  <c r="BY335" i="48"/>
  <c r="BY339" i="48"/>
  <c r="BY343" i="48"/>
  <c r="BY347" i="48"/>
  <c r="BY353" i="48"/>
  <c r="BY357" i="48"/>
  <c r="BY361" i="48"/>
  <c r="BY365" i="48"/>
  <c r="BY369" i="48"/>
  <c r="BY373" i="48"/>
  <c r="BY379" i="48"/>
  <c r="BY383" i="48"/>
  <c r="BY387" i="48"/>
  <c r="BY391" i="48"/>
  <c r="BY395" i="48"/>
  <c r="BY399" i="48"/>
  <c r="BY405" i="48"/>
  <c r="BY409" i="48"/>
  <c r="BY413" i="48"/>
  <c r="BY417" i="48"/>
  <c r="BY421" i="48"/>
  <c r="BY425" i="48"/>
  <c r="BY431" i="48"/>
  <c r="BY435" i="48"/>
  <c r="BY439" i="48"/>
  <c r="BY443" i="48"/>
  <c r="BY447" i="48"/>
  <c r="BY453" i="48"/>
  <c r="BY457" i="48"/>
  <c r="BY461" i="48"/>
  <c r="BY465" i="48"/>
  <c r="BY469" i="48"/>
  <c r="BY473" i="48"/>
  <c r="BY479" i="48"/>
  <c r="BY483" i="48"/>
  <c r="BY487" i="48"/>
  <c r="BY491" i="48"/>
  <c r="BY495" i="48"/>
  <c r="BY499" i="48"/>
  <c r="BY506" i="48"/>
  <c r="BY510" i="48"/>
  <c r="BY514" i="48"/>
  <c r="BY518" i="48"/>
  <c r="BY522" i="48"/>
  <c r="BY528" i="48"/>
  <c r="BY532" i="48"/>
  <c r="BY536" i="48"/>
  <c r="BY540" i="48"/>
  <c r="BY544" i="48"/>
  <c r="BY548" i="48"/>
  <c r="BY554" i="48"/>
  <c r="BY558" i="48"/>
  <c r="BY562" i="48"/>
  <c r="BY566" i="48"/>
  <c r="BY570" i="48"/>
  <c r="BY574" i="48"/>
  <c r="BY580" i="48"/>
  <c r="BY584" i="48"/>
  <c r="BY588" i="48"/>
  <c r="BY592" i="48"/>
  <c r="BY596" i="48"/>
  <c r="BY600" i="48"/>
  <c r="BY606" i="48"/>
  <c r="BY610" i="48"/>
  <c r="BY614" i="48"/>
  <c r="BY618" i="48"/>
  <c r="BY622" i="48"/>
  <c r="BY628" i="48"/>
  <c r="BY632" i="48"/>
  <c r="BY636" i="48"/>
  <c r="BY640" i="48"/>
  <c r="BY689" i="48"/>
  <c r="BY693" i="48"/>
  <c r="BY697" i="48"/>
  <c r="BY703" i="48"/>
  <c r="BY707" i="48"/>
  <c r="BY711" i="48"/>
  <c r="BY715" i="48"/>
  <c r="BY719" i="48"/>
  <c r="BY723" i="48"/>
  <c r="BY729" i="48"/>
  <c r="BY733" i="48"/>
  <c r="BY737" i="48"/>
  <c r="BY741" i="48"/>
  <c r="BY745" i="48"/>
  <c r="BY749" i="48"/>
  <c r="BY755" i="48"/>
  <c r="BY759" i="48"/>
  <c r="BY763" i="48"/>
  <c r="BY767" i="48"/>
  <c r="BY771" i="48"/>
  <c r="BY775" i="48"/>
  <c r="BY781" i="48"/>
  <c r="BY785" i="48"/>
  <c r="BY789" i="48"/>
  <c r="BY793" i="48"/>
  <c r="BY797" i="48"/>
  <c r="BY804" i="48"/>
  <c r="BY808" i="48"/>
  <c r="BY812" i="48"/>
  <c r="BY816" i="48"/>
  <c r="BY820" i="48"/>
  <c r="BY824" i="48"/>
  <c r="BY830" i="48"/>
  <c r="BY834" i="48"/>
  <c r="BY838" i="48"/>
  <c r="BY842" i="48"/>
  <c r="BY846" i="48"/>
  <c r="BY850" i="48"/>
  <c r="BY853" i="48"/>
  <c r="BY857" i="48"/>
  <c r="BY861" i="48"/>
  <c r="BY865" i="48"/>
  <c r="BY869" i="48"/>
  <c r="BY873" i="48"/>
  <c r="BY879" i="48"/>
  <c r="BY883" i="48"/>
  <c r="BY887" i="48"/>
  <c r="BY891" i="48"/>
  <c r="BY895" i="48"/>
  <c r="BY899" i="48"/>
  <c r="BY905" i="48"/>
  <c r="BY909" i="48"/>
  <c r="BY913" i="48"/>
  <c r="BY917" i="48"/>
  <c r="BY921" i="48"/>
  <c r="BY925" i="48"/>
  <c r="BY931" i="48"/>
  <c r="BY935" i="48"/>
  <c r="BY939" i="48"/>
  <c r="BY943" i="48"/>
  <c r="BY947" i="48"/>
  <c r="BY953" i="48"/>
  <c r="BY957" i="48"/>
  <c r="BY961" i="48"/>
  <c r="BY965" i="48"/>
  <c r="BY969" i="48"/>
  <c r="BY973" i="48"/>
  <c r="BY979" i="48"/>
  <c r="BY983" i="48"/>
  <c r="BY987" i="48"/>
  <c r="BY991" i="48"/>
  <c r="BY995" i="48"/>
  <c r="BY999" i="48"/>
  <c r="BY1005" i="48"/>
  <c r="BY650" i="48"/>
  <c r="BY656" i="48"/>
  <c r="BY660" i="48"/>
  <c r="BY664" i="48"/>
  <c r="BY668" i="48"/>
  <c r="BY672" i="48"/>
  <c r="BY678" i="48"/>
  <c r="BY682" i="48"/>
  <c r="BY686" i="48"/>
  <c r="BY690" i="48"/>
  <c r="BY694" i="48"/>
  <c r="BY698" i="48"/>
  <c r="BY704" i="48"/>
  <c r="BY708" i="48"/>
  <c r="BY712" i="48"/>
  <c r="BY716" i="48"/>
  <c r="BY720" i="48"/>
  <c r="BY724" i="48"/>
  <c r="BY730" i="48"/>
  <c r="BY734" i="48"/>
  <c r="BY738" i="48"/>
  <c r="BY742" i="48"/>
  <c r="BY746" i="48"/>
  <c r="BY750" i="48"/>
  <c r="BY756" i="48"/>
  <c r="BY760" i="48"/>
  <c r="BY764" i="48"/>
  <c r="BY768" i="48"/>
  <c r="BY772" i="48"/>
  <c r="BY778" i="48"/>
  <c r="BY782" i="48"/>
  <c r="BY786" i="48"/>
  <c r="BY790" i="48"/>
  <c r="BY794" i="48"/>
  <c r="BY798" i="48"/>
  <c r="BY805" i="48"/>
  <c r="BY809" i="48"/>
  <c r="BY813" i="48"/>
  <c r="BY817" i="48"/>
  <c r="BY821" i="48"/>
  <c r="BY825" i="48"/>
  <c r="BY831" i="48"/>
  <c r="BY835" i="48"/>
  <c r="BY839" i="48"/>
  <c r="BY843" i="48"/>
  <c r="BY847" i="48"/>
  <c r="BY854" i="48"/>
  <c r="BY858" i="48"/>
  <c r="BY862" i="48"/>
  <c r="BY866" i="48"/>
  <c r="BY870" i="48"/>
  <c r="BY874" i="48"/>
  <c r="BY880" i="48"/>
  <c r="BY884" i="48"/>
  <c r="BY888" i="48"/>
  <c r="BY892" i="48"/>
  <c r="BY896" i="48"/>
  <c r="BY900" i="48"/>
  <c r="BY906" i="48"/>
  <c r="BY910" i="48"/>
  <c r="BY914" i="48"/>
  <c r="BY918" i="48"/>
  <c r="BY922" i="48"/>
  <c r="BY928" i="48"/>
  <c r="BY932" i="48"/>
  <c r="BY936" i="48"/>
  <c r="BY940" i="48"/>
  <c r="BY944" i="48"/>
  <c r="BY644" i="48"/>
  <c r="BY648" i="48"/>
  <c r="BY654" i="48"/>
  <c r="BY658" i="48"/>
  <c r="BY662" i="48"/>
  <c r="BY666" i="48"/>
  <c r="BY670" i="48"/>
  <c r="BY674" i="48"/>
  <c r="BY680" i="48"/>
  <c r="BY684" i="48"/>
  <c r="BY688" i="48"/>
  <c r="BY692" i="48"/>
  <c r="BY696" i="48"/>
  <c r="BY700" i="48"/>
  <c r="BY706" i="48"/>
  <c r="BY710" i="48"/>
  <c r="BY714" i="48"/>
  <c r="BY718" i="48"/>
  <c r="BY722" i="48"/>
  <c r="BY728" i="48"/>
  <c r="BY732" i="48"/>
  <c r="BY736" i="48"/>
  <c r="BY740" i="48"/>
  <c r="BY744" i="48"/>
  <c r="BY748" i="48"/>
  <c r="BY754" i="48"/>
  <c r="BY758" i="48"/>
  <c r="BY762" i="48"/>
  <c r="BY766" i="48"/>
  <c r="BY770" i="48"/>
  <c r="BY774" i="48"/>
  <c r="BY780" i="48"/>
  <c r="BY784" i="48"/>
  <c r="BY788" i="48"/>
  <c r="BY792" i="48"/>
  <c r="BY796" i="48"/>
  <c r="BY800" i="48"/>
  <c r="BY803" i="48"/>
  <c r="BY807" i="48"/>
  <c r="BY811" i="48"/>
  <c r="BY815" i="48"/>
  <c r="BY819" i="48"/>
  <c r="BY823" i="48"/>
  <c r="BY829" i="48"/>
  <c r="BY833" i="48"/>
  <c r="BY837" i="48"/>
  <c r="BY841" i="48"/>
  <c r="BY845" i="48"/>
  <c r="BY849" i="48"/>
  <c r="BY856" i="48"/>
  <c r="BY860" i="48"/>
  <c r="BY864" i="48"/>
  <c r="BY868" i="48"/>
  <c r="BY872" i="48"/>
  <c r="BY878" i="48"/>
  <c r="BY882" i="48"/>
  <c r="BY886" i="48"/>
  <c r="BY890" i="48"/>
  <c r="BY894" i="48"/>
  <c r="BY898" i="48"/>
  <c r="BY904" i="48"/>
  <c r="BY908" i="48"/>
  <c r="BY912" i="48"/>
  <c r="BY916" i="48"/>
  <c r="BY920" i="48"/>
  <c r="BY924" i="48"/>
  <c r="BY930" i="48"/>
  <c r="BY934" i="48"/>
  <c r="BY938" i="48"/>
  <c r="BY942" i="48"/>
  <c r="BY1009" i="48"/>
  <c r="BY1013" i="48"/>
  <c r="BY1017" i="48"/>
  <c r="BY1021" i="48"/>
  <c r="BY1025" i="48"/>
  <c r="BY1031" i="48"/>
  <c r="BY1035" i="48"/>
  <c r="BY1039" i="48"/>
  <c r="BY1043" i="48"/>
  <c r="BY1047" i="48"/>
  <c r="BY1053" i="48"/>
  <c r="BY1057" i="48"/>
  <c r="BY1061" i="48"/>
  <c r="BY1065" i="48"/>
  <c r="BY1069" i="48"/>
  <c r="BY1073" i="48"/>
  <c r="BY1083" i="48"/>
  <c r="BY1087" i="48"/>
  <c r="BY1091" i="48"/>
  <c r="BY1095" i="48"/>
  <c r="BY1099" i="48"/>
  <c r="BY1105" i="48"/>
  <c r="BY1109" i="48"/>
  <c r="BY1113" i="48"/>
  <c r="BY1117" i="48"/>
  <c r="BY1121" i="48"/>
  <c r="BY1125" i="48"/>
  <c r="BY1128" i="48"/>
  <c r="BY1132" i="48"/>
  <c r="BY1136" i="48"/>
  <c r="BY1140" i="48"/>
  <c r="BY1144" i="48"/>
  <c r="BY1148" i="48"/>
  <c r="BY1154" i="48"/>
  <c r="BY1158" i="48"/>
  <c r="BY1162" i="48"/>
  <c r="BY1166" i="48"/>
  <c r="BY1170" i="48"/>
  <c r="BY1174" i="48"/>
  <c r="BY1180" i="48"/>
  <c r="BY1184" i="48"/>
  <c r="BY1188" i="48"/>
  <c r="BY1192" i="48"/>
  <c r="BY1196" i="48"/>
  <c r="BY1200" i="48"/>
  <c r="BY1206" i="48"/>
  <c r="BY1210" i="48"/>
  <c r="BY1214" i="48"/>
  <c r="BY1218" i="48"/>
  <c r="BY1222" i="48"/>
  <c r="BY1228" i="48"/>
  <c r="BY1232" i="48"/>
  <c r="BY1236" i="48"/>
  <c r="BY1240" i="48"/>
  <c r="BY1244" i="48"/>
  <c r="BY1248" i="48"/>
  <c r="BY1254" i="48"/>
  <c r="BY1258" i="48"/>
  <c r="BY1262" i="48"/>
  <c r="BY1266" i="48"/>
  <c r="BY1270" i="48"/>
  <c r="BY1274" i="48"/>
  <c r="BY1280" i="48"/>
  <c r="BY1284" i="48"/>
  <c r="BY948" i="48"/>
  <c r="BY954" i="48"/>
  <c r="BY958" i="48"/>
  <c r="BY962" i="48"/>
  <c r="BY966" i="48"/>
  <c r="BY970" i="48"/>
  <c r="BY974" i="48"/>
  <c r="BY980" i="48"/>
  <c r="BY984" i="48"/>
  <c r="BY988" i="48"/>
  <c r="BY992" i="48"/>
  <c r="BY996" i="48"/>
  <c r="BY1000" i="48"/>
  <c r="BY1006" i="48"/>
  <c r="BY1010" i="48"/>
  <c r="BY1014" i="48"/>
  <c r="BY1018" i="48"/>
  <c r="BY1022" i="48"/>
  <c r="BY1028" i="48"/>
  <c r="BY1032" i="48"/>
  <c r="BY1036" i="48"/>
  <c r="BY1040" i="48"/>
  <c r="BY1044" i="48"/>
  <c r="BY1048" i="48"/>
  <c r="BY1054" i="48"/>
  <c r="BY1058" i="48"/>
  <c r="BY1062" i="48"/>
  <c r="BY1066" i="48"/>
  <c r="BY1070" i="48"/>
  <c r="BY1074" i="48"/>
  <c r="BY1080" i="48"/>
  <c r="BY1084" i="48"/>
  <c r="BY1088" i="48"/>
  <c r="BY1092" i="48"/>
  <c r="BY1096" i="48"/>
  <c r="BY1100" i="48"/>
  <c r="BY1106" i="48"/>
  <c r="BY1110" i="48"/>
  <c r="BY1114" i="48"/>
  <c r="BY1118" i="48"/>
  <c r="BY1122" i="48"/>
  <c r="BY1129" i="48"/>
  <c r="BY1133" i="48"/>
  <c r="BY1137" i="48"/>
  <c r="BY1141" i="48"/>
  <c r="BY1145" i="48"/>
  <c r="BY1149" i="48"/>
  <c r="BY1155" i="48"/>
  <c r="BY1159" i="48"/>
  <c r="BY1163" i="48"/>
  <c r="BY1167" i="48"/>
  <c r="BY1171" i="48"/>
  <c r="BY1175" i="48"/>
  <c r="BY1181" i="48"/>
  <c r="BY1185" i="48"/>
  <c r="BY1189" i="48"/>
  <c r="BY1193" i="48"/>
  <c r="BY1197" i="48"/>
  <c r="BY1203" i="48"/>
  <c r="BY1207" i="48"/>
  <c r="BY1211" i="48"/>
  <c r="BY1215" i="48"/>
  <c r="BY1219" i="48"/>
  <c r="BY1223" i="48"/>
  <c r="BY1229" i="48"/>
  <c r="BY1233" i="48"/>
  <c r="BY1237" i="48"/>
  <c r="BY1241" i="48"/>
  <c r="BY1245" i="48"/>
  <c r="BY1249" i="48"/>
  <c r="BY1255" i="48"/>
  <c r="BY1259" i="48"/>
  <c r="BY1263" i="48"/>
  <c r="BY1267" i="48"/>
  <c r="BY1271" i="48"/>
  <c r="BY1275" i="48"/>
  <c r="BY1281" i="48"/>
  <c r="BY1285" i="48"/>
  <c r="BY1289" i="48"/>
  <c r="BY946" i="48"/>
  <c r="BY950" i="48"/>
  <c r="BY956" i="48"/>
  <c r="BY960" i="48"/>
  <c r="BY964" i="48"/>
  <c r="BY968" i="48"/>
  <c r="BY972" i="48"/>
  <c r="BY978" i="48"/>
  <c r="BY982" i="48"/>
  <c r="BY986" i="48"/>
  <c r="BY990" i="48"/>
  <c r="BY994" i="48"/>
  <c r="BY998" i="48"/>
  <c r="BY1004" i="48"/>
  <c r="BY1008" i="48"/>
  <c r="BY1012" i="48"/>
  <c r="BY1016" i="48"/>
  <c r="BY1020" i="48"/>
  <c r="BY1024" i="48"/>
  <c r="BY1030" i="48"/>
  <c r="BY1034" i="48"/>
  <c r="BY1038" i="48"/>
  <c r="BY1042" i="48"/>
  <c r="BY1046" i="48"/>
  <c r="BY1050" i="48"/>
  <c r="BY1056" i="48"/>
  <c r="BY1060" i="48"/>
  <c r="BY1064" i="48"/>
  <c r="BY1068" i="48"/>
  <c r="BY1072" i="48"/>
  <c r="BY1078" i="48"/>
  <c r="BY1082" i="48"/>
  <c r="BY1086" i="48"/>
  <c r="BY1090" i="48"/>
  <c r="BY1094" i="48"/>
  <c r="BY1098" i="48"/>
  <c r="BY1104" i="48"/>
  <c r="BY1108" i="48"/>
  <c r="BY1112" i="48"/>
  <c r="BY1116" i="48"/>
  <c r="BY1120" i="48"/>
  <c r="BY1124" i="48"/>
  <c r="BY1131" i="48"/>
  <c r="BY1135" i="48"/>
  <c r="BY1139" i="48"/>
  <c r="BY1143" i="48"/>
  <c r="BY1147" i="48"/>
  <c r="BY1153" i="48"/>
  <c r="BY1157" i="48"/>
  <c r="BY1161" i="48"/>
  <c r="BY1165" i="48"/>
  <c r="BY1169" i="48"/>
  <c r="BY1173" i="48"/>
  <c r="BY1179" i="48"/>
  <c r="BY1183" i="48"/>
  <c r="BY1187" i="48"/>
  <c r="BY1191" i="48"/>
  <c r="BY1195" i="48"/>
  <c r="BY1199" i="48"/>
  <c r="BY1205" i="48"/>
  <c r="BY1209" i="48"/>
  <c r="BY1213" i="48"/>
  <c r="BY1217" i="48"/>
  <c r="BY1221" i="48"/>
  <c r="BY1225" i="48"/>
  <c r="BY1231" i="48"/>
  <c r="BY1235" i="48"/>
  <c r="BY1239" i="48"/>
  <c r="BY1243" i="48"/>
  <c r="BY1247" i="48"/>
  <c r="BY1253" i="48"/>
  <c r="BY1257" i="48"/>
  <c r="BY1261" i="48"/>
  <c r="BY1265" i="48"/>
  <c r="BY1269" i="48"/>
  <c r="BY1273" i="48"/>
  <c r="BY1279" i="48"/>
  <c r="BY1283" i="48"/>
  <c r="BY1287" i="48"/>
  <c r="BY1291" i="48"/>
  <c r="BY1295" i="48"/>
  <c r="BY1299" i="48"/>
  <c r="BY1305" i="48"/>
  <c r="BY1309" i="48"/>
  <c r="BY1313" i="48"/>
  <c r="BY1317" i="48"/>
  <c r="BY1321" i="48"/>
  <c r="BY1325" i="48"/>
  <c r="BY1331" i="48"/>
  <c r="BY1335" i="48"/>
  <c r="BY1339" i="48"/>
  <c r="BY1343" i="48"/>
  <c r="BY1347" i="48"/>
  <c r="DC24" i="48"/>
  <c r="CU24" i="48" s="1"/>
  <c r="DC21" i="48"/>
  <c r="CU21" i="48" s="1"/>
  <c r="DC22" i="48"/>
  <c r="CU22" i="48" s="1"/>
  <c r="DC16" i="48"/>
  <c r="CU16" i="48" s="1"/>
  <c r="DC11" i="48"/>
  <c r="CU11" i="48" s="1"/>
  <c r="DC25" i="48"/>
  <c r="CU25" i="48" s="1"/>
  <c r="DC20" i="48"/>
  <c r="CU20" i="48" s="1"/>
  <c r="DC19" i="48"/>
  <c r="CU19" i="48" s="1"/>
  <c r="DC13" i="48"/>
  <c r="CU13" i="48" s="1"/>
  <c r="DC15" i="48"/>
  <c r="CU15" i="48" s="1"/>
  <c r="DC23" i="48"/>
  <c r="CU23" i="48" s="1"/>
  <c r="DC17" i="48"/>
  <c r="CU17" i="48" s="1"/>
  <c r="DC12" i="48"/>
  <c r="CU12" i="48" s="1"/>
  <c r="DC14" i="48"/>
  <c r="CU14" i="48" s="1"/>
  <c r="DC18" i="48"/>
  <c r="CU18" i="48" s="1"/>
  <c r="CP2" i="48" l="1"/>
  <c r="CT1175" i="48"/>
  <c r="CV1175" i="48"/>
  <c r="CU1175" i="48"/>
  <c r="CV387" i="48"/>
  <c r="CU387" i="48"/>
  <c r="CT387" i="48"/>
  <c r="CU444" i="48"/>
  <c r="CV444" i="48"/>
  <c r="CT444" i="48"/>
  <c r="CV1095" i="48"/>
  <c r="CU1095" i="48"/>
  <c r="CT1095" i="48"/>
  <c r="CV465" i="48"/>
  <c r="CT465" i="48"/>
  <c r="CU465" i="48"/>
  <c r="CU947" i="48"/>
  <c r="CT947" i="48"/>
  <c r="CV947" i="48"/>
  <c r="CU891" i="48"/>
  <c r="CT891" i="48"/>
  <c r="CV891" i="48"/>
  <c r="CT793" i="48"/>
  <c r="CV793" i="48"/>
  <c r="CU793" i="48"/>
  <c r="CT975" i="48"/>
  <c r="CV975" i="48"/>
  <c r="CU975" i="48"/>
  <c r="CV1143" i="48"/>
  <c r="CU1143" i="48"/>
  <c r="CT1143" i="48"/>
  <c r="CV88" i="48"/>
  <c r="CU88" i="48"/>
  <c r="CT88" i="48"/>
  <c r="CV818" i="48"/>
  <c r="CT818" i="48"/>
  <c r="CU818" i="48"/>
  <c r="CT1270" i="48"/>
  <c r="CV1270" i="48"/>
  <c r="CU1270" i="48"/>
  <c r="CU1086" i="48"/>
  <c r="CT1086" i="48"/>
  <c r="CV1086" i="48"/>
  <c r="CV750" i="48"/>
  <c r="CU750" i="48"/>
  <c r="CT750" i="48"/>
  <c r="CU725" i="48"/>
  <c r="CT725" i="48"/>
  <c r="CV725" i="48"/>
  <c r="CT892" i="48"/>
  <c r="CV892" i="48"/>
  <c r="CU892" i="48"/>
  <c r="CU275" i="48"/>
  <c r="CT275" i="48"/>
  <c r="CV275" i="48"/>
  <c r="CU216" i="48"/>
  <c r="CT216" i="48"/>
  <c r="CV216" i="48"/>
  <c r="CT890" i="48"/>
  <c r="CV890" i="48"/>
  <c r="CU890" i="48"/>
  <c r="CT73" i="48"/>
  <c r="CV73" i="48"/>
  <c r="CU73" i="48"/>
  <c r="CU1088" i="48"/>
  <c r="CV1088" i="48"/>
  <c r="CT1088" i="48"/>
  <c r="CV388" i="48"/>
  <c r="CU388" i="48"/>
  <c r="CT388" i="48"/>
  <c r="CV647" i="48"/>
  <c r="CU647" i="48"/>
  <c r="CT647" i="48"/>
  <c r="CT417" i="48"/>
  <c r="CU417" i="48"/>
  <c r="CV417" i="48"/>
  <c r="CU1011" i="48"/>
  <c r="CT1011" i="48"/>
  <c r="CV1011" i="48"/>
  <c r="CU97" i="48"/>
  <c r="CT97" i="48"/>
  <c r="CV97" i="48"/>
  <c r="CU64" i="48"/>
  <c r="CT64" i="48"/>
  <c r="CV64" i="48"/>
  <c r="CU668" i="48"/>
  <c r="CT668" i="48"/>
  <c r="CV668" i="48"/>
  <c r="CV992" i="48"/>
  <c r="CU992" i="48"/>
  <c r="CT992" i="48"/>
  <c r="CV1073" i="48"/>
  <c r="CU1073" i="48"/>
  <c r="CT1073" i="48"/>
  <c r="CV917" i="48"/>
  <c r="CU917" i="48"/>
  <c r="CT917" i="48"/>
  <c r="CT161" i="48"/>
  <c r="CV161" i="48"/>
  <c r="CU161" i="48"/>
  <c r="CV364" i="48"/>
  <c r="CT364" i="48"/>
  <c r="CU364" i="48"/>
  <c r="CU900" i="48"/>
  <c r="CT900" i="48"/>
  <c r="CV900" i="48"/>
  <c r="CU664" i="48"/>
  <c r="CT664" i="48"/>
  <c r="CV664" i="48"/>
  <c r="CT886" i="48"/>
  <c r="CV886" i="48"/>
  <c r="CU886" i="48"/>
  <c r="CV68" i="48"/>
  <c r="CT68" i="48"/>
  <c r="CU68" i="48"/>
  <c r="CT841" i="48"/>
  <c r="CV841" i="48"/>
  <c r="CU841" i="48"/>
  <c r="CT1250" i="48"/>
  <c r="CV1250" i="48"/>
  <c r="CU1250" i="48"/>
  <c r="CV118" i="48"/>
  <c r="CU118" i="48"/>
  <c r="CT118" i="48"/>
  <c r="CV1165" i="48"/>
  <c r="CU1165" i="48"/>
  <c r="CT1165" i="48"/>
  <c r="CV938" i="48"/>
  <c r="CU938" i="48"/>
  <c r="CT938" i="48"/>
  <c r="CU899" i="48"/>
  <c r="CT899" i="48"/>
  <c r="CV899" i="48"/>
  <c r="CV643" i="48"/>
  <c r="CU643" i="48"/>
  <c r="CT643" i="48"/>
  <c r="CU887" i="48"/>
  <c r="CT887" i="48"/>
  <c r="CV887" i="48"/>
  <c r="CU520" i="48"/>
  <c r="CT520" i="48"/>
  <c r="CV520" i="48"/>
  <c r="CV541" i="48"/>
  <c r="CU541" i="48"/>
  <c r="CT541" i="48"/>
  <c r="CV497" i="48"/>
  <c r="CU497" i="48"/>
  <c r="CT497" i="48"/>
  <c r="CV396" i="48"/>
  <c r="CU396" i="48"/>
  <c r="CT396" i="48"/>
  <c r="CT521" i="48"/>
  <c r="CV521" i="48"/>
  <c r="CU521" i="48"/>
  <c r="CV969" i="48"/>
  <c r="CU969" i="48"/>
  <c r="CT969" i="48"/>
  <c r="CU566" i="48"/>
  <c r="CT566" i="48"/>
  <c r="CV566" i="48"/>
  <c r="CV119" i="48"/>
  <c r="CU119" i="48"/>
  <c r="CT119" i="48"/>
  <c r="CV90" i="48"/>
  <c r="CU90" i="48"/>
  <c r="CT90" i="48"/>
  <c r="CU893" i="48"/>
  <c r="CT893" i="48"/>
  <c r="CV893" i="48"/>
  <c r="CU462" i="48"/>
  <c r="CT462" i="48"/>
  <c r="CV462" i="48"/>
  <c r="CU1096" i="48"/>
  <c r="CT1096" i="48"/>
  <c r="CV1096" i="48"/>
  <c r="CV996" i="48"/>
  <c r="CU996" i="48"/>
  <c r="CT996" i="48"/>
  <c r="CV173" i="48"/>
  <c r="CU173" i="48"/>
  <c r="CT173" i="48"/>
  <c r="CT761" i="48"/>
  <c r="CV761" i="48"/>
  <c r="CU761" i="48"/>
  <c r="CT697" i="48"/>
  <c r="CV697" i="48"/>
  <c r="CU697" i="48"/>
  <c r="CV1038" i="48"/>
  <c r="CT1038" i="48"/>
  <c r="CU1038" i="48"/>
  <c r="CT94" i="48"/>
  <c r="CV94" i="48"/>
  <c r="CU94" i="48"/>
  <c r="CT169" i="48"/>
  <c r="CV169" i="48"/>
  <c r="CU169" i="48"/>
  <c r="CV1036" i="48"/>
  <c r="CU1036" i="48"/>
  <c r="CT1036" i="48"/>
  <c r="CV1187" i="48"/>
  <c r="CT1187" i="48"/>
  <c r="CU1187" i="48"/>
  <c r="CU463" i="48"/>
  <c r="CV463" i="48"/>
  <c r="CT463" i="48"/>
  <c r="CT249" i="48"/>
  <c r="CV249" i="48"/>
  <c r="CU249" i="48"/>
  <c r="CV911" i="48"/>
  <c r="CU911" i="48"/>
  <c r="CT911" i="48"/>
  <c r="CV1213" i="48"/>
  <c r="CU1213" i="48"/>
  <c r="CT1213" i="48"/>
  <c r="CV961" i="48"/>
  <c r="CU961" i="48"/>
  <c r="CT961" i="48"/>
  <c r="CV447" i="48"/>
  <c r="CT447" i="48"/>
  <c r="CU447" i="48"/>
  <c r="CV186" i="48"/>
  <c r="CU186" i="48"/>
  <c r="CT186" i="48"/>
  <c r="CV1093" i="48"/>
  <c r="CU1093" i="48"/>
  <c r="CT1093" i="48"/>
  <c r="CV197" i="48"/>
  <c r="CU197" i="48"/>
  <c r="CT197" i="48"/>
  <c r="CV1069" i="48"/>
  <c r="CU1069" i="48"/>
  <c r="CT1069" i="48"/>
  <c r="CV1071" i="48"/>
  <c r="CU1071" i="48"/>
  <c r="CT1071" i="48"/>
  <c r="CV1019" i="48"/>
  <c r="CU1019" i="48"/>
  <c r="CT1019" i="48"/>
  <c r="CV618" i="48"/>
  <c r="CU618" i="48"/>
  <c r="CT618" i="48"/>
  <c r="CT687" i="48"/>
  <c r="CV687" i="48"/>
  <c r="CU687" i="48"/>
  <c r="CT221" i="48"/>
  <c r="CV221" i="48"/>
  <c r="CU221" i="48"/>
  <c r="CV1238" i="48"/>
  <c r="CU1238" i="48"/>
  <c r="CT1238" i="48"/>
  <c r="CV1047" i="48"/>
  <c r="CU1047" i="48"/>
  <c r="CT1047" i="48"/>
  <c r="CV373" i="48"/>
  <c r="CU373" i="48"/>
  <c r="CT373" i="48"/>
  <c r="CV471" i="48"/>
  <c r="CT471" i="48"/>
  <c r="CU471" i="48"/>
  <c r="CT71" i="48"/>
  <c r="CU71" i="48"/>
  <c r="CV71" i="48"/>
  <c r="CT1322" i="48"/>
  <c r="CV1322" i="48"/>
  <c r="CU1322" i="48"/>
  <c r="CV1289" i="48"/>
  <c r="CU1289" i="48"/>
  <c r="CT1289" i="48"/>
  <c r="CU164" i="48"/>
  <c r="CT164" i="48"/>
  <c r="CV164" i="48"/>
  <c r="CV1163" i="48"/>
  <c r="CU1163" i="48"/>
  <c r="CT1163" i="48"/>
  <c r="CT974" i="48"/>
  <c r="CV974" i="48"/>
  <c r="CU974" i="48"/>
  <c r="CV1065" i="48"/>
  <c r="CU1065" i="48"/>
  <c r="CT1065" i="48"/>
  <c r="CU61" i="48"/>
  <c r="CV61" i="48"/>
  <c r="CT61" i="48"/>
  <c r="CT322" i="48"/>
  <c r="CV322" i="48"/>
  <c r="CU322" i="48"/>
  <c r="CV539" i="48"/>
  <c r="CU539" i="48"/>
  <c r="CT539" i="48"/>
  <c r="CT571" i="48"/>
  <c r="CV571" i="48"/>
  <c r="CU571" i="48"/>
  <c r="CT948" i="48"/>
  <c r="CV948" i="48"/>
  <c r="CU948" i="48"/>
  <c r="CV1196" i="48"/>
  <c r="CU1196" i="48"/>
  <c r="CT1196" i="48"/>
  <c r="CV590" i="48"/>
  <c r="CU590" i="48"/>
  <c r="CT590" i="48"/>
  <c r="CV837" i="48"/>
  <c r="CU837" i="48"/>
  <c r="CT837" i="48"/>
  <c r="CT673" i="48"/>
  <c r="CV673" i="48"/>
  <c r="CU673" i="48"/>
  <c r="CV800" i="48"/>
  <c r="CU800" i="48"/>
  <c r="CT800" i="48"/>
  <c r="CT719" i="48"/>
  <c r="CV719" i="48"/>
  <c r="CU719" i="48"/>
  <c r="CT213" i="48"/>
  <c r="CV213" i="48"/>
  <c r="CU213" i="48"/>
  <c r="CV543" i="48"/>
  <c r="CU543" i="48"/>
  <c r="CT543" i="48"/>
  <c r="CU100" i="48"/>
  <c r="CT100" i="48"/>
  <c r="CV100" i="48"/>
  <c r="CU570" i="48"/>
  <c r="CT570" i="48"/>
  <c r="CV570" i="48"/>
  <c r="CU748" i="48"/>
  <c r="CV748" i="48"/>
  <c r="CT748" i="48"/>
  <c r="CV1192" i="48"/>
  <c r="CU1192" i="48"/>
  <c r="CT1192" i="48"/>
  <c r="CV1141" i="48"/>
  <c r="CU1141" i="48"/>
  <c r="CT1141" i="48"/>
  <c r="CV612" i="48"/>
  <c r="CU612" i="48"/>
  <c r="CT612" i="48"/>
  <c r="CT425" i="48"/>
  <c r="CU425" i="48"/>
  <c r="CV425" i="48"/>
  <c r="CT288" i="48"/>
  <c r="CU288" i="48"/>
  <c r="CV288" i="48"/>
  <c r="CV340" i="48"/>
  <c r="CU340" i="48"/>
  <c r="CT340" i="48"/>
  <c r="CV846" i="48"/>
  <c r="CU846" i="48"/>
  <c r="CT846" i="48"/>
  <c r="CV739" i="48"/>
  <c r="CU739" i="48"/>
  <c r="CT739" i="48"/>
  <c r="CV1214" i="48"/>
  <c r="CU1214" i="48"/>
  <c r="CT1214" i="48"/>
  <c r="CV96" i="48"/>
  <c r="CU96" i="48"/>
  <c r="CT96" i="48"/>
  <c r="CV713" i="48"/>
  <c r="CU713" i="48"/>
  <c r="CT713" i="48"/>
  <c r="CT700" i="48"/>
  <c r="CV700" i="48"/>
  <c r="CU700" i="48"/>
  <c r="CU640" i="48"/>
  <c r="CT640" i="48"/>
  <c r="CV640" i="48"/>
  <c r="CV822" i="48"/>
  <c r="CU822" i="48"/>
  <c r="CT822" i="48"/>
  <c r="CU764" i="48"/>
  <c r="CV764" i="48"/>
  <c r="CT764" i="48"/>
  <c r="CV246" i="48"/>
  <c r="CU246" i="48"/>
  <c r="CT246" i="48"/>
  <c r="CV993" i="48"/>
  <c r="CU993" i="48"/>
  <c r="CT993" i="48"/>
  <c r="CT117" i="48"/>
  <c r="CV117" i="48"/>
  <c r="CU117" i="48"/>
  <c r="CU1300" i="48"/>
  <c r="CT1300" i="48"/>
  <c r="CV1300" i="48"/>
  <c r="CU294" i="48"/>
  <c r="CT294" i="48"/>
  <c r="CV294" i="48"/>
  <c r="CU1015" i="48"/>
  <c r="CT1015" i="48"/>
  <c r="CV1015" i="48"/>
  <c r="CU488" i="48"/>
  <c r="CV488" i="48"/>
  <c r="CT488" i="48"/>
  <c r="CU744" i="48"/>
  <c r="CV744" i="48"/>
  <c r="CT744" i="48"/>
  <c r="CT1120" i="48"/>
  <c r="CU1120" i="48"/>
  <c r="CV1120" i="48"/>
  <c r="CV1217" i="48"/>
  <c r="CU1217" i="48"/>
  <c r="CT1217" i="48"/>
  <c r="CV616" i="48"/>
  <c r="CU616" i="48"/>
  <c r="CT616" i="48"/>
  <c r="CU242" i="48"/>
  <c r="CT242" i="48"/>
  <c r="CV242" i="48"/>
  <c r="CV1339" i="48"/>
  <c r="CU1339" i="48"/>
  <c r="CT1339" i="48"/>
  <c r="CU193" i="48"/>
  <c r="CT193" i="48"/>
  <c r="CV193" i="48"/>
  <c r="CV297" i="48"/>
  <c r="CU297" i="48"/>
  <c r="CT297" i="48"/>
  <c r="CU123" i="48"/>
  <c r="CT123" i="48"/>
  <c r="CV123" i="48"/>
  <c r="CV1271" i="48"/>
  <c r="CU1271" i="48"/>
  <c r="CT1271" i="48"/>
  <c r="CV162" i="48"/>
  <c r="CU162" i="48"/>
  <c r="CT162" i="48"/>
  <c r="CV1194" i="48"/>
  <c r="CU1194" i="48"/>
  <c r="CT1194" i="48"/>
  <c r="CV749" i="48"/>
  <c r="CU749" i="48"/>
  <c r="CT749" i="48"/>
  <c r="CV1050" i="48"/>
  <c r="CU1050" i="48"/>
  <c r="CT1050" i="48"/>
  <c r="CT661" i="48"/>
  <c r="CV661" i="48"/>
  <c r="CU661" i="48"/>
  <c r="CV395" i="48"/>
  <c r="CT395" i="48"/>
  <c r="CU395" i="48"/>
  <c r="CV139" i="48"/>
  <c r="CU139" i="48"/>
  <c r="CT139" i="48"/>
  <c r="CV1072" i="48"/>
  <c r="CU1072" i="48"/>
  <c r="CT1072" i="48"/>
  <c r="CT918" i="48"/>
  <c r="CV918" i="48"/>
  <c r="CU918" i="48"/>
  <c r="CV622" i="48"/>
  <c r="CT622" i="48"/>
  <c r="CU622" i="48"/>
  <c r="CV1123" i="48"/>
  <c r="CT1123" i="48"/>
  <c r="CU1123" i="48"/>
  <c r="CV873" i="48"/>
  <c r="CU873" i="48"/>
  <c r="CT873" i="48"/>
  <c r="CT939" i="48"/>
  <c r="CV939" i="48"/>
  <c r="CU939" i="48"/>
  <c r="CV716" i="48"/>
  <c r="CU716" i="48"/>
  <c r="CT716" i="48"/>
  <c r="CT515" i="48"/>
  <c r="CV515" i="48"/>
  <c r="CU515" i="48"/>
  <c r="CU638" i="48"/>
  <c r="CT638" i="48"/>
  <c r="CV638" i="48"/>
  <c r="CV989" i="48"/>
  <c r="CU989" i="48"/>
  <c r="CT989" i="48"/>
  <c r="CU475" i="48"/>
  <c r="CT475" i="48"/>
  <c r="CV475" i="48"/>
  <c r="CT261" i="48"/>
  <c r="CV261" i="48"/>
  <c r="CU261" i="48"/>
  <c r="CU250" i="48"/>
  <c r="CT250" i="48"/>
  <c r="CV250" i="48"/>
  <c r="CV217" i="48"/>
  <c r="CU217" i="48"/>
  <c r="CT217" i="48"/>
  <c r="CV263" i="48"/>
  <c r="CU263" i="48"/>
  <c r="CT263" i="48"/>
  <c r="CV1311" i="48"/>
  <c r="CU1311" i="48"/>
  <c r="CT1311" i="48"/>
  <c r="CV1223" i="48"/>
  <c r="CU1223" i="48"/>
  <c r="CT1223" i="48"/>
  <c r="CT311" i="48"/>
  <c r="CV311" i="48"/>
  <c r="CU311" i="48"/>
  <c r="CV1317" i="48"/>
  <c r="CU1317" i="48"/>
  <c r="CT1317" i="48"/>
  <c r="CT1116" i="48"/>
  <c r="CU1116" i="48"/>
  <c r="CV1116" i="48"/>
  <c r="CU766" i="48"/>
  <c r="CV766" i="48"/>
  <c r="CT766" i="48"/>
  <c r="CT563" i="48"/>
  <c r="CV563" i="48"/>
  <c r="CU563" i="48"/>
  <c r="CV1121" i="48"/>
  <c r="CU1121" i="48"/>
  <c r="CT1121" i="48"/>
  <c r="CV399" i="48"/>
  <c r="CT399" i="48"/>
  <c r="CU399" i="48"/>
  <c r="CT888" i="48"/>
  <c r="CV888" i="48"/>
  <c r="CU888" i="48"/>
  <c r="CV613" i="48"/>
  <c r="CU613" i="48"/>
  <c r="CT613" i="48"/>
  <c r="CT950" i="48"/>
  <c r="CV950" i="48"/>
  <c r="CU950" i="48"/>
  <c r="CT593" i="48"/>
  <c r="CV593" i="48"/>
  <c r="CU593" i="48"/>
  <c r="CV741" i="48"/>
  <c r="CU741" i="48"/>
  <c r="CT741" i="48"/>
  <c r="CV365" i="48"/>
  <c r="CU365" i="48"/>
  <c r="CT365" i="48"/>
  <c r="CV121" i="48"/>
  <c r="CU121" i="48"/>
  <c r="CT121" i="48"/>
  <c r="CT1037" i="48"/>
  <c r="CV1037" i="48"/>
  <c r="CU1037" i="48"/>
  <c r="CT1318" i="48"/>
  <c r="CV1318" i="48"/>
  <c r="CU1318" i="48"/>
  <c r="CT290" i="48"/>
  <c r="CV290" i="48"/>
  <c r="CU290" i="48"/>
  <c r="CU92" i="48"/>
  <c r="CT92" i="48"/>
  <c r="CV92" i="48"/>
  <c r="CV915" i="48"/>
  <c r="CU915" i="48"/>
  <c r="CT915" i="48"/>
  <c r="CT1166" i="48"/>
  <c r="CV1166" i="48"/>
  <c r="CU1166" i="48"/>
  <c r="CT1112" i="48"/>
  <c r="CU1112" i="48"/>
  <c r="CV1112" i="48"/>
  <c r="CT665" i="48"/>
  <c r="CV665" i="48"/>
  <c r="CU665" i="48"/>
  <c r="CV1321" i="48"/>
  <c r="CU1321" i="48"/>
  <c r="CT1321" i="48"/>
  <c r="CU889" i="48"/>
  <c r="CT889" i="48"/>
  <c r="CV889" i="48"/>
  <c r="CU496" i="48"/>
  <c r="CT496" i="48"/>
  <c r="CV496" i="48"/>
  <c r="CT319" i="48"/>
  <c r="CV319" i="48"/>
  <c r="CU319" i="48"/>
  <c r="CU196" i="48"/>
  <c r="CT196" i="48"/>
  <c r="CV196" i="48"/>
  <c r="CU442" i="48"/>
  <c r="CV442" i="48"/>
  <c r="CT442" i="48"/>
  <c r="CU740" i="48"/>
  <c r="CV740" i="48"/>
  <c r="CT740" i="48"/>
  <c r="CT944" i="48"/>
  <c r="CV944" i="48"/>
  <c r="CU944" i="48"/>
  <c r="CV270" i="48"/>
  <c r="CU270" i="48"/>
  <c r="CT270" i="48"/>
  <c r="CV1315" i="48"/>
  <c r="CU1315" i="48"/>
  <c r="CT1315" i="48"/>
  <c r="CU1296" i="48"/>
  <c r="CT1296" i="48"/>
  <c r="CV1296" i="48"/>
  <c r="CV500" i="48"/>
  <c r="CU500" i="48"/>
  <c r="CT500" i="48"/>
  <c r="CV199" i="48"/>
  <c r="CU199" i="48"/>
  <c r="CT199" i="48"/>
  <c r="CU112" i="48"/>
  <c r="CT112" i="48"/>
  <c r="CV112" i="48"/>
  <c r="CT66" i="48"/>
  <c r="CV66" i="48"/>
  <c r="CU66" i="48"/>
  <c r="CU267" i="48"/>
  <c r="CT267" i="48"/>
  <c r="CV267" i="48"/>
  <c r="CV611" i="48"/>
  <c r="CU611" i="48"/>
  <c r="CT611" i="48"/>
  <c r="CT763" i="48"/>
  <c r="CU763" i="48"/>
  <c r="CV763" i="48"/>
  <c r="CV842" i="48"/>
  <c r="CU842" i="48"/>
  <c r="CT842" i="48"/>
  <c r="CU662" i="48"/>
  <c r="CT662" i="48"/>
  <c r="CV662" i="48"/>
  <c r="CU718" i="48"/>
  <c r="CV718" i="48"/>
  <c r="CT718" i="48"/>
  <c r="CT74" i="48"/>
  <c r="CV74" i="48"/>
  <c r="CU74" i="48"/>
  <c r="CT269" i="48"/>
  <c r="CV269" i="48"/>
  <c r="CU269" i="48"/>
  <c r="CU1146" i="48"/>
  <c r="CT1146" i="48"/>
  <c r="CV1146" i="48"/>
  <c r="CT372" i="48"/>
  <c r="CV372" i="48"/>
  <c r="CU372" i="48"/>
  <c r="CV1225" i="48"/>
  <c r="CU1225" i="48"/>
  <c r="CT1225" i="48"/>
  <c r="CU815" i="48"/>
  <c r="CV815" i="48"/>
  <c r="CT815" i="48"/>
  <c r="CU670" i="48"/>
  <c r="CT670" i="48"/>
  <c r="CV670" i="48"/>
  <c r="CV398" i="48"/>
  <c r="CU398" i="48"/>
  <c r="CT398" i="48"/>
  <c r="CT1025" i="48"/>
  <c r="CV1025" i="48"/>
  <c r="CU1025" i="48"/>
  <c r="CU746" i="48"/>
  <c r="CT746" i="48"/>
  <c r="CV746" i="48"/>
  <c r="CV1012" i="48"/>
  <c r="CU1012" i="48"/>
  <c r="CT1012" i="48"/>
  <c r="CV338" i="48"/>
  <c r="CU338" i="48"/>
  <c r="CT338" i="48"/>
  <c r="CV544" i="48"/>
  <c r="CU544" i="48"/>
  <c r="CT544" i="48"/>
  <c r="CU512" i="48"/>
  <c r="CT512" i="48"/>
  <c r="CV512" i="48"/>
  <c r="CU1292" i="48"/>
  <c r="CT1292" i="48"/>
  <c r="CV1292" i="48"/>
  <c r="CT1118" i="48"/>
  <c r="CV1118" i="48"/>
  <c r="CU1118" i="48"/>
  <c r="CV339" i="48"/>
  <c r="CU339" i="48"/>
  <c r="CT339" i="48"/>
  <c r="CV1236" i="48"/>
  <c r="CU1236" i="48"/>
  <c r="CT1236" i="48"/>
  <c r="CV371" i="48"/>
  <c r="CT371" i="48"/>
  <c r="CU371" i="48"/>
  <c r="CV816" i="48"/>
  <c r="CU816" i="48"/>
  <c r="CT816" i="48"/>
  <c r="CT1243" i="48"/>
  <c r="CV1243" i="48"/>
  <c r="CU1243" i="48"/>
  <c r="CV1117" i="48"/>
  <c r="CU1117" i="48"/>
  <c r="CT1117" i="48"/>
  <c r="CT721" i="48"/>
  <c r="CV721" i="48"/>
  <c r="CU721" i="48"/>
  <c r="CU414" i="48"/>
  <c r="CT414" i="48"/>
  <c r="CV414" i="48"/>
  <c r="CU1140" i="48"/>
  <c r="CT1140" i="48"/>
  <c r="CV1140" i="48"/>
  <c r="CV963" i="48"/>
  <c r="CU963" i="48"/>
  <c r="CT963" i="48"/>
  <c r="CV450" i="48"/>
  <c r="CT450" i="48"/>
  <c r="CU450" i="48"/>
  <c r="CV546" i="48"/>
  <c r="CU546" i="48"/>
  <c r="CT546" i="48"/>
  <c r="CV696" i="48"/>
  <c r="CU696" i="48"/>
  <c r="CT696" i="48"/>
  <c r="CV142" i="48"/>
  <c r="CU142" i="48"/>
  <c r="CT142" i="48"/>
  <c r="CV747" i="48"/>
  <c r="CU747" i="48"/>
  <c r="CT747" i="48"/>
  <c r="CV192" i="48"/>
  <c r="CU192" i="48"/>
  <c r="CT192" i="48"/>
  <c r="CU522" i="48"/>
  <c r="CT522" i="48"/>
  <c r="CV522" i="48"/>
  <c r="CT1264" i="48"/>
  <c r="CV1264" i="48"/>
  <c r="CU1264" i="48"/>
  <c r="CT1168" i="48"/>
  <c r="CV1168" i="48"/>
  <c r="CU1168" i="48"/>
  <c r="CV998" i="48"/>
  <c r="CU998" i="48"/>
  <c r="CT998" i="48"/>
  <c r="CT966" i="48"/>
  <c r="CV966" i="48"/>
  <c r="CU966" i="48"/>
  <c r="CU945" i="48"/>
  <c r="CT945" i="48"/>
  <c r="CV945" i="48"/>
  <c r="CV194" i="48"/>
  <c r="CU194" i="48"/>
  <c r="CT194" i="48"/>
  <c r="CT312" i="48"/>
  <c r="CU312" i="48"/>
  <c r="CV312" i="48"/>
  <c r="CV214" i="48"/>
  <c r="CU214" i="48"/>
  <c r="CT214" i="48"/>
  <c r="CV639" i="48"/>
  <c r="CU639" i="48"/>
  <c r="CT639" i="48"/>
  <c r="CV1087" i="48"/>
  <c r="CU1087" i="48"/>
  <c r="CT1087" i="48"/>
  <c r="CT575" i="48"/>
  <c r="CV575" i="48"/>
  <c r="CU575" i="48"/>
  <c r="CU823" i="48"/>
  <c r="CV823" i="48"/>
  <c r="CT823" i="48"/>
  <c r="CU895" i="48"/>
  <c r="CT895" i="48"/>
  <c r="CV895" i="48"/>
  <c r="CT517" i="48"/>
  <c r="CV517" i="48"/>
  <c r="CU517" i="48"/>
  <c r="CT667" i="48"/>
  <c r="CV667" i="48"/>
  <c r="CU667" i="48"/>
  <c r="CV936" i="48"/>
  <c r="CU936" i="48"/>
  <c r="CT936" i="48"/>
  <c r="CV997" i="48"/>
  <c r="CU997" i="48"/>
  <c r="CT997" i="48"/>
  <c r="CV1066" i="48"/>
  <c r="CU1066" i="48"/>
  <c r="CT1066" i="48"/>
  <c r="CV545" i="48"/>
  <c r="CU545" i="48"/>
  <c r="CT545" i="48"/>
  <c r="CV67" i="48"/>
  <c r="CU67" i="48"/>
  <c r="CT67" i="48"/>
  <c r="CV245" i="48"/>
  <c r="CU245" i="48"/>
  <c r="CT245" i="48"/>
  <c r="CV1220" i="48"/>
  <c r="CU1220" i="48"/>
  <c r="CT1220" i="48"/>
  <c r="CV874" i="48"/>
  <c r="CT874" i="48"/>
  <c r="CU874" i="48"/>
  <c r="CV487" i="48"/>
  <c r="CT487" i="48"/>
  <c r="CU487" i="48"/>
  <c r="CU949" i="48"/>
  <c r="CT949" i="48"/>
  <c r="CV949" i="48"/>
  <c r="CV550" i="48"/>
  <c r="CU550" i="48"/>
  <c r="CT550" i="48"/>
  <c r="CV300" i="48"/>
  <c r="CU300" i="48"/>
  <c r="CT300" i="48"/>
  <c r="CV473" i="48"/>
  <c r="CT473" i="48"/>
  <c r="CU473" i="48"/>
  <c r="CV436" i="48"/>
  <c r="CU436" i="48"/>
  <c r="CT436" i="48"/>
  <c r="CV875" i="48"/>
  <c r="CU875" i="48"/>
  <c r="CT875" i="48"/>
  <c r="CU175" i="48"/>
  <c r="CT175" i="48"/>
  <c r="CV175" i="48"/>
  <c r="CT775" i="48"/>
  <c r="CV775" i="48"/>
  <c r="CU775" i="48"/>
  <c r="CV1340" i="48"/>
  <c r="CU1340" i="48"/>
  <c r="CT1340" i="48"/>
  <c r="CT318" i="48"/>
  <c r="CV318" i="48"/>
  <c r="CU318" i="48"/>
  <c r="CU1021" i="48"/>
  <c r="CT1021" i="48"/>
  <c r="CV1021" i="48"/>
  <c r="CV363" i="48"/>
  <c r="CU363" i="48"/>
  <c r="CT363" i="48"/>
  <c r="CT689" i="48"/>
  <c r="CV689" i="48"/>
  <c r="CU689" i="48"/>
  <c r="CU149" i="48"/>
  <c r="CT149" i="48"/>
  <c r="CV149" i="48"/>
  <c r="CT573" i="48"/>
  <c r="CV573" i="48"/>
  <c r="CU573" i="48"/>
  <c r="CT513" i="48"/>
  <c r="CV513" i="48"/>
  <c r="CU513" i="48"/>
  <c r="CT324" i="48"/>
  <c r="CV324" i="48"/>
  <c r="CU324" i="48"/>
  <c r="CT964" i="48"/>
  <c r="CV964" i="48"/>
  <c r="CU964" i="48"/>
  <c r="CU1199" i="48"/>
  <c r="CT1199" i="48"/>
  <c r="CV1199" i="48"/>
  <c r="CT198" i="48"/>
  <c r="CV198" i="48"/>
  <c r="CU198" i="48"/>
  <c r="CV971" i="48"/>
  <c r="CU971" i="48"/>
  <c r="CT971" i="48"/>
  <c r="CV394" i="48"/>
  <c r="CU394" i="48"/>
  <c r="CT394" i="48"/>
  <c r="CV844" i="48"/>
  <c r="CU844" i="48"/>
  <c r="CT844" i="48"/>
  <c r="CV137" i="48"/>
  <c r="CU137" i="48"/>
  <c r="CT137" i="48"/>
  <c r="CV1099" i="48"/>
  <c r="CU1099" i="48"/>
  <c r="CT1099" i="48"/>
  <c r="CV1221" i="48"/>
  <c r="CU1221" i="48"/>
  <c r="CT1221" i="48"/>
  <c r="CU190" i="48"/>
  <c r="CT190" i="48"/>
  <c r="CV190" i="48"/>
  <c r="CU821" i="48"/>
  <c r="CT821" i="48"/>
  <c r="CV821" i="48"/>
  <c r="CT1325" i="48"/>
  <c r="CV1325" i="48"/>
  <c r="CU1325" i="48"/>
  <c r="CV641" i="48"/>
  <c r="CU641" i="48"/>
  <c r="CT641" i="48"/>
  <c r="CV540" i="48"/>
  <c r="CU540" i="48"/>
  <c r="CT540" i="48"/>
  <c r="CU625" i="48"/>
  <c r="CT625" i="48"/>
  <c r="CV625" i="48"/>
  <c r="CV165" i="48"/>
  <c r="CU165" i="48"/>
  <c r="CT165" i="48"/>
  <c r="CV942" i="48"/>
  <c r="CU942" i="48"/>
  <c r="CT942" i="48"/>
  <c r="CT591" i="48"/>
  <c r="CV591" i="48"/>
  <c r="CU591" i="48"/>
  <c r="CV620" i="48"/>
  <c r="CU620" i="48"/>
  <c r="CT620" i="48"/>
  <c r="CV1269" i="48"/>
  <c r="CU1269" i="48"/>
  <c r="CT1269" i="48"/>
  <c r="CV990" i="48"/>
  <c r="CU990" i="48"/>
  <c r="CT990" i="48"/>
  <c r="CV588" i="48"/>
  <c r="CU588" i="48"/>
  <c r="CT588" i="48"/>
  <c r="CU144" i="48"/>
  <c r="CT144" i="48"/>
  <c r="CV144" i="48"/>
  <c r="CV293" i="48"/>
  <c r="CU293" i="48"/>
  <c r="CT293" i="48"/>
  <c r="CT86" i="48"/>
  <c r="CV86" i="48"/>
  <c r="CU86" i="48"/>
  <c r="CV248" i="48"/>
  <c r="CU248" i="48"/>
  <c r="CT248" i="48"/>
  <c r="CT421" i="48"/>
  <c r="CV421" i="48"/>
  <c r="CU421" i="48"/>
  <c r="CV786" i="48"/>
  <c r="CT786" i="48"/>
  <c r="CU786" i="48"/>
  <c r="CU361" i="48"/>
  <c r="CT361" i="48"/>
  <c r="CV361" i="48"/>
  <c r="CV350" i="48"/>
  <c r="CU350" i="48"/>
  <c r="CT350" i="48"/>
  <c r="CT1239" i="48"/>
  <c r="CV1239" i="48"/>
  <c r="CU1239" i="48"/>
  <c r="CU1142" i="48"/>
  <c r="CT1142" i="48"/>
  <c r="CV1142" i="48"/>
  <c r="CT317" i="48"/>
  <c r="CU317" i="48"/>
  <c r="CV317" i="48"/>
  <c r="CT366" i="48"/>
  <c r="CU366" i="48"/>
  <c r="CV366" i="48"/>
  <c r="CV343" i="48"/>
  <c r="CT343" i="48"/>
  <c r="CU343" i="48"/>
  <c r="CT1237" i="48"/>
  <c r="CV1237" i="48"/>
  <c r="CU1237" i="48"/>
  <c r="CV999" i="48"/>
  <c r="CU999" i="48"/>
  <c r="CT999" i="48"/>
  <c r="CT1162" i="48"/>
  <c r="CV1162" i="48"/>
  <c r="CU1162" i="48"/>
  <c r="CT894" i="48"/>
  <c r="CV894" i="48"/>
  <c r="CU894" i="48"/>
  <c r="CV650" i="48"/>
  <c r="CU650" i="48"/>
  <c r="CT650" i="48"/>
  <c r="CV921" i="48"/>
  <c r="CU921" i="48"/>
  <c r="CT921" i="48"/>
  <c r="CV1347" i="48"/>
  <c r="CU1347" i="48"/>
  <c r="CT1347" i="48"/>
  <c r="CU468" i="48"/>
  <c r="CV468" i="48"/>
  <c r="CT468" i="48"/>
  <c r="CV864" i="48"/>
  <c r="CU864" i="48"/>
  <c r="CT864" i="48"/>
  <c r="CV547" i="48"/>
  <c r="CU547" i="48"/>
  <c r="CT547" i="48"/>
  <c r="CU1148" i="48"/>
  <c r="CT1148" i="48"/>
  <c r="CV1148" i="48"/>
  <c r="CV991" i="48"/>
  <c r="CU991" i="48"/>
  <c r="CT991" i="48"/>
  <c r="CV1212" i="48"/>
  <c r="CU1212" i="48"/>
  <c r="CT1212" i="48"/>
  <c r="CV392" i="48"/>
  <c r="CU392" i="48"/>
  <c r="CT392" i="48"/>
  <c r="CT968" i="48"/>
  <c r="CV968" i="48"/>
  <c r="CU968" i="48"/>
  <c r="CV872" i="48"/>
  <c r="CU872" i="48"/>
  <c r="CT872" i="48"/>
  <c r="CT91" i="48"/>
  <c r="CV91" i="48"/>
  <c r="CU91" i="48"/>
  <c r="CT595" i="48"/>
  <c r="CV595" i="48"/>
  <c r="CU595" i="48"/>
  <c r="CV386" i="48"/>
  <c r="CU386" i="48"/>
  <c r="CT386" i="48"/>
  <c r="CV389" i="48"/>
  <c r="CU389" i="48"/>
  <c r="CT389" i="48"/>
  <c r="CT1245" i="48"/>
  <c r="CV1245" i="48"/>
  <c r="CU1245" i="48"/>
  <c r="CV349" i="48"/>
  <c r="CU349" i="48"/>
  <c r="CT349" i="48"/>
  <c r="CU897" i="48"/>
  <c r="CT897" i="48"/>
  <c r="CV897" i="48"/>
  <c r="CV694" i="48"/>
  <c r="CU694" i="48"/>
  <c r="CT694" i="48"/>
  <c r="CU813" i="48"/>
  <c r="CT813" i="48"/>
  <c r="CV813" i="48"/>
  <c r="CU1092" i="48"/>
  <c r="CT1092" i="48"/>
  <c r="CV1092" i="48"/>
  <c r="CT896" i="48"/>
  <c r="CV896" i="48"/>
  <c r="CU896" i="48"/>
  <c r="CV1224" i="48"/>
  <c r="CU1224" i="48"/>
  <c r="CT1224" i="48"/>
  <c r="CT1020" i="48"/>
  <c r="CU1020" i="48"/>
  <c r="CV1020" i="48"/>
  <c r="CV1341" i="48"/>
  <c r="CU1341" i="48"/>
  <c r="CT1341" i="48"/>
  <c r="CT589" i="48"/>
  <c r="CV589" i="48"/>
  <c r="CU589" i="48"/>
  <c r="CT1312" i="48"/>
  <c r="CV1312" i="48"/>
  <c r="CU1312" i="48"/>
  <c r="CU187" i="48"/>
  <c r="CT187" i="48"/>
  <c r="CV187" i="48"/>
  <c r="CV1070" i="48"/>
  <c r="CU1070" i="48"/>
  <c r="CT1070" i="48"/>
  <c r="CU825" i="48"/>
  <c r="CV825" i="48"/>
  <c r="CT825" i="48"/>
  <c r="CT941" i="48"/>
  <c r="CV941" i="48"/>
  <c r="CU941" i="48"/>
  <c r="CV940" i="48"/>
  <c r="CU940" i="48"/>
  <c r="CT940" i="48"/>
  <c r="CT461" i="48"/>
  <c r="CV461" i="48"/>
  <c r="CU461" i="48"/>
  <c r="CT1023" i="48"/>
  <c r="CV1023" i="48"/>
  <c r="CU1023" i="48"/>
  <c r="CT122" i="48"/>
  <c r="CV122" i="48"/>
  <c r="CU122" i="48"/>
  <c r="CT922" i="48"/>
  <c r="CV922" i="48"/>
  <c r="CU922" i="48"/>
  <c r="CV737" i="48"/>
  <c r="CU737" i="48"/>
  <c r="CT737" i="48"/>
  <c r="CU287" i="48"/>
  <c r="CT287" i="48"/>
  <c r="CV287" i="48"/>
  <c r="CU1290" i="48"/>
  <c r="CT1290" i="48"/>
  <c r="CV1290" i="48"/>
  <c r="CU291" i="48"/>
  <c r="CV291" i="48"/>
  <c r="CT291" i="48"/>
  <c r="CT914" i="48"/>
  <c r="CV914" i="48"/>
  <c r="CU914" i="48"/>
  <c r="CV987" i="48"/>
  <c r="CU987" i="48"/>
  <c r="CT987" i="48"/>
  <c r="CT114" i="48"/>
  <c r="CV114" i="48"/>
  <c r="CU114" i="48"/>
  <c r="CT321" i="48"/>
  <c r="CV321" i="48"/>
  <c r="CU321" i="48"/>
  <c r="CV712" i="48"/>
  <c r="CU712" i="48"/>
  <c r="CT712" i="48"/>
  <c r="CU791" i="48"/>
  <c r="CT791" i="48"/>
  <c r="CV791" i="48"/>
  <c r="CV1064" i="48"/>
  <c r="CU1064" i="48"/>
  <c r="CT1064" i="48"/>
  <c r="CT663" i="48"/>
  <c r="CV663" i="48"/>
  <c r="CU663" i="48"/>
  <c r="CT898" i="48"/>
  <c r="CV898" i="48"/>
  <c r="CU898" i="48"/>
  <c r="CT1272" i="48"/>
  <c r="CV1272" i="48"/>
  <c r="CU1272" i="48"/>
  <c r="CV1039" i="48"/>
  <c r="CU1039" i="48"/>
  <c r="CT1039" i="48"/>
  <c r="CU1249" i="48"/>
  <c r="CT1249" i="48"/>
  <c r="CV1249" i="48"/>
  <c r="CU472" i="48"/>
  <c r="CV472" i="48"/>
  <c r="CT472" i="48"/>
  <c r="CU1043" i="48"/>
  <c r="CT1043" i="48"/>
  <c r="CV1043" i="48"/>
  <c r="CT970" i="48"/>
  <c r="CV970" i="48"/>
  <c r="CU970" i="48"/>
  <c r="CV1295" i="48"/>
  <c r="CU1295" i="48"/>
  <c r="CT1295" i="48"/>
  <c r="CV794" i="48"/>
  <c r="CT794" i="48"/>
  <c r="CU794" i="48"/>
  <c r="CV711" i="48"/>
  <c r="CU711" i="48"/>
  <c r="CT711" i="48"/>
  <c r="CV745" i="48"/>
  <c r="CU745" i="48"/>
  <c r="CT745" i="48"/>
  <c r="CT325" i="48"/>
  <c r="CV325" i="48"/>
  <c r="CU325" i="48"/>
  <c r="CU819" i="48"/>
  <c r="CV819" i="48"/>
  <c r="CT819" i="48"/>
  <c r="CT375" i="48"/>
  <c r="CU375" i="48"/>
  <c r="CV375" i="48"/>
  <c r="CT519" i="48"/>
  <c r="CV519" i="48"/>
  <c r="CU519" i="48"/>
  <c r="CV1345" i="48"/>
  <c r="CU1345" i="48"/>
  <c r="CT1345" i="48"/>
  <c r="CV848" i="48"/>
  <c r="CU848" i="48"/>
  <c r="CT848" i="48"/>
  <c r="CV1074" i="48"/>
  <c r="CU1074" i="48"/>
  <c r="CT1074" i="48"/>
  <c r="CU69" i="48"/>
  <c r="CT69" i="48"/>
  <c r="CV69" i="48"/>
  <c r="CV1344" i="48"/>
  <c r="CU1344" i="48"/>
  <c r="CT1344" i="48"/>
  <c r="CV438" i="48"/>
  <c r="CU438" i="48"/>
  <c r="CT438" i="48"/>
  <c r="CT1268" i="48"/>
  <c r="CV1268" i="48"/>
  <c r="CU1268" i="48"/>
  <c r="CV1265" i="48"/>
  <c r="CU1265" i="48"/>
  <c r="CT1265" i="48"/>
  <c r="CT174" i="48"/>
  <c r="CV174" i="48"/>
  <c r="CU174" i="48"/>
  <c r="CV1125" i="48"/>
  <c r="CU1125" i="48"/>
  <c r="CT1125" i="48"/>
  <c r="CV1186" i="48"/>
  <c r="CU1186" i="48"/>
  <c r="CT1186" i="48"/>
  <c r="CU1136" i="48"/>
  <c r="CT1136" i="48"/>
  <c r="CV1136" i="48"/>
  <c r="CV148" i="48"/>
  <c r="CU148" i="48"/>
  <c r="CT148" i="48"/>
  <c r="CV1067" i="48"/>
  <c r="CU1067" i="48"/>
  <c r="CT1067" i="48"/>
  <c r="CV1017" i="48"/>
  <c r="CU1017" i="48"/>
  <c r="CT1017" i="48"/>
  <c r="CV865" i="48"/>
  <c r="CU865" i="48"/>
  <c r="CT865" i="48"/>
  <c r="CV1137" i="48"/>
  <c r="CU1137" i="48"/>
  <c r="CT1137" i="48"/>
  <c r="CV1091" i="48"/>
  <c r="CU1091" i="48"/>
  <c r="CT1091" i="48"/>
  <c r="CU172" i="48"/>
  <c r="CT172" i="48"/>
  <c r="CV172" i="48"/>
  <c r="CV549" i="48"/>
  <c r="CU549" i="48"/>
  <c r="CT549" i="48"/>
  <c r="CV714" i="48"/>
  <c r="CU714" i="48"/>
  <c r="CT714" i="48"/>
  <c r="CV400" i="48"/>
  <c r="CU400" i="48"/>
  <c r="CT400" i="48"/>
  <c r="CU89" i="48"/>
  <c r="CT89" i="48"/>
  <c r="CV89" i="48"/>
  <c r="CT767" i="48"/>
  <c r="CV767" i="48"/>
  <c r="CU767" i="48"/>
  <c r="CU817" i="48"/>
  <c r="CV817" i="48"/>
  <c r="CT817" i="48"/>
  <c r="CT415" i="48"/>
  <c r="CU415" i="48"/>
  <c r="CV415" i="48"/>
  <c r="CV994" i="48"/>
  <c r="CU994" i="48"/>
  <c r="CT994" i="48"/>
  <c r="CV1189" i="48"/>
  <c r="CU1189" i="48"/>
  <c r="CT1189" i="48"/>
  <c r="CT1174" i="48"/>
  <c r="CV1174" i="48"/>
  <c r="CU1174" i="48"/>
  <c r="CV1188" i="48"/>
  <c r="CU1188" i="48"/>
  <c r="CT1188" i="48"/>
  <c r="CV1115" i="48"/>
  <c r="CT1115" i="48"/>
  <c r="CU1115" i="48"/>
  <c r="CT943" i="48"/>
  <c r="CV943" i="48"/>
  <c r="CU943" i="48"/>
  <c r="CU298" i="48"/>
  <c r="CT298" i="48"/>
  <c r="CV298" i="48"/>
  <c r="CV1169" i="48"/>
  <c r="CU1169" i="48"/>
  <c r="CT1169" i="48"/>
  <c r="CU219" i="48"/>
  <c r="CT219" i="48"/>
  <c r="CV219" i="48"/>
  <c r="CU289" i="48"/>
  <c r="CV289" i="48"/>
  <c r="CT289" i="48"/>
  <c r="CU239" i="48"/>
  <c r="CT239" i="48"/>
  <c r="CV239" i="48"/>
  <c r="CT1022" i="48"/>
  <c r="CV1022" i="48"/>
  <c r="CU1022" i="48"/>
  <c r="CV1173" i="48"/>
  <c r="CU1173" i="48"/>
  <c r="CT1173" i="48"/>
  <c r="CU1298" i="48"/>
  <c r="CT1298" i="48"/>
  <c r="CV1298" i="48"/>
  <c r="CV868" i="48"/>
  <c r="CU868" i="48"/>
  <c r="CT868" i="48"/>
  <c r="CT266" i="48"/>
  <c r="CV266" i="48"/>
  <c r="CU266" i="48"/>
  <c r="CV225" i="48"/>
  <c r="CU225" i="48"/>
  <c r="CT225" i="48"/>
  <c r="CV1068" i="48"/>
  <c r="CU1068" i="48"/>
  <c r="CT1068" i="48"/>
  <c r="CU1100" i="48"/>
  <c r="CT1100" i="48"/>
  <c r="CV1100" i="48"/>
  <c r="CU247" i="48"/>
  <c r="CT247" i="48"/>
  <c r="CV247" i="48"/>
  <c r="CU839" i="48"/>
  <c r="CT839" i="48"/>
  <c r="CV839" i="48"/>
  <c r="CV619" i="48"/>
  <c r="CU619" i="48"/>
  <c r="CT619" i="48"/>
  <c r="CU772" i="48"/>
  <c r="CV772" i="48"/>
  <c r="CT772" i="48"/>
  <c r="CV1010" i="48"/>
  <c r="CU1010" i="48"/>
  <c r="CT1010" i="48"/>
  <c r="CV1219" i="48"/>
  <c r="CU1219" i="48"/>
  <c r="CT1219" i="48"/>
  <c r="CV495" i="48"/>
  <c r="CU495" i="48"/>
  <c r="CT495" i="48"/>
  <c r="CV1190" i="48"/>
  <c r="CU1190" i="48"/>
  <c r="CT1190" i="48"/>
  <c r="CV1014" i="48"/>
  <c r="CU1014" i="48"/>
  <c r="CT1014" i="48"/>
  <c r="CV295" i="48"/>
  <c r="CU295" i="48"/>
  <c r="CT295" i="48"/>
  <c r="CT314" i="48"/>
  <c r="CV314" i="48"/>
  <c r="CU314" i="48"/>
  <c r="CV824" i="48"/>
  <c r="CU824" i="48"/>
  <c r="CT824" i="48"/>
  <c r="CV615" i="48"/>
  <c r="CU615" i="48"/>
  <c r="CT615" i="48"/>
  <c r="CT845" i="48"/>
  <c r="CV845" i="48"/>
  <c r="CU845" i="48"/>
  <c r="CT1122" i="48"/>
  <c r="CV1122" i="48"/>
  <c r="CU1122" i="48"/>
  <c r="CV596" i="48"/>
  <c r="CU596" i="48"/>
  <c r="CT596" i="48"/>
  <c r="CU420" i="48"/>
  <c r="CT420" i="48"/>
  <c r="CV420" i="48"/>
  <c r="CV223" i="48"/>
  <c r="CU223" i="48"/>
  <c r="CT223" i="48"/>
  <c r="CV116" i="48"/>
  <c r="CU116" i="48"/>
  <c r="CT116" i="48"/>
  <c r="CU1288" i="48"/>
  <c r="CT1288" i="48"/>
  <c r="CV1288" i="48"/>
  <c r="CV1161" i="48"/>
  <c r="CU1161" i="48"/>
  <c r="CT1161" i="48"/>
  <c r="CV1244" i="48"/>
  <c r="CU1244" i="48"/>
  <c r="CT1244" i="48"/>
  <c r="CV87" i="48"/>
  <c r="CU87" i="48"/>
  <c r="CT87" i="48"/>
  <c r="CV923" i="48"/>
  <c r="CU923" i="48"/>
  <c r="CT923" i="48"/>
  <c r="CV1342" i="48"/>
  <c r="CU1342" i="48"/>
  <c r="CT1342" i="48"/>
  <c r="CT166" i="48"/>
  <c r="CV166" i="48"/>
  <c r="CU166" i="48"/>
  <c r="CU466" i="48"/>
  <c r="CT466" i="48"/>
  <c r="CV466" i="48"/>
  <c r="CV238" i="48"/>
  <c r="CU238" i="48"/>
  <c r="CT238" i="48"/>
  <c r="CU1090" i="48"/>
  <c r="CT1090" i="48"/>
  <c r="CV1090" i="48"/>
  <c r="CV1313" i="48"/>
  <c r="CU1313" i="48"/>
  <c r="CT1313" i="48"/>
  <c r="CV95" i="48"/>
  <c r="CU95" i="48"/>
  <c r="CT95" i="48"/>
  <c r="CV1287" i="48"/>
  <c r="CU1287" i="48"/>
  <c r="CT1287" i="48"/>
  <c r="CU490" i="48"/>
  <c r="CT490" i="48"/>
  <c r="CV490" i="48"/>
  <c r="CT316" i="48"/>
  <c r="CV316" i="48"/>
  <c r="CU316" i="48"/>
  <c r="CV1346" i="48"/>
  <c r="CU1346" i="48"/>
  <c r="CT1346" i="48"/>
  <c r="CV170" i="48"/>
  <c r="CU170" i="48"/>
  <c r="CT170" i="48"/>
  <c r="CU514" i="48"/>
  <c r="CT514" i="48"/>
  <c r="CV514" i="48"/>
  <c r="CT1241" i="48"/>
  <c r="CV1241" i="48"/>
  <c r="CU1241" i="48"/>
  <c r="CT699" i="48"/>
  <c r="CV699" i="48"/>
  <c r="CU699" i="48"/>
  <c r="CU272" i="48"/>
  <c r="CT272" i="48"/>
  <c r="CV272" i="48"/>
  <c r="CV797" i="48"/>
  <c r="CU797" i="48"/>
  <c r="CT797" i="48"/>
  <c r="CU648" i="48"/>
  <c r="CT648" i="48"/>
  <c r="CV648" i="48"/>
  <c r="CT765" i="48"/>
  <c r="CV765" i="48"/>
  <c r="CU765" i="48"/>
  <c r="CV168" i="48"/>
  <c r="CU168" i="48"/>
  <c r="CT168" i="48"/>
  <c r="CT241" i="48"/>
  <c r="CV241" i="48"/>
  <c r="CU241" i="48"/>
  <c r="CV1267" i="48"/>
  <c r="CU1267" i="48"/>
  <c r="CT1267" i="48"/>
  <c r="CV798" i="48"/>
  <c r="CU798" i="48"/>
  <c r="CT798" i="48"/>
  <c r="CV537" i="48"/>
  <c r="CU537" i="48"/>
  <c r="CT537" i="48"/>
  <c r="CV788" i="48"/>
  <c r="CU788" i="48"/>
  <c r="CT788" i="48"/>
  <c r="CT920" i="48"/>
  <c r="CV920" i="48"/>
  <c r="CU920" i="48"/>
  <c r="CV240" i="48"/>
  <c r="CU240" i="48"/>
  <c r="CT240" i="48"/>
  <c r="CU136" i="48"/>
  <c r="CT136" i="48"/>
  <c r="CV136" i="48"/>
  <c r="CV299" i="48"/>
  <c r="CU299" i="48"/>
  <c r="CT299" i="48"/>
  <c r="CU446" i="48"/>
  <c r="CV446" i="48"/>
  <c r="CT446" i="48"/>
  <c r="CV441" i="48"/>
  <c r="CT441" i="48"/>
  <c r="CU441" i="48"/>
  <c r="CT937" i="48"/>
  <c r="CV937" i="48"/>
  <c r="CU937" i="48"/>
  <c r="CV469" i="48"/>
  <c r="CT469" i="48"/>
  <c r="CU469" i="48"/>
  <c r="CV98" i="48"/>
  <c r="CU98" i="48"/>
  <c r="CT98" i="48"/>
  <c r="CV871" i="48"/>
  <c r="CU871" i="48"/>
  <c r="CT871" i="48"/>
  <c r="CT1320" i="48"/>
  <c r="CV1320" i="48"/>
  <c r="CU1320" i="48"/>
  <c r="CT1316" i="48"/>
  <c r="CV1316" i="48"/>
  <c r="CU1316" i="48"/>
  <c r="CV268" i="48"/>
  <c r="CU268" i="48"/>
  <c r="CT268" i="48"/>
  <c r="CV75" i="48"/>
  <c r="CU75" i="48"/>
  <c r="CT75" i="48"/>
  <c r="CT1200" i="48"/>
  <c r="CV1200" i="48"/>
  <c r="CU1200" i="48"/>
  <c r="CU574" i="48"/>
  <c r="CT574" i="48"/>
  <c r="CV574" i="48"/>
  <c r="CV840" i="48"/>
  <c r="CU840" i="48"/>
  <c r="CT840" i="48"/>
  <c r="CV342" i="48"/>
  <c r="CU342" i="48"/>
  <c r="CT342" i="48"/>
  <c r="CU424" i="48"/>
  <c r="CT424" i="48"/>
  <c r="CV424" i="48"/>
  <c r="CV1119" i="48"/>
  <c r="CT1119" i="48"/>
  <c r="CU1119" i="48"/>
  <c r="CT419" i="48"/>
  <c r="CV419" i="48"/>
  <c r="CU419" i="48"/>
  <c r="CV1297" i="48"/>
  <c r="CU1297" i="48"/>
  <c r="CT1297" i="48"/>
  <c r="CU623" i="48"/>
  <c r="CT623" i="48"/>
  <c r="CV623" i="48"/>
  <c r="CU498" i="48"/>
  <c r="CT498" i="48"/>
  <c r="CV498" i="48"/>
  <c r="CT691" i="48"/>
  <c r="CV691" i="48"/>
  <c r="CU691" i="48"/>
  <c r="CT1314" i="48"/>
  <c r="CV1314" i="48"/>
  <c r="CU1314" i="48"/>
  <c r="CV1167" i="48"/>
  <c r="CU1167" i="48"/>
  <c r="CT1167" i="48"/>
  <c r="CT368" i="48"/>
  <c r="CV368" i="48"/>
  <c r="CU368" i="48"/>
  <c r="CT849" i="48"/>
  <c r="CV849" i="48"/>
  <c r="CU849" i="48"/>
  <c r="CT597" i="48"/>
  <c r="CV597" i="48"/>
  <c r="CU597" i="48"/>
  <c r="CV1338" i="48"/>
  <c r="CU1338" i="48"/>
  <c r="CT1338" i="48"/>
  <c r="CV1048" i="48"/>
  <c r="CU1048" i="48"/>
  <c r="CT1048" i="48"/>
  <c r="CT274" i="48"/>
  <c r="CV274" i="48"/>
  <c r="CU274" i="48"/>
  <c r="CV1273" i="48"/>
  <c r="CU1273" i="48"/>
  <c r="CT1273" i="48"/>
  <c r="CV1291" i="48"/>
  <c r="CU1291" i="48"/>
  <c r="CT1291" i="48"/>
  <c r="CU422" i="48"/>
  <c r="CT422" i="48"/>
  <c r="CV422" i="48"/>
  <c r="CU1150" i="48"/>
  <c r="CT1150" i="48"/>
  <c r="CV1150" i="48"/>
  <c r="CV790" i="48"/>
  <c r="CU790" i="48"/>
  <c r="CT790" i="48"/>
  <c r="CU1098" i="48"/>
  <c r="CT1098" i="48"/>
  <c r="CV1098" i="48"/>
  <c r="CV869" i="48"/>
  <c r="CU869" i="48"/>
  <c r="CT869" i="48"/>
  <c r="CT669" i="48"/>
  <c r="CV669" i="48"/>
  <c r="CU669" i="48"/>
  <c r="CV796" i="48"/>
  <c r="CU796" i="48"/>
  <c r="CT796" i="48"/>
  <c r="CV493" i="48"/>
  <c r="CU493" i="48"/>
  <c r="CT493" i="48"/>
  <c r="CV1337" i="48"/>
  <c r="CU1337" i="48"/>
  <c r="CT1337" i="48"/>
  <c r="CU774" i="48"/>
  <c r="CV774" i="48"/>
  <c r="CT774" i="48"/>
  <c r="CV1046" i="48"/>
  <c r="CT1046" i="48"/>
  <c r="CU1046" i="48"/>
  <c r="CU736" i="48"/>
  <c r="CV736" i="48"/>
  <c r="CT736" i="48"/>
  <c r="CV1350" i="48"/>
  <c r="CU1350" i="48"/>
  <c r="CT1350" i="48"/>
  <c r="CU115" i="48"/>
  <c r="CT115" i="48"/>
  <c r="CV115" i="48"/>
  <c r="CV200" i="48"/>
  <c r="CU200" i="48"/>
  <c r="CT200" i="48"/>
  <c r="CT63" i="48"/>
  <c r="CU63" i="48"/>
  <c r="CV63" i="48"/>
  <c r="CT313" i="48"/>
  <c r="CU313" i="48"/>
  <c r="CV313" i="48"/>
  <c r="CV1248" i="48"/>
  <c r="CU1248" i="48"/>
  <c r="CT1248" i="48"/>
  <c r="CU525" i="48"/>
  <c r="CT525" i="48"/>
  <c r="CV525" i="48"/>
  <c r="CV1240" i="48"/>
  <c r="CU1240" i="48"/>
  <c r="CT1240" i="48"/>
  <c r="CU524" i="48"/>
  <c r="CT524" i="48"/>
  <c r="CV524" i="48"/>
  <c r="CU224" i="48"/>
  <c r="CT224" i="48"/>
  <c r="CV224" i="48"/>
  <c r="CV789" i="48"/>
  <c r="CU789" i="48"/>
  <c r="CT789" i="48"/>
  <c r="CV150" i="48"/>
  <c r="CU150" i="48"/>
  <c r="CT150" i="48"/>
  <c r="CV391" i="48"/>
  <c r="CT391" i="48"/>
  <c r="CU391" i="48"/>
  <c r="CT925" i="48"/>
  <c r="CU925" i="48"/>
  <c r="CV925" i="48"/>
  <c r="CT1045" i="48"/>
  <c r="CV1045" i="48"/>
  <c r="CU1045" i="48"/>
  <c r="CV397" i="48"/>
  <c r="CT397" i="48"/>
  <c r="CU397" i="48"/>
  <c r="CU1144" i="48"/>
  <c r="CT1144" i="48"/>
  <c r="CV1144" i="48"/>
  <c r="CV1246" i="48"/>
  <c r="CU1246" i="48"/>
  <c r="CT1246" i="48"/>
  <c r="CV965" i="48"/>
  <c r="CU965" i="48"/>
  <c r="CT965" i="48"/>
  <c r="CV1293" i="48"/>
  <c r="CU1293" i="48"/>
  <c r="CT1293" i="48"/>
  <c r="CV273" i="48"/>
  <c r="CU273" i="48"/>
  <c r="CT273" i="48"/>
  <c r="CV348" i="48"/>
  <c r="CU348" i="48"/>
  <c r="CT348" i="48"/>
  <c r="CU120" i="48"/>
  <c r="CT120" i="48"/>
  <c r="CV120" i="48"/>
  <c r="CT374" i="48"/>
  <c r="CU374" i="48"/>
  <c r="CV374" i="48"/>
  <c r="CT143" i="48"/>
  <c r="CV143" i="48"/>
  <c r="CU143" i="48"/>
  <c r="CT599" i="48"/>
  <c r="CV599" i="48"/>
  <c r="CU599" i="48"/>
  <c r="CU470" i="48"/>
  <c r="CT470" i="48"/>
  <c r="CV470" i="48"/>
  <c r="CU440" i="48"/>
  <c r="CV440" i="48"/>
  <c r="CT440" i="48"/>
  <c r="CV1041" i="48"/>
  <c r="CU1041" i="48"/>
  <c r="CT1041" i="48"/>
  <c r="CU412" i="48"/>
  <c r="CT412" i="48"/>
  <c r="CV412" i="48"/>
  <c r="CV188" i="48"/>
  <c r="CU188" i="48"/>
  <c r="CT188" i="48"/>
  <c r="CU762" i="48"/>
  <c r="CV762" i="48"/>
  <c r="CT762" i="48"/>
  <c r="CV445" i="48"/>
  <c r="CT445" i="48"/>
  <c r="CU445" i="48"/>
  <c r="CV344" i="48"/>
  <c r="CU344" i="48"/>
  <c r="CT344" i="48"/>
  <c r="CV1275" i="48"/>
  <c r="CU1275" i="48"/>
  <c r="CT1275" i="48"/>
  <c r="CV1063" i="48"/>
  <c r="CU1063" i="48"/>
  <c r="CT1063" i="48"/>
  <c r="CV147" i="48"/>
  <c r="CU147" i="48"/>
  <c r="CT147" i="48"/>
  <c r="CU296" i="48"/>
  <c r="CT296" i="48"/>
  <c r="CV296" i="48"/>
  <c r="CT946" i="48"/>
  <c r="CV946" i="48"/>
  <c r="CU946" i="48"/>
  <c r="CU141" i="48"/>
  <c r="CT141" i="48"/>
  <c r="CV141" i="48"/>
  <c r="CV215" i="48"/>
  <c r="CU215" i="48"/>
  <c r="CT215" i="48"/>
  <c r="CV594" i="48"/>
  <c r="CU594" i="48"/>
  <c r="CT594" i="48"/>
  <c r="CV967" i="48"/>
  <c r="CU967" i="48"/>
  <c r="CT967" i="48"/>
  <c r="CT771" i="48"/>
  <c r="CU771" i="48"/>
  <c r="CV771" i="48"/>
  <c r="CT1247" i="48"/>
  <c r="CV1247" i="48"/>
  <c r="CU1247" i="48"/>
  <c r="CV598" i="48"/>
  <c r="CU598" i="48"/>
  <c r="CT598" i="48"/>
  <c r="CV367" i="48"/>
  <c r="CT367" i="48"/>
  <c r="CU367" i="48"/>
  <c r="CT292" i="48"/>
  <c r="CV292" i="48"/>
  <c r="CU292" i="48"/>
  <c r="CV973" i="48"/>
  <c r="CU973" i="48"/>
  <c r="CT973" i="48"/>
  <c r="CU494" i="48"/>
  <c r="CT494" i="48"/>
  <c r="CV494" i="48"/>
  <c r="CV538" i="48"/>
  <c r="CU538" i="48"/>
  <c r="CT538" i="48"/>
  <c r="CU1013" i="48"/>
  <c r="CT1013" i="48"/>
  <c r="CV1013" i="48"/>
  <c r="CV838" i="48"/>
  <c r="CU838" i="48"/>
  <c r="CT838" i="48"/>
  <c r="CU646" i="48"/>
  <c r="CT646" i="48"/>
  <c r="CV646" i="48"/>
  <c r="CU770" i="48"/>
  <c r="CV770" i="48"/>
  <c r="CT770" i="48"/>
  <c r="CT125" i="48"/>
  <c r="CV125" i="48"/>
  <c r="CU125" i="48"/>
  <c r="CU621" i="48"/>
  <c r="CV621" i="48"/>
  <c r="CT621" i="48"/>
  <c r="CV1097" i="48"/>
  <c r="CU1097" i="48"/>
  <c r="CT1097" i="48"/>
  <c r="CT1018" i="48"/>
  <c r="CV1018" i="48"/>
  <c r="CU1018" i="48"/>
  <c r="CV271" i="48"/>
  <c r="CU271" i="48"/>
  <c r="CT271" i="48"/>
  <c r="CU1094" i="48"/>
  <c r="CT1094" i="48"/>
  <c r="CV1094" i="48"/>
  <c r="CU768" i="48"/>
  <c r="CT768" i="48"/>
  <c r="CV768" i="48"/>
  <c r="CV867" i="48"/>
  <c r="CU867" i="48"/>
  <c r="CT867" i="48"/>
  <c r="CT413" i="48"/>
  <c r="CV413" i="48"/>
  <c r="CU413" i="48"/>
  <c r="CU799" i="48"/>
  <c r="CT799" i="48"/>
  <c r="CV799" i="48"/>
  <c r="CV124" i="48"/>
  <c r="CU124" i="48"/>
  <c r="CT124" i="48"/>
  <c r="CV1197" i="48"/>
  <c r="CU1197" i="48"/>
  <c r="CT1197" i="48"/>
  <c r="CV795" i="48"/>
  <c r="CU795" i="48"/>
  <c r="CT795" i="48"/>
  <c r="CT695" i="48"/>
  <c r="CV695" i="48"/>
  <c r="CU695" i="48"/>
  <c r="CV113" i="48"/>
  <c r="CU113" i="48"/>
  <c r="CT113" i="48"/>
  <c r="CV390" i="48"/>
  <c r="CU390" i="48"/>
  <c r="CT390" i="48"/>
  <c r="CV787" i="48"/>
  <c r="CU787" i="48"/>
  <c r="CT787" i="48"/>
  <c r="CU474" i="48"/>
  <c r="CT474" i="48"/>
  <c r="CV474" i="48"/>
  <c r="CT587" i="48"/>
  <c r="CV587" i="48"/>
  <c r="CU587" i="48"/>
  <c r="CT218" i="48"/>
  <c r="CV218" i="48"/>
  <c r="CU218" i="48"/>
  <c r="CV1215" i="48"/>
  <c r="CU1215" i="48"/>
  <c r="CT1215" i="48"/>
  <c r="CV988" i="48"/>
  <c r="CU988" i="48"/>
  <c r="CT988" i="48"/>
  <c r="CV617" i="48"/>
  <c r="CU617" i="48"/>
  <c r="CT617" i="48"/>
  <c r="CV464" i="48"/>
  <c r="CT464" i="48"/>
  <c r="CU464" i="48"/>
  <c r="CU742" i="48"/>
  <c r="CV742" i="48"/>
  <c r="CT742" i="48"/>
  <c r="CV171" i="48"/>
  <c r="CU171" i="48"/>
  <c r="CT171" i="48"/>
  <c r="CU675" i="48"/>
  <c r="CT675" i="48"/>
  <c r="CV675" i="48"/>
  <c r="CT320" i="48"/>
  <c r="CV320" i="48"/>
  <c r="CU320" i="48"/>
  <c r="CT244" i="48"/>
  <c r="CV244" i="48"/>
  <c r="CU244" i="48"/>
  <c r="CT843" i="48"/>
  <c r="CV843" i="48"/>
  <c r="CU843" i="48"/>
  <c r="CT99" i="48"/>
  <c r="CV99" i="48"/>
  <c r="CU99" i="48"/>
  <c r="CV222" i="48"/>
  <c r="CU222" i="48"/>
  <c r="CT222" i="48"/>
  <c r="CV1139" i="48"/>
  <c r="CU1139" i="48"/>
  <c r="CT1139" i="48"/>
  <c r="CV393" i="48"/>
  <c r="CU393" i="48"/>
  <c r="CT393" i="48"/>
  <c r="CV1261" i="48"/>
  <c r="CU1261" i="48"/>
  <c r="CT1261" i="48"/>
  <c r="CV362" i="48"/>
  <c r="CU362" i="48"/>
  <c r="CT362" i="48"/>
  <c r="CV1218" i="48"/>
  <c r="CU1218" i="48"/>
  <c r="CT1218" i="48"/>
  <c r="CV1075" i="48"/>
  <c r="CU1075" i="48"/>
  <c r="CT1075" i="48"/>
  <c r="CV862" i="48"/>
  <c r="CT862" i="48"/>
  <c r="CU862" i="48"/>
  <c r="CT189" i="48"/>
  <c r="CV189" i="48"/>
  <c r="CU189" i="48"/>
  <c r="CV637" i="48"/>
  <c r="CU637" i="48"/>
  <c r="CT637" i="48"/>
  <c r="CV336" i="48"/>
  <c r="CU336" i="48"/>
  <c r="CT336" i="48"/>
  <c r="CV499" i="48"/>
  <c r="CU499" i="48"/>
  <c r="CT499" i="48"/>
  <c r="CU724" i="48"/>
  <c r="CV724" i="48"/>
  <c r="CT724" i="48"/>
  <c r="CV1193" i="48"/>
  <c r="CU1193" i="48"/>
  <c r="CT1193" i="48"/>
  <c r="CT1172" i="48"/>
  <c r="CV1172" i="48"/>
  <c r="CU1172" i="48"/>
  <c r="CV140" i="48"/>
  <c r="CU140" i="48"/>
  <c r="CT140" i="48"/>
  <c r="CV345" i="48"/>
  <c r="CU345" i="48"/>
  <c r="CT345" i="48"/>
  <c r="CT847" i="48"/>
  <c r="CV847" i="48"/>
  <c r="CU847" i="48"/>
  <c r="CV443" i="48"/>
  <c r="CT443" i="48"/>
  <c r="CU443" i="48"/>
  <c r="CT1262" i="48"/>
  <c r="CV1262" i="48"/>
  <c r="CU1262" i="48"/>
  <c r="CU418" i="48"/>
  <c r="CT418" i="48"/>
  <c r="CV418" i="48"/>
  <c r="CU644" i="48"/>
  <c r="CT644" i="48"/>
  <c r="CV644" i="48"/>
  <c r="CV1299" i="48"/>
  <c r="CU1299" i="48"/>
  <c r="CT1299" i="48"/>
  <c r="CT924" i="48"/>
  <c r="CV924" i="48"/>
  <c r="CU924" i="48"/>
  <c r="CV690" i="48"/>
  <c r="CU690" i="48"/>
  <c r="CT690" i="48"/>
  <c r="CU1138" i="48"/>
  <c r="CT1138" i="48"/>
  <c r="CV1138" i="48"/>
  <c r="CV1113" i="48"/>
  <c r="CU1113" i="48"/>
  <c r="CT1113" i="48"/>
  <c r="CT693" i="48"/>
  <c r="CV693" i="48"/>
  <c r="CU693" i="48"/>
  <c r="CT370" i="48"/>
  <c r="CU370" i="48"/>
  <c r="CV370" i="48"/>
  <c r="CV1343" i="48"/>
  <c r="CU1343" i="48"/>
  <c r="CT1343" i="48"/>
  <c r="CT1266" i="48"/>
  <c r="CV1266" i="48"/>
  <c r="CU1266" i="48"/>
  <c r="CT423" i="48"/>
  <c r="CV423" i="48"/>
  <c r="CU423" i="48"/>
  <c r="CV820" i="48"/>
  <c r="CU820" i="48"/>
  <c r="CT820" i="48"/>
  <c r="CV467" i="48"/>
  <c r="CT467" i="48"/>
  <c r="CU467" i="48"/>
  <c r="CV489" i="48"/>
  <c r="CT489" i="48"/>
  <c r="CU489" i="48"/>
  <c r="CV649" i="48"/>
  <c r="CU649" i="48"/>
  <c r="CT649" i="48"/>
  <c r="CV1222" i="48"/>
  <c r="CU1222" i="48"/>
  <c r="CT1222" i="48"/>
  <c r="CV1336" i="48"/>
  <c r="CU1336" i="48"/>
  <c r="CT1336" i="48"/>
  <c r="CU720" i="48"/>
  <c r="CT720" i="48"/>
  <c r="CV720" i="48"/>
  <c r="CU564" i="48"/>
  <c r="CT564" i="48"/>
  <c r="CV564" i="48"/>
  <c r="CT1016" i="48"/>
  <c r="CV1016" i="48"/>
  <c r="CU1016" i="48"/>
  <c r="CV614" i="48"/>
  <c r="CU614" i="48"/>
  <c r="CT614" i="48"/>
  <c r="CV692" i="48"/>
  <c r="CU692" i="48"/>
  <c r="CT692" i="48"/>
  <c r="CT773" i="48"/>
  <c r="CV773" i="48"/>
  <c r="CU773" i="48"/>
  <c r="CV1319" i="48"/>
  <c r="CU1319" i="48"/>
  <c r="CT1319" i="48"/>
  <c r="CT723" i="48"/>
  <c r="CU723" i="48"/>
  <c r="CV723" i="48"/>
  <c r="CV243" i="48"/>
  <c r="CU243" i="48"/>
  <c r="CT243" i="48"/>
  <c r="CT1114" i="48"/>
  <c r="CV1114" i="48"/>
  <c r="CU1114" i="48"/>
  <c r="CT717" i="48"/>
  <c r="CV717" i="48"/>
  <c r="CU717" i="48"/>
  <c r="CV1323" i="48"/>
  <c r="CU1323" i="48"/>
  <c r="CT1323" i="48"/>
  <c r="CU674" i="48"/>
  <c r="CT674" i="48"/>
  <c r="CV674" i="48"/>
  <c r="CT195" i="48"/>
  <c r="CV195" i="48"/>
  <c r="CU195" i="48"/>
  <c r="CT146" i="48"/>
  <c r="CV146" i="48"/>
  <c r="CU146" i="48"/>
  <c r="CV1195" i="48"/>
  <c r="CT1195" i="48"/>
  <c r="CU1195" i="48"/>
  <c r="CU518" i="48"/>
  <c r="CT518" i="48"/>
  <c r="CV518" i="48"/>
  <c r="CV792" i="48"/>
  <c r="CU792" i="48"/>
  <c r="CT792" i="48"/>
  <c r="CT1324" i="48"/>
  <c r="CV1324" i="48"/>
  <c r="CU1324" i="48"/>
  <c r="CT323" i="48"/>
  <c r="CV323" i="48"/>
  <c r="CU323" i="48"/>
  <c r="CU672" i="48"/>
  <c r="CT672" i="48"/>
  <c r="CV672" i="48"/>
  <c r="CV1191" i="48"/>
  <c r="CT1191" i="48"/>
  <c r="CU1191" i="48"/>
  <c r="CV1198" i="48"/>
  <c r="CU1198" i="48"/>
  <c r="CT1198" i="48"/>
  <c r="CV1348" i="48"/>
  <c r="CU1348" i="48"/>
  <c r="CT1348" i="48"/>
  <c r="CT1164" i="48"/>
  <c r="CV1164" i="48"/>
  <c r="CU1164" i="48"/>
  <c r="CU516" i="48"/>
  <c r="CT516" i="48"/>
  <c r="CV516" i="48"/>
  <c r="CV1216" i="48"/>
  <c r="CU1216" i="48"/>
  <c r="CT1216" i="48"/>
  <c r="CV919" i="48"/>
  <c r="CU919" i="48"/>
  <c r="CT919" i="48"/>
  <c r="CT1124" i="48"/>
  <c r="CU1124" i="48"/>
  <c r="CV1124" i="48"/>
  <c r="CV491" i="48"/>
  <c r="CT491" i="48"/>
  <c r="CU491" i="48"/>
  <c r="CV645" i="48"/>
  <c r="CU645" i="48"/>
  <c r="CT645" i="48"/>
  <c r="CV347" i="48"/>
  <c r="CT347" i="48"/>
  <c r="CU347" i="48"/>
  <c r="CV1211" i="48"/>
  <c r="CU1211" i="48"/>
  <c r="CT1211" i="48"/>
  <c r="CV548" i="48"/>
  <c r="CU548" i="48"/>
  <c r="CT548" i="48"/>
  <c r="CU416" i="48"/>
  <c r="CT416" i="48"/>
  <c r="CV416" i="48"/>
  <c r="CV743" i="48"/>
  <c r="CT743" i="48"/>
  <c r="CU743" i="48"/>
  <c r="CV995" i="48"/>
  <c r="CU995" i="48"/>
  <c r="CT995" i="48"/>
  <c r="CV70" i="48"/>
  <c r="CU70" i="48"/>
  <c r="CT70" i="48"/>
  <c r="CT138" i="48"/>
  <c r="CV138" i="48"/>
  <c r="CU138" i="48"/>
  <c r="CT565" i="48"/>
  <c r="CV565" i="48"/>
  <c r="CU565" i="48"/>
  <c r="CT567" i="48"/>
  <c r="CV567" i="48"/>
  <c r="CU567" i="48"/>
  <c r="CV262" i="48"/>
  <c r="CU262" i="48"/>
  <c r="CT262" i="48"/>
  <c r="CU562" i="48"/>
  <c r="CT562" i="48"/>
  <c r="CV562" i="48"/>
  <c r="CU264" i="48"/>
  <c r="CT264" i="48"/>
  <c r="CV264" i="48"/>
  <c r="CU1294" i="48"/>
  <c r="CT1294" i="48"/>
  <c r="CV1294" i="48"/>
  <c r="CV688" i="48"/>
  <c r="CU688" i="48"/>
  <c r="CT688" i="48"/>
  <c r="CV698" i="48"/>
  <c r="CU698" i="48"/>
  <c r="CT698" i="48"/>
  <c r="CV592" i="48"/>
  <c r="CU592" i="48"/>
  <c r="CT592" i="48"/>
  <c r="CU722" i="48"/>
  <c r="CV722" i="48"/>
  <c r="CT722" i="48"/>
  <c r="CU211" i="48"/>
  <c r="CT211" i="48"/>
  <c r="CV211" i="48"/>
  <c r="CV1000" i="48"/>
  <c r="CU1000" i="48"/>
  <c r="CT1000" i="48"/>
  <c r="CT1170" i="48"/>
  <c r="CV1170" i="48"/>
  <c r="CU1170" i="48"/>
  <c r="CU167" i="48"/>
  <c r="CT167" i="48"/>
  <c r="CV167" i="48"/>
  <c r="CT523" i="48"/>
  <c r="CV523" i="48"/>
  <c r="CU523" i="48"/>
  <c r="CV62" i="48"/>
  <c r="CU62" i="48"/>
  <c r="CT62" i="48"/>
  <c r="CV191" i="48"/>
  <c r="CU191" i="48"/>
  <c r="CT191" i="48"/>
  <c r="CV437" i="48"/>
  <c r="CT437" i="48"/>
  <c r="CU437" i="48"/>
  <c r="CT671" i="48"/>
  <c r="CV671" i="48"/>
  <c r="CU671" i="48"/>
  <c r="CV1242" i="48"/>
  <c r="CU1242" i="48"/>
  <c r="CT1242" i="48"/>
  <c r="CV93" i="48"/>
  <c r="CU93" i="48"/>
  <c r="CT93" i="48"/>
  <c r="CV1040" i="48"/>
  <c r="CU1040" i="48"/>
  <c r="CT1040" i="48"/>
  <c r="CV866" i="48"/>
  <c r="CT866" i="48"/>
  <c r="CU866" i="48"/>
  <c r="CT916" i="48"/>
  <c r="CV916" i="48"/>
  <c r="CU916" i="48"/>
  <c r="CV863" i="48"/>
  <c r="CU863" i="48"/>
  <c r="CT863" i="48"/>
  <c r="CV913" i="48"/>
  <c r="CU913" i="48"/>
  <c r="CT913" i="48"/>
  <c r="CV715" i="48"/>
  <c r="CU715" i="48"/>
  <c r="CT715" i="48"/>
  <c r="CU738" i="48"/>
  <c r="CT738" i="48"/>
  <c r="CV738" i="48"/>
  <c r="CV1263" i="48"/>
  <c r="CU1263" i="48"/>
  <c r="CT1263" i="48"/>
  <c r="CV624" i="48"/>
  <c r="CU624" i="48"/>
  <c r="CT624" i="48"/>
  <c r="CT1274" i="48"/>
  <c r="CV1274" i="48"/>
  <c r="CU1274" i="48"/>
  <c r="CV369" i="48"/>
  <c r="CU369" i="48"/>
  <c r="CT369" i="48"/>
  <c r="CV212" i="48"/>
  <c r="CU212" i="48"/>
  <c r="CT212" i="48"/>
  <c r="CV449" i="48"/>
  <c r="CT449" i="48"/>
  <c r="CU449" i="48"/>
  <c r="CT569" i="48"/>
  <c r="CV569" i="48"/>
  <c r="CU569" i="48"/>
  <c r="CU448" i="48"/>
  <c r="CV448" i="48"/>
  <c r="CT448" i="48"/>
  <c r="CT850" i="48"/>
  <c r="CV850" i="48"/>
  <c r="CU850" i="48"/>
  <c r="CV220" i="48"/>
  <c r="CU220" i="48"/>
  <c r="CT220" i="48"/>
  <c r="CV870" i="48"/>
  <c r="CT870" i="48"/>
  <c r="CU870" i="48"/>
  <c r="CV1049" i="48"/>
  <c r="CU1049" i="48"/>
  <c r="CT1049" i="48"/>
  <c r="CT600" i="48"/>
  <c r="CV600" i="48"/>
  <c r="CU600" i="48"/>
  <c r="CV1149" i="48"/>
  <c r="CU1149" i="48"/>
  <c r="CT1149" i="48"/>
  <c r="CV341" i="48"/>
  <c r="CT341" i="48"/>
  <c r="CU341" i="48"/>
  <c r="CV812" i="48"/>
  <c r="CU812" i="48"/>
  <c r="CT812" i="48"/>
  <c r="CT439" i="48"/>
  <c r="CU439" i="48"/>
  <c r="CV439" i="48"/>
  <c r="CT962" i="48"/>
  <c r="CV962" i="48"/>
  <c r="CU962" i="48"/>
  <c r="CU492" i="48"/>
  <c r="CV492" i="48"/>
  <c r="CT492" i="48"/>
  <c r="CV814" i="48"/>
  <c r="CU814" i="48"/>
  <c r="CT814" i="48"/>
  <c r="CU572" i="48"/>
  <c r="CT572" i="48"/>
  <c r="CV572" i="48"/>
  <c r="CV346" i="48"/>
  <c r="CU346" i="48"/>
  <c r="CT346" i="48"/>
  <c r="CV1111" i="48"/>
  <c r="CT1111" i="48"/>
  <c r="CU1111" i="48"/>
  <c r="CV163" i="48"/>
  <c r="CU163" i="48"/>
  <c r="CT163" i="48"/>
  <c r="CV1171" i="48"/>
  <c r="CU1171" i="48"/>
  <c r="CT1171" i="48"/>
  <c r="CU666" i="48"/>
  <c r="CT666" i="48"/>
  <c r="CV666" i="48"/>
  <c r="CV1145" i="48"/>
  <c r="CU1145" i="48"/>
  <c r="CT1145" i="48"/>
  <c r="CV542" i="48"/>
  <c r="CU542" i="48"/>
  <c r="CT542" i="48"/>
  <c r="CV337" i="48"/>
  <c r="CU337" i="48"/>
  <c r="CT337" i="48"/>
  <c r="CT972" i="48"/>
  <c r="CV972" i="48"/>
  <c r="CU972" i="48"/>
  <c r="CV1147" i="48"/>
  <c r="CU1147" i="48"/>
  <c r="CT1147" i="48"/>
  <c r="CU72" i="48"/>
  <c r="CT72" i="48"/>
  <c r="CV72" i="48"/>
  <c r="CT315" i="48"/>
  <c r="CV315" i="48"/>
  <c r="CU315" i="48"/>
  <c r="CV65" i="48"/>
  <c r="CT65" i="48"/>
  <c r="CU65" i="48"/>
  <c r="CV1062" i="48"/>
  <c r="CU1062" i="48"/>
  <c r="CT1062" i="48"/>
  <c r="CT912" i="48"/>
  <c r="CV912" i="48"/>
  <c r="CU912" i="48"/>
  <c r="CU642" i="48"/>
  <c r="CT642" i="48"/>
  <c r="CV642" i="48"/>
  <c r="CV1044" i="48"/>
  <c r="CU1044" i="48"/>
  <c r="CT1044" i="48"/>
  <c r="CV265" i="48"/>
  <c r="CU265" i="48"/>
  <c r="CT265" i="48"/>
  <c r="CT1024" i="48"/>
  <c r="CV1024" i="48"/>
  <c r="CU1024" i="48"/>
  <c r="CV686" i="48"/>
  <c r="CU686" i="48"/>
  <c r="CT686" i="48"/>
  <c r="CV1349" i="48"/>
  <c r="CU1349" i="48"/>
  <c r="CT1349" i="48"/>
  <c r="CV1042" i="48"/>
  <c r="CU1042" i="48"/>
  <c r="CT1042" i="48"/>
  <c r="CV145" i="48"/>
  <c r="CU145" i="48"/>
  <c r="CT145" i="48"/>
  <c r="CT769" i="48"/>
  <c r="CV769" i="48"/>
  <c r="CU769" i="48"/>
  <c r="CV237" i="48"/>
  <c r="CU237" i="48"/>
  <c r="CT237" i="48"/>
  <c r="CU568" i="48"/>
  <c r="CT568" i="48"/>
  <c r="CV568" i="48"/>
  <c r="CV1089" i="48"/>
  <c r="CU1089" i="48"/>
  <c r="CT1089" i="48"/>
  <c r="CE3" i="48"/>
  <c r="CT40" i="48"/>
  <c r="CU40" i="48"/>
  <c r="CV40" i="48"/>
  <c r="CU45" i="48"/>
  <c r="CT45" i="48"/>
  <c r="CV45" i="48"/>
  <c r="CT46" i="48"/>
  <c r="CV46" i="48"/>
  <c r="CU46" i="48"/>
  <c r="CU47" i="48"/>
  <c r="CV47" i="48"/>
  <c r="CT47" i="48"/>
  <c r="CT36" i="48"/>
  <c r="CU36" i="48"/>
  <c r="CV36" i="48"/>
  <c r="CU41" i="48"/>
  <c r="CT41" i="48"/>
  <c r="CV41" i="48"/>
  <c r="CU39" i="48"/>
  <c r="CV39" i="48"/>
  <c r="CT39" i="48"/>
  <c r="CU49" i="48"/>
  <c r="CT49" i="48"/>
  <c r="CV49" i="48"/>
  <c r="CU43" i="48"/>
  <c r="CT43" i="48"/>
  <c r="CV43" i="48"/>
  <c r="CV50" i="48"/>
  <c r="CU50" i="48"/>
  <c r="CT50" i="48"/>
  <c r="CT48" i="48"/>
  <c r="CU48" i="48"/>
  <c r="CV48" i="48"/>
  <c r="CT44" i="48"/>
  <c r="CV44" i="48"/>
  <c r="CU44" i="48"/>
  <c r="CT38" i="48"/>
  <c r="CU38" i="48"/>
  <c r="CV38" i="48"/>
  <c r="CT42" i="48"/>
  <c r="CU42" i="48"/>
  <c r="CV42" i="48"/>
  <c r="CU37" i="48"/>
  <c r="CV37" i="48"/>
  <c r="CT37" i="48"/>
  <c r="CT25" i="48"/>
  <c r="CV25" i="48"/>
  <c r="CV14" i="48"/>
  <c r="CT14" i="48"/>
  <c r="CV23" i="48"/>
  <c r="CT23" i="48"/>
  <c r="CT20" i="48"/>
  <c r="CV20" i="48"/>
  <c r="CV11" i="48"/>
  <c r="CT11" i="48"/>
  <c r="CV18" i="48"/>
  <c r="CT18" i="48"/>
  <c r="CT12" i="48"/>
  <c r="CV12" i="48"/>
  <c r="CT13" i="48"/>
  <c r="CV13" i="48"/>
  <c r="CT16" i="48"/>
  <c r="CV16" i="48"/>
  <c r="CV22" i="48"/>
  <c r="CT22" i="48"/>
  <c r="CV21" i="48"/>
  <c r="CT21" i="48"/>
  <c r="CT24" i="48"/>
  <c r="CV24" i="48"/>
  <c r="CV17" i="48"/>
  <c r="CT17" i="48"/>
  <c r="CV15" i="48"/>
  <c r="CT15" i="48"/>
  <c r="CV19" i="48"/>
  <c r="CT19" i="48"/>
  <c r="CQ703" i="48" l="1"/>
  <c r="CZ628" i="48"/>
  <c r="CQ678" i="48"/>
  <c r="CZ678" i="48" s="1"/>
  <c r="CQ427" i="48"/>
  <c r="CZ427" i="48" s="1"/>
  <c r="CW369" i="48"/>
  <c r="CW1274" i="48"/>
  <c r="CW1263" i="48"/>
  <c r="CW692" i="48"/>
  <c r="CW1016" i="48"/>
  <c r="CW1266" i="48"/>
  <c r="CW693" i="48"/>
  <c r="CW1113" i="48"/>
  <c r="CW690" i="48"/>
  <c r="CW924" i="48"/>
  <c r="CW644" i="48"/>
  <c r="CW1262" i="48"/>
  <c r="CW847" i="48"/>
  <c r="CW843" i="48"/>
  <c r="CW315" i="48"/>
  <c r="CW715" i="48"/>
  <c r="CW913" i="48"/>
  <c r="CW863" i="48"/>
  <c r="CW916" i="48"/>
  <c r="CW244" i="48"/>
  <c r="CW145" i="48"/>
  <c r="CW1147" i="48"/>
  <c r="CW337" i="48"/>
  <c r="CW1145" i="48"/>
  <c r="CW448" i="48"/>
  <c r="CW569" i="48"/>
  <c r="CW1242" i="48"/>
  <c r="CW671" i="48"/>
  <c r="CW437" i="48"/>
  <c r="CW191" i="48"/>
  <c r="CW1294" i="48"/>
  <c r="CW995" i="48"/>
  <c r="CW743" i="48"/>
  <c r="CW347" i="48"/>
  <c r="CW645" i="48"/>
  <c r="CW491" i="48"/>
  <c r="CW1216" i="48"/>
  <c r="CW1348" i="48"/>
  <c r="CW1191" i="48"/>
  <c r="CW1195" i="48"/>
  <c r="CW146" i="48"/>
  <c r="CW674" i="48"/>
  <c r="CW1323" i="48"/>
  <c r="CW717" i="48"/>
  <c r="CW1193" i="48"/>
  <c r="CW499" i="48"/>
  <c r="CW336" i="48"/>
  <c r="CW637" i="48"/>
  <c r="CW474" i="48"/>
  <c r="CW695" i="48"/>
  <c r="CW1094" i="48"/>
  <c r="CW973" i="48"/>
  <c r="CW292" i="48"/>
  <c r="CW367" i="48"/>
  <c r="CW598" i="48"/>
  <c r="CW594" i="48"/>
  <c r="CW296" i="48"/>
  <c r="CW147" i="48"/>
  <c r="CW412" i="48"/>
  <c r="CW470" i="48"/>
  <c r="CW224" i="48"/>
  <c r="CW200" i="48"/>
  <c r="CW796" i="48"/>
  <c r="CW790" i="48"/>
  <c r="CW1150" i="48"/>
  <c r="CW422" i="48"/>
  <c r="CW1048" i="48"/>
  <c r="CW419" i="48"/>
  <c r="CW1119" i="48"/>
  <c r="CW424" i="48"/>
  <c r="CW574" i="48"/>
  <c r="CW920" i="48"/>
  <c r="CW1267" i="48"/>
  <c r="CW241" i="48"/>
  <c r="CW168" i="48"/>
  <c r="CW514" i="48"/>
  <c r="CW316" i="48"/>
  <c r="CW490" i="48"/>
  <c r="CW1090" i="48"/>
  <c r="CW238" i="48"/>
  <c r="CW923" i="48"/>
  <c r="CW1161" i="48"/>
  <c r="CW1100" i="48"/>
  <c r="CW1022" i="48"/>
  <c r="CW219" i="48"/>
  <c r="CW848" i="48"/>
  <c r="CW519" i="48"/>
  <c r="CW375" i="48"/>
  <c r="CW711" i="48"/>
  <c r="CW1043" i="48"/>
  <c r="CW1249" i="48"/>
  <c r="CW898" i="48"/>
  <c r="CW663" i="48"/>
  <c r="CW791" i="48"/>
  <c r="CW914" i="48"/>
  <c r="CW291" i="48"/>
  <c r="CW922" i="48"/>
  <c r="CW1023" i="48"/>
  <c r="CW1070" i="48"/>
  <c r="CW921" i="48"/>
  <c r="CW894" i="48"/>
  <c r="CW366" i="48"/>
  <c r="CW317" i="48"/>
  <c r="CW361" i="48"/>
  <c r="CW421" i="48"/>
  <c r="CW293" i="48"/>
  <c r="CW625" i="48"/>
  <c r="CW1221" i="48"/>
  <c r="CW198" i="48"/>
  <c r="CW175" i="48"/>
  <c r="CW473" i="48"/>
  <c r="CW67" i="48"/>
  <c r="CW312" i="48"/>
  <c r="CW194" i="48"/>
  <c r="CW966" i="48"/>
  <c r="CW1168" i="48"/>
  <c r="CW1264" i="48"/>
  <c r="CW747" i="48"/>
  <c r="CW718" i="48"/>
  <c r="CW842" i="48"/>
  <c r="CW763" i="48"/>
  <c r="CW611" i="48"/>
  <c r="CW740" i="48"/>
  <c r="CW442" i="48"/>
  <c r="CW365" i="48"/>
  <c r="CW593" i="48"/>
  <c r="CW950" i="48"/>
  <c r="CW613" i="48"/>
  <c r="CW1121" i="48"/>
  <c r="CW766" i="48"/>
  <c r="CW311" i="48"/>
  <c r="CW1223" i="48"/>
  <c r="CW475" i="48"/>
  <c r="CW515" i="48"/>
  <c r="CW993" i="48"/>
  <c r="CW246" i="48"/>
  <c r="CW846" i="48"/>
  <c r="CW425" i="48"/>
  <c r="CW748" i="48"/>
  <c r="CW800" i="48"/>
  <c r="CW673" i="48"/>
  <c r="CW837" i="48"/>
  <c r="CW539" i="48"/>
  <c r="CW618" i="48"/>
  <c r="CW463" i="48"/>
  <c r="CW1036" i="48"/>
  <c r="CW94" i="48"/>
  <c r="CW917" i="48"/>
  <c r="CW1040" i="48"/>
  <c r="CW172" i="48"/>
  <c r="CW865" i="48"/>
  <c r="CW1136" i="48"/>
  <c r="CW1125" i="48"/>
  <c r="CW122" i="48"/>
  <c r="CW74" i="48"/>
  <c r="CW290" i="48"/>
  <c r="CW263" i="48"/>
  <c r="CW123" i="48"/>
  <c r="CW570" i="48"/>
  <c r="CW100" i="48"/>
  <c r="CW71" i="48"/>
  <c r="CW197" i="48"/>
  <c r="CW1042" i="48"/>
  <c r="CW686" i="48"/>
  <c r="CW1024" i="48"/>
  <c r="CW265" i="48"/>
  <c r="CW346" i="48"/>
  <c r="CW962" i="48"/>
  <c r="CW600" i="48"/>
  <c r="CW62" i="48"/>
  <c r="CW195" i="48"/>
  <c r="CW1044" i="48"/>
  <c r="CW1170" i="48"/>
  <c r="CW567" i="48"/>
  <c r="CW565" i="48"/>
  <c r="CW138" i="48"/>
  <c r="CW70" i="48"/>
  <c r="CW140" i="48"/>
  <c r="CW1261" i="48"/>
  <c r="CW617" i="48"/>
  <c r="CW1215" i="48"/>
  <c r="CW218" i="48"/>
  <c r="CW1018" i="48"/>
  <c r="CW125" i="48"/>
  <c r="CW344" i="48"/>
  <c r="CW762" i="48"/>
  <c r="CW965" i="48"/>
  <c r="CW1045" i="48"/>
  <c r="CW937" i="48"/>
  <c r="CW648" i="48"/>
  <c r="CW166" i="48"/>
  <c r="CW1122" i="48"/>
  <c r="CW845" i="48"/>
  <c r="CW615" i="48"/>
  <c r="CW314" i="48"/>
  <c r="CW1190" i="48"/>
  <c r="CW1219" i="48"/>
  <c r="CW772" i="48"/>
  <c r="CW619" i="48"/>
  <c r="CW1169" i="48"/>
  <c r="CW298" i="48"/>
  <c r="CW943" i="48"/>
  <c r="CW1188" i="48"/>
  <c r="CW1174" i="48"/>
  <c r="CW415" i="48"/>
  <c r="CW1265" i="48"/>
  <c r="CW1268" i="48"/>
  <c r="CW1312" i="48"/>
  <c r="CW589" i="48"/>
  <c r="CW694" i="48"/>
  <c r="CW1245" i="48"/>
  <c r="CW386" i="48"/>
  <c r="CW595" i="48"/>
  <c r="CW91" i="48"/>
  <c r="CW588" i="48"/>
  <c r="CW1269" i="48"/>
  <c r="CW591" i="48"/>
  <c r="CW942" i="48"/>
  <c r="CW165" i="48"/>
  <c r="CW964" i="48"/>
  <c r="CW324" i="48"/>
  <c r="CW936" i="48"/>
  <c r="CW575" i="48"/>
  <c r="CW696" i="48"/>
  <c r="CW546" i="48"/>
  <c r="CW963" i="48"/>
  <c r="CW1117" i="48"/>
  <c r="CW1243" i="48"/>
  <c r="CW371" i="48"/>
  <c r="CW1118" i="48"/>
  <c r="CW544" i="48"/>
  <c r="CW338" i="48"/>
  <c r="CW746" i="48"/>
  <c r="CW1025" i="48"/>
  <c r="CW398" i="48"/>
  <c r="CW372" i="48"/>
  <c r="CW319" i="48"/>
  <c r="CW496" i="48"/>
  <c r="CW1166" i="48"/>
  <c r="CW915" i="48"/>
  <c r="CW92" i="48"/>
  <c r="CW764" i="48"/>
  <c r="CW640" i="48"/>
  <c r="CW700" i="48"/>
  <c r="CW713" i="48"/>
  <c r="CW974" i="48"/>
  <c r="CW1163" i="48"/>
  <c r="CW697" i="48"/>
  <c r="CW566" i="48"/>
  <c r="CW969" i="48"/>
  <c r="CW520" i="48"/>
  <c r="CW887" i="48"/>
  <c r="CW899" i="48"/>
  <c r="CW1250" i="48"/>
  <c r="CW841" i="48"/>
  <c r="CW364" i="48"/>
  <c r="CW97" i="48"/>
  <c r="CW417" i="48"/>
  <c r="CW388" i="48"/>
  <c r="CW73" i="48"/>
  <c r="CW891" i="48"/>
  <c r="CW947" i="48"/>
  <c r="CW465" i="48"/>
  <c r="CW1123" i="48"/>
  <c r="CW1194" i="48"/>
  <c r="CW242" i="48"/>
  <c r="CW1217" i="48"/>
  <c r="CW996" i="48"/>
  <c r="CW462" i="48"/>
  <c r="CW119" i="48"/>
  <c r="CW1270" i="48"/>
  <c r="CW88" i="48"/>
  <c r="CW769" i="48"/>
  <c r="CW1062" i="48"/>
  <c r="CW65" i="48"/>
  <c r="CW666" i="48"/>
  <c r="CW1171" i="48"/>
  <c r="CW449" i="48"/>
  <c r="CW212" i="48"/>
  <c r="CW523" i="48"/>
  <c r="CW167" i="48"/>
  <c r="CW698" i="48"/>
  <c r="CW264" i="48"/>
  <c r="CW416" i="48"/>
  <c r="CW1124" i="48"/>
  <c r="CW919" i="48"/>
  <c r="CW516" i="48"/>
  <c r="CW672" i="48"/>
  <c r="CW792" i="48"/>
  <c r="CW518" i="48"/>
  <c r="CW243" i="48"/>
  <c r="CW675" i="48"/>
  <c r="CW787" i="48"/>
  <c r="CW799" i="48"/>
  <c r="CW413" i="48"/>
  <c r="CW768" i="48"/>
  <c r="CW1013" i="48"/>
  <c r="CW946" i="48"/>
  <c r="CW1041" i="48"/>
  <c r="CW440" i="48"/>
  <c r="CW348" i="48"/>
  <c r="CW789" i="48"/>
  <c r="CW1350" i="48"/>
  <c r="CW736" i="48"/>
  <c r="CW1337" i="48"/>
  <c r="CW493" i="48"/>
  <c r="CW669" i="48"/>
  <c r="CW1098" i="48"/>
  <c r="CW1291" i="48"/>
  <c r="CW1338" i="48"/>
  <c r="CW623" i="48"/>
  <c r="CW1297" i="48"/>
  <c r="CW75" i="48"/>
  <c r="CW98" i="48"/>
  <c r="CW240" i="48"/>
  <c r="CW170" i="48"/>
  <c r="CW1313" i="48"/>
  <c r="CW1342" i="48"/>
  <c r="CW87" i="48"/>
  <c r="CW223" i="48"/>
  <c r="CW1068" i="48"/>
  <c r="CW225" i="48"/>
  <c r="CW400" i="48"/>
  <c r="CW714" i="48"/>
  <c r="CW549" i="48"/>
  <c r="CW1074" i="48"/>
  <c r="CW1345" i="48"/>
  <c r="CW819" i="48"/>
  <c r="CW745" i="48"/>
  <c r="CW1295" i="48"/>
  <c r="CW1039" i="48"/>
  <c r="CW1064" i="48"/>
  <c r="CW712" i="48"/>
  <c r="CW187" i="48"/>
  <c r="CW872" i="48"/>
  <c r="CW1212" i="48"/>
  <c r="CW991" i="48"/>
  <c r="CW1148" i="48"/>
  <c r="CW547" i="48"/>
  <c r="CW864" i="48"/>
  <c r="CW1347" i="48"/>
  <c r="CW650" i="48"/>
  <c r="CW999" i="48"/>
  <c r="CW343" i="48"/>
  <c r="CW1142" i="48"/>
  <c r="CW350" i="48"/>
  <c r="CW248" i="48"/>
  <c r="CW641" i="48"/>
  <c r="CW821" i="48"/>
  <c r="CW844" i="48"/>
  <c r="CW971" i="48"/>
  <c r="CW363" i="48"/>
  <c r="CW1340" i="48"/>
  <c r="CW66" i="48"/>
  <c r="CW199" i="48"/>
  <c r="CW944" i="48"/>
  <c r="CW989" i="48"/>
  <c r="CW716" i="48"/>
  <c r="CW622" i="48"/>
  <c r="CW1072" i="48"/>
  <c r="CW139" i="48"/>
  <c r="CW1339" i="48"/>
  <c r="CW1214" i="48"/>
  <c r="CW739" i="48"/>
  <c r="CW612" i="48"/>
  <c r="CW1141" i="48"/>
  <c r="CW719" i="48"/>
  <c r="CW948" i="48"/>
  <c r="CW571" i="48"/>
  <c r="CW1289" i="48"/>
  <c r="CW1019" i="48"/>
  <c r="CW1071" i="48"/>
  <c r="CW1069" i="48"/>
  <c r="CW447" i="48"/>
  <c r="CW1096" i="48"/>
  <c r="CW568" i="48"/>
  <c r="CW1349" i="48"/>
  <c r="CW972" i="48"/>
  <c r="CW542" i="48"/>
  <c r="CW163" i="48"/>
  <c r="CW814" i="48"/>
  <c r="CW492" i="48"/>
  <c r="CW812" i="48"/>
  <c r="CW341" i="48"/>
  <c r="CW1149" i="48"/>
  <c r="CW1049" i="48"/>
  <c r="CW870" i="48"/>
  <c r="CW220" i="48"/>
  <c r="CW722" i="48"/>
  <c r="CW592" i="48"/>
  <c r="CW688" i="48"/>
  <c r="CW262" i="48"/>
  <c r="CW548" i="48"/>
  <c r="CW1211" i="48"/>
  <c r="CW1164" i="48"/>
  <c r="CW1198" i="48"/>
  <c r="CW323" i="48"/>
  <c r="CW1324" i="48"/>
  <c r="CW1319" i="48"/>
  <c r="CW773" i="48"/>
  <c r="CW564" i="48"/>
  <c r="CW720" i="48"/>
  <c r="CW467" i="48"/>
  <c r="CW370" i="48"/>
  <c r="CW418" i="48"/>
  <c r="CW1172" i="48"/>
  <c r="CW724" i="48"/>
  <c r="CW189" i="48"/>
  <c r="CW862" i="48"/>
  <c r="CW1075" i="48"/>
  <c r="CW1218" i="48"/>
  <c r="CW362" i="48"/>
  <c r="CW393" i="48"/>
  <c r="CW1139" i="48"/>
  <c r="CW222" i="48"/>
  <c r="CW320" i="48"/>
  <c r="CW171" i="48"/>
  <c r="CW742" i="48"/>
  <c r="CW464" i="48"/>
  <c r="CW867" i="48"/>
  <c r="CW271" i="48"/>
  <c r="CW1097" i="48"/>
  <c r="CW621" i="48"/>
  <c r="CW141" i="48"/>
  <c r="CW1275" i="48"/>
  <c r="CW445" i="48"/>
  <c r="CW374" i="48"/>
  <c r="CW120" i="48"/>
  <c r="CW273" i="48"/>
  <c r="CW1293" i="48"/>
  <c r="CW1246" i="48"/>
  <c r="CW1144" i="48"/>
  <c r="CW397" i="48"/>
  <c r="CW391" i="48"/>
  <c r="CW150" i="48"/>
  <c r="CW524" i="48"/>
  <c r="CW525" i="48"/>
  <c r="CW313" i="48"/>
  <c r="CW63" i="48"/>
  <c r="CW115" i="48"/>
  <c r="CW1316" i="48"/>
  <c r="CW1320" i="48"/>
  <c r="CW871" i="48"/>
  <c r="CW441" i="48"/>
  <c r="CW299" i="48"/>
  <c r="CW136" i="48"/>
  <c r="CW788" i="48"/>
  <c r="CW798" i="48"/>
  <c r="CW797" i="48"/>
  <c r="CW824" i="48"/>
  <c r="CW295" i="48"/>
  <c r="CW1014" i="48"/>
  <c r="CW495" i="48"/>
  <c r="CW1010" i="48"/>
  <c r="CW1173" i="48"/>
  <c r="CW239" i="48"/>
  <c r="CW289" i="48"/>
  <c r="CW1189" i="48"/>
  <c r="CW817" i="48"/>
  <c r="CW1017" i="48"/>
  <c r="CW1067" i="48"/>
  <c r="CW148" i="48"/>
  <c r="CW1186" i="48"/>
  <c r="CW174" i="48"/>
  <c r="CW438" i="48"/>
  <c r="CW1344" i="48"/>
  <c r="CW287" i="48"/>
  <c r="CW461" i="48"/>
  <c r="CW940" i="48"/>
  <c r="CW941" i="48"/>
  <c r="CW825" i="48"/>
  <c r="CW1341" i="48"/>
  <c r="CW1224" i="48"/>
  <c r="CW1092" i="48"/>
  <c r="CW813" i="48"/>
  <c r="CW349" i="48"/>
  <c r="CW389" i="48"/>
  <c r="CW86" i="48"/>
  <c r="CW144" i="48"/>
  <c r="CW620" i="48"/>
  <c r="CW394" i="48"/>
  <c r="CW949" i="48"/>
  <c r="CW545" i="48"/>
  <c r="CW1066" i="48"/>
  <c r="CW997" i="48"/>
  <c r="CW823" i="48"/>
  <c r="CW1087" i="48"/>
  <c r="CW639" i="48"/>
  <c r="CW214" i="48"/>
  <c r="CW945" i="48"/>
  <c r="CW998" i="48"/>
  <c r="CW522" i="48"/>
  <c r="CW192" i="48"/>
  <c r="CW142" i="48"/>
  <c r="CW450" i="48"/>
  <c r="CW1140" i="48"/>
  <c r="CW721" i="48"/>
  <c r="CW816" i="48"/>
  <c r="CW1236" i="48"/>
  <c r="CW339" i="48"/>
  <c r="CW1292" i="48"/>
  <c r="CW1012" i="48"/>
  <c r="CW815" i="48"/>
  <c r="CW1225" i="48"/>
  <c r="CW1146" i="48"/>
  <c r="CW662" i="48"/>
  <c r="CW1315" i="48"/>
  <c r="CW196" i="48"/>
  <c r="CW888" i="48"/>
  <c r="CW563" i="48"/>
  <c r="CW1116" i="48"/>
  <c r="CW1317" i="48"/>
  <c r="CW1311" i="48"/>
  <c r="CW217" i="48"/>
  <c r="CW661" i="48"/>
  <c r="CW1271" i="48"/>
  <c r="CW297" i="48"/>
  <c r="CW1120" i="48"/>
  <c r="CW117" i="48"/>
  <c r="CW822" i="48"/>
  <c r="CW213" i="48"/>
  <c r="CW590" i="48"/>
  <c r="CW1196" i="48"/>
  <c r="CW322" i="48"/>
  <c r="CW61" i="48"/>
  <c r="CW471" i="48"/>
  <c r="CW373" i="48"/>
  <c r="CW687" i="48"/>
  <c r="CW1093" i="48"/>
  <c r="CW169" i="48"/>
  <c r="CW396" i="48"/>
  <c r="CW938" i="48"/>
  <c r="CW1165" i="48"/>
  <c r="CW1073" i="48"/>
  <c r="CW992" i="48"/>
  <c r="CW668" i="48"/>
  <c r="CW1011" i="48"/>
  <c r="CW647" i="48"/>
  <c r="CW1088" i="48"/>
  <c r="CW275" i="48"/>
  <c r="CW892" i="48"/>
  <c r="CW725" i="48"/>
  <c r="CW975" i="48"/>
  <c r="CW793" i="48"/>
  <c r="CW1175" i="48"/>
  <c r="CW893" i="48"/>
  <c r="CW521" i="48"/>
  <c r="CW497" i="48"/>
  <c r="CW541" i="48"/>
  <c r="CW643" i="48"/>
  <c r="CW118" i="48"/>
  <c r="CW886" i="48"/>
  <c r="CW664" i="48"/>
  <c r="CW900" i="48"/>
  <c r="CW161" i="48"/>
  <c r="CW890" i="48"/>
  <c r="CW216" i="48"/>
  <c r="CW1143" i="48"/>
  <c r="CW1095" i="48"/>
  <c r="CW444" i="48"/>
  <c r="CW387" i="48"/>
  <c r="CW1089" i="48"/>
  <c r="CW237" i="48"/>
  <c r="CW642" i="48"/>
  <c r="CW912" i="48"/>
  <c r="CW72" i="48"/>
  <c r="CW1111" i="48"/>
  <c r="CW572" i="48"/>
  <c r="CW439" i="48"/>
  <c r="CW850" i="48"/>
  <c r="CW624" i="48"/>
  <c r="CW738" i="48"/>
  <c r="CW866" i="48"/>
  <c r="CW93" i="48"/>
  <c r="CW1000" i="48"/>
  <c r="CW211" i="48"/>
  <c r="CW562" i="48"/>
  <c r="CW1114" i="48"/>
  <c r="CW723" i="48"/>
  <c r="CW614" i="48"/>
  <c r="CW1336" i="48"/>
  <c r="CW1222" i="48"/>
  <c r="CW649" i="48"/>
  <c r="CW489" i="48"/>
  <c r="CW820" i="48"/>
  <c r="CW423" i="48"/>
  <c r="CW1343" i="48"/>
  <c r="CW1138" i="48"/>
  <c r="CW1299" i="48"/>
  <c r="CW443" i="48"/>
  <c r="CW345" i="48"/>
  <c r="CW99" i="48"/>
  <c r="CW988" i="48"/>
  <c r="CW587" i="48"/>
  <c r="CW390" i="48"/>
  <c r="CW113" i="48"/>
  <c r="CW795" i="48"/>
  <c r="CW1197" i="48"/>
  <c r="CW124" i="48"/>
  <c r="CW770" i="48"/>
  <c r="CW646" i="48"/>
  <c r="CW838" i="48"/>
  <c r="CW538" i="48"/>
  <c r="CW494" i="48"/>
  <c r="CW1247" i="48"/>
  <c r="CW771" i="48"/>
  <c r="CW967" i="48"/>
  <c r="CW215" i="48"/>
  <c r="CW1063" i="48"/>
  <c r="CW188" i="48"/>
  <c r="CW599" i="48"/>
  <c r="CW143" i="48"/>
  <c r="CW925" i="48"/>
  <c r="CW1240" i="48"/>
  <c r="CW1248" i="48"/>
  <c r="CW1046" i="48"/>
  <c r="CW774" i="48"/>
  <c r="CW869" i="48"/>
  <c r="CW1273" i="48"/>
  <c r="CW274" i="48"/>
  <c r="CW597" i="48"/>
  <c r="CW849" i="48"/>
  <c r="CW368" i="48"/>
  <c r="CW1167" i="48"/>
  <c r="CW1314" i="48"/>
  <c r="CW691" i="48"/>
  <c r="CW498" i="48"/>
  <c r="CW342" i="48"/>
  <c r="CW840" i="48"/>
  <c r="CW1200" i="48"/>
  <c r="CW268" i="48"/>
  <c r="CW469" i="48"/>
  <c r="CW446" i="48"/>
  <c r="CW537" i="48"/>
  <c r="CW765" i="48"/>
  <c r="CW272" i="48"/>
  <c r="CW699" i="48"/>
  <c r="CW1241" i="48"/>
  <c r="CW1346" i="48"/>
  <c r="CW1287" i="48"/>
  <c r="CW95" i="48"/>
  <c r="CW466" i="48"/>
  <c r="CW1244" i="48"/>
  <c r="CW1288" i="48"/>
  <c r="CW116" i="48"/>
  <c r="CW420" i="48"/>
  <c r="CW596" i="48"/>
  <c r="CW839" i="48"/>
  <c r="CW247" i="48"/>
  <c r="CW266" i="48"/>
  <c r="CW868" i="48"/>
  <c r="CW1298" i="48"/>
  <c r="CW1115" i="48"/>
  <c r="CW994" i="48"/>
  <c r="CW767" i="48"/>
  <c r="CW89" i="48"/>
  <c r="CW1091" i="48"/>
  <c r="CW1137" i="48"/>
  <c r="CW69" i="48"/>
  <c r="CW325" i="48"/>
  <c r="CW794" i="48"/>
  <c r="CW970" i="48"/>
  <c r="CW472" i="48"/>
  <c r="CW1272" i="48"/>
  <c r="CW321" i="48"/>
  <c r="CW114" i="48"/>
  <c r="CW987" i="48"/>
  <c r="CW1290" i="48"/>
  <c r="CW737" i="48"/>
  <c r="CW1020" i="48"/>
  <c r="CW896" i="48"/>
  <c r="CW897" i="48"/>
  <c r="CW968" i="48"/>
  <c r="CW392" i="48"/>
  <c r="CW468" i="48"/>
  <c r="CW1162" i="48"/>
  <c r="CW1237" i="48"/>
  <c r="CW1239" i="48"/>
  <c r="CW786" i="48"/>
  <c r="CW990" i="48"/>
  <c r="CW540" i="48"/>
  <c r="CW1325" i="48"/>
  <c r="CW190" i="48"/>
  <c r="CW1099" i="48"/>
  <c r="CW137" i="48"/>
  <c r="CW1199" i="48"/>
  <c r="CW513" i="48"/>
  <c r="CW573" i="48"/>
  <c r="CW149" i="48"/>
  <c r="CW689" i="48"/>
  <c r="CW1021" i="48"/>
  <c r="CW318" i="48"/>
  <c r="CW775" i="48"/>
  <c r="CW875" i="48"/>
  <c r="CW436" i="48"/>
  <c r="CW300" i="48"/>
  <c r="CW550" i="48"/>
  <c r="CW487" i="48"/>
  <c r="CW874" i="48"/>
  <c r="CW1220" i="48"/>
  <c r="CW245" i="48"/>
  <c r="CW667" i="48"/>
  <c r="CW517" i="48"/>
  <c r="CW895" i="48"/>
  <c r="CW414" i="48"/>
  <c r="CW512" i="48"/>
  <c r="CW670" i="48"/>
  <c r="CW269" i="48"/>
  <c r="CW267" i="48"/>
  <c r="CW112" i="48"/>
  <c r="CW500" i="48"/>
  <c r="CW1296" i="48"/>
  <c r="CW270" i="48"/>
  <c r="CW889" i="48"/>
  <c r="CW1321" i="48"/>
  <c r="CW665" i="48"/>
  <c r="CW1112" i="48"/>
  <c r="CW1318" i="48"/>
  <c r="CW1037" i="48"/>
  <c r="CW121" i="48"/>
  <c r="CW741" i="48"/>
  <c r="CW399" i="48"/>
  <c r="CW250" i="48"/>
  <c r="CW261" i="48"/>
  <c r="CW638" i="48"/>
  <c r="CW939" i="48"/>
  <c r="CW873" i="48"/>
  <c r="CW918" i="48"/>
  <c r="CW395" i="48"/>
  <c r="CW1050" i="48"/>
  <c r="CW749" i="48"/>
  <c r="CW162" i="48"/>
  <c r="CW193" i="48"/>
  <c r="CW616" i="48"/>
  <c r="CW744" i="48"/>
  <c r="CW488" i="48"/>
  <c r="CW1015" i="48"/>
  <c r="CW294" i="48"/>
  <c r="CW1300" i="48"/>
  <c r="CW96" i="48"/>
  <c r="CW340" i="48"/>
  <c r="CW288" i="48"/>
  <c r="CW1192" i="48"/>
  <c r="CW543" i="48"/>
  <c r="CW1065" i="48"/>
  <c r="CW164" i="48"/>
  <c r="CW1322" i="48"/>
  <c r="CW1047" i="48"/>
  <c r="CW1238" i="48"/>
  <c r="CW221" i="48"/>
  <c r="CW186" i="48"/>
  <c r="CW961" i="48"/>
  <c r="CW1213" i="48"/>
  <c r="CW911" i="48"/>
  <c r="CW249" i="48"/>
  <c r="CW1187" i="48"/>
  <c r="CW1038" i="48"/>
  <c r="CW761" i="48"/>
  <c r="CW173" i="48"/>
  <c r="CW90" i="48"/>
  <c r="CW68" i="48"/>
  <c r="CW64" i="48"/>
  <c r="CW750" i="48"/>
  <c r="CW1086" i="48"/>
  <c r="CW818" i="48"/>
  <c r="CW44" i="48"/>
  <c r="CW43" i="48"/>
  <c r="CW49" i="48"/>
  <c r="CW41" i="48"/>
  <c r="CW45" i="48"/>
  <c r="CW37" i="48"/>
  <c r="CW42" i="48"/>
  <c r="CW38" i="48"/>
  <c r="CW39" i="48"/>
  <c r="CW36" i="48"/>
  <c r="CW47" i="48"/>
  <c r="CW40" i="48"/>
  <c r="CW48" i="48"/>
  <c r="CW50" i="48"/>
  <c r="CW46" i="48"/>
  <c r="CW25" i="48"/>
  <c r="CW18" i="48"/>
  <c r="CW19" i="48"/>
  <c r="CW15" i="48"/>
  <c r="CW20" i="48"/>
  <c r="CW14" i="48"/>
  <c r="CW17" i="48"/>
  <c r="CW22" i="48"/>
  <c r="CW16" i="48"/>
  <c r="CW12" i="48"/>
  <c r="CW11" i="48"/>
  <c r="CW24" i="48"/>
  <c r="CW21" i="48"/>
  <c r="CW13" i="48"/>
  <c r="CW23" i="48"/>
  <c r="DP3" i="48"/>
  <c r="DR3" i="48"/>
  <c r="DT3" i="48"/>
  <c r="DV3" i="48"/>
  <c r="DX3" i="48"/>
  <c r="DP4" i="48"/>
  <c r="DR4" i="48"/>
  <c r="DT4" i="48"/>
  <c r="DV4" i="48"/>
  <c r="DX4" i="48"/>
  <c r="DP5" i="48"/>
  <c r="DR5" i="48"/>
  <c r="DT5" i="48"/>
  <c r="DV5" i="48"/>
  <c r="DX5" i="48"/>
  <c r="DP6" i="48"/>
  <c r="DR6" i="48"/>
  <c r="DT6" i="48"/>
  <c r="DV6" i="48"/>
  <c r="DX6" i="48"/>
  <c r="DP7" i="48"/>
  <c r="DR7" i="48"/>
  <c r="DT7" i="48"/>
  <c r="DV7" i="48"/>
  <c r="DX7" i="48"/>
  <c r="DP8" i="48"/>
  <c r="DR8" i="48"/>
  <c r="DT8" i="48"/>
  <c r="DV8" i="48"/>
  <c r="DX8" i="48"/>
  <c r="DP9" i="48"/>
  <c r="DR9" i="48"/>
  <c r="DT9" i="48"/>
  <c r="DV9" i="48"/>
  <c r="DX9" i="48"/>
  <c r="DP10" i="48"/>
  <c r="DR10" i="48"/>
  <c r="DT10" i="48"/>
  <c r="DV10" i="48"/>
  <c r="DX10" i="48"/>
  <c r="DP11" i="48"/>
  <c r="DR11" i="48"/>
  <c r="DT11" i="48"/>
  <c r="DV11" i="48"/>
  <c r="DX11" i="48"/>
  <c r="DP12" i="48"/>
  <c r="DR12" i="48"/>
  <c r="DT12" i="48"/>
  <c r="DV12" i="48"/>
  <c r="DX12" i="48"/>
  <c r="DP13" i="48"/>
  <c r="DR13" i="48"/>
  <c r="DT13" i="48"/>
  <c r="DV13" i="48"/>
  <c r="DX13" i="48"/>
  <c r="DP14" i="48"/>
  <c r="DR14" i="48"/>
  <c r="DT14" i="48"/>
  <c r="DV14" i="48"/>
  <c r="DX14" i="48"/>
  <c r="DP15" i="48"/>
  <c r="DR15" i="48"/>
  <c r="DT15" i="48"/>
  <c r="DV15" i="48"/>
  <c r="DX15" i="48"/>
  <c r="DP16" i="48"/>
  <c r="DR16" i="48"/>
  <c r="DT16" i="48"/>
  <c r="DV16" i="48"/>
  <c r="DX16" i="48"/>
  <c r="DP17" i="48"/>
  <c r="DR17" i="48"/>
  <c r="DT17" i="48"/>
  <c r="DV17" i="48"/>
  <c r="DX17" i="48"/>
  <c r="DP18" i="48"/>
  <c r="DR18" i="48"/>
  <c r="DT18" i="48"/>
  <c r="DV18" i="48"/>
  <c r="DX18" i="48"/>
  <c r="DP19" i="48"/>
  <c r="DR19" i="48"/>
  <c r="DT19" i="48"/>
  <c r="DV19" i="48"/>
  <c r="DX19" i="48"/>
  <c r="DP20" i="48"/>
  <c r="DR20" i="48"/>
  <c r="DT20" i="48"/>
  <c r="DV20" i="48"/>
  <c r="DX20" i="48"/>
  <c r="DP21" i="48"/>
  <c r="DR21" i="48"/>
  <c r="DT21" i="48"/>
  <c r="DV21" i="48"/>
  <c r="DX21" i="48"/>
  <c r="DP22" i="48"/>
  <c r="DR22" i="48"/>
  <c r="DT22" i="48"/>
  <c r="DV22" i="48"/>
  <c r="DX22" i="48"/>
  <c r="DP23" i="48"/>
  <c r="DR23" i="48"/>
  <c r="DT23" i="48"/>
  <c r="DV23" i="48"/>
  <c r="DX23" i="48"/>
  <c r="DP24" i="48"/>
  <c r="DR24" i="48"/>
  <c r="DT24" i="48"/>
  <c r="DV24" i="48"/>
  <c r="DX24" i="48"/>
  <c r="DP25" i="48"/>
  <c r="DR25" i="48"/>
  <c r="DT25" i="48"/>
  <c r="DV25" i="48"/>
  <c r="DX25" i="48"/>
  <c r="DP28" i="48"/>
  <c r="DR28" i="48"/>
  <c r="DT28" i="48"/>
  <c r="DV28" i="48"/>
  <c r="DX28" i="48"/>
  <c r="DP29" i="48"/>
  <c r="DR29" i="48"/>
  <c r="DT29" i="48"/>
  <c r="DV29" i="48"/>
  <c r="DX29" i="48"/>
  <c r="DP30" i="48"/>
  <c r="DR30" i="48"/>
  <c r="DT30" i="48"/>
  <c r="DV30" i="48"/>
  <c r="DX30" i="48"/>
  <c r="DP31" i="48"/>
  <c r="DR31" i="48"/>
  <c r="DT31" i="48"/>
  <c r="DV31" i="48"/>
  <c r="DX31" i="48"/>
  <c r="DP32" i="48"/>
  <c r="DR32" i="48"/>
  <c r="DT32" i="48"/>
  <c r="DV32" i="48"/>
  <c r="DX32" i="48"/>
  <c r="DP33" i="48"/>
  <c r="DR33" i="48"/>
  <c r="DT33" i="48"/>
  <c r="DV33" i="48"/>
  <c r="DX33" i="48"/>
  <c r="DP34" i="48"/>
  <c r="DR34" i="48"/>
  <c r="DT34" i="48"/>
  <c r="DV34" i="48"/>
  <c r="DX34" i="48"/>
  <c r="DP35" i="48"/>
  <c r="DR35" i="48"/>
  <c r="DT35" i="48"/>
  <c r="DV35" i="48"/>
  <c r="DX35" i="48"/>
  <c r="DP36" i="48"/>
  <c r="DR36" i="48"/>
  <c r="DT36" i="48"/>
  <c r="DV36" i="48"/>
  <c r="DX36" i="48"/>
  <c r="DP37" i="48"/>
  <c r="DR37" i="48"/>
  <c r="DT37" i="48"/>
  <c r="DV37" i="48"/>
  <c r="DX37" i="48"/>
  <c r="DP38" i="48"/>
  <c r="DR38" i="48"/>
  <c r="DT38" i="48"/>
  <c r="DV38" i="48"/>
  <c r="DX38" i="48"/>
  <c r="DP39" i="48"/>
  <c r="DR39" i="48"/>
  <c r="DT39" i="48"/>
  <c r="DV39" i="48"/>
  <c r="DX39" i="48"/>
  <c r="DP40" i="48"/>
  <c r="DR40" i="48"/>
  <c r="DT40" i="48"/>
  <c r="DV40" i="48"/>
  <c r="DX40" i="48"/>
  <c r="DP41" i="48"/>
  <c r="DR41" i="48"/>
  <c r="DT41" i="48"/>
  <c r="DV41" i="48"/>
  <c r="DX41" i="48"/>
  <c r="DP42" i="48"/>
  <c r="DR42" i="48"/>
  <c r="DT42" i="48"/>
  <c r="DV42" i="48"/>
  <c r="DX42" i="48"/>
  <c r="DP43" i="48"/>
  <c r="DR43" i="48"/>
  <c r="DT43" i="48"/>
  <c r="DV43" i="48"/>
  <c r="DX43" i="48"/>
  <c r="DP44" i="48"/>
  <c r="DR44" i="48"/>
  <c r="DT44" i="48"/>
  <c r="DV44" i="48"/>
  <c r="DX44" i="48"/>
  <c r="DP45" i="48"/>
  <c r="DR45" i="48"/>
  <c r="DT45" i="48"/>
  <c r="DV45" i="48"/>
  <c r="DX45" i="48"/>
  <c r="DP46" i="48"/>
  <c r="DR46" i="48"/>
  <c r="DT46" i="48"/>
  <c r="DV46" i="48"/>
  <c r="DX46" i="48"/>
  <c r="DP47" i="48"/>
  <c r="DR47" i="48"/>
  <c r="DT47" i="48"/>
  <c r="DV47" i="48"/>
  <c r="DX47" i="48"/>
  <c r="DP48" i="48"/>
  <c r="DR48" i="48"/>
  <c r="DT48" i="48"/>
  <c r="DV48" i="48"/>
  <c r="DX48" i="48"/>
  <c r="DP49" i="48"/>
  <c r="DR49" i="48"/>
  <c r="DT49" i="48"/>
  <c r="DV49" i="48"/>
  <c r="DX49" i="48"/>
  <c r="DP50" i="48"/>
  <c r="DR50" i="48"/>
  <c r="DT50" i="48"/>
  <c r="DV50" i="48"/>
  <c r="DX50" i="48"/>
  <c r="DP53" i="48"/>
  <c r="DR53" i="48"/>
  <c r="DT53" i="48"/>
  <c r="DV53" i="48"/>
  <c r="DX53" i="48"/>
  <c r="DP54" i="48"/>
  <c r="DR54" i="48"/>
  <c r="DT54" i="48"/>
  <c r="DV54" i="48"/>
  <c r="DX54" i="48"/>
  <c r="DP55" i="48"/>
  <c r="DR55" i="48"/>
  <c r="DT55" i="48"/>
  <c r="DV55" i="48"/>
  <c r="DX55" i="48"/>
  <c r="DP56" i="48"/>
  <c r="DR56" i="48"/>
  <c r="DT56" i="48"/>
  <c r="DV56" i="48"/>
  <c r="DX56" i="48"/>
  <c r="DP57" i="48"/>
  <c r="DR57" i="48"/>
  <c r="DT57" i="48"/>
  <c r="DV57" i="48"/>
  <c r="DX57" i="48"/>
  <c r="DN63" i="48"/>
  <c r="R1349" i="48"/>
  <c r="R1100" i="48"/>
  <c r="R1075" i="48"/>
  <c r="R1050" i="48"/>
  <c r="R950" i="48"/>
  <c r="R684" i="48"/>
  <c r="R350" i="48"/>
  <c r="R349" i="48"/>
  <c r="R300" i="48"/>
  <c r="R299" i="48"/>
  <c r="R298" i="48"/>
  <c r="R297" i="48"/>
  <c r="R296" i="48"/>
  <c r="R295" i="48"/>
  <c r="R294" i="48"/>
  <c r="R293" i="48"/>
  <c r="R292" i="48"/>
  <c r="R291" i="48"/>
  <c r="R290" i="48"/>
  <c r="R289" i="48"/>
  <c r="R288" i="48"/>
  <c r="R287" i="48"/>
  <c r="R286" i="48"/>
  <c r="R285" i="48"/>
  <c r="R284" i="48"/>
  <c r="R275" i="48"/>
  <c r="R274" i="48"/>
  <c r="R273" i="48"/>
  <c r="R272" i="48"/>
  <c r="R271" i="48"/>
  <c r="R270" i="48"/>
  <c r="R269" i="48"/>
  <c r="R268" i="48"/>
  <c r="R267" i="48"/>
  <c r="R266" i="48"/>
  <c r="R265" i="48"/>
  <c r="R264" i="48"/>
  <c r="R263" i="48"/>
  <c r="R262" i="48"/>
  <c r="R261" i="48"/>
  <c r="R260" i="48"/>
  <c r="R259" i="48"/>
  <c r="R250" i="48"/>
  <c r="R234" i="48"/>
  <c r="R175" i="48"/>
  <c r="R159" i="48"/>
  <c r="R150" i="48"/>
  <c r="R109" i="48"/>
  <c r="DH25" i="48"/>
  <c r="DH24" i="48"/>
  <c r="DH23" i="48"/>
  <c r="DH22" i="48"/>
  <c r="DH21" i="48"/>
  <c r="DH20" i="48"/>
  <c r="DH19" i="48"/>
  <c r="DH18" i="48"/>
  <c r="DH17" i="48"/>
  <c r="DH16" i="48"/>
  <c r="DH15" i="48"/>
  <c r="DH14" i="48"/>
  <c r="DH13" i="48"/>
  <c r="DH12" i="48"/>
  <c r="DH11" i="48"/>
  <c r="DH10" i="48"/>
  <c r="DH9" i="48"/>
  <c r="DH8" i="48"/>
  <c r="DH7" i="48"/>
  <c r="DH6" i="48"/>
  <c r="DH5" i="48"/>
  <c r="DH4" i="48"/>
  <c r="BL1350" i="48"/>
  <c r="BK1350" i="48"/>
  <c r="BL1349" i="48"/>
  <c r="BK1349" i="48"/>
  <c r="AV1349" i="48"/>
  <c r="BL1348" i="48"/>
  <c r="BK1348" i="48"/>
  <c r="AV1348" i="48"/>
  <c r="Q1348" i="48"/>
  <c r="J1348" i="48"/>
  <c r="BL1347" i="48"/>
  <c r="BK1347" i="48"/>
  <c r="AV1347" i="48"/>
  <c r="Q1347" i="48"/>
  <c r="J1347" i="48"/>
  <c r="BL1346" i="48"/>
  <c r="BK1346" i="48"/>
  <c r="AV1346" i="48"/>
  <c r="Q1346" i="48"/>
  <c r="J1346" i="48"/>
  <c r="BL1345" i="48"/>
  <c r="BK1345" i="48"/>
  <c r="AV1345" i="48"/>
  <c r="Q1345" i="48"/>
  <c r="J1345" i="48"/>
  <c r="BL1344" i="48"/>
  <c r="BK1344" i="48"/>
  <c r="AV1344" i="48"/>
  <c r="Q1344" i="48"/>
  <c r="J1344" i="48"/>
  <c r="BL1343" i="48"/>
  <c r="BK1343" i="48"/>
  <c r="AV1343" i="48"/>
  <c r="Q1343" i="48"/>
  <c r="J1343" i="48"/>
  <c r="BL1342" i="48"/>
  <c r="BK1342" i="48"/>
  <c r="AV1342" i="48"/>
  <c r="Q1342" i="48"/>
  <c r="J1342" i="48"/>
  <c r="BL1341" i="48"/>
  <c r="BK1341" i="48"/>
  <c r="AV1341" i="48"/>
  <c r="Q1341" i="48"/>
  <c r="J1341" i="48"/>
  <c r="BL1340" i="48"/>
  <c r="BK1340" i="48"/>
  <c r="AV1340" i="48"/>
  <c r="Q1340" i="48"/>
  <c r="J1340" i="48"/>
  <c r="BL1339" i="48"/>
  <c r="BK1339" i="48"/>
  <c r="AV1339" i="48"/>
  <c r="Q1339" i="48"/>
  <c r="J1339" i="48"/>
  <c r="BL1338" i="48"/>
  <c r="BK1338" i="48"/>
  <c r="AV1338" i="48"/>
  <c r="Q1338" i="48"/>
  <c r="J1338" i="48"/>
  <c r="BL1337" i="48"/>
  <c r="BK1337" i="48"/>
  <c r="AV1337" i="48"/>
  <c r="Q1337" i="48"/>
  <c r="J1337" i="48"/>
  <c r="BL1336" i="48"/>
  <c r="BK1336" i="48"/>
  <c r="AV1336" i="48"/>
  <c r="Q1336" i="48"/>
  <c r="J1336" i="48"/>
  <c r="BL1335" i="48"/>
  <c r="BK1335" i="48"/>
  <c r="AV1335" i="48"/>
  <c r="Q1335" i="48"/>
  <c r="J1335" i="48"/>
  <c r="BL1334" i="48"/>
  <c r="BK1334" i="48"/>
  <c r="AV1334" i="48"/>
  <c r="Q1334" i="48"/>
  <c r="J1334" i="48"/>
  <c r="BL1333" i="48"/>
  <c r="BK1333" i="48"/>
  <c r="AV1333" i="48"/>
  <c r="BL1332" i="48"/>
  <c r="BK1332" i="48"/>
  <c r="AV1332" i="48"/>
  <c r="BL1331" i="48"/>
  <c r="BK1331" i="48"/>
  <c r="AV1331" i="48"/>
  <c r="BL1330" i="48"/>
  <c r="BK1330" i="48"/>
  <c r="AV1330" i="48"/>
  <c r="BL1329" i="48"/>
  <c r="BK1329" i="48"/>
  <c r="AV1329" i="48"/>
  <c r="BL1328" i="48"/>
  <c r="BK1328" i="48"/>
  <c r="AV1328" i="48"/>
  <c r="BL1325" i="48"/>
  <c r="BK1325" i="48"/>
  <c r="AV1325" i="48"/>
  <c r="Q1325" i="48"/>
  <c r="J1325" i="48"/>
  <c r="BL1324" i="48"/>
  <c r="BK1324" i="48"/>
  <c r="AV1324" i="48"/>
  <c r="Q1324" i="48"/>
  <c r="J1324" i="48"/>
  <c r="BL1323" i="48"/>
  <c r="BN1323" i="48" s="1"/>
  <c r="BK1323" i="48"/>
  <c r="AV1323" i="48"/>
  <c r="Q1323" i="48"/>
  <c r="J1323" i="48"/>
  <c r="BL1322" i="48"/>
  <c r="BN1322" i="48" s="1"/>
  <c r="BK1322" i="48"/>
  <c r="AV1322" i="48"/>
  <c r="Q1322" i="48"/>
  <c r="J1322" i="48"/>
  <c r="BL1321" i="48"/>
  <c r="BN1321" i="48" s="1"/>
  <c r="BK1321" i="48"/>
  <c r="AV1321" i="48"/>
  <c r="Q1321" i="48"/>
  <c r="J1321" i="48"/>
  <c r="BL1320" i="48"/>
  <c r="BN1320" i="48" s="1"/>
  <c r="BK1320" i="48"/>
  <c r="AV1320" i="48"/>
  <c r="Q1320" i="48"/>
  <c r="J1320" i="48"/>
  <c r="BL1319" i="48"/>
  <c r="BN1319" i="48" s="1"/>
  <c r="BK1319" i="48"/>
  <c r="AV1319" i="48"/>
  <c r="Q1319" i="48"/>
  <c r="J1319" i="48"/>
  <c r="BL1318" i="48"/>
  <c r="BN1318" i="48" s="1"/>
  <c r="BK1318" i="48"/>
  <c r="AV1318" i="48"/>
  <c r="Q1318" i="48"/>
  <c r="J1318" i="48"/>
  <c r="BL1317" i="48"/>
  <c r="BN1317" i="48" s="1"/>
  <c r="BK1317" i="48"/>
  <c r="AV1317" i="48"/>
  <c r="Q1317" i="48"/>
  <c r="J1317" i="48"/>
  <c r="BL1316" i="48"/>
  <c r="BN1316" i="48" s="1"/>
  <c r="BK1316" i="48"/>
  <c r="AV1316" i="48"/>
  <c r="Q1316" i="48"/>
  <c r="J1316" i="48"/>
  <c r="BL1315" i="48"/>
  <c r="BN1315" i="48" s="1"/>
  <c r="BK1315" i="48"/>
  <c r="AV1315" i="48"/>
  <c r="Q1315" i="48"/>
  <c r="J1315" i="48"/>
  <c r="BL1314" i="48"/>
  <c r="BN1314" i="48" s="1"/>
  <c r="BK1314" i="48"/>
  <c r="AV1314" i="48"/>
  <c r="Q1314" i="48"/>
  <c r="J1314" i="48"/>
  <c r="BL1313" i="48"/>
  <c r="BN1313" i="48" s="1"/>
  <c r="BK1313" i="48"/>
  <c r="AV1313" i="48"/>
  <c r="Q1313" i="48"/>
  <c r="J1313" i="48"/>
  <c r="BL1312" i="48"/>
  <c r="BN1312" i="48" s="1"/>
  <c r="BK1312" i="48"/>
  <c r="AV1312" i="48"/>
  <c r="Q1312" i="48"/>
  <c r="J1312" i="48"/>
  <c r="AV1311" i="48"/>
  <c r="Q1311" i="48"/>
  <c r="J1311" i="48"/>
  <c r="BL1310" i="48"/>
  <c r="BN1310" i="48" s="1"/>
  <c r="BK1310" i="48"/>
  <c r="AV1310" i="48"/>
  <c r="Q1310" i="48"/>
  <c r="J1310" i="48"/>
  <c r="BL1309" i="48"/>
  <c r="BN1309" i="48" s="1"/>
  <c r="BK1309" i="48"/>
  <c r="AV1309" i="48"/>
  <c r="Q1309" i="48"/>
  <c r="J1309" i="48"/>
  <c r="BL1308" i="48"/>
  <c r="BN1308" i="48" s="1"/>
  <c r="BK1308" i="48"/>
  <c r="AV1308" i="48"/>
  <c r="BL1307" i="48"/>
  <c r="BN1307" i="48" s="1"/>
  <c r="BK1307" i="48"/>
  <c r="AV1307" i="48"/>
  <c r="BL1306" i="48"/>
  <c r="BN1306" i="48" s="1"/>
  <c r="BK1306" i="48"/>
  <c r="AV1306" i="48"/>
  <c r="BL1305" i="48"/>
  <c r="BN1305" i="48" s="1"/>
  <c r="BK1305" i="48"/>
  <c r="AV1305" i="48"/>
  <c r="BL1304" i="48"/>
  <c r="BN1304" i="48" s="1"/>
  <c r="BK1304" i="48"/>
  <c r="AV1304" i="48"/>
  <c r="BL1303" i="48"/>
  <c r="BN1303" i="48" s="1"/>
  <c r="BK1303" i="48"/>
  <c r="AV1303" i="48"/>
  <c r="BL1300" i="48"/>
  <c r="BN1300" i="48" s="1"/>
  <c r="BK1300" i="48"/>
  <c r="AV1300" i="48"/>
  <c r="Q1300" i="48"/>
  <c r="BL1299" i="48"/>
  <c r="BN1299" i="48" s="1"/>
  <c r="BK1299" i="48"/>
  <c r="AV1299" i="48"/>
  <c r="Q1299" i="48"/>
  <c r="J1299" i="48"/>
  <c r="BL1298" i="48"/>
  <c r="BN1298" i="48" s="1"/>
  <c r="BK1298" i="48"/>
  <c r="AV1298" i="48"/>
  <c r="Q1298" i="48"/>
  <c r="J1298" i="48"/>
  <c r="BL1297" i="48"/>
  <c r="BN1297" i="48" s="1"/>
  <c r="BK1297" i="48"/>
  <c r="AV1297" i="48"/>
  <c r="Q1297" i="48"/>
  <c r="J1297" i="48"/>
  <c r="BL1296" i="48"/>
  <c r="BN1296" i="48" s="1"/>
  <c r="BK1296" i="48"/>
  <c r="AV1296" i="48"/>
  <c r="Q1296" i="48"/>
  <c r="J1296" i="48"/>
  <c r="BL1295" i="48"/>
  <c r="BN1295" i="48" s="1"/>
  <c r="BK1295" i="48"/>
  <c r="AV1295" i="48"/>
  <c r="Q1295" i="48"/>
  <c r="J1295" i="48"/>
  <c r="BL1294" i="48"/>
  <c r="BN1294" i="48" s="1"/>
  <c r="BK1294" i="48"/>
  <c r="AV1294" i="48"/>
  <c r="Q1294" i="48"/>
  <c r="J1294" i="48"/>
  <c r="BL1293" i="48"/>
  <c r="BN1293" i="48" s="1"/>
  <c r="BK1293" i="48"/>
  <c r="AV1293" i="48"/>
  <c r="Q1293" i="48"/>
  <c r="J1293" i="48"/>
  <c r="BL1292" i="48"/>
  <c r="BN1292" i="48" s="1"/>
  <c r="BK1292" i="48"/>
  <c r="AV1292" i="48"/>
  <c r="Q1292" i="48"/>
  <c r="J1292" i="48"/>
  <c r="BL1291" i="48"/>
  <c r="BN1291" i="48" s="1"/>
  <c r="BK1291" i="48"/>
  <c r="AV1291" i="48"/>
  <c r="Q1291" i="48"/>
  <c r="J1291" i="48"/>
  <c r="BL1290" i="48"/>
  <c r="BN1290" i="48" s="1"/>
  <c r="BK1290" i="48"/>
  <c r="AV1290" i="48"/>
  <c r="Q1290" i="48"/>
  <c r="J1290" i="48"/>
  <c r="BL1289" i="48"/>
  <c r="BN1289" i="48" s="1"/>
  <c r="BK1289" i="48"/>
  <c r="AV1289" i="48"/>
  <c r="Q1289" i="48"/>
  <c r="J1289" i="48"/>
  <c r="BL1288" i="48"/>
  <c r="BN1288" i="48" s="1"/>
  <c r="BK1288" i="48"/>
  <c r="AV1288" i="48"/>
  <c r="Q1288" i="48"/>
  <c r="J1288" i="48"/>
  <c r="BL1287" i="48"/>
  <c r="BN1287" i="48" s="1"/>
  <c r="BK1287" i="48"/>
  <c r="AV1287" i="48"/>
  <c r="Q1287" i="48"/>
  <c r="J1287" i="48"/>
  <c r="BL1286" i="48"/>
  <c r="BN1286" i="48" s="1"/>
  <c r="BK1286" i="48"/>
  <c r="AV1286" i="48"/>
  <c r="Q1286" i="48"/>
  <c r="J1286" i="48"/>
  <c r="BL1285" i="48"/>
  <c r="BN1285" i="48" s="1"/>
  <c r="BK1285" i="48"/>
  <c r="AV1285" i="48"/>
  <c r="Q1285" i="48"/>
  <c r="J1285" i="48"/>
  <c r="BL1284" i="48"/>
  <c r="BN1284" i="48" s="1"/>
  <c r="BK1284" i="48"/>
  <c r="AV1284" i="48"/>
  <c r="Q1284" i="48"/>
  <c r="J1284" i="48"/>
  <c r="BL1283" i="48"/>
  <c r="BN1283" i="48" s="1"/>
  <c r="BK1283" i="48"/>
  <c r="AV1283" i="48"/>
  <c r="BL1282" i="48"/>
  <c r="BN1282" i="48" s="1"/>
  <c r="BK1282" i="48"/>
  <c r="AV1282" i="48"/>
  <c r="BL1281" i="48"/>
  <c r="BN1281" i="48" s="1"/>
  <c r="BK1281" i="48"/>
  <c r="AV1281" i="48"/>
  <c r="BL1280" i="48"/>
  <c r="BN1280" i="48" s="1"/>
  <c r="BK1280" i="48"/>
  <c r="AV1280" i="48"/>
  <c r="BL1279" i="48"/>
  <c r="BN1279" i="48" s="1"/>
  <c r="BK1279" i="48"/>
  <c r="AV1279" i="48"/>
  <c r="BL1278" i="48"/>
  <c r="BN1278" i="48" s="1"/>
  <c r="BK1278" i="48"/>
  <c r="AV1278" i="48"/>
  <c r="BL1275" i="48"/>
  <c r="BN1275" i="48" s="1"/>
  <c r="BK1275" i="48"/>
  <c r="Q1275" i="48"/>
  <c r="J1275" i="48"/>
  <c r="BL1274" i="48"/>
  <c r="BN1274" i="48" s="1"/>
  <c r="BK1274" i="48"/>
  <c r="Q1274" i="48"/>
  <c r="J1274" i="48"/>
  <c r="BL1273" i="48"/>
  <c r="BN1273" i="48" s="1"/>
  <c r="BK1273" i="48"/>
  <c r="AV1273" i="48"/>
  <c r="Q1273" i="48"/>
  <c r="J1273" i="48"/>
  <c r="BL1272" i="48"/>
  <c r="BN1272" i="48" s="1"/>
  <c r="BK1272" i="48"/>
  <c r="AV1272" i="48"/>
  <c r="Q1272" i="48"/>
  <c r="J1272" i="48"/>
  <c r="BL1271" i="48"/>
  <c r="BN1271" i="48" s="1"/>
  <c r="BK1271" i="48"/>
  <c r="AV1271" i="48"/>
  <c r="Q1271" i="48"/>
  <c r="J1271" i="48"/>
  <c r="BL1270" i="48"/>
  <c r="BN1270" i="48" s="1"/>
  <c r="BK1270" i="48"/>
  <c r="AV1270" i="48"/>
  <c r="Q1270" i="48"/>
  <c r="J1270" i="48"/>
  <c r="BL1269" i="48"/>
  <c r="BN1269" i="48" s="1"/>
  <c r="BK1269" i="48"/>
  <c r="AV1269" i="48"/>
  <c r="Q1269" i="48"/>
  <c r="J1269" i="48"/>
  <c r="BL1268" i="48"/>
  <c r="BN1268" i="48" s="1"/>
  <c r="BK1268" i="48"/>
  <c r="AV1268" i="48"/>
  <c r="Q1268" i="48"/>
  <c r="J1268" i="48"/>
  <c r="BL1267" i="48"/>
  <c r="BN1267" i="48" s="1"/>
  <c r="BK1267" i="48"/>
  <c r="AV1267" i="48"/>
  <c r="Q1267" i="48"/>
  <c r="J1267" i="48"/>
  <c r="BL1266" i="48"/>
  <c r="BN1266" i="48" s="1"/>
  <c r="BK1266" i="48"/>
  <c r="AV1266" i="48"/>
  <c r="Q1266" i="48"/>
  <c r="J1266" i="48"/>
  <c r="BL1265" i="48"/>
  <c r="BN1265" i="48" s="1"/>
  <c r="BK1265" i="48"/>
  <c r="AV1265" i="48"/>
  <c r="Q1265" i="48"/>
  <c r="J1265" i="48"/>
  <c r="BL1264" i="48"/>
  <c r="BN1264" i="48" s="1"/>
  <c r="BK1264" i="48"/>
  <c r="AV1264" i="48"/>
  <c r="Q1264" i="48"/>
  <c r="J1264" i="48"/>
  <c r="BL1263" i="48"/>
  <c r="BN1263" i="48" s="1"/>
  <c r="BK1263" i="48"/>
  <c r="AV1263" i="48"/>
  <c r="Q1263" i="48"/>
  <c r="J1263" i="48"/>
  <c r="BL1262" i="48"/>
  <c r="BN1262" i="48" s="1"/>
  <c r="BK1262" i="48"/>
  <c r="AV1262" i="48"/>
  <c r="Q1262" i="48"/>
  <c r="J1262" i="48"/>
  <c r="BL1261" i="48"/>
  <c r="BN1261" i="48" s="1"/>
  <c r="BK1261" i="48"/>
  <c r="AV1261" i="48"/>
  <c r="Q1261" i="48"/>
  <c r="J1261" i="48"/>
  <c r="BL1260" i="48"/>
  <c r="BN1260" i="48" s="1"/>
  <c r="BK1260" i="48"/>
  <c r="AV1260" i="48"/>
  <c r="Q1260" i="48"/>
  <c r="J1260" i="48"/>
  <c r="BL1259" i="48"/>
  <c r="BN1259" i="48" s="1"/>
  <c r="BK1259" i="48"/>
  <c r="AV1259" i="48"/>
  <c r="Q1259" i="48"/>
  <c r="J1259" i="48"/>
  <c r="BL1258" i="48"/>
  <c r="BN1258" i="48" s="1"/>
  <c r="BK1258" i="48"/>
  <c r="AV1258" i="48"/>
  <c r="BL1257" i="48"/>
  <c r="BN1257" i="48" s="1"/>
  <c r="BK1257" i="48"/>
  <c r="AV1257" i="48"/>
  <c r="BL1256" i="48"/>
  <c r="BN1256" i="48" s="1"/>
  <c r="BK1256" i="48"/>
  <c r="AV1256" i="48"/>
  <c r="BL1255" i="48"/>
  <c r="BN1255" i="48" s="1"/>
  <c r="BK1255" i="48"/>
  <c r="AV1255" i="48"/>
  <c r="BL1254" i="48"/>
  <c r="BN1254" i="48" s="1"/>
  <c r="BK1254" i="48"/>
  <c r="AV1254" i="48"/>
  <c r="BL1253" i="48"/>
  <c r="BN1253" i="48" s="1"/>
  <c r="BK1253" i="48"/>
  <c r="AV1253" i="48"/>
  <c r="BL1250" i="48"/>
  <c r="BN1250" i="48" s="1"/>
  <c r="BK1250" i="48"/>
  <c r="Q1250" i="48"/>
  <c r="J1250" i="48"/>
  <c r="BL1249" i="48"/>
  <c r="BN1249" i="48" s="1"/>
  <c r="BK1249" i="48"/>
  <c r="AV1249" i="48"/>
  <c r="Q1249" i="48"/>
  <c r="J1249" i="48"/>
  <c r="BL1248" i="48"/>
  <c r="BN1248" i="48" s="1"/>
  <c r="BK1248" i="48"/>
  <c r="AV1248" i="48"/>
  <c r="Q1248" i="48"/>
  <c r="J1248" i="48"/>
  <c r="BL1247" i="48"/>
  <c r="BN1247" i="48" s="1"/>
  <c r="BK1247" i="48"/>
  <c r="AV1247" i="48"/>
  <c r="Q1247" i="48"/>
  <c r="J1247" i="48"/>
  <c r="BL1246" i="48"/>
  <c r="BN1246" i="48" s="1"/>
  <c r="BK1246" i="48"/>
  <c r="AV1246" i="48"/>
  <c r="Q1246" i="48"/>
  <c r="J1246" i="48"/>
  <c r="BL1245" i="48"/>
  <c r="BN1245" i="48" s="1"/>
  <c r="BK1245" i="48"/>
  <c r="AV1245" i="48"/>
  <c r="Q1245" i="48"/>
  <c r="J1245" i="48"/>
  <c r="BL1244" i="48"/>
  <c r="BN1244" i="48" s="1"/>
  <c r="BK1244" i="48"/>
  <c r="AV1244" i="48"/>
  <c r="Q1244" i="48"/>
  <c r="J1244" i="48"/>
  <c r="BL1243" i="48"/>
  <c r="BN1243" i="48" s="1"/>
  <c r="BK1243" i="48"/>
  <c r="AV1243" i="48"/>
  <c r="Q1243" i="48"/>
  <c r="J1243" i="48"/>
  <c r="BL1242" i="48"/>
  <c r="BN1242" i="48" s="1"/>
  <c r="BK1242" i="48"/>
  <c r="AV1242" i="48"/>
  <c r="Q1242" i="48"/>
  <c r="J1242" i="48"/>
  <c r="BL1241" i="48"/>
  <c r="BN1241" i="48" s="1"/>
  <c r="BK1241" i="48"/>
  <c r="AV1241" i="48"/>
  <c r="Q1241" i="48"/>
  <c r="J1241" i="48"/>
  <c r="BL1240" i="48"/>
  <c r="BN1240" i="48" s="1"/>
  <c r="BK1240" i="48"/>
  <c r="AV1240" i="48"/>
  <c r="Q1240" i="48"/>
  <c r="J1240" i="48"/>
  <c r="BL1239" i="48"/>
  <c r="BN1239" i="48" s="1"/>
  <c r="BK1239" i="48"/>
  <c r="AV1239" i="48"/>
  <c r="Q1239" i="48"/>
  <c r="J1239" i="48"/>
  <c r="BL1238" i="48"/>
  <c r="BN1238" i="48" s="1"/>
  <c r="BK1238" i="48"/>
  <c r="AV1238" i="48"/>
  <c r="Q1238" i="48"/>
  <c r="J1238" i="48"/>
  <c r="BL1237" i="48"/>
  <c r="BN1237" i="48" s="1"/>
  <c r="BK1237" i="48"/>
  <c r="AV1237" i="48"/>
  <c r="Q1237" i="48"/>
  <c r="J1237" i="48"/>
  <c r="BL1236" i="48"/>
  <c r="BN1236" i="48" s="1"/>
  <c r="BK1236" i="48"/>
  <c r="AV1236" i="48"/>
  <c r="Q1236" i="48"/>
  <c r="J1236" i="48"/>
  <c r="BL1235" i="48"/>
  <c r="BN1235" i="48" s="1"/>
  <c r="BK1235" i="48"/>
  <c r="AV1235" i="48"/>
  <c r="Q1235" i="48"/>
  <c r="J1235" i="48"/>
  <c r="BL1234" i="48"/>
  <c r="BN1234" i="48" s="1"/>
  <c r="BK1234" i="48"/>
  <c r="AV1234" i="48"/>
  <c r="Q1234" i="48"/>
  <c r="J1234" i="48"/>
  <c r="BL1233" i="48"/>
  <c r="BN1233" i="48" s="1"/>
  <c r="BK1233" i="48"/>
  <c r="AV1233" i="48"/>
  <c r="BL1232" i="48"/>
  <c r="BN1232" i="48" s="1"/>
  <c r="BK1232" i="48"/>
  <c r="AV1232" i="48"/>
  <c r="BL1231" i="48"/>
  <c r="BN1231" i="48" s="1"/>
  <c r="BK1231" i="48"/>
  <c r="AV1231" i="48"/>
  <c r="BL1230" i="48"/>
  <c r="BN1230" i="48" s="1"/>
  <c r="BK1230" i="48"/>
  <c r="AV1230" i="48"/>
  <c r="BL1229" i="48"/>
  <c r="BN1229" i="48" s="1"/>
  <c r="BK1229" i="48"/>
  <c r="AV1229" i="48"/>
  <c r="BL1228" i="48"/>
  <c r="BN1228" i="48" s="1"/>
  <c r="BK1228" i="48"/>
  <c r="AV1228" i="48"/>
  <c r="BL1225" i="48"/>
  <c r="BN1225" i="48" s="1"/>
  <c r="BK1225" i="48"/>
  <c r="Q1225" i="48"/>
  <c r="J1225" i="48"/>
  <c r="BL1224" i="48"/>
  <c r="BN1224" i="48" s="1"/>
  <c r="BK1224" i="48"/>
  <c r="Q1224" i="48"/>
  <c r="J1224" i="48"/>
  <c r="BL1223" i="48"/>
  <c r="BN1223" i="48" s="1"/>
  <c r="BK1223" i="48"/>
  <c r="AV1223" i="48"/>
  <c r="Q1223" i="48"/>
  <c r="J1223" i="48"/>
  <c r="BL1222" i="48"/>
  <c r="BN1222" i="48" s="1"/>
  <c r="BK1222" i="48"/>
  <c r="AV1222" i="48"/>
  <c r="Q1222" i="48"/>
  <c r="J1222" i="48"/>
  <c r="BL1221" i="48"/>
  <c r="BN1221" i="48" s="1"/>
  <c r="BK1221" i="48"/>
  <c r="AV1221" i="48"/>
  <c r="Q1221" i="48"/>
  <c r="J1221" i="48"/>
  <c r="BL1220" i="48"/>
  <c r="BN1220" i="48" s="1"/>
  <c r="BK1220" i="48"/>
  <c r="AV1220" i="48"/>
  <c r="Q1220" i="48"/>
  <c r="J1220" i="48"/>
  <c r="BL1219" i="48"/>
  <c r="BN1219" i="48" s="1"/>
  <c r="BK1219" i="48"/>
  <c r="AV1219" i="48"/>
  <c r="Q1219" i="48"/>
  <c r="J1219" i="48"/>
  <c r="BL1218" i="48"/>
  <c r="BN1218" i="48" s="1"/>
  <c r="BK1218" i="48"/>
  <c r="AV1218" i="48"/>
  <c r="Q1218" i="48"/>
  <c r="J1218" i="48"/>
  <c r="BL1217" i="48"/>
  <c r="BN1217" i="48" s="1"/>
  <c r="BK1217" i="48"/>
  <c r="AV1217" i="48"/>
  <c r="Q1217" i="48"/>
  <c r="J1217" i="48"/>
  <c r="BL1216" i="48"/>
  <c r="BN1216" i="48" s="1"/>
  <c r="BK1216" i="48"/>
  <c r="AV1216" i="48"/>
  <c r="Q1216" i="48"/>
  <c r="J1216" i="48"/>
  <c r="BL1215" i="48"/>
  <c r="BN1215" i="48" s="1"/>
  <c r="BK1215" i="48"/>
  <c r="AV1215" i="48"/>
  <c r="Q1215" i="48"/>
  <c r="J1215" i="48"/>
  <c r="BL1214" i="48"/>
  <c r="BN1214" i="48" s="1"/>
  <c r="BK1214" i="48"/>
  <c r="AV1214" i="48"/>
  <c r="Q1214" i="48"/>
  <c r="J1214" i="48"/>
  <c r="BL1213" i="48"/>
  <c r="BN1213" i="48" s="1"/>
  <c r="BK1213" i="48"/>
  <c r="AV1213" i="48"/>
  <c r="Q1213" i="48"/>
  <c r="J1213" i="48"/>
  <c r="BL1212" i="48"/>
  <c r="BN1212" i="48" s="1"/>
  <c r="BK1212" i="48"/>
  <c r="AV1212" i="48"/>
  <c r="Q1212" i="48"/>
  <c r="J1212" i="48"/>
  <c r="BL1211" i="48"/>
  <c r="BN1211" i="48" s="1"/>
  <c r="BK1211" i="48"/>
  <c r="AV1211" i="48"/>
  <c r="Q1211" i="48"/>
  <c r="J1211" i="48"/>
  <c r="BL1210" i="48"/>
  <c r="BN1210" i="48" s="1"/>
  <c r="BK1210" i="48"/>
  <c r="AV1210" i="48"/>
  <c r="Q1210" i="48"/>
  <c r="J1210" i="48"/>
  <c r="BL1209" i="48"/>
  <c r="BN1209" i="48" s="1"/>
  <c r="BK1209" i="48"/>
  <c r="AV1209" i="48"/>
  <c r="Q1209" i="48"/>
  <c r="J1209" i="48"/>
  <c r="BL1208" i="48"/>
  <c r="BN1208" i="48" s="1"/>
  <c r="BK1208" i="48"/>
  <c r="AV1208" i="48"/>
  <c r="BL1207" i="48"/>
  <c r="BN1207" i="48" s="1"/>
  <c r="BK1207" i="48"/>
  <c r="AV1207" i="48"/>
  <c r="BL1206" i="48"/>
  <c r="BN1206" i="48" s="1"/>
  <c r="BK1206" i="48"/>
  <c r="AV1206" i="48"/>
  <c r="BL1205" i="48"/>
  <c r="BN1205" i="48" s="1"/>
  <c r="BK1205" i="48"/>
  <c r="AV1205" i="48"/>
  <c r="BL1204" i="48"/>
  <c r="BN1204" i="48" s="1"/>
  <c r="BK1204" i="48"/>
  <c r="AV1204" i="48"/>
  <c r="BL1203" i="48"/>
  <c r="BN1203" i="48" s="1"/>
  <c r="BK1203" i="48"/>
  <c r="AV1203" i="48"/>
  <c r="BL1200" i="48"/>
  <c r="BN1200" i="48" s="1"/>
  <c r="BK1200" i="48"/>
  <c r="AV1200" i="48"/>
  <c r="Q1200" i="48"/>
  <c r="J1200" i="48"/>
  <c r="BL1199" i="48"/>
  <c r="BN1199" i="48" s="1"/>
  <c r="BK1199" i="48"/>
  <c r="AV1199" i="48"/>
  <c r="Q1199" i="48"/>
  <c r="J1199" i="48"/>
  <c r="BL1198" i="48"/>
  <c r="BN1198" i="48" s="1"/>
  <c r="BK1198" i="48"/>
  <c r="AV1198" i="48"/>
  <c r="Q1198" i="48"/>
  <c r="J1198" i="48"/>
  <c r="BL1197" i="48"/>
  <c r="BN1197" i="48" s="1"/>
  <c r="BK1197" i="48"/>
  <c r="AV1197" i="48"/>
  <c r="Q1197" i="48"/>
  <c r="J1197" i="48"/>
  <c r="BL1196" i="48"/>
  <c r="BN1196" i="48" s="1"/>
  <c r="BK1196" i="48"/>
  <c r="AV1196" i="48"/>
  <c r="Q1196" i="48"/>
  <c r="J1196" i="48"/>
  <c r="BL1195" i="48"/>
  <c r="BN1195" i="48" s="1"/>
  <c r="BK1195" i="48"/>
  <c r="AV1195" i="48"/>
  <c r="Q1195" i="48"/>
  <c r="J1195" i="48"/>
  <c r="BL1194" i="48"/>
  <c r="BN1194" i="48" s="1"/>
  <c r="BK1194" i="48"/>
  <c r="AV1194" i="48"/>
  <c r="Q1194" i="48"/>
  <c r="J1194" i="48"/>
  <c r="BL1193" i="48"/>
  <c r="BN1193" i="48" s="1"/>
  <c r="BK1193" i="48"/>
  <c r="AV1193" i="48"/>
  <c r="Q1193" i="48"/>
  <c r="J1193" i="48"/>
  <c r="BL1192" i="48"/>
  <c r="BN1192" i="48" s="1"/>
  <c r="BK1192" i="48"/>
  <c r="AV1192" i="48"/>
  <c r="Q1192" i="48"/>
  <c r="J1192" i="48"/>
  <c r="BL1191" i="48"/>
  <c r="BN1191" i="48" s="1"/>
  <c r="BK1191" i="48"/>
  <c r="AV1191" i="48"/>
  <c r="Q1191" i="48"/>
  <c r="J1191" i="48"/>
  <c r="BL1190" i="48"/>
  <c r="BN1190" i="48" s="1"/>
  <c r="BK1190" i="48"/>
  <c r="AV1190" i="48"/>
  <c r="Q1190" i="48"/>
  <c r="J1190" i="48"/>
  <c r="BL1189" i="48"/>
  <c r="BN1189" i="48" s="1"/>
  <c r="BK1189" i="48"/>
  <c r="AV1189" i="48"/>
  <c r="Q1189" i="48"/>
  <c r="J1189" i="48"/>
  <c r="BL1188" i="48"/>
  <c r="BN1188" i="48" s="1"/>
  <c r="BK1188" i="48"/>
  <c r="AV1188" i="48"/>
  <c r="Q1188" i="48"/>
  <c r="J1188" i="48"/>
  <c r="BL1187" i="48"/>
  <c r="BN1187" i="48" s="1"/>
  <c r="BK1187" i="48"/>
  <c r="AV1187" i="48"/>
  <c r="Q1187" i="48"/>
  <c r="J1187" i="48"/>
  <c r="BL1186" i="48"/>
  <c r="BN1186" i="48" s="1"/>
  <c r="BK1186" i="48"/>
  <c r="AV1186" i="48"/>
  <c r="Q1186" i="48"/>
  <c r="J1186" i="48"/>
  <c r="BL1185" i="48"/>
  <c r="BN1185" i="48" s="1"/>
  <c r="BK1185" i="48"/>
  <c r="AV1185" i="48"/>
  <c r="Q1185" i="48"/>
  <c r="J1185" i="48"/>
  <c r="BL1184" i="48"/>
  <c r="BN1184" i="48" s="1"/>
  <c r="BK1184" i="48"/>
  <c r="AV1184" i="48"/>
  <c r="Q1184" i="48"/>
  <c r="J1184" i="48"/>
  <c r="BL1183" i="48"/>
  <c r="BN1183" i="48" s="1"/>
  <c r="BK1183" i="48"/>
  <c r="AV1183" i="48"/>
  <c r="BL1182" i="48"/>
  <c r="BN1182" i="48" s="1"/>
  <c r="BK1182" i="48"/>
  <c r="AV1182" i="48"/>
  <c r="BL1181" i="48"/>
  <c r="BN1181" i="48" s="1"/>
  <c r="BK1181" i="48"/>
  <c r="AV1181" i="48"/>
  <c r="BL1180" i="48"/>
  <c r="BN1180" i="48" s="1"/>
  <c r="BK1180" i="48"/>
  <c r="AV1180" i="48"/>
  <c r="BL1179" i="48"/>
  <c r="BN1179" i="48" s="1"/>
  <c r="BK1179" i="48"/>
  <c r="AV1179" i="48"/>
  <c r="BL1178" i="48"/>
  <c r="BN1178" i="48" s="1"/>
  <c r="BK1178" i="48"/>
  <c r="AV1178" i="48"/>
  <c r="BL1175" i="48"/>
  <c r="BN1175" i="48" s="1"/>
  <c r="BK1175" i="48"/>
  <c r="AV1175" i="48"/>
  <c r="Q1175" i="48"/>
  <c r="J1175" i="48"/>
  <c r="BL1174" i="48"/>
  <c r="BN1174" i="48" s="1"/>
  <c r="BK1174" i="48"/>
  <c r="AV1174" i="48"/>
  <c r="Q1174" i="48"/>
  <c r="J1174" i="48"/>
  <c r="BL1173" i="48"/>
  <c r="BN1173" i="48" s="1"/>
  <c r="BK1173" i="48"/>
  <c r="AV1173" i="48"/>
  <c r="Q1173" i="48"/>
  <c r="J1173" i="48"/>
  <c r="AV1172" i="48"/>
  <c r="Q1172" i="48"/>
  <c r="J1172" i="48"/>
  <c r="BL1171" i="48"/>
  <c r="BN1171" i="48" s="1"/>
  <c r="BK1171" i="48"/>
  <c r="AV1171" i="48"/>
  <c r="Q1171" i="48"/>
  <c r="J1171" i="48"/>
  <c r="BL1170" i="48"/>
  <c r="BN1170" i="48" s="1"/>
  <c r="BK1170" i="48"/>
  <c r="AV1170" i="48"/>
  <c r="Q1170" i="48"/>
  <c r="J1170" i="48"/>
  <c r="BL1169" i="48"/>
  <c r="BN1169" i="48" s="1"/>
  <c r="BK1169" i="48"/>
  <c r="AV1169" i="48"/>
  <c r="Q1169" i="48"/>
  <c r="J1169" i="48"/>
  <c r="BL1168" i="48"/>
  <c r="BN1168" i="48" s="1"/>
  <c r="BK1168" i="48"/>
  <c r="AV1168" i="48"/>
  <c r="Q1168" i="48"/>
  <c r="J1168" i="48"/>
  <c r="BL1167" i="48"/>
  <c r="BN1167" i="48" s="1"/>
  <c r="BK1167" i="48"/>
  <c r="AV1167" i="48"/>
  <c r="Q1167" i="48"/>
  <c r="J1167" i="48"/>
  <c r="BL1166" i="48"/>
  <c r="BN1166" i="48" s="1"/>
  <c r="BK1166" i="48"/>
  <c r="AV1166" i="48"/>
  <c r="Q1166" i="48"/>
  <c r="J1166" i="48"/>
  <c r="BL1165" i="48"/>
  <c r="BN1165" i="48" s="1"/>
  <c r="BK1165" i="48"/>
  <c r="AV1165" i="48"/>
  <c r="Q1165" i="48"/>
  <c r="J1165" i="48"/>
  <c r="BL1164" i="48"/>
  <c r="BN1164" i="48" s="1"/>
  <c r="BK1164" i="48"/>
  <c r="AV1164" i="48"/>
  <c r="Q1164" i="48"/>
  <c r="J1164" i="48"/>
  <c r="BL1163" i="48"/>
  <c r="BN1163" i="48" s="1"/>
  <c r="BK1163" i="48"/>
  <c r="AV1163" i="48"/>
  <c r="Q1163" i="48"/>
  <c r="J1163" i="48"/>
  <c r="BL1162" i="48"/>
  <c r="BN1162" i="48" s="1"/>
  <c r="BK1162" i="48"/>
  <c r="AV1162" i="48"/>
  <c r="Q1162" i="48"/>
  <c r="J1162" i="48"/>
  <c r="BL1161" i="48"/>
  <c r="BN1161" i="48" s="1"/>
  <c r="BK1161" i="48"/>
  <c r="AV1161" i="48"/>
  <c r="Q1161" i="48"/>
  <c r="J1161" i="48"/>
  <c r="BL1160" i="48"/>
  <c r="BN1160" i="48" s="1"/>
  <c r="BK1160" i="48"/>
  <c r="AV1160" i="48"/>
  <c r="Q1160" i="48"/>
  <c r="J1160" i="48"/>
  <c r="BL1159" i="48"/>
  <c r="BN1159" i="48" s="1"/>
  <c r="BK1159" i="48"/>
  <c r="AV1159" i="48"/>
  <c r="Q1159" i="48"/>
  <c r="J1159" i="48"/>
  <c r="BL1158" i="48"/>
  <c r="BN1158" i="48" s="1"/>
  <c r="BK1158" i="48"/>
  <c r="AV1158" i="48"/>
  <c r="BL1157" i="48"/>
  <c r="BN1157" i="48" s="1"/>
  <c r="BK1157" i="48"/>
  <c r="AV1157" i="48"/>
  <c r="BL1156" i="48"/>
  <c r="BN1156" i="48" s="1"/>
  <c r="BK1156" i="48"/>
  <c r="AV1156" i="48"/>
  <c r="BL1155" i="48"/>
  <c r="BN1155" i="48" s="1"/>
  <c r="BK1155" i="48"/>
  <c r="AV1155" i="48"/>
  <c r="BL1154" i="48"/>
  <c r="BN1154" i="48" s="1"/>
  <c r="BK1154" i="48"/>
  <c r="AV1154" i="48"/>
  <c r="BL1153" i="48"/>
  <c r="BN1153" i="48" s="1"/>
  <c r="BK1153" i="48"/>
  <c r="AV1153" i="48"/>
  <c r="BL1150" i="48"/>
  <c r="BN1150" i="48" s="1"/>
  <c r="BK1150" i="48"/>
  <c r="Q1150" i="48"/>
  <c r="J1150" i="48"/>
  <c r="Q1149" i="48"/>
  <c r="J1149" i="48"/>
  <c r="BL1148" i="48"/>
  <c r="BN1148" i="48" s="1"/>
  <c r="BK1148" i="48"/>
  <c r="AV1148" i="48"/>
  <c r="Q1148" i="48"/>
  <c r="J1148" i="48"/>
  <c r="BL1147" i="48"/>
  <c r="BN1147" i="48" s="1"/>
  <c r="BK1147" i="48"/>
  <c r="AV1147" i="48"/>
  <c r="Q1147" i="48"/>
  <c r="J1147" i="48"/>
  <c r="BL1146" i="48"/>
  <c r="BN1146" i="48" s="1"/>
  <c r="BK1146" i="48"/>
  <c r="AV1146" i="48"/>
  <c r="Q1146" i="48"/>
  <c r="J1146" i="48"/>
  <c r="BL1145" i="48"/>
  <c r="BN1145" i="48" s="1"/>
  <c r="BK1145" i="48"/>
  <c r="AV1145" i="48"/>
  <c r="Q1145" i="48"/>
  <c r="J1145" i="48"/>
  <c r="BL1144" i="48"/>
  <c r="BN1144" i="48" s="1"/>
  <c r="BK1144" i="48"/>
  <c r="AV1144" i="48"/>
  <c r="Q1144" i="48"/>
  <c r="J1144" i="48"/>
  <c r="BL1143" i="48"/>
  <c r="BN1143" i="48" s="1"/>
  <c r="BK1143" i="48"/>
  <c r="AV1143" i="48"/>
  <c r="Q1143" i="48"/>
  <c r="J1143" i="48"/>
  <c r="BL1142" i="48"/>
  <c r="BN1142" i="48" s="1"/>
  <c r="BK1142" i="48"/>
  <c r="AV1142" i="48"/>
  <c r="Q1142" i="48"/>
  <c r="J1142" i="48"/>
  <c r="BL1141" i="48"/>
  <c r="BN1141" i="48" s="1"/>
  <c r="BK1141" i="48"/>
  <c r="AV1141" i="48"/>
  <c r="Q1141" i="48"/>
  <c r="J1141" i="48"/>
  <c r="BL1140" i="48"/>
  <c r="BN1140" i="48" s="1"/>
  <c r="BK1140" i="48"/>
  <c r="AV1140" i="48"/>
  <c r="Q1140" i="48"/>
  <c r="J1140" i="48"/>
  <c r="BL1139" i="48"/>
  <c r="BN1139" i="48" s="1"/>
  <c r="BK1139" i="48"/>
  <c r="AV1139" i="48"/>
  <c r="Q1139" i="48"/>
  <c r="J1139" i="48"/>
  <c r="BL1138" i="48"/>
  <c r="BN1138" i="48" s="1"/>
  <c r="BK1138" i="48"/>
  <c r="AV1138" i="48"/>
  <c r="Q1138" i="48"/>
  <c r="J1138" i="48"/>
  <c r="BL1137" i="48"/>
  <c r="BN1137" i="48" s="1"/>
  <c r="BK1137" i="48"/>
  <c r="AV1137" i="48"/>
  <c r="Q1137" i="48"/>
  <c r="J1137" i="48"/>
  <c r="BL1136" i="48"/>
  <c r="BN1136" i="48" s="1"/>
  <c r="BK1136" i="48"/>
  <c r="AV1136" i="48"/>
  <c r="Q1136" i="48"/>
  <c r="J1136" i="48"/>
  <c r="BL1135" i="48"/>
  <c r="BN1135" i="48" s="1"/>
  <c r="BK1135" i="48"/>
  <c r="AV1135" i="48"/>
  <c r="Q1135" i="48"/>
  <c r="J1135" i="48"/>
  <c r="BL1134" i="48"/>
  <c r="BN1134" i="48" s="1"/>
  <c r="BK1134" i="48"/>
  <c r="AV1134" i="48"/>
  <c r="Q1134" i="48"/>
  <c r="J1134" i="48"/>
  <c r="BL1133" i="48"/>
  <c r="BN1133" i="48" s="1"/>
  <c r="BK1133" i="48"/>
  <c r="AV1133" i="48"/>
  <c r="BL1132" i="48"/>
  <c r="BN1132" i="48" s="1"/>
  <c r="BK1132" i="48"/>
  <c r="AV1132" i="48"/>
  <c r="BL1131" i="48"/>
  <c r="BN1131" i="48" s="1"/>
  <c r="BK1131" i="48"/>
  <c r="AV1131" i="48"/>
  <c r="BL1130" i="48"/>
  <c r="BN1130" i="48" s="1"/>
  <c r="BK1130" i="48"/>
  <c r="AV1130" i="48"/>
  <c r="BL1129" i="48"/>
  <c r="BN1129" i="48" s="1"/>
  <c r="BK1129" i="48"/>
  <c r="AV1129" i="48"/>
  <c r="BL1128" i="48"/>
  <c r="BN1128" i="48" s="1"/>
  <c r="BK1128" i="48"/>
  <c r="AV1128" i="48"/>
  <c r="BL1125" i="48"/>
  <c r="BN1125" i="48" s="1"/>
  <c r="BK1125" i="48"/>
  <c r="AV1125" i="48"/>
  <c r="Q1125" i="48"/>
  <c r="J1125" i="48"/>
  <c r="AV1124" i="48"/>
  <c r="Q1124" i="48"/>
  <c r="J1124" i="48"/>
  <c r="BL1123" i="48"/>
  <c r="BN1123" i="48" s="1"/>
  <c r="BK1123" i="48"/>
  <c r="AV1123" i="48"/>
  <c r="Q1123" i="48"/>
  <c r="J1123" i="48"/>
  <c r="BL1122" i="48"/>
  <c r="BN1122" i="48" s="1"/>
  <c r="BK1122" i="48"/>
  <c r="AV1122" i="48"/>
  <c r="Q1122" i="48"/>
  <c r="J1122" i="48"/>
  <c r="BL1121" i="48"/>
  <c r="BN1121" i="48" s="1"/>
  <c r="BK1121" i="48"/>
  <c r="AV1121" i="48"/>
  <c r="Q1121" i="48"/>
  <c r="J1121" i="48"/>
  <c r="BL1120" i="48"/>
  <c r="BN1120" i="48" s="1"/>
  <c r="BK1120" i="48"/>
  <c r="AV1120" i="48"/>
  <c r="Q1120" i="48"/>
  <c r="J1120" i="48"/>
  <c r="BL1119" i="48"/>
  <c r="BN1119" i="48" s="1"/>
  <c r="BK1119" i="48"/>
  <c r="AV1119" i="48"/>
  <c r="Q1119" i="48"/>
  <c r="J1119" i="48"/>
  <c r="BL1118" i="48"/>
  <c r="BN1118" i="48" s="1"/>
  <c r="BK1118" i="48"/>
  <c r="AV1118" i="48"/>
  <c r="Q1118" i="48"/>
  <c r="J1118" i="48"/>
  <c r="BL1117" i="48"/>
  <c r="BN1117" i="48" s="1"/>
  <c r="BK1117" i="48"/>
  <c r="AV1117" i="48"/>
  <c r="Q1117" i="48"/>
  <c r="J1117" i="48"/>
  <c r="BL1116" i="48"/>
  <c r="BN1116" i="48" s="1"/>
  <c r="BK1116" i="48"/>
  <c r="AV1116" i="48"/>
  <c r="Q1116" i="48"/>
  <c r="J1116" i="48"/>
  <c r="BL1115" i="48"/>
  <c r="BN1115" i="48" s="1"/>
  <c r="BK1115" i="48"/>
  <c r="AV1115" i="48"/>
  <c r="Q1115" i="48"/>
  <c r="J1115" i="48"/>
  <c r="BL1114" i="48"/>
  <c r="BN1114" i="48" s="1"/>
  <c r="BK1114" i="48"/>
  <c r="AV1114" i="48"/>
  <c r="Q1114" i="48"/>
  <c r="J1114" i="48"/>
  <c r="BL1113" i="48"/>
  <c r="BN1113" i="48" s="1"/>
  <c r="BK1113" i="48"/>
  <c r="AV1113" i="48"/>
  <c r="Q1113" i="48"/>
  <c r="J1113" i="48"/>
  <c r="BL1112" i="48"/>
  <c r="BN1112" i="48" s="1"/>
  <c r="BK1112" i="48"/>
  <c r="AV1112" i="48"/>
  <c r="Q1112" i="48"/>
  <c r="J1112" i="48"/>
  <c r="BL1111" i="48"/>
  <c r="BN1111" i="48" s="1"/>
  <c r="BK1111" i="48"/>
  <c r="AV1111" i="48"/>
  <c r="Q1111" i="48"/>
  <c r="J1111" i="48"/>
  <c r="BL1110" i="48"/>
  <c r="BN1110" i="48" s="1"/>
  <c r="BK1110" i="48"/>
  <c r="AV1110" i="48"/>
  <c r="Q1110" i="48"/>
  <c r="J1110" i="48"/>
  <c r="BL1109" i="48"/>
  <c r="BN1109" i="48" s="1"/>
  <c r="BK1109" i="48"/>
  <c r="AV1109" i="48"/>
  <c r="Q1109" i="48"/>
  <c r="J1109" i="48"/>
  <c r="BL1108" i="48"/>
  <c r="BN1108" i="48" s="1"/>
  <c r="BK1108" i="48"/>
  <c r="AV1108" i="48"/>
  <c r="BL1107" i="48"/>
  <c r="BN1107" i="48" s="1"/>
  <c r="BK1107" i="48"/>
  <c r="AV1107" i="48"/>
  <c r="BL1106" i="48"/>
  <c r="BN1106" i="48" s="1"/>
  <c r="BK1106" i="48"/>
  <c r="AV1106" i="48"/>
  <c r="BL1105" i="48"/>
  <c r="BN1105" i="48" s="1"/>
  <c r="BK1105" i="48"/>
  <c r="AV1105" i="48"/>
  <c r="BL1104" i="48"/>
  <c r="BN1104" i="48" s="1"/>
  <c r="BK1104" i="48"/>
  <c r="AV1104" i="48"/>
  <c r="BL1103" i="48"/>
  <c r="BN1103" i="48" s="1"/>
  <c r="BK1103" i="48"/>
  <c r="AV1103" i="48"/>
  <c r="BL1100" i="48"/>
  <c r="BN1100" i="48" s="1"/>
  <c r="BK1100" i="48"/>
  <c r="AV1100" i="48"/>
  <c r="BL1099" i="48"/>
  <c r="BN1099" i="48" s="1"/>
  <c r="BK1099" i="48"/>
  <c r="AV1099" i="48"/>
  <c r="Q1099" i="48"/>
  <c r="J1099" i="48"/>
  <c r="BL1098" i="48"/>
  <c r="BN1098" i="48" s="1"/>
  <c r="BK1098" i="48"/>
  <c r="AV1098" i="48"/>
  <c r="Q1098" i="48"/>
  <c r="J1098" i="48"/>
  <c r="BL1097" i="48"/>
  <c r="BN1097" i="48" s="1"/>
  <c r="BK1097" i="48"/>
  <c r="AV1097" i="48"/>
  <c r="Q1097" i="48"/>
  <c r="J1097" i="48"/>
  <c r="BL1096" i="48"/>
  <c r="BN1096" i="48" s="1"/>
  <c r="BK1096" i="48"/>
  <c r="AV1096" i="48"/>
  <c r="Q1096" i="48"/>
  <c r="J1096" i="48"/>
  <c r="BL1095" i="48"/>
  <c r="BN1095" i="48" s="1"/>
  <c r="BK1095" i="48"/>
  <c r="AV1095" i="48"/>
  <c r="Q1095" i="48"/>
  <c r="J1095" i="48"/>
  <c r="BL1094" i="48"/>
  <c r="BN1094" i="48" s="1"/>
  <c r="BK1094" i="48"/>
  <c r="AV1094" i="48"/>
  <c r="Q1094" i="48"/>
  <c r="J1094" i="48"/>
  <c r="BL1093" i="48"/>
  <c r="BN1093" i="48" s="1"/>
  <c r="BK1093" i="48"/>
  <c r="AV1093" i="48"/>
  <c r="Q1093" i="48"/>
  <c r="J1093" i="48"/>
  <c r="BL1092" i="48"/>
  <c r="BN1092" i="48" s="1"/>
  <c r="BK1092" i="48"/>
  <c r="AV1092" i="48"/>
  <c r="Q1092" i="48"/>
  <c r="J1092" i="48"/>
  <c r="BL1091" i="48"/>
  <c r="BN1091" i="48" s="1"/>
  <c r="BK1091" i="48"/>
  <c r="AV1091" i="48"/>
  <c r="Q1091" i="48"/>
  <c r="J1091" i="48"/>
  <c r="BL1090" i="48"/>
  <c r="BN1090" i="48" s="1"/>
  <c r="BK1090" i="48"/>
  <c r="AV1090" i="48"/>
  <c r="Q1090" i="48"/>
  <c r="J1090" i="48"/>
  <c r="BL1089" i="48"/>
  <c r="BN1089" i="48" s="1"/>
  <c r="BK1089" i="48"/>
  <c r="AV1089" i="48"/>
  <c r="Q1089" i="48"/>
  <c r="J1089" i="48"/>
  <c r="BL1088" i="48"/>
  <c r="BN1088" i="48" s="1"/>
  <c r="BK1088" i="48"/>
  <c r="AV1088" i="48"/>
  <c r="Q1088" i="48"/>
  <c r="J1088" i="48"/>
  <c r="BL1087" i="48"/>
  <c r="BN1087" i="48" s="1"/>
  <c r="BK1087" i="48"/>
  <c r="AV1087" i="48"/>
  <c r="Q1087" i="48"/>
  <c r="J1087" i="48"/>
  <c r="BL1086" i="48"/>
  <c r="BN1086" i="48" s="1"/>
  <c r="BK1086" i="48"/>
  <c r="AV1086" i="48"/>
  <c r="Q1086" i="48"/>
  <c r="J1086" i="48"/>
  <c r="BL1085" i="48"/>
  <c r="BN1085" i="48" s="1"/>
  <c r="BK1085" i="48"/>
  <c r="AV1085" i="48"/>
  <c r="Q1085" i="48"/>
  <c r="J1085" i="48"/>
  <c r="BL1084" i="48"/>
  <c r="BN1084" i="48" s="1"/>
  <c r="BK1084" i="48"/>
  <c r="AV1084" i="48"/>
  <c r="Q1084" i="48"/>
  <c r="J1084" i="48"/>
  <c r="BL1083" i="48"/>
  <c r="BN1083" i="48" s="1"/>
  <c r="BK1083" i="48"/>
  <c r="AV1083" i="48"/>
  <c r="BL1082" i="48"/>
  <c r="BN1082" i="48" s="1"/>
  <c r="BK1082" i="48"/>
  <c r="AV1082" i="48"/>
  <c r="BL1081" i="48"/>
  <c r="BN1081" i="48" s="1"/>
  <c r="BK1081" i="48"/>
  <c r="AV1081" i="48"/>
  <c r="BL1080" i="48"/>
  <c r="BN1080" i="48" s="1"/>
  <c r="BK1080" i="48"/>
  <c r="AV1080" i="48"/>
  <c r="AV1079" i="48"/>
  <c r="BL1078" i="48"/>
  <c r="BN1078" i="48" s="1"/>
  <c r="BK1078" i="48"/>
  <c r="BL1074" i="48"/>
  <c r="BN1074" i="48" s="1"/>
  <c r="BK1074" i="48"/>
  <c r="AV1074" i="48"/>
  <c r="Q1074" i="48"/>
  <c r="BL1073" i="48"/>
  <c r="BN1073" i="48" s="1"/>
  <c r="BK1073" i="48"/>
  <c r="AV1073" i="48"/>
  <c r="Q1073" i="48"/>
  <c r="J1073" i="48"/>
  <c r="BL1072" i="48"/>
  <c r="BN1072" i="48" s="1"/>
  <c r="BK1072" i="48"/>
  <c r="AV1072" i="48"/>
  <c r="Q1072" i="48"/>
  <c r="J1072" i="48"/>
  <c r="BL1071" i="48"/>
  <c r="BN1071" i="48" s="1"/>
  <c r="BK1071" i="48"/>
  <c r="AV1071" i="48"/>
  <c r="Q1071" i="48"/>
  <c r="J1071" i="48"/>
  <c r="BL1070" i="48"/>
  <c r="BN1070" i="48" s="1"/>
  <c r="BK1070" i="48"/>
  <c r="AV1070" i="48"/>
  <c r="Q1070" i="48"/>
  <c r="J1070" i="48"/>
  <c r="BL1069" i="48"/>
  <c r="BN1069" i="48" s="1"/>
  <c r="BK1069" i="48"/>
  <c r="AV1069" i="48"/>
  <c r="Q1069" i="48"/>
  <c r="J1069" i="48"/>
  <c r="BL1068" i="48"/>
  <c r="BN1068" i="48" s="1"/>
  <c r="BK1068" i="48"/>
  <c r="AV1068" i="48"/>
  <c r="Q1068" i="48"/>
  <c r="J1068" i="48"/>
  <c r="BL1067" i="48"/>
  <c r="BN1067" i="48" s="1"/>
  <c r="BK1067" i="48"/>
  <c r="AV1067" i="48"/>
  <c r="Q1067" i="48"/>
  <c r="J1067" i="48"/>
  <c r="BL1066" i="48"/>
  <c r="BN1066" i="48" s="1"/>
  <c r="BK1066" i="48"/>
  <c r="AV1066" i="48"/>
  <c r="Q1066" i="48"/>
  <c r="J1066" i="48"/>
  <c r="BL1065" i="48"/>
  <c r="BN1065" i="48" s="1"/>
  <c r="BK1065" i="48"/>
  <c r="AV1065" i="48"/>
  <c r="Q1065" i="48"/>
  <c r="J1065" i="48"/>
  <c r="BL1064" i="48"/>
  <c r="BN1064" i="48" s="1"/>
  <c r="BK1064" i="48"/>
  <c r="AV1064" i="48"/>
  <c r="Q1064" i="48"/>
  <c r="J1064" i="48"/>
  <c r="BL1063" i="48"/>
  <c r="BN1063" i="48" s="1"/>
  <c r="BK1063" i="48"/>
  <c r="AV1063" i="48"/>
  <c r="Q1063" i="48"/>
  <c r="J1063" i="48"/>
  <c r="BL1062" i="48"/>
  <c r="BN1062" i="48" s="1"/>
  <c r="BK1062" i="48"/>
  <c r="AV1062" i="48"/>
  <c r="Q1062" i="48"/>
  <c r="J1062" i="48"/>
  <c r="BL1061" i="48"/>
  <c r="BN1061" i="48" s="1"/>
  <c r="BK1061" i="48"/>
  <c r="AV1061" i="48"/>
  <c r="Q1061" i="48"/>
  <c r="J1061" i="48"/>
  <c r="BL1060" i="48"/>
  <c r="BN1060" i="48" s="1"/>
  <c r="BK1060" i="48"/>
  <c r="AV1060" i="48"/>
  <c r="Q1060" i="48"/>
  <c r="J1060" i="48"/>
  <c r="BL1059" i="48"/>
  <c r="BN1059" i="48" s="1"/>
  <c r="BK1059" i="48"/>
  <c r="AV1059" i="48"/>
  <c r="Q1059" i="48"/>
  <c r="J1059" i="48"/>
  <c r="BL1058" i="48"/>
  <c r="BN1058" i="48" s="1"/>
  <c r="BK1058" i="48"/>
  <c r="AV1058" i="48"/>
  <c r="BL1057" i="48"/>
  <c r="BN1057" i="48" s="1"/>
  <c r="BK1057" i="48"/>
  <c r="AV1057" i="48"/>
  <c r="BL1056" i="48"/>
  <c r="BN1056" i="48" s="1"/>
  <c r="BK1056" i="48"/>
  <c r="AV1056" i="48"/>
  <c r="BL1055" i="48"/>
  <c r="BN1055" i="48" s="1"/>
  <c r="BK1055" i="48"/>
  <c r="AV1055" i="48"/>
  <c r="BL1054" i="48"/>
  <c r="BN1054" i="48" s="1"/>
  <c r="BK1054" i="48"/>
  <c r="AV1054" i="48"/>
  <c r="BL1053" i="48"/>
  <c r="BN1053" i="48" s="1"/>
  <c r="BK1053" i="48"/>
  <c r="AV1053" i="48"/>
  <c r="BL1049" i="48"/>
  <c r="BN1049" i="48" s="1"/>
  <c r="BK1049" i="48"/>
  <c r="AV1049" i="48"/>
  <c r="Q1049" i="48"/>
  <c r="J1049" i="48"/>
  <c r="BL1048" i="48"/>
  <c r="BN1048" i="48" s="1"/>
  <c r="BK1048" i="48"/>
  <c r="AV1048" i="48"/>
  <c r="Q1048" i="48"/>
  <c r="J1048" i="48"/>
  <c r="BL1047" i="48"/>
  <c r="BN1047" i="48" s="1"/>
  <c r="BK1047" i="48"/>
  <c r="AV1047" i="48"/>
  <c r="Q1047" i="48"/>
  <c r="J1047" i="48"/>
  <c r="BL1046" i="48"/>
  <c r="BN1046" i="48" s="1"/>
  <c r="BK1046" i="48"/>
  <c r="AV1046" i="48"/>
  <c r="Q1046" i="48"/>
  <c r="J1046" i="48"/>
  <c r="BL1045" i="48"/>
  <c r="BN1045" i="48" s="1"/>
  <c r="BK1045" i="48"/>
  <c r="AV1045" i="48"/>
  <c r="Q1045" i="48"/>
  <c r="J1045" i="48"/>
  <c r="BL1044" i="48"/>
  <c r="BN1044" i="48" s="1"/>
  <c r="BK1044" i="48"/>
  <c r="AV1044" i="48"/>
  <c r="Q1044" i="48"/>
  <c r="J1044" i="48"/>
  <c r="BL1043" i="48"/>
  <c r="BN1043" i="48" s="1"/>
  <c r="BK1043" i="48"/>
  <c r="AV1043" i="48"/>
  <c r="Q1043" i="48"/>
  <c r="J1043" i="48"/>
  <c r="BL1042" i="48"/>
  <c r="BN1042" i="48" s="1"/>
  <c r="BK1042" i="48"/>
  <c r="AV1042" i="48"/>
  <c r="Q1042" i="48"/>
  <c r="J1042" i="48"/>
  <c r="BL1041" i="48"/>
  <c r="BN1041" i="48" s="1"/>
  <c r="BK1041" i="48"/>
  <c r="AV1041" i="48"/>
  <c r="Q1041" i="48"/>
  <c r="J1041" i="48"/>
  <c r="BL1040" i="48"/>
  <c r="BN1040" i="48" s="1"/>
  <c r="BK1040" i="48"/>
  <c r="AV1040" i="48"/>
  <c r="Q1040" i="48"/>
  <c r="J1040" i="48"/>
  <c r="BL1039" i="48"/>
  <c r="BN1039" i="48" s="1"/>
  <c r="BK1039" i="48"/>
  <c r="AV1039" i="48"/>
  <c r="Q1039" i="48"/>
  <c r="J1039" i="48"/>
  <c r="BL1038" i="48"/>
  <c r="BN1038" i="48" s="1"/>
  <c r="BK1038" i="48"/>
  <c r="AV1038" i="48"/>
  <c r="Q1038" i="48"/>
  <c r="J1038" i="48"/>
  <c r="BL1037" i="48"/>
  <c r="BN1037" i="48" s="1"/>
  <c r="BK1037" i="48"/>
  <c r="AV1037" i="48"/>
  <c r="Q1037" i="48"/>
  <c r="J1037" i="48"/>
  <c r="BL1036" i="48"/>
  <c r="BN1036" i="48" s="1"/>
  <c r="BK1036" i="48"/>
  <c r="AV1036" i="48"/>
  <c r="Q1036" i="48"/>
  <c r="J1036" i="48"/>
  <c r="BL1035" i="48"/>
  <c r="BN1035" i="48" s="1"/>
  <c r="BK1035" i="48"/>
  <c r="AV1035" i="48"/>
  <c r="AW1035" i="48" s="1"/>
  <c r="Q1035" i="48"/>
  <c r="J1035" i="48"/>
  <c r="BL1034" i="48"/>
  <c r="BN1034" i="48" s="1"/>
  <c r="BK1034" i="48"/>
  <c r="Q1034" i="48"/>
  <c r="J1034" i="48"/>
  <c r="BL1033" i="48"/>
  <c r="BN1033" i="48" s="1"/>
  <c r="BK1033" i="48"/>
  <c r="BL1032" i="48"/>
  <c r="BN1032" i="48" s="1"/>
  <c r="BK1032" i="48"/>
  <c r="BL1031" i="48"/>
  <c r="BN1031" i="48" s="1"/>
  <c r="BK1031" i="48"/>
  <c r="AV1031" i="48"/>
  <c r="BL1030" i="48"/>
  <c r="BN1030" i="48" s="1"/>
  <c r="BK1030" i="48"/>
  <c r="AV1030" i="48"/>
  <c r="BL1029" i="48"/>
  <c r="BN1029" i="48" s="1"/>
  <c r="BK1029" i="48"/>
  <c r="AV1029" i="48"/>
  <c r="BL1028" i="48"/>
  <c r="BN1028" i="48" s="1"/>
  <c r="BK1028" i="48"/>
  <c r="AV1028" i="48"/>
  <c r="BL1025" i="48"/>
  <c r="BN1025" i="48" s="1"/>
  <c r="BK1025" i="48"/>
  <c r="AV1025" i="48"/>
  <c r="Q1025" i="48"/>
  <c r="J1025" i="48"/>
  <c r="BL1024" i="48"/>
  <c r="BN1024" i="48" s="1"/>
  <c r="BK1024" i="48"/>
  <c r="AV1024" i="48"/>
  <c r="Q1024" i="48"/>
  <c r="J1024" i="48"/>
  <c r="BL1023" i="48"/>
  <c r="BN1023" i="48" s="1"/>
  <c r="BK1023" i="48"/>
  <c r="AV1023" i="48"/>
  <c r="Q1023" i="48"/>
  <c r="J1023" i="48"/>
  <c r="BL1022" i="48"/>
  <c r="BN1022" i="48" s="1"/>
  <c r="BK1022" i="48"/>
  <c r="AV1022" i="48"/>
  <c r="Q1022" i="48"/>
  <c r="J1022" i="48"/>
  <c r="BL1021" i="48"/>
  <c r="BN1021" i="48" s="1"/>
  <c r="BK1021" i="48"/>
  <c r="AV1021" i="48"/>
  <c r="Q1021" i="48"/>
  <c r="J1021" i="48"/>
  <c r="BL1020" i="48"/>
  <c r="BN1020" i="48" s="1"/>
  <c r="BK1020" i="48"/>
  <c r="AV1020" i="48"/>
  <c r="Q1020" i="48"/>
  <c r="J1020" i="48"/>
  <c r="BL1019" i="48"/>
  <c r="BN1019" i="48" s="1"/>
  <c r="BK1019" i="48"/>
  <c r="AV1019" i="48"/>
  <c r="Q1019" i="48"/>
  <c r="J1019" i="48"/>
  <c r="BL1018" i="48"/>
  <c r="BN1018" i="48" s="1"/>
  <c r="BK1018" i="48"/>
  <c r="AV1018" i="48"/>
  <c r="Q1018" i="48"/>
  <c r="J1018" i="48"/>
  <c r="BL1017" i="48"/>
  <c r="BN1017" i="48" s="1"/>
  <c r="BK1017" i="48"/>
  <c r="AV1017" i="48"/>
  <c r="Q1017" i="48"/>
  <c r="J1017" i="48"/>
  <c r="BL1016" i="48"/>
  <c r="BN1016" i="48" s="1"/>
  <c r="BK1016" i="48"/>
  <c r="AV1016" i="48"/>
  <c r="Q1016" i="48"/>
  <c r="J1016" i="48"/>
  <c r="BL1015" i="48"/>
  <c r="BN1015" i="48" s="1"/>
  <c r="BK1015" i="48"/>
  <c r="AV1015" i="48"/>
  <c r="Q1015" i="48"/>
  <c r="J1015" i="48"/>
  <c r="BL1014" i="48"/>
  <c r="BN1014" i="48" s="1"/>
  <c r="BK1014" i="48"/>
  <c r="AV1014" i="48"/>
  <c r="Q1014" i="48"/>
  <c r="J1014" i="48"/>
  <c r="BL1013" i="48"/>
  <c r="BN1013" i="48" s="1"/>
  <c r="BK1013" i="48"/>
  <c r="AV1013" i="48"/>
  <c r="Q1013" i="48"/>
  <c r="J1013" i="48"/>
  <c r="BL1012" i="48"/>
  <c r="BN1012" i="48" s="1"/>
  <c r="BK1012" i="48"/>
  <c r="AV1012" i="48"/>
  <c r="Q1012" i="48"/>
  <c r="J1012" i="48"/>
  <c r="BL1011" i="48"/>
  <c r="BN1011" i="48" s="1"/>
  <c r="BK1011" i="48"/>
  <c r="AV1011" i="48"/>
  <c r="Q1011" i="48"/>
  <c r="J1011" i="48"/>
  <c r="BL1010" i="48"/>
  <c r="BN1010" i="48" s="1"/>
  <c r="BK1010" i="48"/>
  <c r="AV1010" i="48"/>
  <c r="Q1010" i="48"/>
  <c r="J1010" i="48"/>
  <c r="BL1009" i="48"/>
  <c r="BN1009" i="48" s="1"/>
  <c r="BK1009" i="48"/>
  <c r="AV1009" i="48"/>
  <c r="Q1009" i="48"/>
  <c r="J1009" i="48"/>
  <c r="AV1008" i="48"/>
  <c r="AV1007" i="48"/>
  <c r="BL1006" i="48"/>
  <c r="BN1006" i="48" s="1"/>
  <c r="BK1006" i="48"/>
  <c r="AV1006" i="48"/>
  <c r="BL1005" i="48"/>
  <c r="BN1005" i="48" s="1"/>
  <c r="BK1005" i="48"/>
  <c r="AV1005" i="48"/>
  <c r="BL1004" i="48"/>
  <c r="BN1004" i="48" s="1"/>
  <c r="BK1004" i="48"/>
  <c r="AV1004" i="48"/>
  <c r="BL1003" i="48"/>
  <c r="BN1003" i="48" s="1"/>
  <c r="BK1003" i="48"/>
  <c r="AV1003" i="48"/>
  <c r="BL1000" i="48"/>
  <c r="BN1000" i="48" s="1"/>
  <c r="BK1000" i="48"/>
  <c r="Q1000" i="48"/>
  <c r="J1000" i="48"/>
  <c r="BL999" i="48"/>
  <c r="BN999" i="48" s="1"/>
  <c r="BK999" i="48"/>
  <c r="Q999" i="48"/>
  <c r="J999" i="48"/>
  <c r="BL998" i="48"/>
  <c r="BN998" i="48" s="1"/>
  <c r="BK998" i="48"/>
  <c r="AV998" i="48"/>
  <c r="Q998" i="48"/>
  <c r="J998" i="48"/>
  <c r="BL997" i="48"/>
  <c r="BN997" i="48" s="1"/>
  <c r="BK997" i="48"/>
  <c r="AV997" i="48"/>
  <c r="Q997" i="48"/>
  <c r="J997" i="48"/>
  <c r="BL996" i="48"/>
  <c r="BN996" i="48" s="1"/>
  <c r="BK996" i="48"/>
  <c r="AV996" i="48"/>
  <c r="Q996" i="48"/>
  <c r="J996" i="48"/>
  <c r="BL995" i="48"/>
  <c r="BN995" i="48" s="1"/>
  <c r="BK995" i="48"/>
  <c r="AV995" i="48"/>
  <c r="Q995" i="48"/>
  <c r="J995" i="48"/>
  <c r="BL994" i="48"/>
  <c r="BN994" i="48" s="1"/>
  <c r="BK994" i="48"/>
  <c r="AV994" i="48"/>
  <c r="Q994" i="48"/>
  <c r="J994" i="48"/>
  <c r="BL993" i="48"/>
  <c r="BN993" i="48" s="1"/>
  <c r="BK993" i="48"/>
  <c r="AV993" i="48"/>
  <c r="Q993" i="48"/>
  <c r="J993" i="48"/>
  <c r="BL992" i="48"/>
  <c r="BN992" i="48" s="1"/>
  <c r="BK992" i="48"/>
  <c r="AV992" i="48"/>
  <c r="Q992" i="48"/>
  <c r="J992" i="48"/>
  <c r="BL991" i="48"/>
  <c r="BN991" i="48" s="1"/>
  <c r="BK991" i="48"/>
  <c r="AV991" i="48"/>
  <c r="Q991" i="48"/>
  <c r="J991" i="48"/>
  <c r="BL990" i="48"/>
  <c r="BN990" i="48" s="1"/>
  <c r="BK990" i="48"/>
  <c r="AV990" i="48"/>
  <c r="Q990" i="48"/>
  <c r="J990" i="48"/>
  <c r="BL989" i="48"/>
  <c r="BN989" i="48" s="1"/>
  <c r="BK989" i="48"/>
  <c r="AV989" i="48"/>
  <c r="Q989" i="48"/>
  <c r="J989" i="48"/>
  <c r="BL988" i="48"/>
  <c r="BN988" i="48" s="1"/>
  <c r="BK988" i="48"/>
  <c r="AV988" i="48"/>
  <c r="Q988" i="48"/>
  <c r="J988" i="48"/>
  <c r="BL987" i="48"/>
  <c r="BN987" i="48" s="1"/>
  <c r="BK987" i="48"/>
  <c r="AV987" i="48"/>
  <c r="Q987" i="48"/>
  <c r="J987" i="48"/>
  <c r="BL986" i="48"/>
  <c r="BN986" i="48" s="1"/>
  <c r="BK986" i="48"/>
  <c r="AV986" i="48"/>
  <c r="Q986" i="48"/>
  <c r="J986" i="48"/>
  <c r="BL985" i="48"/>
  <c r="BN985" i="48" s="1"/>
  <c r="BK985" i="48"/>
  <c r="AV985" i="48"/>
  <c r="Q985" i="48"/>
  <c r="J985" i="48"/>
  <c r="BL984" i="48"/>
  <c r="BN984" i="48" s="1"/>
  <c r="BK984" i="48"/>
  <c r="AV984" i="48"/>
  <c r="Q984" i="48"/>
  <c r="J984" i="48"/>
  <c r="BL983" i="48"/>
  <c r="BN983" i="48" s="1"/>
  <c r="BK983" i="48"/>
  <c r="AV983" i="48"/>
  <c r="BL982" i="48"/>
  <c r="BN982" i="48" s="1"/>
  <c r="BK982" i="48"/>
  <c r="AV982" i="48"/>
  <c r="BL981" i="48"/>
  <c r="BN981" i="48" s="1"/>
  <c r="BK981" i="48"/>
  <c r="AV981" i="48"/>
  <c r="BL980" i="48"/>
  <c r="BN980" i="48" s="1"/>
  <c r="BK980" i="48"/>
  <c r="AV980" i="48"/>
  <c r="BL979" i="48"/>
  <c r="BN979" i="48" s="1"/>
  <c r="BK979" i="48"/>
  <c r="AV979" i="48"/>
  <c r="BL978" i="48"/>
  <c r="BN978" i="48" s="1"/>
  <c r="BK978" i="48"/>
  <c r="AV978" i="48"/>
  <c r="BL975" i="48"/>
  <c r="BN975" i="48" s="1"/>
  <c r="BK975" i="48"/>
  <c r="Q975" i="48"/>
  <c r="J975" i="48"/>
  <c r="BL974" i="48"/>
  <c r="BN974" i="48" s="1"/>
  <c r="BK974" i="48"/>
  <c r="Q974" i="48"/>
  <c r="J974" i="48"/>
  <c r="BL973" i="48"/>
  <c r="BN973" i="48" s="1"/>
  <c r="BK973" i="48"/>
  <c r="AV973" i="48"/>
  <c r="Q973" i="48"/>
  <c r="J973" i="48"/>
  <c r="BL972" i="48"/>
  <c r="BN972" i="48" s="1"/>
  <c r="BK972" i="48"/>
  <c r="AV972" i="48"/>
  <c r="Q972" i="48"/>
  <c r="J972" i="48"/>
  <c r="BL971" i="48"/>
  <c r="BN971" i="48" s="1"/>
  <c r="BK971" i="48"/>
  <c r="AV971" i="48"/>
  <c r="Q971" i="48"/>
  <c r="J971" i="48"/>
  <c r="BL970" i="48"/>
  <c r="BN970" i="48" s="1"/>
  <c r="BK970" i="48"/>
  <c r="AV970" i="48"/>
  <c r="Q970" i="48"/>
  <c r="J970" i="48"/>
  <c r="BL969" i="48"/>
  <c r="BN969" i="48" s="1"/>
  <c r="BK969" i="48"/>
  <c r="AV969" i="48"/>
  <c r="Q969" i="48"/>
  <c r="J969" i="48"/>
  <c r="BL968" i="48"/>
  <c r="BN968" i="48" s="1"/>
  <c r="BK968" i="48"/>
  <c r="AV968" i="48"/>
  <c r="Q968" i="48"/>
  <c r="J968" i="48"/>
  <c r="BL967" i="48"/>
  <c r="BN967" i="48" s="1"/>
  <c r="BK967" i="48"/>
  <c r="AV967" i="48"/>
  <c r="Q967" i="48"/>
  <c r="J967" i="48"/>
  <c r="BL966" i="48"/>
  <c r="BN966" i="48" s="1"/>
  <c r="BK966" i="48"/>
  <c r="AV966" i="48"/>
  <c r="Q966" i="48"/>
  <c r="J966" i="48"/>
  <c r="BL965" i="48"/>
  <c r="BN965" i="48" s="1"/>
  <c r="BK965" i="48"/>
  <c r="AV965" i="48"/>
  <c r="Q965" i="48"/>
  <c r="J965" i="48"/>
  <c r="BL964" i="48"/>
  <c r="BN964" i="48" s="1"/>
  <c r="BK964" i="48"/>
  <c r="AV964" i="48"/>
  <c r="Q964" i="48"/>
  <c r="J964" i="48"/>
  <c r="BL963" i="48"/>
  <c r="BN963" i="48" s="1"/>
  <c r="BK963" i="48"/>
  <c r="AV963" i="48"/>
  <c r="Q963" i="48"/>
  <c r="J963" i="48"/>
  <c r="BL962" i="48"/>
  <c r="BN962" i="48" s="1"/>
  <c r="BK962" i="48"/>
  <c r="AV962" i="48"/>
  <c r="Q962" i="48"/>
  <c r="J962" i="48"/>
  <c r="BL961" i="48"/>
  <c r="BN961" i="48" s="1"/>
  <c r="BK961" i="48"/>
  <c r="AV961" i="48"/>
  <c r="Q961" i="48"/>
  <c r="J961" i="48"/>
  <c r="BL960" i="48"/>
  <c r="BN960" i="48" s="1"/>
  <c r="BK960" i="48"/>
  <c r="AV960" i="48"/>
  <c r="Q960" i="48"/>
  <c r="J960" i="48"/>
  <c r="BL959" i="48"/>
  <c r="BN959" i="48" s="1"/>
  <c r="BK959" i="48"/>
  <c r="AV959" i="48"/>
  <c r="Q959" i="48"/>
  <c r="J959" i="48"/>
  <c r="BL958" i="48"/>
  <c r="BN958" i="48" s="1"/>
  <c r="BK958" i="48"/>
  <c r="AV958" i="48"/>
  <c r="BL957" i="48"/>
  <c r="BN957" i="48" s="1"/>
  <c r="BK957" i="48"/>
  <c r="AV957" i="48"/>
  <c r="BL956" i="48"/>
  <c r="BN956" i="48" s="1"/>
  <c r="BK956" i="48"/>
  <c r="AV956" i="48"/>
  <c r="BL955" i="48"/>
  <c r="BN955" i="48" s="1"/>
  <c r="BK955" i="48"/>
  <c r="AV955" i="48"/>
  <c r="BL954" i="48"/>
  <c r="BN954" i="48" s="1"/>
  <c r="BK954" i="48"/>
  <c r="AV954" i="48"/>
  <c r="BL953" i="48"/>
  <c r="BN953" i="48" s="1"/>
  <c r="BK953" i="48"/>
  <c r="AV953" i="48"/>
  <c r="BL949" i="48"/>
  <c r="BN949" i="48" s="1"/>
  <c r="BK949" i="48"/>
  <c r="Q949" i="48"/>
  <c r="J949" i="48"/>
  <c r="BL948" i="48"/>
  <c r="BN948" i="48" s="1"/>
  <c r="BK948" i="48"/>
  <c r="AV948" i="48"/>
  <c r="Q948" i="48"/>
  <c r="J948" i="48"/>
  <c r="BL947" i="48"/>
  <c r="BN947" i="48" s="1"/>
  <c r="BK947" i="48"/>
  <c r="AV947" i="48"/>
  <c r="Q947" i="48"/>
  <c r="J947" i="48"/>
  <c r="BL946" i="48"/>
  <c r="BN946" i="48" s="1"/>
  <c r="BK946" i="48"/>
  <c r="AV946" i="48"/>
  <c r="Q946" i="48"/>
  <c r="J946" i="48"/>
  <c r="BL945" i="48"/>
  <c r="BN945" i="48" s="1"/>
  <c r="BK945" i="48"/>
  <c r="AV945" i="48"/>
  <c r="Q945" i="48"/>
  <c r="J945" i="48"/>
  <c r="BL944" i="48"/>
  <c r="BN944" i="48" s="1"/>
  <c r="BK944" i="48"/>
  <c r="AV944" i="48"/>
  <c r="Q944" i="48"/>
  <c r="J944" i="48"/>
  <c r="BL943" i="48"/>
  <c r="BN943" i="48" s="1"/>
  <c r="BK943" i="48"/>
  <c r="AV943" i="48"/>
  <c r="Q943" i="48"/>
  <c r="J943" i="48"/>
  <c r="BL942" i="48"/>
  <c r="BN942" i="48" s="1"/>
  <c r="BK942" i="48"/>
  <c r="AV942" i="48"/>
  <c r="Q942" i="48"/>
  <c r="J942" i="48"/>
  <c r="BL941" i="48"/>
  <c r="BN941" i="48" s="1"/>
  <c r="BK941" i="48"/>
  <c r="AV941" i="48"/>
  <c r="Q941" i="48"/>
  <c r="J941" i="48"/>
  <c r="BL940" i="48"/>
  <c r="BN940" i="48" s="1"/>
  <c r="BK940" i="48"/>
  <c r="AV940" i="48"/>
  <c r="Q940" i="48"/>
  <c r="J940" i="48"/>
  <c r="BL939" i="48"/>
  <c r="BN939" i="48" s="1"/>
  <c r="BK939" i="48"/>
  <c r="AV939" i="48"/>
  <c r="Q939" i="48"/>
  <c r="J939" i="48"/>
  <c r="BL938" i="48"/>
  <c r="BN938" i="48" s="1"/>
  <c r="BK938" i="48"/>
  <c r="AV938" i="48"/>
  <c r="Q938" i="48"/>
  <c r="J938" i="48"/>
  <c r="BL937" i="48"/>
  <c r="BN937" i="48" s="1"/>
  <c r="BK937" i="48"/>
  <c r="AV937" i="48"/>
  <c r="Q937" i="48"/>
  <c r="J937" i="48"/>
  <c r="BL936" i="48"/>
  <c r="BN936" i="48" s="1"/>
  <c r="BK936" i="48"/>
  <c r="AV936" i="48"/>
  <c r="Q936" i="48"/>
  <c r="J936" i="48"/>
  <c r="BL935" i="48"/>
  <c r="BN935" i="48" s="1"/>
  <c r="BK935" i="48"/>
  <c r="AV935" i="48"/>
  <c r="Q935" i="48"/>
  <c r="J935" i="48"/>
  <c r="BL934" i="48"/>
  <c r="BN934" i="48" s="1"/>
  <c r="BK934" i="48"/>
  <c r="AV934" i="48"/>
  <c r="Q934" i="48"/>
  <c r="J934" i="48"/>
  <c r="BL933" i="48"/>
  <c r="BN933" i="48" s="1"/>
  <c r="BK933" i="48"/>
  <c r="AV933" i="48"/>
  <c r="BL932" i="48"/>
  <c r="BN932" i="48" s="1"/>
  <c r="BK932" i="48"/>
  <c r="AV932" i="48"/>
  <c r="BL931" i="48"/>
  <c r="BN931" i="48" s="1"/>
  <c r="BK931" i="48"/>
  <c r="AV931" i="48"/>
  <c r="BL930" i="48"/>
  <c r="BN930" i="48" s="1"/>
  <c r="BK930" i="48"/>
  <c r="AV930" i="48"/>
  <c r="BL929" i="48"/>
  <c r="BN929" i="48" s="1"/>
  <c r="BK929" i="48"/>
  <c r="AV929" i="48"/>
  <c r="BL928" i="48"/>
  <c r="BN928" i="48" s="1"/>
  <c r="BK928" i="48"/>
  <c r="AV928" i="48"/>
  <c r="BL925" i="48"/>
  <c r="BN925" i="48" s="1"/>
  <c r="BK925" i="48"/>
  <c r="Q925" i="48"/>
  <c r="J925" i="48"/>
  <c r="BL924" i="48"/>
  <c r="BN924" i="48" s="1"/>
  <c r="BK924" i="48"/>
  <c r="AV924" i="48"/>
  <c r="Q924" i="48"/>
  <c r="J924" i="48"/>
  <c r="BL923" i="48"/>
  <c r="BN923" i="48" s="1"/>
  <c r="BK923" i="48"/>
  <c r="AV923" i="48"/>
  <c r="Q923" i="48"/>
  <c r="J923" i="48"/>
  <c r="BL922" i="48"/>
  <c r="BN922" i="48" s="1"/>
  <c r="BK922" i="48"/>
  <c r="AV922" i="48"/>
  <c r="Q922" i="48"/>
  <c r="J922" i="48"/>
  <c r="BL921" i="48"/>
  <c r="BN921" i="48" s="1"/>
  <c r="BK921" i="48"/>
  <c r="AV921" i="48"/>
  <c r="Q921" i="48"/>
  <c r="J921" i="48"/>
  <c r="BL920" i="48"/>
  <c r="BN920" i="48" s="1"/>
  <c r="BK920" i="48"/>
  <c r="AV920" i="48"/>
  <c r="Q920" i="48"/>
  <c r="J920" i="48"/>
  <c r="BL919" i="48"/>
  <c r="BN919" i="48" s="1"/>
  <c r="BK919" i="48"/>
  <c r="AV919" i="48"/>
  <c r="Q919" i="48"/>
  <c r="J919" i="48"/>
  <c r="BL918" i="48"/>
  <c r="BN918" i="48" s="1"/>
  <c r="BK918" i="48"/>
  <c r="AV918" i="48"/>
  <c r="Q918" i="48"/>
  <c r="J918" i="48"/>
  <c r="BL917" i="48"/>
  <c r="BN917" i="48" s="1"/>
  <c r="BK917" i="48"/>
  <c r="AV917" i="48"/>
  <c r="Q917" i="48"/>
  <c r="J917" i="48"/>
  <c r="BL916" i="48"/>
  <c r="BN916" i="48" s="1"/>
  <c r="BK916" i="48"/>
  <c r="AV916" i="48"/>
  <c r="Q916" i="48"/>
  <c r="J916" i="48"/>
  <c r="BL915" i="48"/>
  <c r="BN915" i="48" s="1"/>
  <c r="BK915" i="48"/>
  <c r="AV915" i="48"/>
  <c r="Q915" i="48"/>
  <c r="J915" i="48"/>
  <c r="BL914" i="48"/>
  <c r="BN914" i="48" s="1"/>
  <c r="BK914" i="48"/>
  <c r="AV914" i="48"/>
  <c r="Q914" i="48"/>
  <c r="J914" i="48"/>
  <c r="BL913" i="48"/>
  <c r="BN913" i="48" s="1"/>
  <c r="BK913" i="48"/>
  <c r="AV913" i="48"/>
  <c r="Q913" i="48"/>
  <c r="J913" i="48"/>
  <c r="BL912" i="48"/>
  <c r="BN912" i="48" s="1"/>
  <c r="BK912" i="48"/>
  <c r="AV912" i="48"/>
  <c r="Q912" i="48"/>
  <c r="J912" i="48"/>
  <c r="BL911" i="48"/>
  <c r="BN911" i="48" s="1"/>
  <c r="BK911" i="48"/>
  <c r="AV911" i="48"/>
  <c r="Q911" i="48"/>
  <c r="J911" i="48"/>
  <c r="BL910" i="48"/>
  <c r="BN910" i="48" s="1"/>
  <c r="BK910" i="48"/>
  <c r="AV910" i="48"/>
  <c r="Q910" i="48"/>
  <c r="J910" i="48"/>
  <c r="BL909" i="48"/>
  <c r="BN909" i="48" s="1"/>
  <c r="BK909" i="48"/>
  <c r="AV909" i="48"/>
  <c r="Q909" i="48"/>
  <c r="J909" i="48"/>
  <c r="BL908" i="48"/>
  <c r="BN908" i="48" s="1"/>
  <c r="BK908" i="48"/>
  <c r="AV908" i="48"/>
  <c r="BL907" i="48"/>
  <c r="BN907" i="48" s="1"/>
  <c r="BK907" i="48"/>
  <c r="AV907" i="48"/>
  <c r="BL906" i="48"/>
  <c r="BN906" i="48" s="1"/>
  <c r="BK906" i="48"/>
  <c r="AV906" i="48"/>
  <c r="BL905" i="48"/>
  <c r="BN905" i="48" s="1"/>
  <c r="BK905" i="48"/>
  <c r="AV905" i="48"/>
  <c r="BL904" i="48"/>
  <c r="BN904" i="48" s="1"/>
  <c r="BK904" i="48"/>
  <c r="AV904" i="48"/>
  <c r="BL903" i="48"/>
  <c r="BN903" i="48" s="1"/>
  <c r="BK903" i="48"/>
  <c r="AV903" i="48"/>
  <c r="BL900" i="48"/>
  <c r="BN900" i="48" s="1"/>
  <c r="BK900" i="48"/>
  <c r="AV900" i="48"/>
  <c r="Q900" i="48"/>
  <c r="J900" i="48"/>
  <c r="BL899" i="48"/>
  <c r="BN899" i="48" s="1"/>
  <c r="BK899" i="48"/>
  <c r="AV899" i="48"/>
  <c r="Q899" i="48"/>
  <c r="J899" i="48"/>
  <c r="BL898" i="48"/>
  <c r="BN898" i="48" s="1"/>
  <c r="BK898" i="48"/>
  <c r="AV898" i="48"/>
  <c r="Q898" i="48"/>
  <c r="J898" i="48"/>
  <c r="BL897" i="48"/>
  <c r="BN897" i="48" s="1"/>
  <c r="BK897" i="48"/>
  <c r="AV897" i="48"/>
  <c r="Q897" i="48"/>
  <c r="J897" i="48"/>
  <c r="BL896" i="48"/>
  <c r="BN896" i="48" s="1"/>
  <c r="BK896" i="48"/>
  <c r="AV896" i="48"/>
  <c r="Q896" i="48"/>
  <c r="J896" i="48"/>
  <c r="BL895" i="48"/>
  <c r="BN895" i="48" s="1"/>
  <c r="BK895" i="48"/>
  <c r="AV895" i="48"/>
  <c r="Q895" i="48"/>
  <c r="J895" i="48"/>
  <c r="BL894" i="48"/>
  <c r="BN894" i="48" s="1"/>
  <c r="BK894" i="48"/>
  <c r="AV894" i="48"/>
  <c r="Q894" i="48"/>
  <c r="J894" i="48"/>
  <c r="BL893" i="48"/>
  <c r="BN893" i="48" s="1"/>
  <c r="BK893" i="48"/>
  <c r="AV893" i="48"/>
  <c r="Q893" i="48"/>
  <c r="J893" i="48"/>
  <c r="BL892" i="48"/>
  <c r="BN892" i="48" s="1"/>
  <c r="BK892" i="48"/>
  <c r="AV892" i="48"/>
  <c r="Q892" i="48"/>
  <c r="J892" i="48"/>
  <c r="BL891" i="48"/>
  <c r="BN891" i="48" s="1"/>
  <c r="BK891" i="48"/>
  <c r="AV891" i="48"/>
  <c r="Q891" i="48"/>
  <c r="J891" i="48"/>
  <c r="BL890" i="48"/>
  <c r="BN890" i="48" s="1"/>
  <c r="BK890" i="48"/>
  <c r="AV890" i="48"/>
  <c r="Q890" i="48"/>
  <c r="J890" i="48"/>
  <c r="BL889" i="48"/>
  <c r="BN889" i="48" s="1"/>
  <c r="BK889" i="48"/>
  <c r="AV889" i="48"/>
  <c r="Q889" i="48"/>
  <c r="J889" i="48"/>
  <c r="BL888" i="48"/>
  <c r="BN888" i="48" s="1"/>
  <c r="BK888" i="48"/>
  <c r="AV888" i="48"/>
  <c r="Q888" i="48"/>
  <c r="J888" i="48"/>
  <c r="BL887" i="48"/>
  <c r="BN887" i="48" s="1"/>
  <c r="BK887" i="48"/>
  <c r="AV887" i="48"/>
  <c r="Q887" i="48"/>
  <c r="J887" i="48"/>
  <c r="BL886" i="48"/>
  <c r="BN886" i="48" s="1"/>
  <c r="BK886" i="48"/>
  <c r="AV886" i="48"/>
  <c r="Q886" i="48"/>
  <c r="J886" i="48"/>
  <c r="BL885" i="48"/>
  <c r="BN885" i="48" s="1"/>
  <c r="BK885" i="48"/>
  <c r="AV885" i="48"/>
  <c r="Q885" i="48"/>
  <c r="J885" i="48"/>
  <c r="BL884" i="48"/>
  <c r="BN884" i="48" s="1"/>
  <c r="BK884" i="48"/>
  <c r="AV884" i="48"/>
  <c r="Q884" i="48"/>
  <c r="J884" i="48"/>
  <c r="BL883" i="48"/>
  <c r="BN883" i="48" s="1"/>
  <c r="BK883" i="48"/>
  <c r="AV883" i="48"/>
  <c r="BL882" i="48"/>
  <c r="BN882" i="48" s="1"/>
  <c r="BK882" i="48"/>
  <c r="AV882" i="48"/>
  <c r="BL881" i="48"/>
  <c r="BN881" i="48" s="1"/>
  <c r="BK881" i="48"/>
  <c r="AV881" i="48"/>
  <c r="BL880" i="48"/>
  <c r="BN880" i="48" s="1"/>
  <c r="BK880" i="48"/>
  <c r="AV880" i="48"/>
  <c r="BL879" i="48"/>
  <c r="BN879" i="48" s="1"/>
  <c r="BK879" i="48"/>
  <c r="AV879" i="48"/>
  <c r="BL878" i="48"/>
  <c r="BN878" i="48" s="1"/>
  <c r="BK878" i="48"/>
  <c r="AV878" i="48"/>
  <c r="BL875" i="48"/>
  <c r="BN875" i="48" s="1"/>
  <c r="BK875" i="48"/>
  <c r="AV875" i="48"/>
  <c r="Q875" i="48"/>
  <c r="J875" i="48"/>
  <c r="BL874" i="48"/>
  <c r="BN874" i="48" s="1"/>
  <c r="BK874" i="48"/>
  <c r="AV874" i="48"/>
  <c r="Q874" i="48"/>
  <c r="J874" i="48"/>
  <c r="BL873" i="48"/>
  <c r="BN873" i="48" s="1"/>
  <c r="BK873" i="48"/>
  <c r="AV873" i="48"/>
  <c r="Q873" i="48"/>
  <c r="J873" i="48"/>
  <c r="BL872" i="48"/>
  <c r="BN872" i="48" s="1"/>
  <c r="BK872" i="48"/>
  <c r="AV872" i="48"/>
  <c r="Q872" i="48"/>
  <c r="J872" i="48"/>
  <c r="BL871" i="48"/>
  <c r="BN871" i="48" s="1"/>
  <c r="BK871" i="48"/>
  <c r="AV871" i="48"/>
  <c r="Q871" i="48"/>
  <c r="J871" i="48"/>
  <c r="BL870" i="48"/>
  <c r="BN870" i="48" s="1"/>
  <c r="BK870" i="48"/>
  <c r="AV870" i="48"/>
  <c r="Q870" i="48"/>
  <c r="J870" i="48"/>
  <c r="BL869" i="48"/>
  <c r="BN869" i="48" s="1"/>
  <c r="BK869" i="48"/>
  <c r="AV869" i="48"/>
  <c r="Q869" i="48"/>
  <c r="J869" i="48"/>
  <c r="BL868" i="48"/>
  <c r="BN868" i="48" s="1"/>
  <c r="BK868" i="48"/>
  <c r="AV868" i="48"/>
  <c r="Q868" i="48"/>
  <c r="J868" i="48"/>
  <c r="BL867" i="48"/>
  <c r="BN867" i="48" s="1"/>
  <c r="BK867" i="48"/>
  <c r="AV867" i="48"/>
  <c r="Q867" i="48"/>
  <c r="J867" i="48"/>
  <c r="BL866" i="48"/>
  <c r="BN866" i="48" s="1"/>
  <c r="BK866" i="48"/>
  <c r="AV866" i="48"/>
  <c r="Q866" i="48"/>
  <c r="J866" i="48"/>
  <c r="BL865" i="48"/>
  <c r="BN865" i="48" s="1"/>
  <c r="BK865" i="48"/>
  <c r="AV865" i="48"/>
  <c r="Q865" i="48"/>
  <c r="J865" i="48"/>
  <c r="BL864" i="48"/>
  <c r="BN864" i="48" s="1"/>
  <c r="BK864" i="48"/>
  <c r="AV864" i="48"/>
  <c r="Q864" i="48"/>
  <c r="J864" i="48"/>
  <c r="BL863" i="48"/>
  <c r="BN863" i="48" s="1"/>
  <c r="BK863" i="48"/>
  <c r="AV863" i="48"/>
  <c r="Q863" i="48"/>
  <c r="J863" i="48"/>
  <c r="BL862" i="48"/>
  <c r="BN862" i="48" s="1"/>
  <c r="BK862" i="48"/>
  <c r="AV862" i="48"/>
  <c r="Q862" i="48"/>
  <c r="J862" i="48"/>
  <c r="BL861" i="48"/>
  <c r="BN861" i="48" s="1"/>
  <c r="BK861" i="48"/>
  <c r="AV861" i="48"/>
  <c r="Q861" i="48"/>
  <c r="J861" i="48"/>
  <c r="BL860" i="48"/>
  <c r="BN860" i="48" s="1"/>
  <c r="BK860" i="48"/>
  <c r="AV860" i="48"/>
  <c r="Q860" i="48"/>
  <c r="J860" i="48"/>
  <c r="BL859" i="48"/>
  <c r="BN859" i="48" s="1"/>
  <c r="BK859" i="48"/>
  <c r="AV859" i="48"/>
  <c r="Q859" i="48"/>
  <c r="J859" i="48"/>
  <c r="BL858" i="48"/>
  <c r="BN858" i="48" s="1"/>
  <c r="BK858" i="48"/>
  <c r="AV858" i="48"/>
  <c r="BL857" i="48"/>
  <c r="BN857" i="48" s="1"/>
  <c r="BK857" i="48"/>
  <c r="AV857" i="48"/>
  <c r="BL856" i="48"/>
  <c r="BN856" i="48" s="1"/>
  <c r="BK856" i="48"/>
  <c r="AV856" i="48"/>
  <c r="BL855" i="48"/>
  <c r="BN855" i="48" s="1"/>
  <c r="BK855" i="48"/>
  <c r="AV855" i="48"/>
  <c r="BL854" i="48"/>
  <c r="BN854" i="48" s="1"/>
  <c r="BK854" i="48"/>
  <c r="AV854" i="48"/>
  <c r="BL853" i="48"/>
  <c r="BN853" i="48" s="1"/>
  <c r="BK853" i="48"/>
  <c r="AV853" i="48"/>
  <c r="BL850" i="48"/>
  <c r="BN850" i="48" s="1"/>
  <c r="BK850" i="48"/>
  <c r="Q850" i="48"/>
  <c r="J850" i="48"/>
  <c r="BL849" i="48"/>
  <c r="BN849" i="48" s="1"/>
  <c r="BK849" i="48"/>
  <c r="AV849" i="48"/>
  <c r="Q849" i="48"/>
  <c r="J849" i="48"/>
  <c r="BL848" i="48"/>
  <c r="BN848" i="48" s="1"/>
  <c r="BK848" i="48"/>
  <c r="AV848" i="48"/>
  <c r="Q848" i="48"/>
  <c r="J848" i="48"/>
  <c r="BL847" i="48"/>
  <c r="BN847" i="48" s="1"/>
  <c r="BK847" i="48"/>
  <c r="AV847" i="48"/>
  <c r="Q847" i="48"/>
  <c r="J847" i="48"/>
  <c r="BL846" i="48"/>
  <c r="BN846" i="48" s="1"/>
  <c r="BK846" i="48"/>
  <c r="AV846" i="48"/>
  <c r="Q846" i="48"/>
  <c r="J846" i="48"/>
  <c r="BL845" i="48"/>
  <c r="BN845" i="48" s="1"/>
  <c r="BK845" i="48"/>
  <c r="AV845" i="48"/>
  <c r="Q845" i="48"/>
  <c r="J845" i="48"/>
  <c r="BL844" i="48"/>
  <c r="BN844" i="48" s="1"/>
  <c r="BK844" i="48"/>
  <c r="AV844" i="48"/>
  <c r="Q844" i="48"/>
  <c r="J844" i="48"/>
  <c r="BL843" i="48"/>
  <c r="BN843" i="48" s="1"/>
  <c r="BK843" i="48"/>
  <c r="AV843" i="48"/>
  <c r="Q843" i="48"/>
  <c r="J843" i="48"/>
  <c r="BL842" i="48"/>
  <c r="BN842" i="48" s="1"/>
  <c r="BK842" i="48"/>
  <c r="AV842" i="48"/>
  <c r="Q842" i="48"/>
  <c r="J842" i="48"/>
  <c r="BL841" i="48"/>
  <c r="BN841" i="48" s="1"/>
  <c r="BK841" i="48"/>
  <c r="AV841" i="48"/>
  <c r="Q841" i="48"/>
  <c r="J841" i="48"/>
  <c r="BL840" i="48"/>
  <c r="BN840" i="48" s="1"/>
  <c r="BK840" i="48"/>
  <c r="AV840" i="48"/>
  <c r="Q840" i="48"/>
  <c r="J840" i="48"/>
  <c r="BL839" i="48"/>
  <c r="BN839" i="48" s="1"/>
  <c r="BK839" i="48"/>
  <c r="AV839" i="48"/>
  <c r="Q839" i="48"/>
  <c r="J839" i="48"/>
  <c r="BL838" i="48"/>
  <c r="BN838" i="48" s="1"/>
  <c r="BK838" i="48"/>
  <c r="AV838" i="48"/>
  <c r="Q838" i="48"/>
  <c r="J838" i="48"/>
  <c r="BL837" i="48"/>
  <c r="BN837" i="48" s="1"/>
  <c r="BK837" i="48"/>
  <c r="AV837" i="48"/>
  <c r="Q837" i="48"/>
  <c r="J837" i="48"/>
  <c r="BL836" i="48"/>
  <c r="BN836" i="48" s="1"/>
  <c r="BK836" i="48"/>
  <c r="AV836" i="48"/>
  <c r="Q836" i="48"/>
  <c r="J836" i="48"/>
  <c r="BL835" i="48"/>
  <c r="BN835" i="48" s="1"/>
  <c r="BK835" i="48"/>
  <c r="AV835" i="48"/>
  <c r="Q835" i="48"/>
  <c r="J835" i="48"/>
  <c r="BL834" i="48"/>
  <c r="BN834" i="48" s="1"/>
  <c r="BK834" i="48"/>
  <c r="AV834" i="48"/>
  <c r="Q834" i="48"/>
  <c r="J834" i="48"/>
  <c r="BL833" i="48"/>
  <c r="BN833" i="48" s="1"/>
  <c r="BK833" i="48"/>
  <c r="AV833" i="48"/>
  <c r="BL832" i="48"/>
  <c r="BN832" i="48" s="1"/>
  <c r="BK832" i="48"/>
  <c r="AV832" i="48"/>
  <c r="BL831" i="48"/>
  <c r="BN831" i="48" s="1"/>
  <c r="BK831" i="48"/>
  <c r="AV831" i="48"/>
  <c r="BL830" i="48"/>
  <c r="BN830" i="48" s="1"/>
  <c r="BK830" i="48"/>
  <c r="AV830" i="48"/>
  <c r="BL829" i="48"/>
  <c r="BN829" i="48" s="1"/>
  <c r="BK829" i="48"/>
  <c r="AV829" i="48"/>
  <c r="BL828" i="48"/>
  <c r="BN828" i="48" s="1"/>
  <c r="BK828" i="48"/>
  <c r="AV828" i="48"/>
  <c r="BL825" i="48"/>
  <c r="BN825" i="48" s="1"/>
  <c r="BK825" i="48"/>
  <c r="AV825" i="48"/>
  <c r="Q825" i="48"/>
  <c r="J825" i="48"/>
  <c r="BL824" i="48"/>
  <c r="BN824" i="48" s="1"/>
  <c r="BK824" i="48"/>
  <c r="AV824" i="48"/>
  <c r="Q824" i="48"/>
  <c r="J824" i="48"/>
  <c r="BL823" i="48"/>
  <c r="BN823" i="48" s="1"/>
  <c r="BK823" i="48"/>
  <c r="AV823" i="48"/>
  <c r="Q823" i="48"/>
  <c r="J823" i="48"/>
  <c r="BL822" i="48"/>
  <c r="BN822" i="48" s="1"/>
  <c r="BK822" i="48"/>
  <c r="AV822" i="48"/>
  <c r="Q822" i="48"/>
  <c r="J822" i="48"/>
  <c r="BL821" i="48"/>
  <c r="BN821" i="48" s="1"/>
  <c r="BK821" i="48"/>
  <c r="AV821" i="48"/>
  <c r="Q821" i="48"/>
  <c r="J821" i="48"/>
  <c r="BL820" i="48"/>
  <c r="BN820" i="48" s="1"/>
  <c r="BK820" i="48"/>
  <c r="AV820" i="48"/>
  <c r="Q820" i="48"/>
  <c r="J820" i="48"/>
  <c r="BL819" i="48"/>
  <c r="BN819" i="48" s="1"/>
  <c r="BK819" i="48"/>
  <c r="AV819" i="48"/>
  <c r="Q819" i="48"/>
  <c r="J819" i="48"/>
  <c r="BL818" i="48"/>
  <c r="BN818" i="48" s="1"/>
  <c r="BK818" i="48"/>
  <c r="AV818" i="48"/>
  <c r="Q818" i="48"/>
  <c r="J818" i="48"/>
  <c r="BL817" i="48"/>
  <c r="BN817" i="48" s="1"/>
  <c r="BK817" i="48"/>
  <c r="AV817" i="48"/>
  <c r="Q817" i="48"/>
  <c r="J817" i="48"/>
  <c r="BL816" i="48"/>
  <c r="BN816" i="48" s="1"/>
  <c r="BK816" i="48"/>
  <c r="AV816" i="48"/>
  <c r="Q816" i="48"/>
  <c r="J816" i="48"/>
  <c r="BL815" i="48"/>
  <c r="BN815" i="48" s="1"/>
  <c r="BK815" i="48"/>
  <c r="AV815" i="48"/>
  <c r="Q815" i="48"/>
  <c r="J815" i="48"/>
  <c r="BL814" i="48"/>
  <c r="BN814" i="48" s="1"/>
  <c r="BK814" i="48"/>
  <c r="AV814" i="48"/>
  <c r="Q814" i="48"/>
  <c r="J814" i="48"/>
  <c r="BL813" i="48"/>
  <c r="BN813" i="48" s="1"/>
  <c r="BK813" i="48"/>
  <c r="AV813" i="48"/>
  <c r="Q813" i="48"/>
  <c r="J813" i="48"/>
  <c r="BL812" i="48"/>
  <c r="BN812" i="48" s="1"/>
  <c r="BK812" i="48"/>
  <c r="AV812" i="48"/>
  <c r="Q812" i="48"/>
  <c r="J812" i="48"/>
  <c r="BL811" i="48"/>
  <c r="BN811" i="48" s="1"/>
  <c r="BK811" i="48"/>
  <c r="AV811" i="48"/>
  <c r="Q811" i="48"/>
  <c r="J811" i="48"/>
  <c r="BL810" i="48"/>
  <c r="BN810" i="48" s="1"/>
  <c r="BK810" i="48"/>
  <c r="AV810" i="48"/>
  <c r="Q810" i="48"/>
  <c r="J810" i="48"/>
  <c r="BL809" i="48"/>
  <c r="BN809" i="48" s="1"/>
  <c r="BK809" i="48"/>
  <c r="AV809" i="48"/>
  <c r="Q809" i="48"/>
  <c r="J809" i="48"/>
  <c r="BL808" i="48"/>
  <c r="BN808" i="48" s="1"/>
  <c r="BK808" i="48"/>
  <c r="AV808" i="48"/>
  <c r="BL807" i="48"/>
  <c r="BN807" i="48" s="1"/>
  <c r="BK807" i="48"/>
  <c r="AV807" i="48"/>
  <c r="BL806" i="48"/>
  <c r="BN806" i="48" s="1"/>
  <c r="BK806" i="48"/>
  <c r="AV806" i="48"/>
  <c r="BL805" i="48"/>
  <c r="BN805" i="48" s="1"/>
  <c r="BK805" i="48"/>
  <c r="AV805" i="48"/>
  <c r="BL804" i="48"/>
  <c r="BN804" i="48" s="1"/>
  <c r="BK804" i="48"/>
  <c r="AV804" i="48"/>
  <c r="BL803" i="48"/>
  <c r="BN803" i="48" s="1"/>
  <c r="BK803" i="48"/>
  <c r="AV803" i="48"/>
  <c r="BL800" i="48"/>
  <c r="BN800" i="48" s="1"/>
  <c r="BK800" i="48"/>
  <c r="AV800" i="48"/>
  <c r="Q800" i="48"/>
  <c r="J800" i="48"/>
  <c r="BL799" i="48"/>
  <c r="BN799" i="48" s="1"/>
  <c r="BK799" i="48"/>
  <c r="AV799" i="48"/>
  <c r="Q799" i="48"/>
  <c r="J799" i="48"/>
  <c r="BL798" i="48"/>
  <c r="BN798" i="48" s="1"/>
  <c r="BK798" i="48"/>
  <c r="AV798" i="48"/>
  <c r="Q798" i="48"/>
  <c r="J798" i="48"/>
  <c r="BL797" i="48"/>
  <c r="BN797" i="48" s="1"/>
  <c r="BK797" i="48"/>
  <c r="AV797" i="48"/>
  <c r="Q797" i="48"/>
  <c r="J797" i="48"/>
  <c r="BL796" i="48"/>
  <c r="BN796" i="48" s="1"/>
  <c r="BK796" i="48"/>
  <c r="AV796" i="48"/>
  <c r="Q796" i="48"/>
  <c r="J796" i="48"/>
  <c r="BL795" i="48"/>
  <c r="BN795" i="48" s="1"/>
  <c r="BK795" i="48"/>
  <c r="AV795" i="48"/>
  <c r="Q795" i="48"/>
  <c r="J795" i="48"/>
  <c r="BL794" i="48"/>
  <c r="BN794" i="48" s="1"/>
  <c r="BK794" i="48"/>
  <c r="AV794" i="48"/>
  <c r="Q794" i="48"/>
  <c r="J794" i="48"/>
  <c r="BL793" i="48"/>
  <c r="BN793" i="48" s="1"/>
  <c r="BK793" i="48"/>
  <c r="AV793" i="48"/>
  <c r="Q793" i="48"/>
  <c r="J793" i="48"/>
  <c r="BL792" i="48"/>
  <c r="BN792" i="48" s="1"/>
  <c r="BK792" i="48"/>
  <c r="AV792" i="48"/>
  <c r="Q792" i="48"/>
  <c r="J792" i="48"/>
  <c r="BL791" i="48"/>
  <c r="BN791" i="48" s="1"/>
  <c r="BK791" i="48"/>
  <c r="AV791" i="48"/>
  <c r="Q791" i="48"/>
  <c r="J791" i="48"/>
  <c r="BL790" i="48"/>
  <c r="BN790" i="48" s="1"/>
  <c r="BK790" i="48"/>
  <c r="AV790" i="48"/>
  <c r="Q790" i="48"/>
  <c r="J790" i="48"/>
  <c r="BL789" i="48"/>
  <c r="BN789" i="48" s="1"/>
  <c r="BK789" i="48"/>
  <c r="AV789" i="48"/>
  <c r="Q789" i="48"/>
  <c r="J789" i="48"/>
  <c r="BL788" i="48"/>
  <c r="BN788" i="48" s="1"/>
  <c r="BK788" i="48"/>
  <c r="AV788" i="48"/>
  <c r="Q788" i="48"/>
  <c r="J788" i="48"/>
  <c r="BL787" i="48"/>
  <c r="BN787" i="48" s="1"/>
  <c r="BK787" i="48"/>
  <c r="AV787" i="48"/>
  <c r="Q787" i="48"/>
  <c r="J787" i="48"/>
  <c r="BL786" i="48"/>
  <c r="BN786" i="48" s="1"/>
  <c r="BK786" i="48"/>
  <c r="AV786" i="48"/>
  <c r="Q786" i="48"/>
  <c r="J786" i="48"/>
  <c r="BL785" i="48"/>
  <c r="BN785" i="48" s="1"/>
  <c r="BK785" i="48"/>
  <c r="AV785" i="48"/>
  <c r="Q785" i="48"/>
  <c r="J785" i="48"/>
  <c r="BL784" i="48"/>
  <c r="BN784" i="48" s="1"/>
  <c r="BK784" i="48"/>
  <c r="AV784" i="48"/>
  <c r="Q784" i="48"/>
  <c r="J784" i="48"/>
  <c r="BL783" i="48"/>
  <c r="BN783" i="48" s="1"/>
  <c r="BK783" i="48"/>
  <c r="AV783" i="48"/>
  <c r="BL782" i="48"/>
  <c r="BN782" i="48" s="1"/>
  <c r="BK782" i="48"/>
  <c r="AV782" i="48"/>
  <c r="BL781" i="48"/>
  <c r="BN781" i="48" s="1"/>
  <c r="BK781" i="48"/>
  <c r="AV781" i="48"/>
  <c r="BL780" i="48"/>
  <c r="BN780" i="48" s="1"/>
  <c r="BK780" i="48"/>
  <c r="AV780" i="48"/>
  <c r="BL779" i="48"/>
  <c r="BN779" i="48" s="1"/>
  <c r="BK779" i="48"/>
  <c r="AV779" i="48"/>
  <c r="BL778" i="48"/>
  <c r="BN778" i="48" s="1"/>
  <c r="BK778" i="48"/>
  <c r="AV778" i="48"/>
  <c r="AX27" i="48" s="1"/>
  <c r="BL775" i="48"/>
  <c r="BN775" i="48" s="1"/>
  <c r="BK775" i="48"/>
  <c r="Q775" i="48"/>
  <c r="BL774" i="48"/>
  <c r="BN774" i="48" s="1"/>
  <c r="BK774" i="48"/>
  <c r="Q774" i="48"/>
  <c r="BL773" i="48"/>
  <c r="BN773" i="48" s="1"/>
  <c r="BK773" i="48"/>
  <c r="Q773" i="48"/>
  <c r="J773" i="48"/>
  <c r="BL772" i="48"/>
  <c r="BN772" i="48" s="1"/>
  <c r="BK772" i="48"/>
  <c r="Q772" i="48"/>
  <c r="J772" i="48"/>
  <c r="BL771" i="48"/>
  <c r="BN771" i="48" s="1"/>
  <c r="BK771" i="48"/>
  <c r="Q771" i="48"/>
  <c r="J771" i="48"/>
  <c r="BL770" i="48"/>
  <c r="BN770" i="48" s="1"/>
  <c r="BK770" i="48"/>
  <c r="Q770" i="48"/>
  <c r="J770" i="48"/>
  <c r="BL769" i="48"/>
  <c r="BN769" i="48" s="1"/>
  <c r="BK769" i="48"/>
  <c r="Q769" i="48"/>
  <c r="J769" i="48"/>
  <c r="BL768" i="48"/>
  <c r="BN768" i="48" s="1"/>
  <c r="BK768" i="48"/>
  <c r="Q768" i="48"/>
  <c r="J768" i="48"/>
  <c r="BL767" i="48"/>
  <c r="BN767" i="48" s="1"/>
  <c r="BK767" i="48"/>
  <c r="Q767" i="48"/>
  <c r="J767" i="48"/>
  <c r="BL766" i="48"/>
  <c r="BN766" i="48" s="1"/>
  <c r="BK766" i="48"/>
  <c r="Q766" i="48"/>
  <c r="J766" i="48"/>
  <c r="BL765" i="48"/>
  <c r="BN765" i="48" s="1"/>
  <c r="BK765" i="48"/>
  <c r="Q765" i="48"/>
  <c r="J765" i="48"/>
  <c r="BL764" i="48"/>
  <c r="BN764" i="48" s="1"/>
  <c r="BK764" i="48"/>
  <c r="Q764" i="48"/>
  <c r="J764" i="48"/>
  <c r="BL763" i="48"/>
  <c r="BN763" i="48" s="1"/>
  <c r="BK763" i="48"/>
  <c r="Q763" i="48"/>
  <c r="J763" i="48"/>
  <c r="BL762" i="48"/>
  <c r="BN762" i="48" s="1"/>
  <c r="BK762" i="48"/>
  <c r="Q762" i="48"/>
  <c r="J762" i="48"/>
  <c r="BL761" i="48"/>
  <c r="BN761" i="48" s="1"/>
  <c r="BK761" i="48"/>
  <c r="Q761" i="48"/>
  <c r="J761" i="48"/>
  <c r="BL760" i="48"/>
  <c r="BN760" i="48" s="1"/>
  <c r="BK760" i="48"/>
  <c r="Q760" i="48"/>
  <c r="J760" i="48"/>
  <c r="BL759" i="48"/>
  <c r="BN759" i="48" s="1"/>
  <c r="BK759" i="48"/>
  <c r="Q759" i="48"/>
  <c r="J759" i="48"/>
  <c r="BL758" i="48"/>
  <c r="BN758" i="48" s="1"/>
  <c r="BK758" i="48"/>
  <c r="BL757" i="48"/>
  <c r="BN757" i="48" s="1"/>
  <c r="BK757" i="48"/>
  <c r="BL756" i="48"/>
  <c r="BN756" i="48" s="1"/>
  <c r="BK756" i="48"/>
  <c r="BL755" i="48"/>
  <c r="BN755" i="48" s="1"/>
  <c r="BL754" i="48"/>
  <c r="BN754" i="48" s="1"/>
  <c r="BK754" i="48"/>
  <c r="BL753" i="48"/>
  <c r="BN753" i="48" s="1"/>
  <c r="BK753" i="48"/>
  <c r="BL750" i="48"/>
  <c r="BN750" i="48" s="1"/>
  <c r="BK750" i="48"/>
  <c r="Q750" i="48"/>
  <c r="J750" i="48"/>
  <c r="BL749" i="48"/>
  <c r="BN749" i="48" s="1"/>
  <c r="BK749" i="48"/>
  <c r="AV749" i="48"/>
  <c r="Q749" i="48"/>
  <c r="J749" i="48"/>
  <c r="BL748" i="48"/>
  <c r="BN748" i="48" s="1"/>
  <c r="BK748" i="48"/>
  <c r="AV748" i="48"/>
  <c r="Q748" i="48"/>
  <c r="J748" i="48"/>
  <c r="BL747" i="48"/>
  <c r="BN747" i="48" s="1"/>
  <c r="BK747" i="48"/>
  <c r="AV747" i="48"/>
  <c r="Q747" i="48"/>
  <c r="J747" i="48"/>
  <c r="BL746" i="48"/>
  <c r="BN746" i="48" s="1"/>
  <c r="BK746" i="48"/>
  <c r="AV746" i="48"/>
  <c r="Q746" i="48"/>
  <c r="J746" i="48"/>
  <c r="BL745" i="48"/>
  <c r="BN745" i="48" s="1"/>
  <c r="BK745" i="48"/>
  <c r="AV745" i="48"/>
  <c r="Q745" i="48"/>
  <c r="J745" i="48"/>
  <c r="BL744" i="48"/>
  <c r="BN744" i="48" s="1"/>
  <c r="BK744" i="48"/>
  <c r="AV744" i="48"/>
  <c r="Q744" i="48"/>
  <c r="J744" i="48"/>
  <c r="BL743" i="48"/>
  <c r="BN743" i="48" s="1"/>
  <c r="BK743" i="48"/>
  <c r="AV743" i="48"/>
  <c r="Q743" i="48"/>
  <c r="J743" i="48"/>
  <c r="BL742" i="48"/>
  <c r="BN742" i="48" s="1"/>
  <c r="BK742" i="48"/>
  <c r="AV742" i="48"/>
  <c r="Q742" i="48"/>
  <c r="J742" i="48"/>
  <c r="BL741" i="48"/>
  <c r="BN741" i="48" s="1"/>
  <c r="BK741" i="48"/>
  <c r="AV741" i="48"/>
  <c r="Q741" i="48"/>
  <c r="J741" i="48"/>
  <c r="BL740" i="48"/>
  <c r="BN740" i="48" s="1"/>
  <c r="BK740" i="48"/>
  <c r="AV740" i="48"/>
  <c r="Q740" i="48"/>
  <c r="J740" i="48"/>
  <c r="BL739" i="48"/>
  <c r="BN739" i="48" s="1"/>
  <c r="BK739" i="48"/>
  <c r="AV739" i="48"/>
  <c r="Q739" i="48"/>
  <c r="J739" i="48"/>
  <c r="BL738" i="48"/>
  <c r="BN738" i="48" s="1"/>
  <c r="BK738" i="48"/>
  <c r="AV738" i="48"/>
  <c r="Q738" i="48"/>
  <c r="J738" i="48"/>
  <c r="BL737" i="48"/>
  <c r="BN737" i="48" s="1"/>
  <c r="BK737" i="48"/>
  <c r="AV737" i="48"/>
  <c r="Q737" i="48"/>
  <c r="J737" i="48"/>
  <c r="BL736" i="48"/>
  <c r="BN736" i="48" s="1"/>
  <c r="BK736" i="48"/>
  <c r="AV736" i="48"/>
  <c r="Q736" i="48"/>
  <c r="J736" i="48"/>
  <c r="BL735" i="48"/>
  <c r="BN735" i="48" s="1"/>
  <c r="BK735" i="48"/>
  <c r="AV735" i="48"/>
  <c r="Q735" i="48"/>
  <c r="J735" i="48"/>
  <c r="BL734" i="48"/>
  <c r="BN734" i="48" s="1"/>
  <c r="BK734" i="48"/>
  <c r="AV734" i="48"/>
  <c r="Q734" i="48"/>
  <c r="J734" i="48"/>
  <c r="BL733" i="48"/>
  <c r="BN733" i="48" s="1"/>
  <c r="BK733" i="48"/>
  <c r="AV733" i="48"/>
  <c r="BL732" i="48"/>
  <c r="BN732" i="48" s="1"/>
  <c r="BK732" i="48"/>
  <c r="AV732" i="48"/>
  <c r="BL731" i="48"/>
  <c r="BN731" i="48" s="1"/>
  <c r="BK731" i="48"/>
  <c r="AV731" i="48"/>
  <c r="BL730" i="48"/>
  <c r="BN730" i="48" s="1"/>
  <c r="BK730" i="48"/>
  <c r="AV730" i="48"/>
  <c r="BL729" i="48"/>
  <c r="BN729" i="48" s="1"/>
  <c r="BK729" i="48"/>
  <c r="AV729" i="48"/>
  <c r="BL728" i="48"/>
  <c r="BN728" i="48" s="1"/>
  <c r="BK728" i="48"/>
  <c r="AV728" i="48"/>
  <c r="BL725" i="48"/>
  <c r="BN725" i="48" s="1"/>
  <c r="BK725" i="48"/>
  <c r="AV725" i="48"/>
  <c r="Q725" i="48"/>
  <c r="J725" i="48"/>
  <c r="BL724" i="48"/>
  <c r="BN724" i="48" s="1"/>
  <c r="BK724" i="48"/>
  <c r="AV724" i="48"/>
  <c r="Q724" i="48"/>
  <c r="J724" i="48"/>
  <c r="BL723" i="48"/>
  <c r="BN723" i="48" s="1"/>
  <c r="BK723" i="48"/>
  <c r="AV723" i="48"/>
  <c r="Q723" i="48"/>
  <c r="J723" i="48"/>
  <c r="BL722" i="48"/>
  <c r="BN722" i="48" s="1"/>
  <c r="BK722" i="48"/>
  <c r="AV722" i="48"/>
  <c r="Q722" i="48"/>
  <c r="J722" i="48"/>
  <c r="BL721" i="48"/>
  <c r="BN721" i="48" s="1"/>
  <c r="BK721" i="48"/>
  <c r="AV721" i="48"/>
  <c r="Q721" i="48"/>
  <c r="J721" i="48"/>
  <c r="BL720" i="48"/>
  <c r="BN720" i="48" s="1"/>
  <c r="BK720" i="48"/>
  <c r="AV720" i="48"/>
  <c r="Q720" i="48"/>
  <c r="J720" i="48"/>
  <c r="BL719" i="48"/>
  <c r="BN719" i="48" s="1"/>
  <c r="BK719" i="48"/>
  <c r="AV719" i="48"/>
  <c r="Q719" i="48"/>
  <c r="J719" i="48"/>
  <c r="BL718" i="48"/>
  <c r="BN718" i="48" s="1"/>
  <c r="BK718" i="48"/>
  <c r="AV718" i="48"/>
  <c r="Q718" i="48"/>
  <c r="J718" i="48"/>
  <c r="BL717" i="48"/>
  <c r="BN717" i="48" s="1"/>
  <c r="BK717" i="48"/>
  <c r="AV717" i="48"/>
  <c r="Q717" i="48"/>
  <c r="J717" i="48"/>
  <c r="BL716" i="48"/>
  <c r="BN716" i="48" s="1"/>
  <c r="BK716" i="48"/>
  <c r="AV716" i="48"/>
  <c r="Q716" i="48"/>
  <c r="J716" i="48"/>
  <c r="BL715" i="48"/>
  <c r="BN715" i="48" s="1"/>
  <c r="BK715" i="48"/>
  <c r="AV715" i="48"/>
  <c r="Q715" i="48"/>
  <c r="J715" i="48"/>
  <c r="BL714" i="48"/>
  <c r="BN714" i="48" s="1"/>
  <c r="BK714" i="48"/>
  <c r="AV714" i="48"/>
  <c r="Q714" i="48"/>
  <c r="J714" i="48"/>
  <c r="BL713" i="48"/>
  <c r="BN713" i="48" s="1"/>
  <c r="BK713" i="48"/>
  <c r="AV713" i="48"/>
  <c r="Q713" i="48"/>
  <c r="J713" i="48"/>
  <c r="BL712" i="48"/>
  <c r="BN712" i="48" s="1"/>
  <c r="BK712" i="48"/>
  <c r="AV712" i="48"/>
  <c r="Q712" i="48"/>
  <c r="J712" i="48"/>
  <c r="BL711" i="48"/>
  <c r="BN711" i="48" s="1"/>
  <c r="BK711" i="48"/>
  <c r="AV711" i="48"/>
  <c r="Q711" i="48"/>
  <c r="J711" i="48"/>
  <c r="BL710" i="48"/>
  <c r="BN710" i="48" s="1"/>
  <c r="BK710" i="48"/>
  <c r="AV710" i="48"/>
  <c r="Q710" i="48"/>
  <c r="J710" i="48"/>
  <c r="BL709" i="48"/>
  <c r="BN709" i="48" s="1"/>
  <c r="BK709" i="48"/>
  <c r="AV709" i="48"/>
  <c r="Q709" i="48"/>
  <c r="J709" i="48"/>
  <c r="BL708" i="48"/>
  <c r="BN708" i="48" s="1"/>
  <c r="BK708" i="48"/>
  <c r="AV708" i="48"/>
  <c r="BL707" i="48"/>
  <c r="BN707" i="48" s="1"/>
  <c r="BK707" i="48"/>
  <c r="AV707" i="48"/>
  <c r="BL706" i="48"/>
  <c r="BN706" i="48" s="1"/>
  <c r="BK706" i="48"/>
  <c r="AV706" i="48"/>
  <c r="BL705" i="48"/>
  <c r="BN705" i="48" s="1"/>
  <c r="BK705" i="48"/>
  <c r="AV705" i="48"/>
  <c r="BL704" i="48"/>
  <c r="BN704" i="48" s="1"/>
  <c r="BK704" i="48"/>
  <c r="AV704" i="48"/>
  <c r="BL703" i="48"/>
  <c r="BN703" i="48" s="1"/>
  <c r="BK703" i="48"/>
  <c r="AV703" i="48"/>
  <c r="BL700" i="48"/>
  <c r="BN700" i="48" s="1"/>
  <c r="BK700" i="48"/>
  <c r="AV700" i="48"/>
  <c r="Q700" i="48"/>
  <c r="J700" i="48"/>
  <c r="BL699" i="48"/>
  <c r="BN699" i="48" s="1"/>
  <c r="BK699" i="48"/>
  <c r="AV699" i="48"/>
  <c r="Q699" i="48"/>
  <c r="J699" i="48"/>
  <c r="BL698" i="48"/>
  <c r="BN698" i="48" s="1"/>
  <c r="BK698" i="48"/>
  <c r="AV698" i="48"/>
  <c r="Q698" i="48"/>
  <c r="J698" i="48"/>
  <c r="BL697" i="48"/>
  <c r="BN697" i="48" s="1"/>
  <c r="BK697" i="48"/>
  <c r="AV697" i="48"/>
  <c r="Q697" i="48"/>
  <c r="J697" i="48"/>
  <c r="BL696" i="48"/>
  <c r="BN696" i="48" s="1"/>
  <c r="BK696" i="48"/>
  <c r="AV696" i="48"/>
  <c r="Q696" i="48"/>
  <c r="J696" i="48"/>
  <c r="BL695" i="48"/>
  <c r="BN695" i="48" s="1"/>
  <c r="BK695" i="48"/>
  <c r="AV695" i="48"/>
  <c r="Q695" i="48"/>
  <c r="J695" i="48"/>
  <c r="BL694" i="48"/>
  <c r="BN694" i="48" s="1"/>
  <c r="BK694" i="48"/>
  <c r="AV694" i="48"/>
  <c r="Q694" i="48"/>
  <c r="J694" i="48"/>
  <c r="BL693" i="48"/>
  <c r="BN693" i="48" s="1"/>
  <c r="BK693" i="48"/>
  <c r="AV693" i="48"/>
  <c r="Q693" i="48"/>
  <c r="J693" i="48"/>
  <c r="BL692" i="48"/>
  <c r="BN692" i="48" s="1"/>
  <c r="BK692" i="48"/>
  <c r="AV692" i="48"/>
  <c r="Q692" i="48"/>
  <c r="J692" i="48"/>
  <c r="BL691" i="48"/>
  <c r="BN691" i="48" s="1"/>
  <c r="BK691" i="48"/>
  <c r="AV691" i="48"/>
  <c r="Q691" i="48"/>
  <c r="J691" i="48"/>
  <c r="BL690" i="48"/>
  <c r="BN690" i="48" s="1"/>
  <c r="BK690" i="48"/>
  <c r="AV690" i="48"/>
  <c r="Q690" i="48"/>
  <c r="J690" i="48"/>
  <c r="BL689" i="48"/>
  <c r="BN689" i="48" s="1"/>
  <c r="BK689" i="48"/>
  <c r="AV689" i="48"/>
  <c r="Q689" i="48"/>
  <c r="J689" i="48"/>
  <c r="BL688" i="48"/>
  <c r="BN688" i="48" s="1"/>
  <c r="BK688" i="48"/>
  <c r="AV688" i="48"/>
  <c r="Q688" i="48"/>
  <c r="J688" i="48"/>
  <c r="BL687" i="48"/>
  <c r="BN687" i="48" s="1"/>
  <c r="BK687" i="48"/>
  <c r="AV687" i="48"/>
  <c r="Q687" i="48"/>
  <c r="J687" i="48"/>
  <c r="BL686" i="48"/>
  <c r="BN686" i="48" s="1"/>
  <c r="BK686" i="48"/>
  <c r="AV686" i="48"/>
  <c r="Q686" i="48"/>
  <c r="J686" i="48"/>
  <c r="BL685" i="48"/>
  <c r="BN685" i="48" s="1"/>
  <c r="BK685" i="48"/>
  <c r="AV685" i="48"/>
  <c r="Q685" i="48"/>
  <c r="J685" i="48"/>
  <c r="BL684" i="48"/>
  <c r="BN684" i="48" s="1"/>
  <c r="BK684" i="48"/>
  <c r="AV684" i="48"/>
  <c r="BL683" i="48"/>
  <c r="BN683" i="48" s="1"/>
  <c r="BK683" i="48"/>
  <c r="AV683" i="48"/>
  <c r="BL682" i="48"/>
  <c r="BN682" i="48" s="1"/>
  <c r="BK682" i="48"/>
  <c r="AV682" i="48"/>
  <c r="BL681" i="48"/>
  <c r="BN681" i="48" s="1"/>
  <c r="BK681" i="48"/>
  <c r="AV681" i="48"/>
  <c r="BL680" i="48"/>
  <c r="BN680" i="48" s="1"/>
  <c r="BK680" i="48"/>
  <c r="AV680" i="48"/>
  <c r="BL679" i="48"/>
  <c r="BN679" i="48" s="1"/>
  <c r="BK679" i="48"/>
  <c r="AV679" i="48"/>
  <c r="BL678" i="48"/>
  <c r="BN678" i="48" s="1"/>
  <c r="BK678" i="48"/>
  <c r="AV678" i="48"/>
  <c r="BL675" i="48"/>
  <c r="BN675" i="48" s="1"/>
  <c r="BK675" i="48"/>
  <c r="AV675" i="48"/>
  <c r="Q675" i="48"/>
  <c r="J675" i="48"/>
  <c r="BL674" i="48"/>
  <c r="BN674" i="48" s="1"/>
  <c r="BK674" i="48"/>
  <c r="AV674" i="48"/>
  <c r="Q674" i="48"/>
  <c r="J674" i="48"/>
  <c r="BL673" i="48"/>
  <c r="BN673" i="48" s="1"/>
  <c r="BK673" i="48"/>
  <c r="AV673" i="48"/>
  <c r="Q673" i="48"/>
  <c r="J673" i="48"/>
  <c r="BL672" i="48"/>
  <c r="BN672" i="48" s="1"/>
  <c r="BK672" i="48"/>
  <c r="AV672" i="48"/>
  <c r="Q672" i="48"/>
  <c r="J672" i="48"/>
  <c r="BL671" i="48"/>
  <c r="BN671" i="48" s="1"/>
  <c r="BK671" i="48"/>
  <c r="AV671" i="48"/>
  <c r="Q671" i="48"/>
  <c r="J671" i="48"/>
  <c r="BL670" i="48"/>
  <c r="BN670" i="48" s="1"/>
  <c r="BK670" i="48"/>
  <c r="AV670" i="48"/>
  <c r="Q670" i="48"/>
  <c r="J670" i="48"/>
  <c r="BL669" i="48"/>
  <c r="BN669" i="48" s="1"/>
  <c r="BK669" i="48"/>
  <c r="AV669" i="48"/>
  <c r="Q669" i="48"/>
  <c r="J669" i="48"/>
  <c r="BL668" i="48"/>
  <c r="BN668" i="48" s="1"/>
  <c r="BK668" i="48"/>
  <c r="AV668" i="48"/>
  <c r="Q668" i="48"/>
  <c r="J668" i="48"/>
  <c r="BL667" i="48"/>
  <c r="BN667" i="48" s="1"/>
  <c r="BK667" i="48"/>
  <c r="AV667" i="48"/>
  <c r="Q667" i="48"/>
  <c r="J667" i="48"/>
  <c r="BL666" i="48"/>
  <c r="BN666" i="48" s="1"/>
  <c r="BK666" i="48"/>
  <c r="AV666" i="48"/>
  <c r="Q666" i="48"/>
  <c r="J666" i="48"/>
  <c r="BL665" i="48"/>
  <c r="BN665" i="48" s="1"/>
  <c r="BK665" i="48"/>
  <c r="AV665" i="48"/>
  <c r="Q665" i="48"/>
  <c r="J665" i="48"/>
  <c r="BL664" i="48"/>
  <c r="BN664" i="48" s="1"/>
  <c r="BK664" i="48"/>
  <c r="AV664" i="48"/>
  <c r="Q664" i="48"/>
  <c r="J664" i="48"/>
  <c r="BL663" i="48"/>
  <c r="BN663" i="48" s="1"/>
  <c r="BK663" i="48"/>
  <c r="AV663" i="48"/>
  <c r="Q663" i="48"/>
  <c r="J663" i="48"/>
  <c r="BL662" i="48"/>
  <c r="BN662" i="48" s="1"/>
  <c r="BK662" i="48"/>
  <c r="AV662" i="48"/>
  <c r="Q662" i="48"/>
  <c r="J662" i="48"/>
  <c r="BL661" i="48"/>
  <c r="BN661" i="48" s="1"/>
  <c r="BK661" i="48"/>
  <c r="AV661" i="48"/>
  <c r="Q661" i="48"/>
  <c r="J661" i="48"/>
  <c r="BL660" i="48"/>
  <c r="BN660" i="48" s="1"/>
  <c r="BK660" i="48"/>
  <c r="AV660" i="48"/>
  <c r="Q660" i="48"/>
  <c r="J660" i="48"/>
  <c r="BL659" i="48"/>
  <c r="BN659" i="48" s="1"/>
  <c r="BK659" i="48"/>
  <c r="AV659" i="48"/>
  <c r="Q659" i="48"/>
  <c r="J659" i="48"/>
  <c r="BL658" i="48"/>
  <c r="BN658" i="48" s="1"/>
  <c r="BK658" i="48"/>
  <c r="AV658" i="48"/>
  <c r="BL657" i="48"/>
  <c r="BN657" i="48" s="1"/>
  <c r="BK657" i="48"/>
  <c r="AV657" i="48"/>
  <c r="BL656" i="48"/>
  <c r="BN656" i="48" s="1"/>
  <c r="BK656" i="48"/>
  <c r="AV656" i="48"/>
  <c r="BL655" i="48"/>
  <c r="BN655" i="48" s="1"/>
  <c r="BK655" i="48"/>
  <c r="AV655" i="48"/>
  <c r="BL654" i="48"/>
  <c r="BN654" i="48" s="1"/>
  <c r="BK654" i="48"/>
  <c r="AV654" i="48"/>
  <c r="BL653" i="48"/>
  <c r="BN653" i="48" s="1"/>
  <c r="BK653" i="48"/>
  <c r="AV653" i="48"/>
  <c r="BL650" i="48"/>
  <c r="BN650" i="48" s="1"/>
  <c r="BK650" i="48"/>
  <c r="AV650" i="48"/>
  <c r="Q650" i="48"/>
  <c r="J650" i="48"/>
  <c r="BL649" i="48"/>
  <c r="BN649" i="48" s="1"/>
  <c r="BK649" i="48"/>
  <c r="AV649" i="48"/>
  <c r="Q649" i="48"/>
  <c r="J649" i="48"/>
  <c r="BL648" i="48"/>
  <c r="BN648" i="48" s="1"/>
  <c r="BK648" i="48"/>
  <c r="AV648" i="48"/>
  <c r="Q648" i="48"/>
  <c r="J648" i="48"/>
  <c r="BL647" i="48"/>
  <c r="BN647" i="48" s="1"/>
  <c r="BK647" i="48"/>
  <c r="AV647" i="48"/>
  <c r="Q647" i="48"/>
  <c r="J647" i="48"/>
  <c r="BL646" i="48"/>
  <c r="BN646" i="48" s="1"/>
  <c r="BK646" i="48"/>
  <c r="AV646" i="48"/>
  <c r="Q646" i="48"/>
  <c r="J646" i="48"/>
  <c r="BL645" i="48"/>
  <c r="BN645" i="48" s="1"/>
  <c r="BK645" i="48"/>
  <c r="AV645" i="48"/>
  <c r="Q645" i="48"/>
  <c r="J645" i="48"/>
  <c r="BL644" i="48"/>
  <c r="BN644" i="48" s="1"/>
  <c r="BK644" i="48"/>
  <c r="AV644" i="48"/>
  <c r="Q644" i="48"/>
  <c r="J644" i="48"/>
  <c r="BL643" i="48"/>
  <c r="BN643" i="48" s="1"/>
  <c r="BK643" i="48"/>
  <c r="AV643" i="48"/>
  <c r="Q643" i="48"/>
  <c r="J643" i="48"/>
  <c r="BL642" i="48"/>
  <c r="BN642" i="48" s="1"/>
  <c r="BK642" i="48"/>
  <c r="AV642" i="48"/>
  <c r="Q642" i="48"/>
  <c r="J642" i="48"/>
  <c r="BL641" i="48"/>
  <c r="BN641" i="48" s="1"/>
  <c r="BK641" i="48"/>
  <c r="AV641" i="48"/>
  <c r="Q641" i="48"/>
  <c r="J641" i="48"/>
  <c r="BL640" i="48"/>
  <c r="BN640" i="48" s="1"/>
  <c r="BK640" i="48"/>
  <c r="AV640" i="48"/>
  <c r="Q640" i="48"/>
  <c r="J640" i="48"/>
  <c r="BL639" i="48"/>
  <c r="BN639" i="48" s="1"/>
  <c r="BK639" i="48"/>
  <c r="AV639" i="48"/>
  <c r="Q639" i="48"/>
  <c r="J639" i="48"/>
  <c r="BL638" i="48"/>
  <c r="BN638" i="48" s="1"/>
  <c r="BK638" i="48"/>
  <c r="AV638" i="48"/>
  <c r="Q638" i="48"/>
  <c r="J638" i="48"/>
  <c r="BL637" i="48"/>
  <c r="BN637" i="48" s="1"/>
  <c r="BK637" i="48"/>
  <c r="AV637" i="48"/>
  <c r="Q637" i="48"/>
  <c r="J637" i="48"/>
  <c r="BL636" i="48"/>
  <c r="BN636" i="48" s="1"/>
  <c r="BK636" i="48"/>
  <c r="AV636" i="48"/>
  <c r="Q636" i="48"/>
  <c r="J636" i="48"/>
  <c r="BL635" i="48"/>
  <c r="BN635" i="48" s="1"/>
  <c r="BK635" i="48"/>
  <c r="AV635" i="48"/>
  <c r="Q635" i="48"/>
  <c r="J635" i="48"/>
  <c r="BL634" i="48"/>
  <c r="BN634" i="48" s="1"/>
  <c r="BK634" i="48"/>
  <c r="AV634" i="48"/>
  <c r="Q634" i="48"/>
  <c r="J634" i="48"/>
  <c r="BL633" i="48"/>
  <c r="BN633" i="48" s="1"/>
  <c r="BK633" i="48"/>
  <c r="AV633" i="48"/>
  <c r="BL632" i="48"/>
  <c r="BN632" i="48" s="1"/>
  <c r="BK632" i="48"/>
  <c r="AV632" i="48"/>
  <c r="BL631" i="48"/>
  <c r="BN631" i="48" s="1"/>
  <c r="BK631" i="48"/>
  <c r="AV631" i="48"/>
  <c r="BL630" i="48"/>
  <c r="BN630" i="48" s="1"/>
  <c r="BK630" i="48"/>
  <c r="AV630" i="48"/>
  <c r="BL629" i="48"/>
  <c r="BN629" i="48" s="1"/>
  <c r="BK629" i="48"/>
  <c r="AV629" i="48"/>
  <c r="BL628" i="48"/>
  <c r="BN628" i="48" s="1"/>
  <c r="BK628" i="48"/>
  <c r="AV628" i="48"/>
  <c r="BL625" i="48"/>
  <c r="BN625" i="48" s="1"/>
  <c r="BK625" i="48"/>
  <c r="Q625" i="48"/>
  <c r="J625" i="48"/>
  <c r="BL624" i="48"/>
  <c r="BN624" i="48" s="1"/>
  <c r="BK624" i="48"/>
  <c r="Q624" i="48"/>
  <c r="J624" i="48"/>
  <c r="BL623" i="48"/>
  <c r="BN623" i="48" s="1"/>
  <c r="BK623" i="48"/>
  <c r="AV623" i="48"/>
  <c r="Q623" i="48"/>
  <c r="J623" i="48"/>
  <c r="BL622" i="48"/>
  <c r="BN622" i="48" s="1"/>
  <c r="BK622" i="48"/>
  <c r="AV622" i="48"/>
  <c r="Q622" i="48"/>
  <c r="J622" i="48"/>
  <c r="BL621" i="48"/>
  <c r="BN621" i="48" s="1"/>
  <c r="BK621" i="48"/>
  <c r="AV621" i="48"/>
  <c r="Q621" i="48"/>
  <c r="J621" i="48"/>
  <c r="BL620" i="48"/>
  <c r="BN620" i="48" s="1"/>
  <c r="BK620" i="48"/>
  <c r="AV620" i="48"/>
  <c r="Q620" i="48"/>
  <c r="J620" i="48"/>
  <c r="BL619" i="48"/>
  <c r="BN619" i="48" s="1"/>
  <c r="BK619" i="48"/>
  <c r="AV619" i="48"/>
  <c r="Q619" i="48"/>
  <c r="J619" i="48"/>
  <c r="BL618" i="48"/>
  <c r="BN618" i="48" s="1"/>
  <c r="BK618" i="48"/>
  <c r="AV618" i="48"/>
  <c r="Q618" i="48"/>
  <c r="J618" i="48"/>
  <c r="BL617" i="48"/>
  <c r="BN617" i="48" s="1"/>
  <c r="BK617" i="48"/>
  <c r="AV617" i="48"/>
  <c r="Q617" i="48"/>
  <c r="J617" i="48"/>
  <c r="BL616" i="48"/>
  <c r="BN616" i="48" s="1"/>
  <c r="BK616" i="48"/>
  <c r="AV616" i="48"/>
  <c r="Q616" i="48"/>
  <c r="J616" i="48"/>
  <c r="BL615" i="48"/>
  <c r="BN615" i="48" s="1"/>
  <c r="BK615" i="48"/>
  <c r="AV615" i="48"/>
  <c r="Q615" i="48"/>
  <c r="J615" i="48"/>
  <c r="BL614" i="48"/>
  <c r="BN614" i="48" s="1"/>
  <c r="BK614" i="48"/>
  <c r="AV614" i="48"/>
  <c r="Q614" i="48"/>
  <c r="J614" i="48"/>
  <c r="BL613" i="48"/>
  <c r="BN613" i="48" s="1"/>
  <c r="BK613" i="48"/>
  <c r="AV613" i="48"/>
  <c r="Q613" i="48"/>
  <c r="J613" i="48"/>
  <c r="BL612" i="48"/>
  <c r="BN612" i="48" s="1"/>
  <c r="BK612" i="48"/>
  <c r="AV612" i="48"/>
  <c r="Q612" i="48"/>
  <c r="J612" i="48"/>
  <c r="BL611" i="48"/>
  <c r="BN611" i="48" s="1"/>
  <c r="BK611" i="48"/>
  <c r="AV611" i="48"/>
  <c r="Q611" i="48"/>
  <c r="J611" i="48"/>
  <c r="BL610" i="48"/>
  <c r="BN610" i="48" s="1"/>
  <c r="BK610" i="48"/>
  <c r="AV610" i="48"/>
  <c r="Q610" i="48"/>
  <c r="J610" i="48"/>
  <c r="BL609" i="48"/>
  <c r="BN609" i="48" s="1"/>
  <c r="BK609" i="48"/>
  <c r="AV609" i="48"/>
  <c r="Q609" i="48"/>
  <c r="J609" i="48"/>
  <c r="BL608" i="48"/>
  <c r="BN608" i="48" s="1"/>
  <c r="BK608" i="48"/>
  <c r="AV608" i="48"/>
  <c r="BL607" i="48"/>
  <c r="BN607" i="48" s="1"/>
  <c r="BK607" i="48"/>
  <c r="AV607" i="48"/>
  <c r="BL606" i="48"/>
  <c r="BN606" i="48" s="1"/>
  <c r="BK606" i="48"/>
  <c r="AV606" i="48"/>
  <c r="BL605" i="48"/>
  <c r="BN605" i="48" s="1"/>
  <c r="BK605" i="48"/>
  <c r="AV605" i="48"/>
  <c r="BL604" i="48"/>
  <c r="BN604" i="48" s="1"/>
  <c r="BK604" i="48"/>
  <c r="AV604" i="48"/>
  <c r="BL603" i="48"/>
  <c r="BN603" i="48" s="1"/>
  <c r="BK603" i="48"/>
  <c r="AV603" i="48"/>
  <c r="BL600" i="48"/>
  <c r="BN600" i="48" s="1"/>
  <c r="BK600" i="48"/>
  <c r="AV600" i="48"/>
  <c r="Q600" i="48"/>
  <c r="J600" i="48"/>
  <c r="BL599" i="48"/>
  <c r="BN599" i="48" s="1"/>
  <c r="BK599" i="48"/>
  <c r="AV599" i="48"/>
  <c r="Q599" i="48"/>
  <c r="J599" i="48"/>
  <c r="BL598" i="48"/>
  <c r="BN598" i="48" s="1"/>
  <c r="BK598" i="48"/>
  <c r="AV598" i="48"/>
  <c r="Q598" i="48"/>
  <c r="J598" i="48"/>
  <c r="BL597" i="48"/>
  <c r="BN597" i="48" s="1"/>
  <c r="BK597" i="48"/>
  <c r="AV597" i="48"/>
  <c r="Q597" i="48"/>
  <c r="J597" i="48"/>
  <c r="BL596" i="48"/>
  <c r="BN596" i="48" s="1"/>
  <c r="BK596" i="48"/>
  <c r="AV596" i="48"/>
  <c r="Q596" i="48"/>
  <c r="J596" i="48"/>
  <c r="BL595" i="48"/>
  <c r="BN595" i="48" s="1"/>
  <c r="BK595" i="48"/>
  <c r="AV595" i="48"/>
  <c r="Q595" i="48"/>
  <c r="J595" i="48"/>
  <c r="BL594" i="48"/>
  <c r="BN594" i="48" s="1"/>
  <c r="BK594" i="48"/>
  <c r="AV594" i="48"/>
  <c r="Q594" i="48"/>
  <c r="J594" i="48"/>
  <c r="BL593" i="48"/>
  <c r="BN593" i="48" s="1"/>
  <c r="BK593" i="48"/>
  <c r="AV593" i="48"/>
  <c r="Q593" i="48"/>
  <c r="J593" i="48"/>
  <c r="BL592" i="48"/>
  <c r="BN592" i="48" s="1"/>
  <c r="BK592" i="48"/>
  <c r="AV592" i="48"/>
  <c r="Q592" i="48"/>
  <c r="J592" i="48"/>
  <c r="BL591" i="48"/>
  <c r="BN591" i="48" s="1"/>
  <c r="BK591" i="48"/>
  <c r="AV591" i="48"/>
  <c r="Q591" i="48"/>
  <c r="J591" i="48"/>
  <c r="BL590" i="48"/>
  <c r="BN590" i="48" s="1"/>
  <c r="BK590" i="48"/>
  <c r="AV590" i="48"/>
  <c r="Q590" i="48"/>
  <c r="J590" i="48"/>
  <c r="BL589" i="48"/>
  <c r="BN589" i="48" s="1"/>
  <c r="BK589" i="48"/>
  <c r="AV589" i="48"/>
  <c r="Q589" i="48"/>
  <c r="J589" i="48"/>
  <c r="BL588" i="48"/>
  <c r="BN588" i="48" s="1"/>
  <c r="BK588" i="48"/>
  <c r="AV588" i="48"/>
  <c r="Q588" i="48"/>
  <c r="J588" i="48"/>
  <c r="BL587" i="48"/>
  <c r="BN587" i="48" s="1"/>
  <c r="BK587" i="48"/>
  <c r="AV587" i="48"/>
  <c r="Q587" i="48"/>
  <c r="J587" i="48"/>
  <c r="BL586" i="48"/>
  <c r="BN586" i="48" s="1"/>
  <c r="BK586" i="48"/>
  <c r="AV586" i="48"/>
  <c r="Q586" i="48"/>
  <c r="J586" i="48"/>
  <c r="BL585" i="48"/>
  <c r="BN585" i="48" s="1"/>
  <c r="BK585" i="48"/>
  <c r="AV585" i="48"/>
  <c r="Q585" i="48"/>
  <c r="J585" i="48"/>
  <c r="BL584" i="48"/>
  <c r="BN584" i="48" s="1"/>
  <c r="BK584" i="48"/>
  <c r="AV584" i="48"/>
  <c r="Q584" i="48"/>
  <c r="J584" i="48"/>
  <c r="BL583" i="48"/>
  <c r="BN583" i="48" s="1"/>
  <c r="BK583" i="48"/>
  <c r="AV583" i="48"/>
  <c r="BL582" i="48"/>
  <c r="BN582" i="48" s="1"/>
  <c r="BK582" i="48"/>
  <c r="AV582" i="48"/>
  <c r="BL581" i="48"/>
  <c r="BN581" i="48" s="1"/>
  <c r="BK581" i="48"/>
  <c r="AV581" i="48"/>
  <c r="BL580" i="48"/>
  <c r="BN580" i="48" s="1"/>
  <c r="BK580" i="48"/>
  <c r="AV580" i="48"/>
  <c r="BL579" i="48"/>
  <c r="BN579" i="48" s="1"/>
  <c r="BK579" i="48"/>
  <c r="AV579" i="48"/>
  <c r="BL578" i="48"/>
  <c r="BN578" i="48" s="1"/>
  <c r="BK578" i="48"/>
  <c r="AV578" i="48"/>
  <c r="BL575" i="48"/>
  <c r="BN575" i="48" s="1"/>
  <c r="BK575" i="48"/>
  <c r="Q575" i="48"/>
  <c r="J575" i="48"/>
  <c r="BL574" i="48"/>
  <c r="BN574" i="48" s="1"/>
  <c r="BK574" i="48"/>
  <c r="AV574" i="48"/>
  <c r="Q574" i="48"/>
  <c r="J574" i="48"/>
  <c r="BL573" i="48"/>
  <c r="BN573" i="48" s="1"/>
  <c r="BK573" i="48"/>
  <c r="AV573" i="48"/>
  <c r="Q573" i="48"/>
  <c r="J573" i="48"/>
  <c r="BL572" i="48"/>
  <c r="BN572" i="48" s="1"/>
  <c r="BK572" i="48"/>
  <c r="AV572" i="48"/>
  <c r="Q572" i="48"/>
  <c r="J572" i="48"/>
  <c r="BL571" i="48"/>
  <c r="BN571" i="48" s="1"/>
  <c r="BK571" i="48"/>
  <c r="AV571" i="48"/>
  <c r="Q571" i="48"/>
  <c r="J571" i="48"/>
  <c r="BL570" i="48"/>
  <c r="BN570" i="48" s="1"/>
  <c r="BK570" i="48"/>
  <c r="AV570" i="48"/>
  <c r="Q570" i="48"/>
  <c r="J570" i="48"/>
  <c r="BL569" i="48"/>
  <c r="BN569" i="48" s="1"/>
  <c r="BK569" i="48"/>
  <c r="AV569" i="48"/>
  <c r="Q569" i="48"/>
  <c r="J569" i="48"/>
  <c r="BL568" i="48"/>
  <c r="BN568" i="48" s="1"/>
  <c r="BK568" i="48"/>
  <c r="AV568" i="48"/>
  <c r="Q568" i="48"/>
  <c r="J568" i="48"/>
  <c r="BL567" i="48"/>
  <c r="BN567" i="48" s="1"/>
  <c r="BK567" i="48"/>
  <c r="AV567" i="48"/>
  <c r="Q567" i="48"/>
  <c r="J567" i="48"/>
  <c r="BL566" i="48"/>
  <c r="BN566" i="48" s="1"/>
  <c r="BK566" i="48"/>
  <c r="AV566" i="48"/>
  <c r="Q566" i="48"/>
  <c r="J566" i="48"/>
  <c r="BL565" i="48"/>
  <c r="BN565" i="48" s="1"/>
  <c r="BK565" i="48"/>
  <c r="AV565" i="48"/>
  <c r="Q565" i="48"/>
  <c r="J565" i="48"/>
  <c r="BL564" i="48"/>
  <c r="BN564" i="48" s="1"/>
  <c r="BK564" i="48"/>
  <c r="AV564" i="48"/>
  <c r="Q564" i="48"/>
  <c r="J564" i="48"/>
  <c r="BL563" i="48"/>
  <c r="BN563" i="48" s="1"/>
  <c r="BK563" i="48"/>
  <c r="AV563" i="48"/>
  <c r="Q563" i="48"/>
  <c r="J563" i="48"/>
  <c r="BL562" i="48"/>
  <c r="BN562" i="48" s="1"/>
  <c r="BK562" i="48"/>
  <c r="AV562" i="48"/>
  <c r="Q562" i="48"/>
  <c r="J562" i="48"/>
  <c r="BL561" i="48"/>
  <c r="BN561" i="48" s="1"/>
  <c r="BK561" i="48"/>
  <c r="AV561" i="48"/>
  <c r="Q561" i="48"/>
  <c r="J561" i="48"/>
  <c r="BL560" i="48"/>
  <c r="BN560" i="48" s="1"/>
  <c r="BK560" i="48"/>
  <c r="AV560" i="48"/>
  <c r="Q560" i="48"/>
  <c r="J560" i="48"/>
  <c r="BL559" i="48"/>
  <c r="BN559" i="48" s="1"/>
  <c r="BK559" i="48"/>
  <c r="AV559" i="48"/>
  <c r="Q559" i="48"/>
  <c r="J559" i="48"/>
  <c r="BL558" i="48"/>
  <c r="BN558" i="48" s="1"/>
  <c r="BK558" i="48"/>
  <c r="AV558" i="48"/>
  <c r="BL557" i="48"/>
  <c r="BN557" i="48" s="1"/>
  <c r="BK557" i="48"/>
  <c r="AV557" i="48"/>
  <c r="BL556" i="48"/>
  <c r="BN556" i="48" s="1"/>
  <c r="BK556" i="48"/>
  <c r="AV556" i="48"/>
  <c r="BL555" i="48"/>
  <c r="BN555" i="48" s="1"/>
  <c r="BK555" i="48"/>
  <c r="AV555" i="48"/>
  <c r="BL554" i="48"/>
  <c r="BN554" i="48" s="1"/>
  <c r="BK554" i="48"/>
  <c r="AV554" i="48"/>
  <c r="BL553" i="48"/>
  <c r="BN553" i="48" s="1"/>
  <c r="BK553" i="48"/>
  <c r="AV553" i="48"/>
  <c r="BL550" i="48"/>
  <c r="BN550" i="48" s="1"/>
  <c r="BK550" i="48"/>
  <c r="AV550" i="48"/>
  <c r="Q550" i="48"/>
  <c r="J550" i="48"/>
  <c r="BL549" i="48"/>
  <c r="BN549" i="48" s="1"/>
  <c r="BK549" i="48"/>
  <c r="AV549" i="48"/>
  <c r="Q549" i="48"/>
  <c r="J549" i="48"/>
  <c r="BL548" i="48"/>
  <c r="BN548" i="48" s="1"/>
  <c r="BK548" i="48"/>
  <c r="AV548" i="48"/>
  <c r="Q548" i="48"/>
  <c r="J548" i="48"/>
  <c r="BL547" i="48"/>
  <c r="BN547" i="48" s="1"/>
  <c r="BK547" i="48"/>
  <c r="AV547" i="48"/>
  <c r="Q547" i="48"/>
  <c r="J547" i="48"/>
  <c r="BL546" i="48"/>
  <c r="BN546" i="48" s="1"/>
  <c r="BK546" i="48"/>
  <c r="AV546" i="48"/>
  <c r="Q546" i="48"/>
  <c r="J546" i="48"/>
  <c r="BL545" i="48"/>
  <c r="BN545" i="48" s="1"/>
  <c r="BK545" i="48"/>
  <c r="AV545" i="48"/>
  <c r="Q545" i="48"/>
  <c r="J545" i="48"/>
  <c r="BL544" i="48"/>
  <c r="BN544" i="48" s="1"/>
  <c r="BK544" i="48"/>
  <c r="AV544" i="48"/>
  <c r="Q544" i="48"/>
  <c r="J544" i="48"/>
  <c r="BL543" i="48"/>
  <c r="BN543" i="48" s="1"/>
  <c r="BK543" i="48"/>
  <c r="AV543" i="48"/>
  <c r="Q543" i="48"/>
  <c r="J543" i="48"/>
  <c r="BL542" i="48"/>
  <c r="BN542" i="48" s="1"/>
  <c r="BK542" i="48"/>
  <c r="AV542" i="48"/>
  <c r="Q542" i="48"/>
  <c r="J542" i="48"/>
  <c r="BL541" i="48"/>
  <c r="BN541" i="48" s="1"/>
  <c r="BK541" i="48"/>
  <c r="AV541" i="48"/>
  <c r="Q541" i="48"/>
  <c r="J541" i="48"/>
  <c r="BL540" i="48"/>
  <c r="BN540" i="48" s="1"/>
  <c r="BK540" i="48"/>
  <c r="AV540" i="48"/>
  <c r="Q540" i="48"/>
  <c r="J540" i="48"/>
  <c r="BL539" i="48"/>
  <c r="BN539" i="48" s="1"/>
  <c r="BK539" i="48"/>
  <c r="AV539" i="48"/>
  <c r="Q539" i="48"/>
  <c r="J539" i="48"/>
  <c r="BL538" i="48"/>
  <c r="BN538" i="48" s="1"/>
  <c r="BK538" i="48"/>
  <c r="AV538" i="48"/>
  <c r="Q538" i="48"/>
  <c r="J538" i="48"/>
  <c r="BL537" i="48"/>
  <c r="BN537" i="48" s="1"/>
  <c r="BK537" i="48"/>
  <c r="AV537" i="48"/>
  <c r="Q537" i="48"/>
  <c r="J537" i="48"/>
  <c r="BL536" i="48"/>
  <c r="BN536" i="48" s="1"/>
  <c r="BK536" i="48"/>
  <c r="AV536" i="48"/>
  <c r="Q536" i="48"/>
  <c r="J536" i="48"/>
  <c r="BL535" i="48"/>
  <c r="BN535" i="48" s="1"/>
  <c r="BK535" i="48"/>
  <c r="AV535" i="48"/>
  <c r="Q535" i="48"/>
  <c r="J535" i="48"/>
  <c r="BL534" i="48"/>
  <c r="BN534" i="48" s="1"/>
  <c r="BK534" i="48"/>
  <c r="AV534" i="48"/>
  <c r="Q534" i="48"/>
  <c r="J534" i="48"/>
  <c r="BL533" i="48"/>
  <c r="BN533" i="48" s="1"/>
  <c r="BK533" i="48"/>
  <c r="AV533" i="48"/>
  <c r="BL532" i="48"/>
  <c r="BN532" i="48" s="1"/>
  <c r="BK532" i="48"/>
  <c r="AV532" i="48"/>
  <c r="BL531" i="48"/>
  <c r="BN531" i="48" s="1"/>
  <c r="BK531" i="48"/>
  <c r="AV531" i="48"/>
  <c r="BL530" i="48"/>
  <c r="BN530" i="48" s="1"/>
  <c r="BK530" i="48"/>
  <c r="AV530" i="48"/>
  <c r="BL529" i="48"/>
  <c r="BN529" i="48" s="1"/>
  <c r="BK529" i="48"/>
  <c r="AV529" i="48"/>
  <c r="BL528" i="48"/>
  <c r="BN528" i="48" s="1"/>
  <c r="BK528" i="48"/>
  <c r="AV528" i="48"/>
  <c r="BL525" i="48"/>
  <c r="BN525" i="48" s="1"/>
  <c r="BK525" i="48"/>
  <c r="Q525" i="48"/>
  <c r="J525" i="48"/>
  <c r="BL524" i="48"/>
  <c r="BN524" i="48" s="1"/>
  <c r="BK524" i="48"/>
  <c r="AV524" i="48"/>
  <c r="Q524" i="48"/>
  <c r="J524" i="48"/>
  <c r="BL523" i="48"/>
  <c r="BN523" i="48" s="1"/>
  <c r="BK523" i="48"/>
  <c r="AV523" i="48"/>
  <c r="Q523" i="48"/>
  <c r="J523" i="48"/>
  <c r="BL522" i="48"/>
  <c r="BN522" i="48" s="1"/>
  <c r="BK522" i="48"/>
  <c r="AV522" i="48"/>
  <c r="Q522" i="48"/>
  <c r="J522" i="48"/>
  <c r="BL521" i="48"/>
  <c r="BN521" i="48" s="1"/>
  <c r="BK521" i="48"/>
  <c r="AV521" i="48"/>
  <c r="Q521" i="48"/>
  <c r="J521" i="48"/>
  <c r="BL520" i="48"/>
  <c r="BN520" i="48" s="1"/>
  <c r="BK520" i="48"/>
  <c r="AV520" i="48"/>
  <c r="Q520" i="48"/>
  <c r="J520" i="48"/>
  <c r="BL519" i="48"/>
  <c r="BN519" i="48" s="1"/>
  <c r="BK519" i="48"/>
  <c r="AV519" i="48"/>
  <c r="Q519" i="48"/>
  <c r="J519" i="48"/>
  <c r="BL518" i="48"/>
  <c r="BN518" i="48" s="1"/>
  <c r="BK518" i="48"/>
  <c r="AV518" i="48"/>
  <c r="Q518" i="48"/>
  <c r="J518" i="48"/>
  <c r="BL517" i="48"/>
  <c r="BN517" i="48" s="1"/>
  <c r="BK517" i="48"/>
  <c r="AV517" i="48"/>
  <c r="Q517" i="48"/>
  <c r="J517" i="48"/>
  <c r="BL516" i="48"/>
  <c r="BN516" i="48" s="1"/>
  <c r="BK516" i="48"/>
  <c r="AV516" i="48"/>
  <c r="Q516" i="48"/>
  <c r="J516" i="48"/>
  <c r="BL515" i="48"/>
  <c r="BN515" i="48" s="1"/>
  <c r="BK515" i="48"/>
  <c r="AV515" i="48"/>
  <c r="Q515" i="48"/>
  <c r="J515" i="48"/>
  <c r="BL514" i="48"/>
  <c r="BN514" i="48" s="1"/>
  <c r="BK514" i="48"/>
  <c r="AV514" i="48"/>
  <c r="Q514" i="48"/>
  <c r="J514" i="48"/>
  <c r="BL513" i="48"/>
  <c r="BN513" i="48" s="1"/>
  <c r="BK513" i="48"/>
  <c r="AV513" i="48"/>
  <c r="Q513" i="48"/>
  <c r="J513" i="48"/>
  <c r="BL512" i="48"/>
  <c r="BN512" i="48" s="1"/>
  <c r="BK512" i="48"/>
  <c r="AV512" i="48"/>
  <c r="Q512" i="48"/>
  <c r="J512" i="48"/>
  <c r="BL511" i="48"/>
  <c r="BN511" i="48" s="1"/>
  <c r="BK511" i="48"/>
  <c r="AV511" i="48"/>
  <c r="Q511" i="48"/>
  <c r="J511" i="48"/>
  <c r="BL510" i="48"/>
  <c r="BN510" i="48" s="1"/>
  <c r="BK510" i="48"/>
  <c r="AV510" i="48"/>
  <c r="Q510" i="48"/>
  <c r="J510" i="48"/>
  <c r="BL509" i="48"/>
  <c r="BN509" i="48" s="1"/>
  <c r="BK509" i="48"/>
  <c r="AV509" i="48"/>
  <c r="Q509" i="48"/>
  <c r="J509" i="48"/>
  <c r="BL508" i="48"/>
  <c r="BN508" i="48" s="1"/>
  <c r="BK508" i="48"/>
  <c r="AV508" i="48"/>
  <c r="BL507" i="48"/>
  <c r="BN507" i="48" s="1"/>
  <c r="BK507" i="48"/>
  <c r="AV507" i="48"/>
  <c r="BL506" i="48"/>
  <c r="BN506" i="48" s="1"/>
  <c r="BK506" i="48"/>
  <c r="AV506" i="48"/>
  <c r="BL505" i="48"/>
  <c r="BN505" i="48" s="1"/>
  <c r="BK505" i="48"/>
  <c r="AV505" i="48"/>
  <c r="BL504" i="48"/>
  <c r="BN504" i="48" s="1"/>
  <c r="BK504" i="48"/>
  <c r="AV504" i="48"/>
  <c r="BL503" i="48"/>
  <c r="BN503" i="48" s="1"/>
  <c r="BK503" i="48"/>
  <c r="AV503" i="48"/>
  <c r="BL500" i="48"/>
  <c r="BN500" i="48" s="1"/>
  <c r="BK500" i="48"/>
  <c r="AV500" i="48"/>
  <c r="Q500" i="48"/>
  <c r="J500" i="48"/>
  <c r="BL499" i="48"/>
  <c r="BN499" i="48" s="1"/>
  <c r="BK499" i="48"/>
  <c r="AV499" i="48"/>
  <c r="Q499" i="48"/>
  <c r="J499" i="48"/>
  <c r="BL498" i="48"/>
  <c r="BN498" i="48" s="1"/>
  <c r="BK498" i="48"/>
  <c r="AV498" i="48"/>
  <c r="Q498" i="48"/>
  <c r="J498" i="48"/>
  <c r="BL497" i="48"/>
  <c r="BN497" i="48" s="1"/>
  <c r="BK497" i="48"/>
  <c r="AV497" i="48"/>
  <c r="Q497" i="48"/>
  <c r="J497" i="48"/>
  <c r="BL496" i="48"/>
  <c r="BN496" i="48" s="1"/>
  <c r="BK496" i="48"/>
  <c r="AV496" i="48"/>
  <c r="Q496" i="48"/>
  <c r="J496" i="48"/>
  <c r="BL495" i="48"/>
  <c r="BN495" i="48" s="1"/>
  <c r="BK495" i="48"/>
  <c r="AV495" i="48"/>
  <c r="Q495" i="48"/>
  <c r="J495" i="48"/>
  <c r="BL494" i="48"/>
  <c r="BN494" i="48" s="1"/>
  <c r="BK494" i="48"/>
  <c r="AV494" i="48"/>
  <c r="Q494" i="48"/>
  <c r="J494" i="48"/>
  <c r="BL493" i="48"/>
  <c r="BN493" i="48" s="1"/>
  <c r="BK493" i="48"/>
  <c r="AV493" i="48"/>
  <c r="Q493" i="48"/>
  <c r="J493" i="48"/>
  <c r="BL492" i="48"/>
  <c r="BN492" i="48" s="1"/>
  <c r="BK492" i="48"/>
  <c r="AV492" i="48"/>
  <c r="Q492" i="48"/>
  <c r="J492" i="48"/>
  <c r="BL491" i="48"/>
  <c r="BN491" i="48" s="1"/>
  <c r="BK491" i="48"/>
  <c r="AV491" i="48"/>
  <c r="Q491" i="48"/>
  <c r="J491" i="48"/>
  <c r="BL490" i="48"/>
  <c r="BN490" i="48" s="1"/>
  <c r="BK490" i="48"/>
  <c r="AV490" i="48"/>
  <c r="Q490" i="48"/>
  <c r="J490" i="48"/>
  <c r="BL489" i="48"/>
  <c r="BN489" i="48" s="1"/>
  <c r="BK489" i="48"/>
  <c r="AV489" i="48"/>
  <c r="Q489" i="48"/>
  <c r="J489" i="48"/>
  <c r="BL488" i="48"/>
  <c r="BN488" i="48" s="1"/>
  <c r="BK488" i="48"/>
  <c r="AV488" i="48"/>
  <c r="Q488" i="48"/>
  <c r="J488" i="48"/>
  <c r="BL487" i="48"/>
  <c r="BN487" i="48" s="1"/>
  <c r="BK487" i="48"/>
  <c r="AV487" i="48"/>
  <c r="Q487" i="48"/>
  <c r="J487" i="48"/>
  <c r="BL486" i="48"/>
  <c r="BN486" i="48" s="1"/>
  <c r="BK486" i="48"/>
  <c r="AV486" i="48"/>
  <c r="Q486" i="48"/>
  <c r="J486" i="48"/>
  <c r="BL485" i="48"/>
  <c r="BN485" i="48" s="1"/>
  <c r="BK485" i="48"/>
  <c r="AV485" i="48"/>
  <c r="Q485" i="48"/>
  <c r="J485" i="48"/>
  <c r="BL484" i="48"/>
  <c r="BN484" i="48" s="1"/>
  <c r="BK484" i="48"/>
  <c r="AV484" i="48"/>
  <c r="Q484" i="48"/>
  <c r="J484" i="48"/>
  <c r="BL483" i="48"/>
  <c r="BN483" i="48" s="1"/>
  <c r="BK483" i="48"/>
  <c r="AV483" i="48"/>
  <c r="BL482" i="48"/>
  <c r="BN482" i="48" s="1"/>
  <c r="BK482" i="48"/>
  <c r="AV482" i="48"/>
  <c r="BL481" i="48"/>
  <c r="BN481" i="48" s="1"/>
  <c r="BK481" i="48"/>
  <c r="AV481" i="48"/>
  <c r="BL480" i="48"/>
  <c r="BN480" i="48" s="1"/>
  <c r="BK480" i="48"/>
  <c r="AV480" i="48"/>
  <c r="BL479" i="48"/>
  <c r="BN479" i="48" s="1"/>
  <c r="BK479" i="48"/>
  <c r="AV479" i="48"/>
  <c r="BL478" i="48"/>
  <c r="BN478" i="48" s="1"/>
  <c r="BK478" i="48"/>
  <c r="AV478" i="48"/>
  <c r="BL475" i="48"/>
  <c r="BN475" i="48" s="1"/>
  <c r="BK475" i="48"/>
  <c r="AV475" i="48"/>
  <c r="Q475" i="48"/>
  <c r="J475" i="48"/>
  <c r="BL474" i="48"/>
  <c r="BN474" i="48" s="1"/>
  <c r="BK474" i="48"/>
  <c r="AV474" i="48"/>
  <c r="Q474" i="48"/>
  <c r="J474" i="48"/>
  <c r="BL473" i="48"/>
  <c r="BN473" i="48" s="1"/>
  <c r="BK473" i="48"/>
  <c r="AV473" i="48"/>
  <c r="Q473" i="48"/>
  <c r="J473" i="48"/>
  <c r="BL472" i="48"/>
  <c r="BN472" i="48" s="1"/>
  <c r="BK472" i="48"/>
  <c r="AV472" i="48"/>
  <c r="Q472" i="48"/>
  <c r="J472" i="48"/>
  <c r="BL471" i="48"/>
  <c r="BN471" i="48" s="1"/>
  <c r="BK471" i="48"/>
  <c r="AV471" i="48"/>
  <c r="Q471" i="48"/>
  <c r="J471" i="48"/>
  <c r="BL470" i="48"/>
  <c r="BN470" i="48" s="1"/>
  <c r="BK470" i="48"/>
  <c r="AV470" i="48"/>
  <c r="Q470" i="48"/>
  <c r="J470" i="48"/>
  <c r="BL469" i="48"/>
  <c r="BN469" i="48" s="1"/>
  <c r="BK469" i="48"/>
  <c r="AV469" i="48"/>
  <c r="Q469" i="48"/>
  <c r="J469" i="48"/>
  <c r="BL468" i="48"/>
  <c r="BN468" i="48" s="1"/>
  <c r="BK468" i="48"/>
  <c r="AV468" i="48"/>
  <c r="Q468" i="48"/>
  <c r="J468" i="48"/>
  <c r="BL467" i="48"/>
  <c r="BN467" i="48" s="1"/>
  <c r="BK467" i="48"/>
  <c r="AV467" i="48"/>
  <c r="Q467" i="48"/>
  <c r="J467" i="48"/>
  <c r="BL466" i="48"/>
  <c r="BN466" i="48" s="1"/>
  <c r="BK466" i="48"/>
  <c r="AV466" i="48"/>
  <c r="Q466" i="48"/>
  <c r="J466" i="48"/>
  <c r="BL465" i="48"/>
  <c r="BN465" i="48" s="1"/>
  <c r="BK465" i="48"/>
  <c r="AV465" i="48"/>
  <c r="Q465" i="48"/>
  <c r="J465" i="48"/>
  <c r="BL464" i="48"/>
  <c r="BN464" i="48" s="1"/>
  <c r="BK464" i="48"/>
  <c r="AV464" i="48"/>
  <c r="Q464" i="48"/>
  <c r="J464" i="48"/>
  <c r="BL463" i="48"/>
  <c r="BN463" i="48" s="1"/>
  <c r="BK463" i="48"/>
  <c r="AV463" i="48"/>
  <c r="Q463" i="48"/>
  <c r="J463" i="48"/>
  <c r="BL462" i="48"/>
  <c r="BN462" i="48" s="1"/>
  <c r="BK462" i="48"/>
  <c r="AV462" i="48"/>
  <c r="Q462" i="48"/>
  <c r="J462" i="48"/>
  <c r="BL461" i="48"/>
  <c r="BN461" i="48" s="1"/>
  <c r="BK461" i="48"/>
  <c r="AV461" i="48"/>
  <c r="Q461" i="48"/>
  <c r="J461" i="48"/>
  <c r="BL460" i="48"/>
  <c r="BN460" i="48" s="1"/>
  <c r="BK460" i="48"/>
  <c r="AV460" i="48"/>
  <c r="Q460" i="48"/>
  <c r="J460" i="48"/>
  <c r="BL459" i="48"/>
  <c r="BN459" i="48" s="1"/>
  <c r="BK459" i="48"/>
  <c r="AV459" i="48"/>
  <c r="Q459" i="48"/>
  <c r="J459" i="48"/>
  <c r="BL458" i="48"/>
  <c r="BN458" i="48" s="1"/>
  <c r="BK458" i="48"/>
  <c r="AV458" i="48"/>
  <c r="BL457" i="48"/>
  <c r="BN457" i="48" s="1"/>
  <c r="BK457" i="48"/>
  <c r="AV457" i="48"/>
  <c r="BL456" i="48"/>
  <c r="BN456" i="48" s="1"/>
  <c r="BK456" i="48"/>
  <c r="AV456" i="48"/>
  <c r="BL455" i="48"/>
  <c r="BN455" i="48" s="1"/>
  <c r="BK455" i="48"/>
  <c r="AV455" i="48"/>
  <c r="BL454" i="48"/>
  <c r="BN454" i="48" s="1"/>
  <c r="BK454" i="48"/>
  <c r="AV454" i="48"/>
  <c r="BL453" i="48"/>
  <c r="BN453" i="48" s="1"/>
  <c r="BK453" i="48"/>
  <c r="AV453" i="48"/>
  <c r="BL450" i="48"/>
  <c r="BN450" i="48" s="1"/>
  <c r="BK450" i="48"/>
  <c r="Q450" i="48"/>
  <c r="J450" i="48"/>
  <c r="BL449" i="48"/>
  <c r="BN449" i="48" s="1"/>
  <c r="BK449" i="48"/>
  <c r="AV449" i="48"/>
  <c r="Q449" i="48"/>
  <c r="J449" i="48"/>
  <c r="BL448" i="48"/>
  <c r="BN448" i="48" s="1"/>
  <c r="BK448" i="48"/>
  <c r="AV448" i="48"/>
  <c r="Q448" i="48"/>
  <c r="J448" i="48"/>
  <c r="BL447" i="48"/>
  <c r="BN447" i="48" s="1"/>
  <c r="BK447" i="48"/>
  <c r="AV447" i="48"/>
  <c r="Q447" i="48"/>
  <c r="J447" i="48"/>
  <c r="BL446" i="48"/>
  <c r="BN446" i="48" s="1"/>
  <c r="BK446" i="48"/>
  <c r="AV446" i="48"/>
  <c r="Q446" i="48"/>
  <c r="J446" i="48"/>
  <c r="BL445" i="48"/>
  <c r="BN445" i="48" s="1"/>
  <c r="BK445" i="48"/>
  <c r="AV445" i="48"/>
  <c r="Q445" i="48"/>
  <c r="J445" i="48"/>
  <c r="BL444" i="48"/>
  <c r="BN444" i="48" s="1"/>
  <c r="BK444" i="48"/>
  <c r="AV444" i="48"/>
  <c r="Q444" i="48"/>
  <c r="J444" i="48"/>
  <c r="BL443" i="48"/>
  <c r="BN443" i="48" s="1"/>
  <c r="BK443" i="48"/>
  <c r="AV443" i="48"/>
  <c r="Q443" i="48"/>
  <c r="J443" i="48"/>
  <c r="BL442" i="48"/>
  <c r="BN442" i="48" s="1"/>
  <c r="BK442" i="48"/>
  <c r="AV442" i="48"/>
  <c r="Q442" i="48"/>
  <c r="J442" i="48"/>
  <c r="BL441" i="48"/>
  <c r="BN441" i="48" s="1"/>
  <c r="BK441" i="48"/>
  <c r="AV441" i="48"/>
  <c r="Q441" i="48"/>
  <c r="J441" i="48"/>
  <c r="BL440" i="48"/>
  <c r="BN440" i="48" s="1"/>
  <c r="BK440" i="48"/>
  <c r="AV440" i="48"/>
  <c r="Q440" i="48"/>
  <c r="J440" i="48"/>
  <c r="BL439" i="48"/>
  <c r="BN439" i="48" s="1"/>
  <c r="BK439" i="48"/>
  <c r="AV439" i="48"/>
  <c r="Q439" i="48"/>
  <c r="J439" i="48"/>
  <c r="BL438" i="48"/>
  <c r="BN438" i="48" s="1"/>
  <c r="BK438" i="48"/>
  <c r="AV438" i="48"/>
  <c r="Q438" i="48"/>
  <c r="J438" i="48"/>
  <c r="BL437" i="48"/>
  <c r="BN437" i="48" s="1"/>
  <c r="BK437" i="48"/>
  <c r="AV437" i="48"/>
  <c r="Q437" i="48"/>
  <c r="J437" i="48"/>
  <c r="BL436" i="48"/>
  <c r="BN436" i="48" s="1"/>
  <c r="BK436" i="48"/>
  <c r="AV436" i="48"/>
  <c r="Q436" i="48"/>
  <c r="J436" i="48"/>
  <c r="BL435" i="48"/>
  <c r="BN435" i="48" s="1"/>
  <c r="BK435" i="48"/>
  <c r="AV435" i="48"/>
  <c r="Q435" i="48"/>
  <c r="J435" i="48"/>
  <c r="BL434" i="48"/>
  <c r="BN434" i="48" s="1"/>
  <c r="BK434" i="48"/>
  <c r="AV434" i="48"/>
  <c r="Q434" i="48"/>
  <c r="J434" i="48"/>
  <c r="BL433" i="48"/>
  <c r="BN433" i="48" s="1"/>
  <c r="BK433" i="48"/>
  <c r="AV433" i="48"/>
  <c r="BL432" i="48"/>
  <c r="BN432" i="48" s="1"/>
  <c r="BK432" i="48"/>
  <c r="AV432" i="48"/>
  <c r="BL431" i="48"/>
  <c r="BN431" i="48" s="1"/>
  <c r="BK431" i="48"/>
  <c r="AV431" i="48"/>
  <c r="BL430" i="48"/>
  <c r="BN430" i="48" s="1"/>
  <c r="BK430" i="48"/>
  <c r="AV430" i="48"/>
  <c r="BL429" i="48"/>
  <c r="BN429" i="48" s="1"/>
  <c r="BK429" i="48"/>
  <c r="AV429" i="48"/>
  <c r="BL428" i="48"/>
  <c r="BN428" i="48" s="1"/>
  <c r="BK428" i="48"/>
  <c r="AV428" i="48"/>
  <c r="BL425" i="48"/>
  <c r="BN425" i="48" s="1"/>
  <c r="BK425" i="48"/>
  <c r="AV425" i="48"/>
  <c r="Q425" i="48"/>
  <c r="J425" i="48"/>
  <c r="BL424" i="48"/>
  <c r="BN424" i="48" s="1"/>
  <c r="BK424" i="48"/>
  <c r="AV424" i="48"/>
  <c r="Q424" i="48"/>
  <c r="J424" i="48"/>
  <c r="BL423" i="48"/>
  <c r="BN423" i="48" s="1"/>
  <c r="BK423" i="48"/>
  <c r="AV423" i="48"/>
  <c r="Q423" i="48"/>
  <c r="J423" i="48"/>
  <c r="BL422" i="48"/>
  <c r="BN422" i="48" s="1"/>
  <c r="BK422" i="48"/>
  <c r="AV422" i="48"/>
  <c r="Q422" i="48"/>
  <c r="J422" i="48"/>
  <c r="BL421" i="48"/>
  <c r="BN421" i="48" s="1"/>
  <c r="BK421" i="48"/>
  <c r="AV421" i="48"/>
  <c r="Q421" i="48"/>
  <c r="J421" i="48"/>
  <c r="BL420" i="48"/>
  <c r="BN420" i="48" s="1"/>
  <c r="BK420" i="48"/>
  <c r="AV420" i="48"/>
  <c r="Q420" i="48"/>
  <c r="J420" i="48"/>
  <c r="BL419" i="48"/>
  <c r="BN419" i="48" s="1"/>
  <c r="BK419" i="48"/>
  <c r="AV419" i="48"/>
  <c r="Q419" i="48"/>
  <c r="J419" i="48"/>
  <c r="BL418" i="48"/>
  <c r="BN418" i="48" s="1"/>
  <c r="BK418" i="48"/>
  <c r="AV418" i="48"/>
  <c r="Q418" i="48"/>
  <c r="J418" i="48"/>
  <c r="BL417" i="48"/>
  <c r="BN417" i="48" s="1"/>
  <c r="BK417" i="48"/>
  <c r="AV417" i="48"/>
  <c r="Q417" i="48"/>
  <c r="J417" i="48"/>
  <c r="BL416" i="48"/>
  <c r="BN416" i="48" s="1"/>
  <c r="BK416" i="48"/>
  <c r="AV416" i="48"/>
  <c r="Q416" i="48"/>
  <c r="J416" i="48"/>
  <c r="BL415" i="48"/>
  <c r="BN415" i="48" s="1"/>
  <c r="BK415" i="48"/>
  <c r="AV415" i="48"/>
  <c r="Q415" i="48"/>
  <c r="J415" i="48"/>
  <c r="BL414" i="48"/>
  <c r="BN414" i="48" s="1"/>
  <c r="BK414" i="48"/>
  <c r="AV414" i="48"/>
  <c r="Q414" i="48"/>
  <c r="J414" i="48"/>
  <c r="BL413" i="48"/>
  <c r="BN413" i="48" s="1"/>
  <c r="BK413" i="48"/>
  <c r="AV413" i="48"/>
  <c r="Q413" i="48"/>
  <c r="J413" i="48"/>
  <c r="BL412" i="48"/>
  <c r="BN412" i="48" s="1"/>
  <c r="BK412" i="48"/>
  <c r="AV412" i="48"/>
  <c r="Q412" i="48"/>
  <c r="J412" i="48"/>
  <c r="BL411" i="48"/>
  <c r="BN411" i="48" s="1"/>
  <c r="BK411" i="48"/>
  <c r="AV411" i="48"/>
  <c r="Q411" i="48"/>
  <c r="J411" i="48"/>
  <c r="BL410" i="48"/>
  <c r="BN410" i="48" s="1"/>
  <c r="BK410" i="48"/>
  <c r="AV410" i="48"/>
  <c r="Q410" i="48"/>
  <c r="J410" i="48"/>
  <c r="BL409" i="48"/>
  <c r="BN409" i="48" s="1"/>
  <c r="BK409" i="48"/>
  <c r="AV409" i="48"/>
  <c r="Q409" i="48"/>
  <c r="J409" i="48"/>
  <c r="BL408" i="48"/>
  <c r="BN408" i="48" s="1"/>
  <c r="BK408" i="48"/>
  <c r="AV408" i="48"/>
  <c r="BL407" i="48"/>
  <c r="BN407" i="48" s="1"/>
  <c r="BK407" i="48"/>
  <c r="AV407" i="48"/>
  <c r="BL406" i="48"/>
  <c r="BN406" i="48" s="1"/>
  <c r="BK406" i="48"/>
  <c r="AV406" i="48"/>
  <c r="BL405" i="48"/>
  <c r="BN405" i="48" s="1"/>
  <c r="BK405" i="48"/>
  <c r="AV405" i="48"/>
  <c r="BL404" i="48"/>
  <c r="BN404" i="48" s="1"/>
  <c r="BK404" i="48"/>
  <c r="AV404" i="48"/>
  <c r="BL403" i="48"/>
  <c r="BN403" i="48" s="1"/>
  <c r="BK403" i="48"/>
  <c r="AV403" i="48"/>
  <c r="BL400" i="48"/>
  <c r="BN400" i="48" s="1"/>
  <c r="BK400" i="48"/>
  <c r="AV400" i="48"/>
  <c r="Q400" i="48"/>
  <c r="J400" i="48"/>
  <c r="BL399" i="48"/>
  <c r="BN399" i="48" s="1"/>
  <c r="BK399" i="48"/>
  <c r="AV399" i="48"/>
  <c r="Q399" i="48"/>
  <c r="J399" i="48"/>
  <c r="BL398" i="48"/>
  <c r="BN398" i="48" s="1"/>
  <c r="BK398" i="48"/>
  <c r="AV398" i="48"/>
  <c r="Q398" i="48"/>
  <c r="J398" i="48"/>
  <c r="BL397" i="48"/>
  <c r="BN397" i="48" s="1"/>
  <c r="BK397" i="48"/>
  <c r="AV397" i="48"/>
  <c r="Q397" i="48"/>
  <c r="J397" i="48"/>
  <c r="BL396" i="48"/>
  <c r="BN396" i="48" s="1"/>
  <c r="BK396" i="48"/>
  <c r="AV396" i="48"/>
  <c r="Q396" i="48"/>
  <c r="J396" i="48"/>
  <c r="BL395" i="48"/>
  <c r="BN395" i="48" s="1"/>
  <c r="BK395" i="48"/>
  <c r="AV395" i="48"/>
  <c r="Q395" i="48"/>
  <c r="J395" i="48"/>
  <c r="BL394" i="48"/>
  <c r="BN394" i="48" s="1"/>
  <c r="BK394" i="48"/>
  <c r="AV394" i="48"/>
  <c r="Q394" i="48"/>
  <c r="J394" i="48"/>
  <c r="BL393" i="48"/>
  <c r="BN393" i="48" s="1"/>
  <c r="BK393" i="48"/>
  <c r="AV393" i="48"/>
  <c r="Q393" i="48"/>
  <c r="J393" i="48"/>
  <c r="BL392" i="48"/>
  <c r="BN392" i="48" s="1"/>
  <c r="BK392" i="48"/>
  <c r="AV392" i="48"/>
  <c r="Q392" i="48"/>
  <c r="J392" i="48"/>
  <c r="BL391" i="48"/>
  <c r="BN391" i="48" s="1"/>
  <c r="BK391" i="48"/>
  <c r="AV391" i="48"/>
  <c r="Q391" i="48"/>
  <c r="J391" i="48"/>
  <c r="BL390" i="48"/>
  <c r="BN390" i="48" s="1"/>
  <c r="BK390" i="48"/>
  <c r="AV390" i="48"/>
  <c r="Q390" i="48"/>
  <c r="J390" i="48"/>
  <c r="BL389" i="48"/>
  <c r="BN389" i="48" s="1"/>
  <c r="BK389" i="48"/>
  <c r="AV389" i="48"/>
  <c r="Q389" i="48"/>
  <c r="J389" i="48"/>
  <c r="BL388" i="48"/>
  <c r="BN388" i="48" s="1"/>
  <c r="BK388" i="48"/>
  <c r="AV388" i="48"/>
  <c r="Q388" i="48"/>
  <c r="J388" i="48"/>
  <c r="BL387" i="48"/>
  <c r="BN387" i="48" s="1"/>
  <c r="BK387" i="48"/>
  <c r="AV387" i="48"/>
  <c r="Q387" i="48"/>
  <c r="J387" i="48"/>
  <c r="BL386" i="48"/>
  <c r="BN386" i="48" s="1"/>
  <c r="BK386" i="48"/>
  <c r="AV386" i="48"/>
  <c r="Q386" i="48"/>
  <c r="J386" i="48"/>
  <c r="BL385" i="48"/>
  <c r="BN385" i="48" s="1"/>
  <c r="BK385" i="48"/>
  <c r="AV385" i="48"/>
  <c r="Q385" i="48"/>
  <c r="J385" i="48"/>
  <c r="BL384" i="48"/>
  <c r="BN384" i="48" s="1"/>
  <c r="BK384" i="48"/>
  <c r="AV384" i="48"/>
  <c r="Q384" i="48"/>
  <c r="J384" i="48"/>
  <c r="BL383" i="48"/>
  <c r="BN383" i="48" s="1"/>
  <c r="BK383" i="48"/>
  <c r="AV383" i="48"/>
  <c r="BL382" i="48"/>
  <c r="BN382" i="48" s="1"/>
  <c r="BK382" i="48"/>
  <c r="AV382" i="48"/>
  <c r="BL381" i="48"/>
  <c r="BN381" i="48" s="1"/>
  <c r="BK381" i="48"/>
  <c r="AV381" i="48"/>
  <c r="BL380" i="48"/>
  <c r="BN380" i="48" s="1"/>
  <c r="BK380" i="48"/>
  <c r="AV380" i="48"/>
  <c r="BL379" i="48"/>
  <c r="BN379" i="48" s="1"/>
  <c r="BK379" i="48"/>
  <c r="AV379" i="48"/>
  <c r="BL378" i="48"/>
  <c r="BN378" i="48" s="1"/>
  <c r="BK378" i="48"/>
  <c r="AV378" i="48"/>
  <c r="BL375" i="48"/>
  <c r="BN375" i="48" s="1"/>
  <c r="BK375" i="48"/>
  <c r="AV375" i="48"/>
  <c r="Q375" i="48"/>
  <c r="J375" i="48"/>
  <c r="BL374" i="48"/>
  <c r="BK374" i="48"/>
  <c r="AV374" i="48"/>
  <c r="Q374" i="48"/>
  <c r="J374" i="48"/>
  <c r="BL373" i="48"/>
  <c r="BK373" i="48"/>
  <c r="AV373" i="48"/>
  <c r="Q373" i="48"/>
  <c r="J373" i="48"/>
  <c r="BL372" i="48"/>
  <c r="BK372" i="48"/>
  <c r="AV372" i="48"/>
  <c r="Q372" i="48"/>
  <c r="J372" i="48"/>
  <c r="BL371" i="48"/>
  <c r="BK371" i="48"/>
  <c r="AV371" i="48"/>
  <c r="Q371" i="48"/>
  <c r="J371" i="48"/>
  <c r="BL370" i="48"/>
  <c r="BK370" i="48"/>
  <c r="AV370" i="48"/>
  <c r="Q370" i="48"/>
  <c r="J370" i="48"/>
  <c r="BL369" i="48"/>
  <c r="BN369" i="48" s="1"/>
  <c r="BK369" i="48"/>
  <c r="AV369" i="48"/>
  <c r="Q369" i="48"/>
  <c r="J369" i="48"/>
  <c r="BL368" i="48"/>
  <c r="BN368" i="48" s="1"/>
  <c r="BK368" i="48"/>
  <c r="AV368" i="48"/>
  <c r="Q368" i="48"/>
  <c r="J368" i="48"/>
  <c r="BL367" i="48"/>
  <c r="BN367" i="48" s="1"/>
  <c r="BK367" i="48"/>
  <c r="AV367" i="48"/>
  <c r="Q367" i="48"/>
  <c r="J367" i="48"/>
  <c r="BL366" i="48"/>
  <c r="BN366" i="48" s="1"/>
  <c r="BK366" i="48"/>
  <c r="AV366" i="48"/>
  <c r="Q366" i="48"/>
  <c r="J366" i="48"/>
  <c r="BL365" i="48"/>
  <c r="BN365" i="48" s="1"/>
  <c r="BK365" i="48"/>
  <c r="AV365" i="48"/>
  <c r="Q365" i="48"/>
  <c r="J365" i="48"/>
  <c r="BL364" i="48"/>
  <c r="BN364" i="48" s="1"/>
  <c r="BK364" i="48"/>
  <c r="AV364" i="48"/>
  <c r="Q364" i="48"/>
  <c r="J364" i="48"/>
  <c r="BL363" i="48"/>
  <c r="BN363" i="48" s="1"/>
  <c r="BK363" i="48"/>
  <c r="AV363" i="48"/>
  <c r="Q363" i="48"/>
  <c r="J363" i="48"/>
  <c r="BL362" i="48"/>
  <c r="BN362" i="48" s="1"/>
  <c r="BK362" i="48"/>
  <c r="AV362" i="48"/>
  <c r="Q362" i="48"/>
  <c r="J362" i="48"/>
  <c r="BL361" i="48"/>
  <c r="BN361" i="48" s="1"/>
  <c r="BK361" i="48"/>
  <c r="AV361" i="48"/>
  <c r="Q361" i="48"/>
  <c r="J361" i="48"/>
  <c r="BL360" i="48"/>
  <c r="BN360" i="48" s="1"/>
  <c r="BK360" i="48"/>
  <c r="AV360" i="48"/>
  <c r="Q360" i="48"/>
  <c r="J360" i="48"/>
  <c r="BL359" i="48"/>
  <c r="BN359" i="48" s="1"/>
  <c r="BK359" i="48"/>
  <c r="AV359" i="48"/>
  <c r="Q359" i="48"/>
  <c r="J359" i="48"/>
  <c r="BL358" i="48"/>
  <c r="BN358" i="48" s="1"/>
  <c r="BK358" i="48"/>
  <c r="AV358" i="48"/>
  <c r="BL357" i="48"/>
  <c r="BN357" i="48" s="1"/>
  <c r="BK357" i="48"/>
  <c r="AV357" i="48"/>
  <c r="BL356" i="48"/>
  <c r="BN356" i="48" s="1"/>
  <c r="BK356" i="48"/>
  <c r="AV356" i="48"/>
  <c r="BL355" i="48"/>
  <c r="BN355" i="48" s="1"/>
  <c r="BK355" i="48"/>
  <c r="AV355" i="48"/>
  <c r="BL354" i="48"/>
  <c r="BN354" i="48" s="1"/>
  <c r="BK354" i="48"/>
  <c r="AV354" i="48"/>
  <c r="BL353" i="48"/>
  <c r="BN353" i="48" s="1"/>
  <c r="BK353" i="48"/>
  <c r="AV353" i="48"/>
  <c r="BL350" i="48"/>
  <c r="BN350" i="48" s="1"/>
  <c r="BK350" i="48"/>
  <c r="AV350" i="48"/>
  <c r="BL349" i="48"/>
  <c r="BN349" i="48" s="1"/>
  <c r="BK349" i="48"/>
  <c r="AV349" i="48"/>
  <c r="BL348" i="48"/>
  <c r="BN348" i="48" s="1"/>
  <c r="BK348" i="48"/>
  <c r="AV348" i="48"/>
  <c r="Q348" i="48"/>
  <c r="J348" i="48"/>
  <c r="BL347" i="48"/>
  <c r="BN347" i="48" s="1"/>
  <c r="BK347" i="48"/>
  <c r="AV347" i="48"/>
  <c r="Q347" i="48"/>
  <c r="J347" i="48"/>
  <c r="BL346" i="48"/>
  <c r="BN346" i="48" s="1"/>
  <c r="BK346" i="48"/>
  <c r="AV346" i="48"/>
  <c r="Q346" i="48"/>
  <c r="J346" i="48"/>
  <c r="BL345" i="48"/>
  <c r="BN345" i="48" s="1"/>
  <c r="BK345" i="48"/>
  <c r="AV345" i="48"/>
  <c r="Q345" i="48"/>
  <c r="J345" i="48"/>
  <c r="BL344" i="48"/>
  <c r="BN344" i="48" s="1"/>
  <c r="BK344" i="48"/>
  <c r="AV344" i="48"/>
  <c r="Q344" i="48"/>
  <c r="J344" i="48"/>
  <c r="BL343" i="48"/>
  <c r="BN343" i="48" s="1"/>
  <c r="BK343" i="48"/>
  <c r="AV343" i="48"/>
  <c r="Q343" i="48"/>
  <c r="J343" i="48"/>
  <c r="BL342" i="48"/>
  <c r="BN342" i="48" s="1"/>
  <c r="BK342" i="48"/>
  <c r="AV342" i="48"/>
  <c r="Q342" i="48"/>
  <c r="J342" i="48"/>
  <c r="BL341" i="48"/>
  <c r="BN341" i="48" s="1"/>
  <c r="BK341" i="48"/>
  <c r="AV341" i="48"/>
  <c r="Q341" i="48"/>
  <c r="J341" i="48"/>
  <c r="BL340" i="48"/>
  <c r="BN340" i="48" s="1"/>
  <c r="BK340" i="48"/>
  <c r="AV340" i="48"/>
  <c r="Q340" i="48"/>
  <c r="J340" i="48"/>
  <c r="BL339" i="48"/>
  <c r="BN339" i="48" s="1"/>
  <c r="BK339" i="48"/>
  <c r="AV339" i="48"/>
  <c r="Q339" i="48"/>
  <c r="J339" i="48"/>
  <c r="BL338" i="48"/>
  <c r="BN338" i="48" s="1"/>
  <c r="BK338" i="48"/>
  <c r="AV338" i="48"/>
  <c r="Q338" i="48"/>
  <c r="J338" i="48"/>
  <c r="BL337" i="48"/>
  <c r="BN337" i="48" s="1"/>
  <c r="BK337" i="48"/>
  <c r="AV337" i="48"/>
  <c r="Q337" i="48"/>
  <c r="J337" i="48"/>
  <c r="BL336" i="48"/>
  <c r="BN336" i="48" s="1"/>
  <c r="BK336" i="48"/>
  <c r="AV336" i="48"/>
  <c r="Q336" i="48"/>
  <c r="J336" i="48"/>
  <c r="BL335" i="48"/>
  <c r="BN335" i="48" s="1"/>
  <c r="BK335" i="48"/>
  <c r="AV335" i="48"/>
  <c r="Q335" i="48"/>
  <c r="J335" i="48"/>
  <c r="BL334" i="48"/>
  <c r="BN334" i="48" s="1"/>
  <c r="BK334" i="48"/>
  <c r="AV334" i="48"/>
  <c r="Q334" i="48"/>
  <c r="J334" i="48"/>
  <c r="BL333" i="48"/>
  <c r="BN333" i="48" s="1"/>
  <c r="BK333" i="48"/>
  <c r="AV333" i="48"/>
  <c r="BL332" i="48"/>
  <c r="BN332" i="48" s="1"/>
  <c r="BK332" i="48"/>
  <c r="AV332" i="48"/>
  <c r="BL331" i="48"/>
  <c r="BN331" i="48" s="1"/>
  <c r="BK331" i="48"/>
  <c r="AV331" i="48"/>
  <c r="BL330" i="48"/>
  <c r="BN330" i="48" s="1"/>
  <c r="BK330" i="48"/>
  <c r="AV330" i="48"/>
  <c r="BL329" i="48"/>
  <c r="BN329" i="48" s="1"/>
  <c r="BK329" i="48"/>
  <c r="AV329" i="48"/>
  <c r="BL328" i="48"/>
  <c r="BN328" i="48" s="1"/>
  <c r="BK328" i="48"/>
  <c r="AV328" i="48"/>
  <c r="AW328" i="48" s="1"/>
  <c r="BL325" i="48"/>
  <c r="BN325" i="48" s="1"/>
  <c r="BK325" i="48"/>
  <c r="AV325" i="48"/>
  <c r="Q325" i="48"/>
  <c r="J325" i="48"/>
  <c r="BL324" i="48"/>
  <c r="BN324" i="48" s="1"/>
  <c r="BK324" i="48"/>
  <c r="AV324" i="48"/>
  <c r="Q324" i="48"/>
  <c r="J324" i="48"/>
  <c r="BL323" i="48"/>
  <c r="BN323" i="48" s="1"/>
  <c r="BK323" i="48"/>
  <c r="AV323" i="48"/>
  <c r="Q323" i="48"/>
  <c r="J323" i="48"/>
  <c r="BL322" i="48"/>
  <c r="BN322" i="48" s="1"/>
  <c r="BK322" i="48"/>
  <c r="AV322" i="48"/>
  <c r="Q322" i="48"/>
  <c r="J322" i="48"/>
  <c r="BL321" i="48"/>
  <c r="BN321" i="48" s="1"/>
  <c r="BK321" i="48"/>
  <c r="AV321" i="48"/>
  <c r="Q321" i="48"/>
  <c r="J321" i="48"/>
  <c r="BL320" i="48"/>
  <c r="BN320" i="48" s="1"/>
  <c r="BK320" i="48"/>
  <c r="AV320" i="48"/>
  <c r="Q320" i="48"/>
  <c r="J320" i="48"/>
  <c r="BL319" i="48"/>
  <c r="BN319" i="48" s="1"/>
  <c r="BK319" i="48"/>
  <c r="AV319" i="48"/>
  <c r="Q319" i="48"/>
  <c r="J319" i="48"/>
  <c r="BL318" i="48"/>
  <c r="BN318" i="48" s="1"/>
  <c r="BK318" i="48"/>
  <c r="AV318" i="48"/>
  <c r="Q318" i="48"/>
  <c r="J318" i="48"/>
  <c r="BL317" i="48"/>
  <c r="BN317" i="48" s="1"/>
  <c r="BK317" i="48"/>
  <c r="AV317" i="48"/>
  <c r="Q317" i="48"/>
  <c r="J317" i="48"/>
  <c r="BL316" i="48"/>
  <c r="BN316" i="48" s="1"/>
  <c r="BK316" i="48"/>
  <c r="AV316" i="48"/>
  <c r="Q316" i="48"/>
  <c r="J316" i="48"/>
  <c r="BL315" i="48"/>
  <c r="BN315" i="48" s="1"/>
  <c r="BK315" i="48"/>
  <c r="AV315" i="48"/>
  <c r="Q315" i="48"/>
  <c r="J315" i="48"/>
  <c r="BL314" i="48"/>
  <c r="BN314" i="48" s="1"/>
  <c r="BK314" i="48"/>
  <c r="AV314" i="48"/>
  <c r="Q314" i="48"/>
  <c r="J314" i="48"/>
  <c r="BL313" i="48"/>
  <c r="BN313" i="48" s="1"/>
  <c r="BK313" i="48"/>
  <c r="AV313" i="48"/>
  <c r="Q313" i="48"/>
  <c r="J313" i="48"/>
  <c r="BL312" i="48"/>
  <c r="BN312" i="48" s="1"/>
  <c r="BK312" i="48"/>
  <c r="AV312" i="48"/>
  <c r="Q312" i="48"/>
  <c r="J312" i="48"/>
  <c r="BL311" i="48"/>
  <c r="BN311" i="48" s="1"/>
  <c r="BK311" i="48"/>
  <c r="AV311" i="48"/>
  <c r="Q311" i="48"/>
  <c r="J311" i="48"/>
  <c r="BL310" i="48"/>
  <c r="BN310" i="48" s="1"/>
  <c r="BK310" i="48"/>
  <c r="AV310" i="48"/>
  <c r="Q310" i="48"/>
  <c r="J310" i="48"/>
  <c r="BL309" i="48"/>
  <c r="BN309" i="48" s="1"/>
  <c r="BK309" i="48"/>
  <c r="AV309" i="48"/>
  <c r="Q309" i="48"/>
  <c r="J309" i="48"/>
  <c r="BL308" i="48"/>
  <c r="BN308" i="48" s="1"/>
  <c r="BK308" i="48"/>
  <c r="AV308" i="48"/>
  <c r="BL307" i="48"/>
  <c r="BN307" i="48" s="1"/>
  <c r="BK307" i="48"/>
  <c r="AV307" i="48"/>
  <c r="BL306" i="48"/>
  <c r="BN306" i="48" s="1"/>
  <c r="BK306" i="48"/>
  <c r="AV306" i="48"/>
  <c r="BL305" i="48"/>
  <c r="BN305" i="48" s="1"/>
  <c r="BK305" i="48"/>
  <c r="AV305" i="48"/>
  <c r="BL304" i="48"/>
  <c r="BN304" i="48" s="1"/>
  <c r="BK304" i="48"/>
  <c r="AV304" i="48"/>
  <c r="BL303" i="48"/>
  <c r="BN303" i="48" s="1"/>
  <c r="BK303" i="48"/>
  <c r="AV303" i="48"/>
  <c r="BL300" i="48"/>
  <c r="BN300" i="48" s="1"/>
  <c r="BK300" i="48"/>
  <c r="BL299" i="48"/>
  <c r="BN299" i="48" s="1"/>
  <c r="BK299" i="48"/>
  <c r="AV299" i="48"/>
  <c r="BL298" i="48"/>
  <c r="BN298" i="48" s="1"/>
  <c r="BK298" i="48"/>
  <c r="AV298" i="48"/>
  <c r="BL297" i="48"/>
  <c r="BN297" i="48" s="1"/>
  <c r="BK297" i="48"/>
  <c r="AV297" i="48"/>
  <c r="BL296" i="48"/>
  <c r="BN296" i="48" s="1"/>
  <c r="BK296" i="48"/>
  <c r="AV296" i="48"/>
  <c r="BL295" i="48"/>
  <c r="BN295" i="48" s="1"/>
  <c r="BK295" i="48"/>
  <c r="AV295" i="48"/>
  <c r="BL294" i="48"/>
  <c r="BN294" i="48" s="1"/>
  <c r="BK294" i="48"/>
  <c r="AV294" i="48"/>
  <c r="BL293" i="48"/>
  <c r="BN293" i="48" s="1"/>
  <c r="BK293" i="48"/>
  <c r="AV293" i="48"/>
  <c r="BL292" i="48"/>
  <c r="BN292" i="48" s="1"/>
  <c r="BK292" i="48"/>
  <c r="AV292" i="48"/>
  <c r="BL291" i="48"/>
  <c r="BN291" i="48" s="1"/>
  <c r="BK291" i="48"/>
  <c r="AV291" i="48"/>
  <c r="BL290" i="48"/>
  <c r="BN290" i="48" s="1"/>
  <c r="BK290" i="48"/>
  <c r="AV290" i="48"/>
  <c r="BL289" i="48"/>
  <c r="BN289" i="48" s="1"/>
  <c r="BK289" i="48"/>
  <c r="AV289" i="48"/>
  <c r="BL288" i="48"/>
  <c r="BN288" i="48" s="1"/>
  <c r="BK288" i="48"/>
  <c r="AV288" i="48"/>
  <c r="BL287" i="48"/>
  <c r="BN287" i="48" s="1"/>
  <c r="BK287" i="48"/>
  <c r="AV287" i="48"/>
  <c r="BL286" i="48"/>
  <c r="BN286" i="48" s="1"/>
  <c r="BK286" i="48"/>
  <c r="AV286" i="48"/>
  <c r="BL285" i="48"/>
  <c r="BN285" i="48" s="1"/>
  <c r="BK285" i="48"/>
  <c r="AV285" i="48"/>
  <c r="BL284" i="48"/>
  <c r="BN284" i="48" s="1"/>
  <c r="BK284" i="48"/>
  <c r="AV284" i="48"/>
  <c r="BL283" i="48"/>
  <c r="BN283" i="48" s="1"/>
  <c r="BK283" i="48"/>
  <c r="AV283" i="48"/>
  <c r="BL282" i="48"/>
  <c r="BN282" i="48" s="1"/>
  <c r="BK282" i="48"/>
  <c r="AV282" i="48"/>
  <c r="BL281" i="48"/>
  <c r="BN281" i="48" s="1"/>
  <c r="BK281" i="48"/>
  <c r="AV281" i="48"/>
  <c r="BL280" i="48"/>
  <c r="BN280" i="48" s="1"/>
  <c r="BK280" i="48"/>
  <c r="AV280" i="48"/>
  <c r="BL279" i="48"/>
  <c r="BN279" i="48" s="1"/>
  <c r="BK279" i="48"/>
  <c r="AV279" i="48"/>
  <c r="BL278" i="48"/>
  <c r="BN278" i="48" s="1"/>
  <c r="BK278" i="48"/>
  <c r="AV278" i="48"/>
  <c r="BL275" i="48"/>
  <c r="BN275" i="48" s="1"/>
  <c r="BK275" i="48"/>
  <c r="AV275" i="48"/>
  <c r="BL274" i="48"/>
  <c r="BN274" i="48" s="1"/>
  <c r="BK274" i="48"/>
  <c r="AV274" i="48"/>
  <c r="BL273" i="48"/>
  <c r="BN273" i="48" s="1"/>
  <c r="BK273" i="48"/>
  <c r="AV273" i="48"/>
  <c r="BL272" i="48"/>
  <c r="BN272" i="48" s="1"/>
  <c r="BK272" i="48"/>
  <c r="AV272" i="48"/>
  <c r="BL271" i="48"/>
  <c r="BN271" i="48" s="1"/>
  <c r="BK271" i="48"/>
  <c r="AV271" i="48"/>
  <c r="BL270" i="48"/>
  <c r="BN270" i="48" s="1"/>
  <c r="BK270" i="48"/>
  <c r="AV270" i="48"/>
  <c r="BL269" i="48"/>
  <c r="BN269" i="48" s="1"/>
  <c r="BK269" i="48"/>
  <c r="AV269" i="48"/>
  <c r="BL268" i="48"/>
  <c r="BN268" i="48" s="1"/>
  <c r="BK268" i="48"/>
  <c r="AV268" i="48"/>
  <c r="BL267" i="48"/>
  <c r="BN267" i="48" s="1"/>
  <c r="BK267" i="48"/>
  <c r="AV267" i="48"/>
  <c r="BL266" i="48"/>
  <c r="BN266" i="48" s="1"/>
  <c r="BK266" i="48"/>
  <c r="AV266" i="48"/>
  <c r="BL265" i="48"/>
  <c r="BN265" i="48" s="1"/>
  <c r="BK265" i="48"/>
  <c r="AV265" i="48"/>
  <c r="BL264" i="48"/>
  <c r="BN264" i="48" s="1"/>
  <c r="BK264" i="48"/>
  <c r="AV264" i="48"/>
  <c r="BL263" i="48"/>
  <c r="BN263" i="48" s="1"/>
  <c r="BK263" i="48"/>
  <c r="AV263" i="48"/>
  <c r="BL262" i="48"/>
  <c r="BN262" i="48" s="1"/>
  <c r="BK262" i="48"/>
  <c r="AV262" i="48"/>
  <c r="BL261" i="48"/>
  <c r="BN261" i="48" s="1"/>
  <c r="BK261" i="48"/>
  <c r="AV261" i="48"/>
  <c r="BL260" i="48"/>
  <c r="BN260" i="48" s="1"/>
  <c r="BK260" i="48"/>
  <c r="AV260" i="48"/>
  <c r="BL259" i="48"/>
  <c r="BN259" i="48" s="1"/>
  <c r="BK259" i="48"/>
  <c r="AV259" i="48"/>
  <c r="BL258" i="48"/>
  <c r="BN258" i="48" s="1"/>
  <c r="BK258" i="48"/>
  <c r="AV258" i="48"/>
  <c r="BL257" i="48"/>
  <c r="BN257" i="48" s="1"/>
  <c r="BK257" i="48"/>
  <c r="AV257" i="48"/>
  <c r="BL256" i="48"/>
  <c r="BN256" i="48" s="1"/>
  <c r="BK256" i="48"/>
  <c r="AV256" i="48"/>
  <c r="BL255" i="48"/>
  <c r="BN255" i="48" s="1"/>
  <c r="BK255" i="48"/>
  <c r="AV255" i="48"/>
  <c r="BL254" i="48"/>
  <c r="BN254" i="48" s="1"/>
  <c r="BK254" i="48"/>
  <c r="AV254" i="48"/>
  <c r="BL253" i="48"/>
  <c r="BN253" i="48" s="1"/>
  <c r="BK253" i="48"/>
  <c r="AV253" i="48"/>
  <c r="AW253" i="48" s="1"/>
  <c r="BL249" i="48"/>
  <c r="BK249" i="48"/>
  <c r="AV249" i="48"/>
  <c r="Q249" i="48"/>
  <c r="J249" i="48"/>
  <c r="BL248" i="48"/>
  <c r="BK248" i="48"/>
  <c r="AV248" i="48"/>
  <c r="Q248" i="48"/>
  <c r="J248" i="48"/>
  <c r="BL247" i="48"/>
  <c r="BK247" i="48"/>
  <c r="AV247" i="48"/>
  <c r="Q247" i="48"/>
  <c r="J247" i="48"/>
  <c r="BL246" i="48"/>
  <c r="BN246" i="48" s="1"/>
  <c r="BK246" i="48"/>
  <c r="AV246" i="48"/>
  <c r="Q246" i="48"/>
  <c r="J246" i="48"/>
  <c r="BL245" i="48"/>
  <c r="BN245" i="48" s="1"/>
  <c r="BK245" i="48"/>
  <c r="AV245" i="48"/>
  <c r="Q245" i="48"/>
  <c r="J245" i="48"/>
  <c r="BL244" i="48"/>
  <c r="BN244" i="48" s="1"/>
  <c r="BK244" i="48"/>
  <c r="AV244" i="48"/>
  <c r="Q244" i="48"/>
  <c r="J244" i="48"/>
  <c r="BL243" i="48"/>
  <c r="BN243" i="48" s="1"/>
  <c r="BK243" i="48"/>
  <c r="AV243" i="48"/>
  <c r="Q243" i="48"/>
  <c r="J243" i="48"/>
  <c r="BL242" i="48"/>
  <c r="BN242" i="48" s="1"/>
  <c r="BK242" i="48"/>
  <c r="AV242" i="48"/>
  <c r="Q242" i="48"/>
  <c r="J242" i="48"/>
  <c r="BL241" i="48"/>
  <c r="BN241" i="48" s="1"/>
  <c r="BK241" i="48"/>
  <c r="AV241" i="48"/>
  <c r="Q241" i="48"/>
  <c r="J241" i="48"/>
  <c r="BL240" i="48"/>
  <c r="BN240" i="48" s="1"/>
  <c r="BK240" i="48"/>
  <c r="AV240" i="48"/>
  <c r="Q240" i="48"/>
  <c r="J240" i="48"/>
  <c r="BL239" i="48"/>
  <c r="BN239" i="48" s="1"/>
  <c r="BK239" i="48"/>
  <c r="AV239" i="48"/>
  <c r="Q239" i="48"/>
  <c r="J239" i="48"/>
  <c r="BL238" i="48"/>
  <c r="BN238" i="48" s="1"/>
  <c r="BK238" i="48"/>
  <c r="AV238" i="48"/>
  <c r="Q238" i="48"/>
  <c r="J238" i="48"/>
  <c r="BL237" i="48"/>
  <c r="BN237" i="48" s="1"/>
  <c r="BK237" i="48"/>
  <c r="AV237" i="48"/>
  <c r="Q237" i="48"/>
  <c r="J237" i="48"/>
  <c r="BL236" i="48"/>
  <c r="BN236" i="48" s="1"/>
  <c r="BK236" i="48"/>
  <c r="AV236" i="48"/>
  <c r="Q236" i="48"/>
  <c r="J236" i="48"/>
  <c r="BL235" i="48"/>
  <c r="BN235" i="48" s="1"/>
  <c r="BK235" i="48"/>
  <c r="AV235" i="48"/>
  <c r="Q235" i="48"/>
  <c r="J235" i="48"/>
  <c r="BL234" i="48"/>
  <c r="BN234" i="48" s="1"/>
  <c r="BK234" i="48"/>
  <c r="AV234" i="48"/>
  <c r="BL233" i="48"/>
  <c r="BN233" i="48" s="1"/>
  <c r="BK233" i="48"/>
  <c r="AV233" i="48"/>
  <c r="BL232" i="48"/>
  <c r="BN232" i="48" s="1"/>
  <c r="BK232" i="48"/>
  <c r="AV232" i="48"/>
  <c r="BL231" i="48"/>
  <c r="BN231" i="48" s="1"/>
  <c r="BK231" i="48"/>
  <c r="AV231" i="48"/>
  <c r="BL230" i="48"/>
  <c r="BN230" i="48" s="1"/>
  <c r="BK230" i="48"/>
  <c r="AV230" i="48"/>
  <c r="BL229" i="48"/>
  <c r="BN229" i="48" s="1"/>
  <c r="BK229" i="48"/>
  <c r="AV229" i="48"/>
  <c r="BL228" i="48"/>
  <c r="BN228" i="48" s="1"/>
  <c r="BK228" i="48"/>
  <c r="AV228" i="48"/>
  <c r="BL225" i="48"/>
  <c r="BN225" i="48" s="1"/>
  <c r="BK225" i="48"/>
  <c r="AV225" i="48"/>
  <c r="Q225" i="48"/>
  <c r="J225" i="48"/>
  <c r="BL224" i="48"/>
  <c r="BN224" i="48" s="1"/>
  <c r="BK224" i="48"/>
  <c r="AV224" i="48"/>
  <c r="Q224" i="48"/>
  <c r="J224" i="48"/>
  <c r="BL223" i="48"/>
  <c r="BN223" i="48" s="1"/>
  <c r="BK223" i="48"/>
  <c r="AV223" i="48"/>
  <c r="Q223" i="48"/>
  <c r="J223" i="48"/>
  <c r="BL222" i="48"/>
  <c r="BN222" i="48" s="1"/>
  <c r="BK222" i="48"/>
  <c r="AV222" i="48"/>
  <c r="Q222" i="48"/>
  <c r="J222" i="48"/>
  <c r="BL221" i="48"/>
  <c r="BN221" i="48" s="1"/>
  <c r="BK221" i="48"/>
  <c r="AV221" i="48"/>
  <c r="Q221" i="48"/>
  <c r="J221" i="48"/>
  <c r="BL220" i="48"/>
  <c r="BN220" i="48" s="1"/>
  <c r="BK220" i="48"/>
  <c r="AV220" i="48"/>
  <c r="Q220" i="48"/>
  <c r="J220" i="48"/>
  <c r="BL219" i="48"/>
  <c r="BN219" i="48" s="1"/>
  <c r="BK219" i="48"/>
  <c r="AV219" i="48"/>
  <c r="Q219" i="48"/>
  <c r="J219" i="48"/>
  <c r="BL218" i="48"/>
  <c r="BN218" i="48" s="1"/>
  <c r="BK218" i="48"/>
  <c r="AV218" i="48"/>
  <c r="Q218" i="48"/>
  <c r="J218" i="48"/>
  <c r="BL217" i="48"/>
  <c r="BN217" i="48" s="1"/>
  <c r="BK217" i="48"/>
  <c r="AV217" i="48"/>
  <c r="Q217" i="48"/>
  <c r="J217" i="48"/>
  <c r="BL216" i="48"/>
  <c r="BN216" i="48" s="1"/>
  <c r="BK216" i="48"/>
  <c r="AV216" i="48"/>
  <c r="Q216" i="48"/>
  <c r="J216" i="48"/>
  <c r="BL215" i="48"/>
  <c r="BN215" i="48" s="1"/>
  <c r="BK215" i="48"/>
  <c r="AV215" i="48"/>
  <c r="Q215" i="48"/>
  <c r="J215" i="48"/>
  <c r="BL214" i="48"/>
  <c r="BN214" i="48" s="1"/>
  <c r="BK214" i="48"/>
  <c r="AV214" i="48"/>
  <c r="Q214" i="48"/>
  <c r="J214" i="48"/>
  <c r="BL213" i="48"/>
  <c r="BN213" i="48" s="1"/>
  <c r="BK213" i="48"/>
  <c r="AV213" i="48"/>
  <c r="Q213" i="48"/>
  <c r="J213" i="48"/>
  <c r="BL212" i="48"/>
  <c r="BN212" i="48" s="1"/>
  <c r="BK212" i="48"/>
  <c r="AV212" i="48"/>
  <c r="Q212" i="48"/>
  <c r="J212" i="48"/>
  <c r="BL211" i="48"/>
  <c r="BN211" i="48" s="1"/>
  <c r="BK211" i="48"/>
  <c r="AV211" i="48"/>
  <c r="Q211" i="48"/>
  <c r="J211" i="48"/>
  <c r="BL210" i="48"/>
  <c r="BN210" i="48" s="1"/>
  <c r="BK210" i="48"/>
  <c r="AV210" i="48"/>
  <c r="Q210" i="48"/>
  <c r="J210" i="48"/>
  <c r="BL209" i="48"/>
  <c r="BN209" i="48" s="1"/>
  <c r="BK209" i="48"/>
  <c r="AV209" i="48"/>
  <c r="Q209" i="48"/>
  <c r="J209" i="48"/>
  <c r="BL208" i="48"/>
  <c r="BN208" i="48" s="1"/>
  <c r="BK208" i="48"/>
  <c r="AV208" i="48"/>
  <c r="BL207" i="48"/>
  <c r="BN207" i="48" s="1"/>
  <c r="BK207" i="48"/>
  <c r="AV207" i="48"/>
  <c r="BL206" i="48"/>
  <c r="BN206" i="48" s="1"/>
  <c r="BK206" i="48"/>
  <c r="AV206" i="48"/>
  <c r="BL205" i="48"/>
  <c r="BN205" i="48" s="1"/>
  <c r="BK205" i="48"/>
  <c r="AV205" i="48"/>
  <c r="BL204" i="48"/>
  <c r="BN204" i="48" s="1"/>
  <c r="BK204" i="48"/>
  <c r="AV204" i="48"/>
  <c r="BL203" i="48"/>
  <c r="BN203" i="48" s="1"/>
  <c r="BK203" i="48"/>
  <c r="AV203" i="48"/>
  <c r="BL200" i="48"/>
  <c r="BN200" i="48" s="1"/>
  <c r="BK200" i="48"/>
  <c r="AV200" i="48"/>
  <c r="Q200" i="48"/>
  <c r="BL199" i="48"/>
  <c r="BN199" i="48" s="1"/>
  <c r="BK199" i="48"/>
  <c r="AV199" i="48"/>
  <c r="Q199" i="48"/>
  <c r="J199" i="48"/>
  <c r="BL198" i="48"/>
  <c r="BN198" i="48" s="1"/>
  <c r="BK198" i="48"/>
  <c r="AV198" i="48"/>
  <c r="Q198" i="48"/>
  <c r="J198" i="48"/>
  <c r="BL197" i="48"/>
  <c r="BN197" i="48" s="1"/>
  <c r="BK197" i="48"/>
  <c r="AV197" i="48"/>
  <c r="Q197" i="48"/>
  <c r="J197" i="48"/>
  <c r="BL196" i="48"/>
  <c r="BN196" i="48" s="1"/>
  <c r="BK196" i="48"/>
  <c r="AV196" i="48"/>
  <c r="Q196" i="48"/>
  <c r="J196" i="48"/>
  <c r="BL195" i="48"/>
  <c r="BN195" i="48" s="1"/>
  <c r="BK195" i="48"/>
  <c r="AV195" i="48"/>
  <c r="Q195" i="48"/>
  <c r="J195" i="48"/>
  <c r="BL194" i="48"/>
  <c r="BN194" i="48" s="1"/>
  <c r="BK194" i="48"/>
  <c r="AV194" i="48"/>
  <c r="Q194" i="48"/>
  <c r="J194" i="48"/>
  <c r="BL193" i="48"/>
  <c r="BN193" i="48" s="1"/>
  <c r="BK193" i="48"/>
  <c r="AV193" i="48"/>
  <c r="Q193" i="48"/>
  <c r="J193" i="48"/>
  <c r="BL192" i="48"/>
  <c r="BN192" i="48" s="1"/>
  <c r="BK192" i="48"/>
  <c r="AV192" i="48"/>
  <c r="Q192" i="48"/>
  <c r="J192" i="48"/>
  <c r="BL191" i="48"/>
  <c r="BN191" i="48" s="1"/>
  <c r="BK191" i="48"/>
  <c r="AV191" i="48"/>
  <c r="Q191" i="48"/>
  <c r="J191" i="48"/>
  <c r="BL190" i="48"/>
  <c r="BN190" i="48" s="1"/>
  <c r="BK190" i="48"/>
  <c r="AV190" i="48"/>
  <c r="Q190" i="48"/>
  <c r="J190" i="48"/>
  <c r="BL189" i="48"/>
  <c r="BN189" i="48" s="1"/>
  <c r="BK189" i="48"/>
  <c r="AV189" i="48"/>
  <c r="Q189" i="48"/>
  <c r="J189" i="48"/>
  <c r="BL188" i="48"/>
  <c r="BN188" i="48" s="1"/>
  <c r="BK188" i="48"/>
  <c r="AV188" i="48"/>
  <c r="Q188" i="48"/>
  <c r="J188" i="48"/>
  <c r="BL187" i="48"/>
  <c r="BN187" i="48" s="1"/>
  <c r="BK187" i="48"/>
  <c r="AV187" i="48"/>
  <c r="Q187" i="48"/>
  <c r="J187" i="48"/>
  <c r="BL186" i="48"/>
  <c r="BN186" i="48" s="1"/>
  <c r="BK186" i="48"/>
  <c r="AV186" i="48"/>
  <c r="Q186" i="48"/>
  <c r="J186" i="48"/>
  <c r="BL185" i="48"/>
  <c r="BN185" i="48" s="1"/>
  <c r="BK185" i="48"/>
  <c r="AV185" i="48"/>
  <c r="Q185" i="48"/>
  <c r="J185" i="48"/>
  <c r="BL184" i="48"/>
  <c r="BN184" i="48" s="1"/>
  <c r="BK184" i="48"/>
  <c r="AV184" i="48"/>
  <c r="Q184" i="48"/>
  <c r="J184" i="48"/>
  <c r="BL183" i="48"/>
  <c r="BN183" i="48" s="1"/>
  <c r="BK183" i="48"/>
  <c r="AV183" i="48"/>
  <c r="BL182" i="48"/>
  <c r="BN182" i="48" s="1"/>
  <c r="BK182" i="48"/>
  <c r="AV182" i="48"/>
  <c r="BL181" i="48"/>
  <c r="BN181" i="48" s="1"/>
  <c r="BK181" i="48"/>
  <c r="AV181" i="48"/>
  <c r="BL180" i="48"/>
  <c r="BN180" i="48" s="1"/>
  <c r="BK180" i="48"/>
  <c r="AV180" i="48"/>
  <c r="BL179" i="48"/>
  <c r="BN179" i="48" s="1"/>
  <c r="BK179" i="48"/>
  <c r="AV179" i="48"/>
  <c r="BL178" i="48"/>
  <c r="BN178" i="48" s="1"/>
  <c r="BK178" i="48"/>
  <c r="AV178" i="48"/>
  <c r="BL175" i="48"/>
  <c r="BN175" i="48" s="1"/>
  <c r="BK175" i="48"/>
  <c r="AV175" i="48"/>
  <c r="BL174" i="48"/>
  <c r="BN174" i="48" s="1"/>
  <c r="BK174" i="48"/>
  <c r="AV174" i="48"/>
  <c r="Q174" i="48"/>
  <c r="BL173" i="48"/>
  <c r="BN173" i="48" s="1"/>
  <c r="BK173" i="48"/>
  <c r="AV173" i="48"/>
  <c r="Q173" i="48"/>
  <c r="BL172" i="48"/>
  <c r="BN172" i="48" s="1"/>
  <c r="BK172" i="48"/>
  <c r="AV172" i="48"/>
  <c r="Q172" i="48"/>
  <c r="BL171" i="48"/>
  <c r="BN171" i="48" s="1"/>
  <c r="BK171" i="48"/>
  <c r="AV171" i="48"/>
  <c r="Q171" i="48"/>
  <c r="BL170" i="48"/>
  <c r="BN170" i="48" s="1"/>
  <c r="BK170" i="48"/>
  <c r="AV170" i="48"/>
  <c r="Q170" i="48"/>
  <c r="BL169" i="48"/>
  <c r="BN169" i="48" s="1"/>
  <c r="BK169" i="48"/>
  <c r="AV169" i="48"/>
  <c r="Q169" i="48"/>
  <c r="BL168" i="48"/>
  <c r="BN168" i="48" s="1"/>
  <c r="BK168" i="48"/>
  <c r="AV168" i="48"/>
  <c r="Q168" i="48"/>
  <c r="BL167" i="48"/>
  <c r="BN167" i="48" s="1"/>
  <c r="BK167" i="48"/>
  <c r="AV167" i="48"/>
  <c r="Q167" i="48"/>
  <c r="BL166" i="48"/>
  <c r="BN166" i="48" s="1"/>
  <c r="BK166" i="48"/>
  <c r="AV166" i="48"/>
  <c r="Q166" i="48"/>
  <c r="BL165" i="48"/>
  <c r="BN165" i="48" s="1"/>
  <c r="BK165" i="48"/>
  <c r="AV165" i="48"/>
  <c r="Q165" i="48"/>
  <c r="BL164" i="48"/>
  <c r="BN164" i="48" s="1"/>
  <c r="BK164" i="48"/>
  <c r="AV164" i="48"/>
  <c r="Q164" i="48"/>
  <c r="BL163" i="48"/>
  <c r="BN163" i="48" s="1"/>
  <c r="BK163" i="48"/>
  <c r="AV163" i="48"/>
  <c r="Q163" i="48"/>
  <c r="BL162" i="48"/>
  <c r="BN162" i="48" s="1"/>
  <c r="BK162" i="48"/>
  <c r="AV162" i="48"/>
  <c r="Q162" i="48"/>
  <c r="BL161" i="48"/>
  <c r="BN161" i="48" s="1"/>
  <c r="BK161" i="48"/>
  <c r="AV161" i="48"/>
  <c r="Q161" i="48"/>
  <c r="BL160" i="48"/>
  <c r="BN160" i="48" s="1"/>
  <c r="BK160" i="48"/>
  <c r="AV160" i="48"/>
  <c r="Q160" i="48"/>
  <c r="BL159" i="48"/>
  <c r="BN159" i="48" s="1"/>
  <c r="BK159" i="48"/>
  <c r="AV159" i="48"/>
  <c r="BL158" i="48"/>
  <c r="BN158" i="48" s="1"/>
  <c r="BK158" i="48"/>
  <c r="AV158" i="48"/>
  <c r="BL157" i="48"/>
  <c r="BN157" i="48" s="1"/>
  <c r="BK157" i="48"/>
  <c r="AV157" i="48"/>
  <c r="BL156" i="48"/>
  <c r="BN156" i="48" s="1"/>
  <c r="BK156" i="48"/>
  <c r="AV156" i="48"/>
  <c r="BL155" i="48"/>
  <c r="BN155" i="48" s="1"/>
  <c r="BK155" i="48"/>
  <c r="AV155" i="48"/>
  <c r="BL154" i="48"/>
  <c r="BN154" i="48" s="1"/>
  <c r="BK154" i="48"/>
  <c r="AV154" i="48"/>
  <c r="BL153" i="48"/>
  <c r="BN153" i="48" s="1"/>
  <c r="BK153" i="48"/>
  <c r="AV153" i="48"/>
  <c r="BL150" i="48"/>
  <c r="BN150" i="48" s="1"/>
  <c r="BK150" i="48"/>
  <c r="AV150" i="48"/>
  <c r="BL149" i="48"/>
  <c r="BN149" i="48" s="1"/>
  <c r="BK149" i="48"/>
  <c r="AV149" i="48"/>
  <c r="Q149" i="48"/>
  <c r="J149" i="48"/>
  <c r="BL148" i="48"/>
  <c r="BN148" i="48" s="1"/>
  <c r="BK148" i="48"/>
  <c r="AV148" i="48"/>
  <c r="Q148" i="48"/>
  <c r="J148" i="48"/>
  <c r="BL147" i="48"/>
  <c r="BN147" i="48" s="1"/>
  <c r="BK147" i="48"/>
  <c r="AV147" i="48"/>
  <c r="Q147" i="48"/>
  <c r="J147" i="48"/>
  <c r="BL146" i="48"/>
  <c r="BN146" i="48" s="1"/>
  <c r="BK146" i="48"/>
  <c r="AV146" i="48"/>
  <c r="Q146" i="48"/>
  <c r="J146" i="48"/>
  <c r="BL145" i="48"/>
  <c r="BN145" i="48" s="1"/>
  <c r="BK145" i="48"/>
  <c r="AV145" i="48"/>
  <c r="Q145" i="48"/>
  <c r="J145" i="48"/>
  <c r="BL144" i="48"/>
  <c r="BN144" i="48" s="1"/>
  <c r="BK144" i="48"/>
  <c r="AV144" i="48"/>
  <c r="Q144" i="48"/>
  <c r="J144" i="48"/>
  <c r="BL143" i="48"/>
  <c r="BN143" i="48" s="1"/>
  <c r="BK143" i="48"/>
  <c r="AV143" i="48"/>
  <c r="Q143" i="48"/>
  <c r="J143" i="48"/>
  <c r="BL142" i="48"/>
  <c r="BN142" i="48" s="1"/>
  <c r="BK142" i="48"/>
  <c r="AV142" i="48"/>
  <c r="Q142" i="48"/>
  <c r="J142" i="48"/>
  <c r="BL141" i="48"/>
  <c r="BN141" i="48" s="1"/>
  <c r="BK141" i="48"/>
  <c r="AV141" i="48"/>
  <c r="Q141" i="48"/>
  <c r="J141" i="48"/>
  <c r="BL140" i="48"/>
  <c r="BN140" i="48" s="1"/>
  <c r="BK140" i="48"/>
  <c r="AV140" i="48"/>
  <c r="Q140" i="48"/>
  <c r="J140" i="48"/>
  <c r="BL139" i="48"/>
  <c r="BN139" i="48" s="1"/>
  <c r="BK139" i="48"/>
  <c r="AV139" i="48"/>
  <c r="Q139" i="48"/>
  <c r="J139" i="48"/>
  <c r="BL138" i="48"/>
  <c r="BN138" i="48" s="1"/>
  <c r="BK138" i="48"/>
  <c r="AV138" i="48"/>
  <c r="Q138" i="48"/>
  <c r="J138" i="48"/>
  <c r="BL137" i="48"/>
  <c r="BN137" i="48" s="1"/>
  <c r="BK137" i="48"/>
  <c r="AV137" i="48"/>
  <c r="Q137" i="48"/>
  <c r="J137" i="48"/>
  <c r="BL136" i="48"/>
  <c r="BN136" i="48" s="1"/>
  <c r="BK136" i="48"/>
  <c r="AV136" i="48"/>
  <c r="Q136" i="48"/>
  <c r="J136" i="48"/>
  <c r="BL135" i="48"/>
  <c r="BN135" i="48" s="1"/>
  <c r="BK135" i="48"/>
  <c r="AV135" i="48"/>
  <c r="Q135" i="48"/>
  <c r="J135" i="48"/>
  <c r="BL134" i="48"/>
  <c r="BN134" i="48" s="1"/>
  <c r="BK134" i="48"/>
  <c r="AV134" i="48"/>
  <c r="Q134" i="48"/>
  <c r="J134" i="48"/>
  <c r="BL133" i="48"/>
  <c r="BN133" i="48" s="1"/>
  <c r="BK133" i="48"/>
  <c r="AV133" i="48"/>
  <c r="BL132" i="48"/>
  <c r="BN132" i="48" s="1"/>
  <c r="BK132" i="48"/>
  <c r="AV132" i="48"/>
  <c r="BL131" i="48"/>
  <c r="BN131" i="48" s="1"/>
  <c r="BK131" i="48"/>
  <c r="AV131" i="48"/>
  <c r="BL130" i="48"/>
  <c r="BN130" i="48" s="1"/>
  <c r="BK130" i="48"/>
  <c r="AV130" i="48"/>
  <c r="BL129" i="48"/>
  <c r="BN129" i="48" s="1"/>
  <c r="BK129" i="48"/>
  <c r="AV129" i="48"/>
  <c r="BL128" i="48"/>
  <c r="BN128" i="48" s="1"/>
  <c r="BK128" i="48"/>
  <c r="AV128" i="48"/>
  <c r="BL125" i="48"/>
  <c r="BN125" i="48" s="1"/>
  <c r="BK125" i="48"/>
  <c r="Q125" i="48"/>
  <c r="J125" i="48"/>
  <c r="BL124" i="48"/>
  <c r="BN124" i="48" s="1"/>
  <c r="BK124" i="48"/>
  <c r="AV124" i="48"/>
  <c r="Q124" i="48"/>
  <c r="J124" i="48"/>
  <c r="BL123" i="48"/>
  <c r="BN123" i="48" s="1"/>
  <c r="BK123" i="48"/>
  <c r="AV123" i="48"/>
  <c r="Q123" i="48"/>
  <c r="J123" i="48"/>
  <c r="BL122" i="48"/>
  <c r="BN122" i="48" s="1"/>
  <c r="BK122" i="48"/>
  <c r="AV122" i="48"/>
  <c r="Q122" i="48"/>
  <c r="J122" i="48"/>
  <c r="BL121" i="48"/>
  <c r="BN121" i="48" s="1"/>
  <c r="BK121" i="48"/>
  <c r="AV121" i="48"/>
  <c r="Q121" i="48"/>
  <c r="J121" i="48"/>
  <c r="BL120" i="48"/>
  <c r="BN120" i="48" s="1"/>
  <c r="BK120" i="48"/>
  <c r="AV120" i="48"/>
  <c r="Q120" i="48"/>
  <c r="J120" i="48"/>
  <c r="BL119" i="48"/>
  <c r="BN119" i="48" s="1"/>
  <c r="BK119" i="48"/>
  <c r="AV119" i="48"/>
  <c r="Q119" i="48"/>
  <c r="J119" i="48"/>
  <c r="BL118" i="48"/>
  <c r="BN118" i="48" s="1"/>
  <c r="BK118" i="48"/>
  <c r="AV118" i="48"/>
  <c r="Q118" i="48"/>
  <c r="J118" i="48"/>
  <c r="BL117" i="48"/>
  <c r="BN117" i="48" s="1"/>
  <c r="BK117" i="48"/>
  <c r="AV117" i="48"/>
  <c r="Q117" i="48"/>
  <c r="J117" i="48"/>
  <c r="BL116" i="48"/>
  <c r="BN116" i="48" s="1"/>
  <c r="BK116" i="48"/>
  <c r="AV116" i="48"/>
  <c r="Q116" i="48"/>
  <c r="J116" i="48"/>
  <c r="BL115" i="48"/>
  <c r="BN115" i="48" s="1"/>
  <c r="BK115" i="48"/>
  <c r="AV115" i="48"/>
  <c r="Q115" i="48"/>
  <c r="J115" i="48"/>
  <c r="BL114" i="48"/>
  <c r="BN114" i="48" s="1"/>
  <c r="BK114" i="48"/>
  <c r="AV114" i="48"/>
  <c r="Q114" i="48"/>
  <c r="J114" i="48"/>
  <c r="BL113" i="48"/>
  <c r="BN113" i="48" s="1"/>
  <c r="BK113" i="48"/>
  <c r="AV113" i="48"/>
  <c r="Q113" i="48"/>
  <c r="J113" i="48"/>
  <c r="BL112" i="48"/>
  <c r="BN112" i="48" s="1"/>
  <c r="BK112" i="48"/>
  <c r="AV112" i="48"/>
  <c r="Q112" i="48"/>
  <c r="J112" i="48"/>
  <c r="BL111" i="48"/>
  <c r="BN111" i="48" s="1"/>
  <c r="BK111" i="48"/>
  <c r="AV111" i="48"/>
  <c r="Q111" i="48"/>
  <c r="J111" i="48"/>
  <c r="BL110" i="48"/>
  <c r="BN110" i="48" s="1"/>
  <c r="BK110" i="48"/>
  <c r="AV110" i="48"/>
  <c r="Q110" i="48"/>
  <c r="J110" i="48"/>
  <c r="BL109" i="48"/>
  <c r="BN109" i="48" s="1"/>
  <c r="BK109" i="48"/>
  <c r="AV109" i="48"/>
  <c r="BL108" i="48"/>
  <c r="BN108" i="48" s="1"/>
  <c r="BK108" i="48"/>
  <c r="AV108" i="48"/>
  <c r="BL107" i="48"/>
  <c r="BN107" i="48" s="1"/>
  <c r="BK107" i="48"/>
  <c r="AV107" i="48"/>
  <c r="BL106" i="48"/>
  <c r="BN106" i="48" s="1"/>
  <c r="BK106" i="48"/>
  <c r="AV106" i="48"/>
  <c r="BL105" i="48"/>
  <c r="BN105" i="48" s="1"/>
  <c r="BK105" i="48"/>
  <c r="AV105" i="48"/>
  <c r="BL104" i="48"/>
  <c r="BN104" i="48" s="1"/>
  <c r="BK104" i="48"/>
  <c r="AV104" i="48"/>
  <c r="BL103" i="48"/>
  <c r="BN103" i="48" s="1"/>
  <c r="BK103" i="48"/>
  <c r="AV103" i="48"/>
  <c r="BL100" i="48"/>
  <c r="BN100" i="48" s="1"/>
  <c r="BK100" i="48"/>
  <c r="Q100" i="48"/>
  <c r="J100" i="48"/>
  <c r="BL99" i="48"/>
  <c r="BN99" i="48" s="1"/>
  <c r="BK99" i="48"/>
  <c r="AV99" i="48"/>
  <c r="Q99" i="48"/>
  <c r="J99" i="48"/>
  <c r="BL98" i="48"/>
  <c r="BN98" i="48" s="1"/>
  <c r="BK98" i="48"/>
  <c r="AV98" i="48"/>
  <c r="Q98" i="48"/>
  <c r="J98" i="48"/>
  <c r="BL97" i="48"/>
  <c r="BN97" i="48" s="1"/>
  <c r="BK97" i="48"/>
  <c r="AV97" i="48"/>
  <c r="Q97" i="48"/>
  <c r="J97" i="48"/>
  <c r="BL96" i="48"/>
  <c r="BN96" i="48" s="1"/>
  <c r="BK96" i="48"/>
  <c r="AV96" i="48"/>
  <c r="Q96" i="48"/>
  <c r="J96" i="48"/>
  <c r="BL95" i="48"/>
  <c r="BN95" i="48" s="1"/>
  <c r="BK95" i="48"/>
  <c r="AV95" i="48"/>
  <c r="Q95" i="48"/>
  <c r="J95" i="48"/>
  <c r="BL94" i="48"/>
  <c r="BN94" i="48" s="1"/>
  <c r="BK94" i="48"/>
  <c r="AV94" i="48"/>
  <c r="Q94" i="48"/>
  <c r="J94" i="48"/>
  <c r="BL93" i="48"/>
  <c r="BN93" i="48" s="1"/>
  <c r="BK93" i="48"/>
  <c r="AV93" i="48"/>
  <c r="Q93" i="48"/>
  <c r="J93" i="48"/>
  <c r="BL92" i="48"/>
  <c r="BN92" i="48" s="1"/>
  <c r="BK92" i="48"/>
  <c r="AV92" i="48"/>
  <c r="Q92" i="48"/>
  <c r="J92" i="48"/>
  <c r="BL91" i="48"/>
  <c r="BN91" i="48" s="1"/>
  <c r="BK91" i="48"/>
  <c r="AV91" i="48"/>
  <c r="Q91" i="48"/>
  <c r="J91" i="48"/>
  <c r="BL90" i="48"/>
  <c r="BN90" i="48" s="1"/>
  <c r="BK90" i="48"/>
  <c r="AV90" i="48"/>
  <c r="Q90" i="48"/>
  <c r="J90" i="48"/>
  <c r="BL89" i="48"/>
  <c r="BN89" i="48" s="1"/>
  <c r="BK89" i="48"/>
  <c r="AV89" i="48"/>
  <c r="Q89" i="48"/>
  <c r="J89" i="48"/>
  <c r="BL88" i="48"/>
  <c r="BN88" i="48" s="1"/>
  <c r="BK88" i="48"/>
  <c r="AV88" i="48"/>
  <c r="Q88" i="48"/>
  <c r="J88" i="48"/>
  <c r="BL87" i="48"/>
  <c r="BN87" i="48" s="1"/>
  <c r="BK87" i="48"/>
  <c r="AV87" i="48"/>
  <c r="Q87" i="48"/>
  <c r="J87" i="48"/>
  <c r="BL86" i="48"/>
  <c r="BN86" i="48" s="1"/>
  <c r="BK86" i="48"/>
  <c r="AV86" i="48"/>
  <c r="Q86" i="48"/>
  <c r="J86" i="48"/>
  <c r="BL85" i="48"/>
  <c r="BN85" i="48" s="1"/>
  <c r="BK85" i="48"/>
  <c r="AV85" i="48"/>
  <c r="Q85" i="48"/>
  <c r="J85" i="48"/>
  <c r="BL84" i="48"/>
  <c r="BN84" i="48" s="1"/>
  <c r="BK84" i="48"/>
  <c r="AV84" i="48"/>
  <c r="Q84" i="48"/>
  <c r="J84" i="48"/>
  <c r="BL83" i="48"/>
  <c r="BN83" i="48" s="1"/>
  <c r="BK83" i="48"/>
  <c r="AV83" i="48"/>
  <c r="BL82" i="48"/>
  <c r="BN82" i="48" s="1"/>
  <c r="BK82" i="48"/>
  <c r="AV82" i="48"/>
  <c r="BL81" i="48"/>
  <c r="BN81" i="48" s="1"/>
  <c r="BK81" i="48"/>
  <c r="AV81" i="48"/>
  <c r="BL80" i="48"/>
  <c r="BN80" i="48" s="1"/>
  <c r="BK80" i="48"/>
  <c r="AV80" i="48"/>
  <c r="BL79" i="48"/>
  <c r="BN79" i="48" s="1"/>
  <c r="BK79" i="48"/>
  <c r="AV79" i="48"/>
  <c r="BL78" i="48"/>
  <c r="BN78" i="48" s="1"/>
  <c r="BK78" i="48"/>
  <c r="AV78" i="48"/>
  <c r="BL75" i="48"/>
  <c r="BN75" i="48" s="1"/>
  <c r="BK75" i="48"/>
  <c r="J75" i="48"/>
  <c r="BL74" i="48"/>
  <c r="BN74" i="48" s="1"/>
  <c r="BK74" i="48"/>
  <c r="AV74" i="48"/>
  <c r="J74" i="48"/>
  <c r="BL73" i="48"/>
  <c r="BN73" i="48" s="1"/>
  <c r="BK73" i="48"/>
  <c r="AV73" i="48"/>
  <c r="J73" i="48"/>
  <c r="BL72" i="48"/>
  <c r="BN72" i="48" s="1"/>
  <c r="BK72" i="48"/>
  <c r="AV72" i="48"/>
  <c r="J72" i="48"/>
  <c r="BL71" i="48"/>
  <c r="BN71" i="48" s="1"/>
  <c r="BK71" i="48"/>
  <c r="AV71" i="48"/>
  <c r="J71" i="48"/>
  <c r="BL70" i="48"/>
  <c r="BN70" i="48" s="1"/>
  <c r="BK70" i="48"/>
  <c r="AV70" i="48"/>
  <c r="J70" i="48"/>
  <c r="BL69" i="48"/>
  <c r="BN69" i="48" s="1"/>
  <c r="BK69" i="48"/>
  <c r="AV69" i="48"/>
  <c r="J69" i="48"/>
  <c r="BL68" i="48"/>
  <c r="BN68" i="48" s="1"/>
  <c r="BK68" i="48"/>
  <c r="AV68" i="48"/>
  <c r="J68" i="48"/>
  <c r="BL67" i="48"/>
  <c r="BN67" i="48" s="1"/>
  <c r="BK67" i="48"/>
  <c r="AV67" i="48"/>
  <c r="J67" i="48"/>
  <c r="BL66" i="48"/>
  <c r="BN66" i="48" s="1"/>
  <c r="BK66" i="48"/>
  <c r="AV66" i="48"/>
  <c r="J66" i="48"/>
  <c r="BL65" i="48"/>
  <c r="BN65" i="48" s="1"/>
  <c r="BK65" i="48"/>
  <c r="AV65" i="48"/>
  <c r="J65" i="48"/>
  <c r="BL64" i="48"/>
  <c r="BN64" i="48" s="1"/>
  <c r="BK64" i="48"/>
  <c r="AV64" i="48"/>
  <c r="J64" i="48"/>
  <c r="BL63" i="48"/>
  <c r="BN63" i="48" s="1"/>
  <c r="BK63" i="48"/>
  <c r="AV63" i="48"/>
  <c r="J63" i="48"/>
  <c r="BL62" i="48"/>
  <c r="BN62" i="48" s="1"/>
  <c r="BK62" i="48"/>
  <c r="AV62" i="48"/>
  <c r="J62" i="48"/>
  <c r="BL61" i="48"/>
  <c r="BN61" i="48" s="1"/>
  <c r="BK61" i="48"/>
  <c r="AV61" i="48"/>
  <c r="J61" i="48"/>
  <c r="BL60" i="48"/>
  <c r="BN60" i="48" s="1"/>
  <c r="BK60" i="48"/>
  <c r="AV60" i="48"/>
  <c r="J60" i="48"/>
  <c r="BL59" i="48"/>
  <c r="BN59" i="48" s="1"/>
  <c r="BK59" i="48"/>
  <c r="AV59" i="48"/>
  <c r="J59" i="48"/>
  <c r="BL58" i="48"/>
  <c r="BN58" i="48" s="1"/>
  <c r="BK58" i="48"/>
  <c r="AV58" i="48"/>
  <c r="BL57" i="48"/>
  <c r="BN57" i="48" s="1"/>
  <c r="BK57" i="48"/>
  <c r="AV57" i="48"/>
  <c r="BL56" i="48"/>
  <c r="BN56" i="48" s="1"/>
  <c r="BK56" i="48"/>
  <c r="AV56" i="48"/>
  <c r="BL55" i="48"/>
  <c r="BN55" i="48" s="1"/>
  <c r="BK55" i="48"/>
  <c r="AV55" i="48"/>
  <c r="BL54" i="48"/>
  <c r="BN54" i="48" s="1"/>
  <c r="BK54" i="48"/>
  <c r="AV54" i="48"/>
  <c r="BL53" i="48"/>
  <c r="BN53" i="48" s="1"/>
  <c r="BK53" i="48"/>
  <c r="AV53" i="48"/>
  <c r="BL50" i="48"/>
  <c r="BN50" i="48" s="1"/>
  <c r="BK50" i="48"/>
  <c r="BL49" i="48"/>
  <c r="BN49" i="48" s="1"/>
  <c r="BK49" i="48"/>
  <c r="AV49" i="48"/>
  <c r="J49" i="48"/>
  <c r="BL48" i="48"/>
  <c r="BN48" i="48" s="1"/>
  <c r="BK48" i="48"/>
  <c r="AV48" i="48"/>
  <c r="J48" i="48"/>
  <c r="BL47" i="48"/>
  <c r="BN47" i="48" s="1"/>
  <c r="BK47" i="48"/>
  <c r="AV47" i="48"/>
  <c r="J47" i="48"/>
  <c r="BL46" i="48"/>
  <c r="BN46" i="48" s="1"/>
  <c r="BK46" i="48"/>
  <c r="AV46" i="48"/>
  <c r="J46" i="48"/>
  <c r="BL45" i="48"/>
  <c r="BN45" i="48" s="1"/>
  <c r="BK45" i="48"/>
  <c r="AV45" i="48"/>
  <c r="J45" i="48"/>
  <c r="BL44" i="48"/>
  <c r="BN44" i="48" s="1"/>
  <c r="BK44" i="48"/>
  <c r="AV44" i="48"/>
  <c r="J44" i="48"/>
  <c r="BL43" i="48"/>
  <c r="BN43" i="48" s="1"/>
  <c r="BK43" i="48"/>
  <c r="AV43" i="48"/>
  <c r="J43" i="48"/>
  <c r="BL42" i="48"/>
  <c r="BN42" i="48" s="1"/>
  <c r="BK42" i="48"/>
  <c r="AV42" i="48"/>
  <c r="J42" i="48"/>
  <c r="BL41" i="48"/>
  <c r="BN41" i="48" s="1"/>
  <c r="BK41" i="48"/>
  <c r="AV41" i="48"/>
  <c r="J41" i="48"/>
  <c r="BL40" i="48"/>
  <c r="BN40" i="48" s="1"/>
  <c r="BK40" i="48"/>
  <c r="AV40" i="48"/>
  <c r="J40" i="48"/>
  <c r="BL39" i="48"/>
  <c r="BN39" i="48" s="1"/>
  <c r="BK39" i="48"/>
  <c r="AV39" i="48"/>
  <c r="J39" i="48"/>
  <c r="BL38" i="48"/>
  <c r="BN38" i="48" s="1"/>
  <c r="BK38" i="48"/>
  <c r="AV38" i="48"/>
  <c r="J38" i="48"/>
  <c r="BL37" i="48"/>
  <c r="BN37" i="48" s="1"/>
  <c r="BK37" i="48"/>
  <c r="AV37" i="48"/>
  <c r="J37" i="48"/>
  <c r="BL36" i="48"/>
  <c r="BN36" i="48" s="1"/>
  <c r="BK36" i="48"/>
  <c r="AV36" i="48"/>
  <c r="J36" i="48"/>
  <c r="BL35" i="48"/>
  <c r="BN35" i="48" s="1"/>
  <c r="BK35" i="48"/>
  <c r="AV35" i="48"/>
  <c r="J35" i="48"/>
  <c r="BL34" i="48"/>
  <c r="BN34" i="48" s="1"/>
  <c r="BK34" i="48"/>
  <c r="AV34" i="48"/>
  <c r="J34" i="48"/>
  <c r="BL33" i="48"/>
  <c r="BN33" i="48" s="1"/>
  <c r="BK33" i="48"/>
  <c r="AV33" i="48"/>
  <c r="BL32" i="48"/>
  <c r="BN32" i="48" s="1"/>
  <c r="BK32" i="48"/>
  <c r="AV32" i="48"/>
  <c r="BL31" i="48"/>
  <c r="BN31" i="48" s="1"/>
  <c r="BK31" i="48"/>
  <c r="AV31" i="48"/>
  <c r="BL30" i="48"/>
  <c r="BN30" i="48" s="1"/>
  <c r="BK30" i="48"/>
  <c r="AV30" i="48"/>
  <c r="BL29" i="48"/>
  <c r="BN29" i="48" s="1"/>
  <c r="BK29" i="48"/>
  <c r="AV29" i="48"/>
  <c r="BL28" i="48"/>
  <c r="BN28" i="48" s="1"/>
  <c r="BK28" i="48"/>
  <c r="AV28" i="48"/>
  <c r="BL25" i="48"/>
  <c r="BN25" i="48" s="1"/>
  <c r="BK25" i="48"/>
  <c r="Q25" i="48"/>
  <c r="J25" i="48"/>
  <c r="BL24" i="48"/>
  <c r="BN24" i="48" s="1"/>
  <c r="BK24" i="48"/>
  <c r="AV24" i="48"/>
  <c r="Q24" i="48"/>
  <c r="J24" i="48"/>
  <c r="BL23" i="48"/>
  <c r="BN23" i="48" s="1"/>
  <c r="BK23" i="48"/>
  <c r="AV23" i="48"/>
  <c r="Q23" i="48"/>
  <c r="J23" i="48"/>
  <c r="BL22" i="48"/>
  <c r="BN22" i="48" s="1"/>
  <c r="BK22" i="48"/>
  <c r="AV22" i="48"/>
  <c r="Q22" i="48"/>
  <c r="J22" i="48"/>
  <c r="BL21" i="48"/>
  <c r="BN21" i="48" s="1"/>
  <c r="BK21" i="48"/>
  <c r="AV21" i="48"/>
  <c r="Q21" i="48"/>
  <c r="J21" i="48"/>
  <c r="BL20" i="48"/>
  <c r="BN20" i="48" s="1"/>
  <c r="BK20" i="48"/>
  <c r="AV20" i="48"/>
  <c r="Q20" i="48"/>
  <c r="J20" i="48"/>
  <c r="BL19" i="48"/>
  <c r="BN19" i="48" s="1"/>
  <c r="BK19" i="48"/>
  <c r="AV19" i="48"/>
  <c r="Q19" i="48"/>
  <c r="J19" i="48"/>
  <c r="BL18" i="48"/>
  <c r="BN18" i="48" s="1"/>
  <c r="BK18" i="48"/>
  <c r="AV18" i="48"/>
  <c r="Q18" i="48"/>
  <c r="J18" i="48"/>
  <c r="BL17" i="48"/>
  <c r="BN17" i="48" s="1"/>
  <c r="BK17" i="48"/>
  <c r="AV17" i="48"/>
  <c r="Q17" i="48"/>
  <c r="J17" i="48"/>
  <c r="BL16" i="48"/>
  <c r="BN16" i="48" s="1"/>
  <c r="BK16" i="48"/>
  <c r="AV16" i="48"/>
  <c r="Q16" i="48"/>
  <c r="J16" i="48"/>
  <c r="BL15" i="48"/>
  <c r="BN15" i="48" s="1"/>
  <c r="BK15" i="48"/>
  <c r="AV15" i="48"/>
  <c r="Q15" i="48"/>
  <c r="J15" i="48"/>
  <c r="BL14" i="48"/>
  <c r="BN14" i="48" s="1"/>
  <c r="BK14" i="48"/>
  <c r="AV14" i="48"/>
  <c r="Q14" i="48"/>
  <c r="J14" i="48"/>
  <c r="BL13" i="48"/>
  <c r="BN13" i="48" s="1"/>
  <c r="BK13" i="48"/>
  <c r="AV13" i="48"/>
  <c r="Q13" i="48"/>
  <c r="J13" i="48"/>
  <c r="BL12" i="48"/>
  <c r="BN12" i="48" s="1"/>
  <c r="BK12" i="48"/>
  <c r="AV12" i="48"/>
  <c r="Q12" i="48"/>
  <c r="J12" i="48"/>
  <c r="BL11" i="48"/>
  <c r="BN11" i="48" s="1"/>
  <c r="BK11" i="48"/>
  <c r="AV11" i="48"/>
  <c r="Q11" i="48"/>
  <c r="J11" i="48"/>
  <c r="BL10" i="48"/>
  <c r="BN10" i="48" s="1"/>
  <c r="BK10" i="48"/>
  <c r="AV10" i="48"/>
  <c r="Q10" i="48"/>
  <c r="J10" i="48"/>
  <c r="BL9" i="48"/>
  <c r="BN9" i="48" s="1"/>
  <c r="BK9" i="48"/>
  <c r="AV9" i="48"/>
  <c r="Q9" i="48"/>
  <c r="J9" i="48"/>
  <c r="K9" i="48" s="1"/>
  <c r="BL8" i="48"/>
  <c r="BN8" i="48" s="1"/>
  <c r="BK8" i="48"/>
  <c r="AV8" i="48"/>
  <c r="BL7" i="48"/>
  <c r="BN7" i="48" s="1"/>
  <c r="BK7" i="48"/>
  <c r="AV7" i="48"/>
  <c r="BL6" i="48"/>
  <c r="BN6" i="48" s="1"/>
  <c r="BK6" i="48"/>
  <c r="AV6" i="48"/>
  <c r="BL5" i="48"/>
  <c r="BN5" i="48" s="1"/>
  <c r="BK5" i="48"/>
  <c r="AV5" i="48"/>
  <c r="BL4" i="48"/>
  <c r="BN4" i="48" s="1"/>
  <c r="BK4" i="48"/>
  <c r="AV4" i="48"/>
  <c r="AW4" i="48" s="1"/>
  <c r="AX8" i="48" l="1"/>
  <c r="AY9" i="48" s="1"/>
  <c r="AZ12" i="48"/>
  <c r="AZ16" i="48"/>
  <c r="AZ20" i="48"/>
  <c r="AZ24" i="48"/>
  <c r="AZ9" i="48"/>
  <c r="AZ13" i="48"/>
  <c r="AZ17" i="48"/>
  <c r="AZ21" i="48"/>
  <c r="AZ10" i="48"/>
  <c r="AZ14" i="48"/>
  <c r="AZ18" i="48"/>
  <c r="AZ22" i="48"/>
  <c r="AZ11" i="48"/>
  <c r="AZ15" i="48"/>
  <c r="AZ19" i="48"/>
  <c r="AZ23" i="48"/>
  <c r="AZ25" i="48"/>
  <c r="AX9" i="48"/>
  <c r="AX7" i="48"/>
  <c r="AX6" i="48"/>
  <c r="AX10" i="48"/>
  <c r="AX14" i="48"/>
  <c r="AX18" i="48"/>
  <c r="AX22" i="48"/>
  <c r="AX5" i="48"/>
  <c r="AX11" i="48"/>
  <c r="AY11" i="48" s="1"/>
  <c r="AX15" i="48"/>
  <c r="AX19" i="48"/>
  <c r="AX23" i="48"/>
  <c r="AW1019" i="48"/>
  <c r="AX25" i="48"/>
  <c r="AX12" i="48"/>
  <c r="AX16" i="48"/>
  <c r="AX20" i="48"/>
  <c r="AX24" i="48"/>
  <c r="AX13" i="48"/>
  <c r="AY13" i="48" s="1"/>
  <c r="AX17" i="48"/>
  <c r="AX21" i="48"/>
  <c r="AW258" i="48"/>
  <c r="AW262" i="48"/>
  <c r="AW209" i="48"/>
  <c r="AW213" i="48"/>
  <c r="AW217" i="48"/>
  <c r="AW221" i="48"/>
  <c r="AW236" i="48"/>
  <c r="AW240" i="48"/>
  <c r="AW244" i="48"/>
  <c r="AW248" i="48"/>
  <c r="AW311" i="48"/>
  <c r="AW315" i="48"/>
  <c r="AW319" i="48"/>
  <c r="AW323" i="48"/>
  <c r="AW336" i="48"/>
  <c r="AW340" i="48"/>
  <c r="AW344" i="48"/>
  <c r="AW348" i="48"/>
  <c r="AW361" i="48"/>
  <c r="AW365" i="48"/>
  <c r="AW369" i="48"/>
  <c r="AW373" i="48"/>
  <c r="AW386" i="48"/>
  <c r="AW390" i="48"/>
  <c r="AW394" i="48"/>
  <c r="AW398" i="48"/>
  <c r="AW411" i="48"/>
  <c r="AW415" i="48"/>
  <c r="AW419" i="48"/>
  <c r="AW423" i="48"/>
  <c r="AW436" i="48"/>
  <c r="AW440" i="48"/>
  <c r="AW470" i="48"/>
  <c r="AW474" i="48"/>
  <c r="AW1011" i="48"/>
  <c r="AW1015" i="48"/>
  <c r="AW1023" i="48"/>
  <c r="AW149" i="48"/>
  <c r="AW205" i="48"/>
  <c r="AW230" i="48"/>
  <c r="AW234" i="48"/>
  <c r="AW266" i="48"/>
  <c r="AW270" i="48"/>
  <c r="AW274" i="48"/>
  <c r="AW281" i="48"/>
  <c r="AW285" i="48"/>
  <c r="AW289" i="48"/>
  <c r="AW293" i="48"/>
  <c r="AW297" i="48"/>
  <c r="AW307" i="48"/>
  <c r="AW332" i="48"/>
  <c r="AW357" i="48"/>
  <c r="AW883" i="48"/>
  <c r="AY14" i="48"/>
  <c r="AW997" i="48"/>
  <c r="AW1039" i="48"/>
  <c r="AW1043" i="48"/>
  <c r="AW1047" i="48"/>
  <c r="AW1059" i="48"/>
  <c r="AW1063" i="48"/>
  <c r="AW1067" i="48"/>
  <c r="AW1071" i="48"/>
  <c r="AW1084" i="48"/>
  <c r="AW1088" i="48"/>
  <c r="AW1092" i="48"/>
  <c r="AW1096" i="48"/>
  <c r="AW1111" i="48"/>
  <c r="AW1115" i="48"/>
  <c r="AW1119" i="48"/>
  <c r="AW1123" i="48"/>
  <c r="AW1136" i="48"/>
  <c r="AW1140" i="48"/>
  <c r="AW1144" i="48"/>
  <c r="AW1148" i="48"/>
  <c r="AW1165" i="48"/>
  <c r="AW1169" i="48"/>
  <c r="AW1345" i="48"/>
  <c r="AW56" i="48"/>
  <c r="AW180" i="48"/>
  <c r="AW1332" i="48"/>
  <c r="AW82" i="48"/>
  <c r="AW106" i="48"/>
  <c r="AW132" i="48"/>
  <c r="AW154" i="48"/>
  <c r="AW158" i="48"/>
  <c r="AW585" i="48"/>
  <c r="AW589" i="48"/>
  <c r="AW593" i="48"/>
  <c r="AW597" i="48"/>
  <c r="AW805" i="48"/>
  <c r="AW830" i="48"/>
  <c r="AW858" i="48"/>
  <c r="AW86" i="48"/>
  <c r="AW94" i="48"/>
  <c r="AW110" i="48"/>
  <c r="AW114" i="48"/>
  <c r="AW118" i="48"/>
  <c r="AW122" i="48"/>
  <c r="AW136" i="48"/>
  <c r="AW140" i="48"/>
  <c r="AW144" i="48"/>
  <c r="AW148" i="48"/>
  <c r="AW184" i="48"/>
  <c r="AW188" i="48"/>
  <c r="AW192" i="48"/>
  <c r="AW196" i="48"/>
  <c r="AW14" i="48"/>
  <c r="AW18" i="48"/>
  <c r="AW22" i="48"/>
  <c r="AW30" i="48"/>
  <c r="AW84" i="48"/>
  <c r="AW88" i="48"/>
  <c r="AW92" i="48"/>
  <c r="AW96" i="48"/>
  <c r="AW112" i="48"/>
  <c r="AW116" i="48"/>
  <c r="AW120" i="48"/>
  <c r="AW134" i="48"/>
  <c r="AW138" i="48"/>
  <c r="AW142" i="48"/>
  <c r="AW146" i="48"/>
  <c r="AW186" i="48"/>
  <c r="AW190" i="48"/>
  <c r="AW194" i="48"/>
  <c r="AW198" i="48"/>
  <c r="AW211" i="48"/>
  <c r="AW215" i="48"/>
  <c r="AW219" i="48"/>
  <c r="AW223" i="48"/>
  <c r="AW238" i="48"/>
  <c r="AW242" i="48"/>
  <c r="AW246" i="48"/>
  <c r="AW309" i="48"/>
  <c r="AW313" i="48"/>
  <c r="AW317" i="48"/>
  <c r="AW321" i="48"/>
  <c r="AW334" i="48"/>
  <c r="AW338" i="48"/>
  <c r="AW342" i="48"/>
  <c r="AW346" i="48"/>
  <c r="AW359" i="48"/>
  <c r="AW363" i="48"/>
  <c r="AW367" i="48"/>
  <c r="AW371" i="48"/>
  <c r="AW382" i="48"/>
  <c r="AW384" i="48"/>
  <c r="AW388" i="48"/>
  <c r="AW392" i="48"/>
  <c r="AW396" i="48"/>
  <c r="AW407" i="48"/>
  <c r="AW409" i="48"/>
  <c r="AW413" i="48"/>
  <c r="AW417" i="48"/>
  <c r="AW421" i="48"/>
  <c r="AW432" i="48"/>
  <c r="AW434" i="48"/>
  <c r="AW438" i="48"/>
  <c r="AW442" i="48"/>
  <c r="AW446" i="48"/>
  <c r="AW456" i="48"/>
  <c r="AW460" i="48"/>
  <c r="AW464" i="48"/>
  <c r="AW468" i="48"/>
  <c r="AW472" i="48"/>
  <c r="AW481" i="48"/>
  <c r="AW485" i="48"/>
  <c r="AW489" i="48"/>
  <c r="AW493" i="48"/>
  <c r="AW497" i="48"/>
  <c r="AW506" i="48"/>
  <c r="AW510" i="48"/>
  <c r="AW514" i="48"/>
  <c r="AW518" i="48"/>
  <c r="AW522" i="48"/>
  <c r="AW530" i="48"/>
  <c r="AW536" i="48"/>
  <c r="AW540" i="48"/>
  <c r="AW544" i="48"/>
  <c r="AW548" i="48"/>
  <c r="AW555" i="48"/>
  <c r="AW561" i="48"/>
  <c r="AW565" i="48"/>
  <c r="AW569" i="48"/>
  <c r="AW573" i="48"/>
  <c r="AW583" i="48"/>
  <c r="AW587" i="48"/>
  <c r="AW591" i="48"/>
  <c r="AW595" i="48"/>
  <c r="AW599" i="48"/>
  <c r="AW604" i="48"/>
  <c r="AW608" i="48"/>
  <c r="AW612" i="48"/>
  <c r="AW616" i="48"/>
  <c r="AW620" i="48"/>
  <c r="AW624" i="48"/>
  <c r="AW633" i="48"/>
  <c r="AW637" i="48"/>
  <c r="AW641" i="48"/>
  <c r="AW645" i="48"/>
  <c r="AW649" i="48"/>
  <c r="AW654" i="48"/>
  <c r="AW658" i="48"/>
  <c r="AW662" i="48"/>
  <c r="AW666" i="48"/>
  <c r="AW670" i="48"/>
  <c r="AW674" i="48"/>
  <c r="AW683" i="48"/>
  <c r="AW685" i="48"/>
  <c r="AW689" i="48"/>
  <c r="AW693" i="48"/>
  <c r="AW697" i="48"/>
  <c r="AW706" i="48"/>
  <c r="AW710" i="48"/>
  <c r="AW714" i="48"/>
  <c r="AW718" i="48"/>
  <c r="AW722" i="48"/>
  <c r="AW731" i="48"/>
  <c r="AW735" i="48"/>
  <c r="AW739" i="48"/>
  <c r="AW743" i="48"/>
  <c r="AW747" i="48"/>
  <c r="AW780" i="48"/>
  <c r="AW786" i="48"/>
  <c r="AW790" i="48"/>
  <c r="AW794" i="48"/>
  <c r="AW798" i="48"/>
  <c r="AW811" i="48"/>
  <c r="AW815" i="48"/>
  <c r="AW819" i="48"/>
  <c r="AW823" i="48"/>
  <c r="AW836" i="48"/>
  <c r="AW840" i="48"/>
  <c r="AW844" i="48"/>
  <c r="AW848" i="48"/>
  <c r="AW854" i="48"/>
  <c r="AW862" i="48"/>
  <c r="AW866" i="48"/>
  <c r="AW870" i="48"/>
  <c r="AW874" i="48"/>
  <c r="AW879" i="48"/>
  <c r="AW887" i="48"/>
  <c r="AW891" i="48"/>
  <c r="AW895" i="48"/>
  <c r="AW899" i="48"/>
  <c r="AW16" i="48"/>
  <c r="AW20" i="48"/>
  <c r="AW58" i="48"/>
  <c r="AW90" i="48"/>
  <c r="AW98" i="48"/>
  <c r="AW260" i="48"/>
  <c r="AW264" i="48"/>
  <c r="AW268" i="48"/>
  <c r="AW272" i="48"/>
  <c r="AW444" i="48"/>
  <c r="AW448" i="48"/>
  <c r="AW462" i="48"/>
  <c r="AW466" i="48"/>
  <c r="AW487" i="48"/>
  <c r="AW491" i="48"/>
  <c r="AW495" i="48"/>
  <c r="AW499" i="48"/>
  <c r="AW512" i="48"/>
  <c r="AW516" i="48"/>
  <c r="AW520" i="48"/>
  <c r="AW534" i="48"/>
  <c r="AW538" i="48"/>
  <c r="AW542" i="48"/>
  <c r="AW546" i="48"/>
  <c r="AW559" i="48"/>
  <c r="AW563" i="48"/>
  <c r="AW567" i="48"/>
  <c r="AW571" i="48"/>
  <c r="AW610" i="48"/>
  <c r="AW614" i="48"/>
  <c r="AW618" i="48"/>
  <c r="AW622" i="48"/>
  <c r="AW635" i="48"/>
  <c r="AW639" i="48"/>
  <c r="AW643" i="48"/>
  <c r="AW647" i="48"/>
  <c r="AW660" i="48"/>
  <c r="AW664" i="48"/>
  <c r="AW668" i="48"/>
  <c r="AW672" i="48"/>
  <c r="AW687" i="48"/>
  <c r="AW691" i="48"/>
  <c r="AW695" i="48"/>
  <c r="AW699" i="48"/>
  <c r="AW712" i="48"/>
  <c r="AW716" i="48"/>
  <c r="AW720" i="48"/>
  <c r="AW724" i="48"/>
  <c r="AW737" i="48"/>
  <c r="AW741" i="48"/>
  <c r="AW745" i="48"/>
  <c r="AW784" i="48"/>
  <c r="AW788" i="48"/>
  <c r="AW792" i="48"/>
  <c r="AW796" i="48"/>
  <c r="AW809" i="48"/>
  <c r="AW813" i="48"/>
  <c r="AW817" i="48"/>
  <c r="AW821" i="48"/>
  <c r="AW834" i="48"/>
  <c r="AW838" i="48"/>
  <c r="AW842" i="48"/>
  <c r="AW846" i="48"/>
  <c r="AW860" i="48"/>
  <c r="AW864" i="48"/>
  <c r="AW868" i="48"/>
  <c r="AW872" i="48"/>
  <c r="AW885" i="48"/>
  <c r="AW889" i="48"/>
  <c r="AW893" i="48"/>
  <c r="AW908" i="48"/>
  <c r="AW912" i="48"/>
  <c r="AW916" i="48"/>
  <c r="AW920" i="48"/>
  <c r="AW932" i="48"/>
  <c r="AW934" i="48"/>
  <c r="AW938" i="48"/>
  <c r="AW942" i="48"/>
  <c r="AW946" i="48"/>
  <c r="AW958" i="48"/>
  <c r="AW962" i="48"/>
  <c r="AW966" i="48"/>
  <c r="AW970" i="48"/>
  <c r="AW974" i="48"/>
  <c r="AW983" i="48"/>
  <c r="AW987" i="48"/>
  <c r="AW991" i="48"/>
  <c r="AW995" i="48"/>
  <c r="AW1007" i="48"/>
  <c r="AW1009" i="48"/>
  <c r="AW1013" i="48"/>
  <c r="AW1017" i="48"/>
  <c r="AW1021" i="48"/>
  <c r="AW1037" i="48"/>
  <c r="AW1041" i="48"/>
  <c r="AW1045" i="48"/>
  <c r="AW1055" i="48"/>
  <c r="AW1061" i="48"/>
  <c r="AW1065" i="48"/>
  <c r="AW1069" i="48"/>
  <c r="AW1073" i="48"/>
  <c r="AW1080" i="48"/>
  <c r="AW1086" i="48"/>
  <c r="AW1090" i="48"/>
  <c r="AW1094" i="48"/>
  <c r="AW1098" i="48"/>
  <c r="AW1107" i="48"/>
  <c r="AW1109" i="48"/>
  <c r="AW1113" i="48"/>
  <c r="AW1117" i="48"/>
  <c r="AW1121" i="48"/>
  <c r="AW1132" i="48"/>
  <c r="AW1134" i="48"/>
  <c r="AW1138" i="48"/>
  <c r="AW1142" i="48"/>
  <c r="AW1146" i="48"/>
  <c r="AW1157" i="48"/>
  <c r="AW1159" i="48"/>
  <c r="AW1163" i="48"/>
  <c r="AW1167" i="48"/>
  <c r="AW1171" i="48"/>
  <c r="AW1182" i="48"/>
  <c r="AW1184" i="48"/>
  <c r="AW1188" i="48"/>
  <c r="AW1192" i="48"/>
  <c r="AW1196" i="48"/>
  <c r="AW1207" i="48"/>
  <c r="AW1209" i="48"/>
  <c r="AW1213" i="48"/>
  <c r="AW1217" i="48"/>
  <c r="AW1221" i="48"/>
  <c r="AW1232" i="48"/>
  <c r="AW1234" i="48"/>
  <c r="AW1238" i="48"/>
  <c r="AW1242" i="48"/>
  <c r="AW1246" i="48"/>
  <c r="AW1256" i="48"/>
  <c r="AW1260" i="48"/>
  <c r="AW1264" i="48"/>
  <c r="AW1268" i="48"/>
  <c r="AW1272" i="48"/>
  <c r="AW1280" i="48"/>
  <c r="AW1286" i="48"/>
  <c r="AW1290" i="48"/>
  <c r="AW1294" i="48"/>
  <c r="AW1298" i="48"/>
  <c r="AW1305" i="48"/>
  <c r="AW1311" i="48"/>
  <c r="AW1313" i="48"/>
  <c r="AW1317" i="48"/>
  <c r="AW1321" i="48"/>
  <c r="AW1334" i="48"/>
  <c r="AW1338" i="48"/>
  <c r="AW1342" i="48"/>
  <c r="AW1346" i="48"/>
  <c r="AW1308" i="48"/>
  <c r="AW1331" i="48"/>
  <c r="AW897" i="48"/>
  <c r="AW910" i="48"/>
  <c r="AW914" i="48"/>
  <c r="AW918" i="48"/>
  <c r="AW922" i="48"/>
  <c r="AW936" i="48"/>
  <c r="AW940" i="48"/>
  <c r="AW944" i="48"/>
  <c r="AW948" i="48"/>
  <c r="AW960" i="48"/>
  <c r="AW964" i="48"/>
  <c r="AW968" i="48"/>
  <c r="AW972" i="48"/>
  <c r="AW985" i="48"/>
  <c r="AW989" i="48"/>
  <c r="AW993" i="48"/>
  <c r="AW1161" i="48"/>
  <c r="AW1173" i="48"/>
  <c r="AW1186" i="48"/>
  <c r="AW1190" i="48"/>
  <c r="AW1194" i="48"/>
  <c r="AW1198" i="48"/>
  <c r="AW1211" i="48"/>
  <c r="AW1215" i="48"/>
  <c r="AW1219" i="48"/>
  <c r="AW1223" i="48"/>
  <c r="AW1236" i="48"/>
  <c r="AW1240" i="48"/>
  <c r="AW1244" i="48"/>
  <c r="AW1248" i="48"/>
  <c r="AW1262" i="48"/>
  <c r="AW1266" i="48"/>
  <c r="AW1270" i="48"/>
  <c r="AW1284" i="48"/>
  <c r="AW1288" i="48"/>
  <c r="AW1292" i="48"/>
  <c r="AW954" i="48"/>
  <c r="AW1000" i="48"/>
  <c r="AW999" i="48"/>
  <c r="AW1100" i="48"/>
  <c r="AW1101" i="48"/>
  <c r="AW1125" i="48"/>
  <c r="AW1126" i="48"/>
  <c r="AW1150" i="48"/>
  <c r="AW1151" i="48"/>
  <c r="AW1225" i="48"/>
  <c r="AW1226" i="48"/>
  <c r="AW1325" i="48"/>
  <c r="AW1326" i="48"/>
  <c r="AW15" i="48"/>
  <c r="AW19" i="48"/>
  <c r="AW23" i="48"/>
  <c r="AW29" i="48"/>
  <c r="AW33" i="48"/>
  <c r="AW34" i="48"/>
  <c r="AW35" i="48"/>
  <c r="AW36" i="48"/>
  <c r="AW37" i="48"/>
  <c r="AW38" i="48"/>
  <c r="AW39" i="48"/>
  <c r="AW40" i="48"/>
  <c r="AW41" i="48"/>
  <c r="AW42" i="48"/>
  <c r="AW43" i="48"/>
  <c r="AW44" i="48"/>
  <c r="AW45" i="48"/>
  <c r="AW46" i="48"/>
  <c r="AW47" i="48"/>
  <c r="AW48" i="48"/>
  <c r="AW49" i="48"/>
  <c r="AW50" i="48"/>
  <c r="AW55" i="48"/>
  <c r="AW81" i="48"/>
  <c r="AW85" i="48"/>
  <c r="AW89" i="48"/>
  <c r="AW93" i="48"/>
  <c r="AW97" i="48"/>
  <c r="AW105" i="48"/>
  <c r="AW109" i="48"/>
  <c r="AW113" i="48"/>
  <c r="AW117" i="48"/>
  <c r="AW121" i="48"/>
  <c r="AW131" i="48"/>
  <c r="AW135" i="48"/>
  <c r="AW139" i="48"/>
  <c r="AW143" i="48"/>
  <c r="AW147" i="48"/>
  <c r="AW157" i="48"/>
  <c r="AW179" i="48"/>
  <c r="AW183" i="48"/>
  <c r="AW187" i="48"/>
  <c r="AW191" i="48"/>
  <c r="AW195" i="48"/>
  <c r="AW199" i="48"/>
  <c r="AW204" i="48"/>
  <c r="AW208" i="48"/>
  <c r="AW212" i="48"/>
  <c r="AW216" i="48"/>
  <c r="AW220" i="48"/>
  <c r="AW224" i="48"/>
  <c r="AW229" i="48"/>
  <c r="AW233" i="48"/>
  <c r="AW235" i="48"/>
  <c r="AW239" i="48"/>
  <c r="AW243" i="48"/>
  <c r="AW247" i="48"/>
  <c r="AW257" i="48"/>
  <c r="AW261" i="48"/>
  <c r="AW265" i="48"/>
  <c r="AW269" i="48"/>
  <c r="AW273" i="48"/>
  <c r="AW280" i="48"/>
  <c r="AW284" i="48"/>
  <c r="AW288" i="48"/>
  <c r="AW292" i="48"/>
  <c r="AW296" i="48"/>
  <c r="AW306" i="48"/>
  <c r="AW310" i="48"/>
  <c r="AW314" i="48"/>
  <c r="AW318" i="48"/>
  <c r="AW322" i="48"/>
  <c r="AW331" i="48"/>
  <c r="AW335" i="48"/>
  <c r="AW339" i="48"/>
  <c r="AW343" i="48"/>
  <c r="AW347" i="48"/>
  <c r="AW349" i="48"/>
  <c r="AW356" i="48"/>
  <c r="AW360" i="48"/>
  <c r="AW364" i="48"/>
  <c r="AW368" i="48"/>
  <c r="AW372" i="48"/>
  <c r="AW381" i="48"/>
  <c r="AW385" i="48"/>
  <c r="AW389" i="48"/>
  <c r="AW393" i="48"/>
  <c r="AW397" i="48"/>
  <c r="AW406" i="48"/>
  <c r="AW410" i="48"/>
  <c r="AW414" i="48"/>
  <c r="AW418" i="48"/>
  <c r="AW422" i="48"/>
  <c r="AW431" i="48"/>
  <c r="AW435" i="48"/>
  <c r="AW439" i="48"/>
  <c r="AW443" i="48"/>
  <c r="AW447" i="48"/>
  <c r="AW455" i="48"/>
  <c r="AW461" i="48"/>
  <c r="AW465" i="48"/>
  <c r="AW469" i="48"/>
  <c r="AW473" i="48"/>
  <c r="AW480" i="48"/>
  <c r="AW486" i="48"/>
  <c r="AW490" i="48"/>
  <c r="AW494" i="48"/>
  <c r="AW498" i="48"/>
  <c r="AW505" i="48"/>
  <c r="AW511" i="48"/>
  <c r="AW515" i="48"/>
  <c r="AW519" i="48"/>
  <c r="AW523" i="48"/>
  <c r="AW529" i="48"/>
  <c r="AW533" i="48"/>
  <c r="AW537" i="48"/>
  <c r="AW541" i="48"/>
  <c r="AW545" i="48"/>
  <c r="AW549" i="48"/>
  <c r="AW554" i="48"/>
  <c r="AW558" i="48"/>
  <c r="AW562" i="48"/>
  <c r="AW566" i="48"/>
  <c r="AW570" i="48"/>
  <c r="AW574" i="48"/>
  <c r="AW575" i="48"/>
  <c r="AW582" i="48"/>
  <c r="AW584" i="48"/>
  <c r="AW588" i="48"/>
  <c r="AW592" i="48"/>
  <c r="AW596" i="48"/>
  <c r="AW600" i="48"/>
  <c r="AW601" i="48"/>
  <c r="AW607" i="48"/>
  <c r="AW609" i="48"/>
  <c r="AW613" i="48"/>
  <c r="AW617" i="48"/>
  <c r="AW621" i="48"/>
  <c r="AW625" i="48"/>
  <c r="AW626" i="48"/>
  <c r="AW632" i="48"/>
  <c r="AW634" i="48"/>
  <c r="AW638" i="48"/>
  <c r="AW642" i="48"/>
  <c r="AW646" i="48"/>
  <c r="AW650" i="48"/>
  <c r="AW651" i="48"/>
  <c r="AW657" i="48"/>
  <c r="AW659" i="48"/>
  <c r="AW663" i="48"/>
  <c r="AW667" i="48"/>
  <c r="AW671" i="48"/>
  <c r="AW675" i="48"/>
  <c r="AW676" i="48"/>
  <c r="AW682" i="48"/>
  <c r="AW686" i="48"/>
  <c r="AW690" i="48"/>
  <c r="AW694" i="48"/>
  <c r="AW698" i="48"/>
  <c r="AW705" i="48"/>
  <c r="AW711" i="48"/>
  <c r="AW715" i="48"/>
  <c r="AW719" i="48"/>
  <c r="AW723" i="48"/>
  <c r="AW730" i="48"/>
  <c r="AW736" i="48"/>
  <c r="AW740" i="48"/>
  <c r="AW744" i="48"/>
  <c r="AW748" i="48"/>
  <c r="AW779" i="48"/>
  <c r="AW783" i="48"/>
  <c r="AW787" i="48"/>
  <c r="AW791" i="48"/>
  <c r="AW795" i="48"/>
  <c r="AW799" i="48"/>
  <c r="AW804" i="48"/>
  <c r="AW808" i="48"/>
  <c r="AW812" i="48"/>
  <c r="AW816" i="48"/>
  <c r="AW820" i="48"/>
  <c r="AW824" i="48"/>
  <c r="AW829" i="48"/>
  <c r="AW833" i="48"/>
  <c r="AW837" i="48"/>
  <c r="AW841" i="48"/>
  <c r="AW845" i="48"/>
  <c r="AW850" i="48"/>
  <c r="AW849" i="48"/>
  <c r="AW857" i="48"/>
  <c r="AW859" i="48"/>
  <c r="AW863" i="48"/>
  <c r="AW867" i="48"/>
  <c r="AW871" i="48"/>
  <c r="AW875" i="48"/>
  <c r="AW876" i="48"/>
  <c r="AW882" i="48"/>
  <c r="AW884" i="48"/>
  <c r="AW888" i="48"/>
  <c r="AW892" i="48"/>
  <c r="AW896" i="48"/>
  <c r="AW900" i="48"/>
  <c r="AW901" i="48"/>
  <c r="AW907" i="48"/>
  <c r="AW909" i="48"/>
  <c r="AW913" i="48"/>
  <c r="AW917" i="48"/>
  <c r="AW921" i="48"/>
  <c r="AW931" i="48"/>
  <c r="AW935" i="48"/>
  <c r="AW939" i="48"/>
  <c r="AW943" i="48"/>
  <c r="AW947" i="48"/>
  <c r="AW957" i="48"/>
  <c r="AW959" i="48"/>
  <c r="AW963" i="48"/>
  <c r="AW967" i="48"/>
  <c r="AW971" i="48"/>
  <c r="AW975" i="48"/>
  <c r="AW976" i="48"/>
  <c r="AW982" i="48"/>
  <c r="AW984" i="48"/>
  <c r="AW988" i="48"/>
  <c r="AW992" i="48"/>
  <c r="AW996" i="48"/>
  <c r="AW1006" i="48"/>
  <c r="AW1010" i="48"/>
  <c r="AW1014" i="48"/>
  <c r="AW1018" i="48"/>
  <c r="AW1022" i="48"/>
  <c r="AW1031" i="48"/>
  <c r="AW1032" i="48"/>
  <c r="AW1038" i="48"/>
  <c r="AW1042" i="48"/>
  <c r="AW1046" i="48"/>
  <c r="AW1054" i="48"/>
  <c r="AW1058" i="48"/>
  <c r="AW1062" i="48"/>
  <c r="AW1066" i="48"/>
  <c r="AW1070" i="48"/>
  <c r="AW1079" i="48"/>
  <c r="AW1083" i="48"/>
  <c r="AW1087" i="48"/>
  <c r="AW1091" i="48"/>
  <c r="AW1095" i="48"/>
  <c r="AW1099" i="48"/>
  <c r="AW1106" i="48"/>
  <c r="AW1110" i="48"/>
  <c r="AW1114" i="48"/>
  <c r="AW1118" i="48"/>
  <c r="AW1122" i="48"/>
  <c r="AW1131" i="48"/>
  <c r="AW1135" i="48"/>
  <c r="AW1139" i="48"/>
  <c r="AW1143" i="48"/>
  <c r="AW1147" i="48"/>
  <c r="AW1156" i="48"/>
  <c r="AW1160" i="48"/>
  <c r="AW1164" i="48"/>
  <c r="AW1168" i="48"/>
  <c r="AW1172" i="48"/>
  <c r="AW1181" i="48"/>
  <c r="AW1185" i="48"/>
  <c r="AW1189" i="48"/>
  <c r="AW1193" i="48"/>
  <c r="AW1197" i="48"/>
  <c r="AW1206" i="48"/>
  <c r="AW1210" i="48"/>
  <c r="AW1214" i="48"/>
  <c r="AW1218" i="48"/>
  <c r="AW1222" i="48"/>
  <c r="AW1231" i="48"/>
  <c r="AW1235" i="48"/>
  <c r="AW1239" i="48"/>
  <c r="AW1243" i="48"/>
  <c r="AW1247" i="48"/>
  <c r="AW1255" i="48"/>
  <c r="AW1261" i="48"/>
  <c r="AW1265" i="48"/>
  <c r="AW1269" i="48"/>
  <c r="AW1273" i="48"/>
  <c r="AW1279" i="48"/>
  <c r="AW1283" i="48"/>
  <c r="AW1287" i="48"/>
  <c r="AW1291" i="48"/>
  <c r="AW1295" i="48"/>
  <c r="AW1299" i="48"/>
  <c r="AW1304" i="48"/>
  <c r="AW1314" i="48"/>
  <c r="AW1318" i="48"/>
  <c r="AW1322" i="48"/>
  <c r="AW1335" i="48"/>
  <c r="AW1339" i="48"/>
  <c r="AW1343" i="48"/>
  <c r="AW1347" i="48"/>
  <c r="AW1350" i="48"/>
  <c r="AW1349" i="48"/>
  <c r="AW124" i="48"/>
  <c r="AW125" i="48"/>
  <c r="AW679" i="48"/>
  <c r="AW1175" i="48"/>
  <c r="AW1176" i="48"/>
  <c r="AW1200" i="48"/>
  <c r="AW1201" i="48"/>
  <c r="AW24" i="48"/>
  <c r="AW25" i="48"/>
  <c r="AW32" i="48"/>
  <c r="AW54" i="48"/>
  <c r="AW59" i="48"/>
  <c r="AW60" i="48"/>
  <c r="AW61" i="48"/>
  <c r="AW62" i="48"/>
  <c r="AW63" i="48"/>
  <c r="AW64" i="48"/>
  <c r="AW65" i="48"/>
  <c r="AW66" i="48"/>
  <c r="AW67" i="48"/>
  <c r="AW68" i="48"/>
  <c r="AW69" i="48"/>
  <c r="AW70" i="48"/>
  <c r="AW71" i="48"/>
  <c r="AW72" i="48"/>
  <c r="AW73" i="48"/>
  <c r="AW75" i="48"/>
  <c r="AV76" i="48" s="1"/>
  <c r="AX26" i="48" s="1"/>
  <c r="AW74" i="48"/>
  <c r="AW80" i="48"/>
  <c r="AW104" i="48"/>
  <c r="AW108" i="48"/>
  <c r="AW130" i="48"/>
  <c r="AW150" i="48"/>
  <c r="AW151" i="48"/>
  <c r="AW156" i="48"/>
  <c r="AW175" i="48"/>
  <c r="AW176" i="48"/>
  <c r="AW182" i="48"/>
  <c r="AW200" i="48"/>
  <c r="AW201" i="48"/>
  <c r="AW207" i="48"/>
  <c r="AW225" i="48"/>
  <c r="AW226" i="48"/>
  <c r="AW232" i="48"/>
  <c r="AW256" i="48"/>
  <c r="AW279" i="48"/>
  <c r="AW283" i="48"/>
  <c r="AW287" i="48"/>
  <c r="AW291" i="48"/>
  <c r="AW295" i="48"/>
  <c r="AW300" i="48"/>
  <c r="AW299" i="48"/>
  <c r="AW305" i="48"/>
  <c r="AW330" i="48"/>
  <c r="AW355" i="48"/>
  <c r="AW380" i="48"/>
  <c r="AW405" i="48"/>
  <c r="AW430" i="48"/>
  <c r="AW454" i="48"/>
  <c r="AW458" i="48"/>
  <c r="AW479" i="48"/>
  <c r="AW483" i="48"/>
  <c r="AW504" i="48"/>
  <c r="AW508" i="48"/>
  <c r="AW524" i="48"/>
  <c r="AW525" i="48"/>
  <c r="AW532" i="48"/>
  <c r="AW550" i="48"/>
  <c r="AW551" i="48"/>
  <c r="AW557" i="48"/>
  <c r="AW581" i="48"/>
  <c r="AW606" i="48"/>
  <c r="AW631" i="48"/>
  <c r="AW656" i="48"/>
  <c r="AW681" i="48"/>
  <c r="AW704" i="48"/>
  <c r="AW708" i="48"/>
  <c r="AW729" i="48"/>
  <c r="AW733" i="48"/>
  <c r="AW750" i="48"/>
  <c r="AW749" i="48"/>
  <c r="AW782" i="48"/>
  <c r="AW800" i="48"/>
  <c r="AW801" i="48"/>
  <c r="AW807" i="48"/>
  <c r="AW825" i="48"/>
  <c r="AW826" i="48"/>
  <c r="AW832" i="48"/>
  <c r="AW856" i="48"/>
  <c r="AW881" i="48"/>
  <c r="AW906" i="48"/>
  <c r="AW930" i="48"/>
  <c r="AW956" i="48"/>
  <c r="AW981" i="48"/>
  <c r="AW1005" i="48"/>
  <c r="AW1030" i="48"/>
  <c r="AW1057" i="48"/>
  <c r="AW1082" i="48"/>
  <c r="AW1105" i="48"/>
  <c r="AW1130" i="48"/>
  <c r="AW1155" i="48"/>
  <c r="AW1180" i="48"/>
  <c r="AW1205" i="48"/>
  <c r="AW1230" i="48"/>
  <c r="AW1254" i="48"/>
  <c r="AW1258" i="48"/>
  <c r="AW1275" i="48"/>
  <c r="AW1274" i="48"/>
  <c r="AW1282" i="48"/>
  <c r="AW1296" i="48"/>
  <c r="AW1300" i="48"/>
  <c r="AW1301" i="48"/>
  <c r="AW1307" i="48"/>
  <c r="AW1309" i="48"/>
  <c r="AW1315" i="48"/>
  <c r="AW1319" i="48"/>
  <c r="AW1323" i="48"/>
  <c r="AW1330" i="48"/>
  <c r="AW1336" i="48"/>
  <c r="AW1340" i="48"/>
  <c r="AW1344" i="48"/>
  <c r="AW1348" i="48"/>
  <c r="AW254" i="48"/>
  <c r="AW325" i="48"/>
  <c r="AW326" i="48"/>
  <c r="AW350" i="48"/>
  <c r="AW351" i="48"/>
  <c r="AW375" i="48"/>
  <c r="AW376" i="48"/>
  <c r="AW400" i="48"/>
  <c r="AW401" i="48"/>
  <c r="AW425" i="48"/>
  <c r="AW426" i="48"/>
  <c r="AW579" i="48"/>
  <c r="AW629" i="48"/>
  <c r="AW904" i="48"/>
  <c r="AW925" i="48"/>
  <c r="AW924" i="48"/>
  <c r="AW979" i="48"/>
  <c r="AW1025" i="48"/>
  <c r="AW1026" i="48"/>
  <c r="AW1050" i="48"/>
  <c r="AW1049" i="48"/>
  <c r="AW1075" i="48"/>
  <c r="AW1074" i="48"/>
  <c r="AW17" i="48"/>
  <c r="AW21" i="48"/>
  <c r="AW31" i="48"/>
  <c r="AW57" i="48"/>
  <c r="AW79" i="48"/>
  <c r="AW83" i="48"/>
  <c r="AW87" i="48"/>
  <c r="AW91" i="48"/>
  <c r="AW95" i="48"/>
  <c r="AW99" i="48"/>
  <c r="AW100" i="48"/>
  <c r="AW107" i="48"/>
  <c r="AW111" i="48"/>
  <c r="AW115" i="48"/>
  <c r="AW119" i="48"/>
  <c r="AW123" i="48"/>
  <c r="AW129" i="48"/>
  <c r="AW133" i="48"/>
  <c r="AW137" i="48"/>
  <c r="AW141" i="48"/>
  <c r="AW145" i="48"/>
  <c r="AW155" i="48"/>
  <c r="AW159" i="48"/>
  <c r="AW160" i="48"/>
  <c r="AW161" i="48"/>
  <c r="AW162" i="48"/>
  <c r="AW163" i="48"/>
  <c r="AW164" i="48"/>
  <c r="AW165" i="48"/>
  <c r="AW166" i="48"/>
  <c r="AW167" i="48"/>
  <c r="AW168" i="48"/>
  <c r="AW169" i="48"/>
  <c r="AW170" i="48"/>
  <c r="AW171" i="48"/>
  <c r="AW172" i="48"/>
  <c r="AW173" i="48"/>
  <c r="AW174" i="48"/>
  <c r="AW181" i="48"/>
  <c r="AW185" i="48"/>
  <c r="AW189" i="48"/>
  <c r="AW193" i="48"/>
  <c r="AW197" i="48"/>
  <c r="AW206" i="48"/>
  <c r="AW210" i="48"/>
  <c r="AW214" i="48"/>
  <c r="AW218" i="48"/>
  <c r="AW222" i="48"/>
  <c r="AW231" i="48"/>
  <c r="AW237" i="48"/>
  <c r="AW241" i="48"/>
  <c r="AW245" i="48"/>
  <c r="AW249" i="48"/>
  <c r="AW250" i="48"/>
  <c r="AW255" i="48"/>
  <c r="AW259" i="48"/>
  <c r="AW263" i="48"/>
  <c r="AW267" i="48"/>
  <c r="AW271" i="48"/>
  <c r="AW275" i="48"/>
  <c r="AW282" i="48"/>
  <c r="AW286" i="48"/>
  <c r="AW290" i="48"/>
  <c r="AW294" i="48"/>
  <c r="AW298" i="48"/>
  <c r="AW304" i="48"/>
  <c r="AW308" i="48"/>
  <c r="AW312" i="48"/>
  <c r="AW316" i="48"/>
  <c r="AW320" i="48"/>
  <c r="AW324" i="48"/>
  <c r="AW329" i="48"/>
  <c r="AW333" i="48"/>
  <c r="AW337" i="48"/>
  <c r="AW341" i="48"/>
  <c r="AW345" i="48"/>
  <c r="AW354" i="48"/>
  <c r="AW358" i="48"/>
  <c r="AW362" i="48"/>
  <c r="AW366" i="48"/>
  <c r="AW370" i="48"/>
  <c r="AW374" i="48"/>
  <c r="AW379" i="48"/>
  <c r="AW383" i="48"/>
  <c r="AW387" i="48"/>
  <c r="AW391" i="48"/>
  <c r="AW395" i="48"/>
  <c r="AW399" i="48"/>
  <c r="AW404" i="48"/>
  <c r="AW408" i="48"/>
  <c r="AW412" i="48"/>
  <c r="AW416" i="48"/>
  <c r="AW420" i="48"/>
  <c r="AW424" i="48"/>
  <c r="AW429" i="48"/>
  <c r="AW433" i="48"/>
  <c r="AW437" i="48"/>
  <c r="AW441" i="48"/>
  <c r="AW445" i="48"/>
  <c r="AW449" i="48"/>
  <c r="AW450" i="48"/>
  <c r="AW457" i="48"/>
  <c r="AW459" i="48"/>
  <c r="AW463" i="48"/>
  <c r="AW467" i="48"/>
  <c r="AW471" i="48"/>
  <c r="AW475" i="48"/>
  <c r="AW476" i="48"/>
  <c r="AW482" i="48"/>
  <c r="AW484" i="48"/>
  <c r="AW488" i="48"/>
  <c r="AW492" i="48"/>
  <c r="AW496" i="48"/>
  <c r="AW500" i="48"/>
  <c r="AW501" i="48"/>
  <c r="AW507" i="48"/>
  <c r="AW509" i="48"/>
  <c r="AW513" i="48"/>
  <c r="AW517" i="48"/>
  <c r="AW521" i="48"/>
  <c r="AW531" i="48"/>
  <c r="AW535" i="48"/>
  <c r="AW539" i="48"/>
  <c r="AW543" i="48"/>
  <c r="AW547" i="48"/>
  <c r="AW556" i="48"/>
  <c r="AW560" i="48"/>
  <c r="AW564" i="48"/>
  <c r="AW568" i="48"/>
  <c r="AW572" i="48"/>
  <c r="AW580" i="48"/>
  <c r="AW586" i="48"/>
  <c r="AW590" i="48"/>
  <c r="AW594" i="48"/>
  <c r="AW598" i="48"/>
  <c r="AW605" i="48"/>
  <c r="AW611" i="48"/>
  <c r="AW615" i="48"/>
  <c r="AW619" i="48"/>
  <c r="AW623" i="48"/>
  <c r="AW630" i="48"/>
  <c r="AW636" i="48"/>
  <c r="AW640" i="48"/>
  <c r="AW644" i="48"/>
  <c r="AW648" i="48"/>
  <c r="AW655" i="48"/>
  <c r="AW661" i="48"/>
  <c r="AW665" i="48"/>
  <c r="AW669" i="48"/>
  <c r="AW673" i="48"/>
  <c r="AW680" i="48"/>
  <c r="AW684" i="48"/>
  <c r="AW688" i="48"/>
  <c r="AW692" i="48"/>
  <c r="AW696" i="48"/>
  <c r="AW700" i="48"/>
  <c r="AW701" i="48"/>
  <c r="AW707" i="48"/>
  <c r="AW709" i="48"/>
  <c r="AW713" i="48"/>
  <c r="AW717" i="48"/>
  <c r="AW721" i="48"/>
  <c r="AW725" i="48"/>
  <c r="AW726" i="48"/>
  <c r="AW732" i="48"/>
  <c r="AW734" i="48"/>
  <c r="AW738" i="48"/>
  <c r="AW742" i="48"/>
  <c r="AW746" i="48"/>
  <c r="AW781" i="48"/>
  <c r="AW785" i="48"/>
  <c r="AW789" i="48"/>
  <c r="AW793" i="48"/>
  <c r="AW797" i="48"/>
  <c r="AW806" i="48"/>
  <c r="AW810" i="48"/>
  <c r="AW814" i="48"/>
  <c r="AW818" i="48"/>
  <c r="AW822" i="48"/>
  <c r="AW831" i="48"/>
  <c r="AW835" i="48"/>
  <c r="AW839" i="48"/>
  <c r="AW843" i="48"/>
  <c r="AW847" i="48"/>
  <c r="AW855" i="48"/>
  <c r="AW861" i="48"/>
  <c r="AW865" i="48"/>
  <c r="AW869" i="48"/>
  <c r="AW873" i="48"/>
  <c r="AW880" i="48"/>
  <c r="AW886" i="48"/>
  <c r="AW890" i="48"/>
  <c r="AW894" i="48"/>
  <c r="AW898" i="48"/>
  <c r="AW905" i="48"/>
  <c r="AW911" i="48"/>
  <c r="AW915" i="48"/>
  <c r="AW919" i="48"/>
  <c r="AW923" i="48"/>
  <c r="AW929" i="48"/>
  <c r="AW933" i="48"/>
  <c r="AW937" i="48"/>
  <c r="AW941" i="48"/>
  <c r="AW945" i="48"/>
  <c r="AW950" i="48"/>
  <c r="AW949" i="48"/>
  <c r="AW955" i="48"/>
  <c r="AW961" i="48"/>
  <c r="AW965" i="48"/>
  <c r="AW969" i="48"/>
  <c r="AW973" i="48"/>
  <c r="AW980" i="48"/>
  <c r="AW986" i="48"/>
  <c r="AW990" i="48"/>
  <c r="AW994" i="48"/>
  <c r="AW998" i="48"/>
  <c r="AW1004" i="48"/>
  <c r="AW1008" i="48"/>
  <c r="AW1012" i="48"/>
  <c r="AW1016" i="48"/>
  <c r="AW1020" i="48"/>
  <c r="AW1024" i="48"/>
  <c r="AW1029" i="48"/>
  <c r="AW1036" i="48"/>
  <c r="AW1040" i="48"/>
  <c r="AW1044" i="48"/>
  <c r="AW1048" i="48"/>
  <c r="AW1056" i="48"/>
  <c r="AW1060" i="48"/>
  <c r="AW1064" i="48"/>
  <c r="AW1068" i="48"/>
  <c r="AW1072" i="48"/>
  <c r="AW1081" i="48"/>
  <c r="AW1085" i="48"/>
  <c r="AW1089" i="48"/>
  <c r="AW1093" i="48"/>
  <c r="AW1097" i="48"/>
  <c r="AW1104" i="48"/>
  <c r="AW1108" i="48"/>
  <c r="AW1112" i="48"/>
  <c r="AW1116" i="48"/>
  <c r="AW1120" i="48"/>
  <c r="AW1124" i="48"/>
  <c r="AW1129" i="48"/>
  <c r="AW1133" i="48"/>
  <c r="AW1137" i="48"/>
  <c r="AW1141" i="48"/>
  <c r="AW1145" i="48"/>
  <c r="AW1149" i="48"/>
  <c r="AW1154" i="48"/>
  <c r="AW1158" i="48"/>
  <c r="AW1162" i="48"/>
  <c r="AW1166" i="48"/>
  <c r="AW1170" i="48"/>
  <c r="AW1174" i="48"/>
  <c r="AW1179" i="48"/>
  <c r="AW1183" i="48"/>
  <c r="AW1187" i="48"/>
  <c r="AW1191" i="48"/>
  <c r="AW1195" i="48"/>
  <c r="AW1199" i="48"/>
  <c r="AW1204" i="48"/>
  <c r="AW1208" i="48"/>
  <c r="AW1212" i="48"/>
  <c r="AW1216" i="48"/>
  <c r="AW1220" i="48"/>
  <c r="AW1224" i="48"/>
  <c r="AW1229" i="48"/>
  <c r="AW1233" i="48"/>
  <c r="AW1237" i="48"/>
  <c r="AW1241" i="48"/>
  <c r="AW1245" i="48"/>
  <c r="AW1250" i="48"/>
  <c r="AW1249" i="48"/>
  <c r="AW1257" i="48"/>
  <c r="AW1259" i="48"/>
  <c r="AW1263" i="48"/>
  <c r="AW1267" i="48"/>
  <c r="AW1271" i="48"/>
  <c r="AW1281" i="48"/>
  <c r="AW1285" i="48"/>
  <c r="AW1289" i="48"/>
  <c r="AW1293" i="48"/>
  <c r="AW1297" i="48"/>
  <c r="AW1306" i="48"/>
  <c r="AW1310" i="48"/>
  <c r="AW1312" i="48"/>
  <c r="AW1316" i="48"/>
  <c r="AW1320" i="48"/>
  <c r="AW1324" i="48"/>
  <c r="AW1329" i="48"/>
  <c r="AW1333" i="48"/>
  <c r="AW1337" i="48"/>
  <c r="AW1341" i="48"/>
  <c r="DI23" i="48"/>
  <c r="DI10" i="48"/>
  <c r="DI24" i="48"/>
  <c r="DI14" i="48"/>
  <c r="DI8" i="48"/>
  <c r="DI12" i="48"/>
  <c r="DI18" i="48"/>
  <c r="DI20" i="48"/>
  <c r="DI22" i="48"/>
  <c r="DI7" i="48"/>
  <c r="DI11" i="48"/>
  <c r="DI15" i="48"/>
  <c r="DI19" i="48"/>
  <c r="DI16" i="48"/>
  <c r="DI9" i="48"/>
  <c r="DI13" i="48"/>
  <c r="DI17" i="48"/>
  <c r="DI21" i="48"/>
  <c r="DI26" i="48"/>
  <c r="DI25" i="48"/>
  <c r="AW6" i="48"/>
  <c r="AW10" i="48"/>
  <c r="AW5" i="48"/>
  <c r="AW8" i="48"/>
  <c r="S275" i="48"/>
  <c r="AW11" i="48"/>
  <c r="AW12" i="48"/>
  <c r="AW7" i="48"/>
  <c r="AW9" i="48"/>
  <c r="AW13" i="48"/>
  <c r="R889" i="48"/>
  <c r="R24" i="48"/>
  <c r="R97" i="48"/>
  <c r="R125" i="48"/>
  <c r="R147" i="48"/>
  <c r="R191" i="48"/>
  <c r="R199" i="48"/>
  <c r="R243" i="48"/>
  <c r="R322" i="48"/>
  <c r="R397" i="48"/>
  <c r="R414" i="48"/>
  <c r="R16" i="48"/>
  <c r="R89" i="48"/>
  <c r="R121" i="48"/>
  <c r="R212" i="48"/>
  <c r="R220" i="48"/>
  <c r="R235" i="48"/>
  <c r="R310" i="48"/>
  <c r="R318" i="48"/>
  <c r="R335" i="48"/>
  <c r="R343" i="48"/>
  <c r="R364" i="48"/>
  <c r="R372" i="48"/>
  <c r="R389" i="48"/>
  <c r="R439" i="48"/>
  <c r="R447" i="48"/>
  <c r="R461" i="48"/>
  <c r="R469" i="48"/>
  <c r="R490" i="48"/>
  <c r="R498" i="48"/>
  <c r="R511" i="48"/>
  <c r="R519" i="48"/>
  <c r="R537" i="48"/>
  <c r="R549" i="48"/>
  <c r="R566" i="48"/>
  <c r="R574" i="48"/>
  <c r="R584" i="48"/>
  <c r="R592" i="48"/>
  <c r="R617" i="48"/>
  <c r="R625" i="48"/>
  <c r="R638" i="48"/>
  <c r="R650" i="48"/>
  <c r="R659" i="48"/>
  <c r="R671" i="48"/>
  <c r="R698" i="48"/>
  <c r="R711" i="48"/>
  <c r="R719" i="48"/>
  <c r="R744" i="48"/>
  <c r="R766" i="48"/>
  <c r="R784" i="48"/>
  <c r="R788" i="48"/>
  <c r="R813" i="48"/>
  <c r="R817" i="48"/>
  <c r="R842" i="48"/>
  <c r="R850" i="48"/>
  <c r="R860" i="48"/>
  <c r="R872" i="48"/>
  <c r="R12" i="48"/>
  <c r="R20" i="48"/>
  <c r="R85" i="48"/>
  <c r="R93" i="48"/>
  <c r="R113" i="48"/>
  <c r="R117" i="48"/>
  <c r="R135" i="48"/>
  <c r="R139" i="48"/>
  <c r="R143" i="48"/>
  <c r="R187" i="48"/>
  <c r="R195" i="48"/>
  <c r="R216" i="48"/>
  <c r="R224" i="48"/>
  <c r="R239" i="48"/>
  <c r="R247" i="48"/>
  <c r="R314" i="48"/>
  <c r="R339" i="48"/>
  <c r="R347" i="48"/>
  <c r="R360" i="48"/>
  <c r="R368" i="48"/>
  <c r="R385" i="48"/>
  <c r="R393" i="48"/>
  <c r="R410" i="48"/>
  <c r="R418" i="48"/>
  <c r="R422" i="48"/>
  <c r="R435" i="48"/>
  <c r="R443" i="48"/>
  <c r="R465" i="48"/>
  <c r="R473" i="48"/>
  <c r="R486" i="48"/>
  <c r="R494" i="48"/>
  <c r="R515" i="48"/>
  <c r="R523" i="48"/>
  <c r="R541" i="48"/>
  <c r="R545" i="48"/>
  <c r="R562" i="48"/>
  <c r="R570" i="48"/>
  <c r="R588" i="48"/>
  <c r="R596" i="48"/>
  <c r="R600" i="48"/>
  <c r="R609" i="48"/>
  <c r="R613" i="48"/>
  <c r="R621" i="48"/>
  <c r="R634" i="48"/>
  <c r="R642" i="48"/>
  <c r="R646" i="48"/>
  <c r="R663" i="48"/>
  <c r="R667" i="48"/>
  <c r="R675" i="48"/>
  <c r="R686" i="48"/>
  <c r="R690" i="48"/>
  <c r="R694" i="48"/>
  <c r="R715" i="48"/>
  <c r="R723" i="48"/>
  <c r="R736" i="48"/>
  <c r="R740" i="48"/>
  <c r="R748" i="48"/>
  <c r="R762" i="48"/>
  <c r="R770" i="48"/>
  <c r="R774" i="48"/>
  <c r="R792" i="48"/>
  <c r="R796" i="48"/>
  <c r="R800" i="48"/>
  <c r="R809" i="48"/>
  <c r="R821" i="48"/>
  <c r="R825" i="48"/>
  <c r="R834" i="48"/>
  <c r="R838" i="48"/>
  <c r="R846" i="48"/>
  <c r="R864" i="48"/>
  <c r="R868" i="48"/>
  <c r="R885" i="48"/>
  <c r="R893" i="48"/>
  <c r="R936" i="48"/>
  <c r="R940" i="48"/>
  <c r="R972" i="48"/>
  <c r="R989" i="48"/>
  <c r="R993" i="48"/>
  <c r="R997" i="48"/>
  <c r="R1011" i="48"/>
  <c r="R1015" i="48"/>
  <c r="R1023" i="48"/>
  <c r="R1043" i="48"/>
  <c r="R1071" i="48"/>
  <c r="R1088" i="48"/>
  <c r="R1092" i="48"/>
  <c r="R1096" i="48"/>
  <c r="R1140" i="48"/>
  <c r="R1148" i="48"/>
  <c r="R1186" i="48"/>
  <c r="R1190" i="48"/>
  <c r="R1211" i="48"/>
  <c r="R1236" i="48"/>
  <c r="R1248" i="48"/>
  <c r="R1270" i="48"/>
  <c r="R1274" i="48"/>
  <c r="R1284" i="48"/>
  <c r="R1292" i="48"/>
  <c r="R1309" i="48"/>
  <c r="R1336" i="48"/>
  <c r="R1348" i="48"/>
  <c r="S1349" i="48" s="1"/>
  <c r="R184" i="48"/>
  <c r="R192" i="48"/>
  <c r="R213" i="48"/>
  <c r="R221" i="48"/>
  <c r="R225" i="48"/>
  <c r="R236" i="48"/>
  <c r="R240" i="48"/>
  <c r="R244" i="48"/>
  <c r="R248" i="48"/>
  <c r="R311" i="48"/>
  <c r="R315" i="48"/>
  <c r="R319" i="48"/>
  <c r="R323" i="48"/>
  <c r="R336" i="48"/>
  <c r="R340" i="48"/>
  <c r="R344" i="48"/>
  <c r="R348" i="48"/>
  <c r="S349" i="48" s="1"/>
  <c r="R361" i="48"/>
  <c r="R365" i="48"/>
  <c r="R369" i="48"/>
  <c r="R373" i="48"/>
  <c r="R386" i="48"/>
  <c r="R390" i="48"/>
  <c r="R394" i="48"/>
  <c r="R398" i="48"/>
  <c r="R411" i="48"/>
  <c r="R415" i="48"/>
  <c r="R419" i="48"/>
  <c r="R423" i="48"/>
  <c r="R436" i="48"/>
  <c r="R440" i="48"/>
  <c r="R444" i="48"/>
  <c r="R448" i="48"/>
  <c r="R462" i="48"/>
  <c r="R466" i="48"/>
  <c r="R470" i="48"/>
  <c r="R474" i="48"/>
  <c r="R487" i="48"/>
  <c r="R491" i="48"/>
  <c r="R495" i="48"/>
  <c r="R499" i="48"/>
  <c r="R512" i="48"/>
  <c r="R516" i="48"/>
  <c r="R520" i="48"/>
  <c r="R524" i="48"/>
  <c r="R534" i="48"/>
  <c r="R538" i="48"/>
  <c r="R542" i="48"/>
  <c r="R546" i="48"/>
  <c r="R550" i="48"/>
  <c r="R559" i="48"/>
  <c r="R563" i="48"/>
  <c r="R567" i="48"/>
  <c r="R571" i="48"/>
  <c r="R575" i="48"/>
  <c r="R585" i="48"/>
  <c r="R589" i="48"/>
  <c r="R593" i="48"/>
  <c r="R597" i="48"/>
  <c r="R610" i="48"/>
  <c r="R614" i="48"/>
  <c r="R618" i="48"/>
  <c r="R622" i="48"/>
  <c r="R635" i="48"/>
  <c r="R639" i="48"/>
  <c r="R643" i="48"/>
  <c r="R647" i="48"/>
  <c r="R660" i="48"/>
  <c r="R664" i="48"/>
  <c r="R668" i="48"/>
  <c r="R672" i="48"/>
  <c r="R687" i="48"/>
  <c r="R691" i="48"/>
  <c r="R695" i="48"/>
  <c r="R699" i="48"/>
  <c r="R712" i="48"/>
  <c r="R716" i="48"/>
  <c r="R720" i="48"/>
  <c r="R724" i="48"/>
  <c r="R737" i="48"/>
  <c r="R741" i="48"/>
  <c r="R745" i="48"/>
  <c r="R749" i="48"/>
  <c r="R759" i="48"/>
  <c r="R763" i="48"/>
  <c r="R767" i="48"/>
  <c r="R771" i="48"/>
  <c r="R775" i="48"/>
  <c r="R785" i="48"/>
  <c r="R789" i="48"/>
  <c r="R793" i="48"/>
  <c r="R797" i="48"/>
  <c r="R810" i="48"/>
  <c r="R814" i="48"/>
  <c r="R818" i="48"/>
  <c r="R822" i="48"/>
  <c r="R835" i="48"/>
  <c r="R839" i="48"/>
  <c r="R843" i="48"/>
  <c r="R847" i="48"/>
  <c r="R861" i="48"/>
  <c r="R865" i="48"/>
  <c r="R869" i="48"/>
  <c r="R873" i="48"/>
  <c r="R886" i="48"/>
  <c r="R890" i="48"/>
  <c r="R894" i="48"/>
  <c r="R898" i="48"/>
  <c r="R911" i="48"/>
  <c r="R915" i="48"/>
  <c r="R919" i="48"/>
  <c r="R923" i="48"/>
  <c r="R937" i="48"/>
  <c r="R941" i="48"/>
  <c r="R945" i="48"/>
  <c r="R949" i="48"/>
  <c r="R961" i="48"/>
  <c r="R965" i="48"/>
  <c r="R969" i="48"/>
  <c r="R973" i="48"/>
  <c r="R986" i="48"/>
  <c r="R990" i="48"/>
  <c r="R994" i="48"/>
  <c r="R998" i="48"/>
  <c r="R1012" i="48"/>
  <c r="R1016" i="48"/>
  <c r="R1020" i="48"/>
  <c r="R1024" i="48"/>
  <c r="R1036" i="48"/>
  <c r="R1040" i="48"/>
  <c r="R1044" i="48"/>
  <c r="R1048" i="48"/>
  <c r="R1060" i="48"/>
  <c r="R1064" i="48"/>
  <c r="R1068" i="48"/>
  <c r="R1072" i="48"/>
  <c r="R1085" i="48"/>
  <c r="R1089" i="48"/>
  <c r="R1093" i="48"/>
  <c r="R1097" i="48"/>
  <c r="R1112" i="48"/>
  <c r="R1116" i="48"/>
  <c r="R1120" i="48"/>
  <c r="R1124" i="48"/>
  <c r="R1137" i="48"/>
  <c r="R1141" i="48"/>
  <c r="R1145" i="48"/>
  <c r="R1149" i="48"/>
  <c r="R1162" i="48"/>
  <c r="R1166" i="48"/>
  <c r="R1170" i="48"/>
  <c r="R1174" i="48"/>
  <c r="R1187" i="48"/>
  <c r="R1191" i="48"/>
  <c r="R1195" i="48"/>
  <c r="R1199" i="48"/>
  <c r="R1212" i="48"/>
  <c r="R1216" i="48"/>
  <c r="R1220" i="48"/>
  <c r="R1224" i="48"/>
  <c r="R1237" i="48"/>
  <c r="R1241" i="48"/>
  <c r="R1245" i="48"/>
  <c r="R1249" i="48"/>
  <c r="R1259" i="48"/>
  <c r="R1263" i="48"/>
  <c r="R1267" i="48"/>
  <c r="R1271" i="48"/>
  <c r="R1275" i="48"/>
  <c r="R1285" i="48"/>
  <c r="R1289" i="48"/>
  <c r="R1293" i="48"/>
  <c r="R1297" i="48"/>
  <c r="R1310" i="48"/>
  <c r="R1312" i="48"/>
  <c r="R1316" i="48"/>
  <c r="R1320" i="48"/>
  <c r="R1324" i="48"/>
  <c r="R1337" i="48"/>
  <c r="R1341" i="48"/>
  <c r="R1345" i="48"/>
  <c r="R897" i="48"/>
  <c r="R922" i="48"/>
  <c r="R944" i="48"/>
  <c r="R948" i="48"/>
  <c r="R964" i="48"/>
  <c r="R1034" i="48"/>
  <c r="R1047" i="48"/>
  <c r="R1063" i="48"/>
  <c r="R1084" i="48"/>
  <c r="R1123" i="48"/>
  <c r="R1161" i="48"/>
  <c r="R1165" i="48"/>
  <c r="R1169" i="48"/>
  <c r="R1173" i="48"/>
  <c r="R1194" i="48"/>
  <c r="R1198" i="48"/>
  <c r="R1240" i="48"/>
  <c r="R1244" i="48"/>
  <c r="R1262" i="48"/>
  <c r="R1300" i="48"/>
  <c r="R1323" i="48"/>
  <c r="R122" i="48"/>
  <c r="R188" i="48"/>
  <c r="R196" i="48"/>
  <c r="R200" i="48"/>
  <c r="R10" i="48"/>
  <c r="R14" i="48"/>
  <c r="R18" i="48"/>
  <c r="R87" i="48"/>
  <c r="R91" i="48"/>
  <c r="R95" i="48"/>
  <c r="R99" i="48"/>
  <c r="R111" i="48"/>
  <c r="R115" i="48"/>
  <c r="R119" i="48"/>
  <c r="R123" i="48"/>
  <c r="R137" i="48"/>
  <c r="R141" i="48"/>
  <c r="R145" i="48"/>
  <c r="R149" i="48"/>
  <c r="S150" i="48" s="1"/>
  <c r="R160" i="48"/>
  <c r="R161" i="48"/>
  <c r="R162" i="48"/>
  <c r="R163" i="48"/>
  <c r="R164" i="48"/>
  <c r="R165" i="48"/>
  <c r="R166" i="48"/>
  <c r="R167" i="48"/>
  <c r="R168" i="48"/>
  <c r="R169" i="48"/>
  <c r="R170" i="48"/>
  <c r="R171" i="48"/>
  <c r="R172" i="48"/>
  <c r="R173" i="48"/>
  <c r="R174" i="48"/>
  <c r="R185" i="48"/>
  <c r="R189" i="48"/>
  <c r="R193" i="48"/>
  <c r="R197" i="48"/>
  <c r="R210" i="48"/>
  <c r="R214" i="48"/>
  <c r="R218" i="48"/>
  <c r="R222" i="48"/>
  <c r="S222" i="48" s="1"/>
  <c r="R237" i="48"/>
  <c r="R241" i="48"/>
  <c r="R245" i="48"/>
  <c r="R249" i="48"/>
  <c r="R312" i="48"/>
  <c r="R316" i="48"/>
  <c r="R320" i="48"/>
  <c r="R324" i="48"/>
  <c r="R337" i="48"/>
  <c r="R341" i="48"/>
  <c r="R345" i="48"/>
  <c r="R362" i="48"/>
  <c r="R366" i="48"/>
  <c r="R370" i="48"/>
  <c r="R374" i="48"/>
  <c r="R387" i="48"/>
  <c r="R391" i="48"/>
  <c r="R395" i="48"/>
  <c r="R399" i="48"/>
  <c r="R412" i="48"/>
  <c r="R416" i="48"/>
  <c r="R420" i="48"/>
  <c r="R424" i="48"/>
  <c r="R437" i="48"/>
  <c r="R441" i="48"/>
  <c r="R445" i="48"/>
  <c r="R449" i="48"/>
  <c r="R459" i="48"/>
  <c r="R463" i="48"/>
  <c r="R467" i="48"/>
  <c r="R471" i="48"/>
  <c r="R475" i="48"/>
  <c r="R484" i="48"/>
  <c r="R488" i="48"/>
  <c r="S488" i="48" s="1"/>
  <c r="R492" i="48"/>
  <c r="S492" i="48" s="1"/>
  <c r="R496" i="48"/>
  <c r="S496" i="48" s="1"/>
  <c r="R500" i="48"/>
  <c r="R509" i="48"/>
  <c r="R513" i="48"/>
  <c r="R517" i="48"/>
  <c r="R521" i="48"/>
  <c r="R525" i="48"/>
  <c r="R535" i="48"/>
  <c r="R539" i="48"/>
  <c r="R543" i="48"/>
  <c r="R547" i="48"/>
  <c r="R560" i="48"/>
  <c r="S560" i="48" s="1"/>
  <c r="R564" i="48"/>
  <c r="R568" i="48"/>
  <c r="R572" i="48"/>
  <c r="S572" i="48" s="1"/>
  <c r="R586" i="48"/>
  <c r="R590" i="48"/>
  <c r="R594" i="48"/>
  <c r="R598" i="48"/>
  <c r="R611" i="48"/>
  <c r="R615" i="48"/>
  <c r="R619" i="48"/>
  <c r="R623" i="48"/>
  <c r="R636" i="48"/>
  <c r="R640" i="48"/>
  <c r="R644" i="48"/>
  <c r="R648" i="48"/>
  <c r="R661" i="48"/>
  <c r="R665" i="48"/>
  <c r="R669" i="48"/>
  <c r="R673" i="48"/>
  <c r="R688" i="48"/>
  <c r="R692" i="48"/>
  <c r="R696" i="48"/>
  <c r="R700" i="48"/>
  <c r="R709" i="48"/>
  <c r="R713" i="48"/>
  <c r="S713" i="48" s="1"/>
  <c r="R717" i="48"/>
  <c r="S717" i="48" s="1"/>
  <c r="R721" i="48"/>
  <c r="S721" i="48" s="1"/>
  <c r="R725" i="48"/>
  <c r="R734" i="48"/>
  <c r="R738" i="48"/>
  <c r="R742" i="48"/>
  <c r="R746" i="48"/>
  <c r="R750" i="48"/>
  <c r="R760" i="48"/>
  <c r="R764" i="48"/>
  <c r="R768" i="48"/>
  <c r="R772" i="48"/>
  <c r="R786" i="48"/>
  <c r="R790" i="48"/>
  <c r="S790" i="48" s="1"/>
  <c r="R794" i="48"/>
  <c r="S794" i="48" s="1"/>
  <c r="R798" i="48"/>
  <c r="S798" i="48" s="1"/>
  <c r="R811" i="48"/>
  <c r="S811" i="48" s="1"/>
  <c r="R815" i="48"/>
  <c r="S815" i="48" s="1"/>
  <c r="R819" i="48"/>
  <c r="S819" i="48" s="1"/>
  <c r="R823" i="48"/>
  <c r="S823" i="48" s="1"/>
  <c r="R836" i="48"/>
  <c r="S836" i="48" s="1"/>
  <c r="R840" i="48"/>
  <c r="S840" i="48" s="1"/>
  <c r="R844" i="48"/>
  <c r="S844" i="48" s="1"/>
  <c r="R848" i="48"/>
  <c r="S848" i="48" s="1"/>
  <c r="R862" i="48"/>
  <c r="R866" i="48"/>
  <c r="S866" i="48" s="1"/>
  <c r="R870" i="48"/>
  <c r="S870" i="48" s="1"/>
  <c r="R874" i="48"/>
  <c r="S874" i="48" s="1"/>
  <c r="R887" i="48"/>
  <c r="S887" i="48" s="1"/>
  <c r="R891" i="48"/>
  <c r="S891" i="48" s="1"/>
  <c r="R895" i="48"/>
  <c r="S895" i="48" s="1"/>
  <c r="R899" i="48"/>
  <c r="R912" i="48"/>
  <c r="S912" i="48" s="1"/>
  <c r="R916" i="48"/>
  <c r="S916" i="48" s="1"/>
  <c r="R920" i="48"/>
  <c r="R924" i="48"/>
  <c r="S924" i="48" s="1"/>
  <c r="R934" i="48"/>
  <c r="R938" i="48"/>
  <c r="R942" i="48"/>
  <c r="R946" i="48"/>
  <c r="R962" i="48"/>
  <c r="S962" i="48" s="1"/>
  <c r="R966" i="48"/>
  <c r="S966" i="48" s="1"/>
  <c r="R970" i="48"/>
  <c r="S970" i="48" s="1"/>
  <c r="R974" i="48"/>
  <c r="S974" i="48" s="1"/>
  <c r="R987" i="48"/>
  <c r="S987" i="48" s="1"/>
  <c r="R991" i="48"/>
  <c r="S991" i="48" s="1"/>
  <c r="R995" i="48"/>
  <c r="S995" i="48" s="1"/>
  <c r="R999" i="48"/>
  <c r="S999" i="48" s="1"/>
  <c r="R1009" i="48"/>
  <c r="R1013" i="48"/>
  <c r="R1017" i="48"/>
  <c r="R1021" i="48"/>
  <c r="R1025" i="48"/>
  <c r="R1037" i="48"/>
  <c r="R1041" i="48"/>
  <c r="R1045" i="48"/>
  <c r="R1049" i="48"/>
  <c r="S1050" i="48" s="1"/>
  <c r="R1061" i="48"/>
  <c r="R1065" i="48"/>
  <c r="R1069" i="48"/>
  <c r="R1073" i="48"/>
  <c r="R1074" i="48"/>
  <c r="S1075" i="48" s="1"/>
  <c r="R1086" i="48"/>
  <c r="R1090" i="48"/>
  <c r="R1094" i="48"/>
  <c r="R1098" i="48"/>
  <c r="R1109" i="48"/>
  <c r="R1113" i="48"/>
  <c r="R1117" i="48"/>
  <c r="R1121" i="48"/>
  <c r="R1125" i="48"/>
  <c r="R1134" i="48"/>
  <c r="R1138" i="48"/>
  <c r="R1142" i="48"/>
  <c r="R1146" i="48"/>
  <c r="R1150" i="48"/>
  <c r="R1159" i="48"/>
  <c r="R1163" i="48"/>
  <c r="R1167" i="48"/>
  <c r="R1171" i="48"/>
  <c r="R1175" i="48"/>
  <c r="R1184" i="48"/>
  <c r="R1188" i="48"/>
  <c r="R1192" i="48"/>
  <c r="R1196" i="48"/>
  <c r="R1200" i="48"/>
  <c r="R1209" i="48"/>
  <c r="R1213" i="48"/>
  <c r="R1217" i="48"/>
  <c r="R1221" i="48"/>
  <c r="R1225" i="48"/>
  <c r="R1234" i="48"/>
  <c r="R1238" i="48"/>
  <c r="S1238" i="48" s="1"/>
  <c r="R1242" i="48"/>
  <c r="S1242" i="48" s="1"/>
  <c r="R1246" i="48"/>
  <c r="S1246" i="48" s="1"/>
  <c r="R1250" i="48"/>
  <c r="R1260" i="48"/>
  <c r="S1260" i="48" s="1"/>
  <c r="R1264" i="48"/>
  <c r="R1268" i="48"/>
  <c r="S1268" i="48" s="1"/>
  <c r="R1272" i="48"/>
  <c r="R1286" i="48"/>
  <c r="R1290" i="48"/>
  <c r="R1294" i="48"/>
  <c r="R1298" i="48"/>
  <c r="R1311" i="48"/>
  <c r="R1313" i="48"/>
  <c r="R1317" i="48"/>
  <c r="R1321" i="48"/>
  <c r="R1325" i="48"/>
  <c r="R1334" i="48"/>
  <c r="R1338" i="48"/>
  <c r="S1338" i="48" s="1"/>
  <c r="R1342" i="48"/>
  <c r="R1346" i="48"/>
  <c r="S1346" i="48" s="1"/>
  <c r="S299" i="48"/>
  <c r="R910" i="48"/>
  <c r="R914" i="48"/>
  <c r="R918" i="48"/>
  <c r="R960" i="48"/>
  <c r="R968" i="48"/>
  <c r="R985" i="48"/>
  <c r="R1019" i="48"/>
  <c r="R1035" i="48"/>
  <c r="R1039" i="48"/>
  <c r="R1059" i="48"/>
  <c r="R1067" i="48"/>
  <c r="R1111" i="48"/>
  <c r="R1115" i="48"/>
  <c r="R1119" i="48"/>
  <c r="R1136" i="48"/>
  <c r="R1144" i="48"/>
  <c r="R1215" i="48"/>
  <c r="R1219" i="48"/>
  <c r="R1223" i="48"/>
  <c r="R1266" i="48"/>
  <c r="R1288" i="48"/>
  <c r="R1296" i="48"/>
  <c r="R1315" i="48"/>
  <c r="R1319" i="48"/>
  <c r="R1340" i="48"/>
  <c r="R1344" i="48"/>
  <c r="R13" i="48"/>
  <c r="R17" i="48"/>
  <c r="R21" i="48"/>
  <c r="R25" i="48"/>
  <c r="R86" i="48"/>
  <c r="R90" i="48"/>
  <c r="R94" i="48"/>
  <c r="R98" i="48"/>
  <c r="R110" i="48"/>
  <c r="R114" i="48"/>
  <c r="R118" i="48"/>
  <c r="R136" i="48"/>
  <c r="R140" i="48"/>
  <c r="R144" i="48"/>
  <c r="R148" i="48"/>
  <c r="R209" i="48"/>
  <c r="R217" i="48"/>
  <c r="R22" i="48"/>
  <c r="R11" i="48"/>
  <c r="R15" i="48"/>
  <c r="R19" i="48"/>
  <c r="R23" i="48"/>
  <c r="R84" i="48"/>
  <c r="R88" i="48"/>
  <c r="R92" i="48"/>
  <c r="R96" i="48"/>
  <c r="R100" i="48"/>
  <c r="R112" i="48"/>
  <c r="R116" i="48"/>
  <c r="R120" i="48"/>
  <c r="R124" i="48"/>
  <c r="R134" i="48"/>
  <c r="R138" i="48"/>
  <c r="R142" i="48"/>
  <c r="R146" i="48"/>
  <c r="R186" i="48"/>
  <c r="R190" i="48"/>
  <c r="R194" i="48"/>
  <c r="R198" i="48"/>
  <c r="R211" i="48"/>
  <c r="R215" i="48"/>
  <c r="R219" i="48"/>
  <c r="R223" i="48"/>
  <c r="R238" i="48"/>
  <c r="R242" i="48"/>
  <c r="R246" i="48"/>
  <c r="R309" i="48"/>
  <c r="R313" i="48"/>
  <c r="R317" i="48"/>
  <c r="R321" i="48"/>
  <c r="R325" i="48"/>
  <c r="R334" i="48"/>
  <c r="R338" i="48"/>
  <c r="R342" i="48"/>
  <c r="R346" i="48"/>
  <c r="R359" i="48"/>
  <c r="R363" i="48"/>
  <c r="R367" i="48"/>
  <c r="R371" i="48"/>
  <c r="R375" i="48"/>
  <c r="R384" i="48"/>
  <c r="R388" i="48"/>
  <c r="R392" i="48"/>
  <c r="R396" i="48"/>
  <c r="R400" i="48"/>
  <c r="R409" i="48"/>
  <c r="R413" i="48"/>
  <c r="R417" i="48"/>
  <c r="R421" i="48"/>
  <c r="R425" i="48"/>
  <c r="R434" i="48"/>
  <c r="R438" i="48"/>
  <c r="R442" i="48"/>
  <c r="R446" i="48"/>
  <c r="R450" i="48"/>
  <c r="R460" i="48"/>
  <c r="R464" i="48"/>
  <c r="R468" i="48"/>
  <c r="R472" i="48"/>
  <c r="R485" i="48"/>
  <c r="R489" i="48"/>
  <c r="R493" i="48"/>
  <c r="R497" i="48"/>
  <c r="R510" i="48"/>
  <c r="R514" i="48"/>
  <c r="R518" i="48"/>
  <c r="R522" i="48"/>
  <c r="R536" i="48"/>
  <c r="R540" i="48"/>
  <c r="R544" i="48"/>
  <c r="R548" i="48"/>
  <c r="R561" i="48"/>
  <c r="R565" i="48"/>
  <c r="R569" i="48"/>
  <c r="R573" i="48"/>
  <c r="R587" i="48"/>
  <c r="R591" i="48"/>
  <c r="R595" i="48"/>
  <c r="R599" i="48"/>
  <c r="R612" i="48"/>
  <c r="R616" i="48"/>
  <c r="R620" i="48"/>
  <c r="R624" i="48"/>
  <c r="R637" i="48"/>
  <c r="R641" i="48"/>
  <c r="R645" i="48"/>
  <c r="R649" i="48"/>
  <c r="R662" i="48"/>
  <c r="R666" i="48"/>
  <c r="R670" i="48"/>
  <c r="R674" i="48"/>
  <c r="R685" i="48"/>
  <c r="R689" i="48"/>
  <c r="R693" i="48"/>
  <c r="R697" i="48"/>
  <c r="R710" i="48"/>
  <c r="R714" i="48"/>
  <c r="R718" i="48"/>
  <c r="R722" i="48"/>
  <c r="R735" i="48"/>
  <c r="R739" i="48"/>
  <c r="R743" i="48"/>
  <c r="R747" i="48"/>
  <c r="R761" i="48"/>
  <c r="R765" i="48"/>
  <c r="R769" i="48"/>
  <c r="R773" i="48"/>
  <c r="R787" i="48"/>
  <c r="R791" i="48"/>
  <c r="R795" i="48"/>
  <c r="R799" i="48"/>
  <c r="R812" i="48"/>
  <c r="R816" i="48"/>
  <c r="R820" i="48"/>
  <c r="R824" i="48"/>
  <c r="R837" i="48"/>
  <c r="R841" i="48"/>
  <c r="R845" i="48"/>
  <c r="R849" i="48"/>
  <c r="R859" i="48"/>
  <c r="R863" i="48"/>
  <c r="R867" i="48"/>
  <c r="R871" i="48"/>
  <c r="R875" i="48"/>
  <c r="R884" i="48"/>
  <c r="R888" i="48"/>
  <c r="R892" i="48"/>
  <c r="R896" i="48"/>
  <c r="R900" i="48"/>
  <c r="R909" i="48"/>
  <c r="R913" i="48"/>
  <c r="R917" i="48"/>
  <c r="R921" i="48"/>
  <c r="R925" i="48"/>
  <c r="R935" i="48"/>
  <c r="R939" i="48"/>
  <c r="R943" i="48"/>
  <c r="R947" i="48"/>
  <c r="R959" i="48"/>
  <c r="R963" i="48"/>
  <c r="R967" i="48"/>
  <c r="R971" i="48"/>
  <c r="R975" i="48"/>
  <c r="R984" i="48"/>
  <c r="R988" i="48"/>
  <c r="R992" i="48"/>
  <c r="R996" i="48"/>
  <c r="R1000" i="48"/>
  <c r="R1010" i="48"/>
  <c r="R1014" i="48"/>
  <c r="R1018" i="48"/>
  <c r="R1022" i="48"/>
  <c r="R1038" i="48"/>
  <c r="R1042" i="48"/>
  <c r="R1046" i="48"/>
  <c r="R1062" i="48"/>
  <c r="R1066" i="48"/>
  <c r="R1070" i="48"/>
  <c r="R1087" i="48"/>
  <c r="R1091" i="48"/>
  <c r="R1095" i="48"/>
  <c r="R1099" i="48"/>
  <c r="R1110" i="48"/>
  <c r="R1114" i="48"/>
  <c r="R1118" i="48"/>
  <c r="R1122" i="48"/>
  <c r="R1135" i="48"/>
  <c r="R1139" i="48"/>
  <c r="R1143" i="48"/>
  <c r="R1147" i="48"/>
  <c r="R1160" i="48"/>
  <c r="R1164" i="48"/>
  <c r="R1168" i="48"/>
  <c r="R1172" i="48"/>
  <c r="R1185" i="48"/>
  <c r="R1189" i="48"/>
  <c r="R1193" i="48"/>
  <c r="R1197" i="48"/>
  <c r="R1210" i="48"/>
  <c r="R1214" i="48"/>
  <c r="R1218" i="48"/>
  <c r="R1222" i="48"/>
  <c r="R1235" i="48"/>
  <c r="R1239" i="48"/>
  <c r="R1243" i="48"/>
  <c r="R1247" i="48"/>
  <c r="R1261" i="48"/>
  <c r="R1265" i="48"/>
  <c r="R1269" i="48"/>
  <c r="R1273" i="48"/>
  <c r="R1287" i="48"/>
  <c r="R1291" i="48"/>
  <c r="R1295" i="48"/>
  <c r="R1299" i="48"/>
  <c r="R1314" i="48"/>
  <c r="R1318" i="48"/>
  <c r="R1322" i="48"/>
  <c r="R1335" i="48"/>
  <c r="R1339" i="48"/>
  <c r="R1343" i="48"/>
  <c r="R1347" i="48"/>
  <c r="S290" i="48"/>
  <c r="S296" i="48"/>
  <c r="S300" i="48"/>
  <c r="S263" i="48"/>
  <c r="S267" i="48"/>
  <c r="S271" i="48"/>
  <c r="S285" i="48"/>
  <c r="S289" i="48"/>
  <c r="S293" i="48"/>
  <c r="S297" i="48"/>
  <c r="S1350" i="48"/>
  <c r="S260" i="48"/>
  <c r="S264" i="48"/>
  <c r="S268" i="48"/>
  <c r="S272" i="48"/>
  <c r="S286" i="48"/>
  <c r="S294" i="48"/>
  <c r="S298" i="48"/>
  <c r="S350" i="48"/>
  <c r="S261" i="48"/>
  <c r="S265" i="48"/>
  <c r="S269" i="48"/>
  <c r="S273" i="48"/>
  <c r="S287" i="48"/>
  <c r="S291" i="48"/>
  <c r="S295" i="48"/>
  <c r="S262" i="48"/>
  <c r="S266" i="48"/>
  <c r="S270" i="48"/>
  <c r="S274" i="48"/>
  <c r="S288" i="48"/>
  <c r="S292" i="48"/>
  <c r="CW2" i="48"/>
  <c r="CB1328" i="48"/>
  <c r="CD1328" i="48" s="1"/>
  <c r="CE1328" i="48" s="1"/>
  <c r="CG1050" i="48"/>
  <c r="CF1225" i="48"/>
  <c r="CG1225" i="48" s="1"/>
  <c r="CF425" i="48"/>
  <c r="CG425" i="48" s="1"/>
  <c r="CF600" i="48"/>
  <c r="CG600" i="48" s="1"/>
  <c r="CF800" i="48"/>
  <c r="CG800" i="48" s="1"/>
  <c r="CF1100" i="48"/>
  <c r="CG1100" i="48" s="1"/>
  <c r="CF1275" i="48"/>
  <c r="CG1275" i="48" s="1"/>
  <c r="CF375" i="48"/>
  <c r="CG375" i="48" s="1"/>
  <c r="CF150" i="48"/>
  <c r="CG150" i="48" s="1"/>
  <c r="CF700" i="48"/>
  <c r="CG700" i="48" s="1"/>
  <c r="CF175" i="48"/>
  <c r="CG175" i="48" s="1"/>
  <c r="CF350" i="48"/>
  <c r="CG350" i="48" s="1"/>
  <c r="CF525" i="48"/>
  <c r="CG525" i="48" s="1"/>
  <c r="CF725" i="48"/>
  <c r="CG725" i="48" s="1"/>
  <c r="CF975" i="48"/>
  <c r="CG975" i="48" s="1"/>
  <c r="CF1150" i="48"/>
  <c r="CG1150" i="48" s="1"/>
  <c r="CG950" i="48"/>
  <c r="CF550" i="48"/>
  <c r="CG550" i="48" s="1"/>
  <c r="CF900" i="48"/>
  <c r="CG900" i="48" s="1"/>
  <c r="CF75" i="48"/>
  <c r="CG75" i="48" s="1"/>
  <c r="CG250" i="48"/>
  <c r="CF125" i="48"/>
  <c r="CG125" i="48" s="1"/>
  <c r="CF325" i="48"/>
  <c r="CG325" i="48" s="1"/>
  <c r="CF500" i="48"/>
  <c r="CG500" i="48" s="1"/>
  <c r="CF675" i="48"/>
  <c r="CG675" i="48" s="1"/>
  <c r="CF850" i="48"/>
  <c r="CG850" i="48" s="1"/>
  <c r="CF1025" i="48"/>
  <c r="CG1025" i="48" s="1"/>
  <c r="CF1200" i="48"/>
  <c r="CG1200" i="48" s="1"/>
  <c r="CF100" i="48"/>
  <c r="CG100" i="48" s="1"/>
  <c r="CF300" i="48"/>
  <c r="CG300" i="48" s="1"/>
  <c r="CF475" i="48"/>
  <c r="CG475" i="48" s="1"/>
  <c r="CF650" i="48"/>
  <c r="CG650" i="48" s="1"/>
  <c r="CF825" i="48"/>
  <c r="CG825" i="48" s="1"/>
  <c r="CF1000" i="48"/>
  <c r="CG1000" i="48" s="1"/>
  <c r="CF1175" i="48"/>
  <c r="CG1175" i="48" s="1"/>
  <c r="CF275" i="48"/>
  <c r="CG275" i="48" s="1"/>
  <c r="CF450" i="48"/>
  <c r="CG450" i="48" s="1"/>
  <c r="CF625" i="48"/>
  <c r="CG625" i="48" s="1"/>
  <c r="CF1350" i="48"/>
  <c r="CG1350" i="48" s="1"/>
  <c r="CF1325" i="48"/>
  <c r="CG1325" i="48" s="1"/>
  <c r="CF50" i="48"/>
  <c r="CG50" i="48" s="1"/>
  <c r="CF225" i="48"/>
  <c r="CG225" i="48" s="1"/>
  <c r="CF400" i="48"/>
  <c r="CG400" i="48" s="1"/>
  <c r="CF575" i="48"/>
  <c r="CG575" i="48" s="1"/>
  <c r="CF775" i="48"/>
  <c r="CG775" i="48" s="1"/>
  <c r="CF925" i="48"/>
  <c r="CG925" i="48" s="1"/>
  <c r="CF1125" i="48"/>
  <c r="CG1125" i="48" s="1"/>
  <c r="CF1300" i="48"/>
  <c r="CG1300" i="48" s="1"/>
  <c r="CF25" i="48"/>
  <c r="CG25" i="48" s="1"/>
  <c r="CF200" i="48"/>
  <c r="CG200" i="48" s="1"/>
  <c r="CF750" i="48"/>
  <c r="CG750" i="48" s="1"/>
  <c r="CF875" i="48"/>
  <c r="CG875" i="48" s="1"/>
  <c r="CG1075" i="48"/>
  <c r="CF1250" i="48"/>
  <c r="CG1250" i="48" s="1"/>
  <c r="DP61" i="48"/>
  <c r="DP62" i="48" s="1"/>
  <c r="DO65" i="48" s="1"/>
  <c r="DV61" i="48"/>
  <c r="DT61" i="48"/>
  <c r="DX61" i="48"/>
  <c r="DR61" i="48"/>
  <c r="CF1249" i="48"/>
  <c r="CG1249" i="48" s="1"/>
  <c r="CF749" i="48"/>
  <c r="CG749" i="48" s="1"/>
  <c r="CF899" i="48"/>
  <c r="CG899" i="48" s="1"/>
  <c r="CF174" i="48"/>
  <c r="CG174" i="48" s="1"/>
  <c r="CF349" i="48"/>
  <c r="CG349" i="48" s="1"/>
  <c r="CF524" i="48"/>
  <c r="CG524" i="48" s="1"/>
  <c r="CF724" i="48"/>
  <c r="CG724" i="48" s="1"/>
  <c r="CF874" i="48"/>
  <c r="CG874" i="48" s="1"/>
  <c r="CF1074" i="48"/>
  <c r="CG1074" i="48" s="1"/>
  <c r="CF1099" i="48"/>
  <c r="CG1099" i="48" s="1"/>
  <c r="CF1274" i="48"/>
  <c r="CG1274" i="48" s="1"/>
  <c r="CF199" i="48"/>
  <c r="CG199" i="48" s="1"/>
  <c r="CF374" i="48"/>
  <c r="CG374" i="48" s="1"/>
  <c r="CF549" i="48"/>
  <c r="CG549" i="48" s="1"/>
  <c r="CF49" i="48"/>
  <c r="CG49" i="48" s="1"/>
  <c r="CF224" i="48"/>
  <c r="CG224" i="48" s="1"/>
  <c r="CF399" i="48"/>
  <c r="CG399" i="48" s="1"/>
  <c r="CF574" i="48"/>
  <c r="CG574" i="48" s="1"/>
  <c r="CF774" i="48"/>
  <c r="CG774" i="48" s="1"/>
  <c r="CF924" i="48"/>
  <c r="CG924" i="48" s="1"/>
  <c r="CG1124" i="48"/>
  <c r="CF1299" i="48"/>
  <c r="CG1299" i="48" s="1"/>
  <c r="CF74" i="48"/>
  <c r="CG74" i="48" s="1"/>
  <c r="CF249" i="48"/>
  <c r="CG249" i="48" s="1"/>
  <c r="CF424" i="48"/>
  <c r="CG424" i="48" s="1"/>
  <c r="CF599" i="48"/>
  <c r="CG599" i="48" s="1"/>
  <c r="CF799" i="48"/>
  <c r="CG799" i="48" s="1"/>
  <c r="CF949" i="48"/>
  <c r="CG949" i="48" s="1"/>
  <c r="CF1324" i="48"/>
  <c r="CG1324" i="48" s="1"/>
  <c r="CF274" i="48"/>
  <c r="CG274" i="48" s="1"/>
  <c r="CF449" i="48"/>
  <c r="CG449" i="48" s="1"/>
  <c r="CF624" i="48"/>
  <c r="CG624" i="48" s="1"/>
  <c r="CF974" i="48"/>
  <c r="CG974" i="48" s="1"/>
  <c r="CG1149" i="48"/>
  <c r="CF1349" i="48"/>
  <c r="CG1349" i="48" s="1"/>
  <c r="CF99" i="48"/>
  <c r="CG99" i="48" s="1"/>
  <c r="CF299" i="48"/>
  <c r="CG299" i="48" s="1"/>
  <c r="CF474" i="48"/>
  <c r="CG474" i="48" s="1"/>
  <c r="CF649" i="48"/>
  <c r="CG649" i="48" s="1"/>
  <c r="CF824" i="48"/>
  <c r="CG824" i="48" s="1"/>
  <c r="CF999" i="48"/>
  <c r="CG999" i="48" s="1"/>
  <c r="CF1174" i="48"/>
  <c r="CG1174" i="48" s="1"/>
  <c r="CF124" i="48"/>
  <c r="CG124" i="48" s="1"/>
  <c r="CF324" i="48"/>
  <c r="CG324" i="48" s="1"/>
  <c r="CF499" i="48"/>
  <c r="CG499" i="48" s="1"/>
  <c r="CF674" i="48"/>
  <c r="CG674" i="48" s="1"/>
  <c r="CF849" i="48"/>
  <c r="CG849" i="48" s="1"/>
  <c r="CF1024" i="48"/>
  <c r="CG1024" i="48" s="1"/>
  <c r="CF1199" i="48"/>
  <c r="CG1199" i="48" s="1"/>
  <c r="CF149" i="48"/>
  <c r="CG149" i="48" s="1"/>
  <c r="CF699" i="48"/>
  <c r="CG699" i="48" s="1"/>
  <c r="CF1049" i="48"/>
  <c r="CG1049" i="48" s="1"/>
  <c r="CF1224" i="48"/>
  <c r="CG1224" i="48" s="1"/>
  <c r="CF24" i="48"/>
  <c r="CG24" i="48" s="1"/>
  <c r="AY21" i="48" l="1"/>
  <c r="AY15" i="48"/>
  <c r="AY6" i="48"/>
  <c r="AY25" i="48"/>
  <c r="AY8" i="48"/>
  <c r="AY7" i="48"/>
  <c r="AY10" i="48"/>
  <c r="AY18" i="48"/>
  <c r="AY22" i="48"/>
  <c r="AY26" i="48"/>
  <c r="AY16" i="48"/>
  <c r="AY23" i="48"/>
  <c r="AY12" i="48"/>
  <c r="AY19" i="48"/>
  <c r="AY17" i="48"/>
  <c r="AY20" i="48"/>
  <c r="AY24" i="48"/>
  <c r="AY27" i="48"/>
  <c r="AK163" i="48"/>
  <c r="AK992" i="48"/>
  <c r="AK197" i="48"/>
  <c r="AK91" i="48"/>
  <c r="AK86" i="48"/>
  <c r="AK1046" i="48"/>
  <c r="AK723" i="48"/>
  <c r="AK193" i="48"/>
  <c r="AK74" i="48"/>
  <c r="AK687" i="48"/>
  <c r="AK27" i="48"/>
  <c r="AK90" i="48"/>
  <c r="AK94" i="48"/>
  <c r="AK64" i="48"/>
  <c r="AK495" i="48"/>
  <c r="AW77" i="48"/>
  <c r="AW76" i="48"/>
  <c r="AK1316" i="48"/>
  <c r="AK1241" i="48"/>
  <c r="AK1141" i="48"/>
  <c r="AK1016" i="48"/>
  <c r="AK839" i="48"/>
  <c r="AK1344" i="48"/>
  <c r="AK1270" i="48"/>
  <c r="AK1211" i="48"/>
  <c r="AK1161" i="48"/>
  <c r="AK1111" i="48"/>
  <c r="AK922" i="48"/>
  <c r="AK741" i="48"/>
  <c r="AK1247" i="48"/>
  <c r="AK1147" i="48"/>
  <c r="AK1042" i="48"/>
  <c r="AK867" i="48"/>
  <c r="AK816" i="48"/>
  <c r="AK744" i="48"/>
  <c r="AK1286" i="48"/>
  <c r="AK836" i="48"/>
  <c r="AK739" i="48"/>
  <c r="AK644" i="48"/>
  <c r="AK564" i="48"/>
  <c r="AK395" i="48"/>
  <c r="AK286" i="48"/>
  <c r="AK189" i="48"/>
  <c r="AK695" i="48"/>
  <c r="AK411" i="48"/>
  <c r="AK1297" i="48"/>
  <c r="AK1216" i="48"/>
  <c r="AK1116" i="48"/>
  <c r="AK941" i="48"/>
  <c r="AK1336" i="48"/>
  <c r="AK1244" i="48"/>
  <c r="AK1194" i="48"/>
  <c r="AK1144" i="48"/>
  <c r="AK1092" i="48"/>
  <c r="AK914" i="48"/>
  <c r="AK1347" i="48"/>
  <c r="AK1239" i="48"/>
  <c r="AK1139" i="48"/>
  <c r="AK1022" i="48"/>
  <c r="AK917" i="48"/>
  <c r="AK841" i="48"/>
  <c r="AK736" i="48"/>
  <c r="AK1017" i="48"/>
  <c r="AK619" i="48"/>
  <c r="AK567" i="48"/>
  <c r="AK386" i="48"/>
  <c r="AK1289" i="48"/>
  <c r="AK1191" i="48"/>
  <c r="AK1097" i="48"/>
  <c r="AK919" i="48"/>
  <c r="AK1319" i="48"/>
  <c r="AK1236" i="48"/>
  <c r="AK1186" i="48"/>
  <c r="AK1136" i="48"/>
  <c r="AK997" i="48"/>
  <c r="AK897" i="48"/>
  <c r="AK817" i="48"/>
  <c r="AK1339" i="48"/>
  <c r="AK1197" i="48"/>
  <c r="AK1091" i="48"/>
  <c r="AK1014" i="48"/>
  <c r="AK820" i="48"/>
  <c r="AK1342" i="48"/>
  <c r="AK991" i="48"/>
  <c r="AK811" i="48"/>
  <c r="AK692" i="48"/>
  <c r="AK611" i="48"/>
  <c r="AK166" i="48"/>
  <c r="AK361" i="48"/>
  <c r="AK1341" i="48"/>
  <c r="AK1267" i="48"/>
  <c r="AK1166" i="48"/>
  <c r="AK1089" i="48"/>
  <c r="AK847" i="48"/>
  <c r="AK1219" i="48"/>
  <c r="AK1169" i="48"/>
  <c r="AK1119" i="48"/>
  <c r="AK989" i="48"/>
  <c r="AK889" i="48"/>
  <c r="AK1291" i="48"/>
  <c r="AK1189" i="48"/>
  <c r="AK1070" i="48"/>
  <c r="AK791" i="48"/>
  <c r="AK1061" i="48"/>
  <c r="AK966" i="48"/>
  <c r="AK786" i="48"/>
  <c r="AK669" i="48"/>
  <c r="AK594" i="48"/>
  <c r="AK445" i="48"/>
  <c r="AK164" i="48"/>
  <c r="AK720" i="48"/>
  <c r="AK436" i="48"/>
  <c r="AK311" i="48"/>
  <c r="AK17" i="48"/>
  <c r="AK767" i="48"/>
  <c r="AK242" i="48"/>
  <c r="AK442" i="48"/>
  <c r="AK117" i="48"/>
  <c r="AK292" i="48"/>
  <c r="AK642" i="48"/>
  <c r="AK417" i="48"/>
  <c r="AK42" i="48"/>
  <c r="AK667" i="48"/>
  <c r="AK192" i="48"/>
  <c r="AK267" i="48"/>
  <c r="AK467" i="48"/>
  <c r="AK717" i="48"/>
  <c r="AK942" i="48"/>
  <c r="AK1142" i="48"/>
  <c r="AK1242" i="48"/>
  <c r="AK342" i="48"/>
  <c r="AK392" i="48"/>
  <c r="AK592" i="48"/>
  <c r="AK92" i="48"/>
  <c r="AK142" i="48"/>
  <c r="AK317" i="48"/>
  <c r="AK367" i="48"/>
  <c r="AK617" i="48"/>
  <c r="AK67" i="48"/>
  <c r="AK542" i="48"/>
  <c r="AK517" i="48"/>
  <c r="AK1192" i="48"/>
  <c r="AK22" i="48"/>
  <c r="AK772" i="48"/>
  <c r="AK472" i="48"/>
  <c r="AK147" i="48"/>
  <c r="AK322" i="48"/>
  <c r="AK297" i="48"/>
  <c r="AK697" i="48"/>
  <c r="AK397" i="48"/>
  <c r="AK122" i="48"/>
  <c r="AK272" i="48"/>
  <c r="AK622" i="48"/>
  <c r="AK672" i="48"/>
  <c r="AK222" i="48"/>
  <c r="AK1272" i="48"/>
  <c r="AK522" i="48"/>
  <c r="AK47" i="48"/>
  <c r="AK97" i="48"/>
  <c r="AK247" i="48"/>
  <c r="AK347" i="48"/>
  <c r="AK372" i="48"/>
  <c r="AK447" i="48"/>
  <c r="AK497" i="48"/>
  <c r="AK422" i="48"/>
  <c r="AK597" i="48"/>
  <c r="AK647" i="48"/>
  <c r="AK547" i="48"/>
  <c r="AK722" i="48"/>
  <c r="AK16" i="48"/>
  <c r="AK766" i="48"/>
  <c r="AK41" i="48"/>
  <c r="AK191" i="48"/>
  <c r="AK541" i="48"/>
  <c r="AK566" i="48"/>
  <c r="AK241" i="48"/>
  <c r="AK341" i="48"/>
  <c r="AK391" i="48"/>
  <c r="AK441" i="48"/>
  <c r="AK866" i="48"/>
  <c r="AK891" i="48"/>
  <c r="AK1041" i="48"/>
  <c r="AK266" i="48"/>
  <c r="AK591" i="48"/>
  <c r="AK616" i="48"/>
  <c r="AK641" i="48"/>
  <c r="AK666" i="48"/>
  <c r="AK216" i="48"/>
  <c r="AK116" i="48"/>
  <c r="AK291" i="48"/>
  <c r="AK466" i="48"/>
  <c r="AK491" i="48"/>
  <c r="AK516" i="48"/>
  <c r="AK691" i="48"/>
  <c r="AK716" i="48"/>
  <c r="AK316" i="48"/>
  <c r="AK366" i="48"/>
  <c r="AK416" i="48"/>
  <c r="AK916" i="48"/>
  <c r="AK11" i="48"/>
  <c r="AK261" i="48"/>
  <c r="AK186" i="48"/>
  <c r="AK211" i="48"/>
  <c r="AK61" i="48"/>
  <c r="AK236" i="48"/>
  <c r="AK111" i="48"/>
  <c r="AK1086" i="48"/>
  <c r="AK536" i="48"/>
  <c r="AK561" i="48"/>
  <c r="AK461" i="48"/>
  <c r="AK486" i="48"/>
  <c r="AK511" i="48"/>
  <c r="AK686" i="48"/>
  <c r="AK711" i="48"/>
  <c r="AK36" i="48"/>
  <c r="AK336" i="48"/>
  <c r="AK586" i="48"/>
  <c r="AK636" i="48"/>
  <c r="AK661" i="48"/>
  <c r="AK761" i="48"/>
  <c r="AK13" i="48"/>
  <c r="AK1345" i="48"/>
  <c r="AK1320" i="48"/>
  <c r="AK1293" i="48"/>
  <c r="AK1263" i="48"/>
  <c r="AK1237" i="48"/>
  <c r="AK1212" i="48"/>
  <c r="AK1187" i="48"/>
  <c r="AK1162" i="48"/>
  <c r="AK1137" i="48"/>
  <c r="AK1112" i="48"/>
  <c r="AK1072" i="48"/>
  <c r="AK1044" i="48"/>
  <c r="AK1020" i="48"/>
  <c r="AK994" i="48"/>
  <c r="AK969" i="48"/>
  <c r="AK945" i="48"/>
  <c r="AK915" i="48"/>
  <c r="AK894" i="48"/>
  <c r="AK869" i="48"/>
  <c r="AK843" i="48"/>
  <c r="AK818" i="48"/>
  <c r="AK797" i="48"/>
  <c r="AK742" i="48"/>
  <c r="AK1348" i="48"/>
  <c r="AK1323" i="48"/>
  <c r="AK1274" i="48"/>
  <c r="AK1248" i="48"/>
  <c r="AK1223" i="48"/>
  <c r="AK1198" i="48"/>
  <c r="AK1173" i="48"/>
  <c r="AK1148" i="48"/>
  <c r="AK1123" i="48"/>
  <c r="AK1096" i="48"/>
  <c r="AK1067" i="48"/>
  <c r="AK1039" i="48"/>
  <c r="AK1011" i="48"/>
  <c r="AK972" i="48"/>
  <c r="AK944" i="48"/>
  <c r="AK872" i="48"/>
  <c r="AK842" i="48"/>
  <c r="AK774" i="48"/>
  <c r="AK737" i="48"/>
  <c r="AK1343" i="48"/>
  <c r="AK1314" i="48"/>
  <c r="AK1287" i="48"/>
  <c r="AK1261" i="48"/>
  <c r="AK1222" i="48"/>
  <c r="AK1193" i="48"/>
  <c r="AK1164" i="48"/>
  <c r="AK1122" i="48"/>
  <c r="AK1095" i="48"/>
  <c r="AK1066" i="48"/>
  <c r="AK1038" i="48"/>
  <c r="AK996" i="48"/>
  <c r="AK947" i="48"/>
  <c r="AK892" i="48"/>
  <c r="AK871" i="48"/>
  <c r="AK845" i="48"/>
  <c r="AK795" i="48"/>
  <c r="AK748" i="48"/>
  <c r="AK1346" i="48"/>
  <c r="AK1311" i="48"/>
  <c r="AK1268" i="48"/>
  <c r="AK1217" i="48"/>
  <c r="AK1188" i="48"/>
  <c r="AK1117" i="48"/>
  <c r="AK1090" i="48"/>
  <c r="AK1045" i="48"/>
  <c r="AK999" i="48"/>
  <c r="AK946" i="48"/>
  <c r="AK870" i="48"/>
  <c r="AK794" i="48"/>
  <c r="AK721" i="48"/>
  <c r="AK673" i="48"/>
  <c r="AK648" i="48"/>
  <c r="AK623" i="48"/>
  <c r="AK598" i="48"/>
  <c r="AK572" i="48"/>
  <c r="AK513" i="48"/>
  <c r="AK437" i="48"/>
  <c r="AK294" i="48"/>
  <c r="AK172" i="48"/>
  <c r="AK169" i="48"/>
  <c r="AK165" i="48"/>
  <c r="AK161" i="48"/>
  <c r="AK115" i="48"/>
  <c r="AK546" i="48"/>
  <c r="AK444" i="48"/>
  <c r="AK319" i="48"/>
  <c r="AK217" i="48"/>
  <c r="AK98" i="48"/>
  <c r="AK66" i="48"/>
  <c r="AK198" i="48"/>
  <c r="AK223" i="48"/>
  <c r="AK73" i="48"/>
  <c r="AK148" i="48"/>
  <c r="AK323" i="48"/>
  <c r="AK348" i="48"/>
  <c r="AK373" i="48"/>
  <c r="AK398" i="48"/>
  <c r="AK423" i="48"/>
  <c r="AK448" i="48"/>
  <c r="AK298" i="48"/>
  <c r="AK548" i="48"/>
  <c r="AK573" i="48"/>
  <c r="AK273" i="48"/>
  <c r="AK473" i="48"/>
  <c r="AK498" i="48"/>
  <c r="AK523" i="48"/>
  <c r="AK48" i="48"/>
  <c r="AK248" i="48"/>
  <c r="AK798" i="48"/>
  <c r="AK823" i="48"/>
  <c r="AK848" i="48"/>
  <c r="AK1073" i="48"/>
  <c r="AK18" i="48"/>
  <c r="AK768" i="48"/>
  <c r="AK293" i="48"/>
  <c r="AK693" i="48"/>
  <c r="AK93" i="48"/>
  <c r="AK243" i="48"/>
  <c r="AK343" i="48"/>
  <c r="AK368" i="48"/>
  <c r="AK393" i="48"/>
  <c r="AK518" i="48"/>
  <c r="AK418" i="48"/>
  <c r="AK443" i="48"/>
  <c r="AK593" i="48"/>
  <c r="AK643" i="48"/>
  <c r="AK568" i="48"/>
  <c r="AK743" i="48"/>
  <c r="AK493" i="48"/>
  <c r="AK43" i="48"/>
  <c r="AK468" i="48"/>
  <c r="AK718" i="48"/>
  <c r="AK143" i="48"/>
  <c r="AK318" i="48"/>
  <c r="AK268" i="48"/>
  <c r="AK618" i="48"/>
  <c r="AK668" i="48"/>
  <c r="AK49" i="48"/>
  <c r="AK199" i="48"/>
  <c r="AK224" i="48"/>
  <c r="AK349" i="48"/>
  <c r="AK124" i="48"/>
  <c r="AK299" i="48"/>
  <c r="AK474" i="48"/>
  <c r="AK499" i="48"/>
  <c r="AK524" i="48"/>
  <c r="AK699" i="48"/>
  <c r="AK249" i="48"/>
  <c r="AK324" i="48"/>
  <c r="AK274" i="48"/>
  <c r="AK599" i="48"/>
  <c r="AK624" i="48"/>
  <c r="AK649" i="48"/>
  <c r="AK674" i="48"/>
  <c r="AK549" i="48"/>
  <c r="AK574" i="48"/>
  <c r="AK374" i="48"/>
  <c r="AK399" i="48"/>
  <c r="AK424" i="48"/>
  <c r="AK449" i="48"/>
  <c r="AK874" i="48"/>
  <c r="AK899" i="48"/>
  <c r="AK924" i="48"/>
  <c r="AK1049" i="48"/>
  <c r="AK762" i="48"/>
  <c r="AK262" i="48"/>
  <c r="AK587" i="48"/>
  <c r="AK612" i="48"/>
  <c r="AK637" i="48"/>
  <c r="AK662" i="48"/>
  <c r="AK37" i="48"/>
  <c r="AK212" i="48"/>
  <c r="AK137" i="48"/>
  <c r="AK362" i="48"/>
  <c r="AK412" i="48"/>
  <c r="AK912" i="48"/>
  <c r="AK112" i="48"/>
  <c r="AK187" i="48"/>
  <c r="AK537" i="48"/>
  <c r="AK562" i="48"/>
  <c r="AK87" i="48"/>
  <c r="AK237" i="48"/>
  <c r="AK337" i="48"/>
  <c r="AK962" i="48"/>
  <c r="AK987" i="48"/>
  <c r="AK24" i="48"/>
  <c r="AK1249" i="48"/>
  <c r="AK1224" i="48"/>
  <c r="AK1199" i="48"/>
  <c r="AK1174" i="48"/>
  <c r="AK1149" i="48"/>
  <c r="AK1124" i="48"/>
  <c r="AK1068" i="48"/>
  <c r="AK1040" i="48"/>
  <c r="AK990" i="48"/>
  <c r="AK965" i="48"/>
  <c r="AK890" i="48"/>
  <c r="AK865" i="48"/>
  <c r="AK793" i="48"/>
  <c r="AK738" i="48"/>
  <c r="AK1296" i="48"/>
  <c r="AK1063" i="48"/>
  <c r="AK1023" i="48"/>
  <c r="AK968" i="48"/>
  <c r="AK940" i="48"/>
  <c r="AK918" i="48"/>
  <c r="AK868" i="48"/>
  <c r="AK838" i="48"/>
  <c r="AK821" i="48"/>
  <c r="AK813" i="48"/>
  <c r="AK796" i="48"/>
  <c r="AK749" i="48"/>
  <c r="AK724" i="48"/>
  <c r="AK1299" i="48"/>
  <c r="AK1273" i="48"/>
  <c r="AK1218" i="48"/>
  <c r="AK1118" i="48"/>
  <c r="AK1062" i="48"/>
  <c r="AK971" i="48"/>
  <c r="AK943" i="48"/>
  <c r="AK888" i="48"/>
  <c r="AK812" i="48"/>
  <c r="AK1321" i="48"/>
  <c r="AK1298" i="48"/>
  <c r="AK1246" i="48"/>
  <c r="AK1146" i="48"/>
  <c r="AK1074" i="48"/>
  <c r="AK1037" i="48"/>
  <c r="AK938" i="48"/>
  <c r="AK862" i="48"/>
  <c r="AK713" i="48"/>
  <c r="AK471" i="48"/>
  <c r="AK171" i="48"/>
  <c r="AK168" i="48"/>
  <c r="AK149" i="48"/>
  <c r="AK99" i="48"/>
  <c r="AK538" i="48"/>
  <c r="AK487" i="48"/>
  <c r="AK144" i="48"/>
  <c r="AK72" i="48"/>
  <c r="AK715" i="48"/>
  <c r="AK19" i="48"/>
  <c r="AK769" i="48"/>
  <c r="AK269" i="48"/>
  <c r="AK544" i="48"/>
  <c r="AK569" i="48"/>
  <c r="AK469" i="48"/>
  <c r="AK494" i="48"/>
  <c r="AK519" i="48"/>
  <c r="AK694" i="48"/>
  <c r="AK719" i="48"/>
  <c r="AK69" i="48"/>
  <c r="AK244" i="48"/>
  <c r="AK819" i="48"/>
  <c r="AK194" i="48"/>
  <c r="AK219" i="48"/>
  <c r="AK44" i="48"/>
  <c r="AK344" i="48"/>
  <c r="AK369" i="48"/>
  <c r="AK419" i="48"/>
  <c r="AK119" i="48"/>
  <c r="AK1094" i="48"/>
  <c r="AK14" i="48"/>
  <c r="AK764" i="48"/>
  <c r="AK514" i="48"/>
  <c r="AK439" i="48"/>
  <c r="AK489" i="48"/>
  <c r="AK264" i="48"/>
  <c r="AK614" i="48"/>
  <c r="AK664" i="48"/>
  <c r="AK539" i="48"/>
  <c r="AK464" i="48"/>
  <c r="AK714" i="48"/>
  <c r="AK39" i="48"/>
  <c r="AK89" i="48"/>
  <c r="AK139" i="48"/>
  <c r="AK239" i="48"/>
  <c r="AK314" i="48"/>
  <c r="AK339" i="48"/>
  <c r="AK364" i="48"/>
  <c r="AK289" i="48"/>
  <c r="AK689" i="48"/>
  <c r="AK389" i="48"/>
  <c r="AK414" i="48"/>
  <c r="AK114" i="48"/>
  <c r="AK589" i="48"/>
  <c r="AK639" i="48"/>
  <c r="AK214" i="48"/>
  <c r="AK1264" i="48"/>
  <c r="AK20" i="48"/>
  <c r="AK770" i="48"/>
  <c r="AK120" i="48"/>
  <c r="AK270" i="48"/>
  <c r="AK595" i="48"/>
  <c r="AK620" i="48"/>
  <c r="AK645" i="48"/>
  <c r="AK670" i="48"/>
  <c r="AK45" i="48"/>
  <c r="AK545" i="48"/>
  <c r="AK570" i="48"/>
  <c r="AK95" i="48"/>
  <c r="AK370" i="48"/>
  <c r="AK420" i="48"/>
  <c r="AK920" i="48"/>
  <c r="AK970" i="48"/>
  <c r="AK995" i="48"/>
  <c r="AK195" i="48"/>
  <c r="AK220" i="48"/>
  <c r="AK145" i="48"/>
  <c r="AK245" i="48"/>
  <c r="AK345" i="48"/>
  <c r="AK12" i="48"/>
  <c r="AK1337" i="48"/>
  <c r="AK1312" i="48"/>
  <c r="AK1271" i="48"/>
  <c r="AK1245" i="48"/>
  <c r="AK1220" i="48"/>
  <c r="AK1195" i="48"/>
  <c r="AK1170" i="48"/>
  <c r="AK1145" i="48"/>
  <c r="AK1120" i="48"/>
  <c r="AK1093" i="48"/>
  <c r="AK1064" i="48"/>
  <c r="AK1036" i="48"/>
  <c r="AK1012" i="48"/>
  <c r="AK986" i="48"/>
  <c r="AK961" i="48"/>
  <c r="AK937" i="48"/>
  <c r="AK911" i="48"/>
  <c r="AK886" i="48"/>
  <c r="AK861" i="48"/>
  <c r="AK822" i="48"/>
  <c r="AK814" i="48"/>
  <c r="AK789" i="48"/>
  <c r="AK1340" i="48"/>
  <c r="AK1315" i="48"/>
  <c r="AK1292" i="48"/>
  <c r="AK1266" i="48"/>
  <c r="AK1240" i="48"/>
  <c r="AK1215" i="48"/>
  <c r="AK1190" i="48"/>
  <c r="AK1165" i="48"/>
  <c r="AK1140" i="48"/>
  <c r="AK1115" i="48"/>
  <c r="AK1088" i="48"/>
  <c r="AK1047" i="48"/>
  <c r="AK1019" i="48"/>
  <c r="AK993" i="48"/>
  <c r="AK964" i="48"/>
  <c r="AK936" i="48"/>
  <c r="AK893" i="48"/>
  <c r="AK864" i="48"/>
  <c r="AK792" i="48"/>
  <c r="AK745" i="48"/>
  <c r="AK1349" i="48"/>
  <c r="AK1322" i="48"/>
  <c r="AK1295" i="48"/>
  <c r="AK1269" i="48"/>
  <c r="AK1243" i="48"/>
  <c r="AK1214" i="48"/>
  <c r="AK1172" i="48"/>
  <c r="AK1143" i="48"/>
  <c r="AK1114" i="48"/>
  <c r="AK1087" i="48"/>
  <c r="AK1018" i="48"/>
  <c r="AK988" i="48"/>
  <c r="AK967" i="48"/>
  <c r="AK939" i="48"/>
  <c r="AK863" i="48"/>
  <c r="AK837" i="48"/>
  <c r="AK787" i="48"/>
  <c r="AK740" i="48"/>
  <c r="AK1338" i="48"/>
  <c r="AK1317" i="48"/>
  <c r="AK1294" i="48"/>
  <c r="AK1238" i="48"/>
  <c r="AK1167" i="48"/>
  <c r="AK1138" i="48"/>
  <c r="AK1069" i="48"/>
  <c r="AK974" i="48"/>
  <c r="AK895" i="48"/>
  <c r="AK844" i="48"/>
  <c r="AK815" i="48"/>
  <c r="AK747" i="48"/>
  <c r="AK665" i="48"/>
  <c r="AK640" i="48"/>
  <c r="AK615" i="48"/>
  <c r="AK590" i="48"/>
  <c r="AK543" i="48"/>
  <c r="AK492" i="48"/>
  <c r="AK463" i="48"/>
  <c r="AK387" i="48"/>
  <c r="AK320" i="48"/>
  <c r="AK218" i="48"/>
  <c r="AK174" i="48"/>
  <c r="AK170" i="48"/>
  <c r="AK167" i="48"/>
  <c r="AK141" i="48"/>
  <c r="AK712" i="48"/>
  <c r="AK520" i="48"/>
  <c r="AK470" i="48"/>
  <c r="AK394" i="48"/>
  <c r="AK295" i="48"/>
  <c r="AK136" i="48"/>
  <c r="AK70" i="48"/>
  <c r="AK62" i="48"/>
  <c r="AK698" i="48"/>
  <c r="AK21" i="48"/>
  <c r="AK771" i="48"/>
  <c r="AK146" i="48"/>
  <c r="AK321" i="48"/>
  <c r="AK346" i="48"/>
  <c r="AK596" i="48"/>
  <c r="AK96" i="48"/>
  <c r="AK371" i="48"/>
  <c r="AK446" i="48"/>
  <c r="AK46" i="48"/>
  <c r="AK121" i="48"/>
  <c r="AK296" i="48"/>
  <c r="AK621" i="48"/>
  <c r="AK221" i="48"/>
  <c r="AK571" i="48"/>
  <c r="AK696" i="48"/>
  <c r="AK1021" i="48"/>
  <c r="AK1121" i="48"/>
  <c r="AK1221" i="48"/>
  <c r="AK246" i="48"/>
  <c r="AK646" i="48"/>
  <c r="AK396" i="48"/>
  <c r="AK421" i="48"/>
  <c r="AK671" i="48"/>
  <c r="AK71" i="48"/>
  <c r="AK196" i="48"/>
  <c r="AK271" i="48"/>
  <c r="AK496" i="48"/>
  <c r="AK1171" i="48"/>
  <c r="AK15" i="48"/>
  <c r="AK765" i="48"/>
  <c r="AK190" i="48"/>
  <c r="AK540" i="48"/>
  <c r="AK565" i="48"/>
  <c r="AK465" i="48"/>
  <c r="AK490" i="48"/>
  <c r="AK515" i="48"/>
  <c r="AK65" i="48"/>
  <c r="AK340" i="48"/>
  <c r="AK365" i="48"/>
  <c r="AK415" i="48"/>
  <c r="AK790" i="48"/>
  <c r="AK840" i="48"/>
  <c r="AK1065" i="48"/>
  <c r="AK215" i="48"/>
  <c r="AK265" i="48"/>
  <c r="AK40" i="48"/>
  <c r="AK140" i="48"/>
  <c r="AK240" i="48"/>
  <c r="AK315" i="48"/>
  <c r="AK390" i="48"/>
  <c r="AK440" i="48"/>
  <c r="AK290" i="48"/>
  <c r="AK1290" i="48"/>
  <c r="AK763" i="48"/>
  <c r="AK338" i="48"/>
  <c r="AK588" i="48"/>
  <c r="AK88" i="48"/>
  <c r="AK363" i="48"/>
  <c r="AK388" i="48"/>
  <c r="AK613" i="48"/>
  <c r="AK488" i="48"/>
  <c r="AK1163" i="48"/>
  <c r="AK138" i="48"/>
  <c r="AK238" i="48"/>
  <c r="AK313" i="48"/>
  <c r="AK638" i="48"/>
  <c r="AK413" i="48"/>
  <c r="AK438" i="48"/>
  <c r="AK113" i="48"/>
  <c r="AK288" i="48"/>
  <c r="AK663" i="48"/>
  <c r="AK63" i="48"/>
  <c r="AK188" i="48"/>
  <c r="AK213" i="48"/>
  <c r="AK563" i="48"/>
  <c r="AK263" i="48"/>
  <c r="AK688" i="48"/>
  <c r="AK1013" i="48"/>
  <c r="AK1113" i="48"/>
  <c r="AK1213" i="48"/>
  <c r="AK23" i="48"/>
  <c r="AK1324" i="48"/>
  <c r="AK1048" i="48"/>
  <c r="AK1024" i="48"/>
  <c r="AK998" i="48"/>
  <c r="AK973" i="48"/>
  <c r="AK949" i="48"/>
  <c r="AK923" i="48"/>
  <c r="AK898" i="48"/>
  <c r="AK873" i="48"/>
  <c r="AK746" i="48"/>
  <c r="AK1288" i="48"/>
  <c r="AK1262" i="48"/>
  <c r="AK1071" i="48"/>
  <c r="AK1043" i="48"/>
  <c r="AK1015" i="48"/>
  <c r="AK948" i="48"/>
  <c r="AK846" i="48"/>
  <c r="AK788" i="48"/>
  <c r="AK1318" i="48"/>
  <c r="AK1265" i="48"/>
  <c r="AK1168" i="48"/>
  <c r="AK1099" i="48"/>
  <c r="AK963" i="48"/>
  <c r="AK921" i="48"/>
  <c r="AK913" i="48"/>
  <c r="AK896" i="48"/>
  <c r="AK849" i="48"/>
  <c r="AK824" i="48"/>
  <c r="AK799" i="48"/>
  <c r="AK773" i="48"/>
  <c r="AK1313" i="48"/>
  <c r="AK1196" i="48"/>
  <c r="AK1098" i="48"/>
  <c r="AK887" i="48"/>
  <c r="AK521" i="48"/>
  <c r="AK312" i="48"/>
  <c r="AK173" i="48"/>
  <c r="AK162" i="48"/>
  <c r="AK123" i="48"/>
  <c r="AK512" i="48"/>
  <c r="AK462" i="48"/>
  <c r="AK287" i="48"/>
  <c r="AK118" i="48"/>
  <c r="AK68" i="48"/>
  <c r="AK38" i="48"/>
  <c r="AK690" i="48"/>
  <c r="S1323" i="48"/>
  <c r="S1169" i="48"/>
  <c r="S98" i="48"/>
  <c r="S1138" i="48"/>
  <c r="S185" i="48"/>
  <c r="S725" i="48"/>
  <c r="S325" i="48"/>
  <c r="S1250" i="48"/>
  <c r="S360" i="48"/>
  <c r="S135" i="48"/>
  <c r="S1243" i="48"/>
  <c r="S1038" i="48"/>
  <c r="S421" i="48"/>
  <c r="S1239" i="48"/>
  <c r="S1147" i="48"/>
  <c r="S910" i="48"/>
  <c r="S820" i="48"/>
  <c r="S769" i="48"/>
  <c r="S246" i="48"/>
  <c r="S194" i="48"/>
  <c r="S425" i="48"/>
  <c r="S971" i="48"/>
  <c r="S493" i="48"/>
  <c r="S1247" i="48"/>
  <c r="S1042" i="48"/>
  <c r="S845" i="48"/>
  <c r="S321" i="48"/>
  <c r="S219" i="48"/>
  <c r="S142" i="48"/>
  <c r="S1144" i="48"/>
  <c r="S816" i="48"/>
  <c r="S765" i="48"/>
  <c r="S242" i="48"/>
  <c r="S190" i="48"/>
  <c r="S196" i="48"/>
  <c r="S835" i="48"/>
  <c r="S691" i="48"/>
  <c r="S546" i="48"/>
  <c r="S824" i="48"/>
  <c r="S1142" i="48"/>
  <c r="S761" i="48"/>
  <c r="S238" i="48"/>
  <c r="S186" i="48"/>
  <c r="S975" i="48"/>
  <c r="S317" i="48"/>
  <c r="S215" i="48"/>
  <c r="S138" i="48"/>
  <c r="S837" i="48"/>
  <c r="S1150" i="48"/>
  <c r="S1046" i="48"/>
  <c r="S1146" i="48"/>
  <c r="S672" i="48"/>
  <c r="S390" i="48"/>
  <c r="S664" i="48"/>
  <c r="S248" i="48"/>
  <c r="S1011" i="48"/>
  <c r="S885" i="48"/>
  <c r="S740" i="48"/>
  <c r="S217" i="48"/>
  <c r="S140" i="48"/>
  <c r="S873" i="48"/>
  <c r="S585" i="48"/>
  <c r="S344" i="48"/>
  <c r="S617" i="48"/>
  <c r="S789" i="48"/>
  <c r="S720" i="48"/>
  <c r="S618" i="48"/>
  <c r="S512" i="48"/>
  <c r="S462" i="48"/>
  <c r="S118" i="48"/>
  <c r="S188" i="48"/>
  <c r="S1293" i="48"/>
  <c r="S797" i="48"/>
  <c r="S394" i="48"/>
  <c r="S1141" i="48"/>
  <c r="S890" i="48"/>
  <c r="S839" i="48"/>
  <c r="S695" i="48"/>
  <c r="S668" i="48"/>
  <c r="S570" i="48"/>
  <c r="S144" i="48"/>
  <c r="S114" i="48"/>
  <c r="S894" i="48"/>
  <c r="S793" i="48"/>
  <c r="S749" i="48"/>
  <c r="S340" i="48"/>
  <c r="S785" i="48"/>
  <c r="S499" i="48"/>
  <c r="S448" i="48"/>
  <c r="S23" i="48"/>
  <c r="S920" i="48"/>
  <c r="S965" i="48"/>
  <c r="S489" i="48"/>
  <c r="S786" i="48"/>
  <c r="S942" i="48"/>
  <c r="S213" i="48"/>
  <c r="S1098" i="48"/>
  <c r="S888" i="48"/>
  <c r="S1095" i="48"/>
  <c r="S1163" i="48"/>
  <c r="S343" i="48"/>
  <c r="S1313" i="48"/>
  <c r="S846" i="48"/>
  <c r="S792" i="48"/>
  <c r="S385" i="48"/>
  <c r="S648" i="48"/>
  <c r="S214" i="48"/>
  <c r="S990" i="48"/>
  <c r="S814" i="48"/>
  <c r="S745" i="48"/>
  <c r="S571" i="48"/>
  <c r="S191" i="48"/>
  <c r="S92" i="48"/>
  <c r="S1035" i="48"/>
  <c r="S1121" i="48"/>
  <c r="S700" i="48"/>
  <c r="S673" i="48"/>
  <c r="S165" i="48"/>
  <c r="S641" i="48"/>
  <c r="S541" i="48"/>
  <c r="S735" i="48"/>
  <c r="S486" i="48"/>
  <c r="S1085" i="48"/>
  <c r="S1216" i="48"/>
  <c r="S1116" i="48"/>
  <c r="S1040" i="48"/>
  <c r="S487" i="48"/>
  <c r="S516" i="48"/>
  <c r="S318" i="48"/>
  <c r="S14" i="48"/>
  <c r="S936" i="48"/>
  <c r="S1143" i="48"/>
  <c r="S1335" i="48"/>
  <c r="S1274" i="48"/>
  <c r="S1222" i="48"/>
  <c r="S1122" i="48"/>
  <c r="S1099" i="48"/>
  <c r="S1071" i="48"/>
  <c r="S1014" i="48"/>
  <c r="S992" i="48"/>
  <c r="S867" i="48"/>
  <c r="S743" i="48"/>
  <c r="S544" i="48"/>
  <c r="S468" i="48"/>
  <c r="S342" i="48"/>
  <c r="S195" i="48"/>
  <c r="S17" i="48"/>
  <c r="S1167" i="48"/>
  <c r="S1065" i="48"/>
  <c r="S1041" i="48"/>
  <c r="S1017" i="48"/>
  <c r="S768" i="48"/>
  <c r="S746" i="48"/>
  <c r="S586" i="48"/>
  <c r="S535" i="48"/>
  <c r="S513" i="48"/>
  <c r="S193" i="48"/>
  <c r="S173" i="48"/>
  <c r="S169" i="48"/>
  <c r="S1337" i="48"/>
  <c r="S771" i="48"/>
  <c r="S699" i="48"/>
  <c r="S415" i="48"/>
  <c r="S315" i="48"/>
  <c r="S662" i="48"/>
  <c r="S400" i="48"/>
  <c r="S375" i="48"/>
  <c r="S218" i="48"/>
  <c r="S141" i="48"/>
  <c r="S1267" i="48"/>
  <c r="S1245" i="48"/>
  <c r="S1221" i="48"/>
  <c r="S1170" i="48"/>
  <c r="S1145" i="48"/>
  <c r="S969" i="48"/>
  <c r="S623" i="48"/>
  <c r="S1285" i="48"/>
  <c r="S1089" i="48"/>
  <c r="S1015" i="48"/>
  <c r="S715" i="48"/>
  <c r="S642" i="48"/>
  <c r="S339" i="48"/>
  <c r="S519" i="48"/>
  <c r="S389" i="48"/>
  <c r="S24" i="48"/>
  <c r="S1265" i="48"/>
  <c r="S111" i="48"/>
  <c r="S1324" i="48"/>
  <c r="S1117" i="48"/>
  <c r="S1336" i="48"/>
  <c r="S1072" i="48"/>
  <c r="S694" i="48"/>
  <c r="S515" i="48"/>
  <c r="S368" i="48"/>
  <c r="S243" i="48"/>
  <c r="S889" i="48"/>
  <c r="S143" i="48"/>
  <c r="S322" i="48"/>
  <c r="S1016" i="48"/>
  <c r="S643" i="48"/>
  <c r="S1295" i="48"/>
  <c r="S1269" i="48"/>
  <c r="S1244" i="48"/>
  <c r="S1066" i="48"/>
  <c r="S989" i="48"/>
  <c r="S968" i="48"/>
  <c r="S943" i="48"/>
  <c r="S921" i="48"/>
  <c r="S689" i="48"/>
  <c r="S514" i="48"/>
  <c r="S116" i="48"/>
  <c r="S598" i="48"/>
  <c r="S467" i="48"/>
  <c r="S341" i="48"/>
  <c r="S316" i="48"/>
  <c r="S241" i="48"/>
  <c r="S87" i="48"/>
  <c r="S386" i="48"/>
  <c r="S336" i="48"/>
  <c r="S972" i="48"/>
  <c r="S667" i="48"/>
  <c r="S465" i="48"/>
  <c r="S216" i="48"/>
  <c r="S139" i="48"/>
  <c r="S93" i="48"/>
  <c r="S719" i="48"/>
  <c r="S566" i="48"/>
  <c r="S91" i="48"/>
  <c r="S1123" i="48"/>
  <c r="S671" i="48"/>
  <c r="S469" i="48"/>
  <c r="S220" i="48"/>
  <c r="S1100" i="48"/>
  <c r="S1273" i="48"/>
  <c r="S1264" i="48"/>
  <c r="S117" i="48"/>
  <c r="S115" i="48"/>
  <c r="S1148" i="48"/>
  <c r="S744" i="48"/>
  <c r="S1070" i="48"/>
  <c r="S1270" i="48"/>
  <c r="S1318" i="48"/>
  <c r="S1291" i="48"/>
  <c r="S1266" i="48"/>
  <c r="S1215" i="48"/>
  <c r="S1189" i="48"/>
  <c r="S1164" i="48"/>
  <c r="S1140" i="48"/>
  <c r="S1115" i="48"/>
  <c r="S1062" i="48"/>
  <c r="S964" i="48"/>
  <c r="S939" i="48"/>
  <c r="S917" i="48"/>
  <c r="S896" i="48"/>
  <c r="S788" i="48"/>
  <c r="S710" i="48"/>
  <c r="S637" i="48"/>
  <c r="S612" i="48"/>
  <c r="S587" i="48"/>
  <c r="S536" i="48"/>
  <c r="S461" i="48"/>
  <c r="S418" i="48"/>
  <c r="S396" i="48"/>
  <c r="S335" i="48"/>
  <c r="S16" i="48"/>
  <c r="S25" i="48"/>
  <c r="S1020" i="48"/>
  <c r="S919" i="48"/>
  <c r="S1325" i="48"/>
  <c r="S1312" i="48"/>
  <c r="S1286" i="48"/>
  <c r="S1094" i="48"/>
  <c r="S696" i="48"/>
  <c r="S669" i="48"/>
  <c r="S619" i="48"/>
  <c r="S594" i="48"/>
  <c r="S463" i="48"/>
  <c r="S391" i="48"/>
  <c r="S312" i="48"/>
  <c r="S237" i="48"/>
  <c r="S172" i="48"/>
  <c r="S168" i="48"/>
  <c r="S164" i="48"/>
  <c r="S123" i="48"/>
  <c r="S1275" i="48"/>
  <c r="S1237" i="48"/>
  <c r="S1212" i="48"/>
  <c r="S886" i="48"/>
  <c r="S810" i="48"/>
  <c r="S567" i="48"/>
  <c r="S474" i="48"/>
  <c r="S373" i="48"/>
  <c r="S323" i="48"/>
  <c r="S225" i="48"/>
  <c r="S1211" i="48"/>
  <c r="S1185" i="48"/>
  <c r="S1111" i="48"/>
  <c r="S1087" i="48"/>
  <c r="S960" i="48"/>
  <c r="S893" i="48"/>
  <c r="S871" i="48"/>
  <c r="S722" i="48"/>
  <c r="S625" i="48"/>
  <c r="S599" i="48"/>
  <c r="S573" i="48"/>
  <c r="S523" i="48"/>
  <c r="S450" i="48"/>
  <c r="S346" i="48"/>
  <c r="S94" i="48"/>
  <c r="S1192" i="48"/>
  <c r="S1069" i="48"/>
  <c r="S1045" i="48"/>
  <c r="S772" i="48"/>
  <c r="S750" i="48"/>
  <c r="S539" i="48"/>
  <c r="S412" i="48"/>
  <c r="S387" i="48"/>
  <c r="S362" i="48"/>
  <c r="S1263" i="48"/>
  <c r="S1195" i="48"/>
  <c r="S1149" i="48"/>
  <c r="S973" i="48"/>
  <c r="S847" i="48"/>
  <c r="S775" i="48"/>
  <c r="S563" i="48"/>
  <c r="S419" i="48"/>
  <c r="S369" i="48"/>
  <c r="S319" i="48"/>
  <c r="S244" i="48"/>
  <c r="S221" i="48"/>
  <c r="S1168" i="48"/>
  <c r="S967" i="48"/>
  <c r="S1039" i="48"/>
  <c r="S22" i="48"/>
  <c r="S161" i="48"/>
  <c r="S922" i="48"/>
  <c r="S1347" i="48"/>
  <c r="S1218" i="48"/>
  <c r="S1197" i="48"/>
  <c r="S1118" i="48"/>
  <c r="S1010" i="48"/>
  <c r="S718" i="48"/>
  <c r="S522" i="48"/>
  <c r="S442" i="48"/>
  <c r="S367" i="48"/>
  <c r="S1300" i="48"/>
  <c r="S948" i="48"/>
  <c r="S1320" i="48"/>
  <c r="S1188" i="48"/>
  <c r="S1137" i="48"/>
  <c r="S1112" i="48"/>
  <c r="S1086" i="48"/>
  <c r="S1061" i="48"/>
  <c r="S1036" i="48"/>
  <c r="S961" i="48"/>
  <c r="S938" i="48"/>
  <c r="S911" i="48"/>
  <c r="S764" i="48"/>
  <c r="S742" i="48"/>
  <c r="S1310" i="48"/>
  <c r="S1191" i="48"/>
  <c r="S1096" i="48"/>
  <c r="S1043" i="48"/>
  <c r="S941" i="48"/>
  <c r="S868" i="48"/>
  <c r="S770" i="48"/>
  <c r="S690" i="48"/>
  <c r="S622" i="48"/>
  <c r="S597" i="48"/>
  <c r="S545" i="48"/>
  <c r="S443" i="48"/>
  <c r="S361" i="48"/>
  <c r="S247" i="48"/>
  <c r="S13" i="48"/>
  <c r="S592" i="48"/>
  <c r="S550" i="48"/>
  <c r="S311" i="48"/>
  <c r="S200" i="48"/>
  <c r="S97" i="48"/>
  <c r="S1174" i="48"/>
  <c r="S1124" i="48"/>
  <c r="S923" i="48"/>
  <c r="S898" i="48"/>
  <c r="S1139" i="48"/>
  <c r="S1217" i="48"/>
  <c r="S1037" i="48"/>
  <c r="S593" i="48"/>
  <c r="S897" i="48"/>
  <c r="S621" i="48"/>
  <c r="S314" i="48"/>
  <c r="S313" i="48"/>
  <c r="S113" i="48"/>
  <c r="S112" i="48"/>
  <c r="S862" i="48"/>
  <c r="S863" i="48"/>
  <c r="S337" i="48"/>
  <c r="S338" i="48"/>
  <c r="S210" i="48"/>
  <c r="S1063" i="48"/>
  <c r="S525" i="48"/>
  <c r="S524" i="48"/>
  <c r="S663" i="48"/>
  <c r="S843" i="48"/>
  <c r="S842" i="48"/>
  <c r="S364" i="48"/>
  <c r="S365" i="48"/>
  <c r="S963" i="48"/>
  <c r="S787" i="48"/>
  <c r="S620" i="48"/>
  <c r="S417" i="48"/>
  <c r="S1196" i="48"/>
  <c r="S1064" i="48"/>
  <c r="S940" i="48"/>
  <c r="S547" i="48"/>
  <c r="S813" i="48"/>
  <c r="S812" i="48"/>
  <c r="S561" i="48"/>
  <c r="S562" i="48"/>
  <c r="S510" i="48"/>
  <c r="S511" i="48"/>
  <c r="S212" i="48"/>
  <c r="S211" i="48"/>
  <c r="S89" i="48"/>
  <c r="S88" i="48"/>
  <c r="S137" i="48"/>
  <c r="S136" i="48"/>
  <c r="S1068" i="48"/>
  <c r="S1067" i="48"/>
  <c r="S918" i="48"/>
  <c r="S644" i="48"/>
  <c r="S645" i="48"/>
  <c r="S569" i="48"/>
  <c r="S568" i="48"/>
  <c r="S18" i="48"/>
  <c r="S19" i="48"/>
  <c r="S1165" i="48"/>
  <c r="S1166" i="48"/>
  <c r="S1012" i="48"/>
  <c r="S1013" i="48"/>
  <c r="S736" i="48"/>
  <c r="S410" i="48"/>
  <c r="S411" i="48"/>
  <c r="S711" i="48"/>
  <c r="S122" i="48"/>
  <c r="S121" i="48"/>
  <c r="S988" i="48"/>
  <c r="S670" i="48"/>
  <c r="S485" i="48"/>
  <c r="S1311" i="48"/>
  <c r="S1044" i="48"/>
  <c r="S869" i="48"/>
  <c r="S741" i="48"/>
  <c r="S1315" i="48"/>
  <c r="S1287" i="48"/>
  <c r="S1261" i="48"/>
  <c r="S1160" i="48"/>
  <c r="S1019" i="48"/>
  <c r="S997" i="48"/>
  <c r="S935" i="48"/>
  <c r="S913" i="48"/>
  <c r="S697" i="48"/>
  <c r="S310" i="48"/>
  <c r="S100" i="48"/>
  <c r="S12" i="48"/>
  <c r="S149" i="48"/>
  <c r="S1345" i="48"/>
  <c r="S1297" i="48"/>
  <c r="S1060" i="48"/>
  <c r="S986" i="48"/>
  <c r="S1113" i="48"/>
  <c r="S665" i="48"/>
  <c r="S640" i="48"/>
  <c r="S475" i="48"/>
  <c r="S460" i="48"/>
  <c r="S324" i="48"/>
  <c r="S197" i="48"/>
  <c r="S145" i="48"/>
  <c r="S96" i="48"/>
  <c r="S15" i="48"/>
  <c r="S944" i="48"/>
  <c r="S1341" i="48"/>
  <c r="S1317" i="48"/>
  <c r="S1294" i="48"/>
  <c r="S1225" i="48"/>
  <c r="S1200" i="48"/>
  <c r="S1097" i="48"/>
  <c r="S1073" i="48"/>
  <c r="S1049" i="48"/>
  <c r="S1025" i="48"/>
  <c r="S998" i="48"/>
  <c r="S949" i="48"/>
  <c r="S760" i="48"/>
  <c r="S738" i="48"/>
  <c r="S712" i="48"/>
  <c r="S543" i="48"/>
  <c r="S495" i="48"/>
  <c r="S444" i="48"/>
  <c r="S1292" i="48"/>
  <c r="S1248" i="48"/>
  <c r="S993" i="48"/>
  <c r="S937" i="48"/>
  <c r="S762" i="48"/>
  <c r="S686" i="48"/>
  <c r="S646" i="48"/>
  <c r="S614" i="48"/>
  <c r="S187" i="48"/>
  <c r="S638" i="48"/>
  <c r="S439" i="48"/>
  <c r="S236" i="48"/>
  <c r="S90" i="48"/>
  <c r="S398" i="48"/>
  <c r="S192" i="48"/>
  <c r="S1262" i="48"/>
  <c r="S1223" i="48"/>
  <c r="S1198" i="48"/>
  <c r="S596" i="48"/>
  <c r="S447" i="48"/>
  <c r="S449" i="48"/>
  <c r="S424" i="48"/>
  <c r="S399" i="48"/>
  <c r="S374" i="48"/>
  <c r="S739" i="48"/>
  <c r="S464" i="48"/>
  <c r="S388" i="48"/>
  <c r="S950" i="48"/>
  <c r="S1048" i="48"/>
  <c r="S945" i="48"/>
  <c r="S763" i="48"/>
  <c r="S737" i="48"/>
  <c r="S647" i="48"/>
  <c r="S148" i="48"/>
  <c r="S1339" i="48"/>
  <c r="S1340" i="48"/>
  <c r="S1236" i="48"/>
  <c r="S1235" i="48"/>
  <c r="S1136" i="48"/>
  <c r="S1135" i="48"/>
  <c r="S850" i="48"/>
  <c r="S849" i="48"/>
  <c r="S799" i="48"/>
  <c r="S800" i="48"/>
  <c r="S774" i="48"/>
  <c r="S773" i="48"/>
  <c r="S747" i="48"/>
  <c r="S748" i="48"/>
  <c r="S674" i="48"/>
  <c r="S675" i="48"/>
  <c r="S649" i="48"/>
  <c r="S650" i="48"/>
  <c r="S549" i="48"/>
  <c r="S548" i="48"/>
  <c r="S498" i="48"/>
  <c r="S497" i="48"/>
  <c r="S472" i="48"/>
  <c r="S473" i="48"/>
  <c r="S413" i="48"/>
  <c r="S414" i="48"/>
  <c r="S371" i="48"/>
  <c r="S372" i="48"/>
  <c r="S224" i="48"/>
  <c r="S223" i="48"/>
  <c r="S199" i="48"/>
  <c r="S198" i="48"/>
  <c r="S147" i="48"/>
  <c r="S146" i="48"/>
  <c r="S125" i="48"/>
  <c r="S124" i="48"/>
  <c r="S1220" i="48"/>
  <c r="S1219" i="48"/>
  <c r="S1120" i="48"/>
  <c r="S1119" i="48"/>
  <c r="S915" i="48"/>
  <c r="S914" i="48"/>
  <c r="S1343" i="48"/>
  <c r="S1342" i="48"/>
  <c r="S1321" i="48"/>
  <c r="S1322" i="48"/>
  <c r="S1298" i="48"/>
  <c r="S1299" i="48"/>
  <c r="S1214" i="48"/>
  <c r="S1213" i="48"/>
  <c r="S1172" i="48"/>
  <c r="S1171" i="48"/>
  <c r="S1090" i="48"/>
  <c r="S1091" i="48"/>
  <c r="S1021" i="48"/>
  <c r="S1022" i="48"/>
  <c r="S946" i="48"/>
  <c r="S947" i="48"/>
  <c r="S900" i="48"/>
  <c r="S899" i="48"/>
  <c r="S692" i="48"/>
  <c r="S693" i="48"/>
  <c r="S616" i="48"/>
  <c r="S615" i="48"/>
  <c r="S591" i="48"/>
  <c r="S590" i="48"/>
  <c r="S565" i="48"/>
  <c r="S564" i="48"/>
  <c r="S518" i="48"/>
  <c r="S517" i="48"/>
  <c r="S437" i="48"/>
  <c r="S438" i="48"/>
  <c r="S249" i="48"/>
  <c r="S250" i="48"/>
  <c r="S175" i="48"/>
  <c r="S174" i="48"/>
  <c r="S171" i="48"/>
  <c r="S170" i="48"/>
  <c r="S167" i="48"/>
  <c r="S166" i="48"/>
  <c r="S163" i="48"/>
  <c r="S162" i="48"/>
  <c r="S120" i="48"/>
  <c r="S119" i="48"/>
  <c r="S1161" i="48"/>
  <c r="S1162" i="48"/>
  <c r="S1047" i="48"/>
  <c r="S1272" i="48"/>
  <c r="S1271" i="48"/>
  <c r="S688" i="48"/>
  <c r="S687" i="48"/>
  <c r="S661" i="48"/>
  <c r="S660" i="48"/>
  <c r="S635" i="48"/>
  <c r="S636" i="48"/>
  <c r="S610" i="48"/>
  <c r="S611" i="48"/>
  <c r="S521" i="48"/>
  <c r="S520" i="48"/>
  <c r="S471" i="48"/>
  <c r="S470" i="48"/>
  <c r="S1186" i="48"/>
  <c r="S1187" i="48"/>
  <c r="S1093" i="48"/>
  <c r="S1092" i="48"/>
  <c r="S1024" i="48"/>
  <c r="S864" i="48"/>
  <c r="S865" i="48"/>
  <c r="S724" i="48"/>
  <c r="S723" i="48"/>
  <c r="S588" i="48"/>
  <c r="S589" i="48"/>
  <c r="S436" i="48"/>
  <c r="S435" i="48"/>
  <c r="S393" i="48"/>
  <c r="S348" i="48"/>
  <c r="S347" i="48"/>
  <c r="S240" i="48"/>
  <c r="S239" i="48"/>
  <c r="S872" i="48"/>
  <c r="S818" i="48"/>
  <c r="S817" i="48"/>
  <c r="S766" i="48"/>
  <c r="S767" i="48"/>
  <c r="S698" i="48"/>
  <c r="S537" i="48"/>
  <c r="S538" i="48"/>
  <c r="S490" i="48"/>
  <c r="S491" i="48"/>
  <c r="S1314" i="48"/>
  <c r="S1114" i="48"/>
  <c r="S666" i="48"/>
  <c r="S1125" i="48"/>
  <c r="S1316" i="48"/>
  <c r="S1199" i="48"/>
  <c r="S542" i="48"/>
  <c r="S1296" i="48"/>
  <c r="S189" i="48"/>
  <c r="S95" i="48"/>
  <c r="S996" i="48"/>
  <c r="S1224" i="48"/>
  <c r="S994" i="48"/>
  <c r="S613" i="48"/>
  <c r="S11" i="48"/>
  <c r="S1344" i="48"/>
  <c r="S1000" i="48"/>
  <c r="S985" i="48"/>
  <c r="S875" i="48"/>
  <c r="S397" i="48"/>
  <c r="S1175" i="48"/>
  <c r="S1074" i="48"/>
  <c r="S99" i="48"/>
  <c r="S494" i="48"/>
  <c r="S86" i="48"/>
  <c r="S925" i="48"/>
  <c r="S796" i="48"/>
  <c r="S1210" i="48"/>
  <c r="S1110" i="48"/>
  <c r="S345" i="48"/>
  <c r="S1289" i="48"/>
  <c r="S440" i="48"/>
  <c r="S821" i="48"/>
  <c r="S716" i="48"/>
  <c r="S423" i="48"/>
  <c r="S861" i="48"/>
  <c r="S575" i="48"/>
  <c r="S714" i="48"/>
  <c r="S540" i="48"/>
  <c r="S791" i="48"/>
  <c r="S445" i="48"/>
  <c r="S420" i="48"/>
  <c r="S395" i="48"/>
  <c r="S370" i="48"/>
  <c r="S1240" i="48"/>
  <c r="S600" i="48"/>
  <c r="S466" i="48"/>
  <c r="S20" i="48"/>
  <c r="S1193" i="48"/>
  <c r="S892" i="48"/>
  <c r="S841" i="48"/>
  <c r="S795" i="48"/>
  <c r="S446" i="48"/>
  <c r="S392" i="48"/>
  <c r="S1290" i="48"/>
  <c r="S1241" i="48"/>
  <c r="S639" i="48"/>
  <c r="S1319" i="48"/>
  <c r="S860" i="48"/>
  <c r="S838" i="48"/>
  <c r="S363" i="48"/>
  <c r="S21" i="48"/>
  <c r="S85" i="48"/>
  <c r="S624" i="48"/>
  <c r="S1288" i="48"/>
  <c r="S1088" i="48"/>
  <c r="S1023" i="48"/>
  <c r="S825" i="48"/>
  <c r="S574" i="48"/>
  <c r="S422" i="48"/>
  <c r="S500" i="48"/>
  <c r="S1018" i="48"/>
  <c r="S595" i="48"/>
  <c r="S1249" i="48"/>
  <c r="S822" i="48"/>
  <c r="S366" i="48"/>
  <c r="S320" i="48"/>
  <c r="S245" i="48"/>
  <c r="S1348" i="48"/>
  <c r="S1190" i="48"/>
  <c r="S441" i="48"/>
  <c r="S416" i="48"/>
  <c r="S1194" i="48"/>
  <c r="S1173" i="48"/>
  <c r="DP63" i="48"/>
  <c r="DV63" i="48" s="1"/>
  <c r="DM63" i="48"/>
  <c r="AY3" i="48" l="1"/>
  <c r="AK26" i="48"/>
  <c r="AK25" i="48"/>
  <c r="AK1350" i="48"/>
  <c r="AK1275" i="48"/>
  <c r="AK1250" i="48"/>
  <c r="AK1075" i="48"/>
  <c r="AK1050" i="48"/>
  <c r="AK1000" i="48"/>
  <c r="AK950" i="48"/>
  <c r="AK925" i="48"/>
  <c r="AK850" i="48"/>
  <c r="AK750" i="48"/>
  <c r="AK575" i="48"/>
  <c r="AK525" i="48"/>
  <c r="AK450" i="48"/>
  <c r="AK300" i="48"/>
  <c r="AK250" i="48"/>
  <c r="AK125" i="48"/>
  <c r="AK100" i="48"/>
  <c r="AK75" i="48"/>
  <c r="AK50" i="48"/>
  <c r="AK375" i="48"/>
  <c r="AK625" i="48"/>
  <c r="AK400" i="48"/>
  <c r="AK650" i="48"/>
  <c r="AK175" i="48"/>
  <c r="AK275" i="48"/>
  <c r="AK500" i="48"/>
  <c r="AK1175" i="48"/>
  <c r="AK325" i="48"/>
  <c r="AK425" i="48"/>
  <c r="AK675" i="48"/>
  <c r="AK350" i="48"/>
  <c r="AK600" i="48"/>
  <c r="AK150" i="48"/>
  <c r="AK225" i="48"/>
  <c r="AK700" i="48"/>
  <c r="AK1025" i="48"/>
  <c r="AK1125" i="48"/>
  <c r="AK1225" i="48"/>
  <c r="AK475" i="48"/>
  <c r="AK1150" i="48"/>
  <c r="AK1325" i="48"/>
  <c r="AK975" i="48"/>
  <c r="AK800" i="48"/>
  <c r="AK1300" i="48"/>
  <c r="AK550" i="48"/>
  <c r="AK875" i="48"/>
  <c r="AK825" i="48"/>
  <c r="AK725" i="48"/>
  <c r="AK200" i="48"/>
  <c r="AK1100" i="48"/>
  <c r="AK1200" i="48"/>
  <c r="AK900" i="48"/>
  <c r="AK775" i="48"/>
  <c r="DX63" i="48"/>
  <c r="DT63" i="48"/>
  <c r="DR63" i="48"/>
  <c r="DM65" i="48"/>
  <c r="BD6" i="48" l="1"/>
  <c r="AK76" i="48"/>
  <c r="AK101" i="48"/>
  <c r="AK776" i="48"/>
  <c r="AK626" i="48"/>
  <c r="AK826" i="48"/>
  <c r="AK326" i="48"/>
  <c r="AK901" i="48"/>
  <c r="AK1176" i="48"/>
  <c r="AK801" i="48"/>
  <c r="AK1351" i="48"/>
  <c r="AK651" i="48"/>
  <c r="AK726" i="48"/>
  <c r="AK226" i="48"/>
  <c r="AK1051" i="48"/>
  <c r="AK1076" i="48"/>
  <c r="AK926" i="48"/>
  <c r="AK576" i="48"/>
  <c r="AK526" i="48"/>
  <c r="AK501" i="48"/>
  <c r="AK1151" i="48"/>
  <c r="AK251" i="48"/>
  <c r="AK1026" i="48"/>
  <c r="AK301" i="48"/>
  <c r="AK1101" i="48"/>
  <c r="AK126" i="48"/>
  <c r="AK451" i="48"/>
  <c r="AK1251" i="48"/>
  <c r="AK976" i="48"/>
  <c r="AK1226" i="48"/>
  <c r="AK176" i="48"/>
  <c r="AK376" i="48"/>
  <c r="AK951" i="48"/>
  <c r="AK1276" i="48"/>
  <c r="AK1326" i="48"/>
  <c r="AK751" i="48"/>
  <c r="AK676" i="48"/>
  <c r="AK151" i="48"/>
  <c r="AK51" i="48"/>
  <c r="AK851" i="48"/>
  <c r="AK876" i="48"/>
  <c r="AK1301" i="48"/>
  <c r="AK1001" i="48"/>
  <c r="AK201" i="48"/>
  <c r="AK1126" i="48"/>
  <c r="AK601" i="48"/>
  <c r="AK1201" i="48"/>
  <c r="AK476" i="48"/>
  <c r="AK401" i="48"/>
  <c r="AK426" i="48"/>
  <c r="AK701" i="48"/>
  <c r="AK551" i="48"/>
  <c r="DM69" i="48"/>
  <c r="DO69" i="48" s="1"/>
  <c r="DM68" i="48"/>
  <c r="DO68" i="48" s="1"/>
  <c r="DM66" i="48"/>
  <c r="DO66" i="48" s="1"/>
  <c r="DM67" i="48"/>
  <c r="DO67" i="48" s="1"/>
  <c r="BL3" i="48" l="1"/>
  <c r="BN3" i="48" s="1"/>
  <c r="BK3" i="48"/>
  <c r="DH3" i="48" l="1"/>
  <c r="CF1345" i="48"/>
  <c r="CG1345" i="48" s="1"/>
  <c r="CF1343" i="48"/>
  <c r="CG1343" i="48" s="1"/>
  <c r="CF1341" i="48"/>
  <c r="CG1341" i="48" s="1"/>
  <c r="CF1339" i="48"/>
  <c r="CG1339" i="48" s="1"/>
  <c r="CF1337" i="48"/>
  <c r="CG1337" i="48" s="1"/>
  <c r="CF1333" i="48"/>
  <c r="CG1333" i="48" s="1"/>
  <c r="CF1329" i="48"/>
  <c r="CG1329" i="48" s="1"/>
  <c r="CI1328" i="48"/>
  <c r="W1329" i="48" s="1"/>
  <c r="CF1323" i="48"/>
  <c r="CG1323" i="48" s="1"/>
  <c r="CF1322" i="48"/>
  <c r="CG1322" i="48" s="1"/>
  <c r="CF1319" i="48"/>
  <c r="CG1319" i="48" s="1"/>
  <c r="CF1318" i="48"/>
  <c r="CG1318" i="48" s="1"/>
  <c r="CF1315" i="48"/>
  <c r="CG1315" i="48" s="1"/>
  <c r="CF1314" i="48"/>
  <c r="CG1314" i="48" s="1"/>
  <c r="CF1311" i="48"/>
  <c r="CG1311" i="48" s="1"/>
  <c r="CF1310" i="48"/>
  <c r="CG1310" i="48" s="1"/>
  <c r="CF1309" i="48"/>
  <c r="CG1309" i="48" s="1"/>
  <c r="CF1306" i="48"/>
  <c r="CG1306" i="48" s="1"/>
  <c r="CF1305" i="48"/>
  <c r="CG1305" i="48" s="1"/>
  <c r="CI1303" i="48"/>
  <c r="W1304" i="48" s="1"/>
  <c r="CF1297" i="48"/>
  <c r="CG1297" i="48" s="1"/>
  <c r="CF1293" i="48"/>
  <c r="CG1293" i="48" s="1"/>
  <c r="CF1289" i="48"/>
  <c r="CG1289" i="48" s="1"/>
  <c r="CF1285" i="48"/>
  <c r="CG1285" i="48" s="1"/>
  <c r="CF1282" i="48"/>
  <c r="CG1282" i="48" s="1"/>
  <c r="CF1281" i="48"/>
  <c r="CG1281" i="48" s="1"/>
  <c r="CI1278" i="48"/>
  <c r="W1279" i="48" s="1"/>
  <c r="CF1272" i="48"/>
  <c r="CG1272" i="48" s="1"/>
  <c r="CF1271" i="48"/>
  <c r="CG1271" i="48" s="1"/>
  <c r="CF1268" i="48"/>
  <c r="CG1268" i="48" s="1"/>
  <c r="CF1267" i="48"/>
  <c r="CG1267" i="48" s="1"/>
  <c r="CF1264" i="48"/>
  <c r="CG1264" i="48" s="1"/>
  <c r="CF1263" i="48"/>
  <c r="CG1263" i="48" s="1"/>
  <c r="CF1260" i="48"/>
  <c r="CG1260" i="48" s="1"/>
  <c r="CF1259" i="48"/>
  <c r="CG1259" i="48" s="1"/>
  <c r="CF1255" i="48"/>
  <c r="CG1255" i="48" s="1"/>
  <c r="CI1253" i="48"/>
  <c r="W1254" i="48" s="1"/>
  <c r="CF1246" i="48"/>
  <c r="CG1246" i="48" s="1"/>
  <c r="CF1245" i="48"/>
  <c r="CG1245" i="48" s="1"/>
  <c r="CF1243" i="48"/>
  <c r="CG1243" i="48" s="1"/>
  <c r="CF1242" i="48"/>
  <c r="CG1242" i="48" s="1"/>
  <c r="CF1238" i="48"/>
  <c r="CG1238" i="48" s="1"/>
  <c r="CF1235" i="48"/>
  <c r="CG1235" i="48" s="1"/>
  <c r="CF1234" i="48"/>
  <c r="CG1234" i="48" s="1"/>
  <c r="CF1231" i="48"/>
  <c r="CG1231" i="48" s="1"/>
  <c r="CF1230" i="48"/>
  <c r="CG1230" i="48" s="1"/>
  <c r="CI1228" i="48"/>
  <c r="W1229" i="48" s="1"/>
  <c r="CF1222" i="48"/>
  <c r="CG1222" i="48" s="1"/>
  <c r="CF1220" i="48"/>
  <c r="CG1220" i="48" s="1"/>
  <c r="CF1218" i="48"/>
  <c r="CG1218" i="48" s="1"/>
  <c r="CF1215" i="48"/>
  <c r="CG1215" i="48" s="1"/>
  <c r="CF1214" i="48"/>
  <c r="CG1214" i="48" s="1"/>
  <c r="CF1206" i="48"/>
  <c r="CG1206" i="48" s="1"/>
  <c r="CI1203" i="48"/>
  <c r="W1204" i="48" s="1"/>
  <c r="CF1180" i="48"/>
  <c r="CG1180" i="48" s="1"/>
  <c r="CI1178" i="48"/>
  <c r="W1179" i="48" s="1"/>
  <c r="CF1173" i="48"/>
  <c r="CG1173" i="48" s="1"/>
  <c r="CG1172" i="48"/>
  <c r="CF1169" i="48"/>
  <c r="CG1169" i="48" s="1"/>
  <c r="CF1168" i="48"/>
  <c r="CG1168" i="48" s="1"/>
  <c r="CF1165" i="48"/>
  <c r="CG1165" i="48" s="1"/>
  <c r="CF1164" i="48"/>
  <c r="CG1164" i="48" s="1"/>
  <c r="CF1161" i="48"/>
  <c r="CG1161" i="48" s="1"/>
  <c r="CF1160" i="48"/>
  <c r="CG1160" i="48" s="1"/>
  <c r="CF1157" i="48"/>
  <c r="CG1157" i="48" s="1"/>
  <c r="CF1156" i="48"/>
  <c r="CG1156" i="48" s="1"/>
  <c r="CI1153" i="48"/>
  <c r="W1154" i="48" s="1"/>
  <c r="CF1148" i="48"/>
  <c r="CG1148" i="48" s="1"/>
  <c r="CF1145" i="48"/>
  <c r="CG1145" i="48" s="1"/>
  <c r="CF1144" i="48"/>
  <c r="CG1144" i="48" s="1"/>
  <c r="CF1141" i="48"/>
  <c r="CG1141" i="48" s="1"/>
  <c r="CF1140" i="48"/>
  <c r="CG1140" i="48" s="1"/>
  <c r="CF1137" i="48"/>
  <c r="CG1137" i="48" s="1"/>
  <c r="CF1136" i="48"/>
  <c r="CG1136" i="48" s="1"/>
  <c r="CF1133" i="48"/>
  <c r="CG1133" i="48" s="1"/>
  <c r="CF1132" i="48"/>
  <c r="CG1132" i="48" s="1"/>
  <c r="CF1129" i="48"/>
  <c r="CG1129" i="48" s="1"/>
  <c r="CI1128" i="48"/>
  <c r="W1129" i="48" s="1"/>
  <c r="CF1123" i="48"/>
  <c r="CG1123" i="48" s="1"/>
  <c r="CF1121" i="48"/>
  <c r="CG1121" i="48" s="1"/>
  <c r="CF1119" i="48"/>
  <c r="CG1119" i="48" s="1"/>
  <c r="CF1117" i="48"/>
  <c r="CG1117" i="48" s="1"/>
  <c r="CF1115" i="48"/>
  <c r="CG1115" i="48" s="1"/>
  <c r="CF1113" i="48"/>
  <c r="CG1113" i="48" s="1"/>
  <c r="CF1111" i="48"/>
  <c r="CG1111" i="48" s="1"/>
  <c r="CF1109" i="48"/>
  <c r="CG1109" i="48" s="1"/>
  <c r="CF1107" i="48"/>
  <c r="CG1107" i="48" s="1"/>
  <c r="CF1105" i="48"/>
  <c r="CG1105" i="48" s="1"/>
  <c r="CI1103" i="48"/>
  <c r="W1104" i="48" s="1"/>
  <c r="CF1097" i="48"/>
  <c r="CG1097" i="48" s="1"/>
  <c r="CF1095" i="48"/>
  <c r="CG1095" i="48" s="1"/>
  <c r="CF1094" i="48"/>
  <c r="CG1094" i="48" s="1"/>
  <c r="CF1093" i="48"/>
  <c r="CG1093" i="48" s="1"/>
  <c r="CF1090" i="48"/>
  <c r="CG1090" i="48" s="1"/>
  <c r="CF1088" i="48"/>
  <c r="CG1088" i="48" s="1"/>
  <c r="CF1086" i="48"/>
  <c r="CG1086" i="48" s="1"/>
  <c r="CI1078" i="48"/>
  <c r="W1079" i="48" s="1"/>
  <c r="CI1053" i="48"/>
  <c r="W1054" i="48" s="1"/>
  <c r="CI1028" i="48"/>
  <c r="W1029" i="48" s="1"/>
  <c r="CI1003" i="48"/>
  <c r="W1004" i="48" s="1"/>
  <c r="CF997" i="48"/>
  <c r="CG997" i="48" s="1"/>
  <c r="CF993" i="48"/>
  <c r="CG993" i="48" s="1"/>
  <c r="CF991" i="48"/>
  <c r="CG991" i="48" s="1"/>
  <c r="CF987" i="48"/>
  <c r="CG987" i="48" s="1"/>
  <c r="CF983" i="48"/>
  <c r="CG983" i="48" s="1"/>
  <c r="CF979" i="48"/>
  <c r="CG979" i="48" s="1"/>
  <c r="CI978" i="48"/>
  <c r="W979" i="48" s="1"/>
  <c r="CF971" i="48"/>
  <c r="CG971" i="48" s="1"/>
  <c r="CF967" i="48"/>
  <c r="CG967" i="48" s="1"/>
  <c r="CF963" i="48"/>
  <c r="CG963" i="48" s="1"/>
  <c r="CF959" i="48"/>
  <c r="CG959" i="48" s="1"/>
  <c r="CF955" i="48"/>
  <c r="CG955" i="48" s="1"/>
  <c r="CI953" i="48"/>
  <c r="W954" i="48" s="1"/>
  <c r="CF947" i="48"/>
  <c r="CG947" i="48" s="1"/>
  <c r="CF943" i="48"/>
  <c r="CG943" i="48" s="1"/>
  <c r="CF939" i="48"/>
  <c r="CG939" i="48" s="1"/>
  <c r="CF936" i="48"/>
  <c r="CG936" i="48" s="1"/>
  <c r="CF935" i="48"/>
  <c r="CG935" i="48" s="1"/>
  <c r="CF931" i="48"/>
  <c r="CG931" i="48" s="1"/>
  <c r="CF929" i="48"/>
  <c r="CG929" i="48" s="1"/>
  <c r="CI928" i="48"/>
  <c r="W929" i="48" s="1"/>
  <c r="CI903" i="48"/>
  <c r="W904" i="48" s="1"/>
  <c r="CI878" i="48"/>
  <c r="W879" i="48" s="1"/>
  <c r="CI853" i="48"/>
  <c r="W854" i="48" s="1"/>
  <c r="CF848" i="48"/>
  <c r="CG848" i="48" s="1"/>
  <c r="CF845" i="48"/>
  <c r="CG845" i="48" s="1"/>
  <c r="CF844" i="48"/>
  <c r="CG844" i="48" s="1"/>
  <c r="CF841" i="48"/>
  <c r="CG841" i="48" s="1"/>
  <c r="CF840" i="48"/>
  <c r="CG840" i="48" s="1"/>
  <c r="CF837" i="48"/>
  <c r="CG837" i="48" s="1"/>
  <c r="CF836" i="48"/>
  <c r="CG836" i="48" s="1"/>
  <c r="CF833" i="48"/>
  <c r="CG833" i="48" s="1"/>
  <c r="CF832" i="48"/>
  <c r="CG832" i="48" s="1"/>
  <c r="CF829" i="48"/>
  <c r="CG829" i="48" s="1"/>
  <c r="CI828" i="48"/>
  <c r="W829" i="48" s="1"/>
  <c r="CF821" i="48"/>
  <c r="CG821" i="48" s="1"/>
  <c r="CF819" i="48"/>
  <c r="CG819" i="48" s="1"/>
  <c r="CF817" i="48"/>
  <c r="CG817" i="48" s="1"/>
  <c r="CF815" i="48"/>
  <c r="CG815" i="48" s="1"/>
  <c r="CF813" i="48"/>
  <c r="CG813" i="48" s="1"/>
  <c r="CF811" i="48"/>
  <c r="CG811" i="48" s="1"/>
  <c r="CF809" i="48"/>
  <c r="CG809" i="48" s="1"/>
  <c r="CF807" i="48"/>
  <c r="CG807" i="48" s="1"/>
  <c r="CF805" i="48"/>
  <c r="CG805" i="48" s="1"/>
  <c r="CI803" i="48"/>
  <c r="W804" i="48" s="1"/>
  <c r="CF797" i="48"/>
  <c r="CG797" i="48" s="1"/>
  <c r="CF795" i="48"/>
  <c r="CG795" i="48" s="1"/>
  <c r="CF793" i="48"/>
  <c r="CG793" i="48" s="1"/>
  <c r="CF791" i="48"/>
  <c r="CG791" i="48" s="1"/>
  <c r="CF789" i="48"/>
  <c r="CG789" i="48" s="1"/>
  <c r="CF787" i="48"/>
  <c r="CG787" i="48" s="1"/>
  <c r="CF785" i="48"/>
  <c r="CG785" i="48" s="1"/>
  <c r="CF783" i="48"/>
  <c r="CG783" i="48" s="1"/>
  <c r="CF781" i="48"/>
  <c r="CG781" i="48" s="1"/>
  <c r="CI778" i="48"/>
  <c r="W779" i="48" s="1"/>
  <c r="CF767" i="48"/>
  <c r="CG767" i="48" s="1"/>
  <c r="CF763" i="48"/>
  <c r="CG763" i="48" s="1"/>
  <c r="CF759" i="48"/>
  <c r="CG759" i="48" s="1"/>
  <c r="CF755" i="48"/>
  <c r="CG755" i="48" s="1"/>
  <c r="CI753" i="48"/>
  <c r="W754" i="48" s="1"/>
  <c r="CF747" i="48"/>
  <c r="CG747" i="48" s="1"/>
  <c r="CF743" i="48"/>
  <c r="CG743" i="48" s="1"/>
  <c r="CF739" i="48"/>
  <c r="CG739" i="48" s="1"/>
  <c r="CF735" i="48"/>
  <c r="CG735" i="48" s="1"/>
  <c r="CF731" i="48"/>
  <c r="CG731" i="48" s="1"/>
  <c r="CI728" i="48"/>
  <c r="W729" i="48" s="1"/>
  <c r="CF723" i="48"/>
  <c r="CG723" i="48" s="1"/>
  <c r="CI703" i="48"/>
  <c r="W704" i="48" s="1"/>
  <c r="CI678" i="48"/>
  <c r="W679" i="48" s="1"/>
  <c r="CF671" i="48"/>
  <c r="CG671" i="48" s="1"/>
  <c r="CF670" i="48"/>
  <c r="CG670" i="48" s="1"/>
  <c r="CF667" i="48"/>
  <c r="CG667" i="48" s="1"/>
  <c r="CF666" i="48"/>
  <c r="CG666" i="48" s="1"/>
  <c r="CF664" i="48"/>
  <c r="CG664" i="48" s="1"/>
  <c r="CF663" i="48"/>
  <c r="CG663" i="48" s="1"/>
  <c r="CF659" i="48"/>
  <c r="CG659" i="48" s="1"/>
  <c r="CF656" i="48"/>
  <c r="CG656" i="48" s="1"/>
  <c r="CF655" i="48"/>
  <c r="CG655" i="48" s="1"/>
  <c r="CF648" i="48"/>
  <c r="CG648" i="48" s="1"/>
  <c r="CF647" i="48"/>
  <c r="CG647" i="48" s="1"/>
  <c r="CF643" i="48"/>
  <c r="CG643" i="48" s="1"/>
  <c r="CF640" i="48"/>
  <c r="CG640" i="48" s="1"/>
  <c r="CF639" i="48"/>
  <c r="CG639" i="48" s="1"/>
  <c r="CF636" i="48"/>
  <c r="CG636" i="48" s="1"/>
  <c r="CF635" i="48"/>
  <c r="CG635" i="48" s="1"/>
  <c r="CF632" i="48"/>
  <c r="CG632" i="48" s="1"/>
  <c r="CF631" i="48"/>
  <c r="CG631" i="48" s="1"/>
  <c r="CI628" i="48"/>
  <c r="W629" i="48" s="1"/>
  <c r="CF623" i="48"/>
  <c r="CG623" i="48" s="1"/>
  <c r="CF619" i="48"/>
  <c r="CG619" i="48" s="1"/>
  <c r="CF615" i="48"/>
  <c r="CG615" i="48" s="1"/>
  <c r="CF611" i="48"/>
  <c r="CG611" i="48" s="1"/>
  <c r="CF607" i="48"/>
  <c r="CG607" i="48" s="1"/>
  <c r="CI603" i="48"/>
  <c r="W604" i="48" s="1"/>
  <c r="CF595" i="48"/>
  <c r="CG595" i="48" s="1"/>
  <c r="CF591" i="48"/>
  <c r="CG591" i="48" s="1"/>
  <c r="CF587" i="48"/>
  <c r="CG587" i="48" s="1"/>
  <c r="CF583" i="48"/>
  <c r="CG583" i="48" s="1"/>
  <c r="CI578" i="48"/>
  <c r="W579" i="48" s="1"/>
  <c r="CI553" i="48"/>
  <c r="W554" i="48" s="1"/>
  <c r="CF533" i="48"/>
  <c r="CG533" i="48" s="1"/>
  <c r="CI528" i="48"/>
  <c r="W529" i="48" s="1"/>
  <c r="CI503" i="48"/>
  <c r="W504" i="48" s="1"/>
  <c r="CF498" i="48"/>
  <c r="CG498" i="48" s="1"/>
  <c r="CF496" i="48"/>
  <c r="CG496" i="48" s="1"/>
  <c r="CF494" i="48"/>
  <c r="CG494" i="48" s="1"/>
  <c r="CF492" i="48"/>
  <c r="CG492" i="48" s="1"/>
  <c r="CF490" i="48"/>
  <c r="CG490" i="48" s="1"/>
  <c r="CF488" i="48"/>
  <c r="CG488" i="48" s="1"/>
  <c r="CF486" i="48"/>
  <c r="CG486" i="48" s="1"/>
  <c r="CF484" i="48"/>
  <c r="CG484" i="48" s="1"/>
  <c r="CF482" i="48"/>
  <c r="CG482" i="48" s="1"/>
  <c r="CF480" i="48"/>
  <c r="CG480" i="48" s="1"/>
  <c r="CI478" i="48"/>
  <c r="W479" i="48" s="1"/>
  <c r="CF473" i="48"/>
  <c r="CG473" i="48" s="1"/>
  <c r="CF471" i="48"/>
  <c r="CG471" i="48" s="1"/>
  <c r="CF469" i="48"/>
  <c r="CG469" i="48" s="1"/>
  <c r="CF467" i="48"/>
  <c r="CG467" i="48" s="1"/>
  <c r="CF465" i="48"/>
  <c r="CG465" i="48" s="1"/>
  <c r="CF463" i="48"/>
  <c r="CG463" i="48" s="1"/>
  <c r="CF461" i="48"/>
  <c r="CG461" i="48" s="1"/>
  <c r="CF459" i="48"/>
  <c r="CG459" i="48" s="1"/>
  <c r="CF457" i="48"/>
  <c r="CG457" i="48" s="1"/>
  <c r="CF455" i="48"/>
  <c r="CG455" i="48" s="1"/>
  <c r="CI453" i="48"/>
  <c r="W454" i="48" s="1"/>
  <c r="CF447" i="48"/>
  <c r="CG447" i="48" s="1"/>
  <c r="CF445" i="48"/>
  <c r="CG445" i="48" s="1"/>
  <c r="CF443" i="48"/>
  <c r="CG443" i="48" s="1"/>
  <c r="CF441" i="48"/>
  <c r="CG441" i="48" s="1"/>
  <c r="CF439" i="48"/>
  <c r="CG439" i="48" s="1"/>
  <c r="CF437" i="48"/>
  <c r="CG437" i="48" s="1"/>
  <c r="CF435" i="48"/>
  <c r="CG435" i="48" s="1"/>
  <c r="CF433" i="48"/>
  <c r="CG433" i="48" s="1"/>
  <c r="CF431" i="48"/>
  <c r="CG431" i="48" s="1"/>
  <c r="CF429" i="48"/>
  <c r="CG429" i="48" s="1"/>
  <c r="CI428" i="48"/>
  <c r="W429" i="48" s="1"/>
  <c r="CF423" i="48"/>
  <c r="CG423" i="48" s="1"/>
  <c r="CF421" i="48"/>
  <c r="CG421" i="48" s="1"/>
  <c r="CF419" i="48"/>
  <c r="CG419" i="48" s="1"/>
  <c r="CF416" i="48"/>
  <c r="CG416" i="48" s="1"/>
  <c r="CF415" i="48"/>
  <c r="CG415" i="48" s="1"/>
  <c r="CF411" i="48"/>
  <c r="CG411" i="48" s="1"/>
  <c r="CF407" i="48"/>
  <c r="CG407" i="48" s="1"/>
  <c r="CI403" i="48"/>
  <c r="W404" i="48" s="1"/>
  <c r="CF395" i="48"/>
  <c r="CG395" i="48" s="1"/>
  <c r="CF391" i="48"/>
  <c r="CG391" i="48" s="1"/>
  <c r="CF387" i="48"/>
  <c r="CG387" i="48" s="1"/>
  <c r="CF382" i="48"/>
  <c r="CG382" i="48" s="1"/>
  <c r="CI378" i="48"/>
  <c r="W379" i="48" s="1"/>
  <c r="CF370" i="48"/>
  <c r="CG370" i="48" s="1"/>
  <c r="CF366" i="48"/>
  <c r="CG366" i="48" s="1"/>
  <c r="CF362" i="48"/>
  <c r="CG362" i="48" s="1"/>
  <c r="CF358" i="48"/>
  <c r="CG358" i="48" s="1"/>
  <c r="CF354" i="48"/>
  <c r="CG354" i="48" s="1"/>
  <c r="CI353" i="48"/>
  <c r="W354" i="48" s="1"/>
  <c r="CF346" i="48"/>
  <c r="CG346" i="48" s="1"/>
  <c r="CF342" i="48"/>
  <c r="CG342" i="48" s="1"/>
  <c r="CF339" i="48"/>
  <c r="CG339" i="48" s="1"/>
  <c r="CF338" i="48"/>
  <c r="CG338" i="48" s="1"/>
  <c r="CF334" i="48"/>
  <c r="CG334" i="48" s="1"/>
  <c r="CF330" i="48"/>
  <c r="CG330" i="48" s="1"/>
  <c r="CI328" i="48"/>
  <c r="W329" i="48" s="1"/>
  <c r="CF322" i="48"/>
  <c r="CG322" i="48" s="1"/>
  <c r="CF321" i="48"/>
  <c r="CG321" i="48" s="1"/>
  <c r="CF320" i="48"/>
  <c r="CG320" i="48" s="1"/>
  <c r="CF318" i="48"/>
  <c r="CG318" i="48" s="1"/>
  <c r="CF317" i="48"/>
  <c r="CG317" i="48" s="1"/>
  <c r="CF316" i="48"/>
  <c r="CG316" i="48" s="1"/>
  <c r="CF314" i="48"/>
  <c r="CG314" i="48" s="1"/>
  <c r="CF313" i="48"/>
  <c r="CG313" i="48" s="1"/>
  <c r="CF312" i="48"/>
  <c r="CG312" i="48" s="1"/>
  <c r="CF310" i="48"/>
  <c r="CG310" i="48" s="1"/>
  <c r="CF309" i="48"/>
  <c r="CG309" i="48" s="1"/>
  <c r="CF308" i="48"/>
  <c r="CG308" i="48" s="1"/>
  <c r="CF306" i="48"/>
  <c r="CG306" i="48" s="1"/>
  <c r="CF305" i="48"/>
  <c r="CG305" i="48" s="1"/>
  <c r="CF304" i="48"/>
  <c r="CG304" i="48" s="1"/>
  <c r="CI303" i="48"/>
  <c r="W304" i="48" s="1"/>
  <c r="CF298" i="48"/>
  <c r="CG298" i="48" s="1"/>
  <c r="CF297" i="48"/>
  <c r="CG297" i="48" s="1"/>
  <c r="CF294" i="48"/>
  <c r="CG294" i="48" s="1"/>
  <c r="CF293" i="48"/>
  <c r="CG293" i="48" s="1"/>
  <c r="CF290" i="48"/>
  <c r="CG290" i="48" s="1"/>
  <c r="CF289" i="48"/>
  <c r="CG289" i="48" s="1"/>
  <c r="CF286" i="48"/>
  <c r="CG286" i="48" s="1"/>
  <c r="CF285" i="48"/>
  <c r="CG285" i="48" s="1"/>
  <c r="CF282" i="48"/>
  <c r="CG282" i="48" s="1"/>
  <c r="CF281" i="48"/>
  <c r="CG281" i="48" s="1"/>
  <c r="CI278" i="48"/>
  <c r="W279" i="48" s="1"/>
  <c r="CF273" i="48"/>
  <c r="CG273" i="48" s="1"/>
  <c r="CF270" i="48"/>
  <c r="CG270" i="48" s="1"/>
  <c r="CF269" i="48"/>
  <c r="CG269" i="48" s="1"/>
  <c r="CF266" i="48"/>
  <c r="CG266" i="48" s="1"/>
  <c r="CF265" i="48"/>
  <c r="CG265" i="48" s="1"/>
  <c r="CF262" i="48"/>
  <c r="CG262" i="48" s="1"/>
  <c r="CF261" i="48"/>
  <c r="CG261" i="48" s="1"/>
  <c r="CF258" i="48"/>
  <c r="CG258" i="48" s="1"/>
  <c r="CF257" i="48"/>
  <c r="CG257" i="48" s="1"/>
  <c r="CF254" i="48"/>
  <c r="CG254" i="48" s="1"/>
  <c r="CI228" i="48"/>
  <c r="W229" i="48" s="1"/>
  <c r="CI203" i="48"/>
  <c r="W204" i="48" s="1"/>
  <c r="CI178" i="48"/>
  <c r="W179" i="48" s="1"/>
  <c r="CI153" i="48"/>
  <c r="W154" i="48" s="1"/>
  <c r="CI128" i="48"/>
  <c r="W129" i="48" s="1"/>
  <c r="CF116" i="48"/>
  <c r="CG116" i="48" s="1"/>
  <c r="CF112" i="48"/>
  <c r="CG112" i="48" s="1"/>
  <c r="CF108" i="48"/>
  <c r="CG108" i="48" s="1"/>
  <c r="CF104" i="48"/>
  <c r="CG104" i="48" s="1"/>
  <c r="CI103" i="48"/>
  <c r="W104" i="48" s="1"/>
  <c r="CF96" i="48"/>
  <c r="CG96" i="48" s="1"/>
  <c r="CI78" i="48"/>
  <c r="W79" i="48" s="1"/>
  <c r="CI53" i="48"/>
  <c r="W54" i="48" s="1"/>
  <c r="CF45" i="48"/>
  <c r="CG45" i="48" s="1"/>
  <c r="CF21" i="48"/>
  <c r="CG21" i="48" s="1"/>
  <c r="CF17" i="48"/>
  <c r="CG17" i="48" s="1"/>
  <c r="CF13" i="48"/>
  <c r="CG13" i="48" s="1"/>
  <c r="CF9" i="48"/>
  <c r="CG9" i="48" s="1"/>
  <c r="CF5" i="48"/>
  <c r="CG5" i="48" s="1"/>
  <c r="CI3" i="48"/>
  <c r="W4" i="48" l="1"/>
  <c r="CI1329" i="48"/>
  <c r="W1330" i="48" s="1"/>
  <c r="CI1129" i="48"/>
  <c r="W1130" i="48" s="1"/>
  <c r="CI979" i="48"/>
  <c r="W980" i="48" s="1"/>
  <c r="CI929" i="48"/>
  <c r="W930" i="48" s="1"/>
  <c r="CI829" i="48"/>
  <c r="W830" i="48" s="1"/>
  <c r="CI429" i="48"/>
  <c r="W430" i="48" s="1"/>
  <c r="CI354" i="48"/>
  <c r="W355" i="48" s="1"/>
  <c r="CI306" i="48"/>
  <c r="CI305" i="48"/>
  <c r="CI304" i="48"/>
  <c r="W305" i="48" s="1"/>
  <c r="CI254" i="48"/>
  <c r="W255" i="48" s="1"/>
  <c r="CI104" i="48"/>
  <c r="W105" i="48" s="1"/>
  <c r="CF11" i="48"/>
  <c r="CG11" i="48" s="1"/>
  <c r="CF23" i="48"/>
  <c r="CG23" i="48" s="1"/>
  <c r="CF55" i="48"/>
  <c r="CG55" i="48" s="1"/>
  <c r="CF71" i="48"/>
  <c r="CG71" i="48" s="1"/>
  <c r="CF7" i="48"/>
  <c r="CG7" i="48" s="1"/>
  <c r="CF35" i="48"/>
  <c r="CG35" i="48" s="1"/>
  <c r="CF94" i="48"/>
  <c r="CG94" i="48" s="1"/>
  <c r="CF16" i="48"/>
  <c r="CG16" i="48" s="1"/>
  <c r="CF47" i="48"/>
  <c r="CG47" i="48" s="1"/>
  <c r="CF59" i="48"/>
  <c r="CG59" i="48" s="1"/>
  <c r="CF12" i="48"/>
  <c r="CG12" i="48" s="1"/>
  <c r="CF39" i="48"/>
  <c r="CG39" i="48" s="1"/>
  <c r="CF82" i="48"/>
  <c r="CG82" i="48" s="1"/>
  <c r="CF8" i="48"/>
  <c r="CG8" i="48" s="1"/>
  <c r="CF63" i="48"/>
  <c r="CG63" i="48" s="1"/>
  <c r="CF4" i="48"/>
  <c r="CG4" i="48" s="1"/>
  <c r="CF43" i="48"/>
  <c r="CG43" i="48" s="1"/>
  <c r="CF86" i="48"/>
  <c r="CG86" i="48" s="1"/>
  <c r="CF19" i="48"/>
  <c r="CG19" i="48" s="1"/>
  <c r="CF67" i="48"/>
  <c r="CG67" i="48" s="1"/>
  <c r="CF15" i="48"/>
  <c r="CG15" i="48" s="1"/>
  <c r="CF31" i="48"/>
  <c r="CG31" i="48" s="1"/>
  <c r="CF90" i="48"/>
  <c r="CG90" i="48" s="1"/>
  <c r="CF29" i="48"/>
  <c r="CG29" i="48" s="1"/>
  <c r="CF33" i="48"/>
  <c r="CG33" i="48" s="1"/>
  <c r="CF37" i="48"/>
  <c r="CG37" i="48" s="1"/>
  <c r="CF41" i="48"/>
  <c r="CG41" i="48" s="1"/>
  <c r="CF57" i="48"/>
  <c r="CG57" i="48" s="1"/>
  <c r="CF61" i="48"/>
  <c r="CG61" i="48" s="1"/>
  <c r="CF65" i="48"/>
  <c r="CG65" i="48" s="1"/>
  <c r="CF69" i="48"/>
  <c r="CG69" i="48" s="1"/>
  <c r="CF73" i="48"/>
  <c r="CG73" i="48" s="1"/>
  <c r="CF80" i="48"/>
  <c r="CG80" i="48" s="1"/>
  <c r="CF84" i="48"/>
  <c r="CG84" i="48" s="1"/>
  <c r="CF88" i="48"/>
  <c r="CG88" i="48" s="1"/>
  <c r="CF92" i="48"/>
  <c r="CG92" i="48" s="1"/>
  <c r="CF120" i="48"/>
  <c r="CG120" i="48" s="1"/>
  <c r="CF132" i="48"/>
  <c r="CG132" i="48" s="1"/>
  <c r="CF136" i="48"/>
  <c r="CG136" i="48" s="1"/>
  <c r="CF140" i="48"/>
  <c r="CG140" i="48" s="1"/>
  <c r="CF144" i="48"/>
  <c r="CG144" i="48" s="1"/>
  <c r="CF148" i="48"/>
  <c r="CG148" i="48" s="1"/>
  <c r="CF156" i="48"/>
  <c r="CG156" i="48" s="1"/>
  <c r="CF160" i="48"/>
  <c r="CG160" i="48" s="1"/>
  <c r="CF164" i="48"/>
  <c r="CG164" i="48" s="1"/>
  <c r="CF168" i="48"/>
  <c r="CG168" i="48" s="1"/>
  <c r="CF172" i="48"/>
  <c r="CG172" i="48" s="1"/>
  <c r="CF180" i="48"/>
  <c r="CG180" i="48" s="1"/>
  <c r="CF184" i="48"/>
  <c r="CG184" i="48" s="1"/>
  <c r="CF188" i="48"/>
  <c r="CG188" i="48" s="1"/>
  <c r="CF192" i="48"/>
  <c r="CG192" i="48" s="1"/>
  <c r="CF196" i="48"/>
  <c r="CG196" i="48" s="1"/>
  <c r="CF204" i="48"/>
  <c r="CG204" i="48" s="1"/>
  <c r="CF208" i="48"/>
  <c r="CG208" i="48" s="1"/>
  <c r="CF212" i="48"/>
  <c r="CG212" i="48" s="1"/>
  <c r="CF216" i="48"/>
  <c r="CG216" i="48" s="1"/>
  <c r="CF220" i="48"/>
  <c r="CG220" i="48" s="1"/>
  <c r="CF232" i="48"/>
  <c r="CG232" i="48" s="1"/>
  <c r="CF236" i="48"/>
  <c r="CG236" i="48" s="1"/>
  <c r="CF240" i="48"/>
  <c r="CG240" i="48" s="1"/>
  <c r="CF244" i="48"/>
  <c r="CG244" i="48" s="1"/>
  <c r="CF6" i="48"/>
  <c r="CG6" i="48" s="1"/>
  <c r="CF10" i="48"/>
  <c r="CG10" i="48" s="1"/>
  <c r="CF14" i="48"/>
  <c r="CG14" i="48" s="1"/>
  <c r="CF18" i="48"/>
  <c r="CG18" i="48" s="1"/>
  <c r="CF22" i="48"/>
  <c r="CG22" i="48" s="1"/>
  <c r="CF30" i="48"/>
  <c r="CG30" i="48" s="1"/>
  <c r="CF34" i="48"/>
  <c r="CG34" i="48" s="1"/>
  <c r="CF38" i="48"/>
  <c r="CG38" i="48" s="1"/>
  <c r="CF42" i="48"/>
  <c r="CG42" i="48" s="1"/>
  <c r="CF46" i="48"/>
  <c r="CG46" i="48" s="1"/>
  <c r="CF54" i="48"/>
  <c r="CG54" i="48" s="1"/>
  <c r="CF58" i="48"/>
  <c r="CG58" i="48" s="1"/>
  <c r="CF62" i="48"/>
  <c r="CG62" i="48" s="1"/>
  <c r="CF66" i="48"/>
  <c r="CG66" i="48" s="1"/>
  <c r="CF70" i="48"/>
  <c r="CG70" i="48" s="1"/>
  <c r="CF81" i="48"/>
  <c r="CG81" i="48" s="1"/>
  <c r="CF85" i="48"/>
  <c r="CG85" i="48" s="1"/>
  <c r="CF89" i="48"/>
  <c r="CG89" i="48" s="1"/>
  <c r="CF93" i="48"/>
  <c r="CG93" i="48" s="1"/>
  <c r="CF97" i="48"/>
  <c r="CG97" i="48" s="1"/>
  <c r="CF105" i="48"/>
  <c r="CG105" i="48" s="1"/>
  <c r="CF109" i="48"/>
  <c r="CG109" i="48" s="1"/>
  <c r="CF113" i="48"/>
  <c r="CG113" i="48" s="1"/>
  <c r="CF117" i="48"/>
  <c r="CG117" i="48" s="1"/>
  <c r="CF121" i="48"/>
  <c r="CG121" i="48" s="1"/>
  <c r="CF129" i="48"/>
  <c r="CG129" i="48" s="1"/>
  <c r="CF133" i="48"/>
  <c r="CG133" i="48" s="1"/>
  <c r="CF137" i="48"/>
  <c r="CG137" i="48" s="1"/>
  <c r="CF141" i="48"/>
  <c r="CG141" i="48" s="1"/>
  <c r="CF145" i="48"/>
  <c r="CG145" i="48" s="1"/>
  <c r="CF157" i="48"/>
  <c r="CG157" i="48" s="1"/>
  <c r="CF161" i="48"/>
  <c r="CG161" i="48" s="1"/>
  <c r="CF165" i="48"/>
  <c r="CG165" i="48" s="1"/>
  <c r="CF169" i="48"/>
  <c r="CG169" i="48" s="1"/>
  <c r="CF173" i="48"/>
  <c r="CG173" i="48" s="1"/>
  <c r="CF181" i="48"/>
  <c r="CG181" i="48" s="1"/>
  <c r="CF185" i="48"/>
  <c r="CG185" i="48" s="1"/>
  <c r="CF189" i="48"/>
  <c r="CG189" i="48" s="1"/>
  <c r="CF193" i="48"/>
  <c r="CG193" i="48" s="1"/>
  <c r="CF197" i="48"/>
  <c r="CG197" i="48" s="1"/>
  <c r="CF205" i="48"/>
  <c r="CG205" i="48" s="1"/>
  <c r="CF209" i="48"/>
  <c r="CG209" i="48" s="1"/>
  <c r="CF213" i="48"/>
  <c r="CG213" i="48" s="1"/>
  <c r="CF217" i="48"/>
  <c r="CG217" i="48" s="1"/>
  <c r="CF221" i="48"/>
  <c r="CG221" i="48" s="1"/>
  <c r="CF229" i="48"/>
  <c r="CG229" i="48" s="1"/>
  <c r="CF233" i="48"/>
  <c r="CG233" i="48" s="1"/>
  <c r="CF237" i="48"/>
  <c r="CG237" i="48" s="1"/>
  <c r="CF241" i="48"/>
  <c r="CG241" i="48" s="1"/>
  <c r="CF245" i="48"/>
  <c r="CG245" i="48" s="1"/>
  <c r="CF98" i="48"/>
  <c r="CG98" i="48" s="1"/>
  <c r="CF106" i="48"/>
  <c r="CG106" i="48" s="1"/>
  <c r="CF110" i="48"/>
  <c r="CG110" i="48" s="1"/>
  <c r="CF114" i="48"/>
  <c r="CG114" i="48" s="1"/>
  <c r="CF118" i="48"/>
  <c r="CG118" i="48" s="1"/>
  <c r="CF122" i="48"/>
  <c r="CG122" i="48" s="1"/>
  <c r="CF130" i="48"/>
  <c r="CG130" i="48" s="1"/>
  <c r="CF134" i="48"/>
  <c r="CG134" i="48" s="1"/>
  <c r="CF138" i="48"/>
  <c r="CG138" i="48" s="1"/>
  <c r="CF142" i="48"/>
  <c r="CG142" i="48" s="1"/>
  <c r="CF146" i="48"/>
  <c r="CG146" i="48" s="1"/>
  <c r="CF154" i="48"/>
  <c r="CG154" i="48" s="1"/>
  <c r="CF158" i="48"/>
  <c r="CG158" i="48" s="1"/>
  <c r="CF162" i="48"/>
  <c r="CG162" i="48" s="1"/>
  <c r="CF166" i="48"/>
  <c r="CG166" i="48" s="1"/>
  <c r="CF170" i="48"/>
  <c r="CG170" i="48" s="1"/>
  <c r="CF182" i="48"/>
  <c r="CG182" i="48" s="1"/>
  <c r="CF186" i="48"/>
  <c r="CG186" i="48" s="1"/>
  <c r="CF190" i="48"/>
  <c r="CG190" i="48" s="1"/>
  <c r="CF194" i="48"/>
  <c r="CG194" i="48" s="1"/>
  <c r="CF198" i="48"/>
  <c r="CG198" i="48" s="1"/>
  <c r="CF206" i="48"/>
  <c r="CG206" i="48" s="1"/>
  <c r="CF210" i="48"/>
  <c r="CG210" i="48" s="1"/>
  <c r="CF214" i="48"/>
  <c r="CG214" i="48" s="1"/>
  <c r="CF218" i="48"/>
  <c r="CG218" i="48" s="1"/>
  <c r="CF222" i="48"/>
  <c r="CG222" i="48" s="1"/>
  <c r="CF230" i="48"/>
  <c r="CG230" i="48" s="1"/>
  <c r="CF234" i="48"/>
  <c r="CG234" i="48" s="1"/>
  <c r="CF238" i="48"/>
  <c r="CG238" i="48" s="1"/>
  <c r="CF242" i="48"/>
  <c r="CG242" i="48" s="1"/>
  <c r="CF246" i="48"/>
  <c r="CG246" i="48" s="1"/>
  <c r="CF20" i="48"/>
  <c r="CG20" i="48" s="1"/>
  <c r="CF32" i="48"/>
  <c r="CG32" i="48" s="1"/>
  <c r="CF36" i="48"/>
  <c r="CG36" i="48" s="1"/>
  <c r="CF40" i="48"/>
  <c r="CG40" i="48" s="1"/>
  <c r="CF44" i="48"/>
  <c r="CG44" i="48" s="1"/>
  <c r="CF48" i="48"/>
  <c r="CG48" i="48" s="1"/>
  <c r="CF56" i="48"/>
  <c r="CG56" i="48" s="1"/>
  <c r="CF60" i="48"/>
  <c r="CG60" i="48" s="1"/>
  <c r="CF64" i="48"/>
  <c r="CG64" i="48" s="1"/>
  <c r="CF68" i="48"/>
  <c r="CG68" i="48" s="1"/>
  <c r="CF72" i="48"/>
  <c r="CG72" i="48" s="1"/>
  <c r="CF79" i="48"/>
  <c r="CG79" i="48" s="1"/>
  <c r="CF83" i="48"/>
  <c r="CG83" i="48" s="1"/>
  <c r="CF87" i="48"/>
  <c r="CG87" i="48" s="1"/>
  <c r="CF91" i="48"/>
  <c r="CG91" i="48" s="1"/>
  <c r="CF95" i="48"/>
  <c r="CG95" i="48" s="1"/>
  <c r="CF107" i="48"/>
  <c r="CG107" i="48" s="1"/>
  <c r="CF111" i="48"/>
  <c r="CG111" i="48" s="1"/>
  <c r="CF115" i="48"/>
  <c r="CG115" i="48" s="1"/>
  <c r="CF119" i="48"/>
  <c r="CG119" i="48" s="1"/>
  <c r="CF123" i="48"/>
  <c r="CG123" i="48" s="1"/>
  <c r="CF131" i="48"/>
  <c r="CG131" i="48" s="1"/>
  <c r="CF135" i="48"/>
  <c r="CG135" i="48" s="1"/>
  <c r="CF139" i="48"/>
  <c r="CG139" i="48" s="1"/>
  <c r="CF143" i="48"/>
  <c r="CG143" i="48" s="1"/>
  <c r="CF147" i="48"/>
  <c r="CG147" i="48" s="1"/>
  <c r="CF155" i="48"/>
  <c r="CG155" i="48" s="1"/>
  <c r="CF159" i="48"/>
  <c r="CG159" i="48" s="1"/>
  <c r="CF163" i="48"/>
  <c r="CG163" i="48" s="1"/>
  <c r="CF167" i="48"/>
  <c r="CG167" i="48" s="1"/>
  <c r="CF171" i="48"/>
  <c r="CG171" i="48" s="1"/>
  <c r="CF179" i="48"/>
  <c r="CG179" i="48" s="1"/>
  <c r="CF183" i="48"/>
  <c r="CG183" i="48" s="1"/>
  <c r="CF187" i="48"/>
  <c r="CG187" i="48" s="1"/>
  <c r="CF191" i="48"/>
  <c r="CG191" i="48" s="1"/>
  <c r="CF195" i="48"/>
  <c r="CG195" i="48" s="1"/>
  <c r="CF207" i="48"/>
  <c r="CG207" i="48" s="1"/>
  <c r="CF211" i="48"/>
  <c r="CG211" i="48" s="1"/>
  <c r="CF215" i="48"/>
  <c r="CG215" i="48" s="1"/>
  <c r="CF219" i="48"/>
  <c r="CG219" i="48" s="1"/>
  <c r="CF223" i="48"/>
  <c r="CG223" i="48" s="1"/>
  <c r="CF231" i="48"/>
  <c r="CG231" i="48" s="1"/>
  <c r="CF235" i="48"/>
  <c r="CG235" i="48" s="1"/>
  <c r="CF239" i="48"/>
  <c r="CG239" i="48" s="1"/>
  <c r="CF243" i="48"/>
  <c r="CG243" i="48" s="1"/>
  <c r="CF247" i="48"/>
  <c r="CG247" i="48" s="1"/>
  <c r="CF248" i="48"/>
  <c r="CG248" i="48" s="1"/>
  <c r="CF255" i="48"/>
  <c r="CG255" i="48" s="1"/>
  <c r="CF259" i="48"/>
  <c r="CG259" i="48" s="1"/>
  <c r="CF263" i="48"/>
  <c r="CG263" i="48" s="1"/>
  <c r="CF267" i="48"/>
  <c r="CG267" i="48" s="1"/>
  <c r="CF271" i="48"/>
  <c r="CG271" i="48" s="1"/>
  <c r="CF279" i="48"/>
  <c r="CG279" i="48" s="1"/>
  <c r="CF283" i="48"/>
  <c r="CG283" i="48" s="1"/>
  <c r="CF287" i="48"/>
  <c r="CG287" i="48" s="1"/>
  <c r="CF291" i="48"/>
  <c r="CG291" i="48" s="1"/>
  <c r="CF295" i="48"/>
  <c r="CG295" i="48" s="1"/>
  <c r="CF307" i="48"/>
  <c r="CG307" i="48" s="1"/>
  <c r="CF311" i="48"/>
  <c r="CG311" i="48" s="1"/>
  <c r="CF315" i="48"/>
  <c r="CG315" i="48" s="1"/>
  <c r="CF319" i="48"/>
  <c r="CG319" i="48" s="1"/>
  <c r="CF323" i="48"/>
  <c r="CG323" i="48" s="1"/>
  <c r="CF256" i="48"/>
  <c r="CG256" i="48" s="1"/>
  <c r="CF260" i="48"/>
  <c r="CG260" i="48" s="1"/>
  <c r="CF264" i="48"/>
  <c r="CG264" i="48" s="1"/>
  <c r="CF268" i="48"/>
  <c r="CG268" i="48" s="1"/>
  <c r="CF272" i="48"/>
  <c r="CG272" i="48" s="1"/>
  <c r="CF280" i="48"/>
  <c r="CG280" i="48" s="1"/>
  <c r="CF284" i="48"/>
  <c r="CG284" i="48" s="1"/>
  <c r="CF288" i="48"/>
  <c r="CG288" i="48" s="1"/>
  <c r="CF292" i="48"/>
  <c r="CG292" i="48" s="1"/>
  <c r="CF296" i="48"/>
  <c r="CG296" i="48" s="1"/>
  <c r="CF329" i="48"/>
  <c r="CG329" i="48" s="1"/>
  <c r="CF333" i="48"/>
  <c r="CG333" i="48" s="1"/>
  <c r="CF337" i="48"/>
  <c r="CG337" i="48" s="1"/>
  <c r="CF341" i="48"/>
  <c r="CG341" i="48" s="1"/>
  <c r="CF345" i="48"/>
  <c r="CG345" i="48" s="1"/>
  <c r="CF357" i="48"/>
  <c r="CG357" i="48" s="1"/>
  <c r="CF361" i="48"/>
  <c r="CG361" i="48" s="1"/>
  <c r="CF365" i="48"/>
  <c r="CG365" i="48" s="1"/>
  <c r="CF369" i="48"/>
  <c r="CG369" i="48" s="1"/>
  <c r="CF373" i="48"/>
  <c r="CG373" i="48" s="1"/>
  <c r="CF381" i="48"/>
  <c r="CG381" i="48" s="1"/>
  <c r="CF385" i="48"/>
  <c r="CG385" i="48" s="1"/>
  <c r="CF389" i="48"/>
  <c r="CG389" i="48" s="1"/>
  <c r="CF393" i="48"/>
  <c r="CG393" i="48" s="1"/>
  <c r="CF397" i="48"/>
  <c r="CG397" i="48" s="1"/>
  <c r="CF405" i="48"/>
  <c r="CG405" i="48" s="1"/>
  <c r="CF409" i="48"/>
  <c r="CG409" i="48" s="1"/>
  <c r="CF413" i="48"/>
  <c r="CG413" i="48" s="1"/>
  <c r="CF417" i="48"/>
  <c r="CG417" i="48" s="1"/>
  <c r="CF386" i="48"/>
  <c r="CG386" i="48" s="1"/>
  <c r="CF390" i="48"/>
  <c r="CG390" i="48" s="1"/>
  <c r="CF394" i="48"/>
  <c r="CG394" i="48" s="1"/>
  <c r="CF398" i="48"/>
  <c r="CG398" i="48" s="1"/>
  <c r="CF406" i="48"/>
  <c r="CG406" i="48" s="1"/>
  <c r="CF410" i="48"/>
  <c r="CG410" i="48" s="1"/>
  <c r="CF414" i="48"/>
  <c r="CG414" i="48" s="1"/>
  <c r="CF418" i="48"/>
  <c r="CG418" i="48" s="1"/>
  <c r="CF331" i="48"/>
  <c r="CG331" i="48" s="1"/>
  <c r="CF335" i="48"/>
  <c r="CG335" i="48" s="1"/>
  <c r="CF343" i="48"/>
  <c r="CG343" i="48" s="1"/>
  <c r="CF347" i="48"/>
  <c r="CG347" i="48" s="1"/>
  <c r="CF355" i="48"/>
  <c r="CG355" i="48" s="1"/>
  <c r="CF359" i="48"/>
  <c r="CG359" i="48" s="1"/>
  <c r="CF363" i="48"/>
  <c r="CG363" i="48" s="1"/>
  <c r="CF367" i="48"/>
  <c r="CG367" i="48" s="1"/>
  <c r="CF371" i="48"/>
  <c r="CG371" i="48" s="1"/>
  <c r="CF379" i="48"/>
  <c r="CG379" i="48" s="1"/>
  <c r="CF383" i="48"/>
  <c r="CG383" i="48" s="1"/>
  <c r="CF332" i="48"/>
  <c r="CG332" i="48" s="1"/>
  <c r="CF336" i="48"/>
  <c r="CG336" i="48" s="1"/>
  <c r="CF340" i="48"/>
  <c r="CG340" i="48" s="1"/>
  <c r="CF344" i="48"/>
  <c r="CG344" i="48" s="1"/>
  <c r="CF348" i="48"/>
  <c r="CG348" i="48" s="1"/>
  <c r="CF356" i="48"/>
  <c r="CG356" i="48" s="1"/>
  <c r="CF360" i="48"/>
  <c r="CG360" i="48" s="1"/>
  <c r="CF364" i="48"/>
  <c r="CG364" i="48" s="1"/>
  <c r="CF368" i="48"/>
  <c r="CG368" i="48" s="1"/>
  <c r="CF372" i="48"/>
  <c r="CG372" i="48" s="1"/>
  <c r="CF380" i="48"/>
  <c r="CG380" i="48" s="1"/>
  <c r="CF384" i="48"/>
  <c r="CG384" i="48" s="1"/>
  <c r="CF388" i="48"/>
  <c r="CG388" i="48" s="1"/>
  <c r="CF392" i="48"/>
  <c r="CG392" i="48" s="1"/>
  <c r="CF396" i="48"/>
  <c r="CG396" i="48" s="1"/>
  <c r="CF404" i="48"/>
  <c r="CG404" i="48" s="1"/>
  <c r="CF408" i="48"/>
  <c r="CG408" i="48" s="1"/>
  <c r="CF412" i="48"/>
  <c r="CG412" i="48" s="1"/>
  <c r="CF422" i="48"/>
  <c r="CG422" i="48" s="1"/>
  <c r="CF430" i="48"/>
  <c r="CG430" i="48" s="1"/>
  <c r="CF434" i="48"/>
  <c r="CG434" i="48" s="1"/>
  <c r="CF438" i="48"/>
  <c r="CG438" i="48" s="1"/>
  <c r="CF442" i="48"/>
  <c r="CG442" i="48" s="1"/>
  <c r="CF446" i="48"/>
  <c r="CG446" i="48" s="1"/>
  <c r="CF454" i="48"/>
  <c r="CG454" i="48" s="1"/>
  <c r="CF458" i="48"/>
  <c r="CG458" i="48" s="1"/>
  <c r="CF462" i="48"/>
  <c r="CG462" i="48" s="1"/>
  <c r="CF466" i="48"/>
  <c r="CG466" i="48" s="1"/>
  <c r="CF470" i="48"/>
  <c r="CG470" i="48" s="1"/>
  <c r="CF481" i="48"/>
  <c r="CG481" i="48" s="1"/>
  <c r="CF485" i="48"/>
  <c r="CG485" i="48" s="1"/>
  <c r="CF489" i="48"/>
  <c r="CG489" i="48" s="1"/>
  <c r="CF493" i="48"/>
  <c r="CG493" i="48" s="1"/>
  <c r="CF497" i="48"/>
  <c r="CG497" i="48" s="1"/>
  <c r="CF420" i="48"/>
  <c r="CG420" i="48" s="1"/>
  <c r="CF432" i="48"/>
  <c r="CG432" i="48" s="1"/>
  <c r="CF436" i="48"/>
  <c r="CG436" i="48" s="1"/>
  <c r="CF440" i="48"/>
  <c r="CG440" i="48" s="1"/>
  <c r="CF444" i="48"/>
  <c r="CG444" i="48" s="1"/>
  <c r="CF448" i="48"/>
  <c r="CG448" i="48" s="1"/>
  <c r="CF456" i="48"/>
  <c r="CG456" i="48" s="1"/>
  <c r="CF460" i="48"/>
  <c r="CG460" i="48" s="1"/>
  <c r="CF464" i="48"/>
  <c r="CG464" i="48" s="1"/>
  <c r="CF468" i="48"/>
  <c r="CG468" i="48" s="1"/>
  <c r="CF472" i="48"/>
  <c r="CG472" i="48" s="1"/>
  <c r="CF479" i="48"/>
  <c r="CG479" i="48" s="1"/>
  <c r="CF483" i="48"/>
  <c r="CG483" i="48" s="1"/>
  <c r="CF487" i="48"/>
  <c r="CG487" i="48" s="1"/>
  <c r="CF491" i="48"/>
  <c r="CG491" i="48" s="1"/>
  <c r="CF495" i="48"/>
  <c r="CG495" i="48" s="1"/>
  <c r="CF506" i="48"/>
  <c r="CG506" i="48" s="1"/>
  <c r="CF510" i="48"/>
  <c r="CG510" i="48" s="1"/>
  <c r="CF514" i="48"/>
  <c r="CG514" i="48" s="1"/>
  <c r="CF518" i="48"/>
  <c r="CG518" i="48" s="1"/>
  <c r="CF522" i="48"/>
  <c r="CG522" i="48" s="1"/>
  <c r="CF530" i="48"/>
  <c r="CG530" i="48" s="1"/>
  <c r="CF546" i="48"/>
  <c r="CG546" i="48" s="1"/>
  <c r="CF534" i="48"/>
  <c r="CG534" i="48" s="1"/>
  <c r="CF507" i="48"/>
  <c r="CG507" i="48" s="1"/>
  <c r="CF511" i="48"/>
  <c r="CG511" i="48" s="1"/>
  <c r="CF515" i="48"/>
  <c r="CG515" i="48" s="1"/>
  <c r="CF519" i="48"/>
  <c r="CG519" i="48" s="1"/>
  <c r="CF523" i="48"/>
  <c r="CG523" i="48" s="1"/>
  <c r="CF531" i="48"/>
  <c r="CG531" i="48" s="1"/>
  <c r="CF535" i="48"/>
  <c r="CG535" i="48" s="1"/>
  <c r="CF536" i="48"/>
  <c r="CG536" i="48" s="1"/>
  <c r="CF537" i="48"/>
  <c r="CG537" i="48" s="1"/>
  <c r="CF538" i="48"/>
  <c r="CG538" i="48" s="1"/>
  <c r="CF539" i="48"/>
  <c r="CG539" i="48" s="1"/>
  <c r="CF540" i="48"/>
  <c r="CG540" i="48" s="1"/>
  <c r="CF541" i="48"/>
  <c r="CG541" i="48" s="1"/>
  <c r="CF542" i="48"/>
  <c r="CG542" i="48" s="1"/>
  <c r="CF543" i="48"/>
  <c r="CG543" i="48" s="1"/>
  <c r="CF544" i="48"/>
  <c r="CG544" i="48" s="1"/>
  <c r="CF545" i="48"/>
  <c r="CG545" i="48" s="1"/>
  <c r="CF548" i="48"/>
  <c r="CG548" i="48" s="1"/>
  <c r="CF504" i="48"/>
  <c r="CG504" i="48" s="1"/>
  <c r="CF508" i="48"/>
  <c r="CG508" i="48" s="1"/>
  <c r="CF512" i="48"/>
  <c r="CG512" i="48" s="1"/>
  <c r="CF516" i="48"/>
  <c r="CG516" i="48" s="1"/>
  <c r="CF520" i="48"/>
  <c r="CG520" i="48" s="1"/>
  <c r="CF532" i="48"/>
  <c r="CG532" i="48" s="1"/>
  <c r="CF505" i="48"/>
  <c r="CG505" i="48" s="1"/>
  <c r="CF509" i="48"/>
  <c r="CG509" i="48" s="1"/>
  <c r="CF513" i="48"/>
  <c r="CG513" i="48" s="1"/>
  <c r="CF517" i="48"/>
  <c r="CG517" i="48" s="1"/>
  <c r="CF521" i="48"/>
  <c r="CG521" i="48" s="1"/>
  <c r="CF529" i="48"/>
  <c r="CG529" i="48" s="1"/>
  <c r="CF556" i="48"/>
  <c r="CG556" i="48" s="1"/>
  <c r="CF560" i="48"/>
  <c r="CG560" i="48" s="1"/>
  <c r="CF564" i="48"/>
  <c r="CG564" i="48" s="1"/>
  <c r="CF568" i="48"/>
  <c r="CG568" i="48" s="1"/>
  <c r="CF572" i="48"/>
  <c r="CG572" i="48" s="1"/>
  <c r="CF580" i="48"/>
  <c r="CG580" i="48" s="1"/>
  <c r="CF584" i="48"/>
  <c r="CG584" i="48" s="1"/>
  <c r="CF588" i="48"/>
  <c r="CG588" i="48" s="1"/>
  <c r="CF592" i="48"/>
  <c r="CG592" i="48" s="1"/>
  <c r="CF596" i="48"/>
  <c r="CG596" i="48" s="1"/>
  <c r="CF604" i="48"/>
  <c r="CG604" i="48" s="1"/>
  <c r="CF608" i="48"/>
  <c r="CG608" i="48" s="1"/>
  <c r="CF612" i="48"/>
  <c r="CG612" i="48" s="1"/>
  <c r="CF616" i="48"/>
  <c r="CG616" i="48" s="1"/>
  <c r="CF620" i="48"/>
  <c r="CG620" i="48" s="1"/>
  <c r="CF668" i="48"/>
  <c r="CG668" i="48" s="1"/>
  <c r="CF716" i="48"/>
  <c r="CG716" i="48" s="1"/>
  <c r="CF547" i="48"/>
  <c r="CG547" i="48" s="1"/>
  <c r="CF557" i="48"/>
  <c r="CG557" i="48" s="1"/>
  <c r="CF561" i="48"/>
  <c r="CG561" i="48" s="1"/>
  <c r="CF565" i="48"/>
  <c r="CG565" i="48" s="1"/>
  <c r="CF569" i="48"/>
  <c r="CG569" i="48" s="1"/>
  <c r="CF573" i="48"/>
  <c r="CG573" i="48" s="1"/>
  <c r="CF581" i="48"/>
  <c r="CG581" i="48" s="1"/>
  <c r="CF585" i="48"/>
  <c r="CG585" i="48" s="1"/>
  <c r="CF589" i="48"/>
  <c r="CG589" i="48" s="1"/>
  <c r="CF593" i="48"/>
  <c r="CG593" i="48" s="1"/>
  <c r="CF597" i="48"/>
  <c r="CG597" i="48" s="1"/>
  <c r="CF605" i="48"/>
  <c r="CG605" i="48" s="1"/>
  <c r="CF609" i="48"/>
  <c r="CG609" i="48" s="1"/>
  <c r="CF613" i="48"/>
  <c r="CG613" i="48" s="1"/>
  <c r="CF617" i="48"/>
  <c r="CG617" i="48" s="1"/>
  <c r="CF621" i="48"/>
  <c r="CG621" i="48" s="1"/>
  <c r="CF629" i="48"/>
  <c r="CG629" i="48" s="1"/>
  <c r="CF633" i="48"/>
  <c r="CG633" i="48" s="1"/>
  <c r="CF693" i="48"/>
  <c r="CG693" i="48" s="1"/>
  <c r="CF644" i="48"/>
  <c r="CG644" i="48" s="1"/>
  <c r="CF660" i="48"/>
  <c r="CG660" i="48" s="1"/>
  <c r="CF554" i="48"/>
  <c r="CG554" i="48" s="1"/>
  <c r="CF558" i="48"/>
  <c r="CG558" i="48" s="1"/>
  <c r="CF562" i="48"/>
  <c r="CG562" i="48" s="1"/>
  <c r="CF566" i="48"/>
  <c r="CG566" i="48" s="1"/>
  <c r="CF570" i="48"/>
  <c r="CG570" i="48" s="1"/>
  <c r="CF582" i="48"/>
  <c r="CG582" i="48" s="1"/>
  <c r="CF586" i="48"/>
  <c r="CG586" i="48" s="1"/>
  <c r="CF590" i="48"/>
  <c r="CG590" i="48" s="1"/>
  <c r="CF594" i="48"/>
  <c r="CG594" i="48" s="1"/>
  <c r="CF598" i="48"/>
  <c r="CG598" i="48" s="1"/>
  <c r="CF606" i="48"/>
  <c r="CG606" i="48" s="1"/>
  <c r="CF610" i="48"/>
  <c r="CG610" i="48" s="1"/>
  <c r="CF614" i="48"/>
  <c r="CG614" i="48" s="1"/>
  <c r="CF618" i="48"/>
  <c r="CG618" i="48" s="1"/>
  <c r="CF622" i="48"/>
  <c r="CG622" i="48" s="1"/>
  <c r="CF680" i="48"/>
  <c r="CG680" i="48" s="1"/>
  <c r="CF689" i="48"/>
  <c r="CG689" i="48" s="1"/>
  <c r="CF555" i="48"/>
  <c r="CG555" i="48" s="1"/>
  <c r="CF559" i="48"/>
  <c r="CG559" i="48" s="1"/>
  <c r="CF563" i="48"/>
  <c r="CG563" i="48" s="1"/>
  <c r="CF567" i="48"/>
  <c r="CG567" i="48" s="1"/>
  <c r="CF571" i="48"/>
  <c r="CG571" i="48" s="1"/>
  <c r="CF579" i="48"/>
  <c r="CG579" i="48" s="1"/>
  <c r="CF696" i="48"/>
  <c r="CG696" i="48" s="1"/>
  <c r="CF634" i="48"/>
  <c r="CG634" i="48" s="1"/>
  <c r="CF630" i="48"/>
  <c r="CG630" i="48" s="1"/>
  <c r="CF638" i="48"/>
  <c r="CG638" i="48" s="1"/>
  <c r="CF642" i="48"/>
  <c r="CG642" i="48" s="1"/>
  <c r="CF646" i="48"/>
  <c r="CG646" i="48" s="1"/>
  <c r="CF654" i="48"/>
  <c r="CG654" i="48" s="1"/>
  <c r="CF658" i="48"/>
  <c r="CG658" i="48" s="1"/>
  <c r="CF662" i="48"/>
  <c r="CG662" i="48" s="1"/>
  <c r="CF681" i="48"/>
  <c r="CG681" i="48" s="1"/>
  <c r="CF684" i="48"/>
  <c r="CG684" i="48" s="1"/>
  <c r="CF697" i="48"/>
  <c r="CG697" i="48" s="1"/>
  <c r="CF706" i="48"/>
  <c r="CG706" i="48" s="1"/>
  <c r="CF748" i="48"/>
  <c r="CG748" i="48" s="1"/>
  <c r="CF690" i="48"/>
  <c r="CG690" i="48" s="1"/>
  <c r="CF709" i="48"/>
  <c r="CG709" i="48" s="1"/>
  <c r="CF712" i="48"/>
  <c r="CG712" i="48" s="1"/>
  <c r="CF736" i="48"/>
  <c r="CG736" i="48" s="1"/>
  <c r="CF760" i="48"/>
  <c r="CG760" i="48" s="1"/>
  <c r="CF788" i="48"/>
  <c r="CG788" i="48" s="1"/>
  <c r="CF672" i="48"/>
  <c r="CG672" i="48" s="1"/>
  <c r="CF686" i="48"/>
  <c r="CG686" i="48" s="1"/>
  <c r="CF705" i="48"/>
  <c r="CG705" i="48" s="1"/>
  <c r="CF708" i="48"/>
  <c r="CG708" i="48" s="1"/>
  <c r="CF744" i="48"/>
  <c r="CG744" i="48" s="1"/>
  <c r="CF768" i="48"/>
  <c r="CG768" i="48" s="1"/>
  <c r="CF692" i="48"/>
  <c r="CG692" i="48" s="1"/>
  <c r="CF714" i="48"/>
  <c r="CG714" i="48" s="1"/>
  <c r="CF720" i="48"/>
  <c r="CG720" i="48" s="1"/>
  <c r="CF732" i="48"/>
  <c r="CG732" i="48" s="1"/>
  <c r="CF756" i="48"/>
  <c r="CG756" i="48" s="1"/>
  <c r="CF682" i="48"/>
  <c r="CG682" i="48" s="1"/>
  <c r="CF698" i="48"/>
  <c r="CG698" i="48" s="1"/>
  <c r="CF704" i="48"/>
  <c r="CG704" i="48" s="1"/>
  <c r="CF772" i="48"/>
  <c r="CG772" i="48" s="1"/>
  <c r="CF782" i="48"/>
  <c r="CG782" i="48" s="1"/>
  <c r="CF637" i="48"/>
  <c r="CG637" i="48" s="1"/>
  <c r="CF641" i="48"/>
  <c r="CG641" i="48" s="1"/>
  <c r="CF645" i="48"/>
  <c r="CG645" i="48" s="1"/>
  <c r="CF657" i="48"/>
  <c r="CG657" i="48" s="1"/>
  <c r="CF661" i="48"/>
  <c r="CG661" i="48" s="1"/>
  <c r="CF665" i="48"/>
  <c r="CG665" i="48" s="1"/>
  <c r="CF669" i="48"/>
  <c r="CG669" i="48" s="1"/>
  <c r="CF685" i="48"/>
  <c r="CG685" i="48" s="1"/>
  <c r="CF688" i="48"/>
  <c r="CG688" i="48" s="1"/>
  <c r="CF710" i="48"/>
  <c r="CG710" i="48" s="1"/>
  <c r="CF740" i="48"/>
  <c r="CG740" i="48" s="1"/>
  <c r="CF764" i="48"/>
  <c r="CG764" i="48" s="1"/>
  <c r="CF673" i="48"/>
  <c r="CG673" i="48" s="1"/>
  <c r="CF694" i="48"/>
  <c r="CG694" i="48" s="1"/>
  <c r="CF713" i="48"/>
  <c r="CG713" i="48" s="1"/>
  <c r="CF718" i="48"/>
  <c r="CG718" i="48" s="1"/>
  <c r="CF722" i="48"/>
  <c r="CG722" i="48" s="1"/>
  <c r="CF730" i="48"/>
  <c r="CG730" i="48" s="1"/>
  <c r="CF734" i="48"/>
  <c r="CG734" i="48" s="1"/>
  <c r="CF738" i="48"/>
  <c r="CG738" i="48" s="1"/>
  <c r="CF742" i="48"/>
  <c r="CG742" i="48" s="1"/>
  <c r="CF746" i="48"/>
  <c r="CG746" i="48" s="1"/>
  <c r="CF754" i="48"/>
  <c r="CG754" i="48" s="1"/>
  <c r="CF758" i="48"/>
  <c r="CG758" i="48" s="1"/>
  <c r="CF762" i="48"/>
  <c r="CG762" i="48" s="1"/>
  <c r="CF766" i="48"/>
  <c r="CG766" i="48" s="1"/>
  <c r="CF770" i="48"/>
  <c r="CG770" i="48" s="1"/>
  <c r="CF784" i="48"/>
  <c r="CG784" i="48" s="1"/>
  <c r="CF796" i="48"/>
  <c r="CG796" i="48" s="1"/>
  <c r="CF679" i="48"/>
  <c r="CG679" i="48" s="1"/>
  <c r="CF683" i="48"/>
  <c r="CG683" i="48" s="1"/>
  <c r="CF687" i="48"/>
  <c r="CG687" i="48" s="1"/>
  <c r="CF691" i="48"/>
  <c r="CG691" i="48" s="1"/>
  <c r="CF695" i="48"/>
  <c r="CG695" i="48" s="1"/>
  <c r="CF707" i="48"/>
  <c r="CG707" i="48" s="1"/>
  <c r="CF711" i="48"/>
  <c r="CG711" i="48" s="1"/>
  <c r="CF715" i="48"/>
  <c r="CG715" i="48" s="1"/>
  <c r="CF719" i="48"/>
  <c r="CG719" i="48" s="1"/>
  <c r="CF771" i="48"/>
  <c r="CG771" i="48" s="1"/>
  <c r="CF779" i="48"/>
  <c r="CG779" i="48" s="1"/>
  <c r="CF792" i="48"/>
  <c r="CG792" i="48" s="1"/>
  <c r="CF780" i="48"/>
  <c r="CG780" i="48" s="1"/>
  <c r="CF717" i="48"/>
  <c r="CG717" i="48" s="1"/>
  <c r="CF721" i="48"/>
  <c r="CG721" i="48" s="1"/>
  <c r="CF729" i="48"/>
  <c r="CG729" i="48" s="1"/>
  <c r="CF733" i="48"/>
  <c r="CG733" i="48" s="1"/>
  <c r="CF737" i="48"/>
  <c r="CG737" i="48" s="1"/>
  <c r="CF741" i="48"/>
  <c r="CG741" i="48" s="1"/>
  <c r="CF745" i="48"/>
  <c r="CG745" i="48" s="1"/>
  <c r="CF757" i="48"/>
  <c r="CG757" i="48" s="1"/>
  <c r="CF761" i="48"/>
  <c r="CG761" i="48" s="1"/>
  <c r="CF765" i="48"/>
  <c r="CG765" i="48" s="1"/>
  <c r="CF769" i="48"/>
  <c r="CG769" i="48" s="1"/>
  <c r="CF773" i="48"/>
  <c r="CG773" i="48" s="1"/>
  <c r="CF872" i="48"/>
  <c r="CG872" i="48" s="1"/>
  <c r="CF786" i="48"/>
  <c r="CG786" i="48" s="1"/>
  <c r="CF790" i="48"/>
  <c r="CG790" i="48" s="1"/>
  <c r="CF794" i="48"/>
  <c r="CG794" i="48" s="1"/>
  <c r="CF798" i="48"/>
  <c r="CG798" i="48" s="1"/>
  <c r="CF804" i="48"/>
  <c r="CG804" i="48" s="1"/>
  <c r="CF808" i="48"/>
  <c r="CG808" i="48" s="1"/>
  <c r="CF812" i="48"/>
  <c r="CG812" i="48" s="1"/>
  <c r="CF816" i="48"/>
  <c r="CG816" i="48" s="1"/>
  <c r="CF820" i="48"/>
  <c r="CG820" i="48" s="1"/>
  <c r="CF856" i="48"/>
  <c r="CG856" i="48" s="1"/>
  <c r="CF884" i="48"/>
  <c r="CG884" i="48" s="1"/>
  <c r="CF854" i="48"/>
  <c r="CG854" i="48" s="1"/>
  <c r="CF855" i="48"/>
  <c r="CG855" i="48" s="1"/>
  <c r="CF860" i="48"/>
  <c r="CG860" i="48" s="1"/>
  <c r="CF888" i="48"/>
  <c r="CG888" i="48" s="1"/>
  <c r="CF864" i="48"/>
  <c r="CG864" i="48" s="1"/>
  <c r="CF806" i="48"/>
  <c r="CG806" i="48" s="1"/>
  <c r="CF810" i="48"/>
  <c r="CG810" i="48" s="1"/>
  <c r="CF814" i="48"/>
  <c r="CG814" i="48" s="1"/>
  <c r="CF818" i="48"/>
  <c r="CG818" i="48" s="1"/>
  <c r="CF822" i="48"/>
  <c r="CG822" i="48" s="1"/>
  <c r="CF830" i="48"/>
  <c r="CG830" i="48" s="1"/>
  <c r="CF834" i="48"/>
  <c r="CG834" i="48" s="1"/>
  <c r="CF838" i="48"/>
  <c r="CG838" i="48" s="1"/>
  <c r="CF842" i="48"/>
  <c r="CG842" i="48" s="1"/>
  <c r="CF846" i="48"/>
  <c r="CG846" i="48" s="1"/>
  <c r="CF861" i="48"/>
  <c r="CG861" i="48" s="1"/>
  <c r="CF868" i="48"/>
  <c r="CG868" i="48" s="1"/>
  <c r="CF823" i="48"/>
  <c r="CG823" i="48" s="1"/>
  <c r="CF831" i="48"/>
  <c r="CG831" i="48" s="1"/>
  <c r="CF835" i="48"/>
  <c r="CG835" i="48" s="1"/>
  <c r="CF839" i="48"/>
  <c r="CG839" i="48" s="1"/>
  <c r="CF843" i="48"/>
  <c r="CG843" i="48" s="1"/>
  <c r="CF847" i="48"/>
  <c r="CG847" i="48" s="1"/>
  <c r="CF857" i="48"/>
  <c r="CG857" i="48" s="1"/>
  <c r="CF880" i="48"/>
  <c r="CG880" i="48" s="1"/>
  <c r="CF858" i="48"/>
  <c r="CG858" i="48" s="1"/>
  <c r="CF862" i="48"/>
  <c r="CG862" i="48" s="1"/>
  <c r="CF866" i="48"/>
  <c r="CG866" i="48" s="1"/>
  <c r="CF870" i="48"/>
  <c r="CG870" i="48" s="1"/>
  <c r="CF882" i="48"/>
  <c r="CG882" i="48" s="1"/>
  <c r="CF886" i="48"/>
  <c r="CG886" i="48" s="1"/>
  <c r="CF890" i="48"/>
  <c r="CG890" i="48" s="1"/>
  <c r="CF894" i="48"/>
  <c r="CG894" i="48" s="1"/>
  <c r="CF898" i="48"/>
  <c r="CG898" i="48" s="1"/>
  <c r="CF859" i="48"/>
  <c r="CG859" i="48" s="1"/>
  <c r="CF863" i="48"/>
  <c r="CG863" i="48" s="1"/>
  <c r="CF867" i="48"/>
  <c r="CG867" i="48" s="1"/>
  <c r="CF871" i="48"/>
  <c r="CG871" i="48" s="1"/>
  <c r="CF879" i="48"/>
  <c r="CG879" i="48" s="1"/>
  <c r="CF883" i="48"/>
  <c r="CG883" i="48" s="1"/>
  <c r="CF887" i="48"/>
  <c r="CG887" i="48" s="1"/>
  <c r="CF891" i="48"/>
  <c r="CG891" i="48" s="1"/>
  <c r="CF895" i="48"/>
  <c r="CG895" i="48" s="1"/>
  <c r="CF892" i="48"/>
  <c r="CG892" i="48" s="1"/>
  <c r="CF896" i="48"/>
  <c r="CG896" i="48" s="1"/>
  <c r="CF865" i="48"/>
  <c r="CG865" i="48" s="1"/>
  <c r="CF869" i="48"/>
  <c r="CG869" i="48" s="1"/>
  <c r="CF873" i="48"/>
  <c r="CG873" i="48" s="1"/>
  <c r="CF881" i="48"/>
  <c r="CG881" i="48" s="1"/>
  <c r="CF885" i="48"/>
  <c r="CG885" i="48" s="1"/>
  <c r="CF889" i="48"/>
  <c r="CG889" i="48" s="1"/>
  <c r="CF893" i="48"/>
  <c r="CG893" i="48" s="1"/>
  <c r="CF897" i="48"/>
  <c r="CG897" i="48" s="1"/>
  <c r="CF907" i="48"/>
  <c r="CG907" i="48" s="1"/>
  <c r="CF911" i="48"/>
  <c r="CG911" i="48" s="1"/>
  <c r="CF915" i="48"/>
  <c r="CG915" i="48" s="1"/>
  <c r="CF919" i="48"/>
  <c r="CG919" i="48" s="1"/>
  <c r="CF923" i="48"/>
  <c r="CG923" i="48" s="1"/>
  <c r="CF930" i="48"/>
  <c r="CG930" i="48" s="1"/>
  <c r="CF938" i="48"/>
  <c r="CG938" i="48" s="1"/>
  <c r="CF933" i="48"/>
  <c r="CG933" i="48" s="1"/>
  <c r="CF904" i="48"/>
  <c r="CG904" i="48" s="1"/>
  <c r="CF908" i="48"/>
  <c r="CG908" i="48" s="1"/>
  <c r="CF912" i="48"/>
  <c r="CG912" i="48" s="1"/>
  <c r="CF916" i="48"/>
  <c r="CG916" i="48" s="1"/>
  <c r="CF920" i="48"/>
  <c r="CG920" i="48" s="1"/>
  <c r="CF934" i="48"/>
  <c r="CG934" i="48" s="1"/>
  <c r="CF905" i="48"/>
  <c r="CG905" i="48" s="1"/>
  <c r="CF909" i="48"/>
  <c r="CG909" i="48" s="1"/>
  <c r="CF913" i="48"/>
  <c r="CG913" i="48" s="1"/>
  <c r="CF917" i="48"/>
  <c r="CG917" i="48" s="1"/>
  <c r="CF921" i="48"/>
  <c r="CG921" i="48" s="1"/>
  <c r="CF906" i="48"/>
  <c r="CG906" i="48" s="1"/>
  <c r="CF910" i="48"/>
  <c r="CG910" i="48" s="1"/>
  <c r="CF914" i="48"/>
  <c r="CG914" i="48" s="1"/>
  <c r="CF918" i="48"/>
  <c r="CG918" i="48" s="1"/>
  <c r="CF922" i="48"/>
  <c r="CG922" i="48" s="1"/>
  <c r="CF932" i="48"/>
  <c r="CG932" i="48" s="1"/>
  <c r="CF994" i="48"/>
  <c r="CG994" i="48" s="1"/>
  <c r="CF1018" i="48"/>
  <c r="CG1018" i="48" s="1"/>
  <c r="CF940" i="48"/>
  <c r="CG940" i="48" s="1"/>
  <c r="CF944" i="48"/>
  <c r="CG944" i="48" s="1"/>
  <c r="CF948" i="48"/>
  <c r="CG948" i="48" s="1"/>
  <c r="CF956" i="48"/>
  <c r="CG956" i="48" s="1"/>
  <c r="CF960" i="48"/>
  <c r="CG960" i="48" s="1"/>
  <c r="CF964" i="48"/>
  <c r="CG964" i="48" s="1"/>
  <c r="CF968" i="48"/>
  <c r="CG968" i="48" s="1"/>
  <c r="CF972" i="48"/>
  <c r="CG972" i="48" s="1"/>
  <c r="CF980" i="48"/>
  <c r="CG980" i="48" s="1"/>
  <c r="CF984" i="48"/>
  <c r="CG984" i="48" s="1"/>
  <c r="CF988" i="48"/>
  <c r="CG988" i="48" s="1"/>
  <c r="CF992" i="48"/>
  <c r="CG992" i="48" s="1"/>
  <c r="CF996" i="48"/>
  <c r="CG996" i="48" s="1"/>
  <c r="CF998" i="48"/>
  <c r="CG998" i="48" s="1"/>
  <c r="CF1017" i="48"/>
  <c r="CG1017" i="48" s="1"/>
  <c r="CF937" i="48"/>
  <c r="CG937" i="48" s="1"/>
  <c r="CF941" i="48"/>
  <c r="CG941" i="48" s="1"/>
  <c r="CF945" i="48"/>
  <c r="CG945" i="48" s="1"/>
  <c r="CF957" i="48"/>
  <c r="CG957" i="48" s="1"/>
  <c r="CF961" i="48"/>
  <c r="CG961" i="48" s="1"/>
  <c r="CF965" i="48"/>
  <c r="CG965" i="48" s="1"/>
  <c r="CF969" i="48"/>
  <c r="CG969" i="48" s="1"/>
  <c r="CF973" i="48"/>
  <c r="CG973" i="48" s="1"/>
  <c r="CF981" i="48"/>
  <c r="CG981" i="48" s="1"/>
  <c r="CF985" i="48"/>
  <c r="CG985" i="48" s="1"/>
  <c r="CF989" i="48"/>
  <c r="CG989" i="48" s="1"/>
  <c r="CF1004" i="48"/>
  <c r="CG1004" i="48" s="1"/>
  <c r="CF1005" i="48"/>
  <c r="CG1005" i="48" s="1"/>
  <c r="CF1006" i="48"/>
  <c r="CG1006" i="48" s="1"/>
  <c r="CG1007" i="48"/>
  <c r="CG1008" i="48"/>
  <c r="CF1009" i="48"/>
  <c r="CG1009" i="48" s="1"/>
  <c r="CF1010" i="48"/>
  <c r="CG1010" i="48" s="1"/>
  <c r="CF1011" i="48"/>
  <c r="CG1011" i="48" s="1"/>
  <c r="CF1012" i="48"/>
  <c r="CG1012" i="48" s="1"/>
  <c r="CF1013" i="48"/>
  <c r="CG1013" i="48" s="1"/>
  <c r="CF1014" i="48"/>
  <c r="CG1014" i="48" s="1"/>
  <c r="CF1015" i="48"/>
  <c r="CG1015" i="48" s="1"/>
  <c r="CF1019" i="48"/>
  <c r="CG1019" i="48" s="1"/>
  <c r="CF942" i="48"/>
  <c r="CG942" i="48" s="1"/>
  <c r="CF946" i="48"/>
  <c r="CG946" i="48" s="1"/>
  <c r="CF954" i="48"/>
  <c r="CG954" i="48" s="1"/>
  <c r="CF958" i="48"/>
  <c r="CG958" i="48" s="1"/>
  <c r="CF962" i="48"/>
  <c r="CG962" i="48" s="1"/>
  <c r="CF966" i="48"/>
  <c r="CG966" i="48" s="1"/>
  <c r="CF970" i="48"/>
  <c r="CG970" i="48" s="1"/>
  <c r="CF982" i="48"/>
  <c r="CG982" i="48" s="1"/>
  <c r="CF986" i="48"/>
  <c r="CG986" i="48" s="1"/>
  <c r="CF990" i="48"/>
  <c r="CG990" i="48" s="1"/>
  <c r="CF995" i="48"/>
  <c r="CG995" i="48" s="1"/>
  <c r="CF1022" i="48"/>
  <c r="CG1022" i="48" s="1"/>
  <c r="CF1016" i="48"/>
  <c r="CG1016" i="48" s="1"/>
  <c r="CF1020" i="48"/>
  <c r="CG1020" i="48" s="1"/>
  <c r="CF1031" i="48"/>
  <c r="CG1031" i="48" s="1"/>
  <c r="CF1033" i="48"/>
  <c r="CG1033" i="48" s="1"/>
  <c r="CF1037" i="48"/>
  <c r="CG1037" i="48" s="1"/>
  <c r="CF1021" i="48"/>
  <c r="CG1021" i="48" s="1"/>
  <c r="CF1041" i="48"/>
  <c r="CG1041" i="48" s="1"/>
  <c r="CF1030" i="48"/>
  <c r="CG1030" i="48" s="1"/>
  <c r="CF1045" i="48"/>
  <c r="CG1045" i="48" s="1"/>
  <c r="CF1023" i="48"/>
  <c r="CG1023" i="48" s="1"/>
  <c r="CF1029" i="48"/>
  <c r="CG1029" i="48" s="1"/>
  <c r="CF1035" i="48"/>
  <c r="CG1035" i="48" s="1"/>
  <c r="CF1039" i="48"/>
  <c r="CG1039" i="48" s="1"/>
  <c r="CF1043" i="48"/>
  <c r="CG1043" i="48" s="1"/>
  <c r="CF1047" i="48"/>
  <c r="CG1047" i="48" s="1"/>
  <c r="CF1055" i="48"/>
  <c r="CG1055" i="48" s="1"/>
  <c r="CF1059" i="48"/>
  <c r="CG1059" i="48" s="1"/>
  <c r="CF1063" i="48"/>
  <c r="CG1063" i="48" s="1"/>
  <c r="CF1067" i="48"/>
  <c r="CG1067" i="48" s="1"/>
  <c r="CF1071" i="48"/>
  <c r="CG1071" i="48" s="1"/>
  <c r="CG1079" i="48"/>
  <c r="CF1085" i="48"/>
  <c r="CG1085" i="48" s="1"/>
  <c r="CF1118" i="48"/>
  <c r="CG1118" i="48" s="1"/>
  <c r="CF1092" i="48"/>
  <c r="CG1092" i="48" s="1"/>
  <c r="CF1114" i="48"/>
  <c r="CG1114" i="48" s="1"/>
  <c r="CF1032" i="48"/>
  <c r="CG1032" i="48" s="1"/>
  <c r="CF1036" i="48"/>
  <c r="CG1036" i="48" s="1"/>
  <c r="CF1040" i="48"/>
  <c r="CG1040" i="48" s="1"/>
  <c r="CF1044" i="48"/>
  <c r="CG1044" i="48" s="1"/>
  <c r="CF1048" i="48"/>
  <c r="CG1048" i="48" s="1"/>
  <c r="CF1056" i="48"/>
  <c r="CG1056" i="48" s="1"/>
  <c r="CF1060" i="48"/>
  <c r="CG1060" i="48" s="1"/>
  <c r="CF1064" i="48"/>
  <c r="CG1064" i="48" s="1"/>
  <c r="CF1068" i="48"/>
  <c r="CG1068" i="48" s="1"/>
  <c r="CF1072" i="48"/>
  <c r="CG1072" i="48" s="1"/>
  <c r="CF1080" i="48"/>
  <c r="CG1080" i="48" s="1"/>
  <c r="CF1087" i="48"/>
  <c r="CG1087" i="48" s="1"/>
  <c r="CF1110" i="48"/>
  <c r="CG1110" i="48" s="1"/>
  <c r="CF1084" i="48"/>
  <c r="CG1084" i="48" s="1"/>
  <c r="CF1098" i="48"/>
  <c r="CG1098" i="48" s="1"/>
  <c r="CF1106" i="48"/>
  <c r="CG1106" i="48" s="1"/>
  <c r="CF1057" i="48"/>
  <c r="CG1057" i="48" s="1"/>
  <c r="CF1061" i="48"/>
  <c r="CG1061" i="48" s="1"/>
  <c r="CF1065" i="48"/>
  <c r="CG1065" i="48" s="1"/>
  <c r="CF1069" i="48"/>
  <c r="CG1069" i="48" s="1"/>
  <c r="CF1073" i="48"/>
  <c r="CG1073" i="48" s="1"/>
  <c r="CF1081" i="48"/>
  <c r="CG1081" i="48" s="1"/>
  <c r="CF1089" i="48"/>
  <c r="CG1089" i="48" s="1"/>
  <c r="CF1096" i="48"/>
  <c r="CG1096" i="48" s="1"/>
  <c r="CF1034" i="48"/>
  <c r="CG1034" i="48" s="1"/>
  <c r="CF1038" i="48"/>
  <c r="CG1038" i="48" s="1"/>
  <c r="CF1042" i="48"/>
  <c r="CG1042" i="48" s="1"/>
  <c r="CF1046" i="48"/>
  <c r="CG1046" i="48" s="1"/>
  <c r="CF1054" i="48"/>
  <c r="CG1054" i="48" s="1"/>
  <c r="CF1058" i="48"/>
  <c r="CG1058" i="48" s="1"/>
  <c r="CF1062" i="48"/>
  <c r="CG1062" i="48" s="1"/>
  <c r="CF1066" i="48"/>
  <c r="CG1066" i="48" s="1"/>
  <c r="CF1070" i="48"/>
  <c r="CG1070" i="48" s="1"/>
  <c r="CF1082" i="48"/>
  <c r="CG1082" i="48" s="1"/>
  <c r="CF1083" i="48"/>
  <c r="CG1083" i="48" s="1"/>
  <c r="CF1091" i="48"/>
  <c r="CG1091" i="48" s="1"/>
  <c r="CF1104" i="48"/>
  <c r="CG1104" i="48" s="1"/>
  <c r="CF1108" i="48"/>
  <c r="CG1108" i="48" s="1"/>
  <c r="CF1112" i="48"/>
  <c r="CG1112" i="48" s="1"/>
  <c r="CF1116" i="48"/>
  <c r="CG1116" i="48" s="1"/>
  <c r="CF1120" i="48"/>
  <c r="CG1120" i="48" s="1"/>
  <c r="CF1122" i="48"/>
  <c r="CG1122" i="48" s="1"/>
  <c r="CF1130" i="48"/>
  <c r="CG1130" i="48" s="1"/>
  <c r="CF1134" i="48"/>
  <c r="CG1134" i="48" s="1"/>
  <c r="CF1138" i="48"/>
  <c r="CG1138" i="48" s="1"/>
  <c r="CF1142" i="48"/>
  <c r="CG1142" i="48" s="1"/>
  <c r="CF1146" i="48"/>
  <c r="CG1146" i="48" s="1"/>
  <c r="CF1154" i="48"/>
  <c r="CG1154" i="48" s="1"/>
  <c r="CF1158" i="48"/>
  <c r="CG1158" i="48" s="1"/>
  <c r="CF1162" i="48"/>
  <c r="CG1162" i="48" s="1"/>
  <c r="CF1166" i="48"/>
  <c r="CG1166" i="48" s="1"/>
  <c r="CF1170" i="48"/>
  <c r="CG1170" i="48" s="1"/>
  <c r="CF1186" i="48"/>
  <c r="CG1186" i="48" s="1"/>
  <c r="CF1131" i="48"/>
  <c r="CG1131" i="48" s="1"/>
  <c r="CF1135" i="48"/>
  <c r="CG1135" i="48" s="1"/>
  <c r="CF1139" i="48"/>
  <c r="CG1139" i="48" s="1"/>
  <c r="CF1143" i="48"/>
  <c r="CG1143" i="48" s="1"/>
  <c r="CF1147" i="48"/>
  <c r="CG1147" i="48" s="1"/>
  <c r="CF1155" i="48"/>
  <c r="CG1155" i="48" s="1"/>
  <c r="CF1159" i="48"/>
  <c r="CG1159" i="48" s="1"/>
  <c r="CF1163" i="48"/>
  <c r="CG1163" i="48" s="1"/>
  <c r="CF1167" i="48"/>
  <c r="CG1167" i="48" s="1"/>
  <c r="CF1171" i="48"/>
  <c r="CG1171" i="48" s="1"/>
  <c r="CF1179" i="48"/>
  <c r="CG1179" i="48" s="1"/>
  <c r="CF1185" i="48"/>
  <c r="CG1185" i="48" s="1"/>
  <c r="CF1181" i="48"/>
  <c r="CG1181" i="48" s="1"/>
  <c r="CF1182" i="48"/>
  <c r="CG1182" i="48" s="1"/>
  <c r="CF1183" i="48"/>
  <c r="CG1183" i="48" s="1"/>
  <c r="CF1184" i="48"/>
  <c r="CG1184" i="48" s="1"/>
  <c r="CF1187" i="48"/>
  <c r="CG1187" i="48" s="1"/>
  <c r="CF1191" i="48"/>
  <c r="CG1191" i="48" s="1"/>
  <c r="CF1195" i="48"/>
  <c r="CG1195" i="48" s="1"/>
  <c r="CF1207" i="48"/>
  <c r="CG1207" i="48" s="1"/>
  <c r="CF1210" i="48"/>
  <c r="CG1210" i="48" s="1"/>
  <c r="CF1216" i="48"/>
  <c r="CG1216" i="48" s="1"/>
  <c r="CF1219" i="48"/>
  <c r="CG1219" i="48" s="1"/>
  <c r="CF1188" i="48"/>
  <c r="CG1188" i="48" s="1"/>
  <c r="CF1192" i="48"/>
  <c r="CG1192" i="48" s="1"/>
  <c r="CF1196" i="48"/>
  <c r="CG1196" i="48" s="1"/>
  <c r="CF1204" i="48"/>
  <c r="CG1204" i="48" s="1"/>
  <c r="CF1208" i="48"/>
  <c r="CG1208" i="48" s="1"/>
  <c r="CF1212" i="48"/>
  <c r="CG1212" i="48" s="1"/>
  <c r="CF1213" i="48"/>
  <c r="CG1213" i="48" s="1"/>
  <c r="CF1209" i="48"/>
  <c r="CG1209" i="48" s="1"/>
  <c r="CF1217" i="48"/>
  <c r="CG1217" i="48" s="1"/>
  <c r="CF1189" i="48"/>
  <c r="CG1189" i="48" s="1"/>
  <c r="CF1193" i="48"/>
  <c r="CG1193" i="48" s="1"/>
  <c r="CF1197" i="48"/>
  <c r="CG1197" i="48" s="1"/>
  <c r="CF1205" i="48"/>
  <c r="CG1205" i="48" s="1"/>
  <c r="CF1211" i="48"/>
  <c r="CG1211" i="48" s="1"/>
  <c r="CF1190" i="48"/>
  <c r="CG1190" i="48" s="1"/>
  <c r="CF1194" i="48"/>
  <c r="CG1194" i="48" s="1"/>
  <c r="CF1198" i="48"/>
  <c r="CG1198" i="48" s="1"/>
  <c r="CF1221" i="48"/>
  <c r="CG1221" i="48" s="1"/>
  <c r="CF1223" i="48"/>
  <c r="CG1223" i="48" s="1"/>
  <c r="CF1257" i="48"/>
  <c r="CG1257" i="48" s="1"/>
  <c r="CF1244" i="48"/>
  <c r="CG1244" i="48" s="1"/>
  <c r="CF1248" i="48"/>
  <c r="CG1248" i="48" s="1"/>
  <c r="CF1239" i="48"/>
  <c r="CG1239" i="48" s="1"/>
  <c r="CF1240" i="48"/>
  <c r="CG1240" i="48" s="1"/>
  <c r="CF1286" i="48"/>
  <c r="CG1286" i="48" s="1"/>
  <c r="CF1232" i="48"/>
  <c r="CG1232" i="48" s="1"/>
  <c r="CF1236" i="48"/>
  <c r="CG1236" i="48" s="1"/>
  <c r="CF1254" i="48"/>
  <c r="CG1254" i="48" s="1"/>
  <c r="CF1256" i="48"/>
  <c r="CG1256" i="48" s="1"/>
  <c r="CF1283" i="48"/>
  <c r="CG1283" i="48" s="1"/>
  <c r="CF1247" i="48"/>
  <c r="CG1247" i="48" s="1"/>
  <c r="CF1273" i="48"/>
  <c r="CG1273" i="48" s="1"/>
  <c r="CF1229" i="48"/>
  <c r="CG1229" i="48" s="1"/>
  <c r="CF1233" i="48"/>
  <c r="CG1233" i="48" s="1"/>
  <c r="CF1237" i="48"/>
  <c r="CG1237" i="48" s="1"/>
  <c r="CF1241" i="48"/>
  <c r="CG1241" i="48" s="1"/>
  <c r="CF1261" i="48"/>
  <c r="CG1261" i="48" s="1"/>
  <c r="CF1269" i="48"/>
  <c r="CG1269" i="48" s="1"/>
  <c r="CF1265" i="48"/>
  <c r="CG1265" i="48" s="1"/>
  <c r="CF1295" i="48"/>
  <c r="CG1295" i="48" s="1"/>
  <c r="CF1291" i="48"/>
  <c r="CG1291" i="48" s="1"/>
  <c r="CF1258" i="48"/>
  <c r="CG1258" i="48" s="1"/>
  <c r="CF1262" i="48"/>
  <c r="CG1262" i="48" s="1"/>
  <c r="CF1266" i="48"/>
  <c r="CG1266" i="48" s="1"/>
  <c r="CF1270" i="48"/>
  <c r="CG1270" i="48" s="1"/>
  <c r="CF1287" i="48"/>
  <c r="CG1287" i="48" s="1"/>
  <c r="CF1279" i="48"/>
  <c r="CG1279" i="48" s="1"/>
  <c r="CF1313" i="48"/>
  <c r="CG1313" i="48" s="1"/>
  <c r="CF1308" i="48"/>
  <c r="CG1308" i="48" s="1"/>
  <c r="CF1312" i="48"/>
  <c r="CG1312" i="48" s="1"/>
  <c r="CF1320" i="48"/>
  <c r="CG1320" i="48" s="1"/>
  <c r="CF1280" i="48"/>
  <c r="CG1280" i="48" s="1"/>
  <c r="CF1284" i="48"/>
  <c r="CG1284" i="48" s="1"/>
  <c r="CF1288" i="48"/>
  <c r="CG1288" i="48" s="1"/>
  <c r="CF1292" i="48"/>
  <c r="CG1292" i="48" s="1"/>
  <c r="CF1296" i="48"/>
  <c r="CG1296" i="48" s="1"/>
  <c r="CF1304" i="48"/>
  <c r="CG1304" i="48" s="1"/>
  <c r="CF1316" i="48"/>
  <c r="CG1316" i="48" s="1"/>
  <c r="CF1307" i="48"/>
  <c r="CG1307" i="48" s="1"/>
  <c r="CF1290" i="48"/>
  <c r="CG1290" i="48" s="1"/>
  <c r="CF1294" i="48"/>
  <c r="CG1294" i="48" s="1"/>
  <c r="CF1298" i="48"/>
  <c r="CG1298" i="48" s="1"/>
  <c r="CF1346" i="48"/>
  <c r="CG1346" i="48" s="1"/>
  <c r="CF1317" i="48"/>
  <c r="CG1317" i="48" s="1"/>
  <c r="CF1321" i="48"/>
  <c r="CG1321" i="48" s="1"/>
  <c r="CF1330" i="48"/>
  <c r="CG1330" i="48" s="1"/>
  <c r="CF1334" i="48"/>
  <c r="CG1334" i="48" s="1"/>
  <c r="CF1338" i="48"/>
  <c r="CG1338" i="48" s="1"/>
  <c r="CF1342" i="48"/>
  <c r="CG1342" i="48" s="1"/>
  <c r="CF1331" i="48"/>
  <c r="CG1331" i="48" s="1"/>
  <c r="CF1335" i="48"/>
  <c r="CG1335" i="48" s="1"/>
  <c r="CF1347" i="48"/>
  <c r="CG1347" i="48" s="1"/>
  <c r="CF1332" i="48"/>
  <c r="CG1332" i="48" s="1"/>
  <c r="CF1336" i="48"/>
  <c r="CG1336" i="48" s="1"/>
  <c r="CF1340" i="48"/>
  <c r="CG1340" i="48" s="1"/>
  <c r="CF1344" i="48"/>
  <c r="CG1344" i="48" s="1"/>
  <c r="CF1348" i="48"/>
  <c r="CG1348" i="48" s="1"/>
  <c r="CI1131" i="48" l="1"/>
  <c r="CI852" i="48"/>
  <c r="CI26" i="48"/>
  <c r="CI24" i="48"/>
  <c r="CI5" i="48"/>
  <c r="CI952" i="48"/>
  <c r="CI27" i="48"/>
  <c r="CJ27" i="48" s="1"/>
  <c r="CI1152" i="48"/>
  <c r="CI377" i="48"/>
  <c r="CI124" i="48"/>
  <c r="CI1137" i="48"/>
  <c r="CI1147" i="48"/>
  <c r="CI1002" i="48"/>
  <c r="CI452" i="48"/>
  <c r="CI327" i="48"/>
  <c r="CI4" i="48"/>
  <c r="W5" i="48" s="1"/>
  <c r="CI1130" i="48"/>
  <c r="CI25" i="48"/>
  <c r="CI931" i="48"/>
  <c r="CI1352" i="48"/>
  <c r="CI1151" i="48"/>
  <c r="CI947" i="48"/>
  <c r="CI362" i="48"/>
  <c r="CI22" i="48"/>
  <c r="CI358" i="48"/>
  <c r="CI1330" i="48"/>
  <c r="CI1346" i="48"/>
  <c r="CI1335" i="48"/>
  <c r="CI1351" i="48"/>
  <c r="CI1340" i="48"/>
  <c r="CI1333" i="48"/>
  <c r="CI1334" i="48"/>
  <c r="CI1350" i="48"/>
  <c r="CI1339" i="48"/>
  <c r="CI1345" i="48"/>
  <c r="CI1344" i="48"/>
  <c r="CI1337" i="48"/>
  <c r="CI1338" i="48"/>
  <c r="CI1341" i="48"/>
  <c r="CI1343" i="48"/>
  <c r="CI1332" i="48"/>
  <c r="CI1348" i="48"/>
  <c r="CI1349" i="48"/>
  <c r="CI1342" i="48"/>
  <c r="CI1331" i="48"/>
  <c r="CI1347" i="48"/>
  <c r="CI1336" i="48"/>
  <c r="CI1327" i="48"/>
  <c r="CI1323" i="48"/>
  <c r="CI1319" i="48"/>
  <c r="CI1315" i="48"/>
  <c r="CI1311" i="48"/>
  <c r="CI1307" i="48"/>
  <c r="CI1324" i="48"/>
  <c r="CI1316" i="48"/>
  <c r="CI1308" i="48"/>
  <c r="CI1304" i="48"/>
  <c r="W1305" i="48" s="1"/>
  <c r="CI1326" i="48"/>
  <c r="CI1322" i="48"/>
  <c r="CI1318" i="48"/>
  <c r="CI1314" i="48"/>
  <c r="CI1310" i="48"/>
  <c r="CI1306" i="48"/>
  <c r="CI1325" i="48"/>
  <c r="CI1321" i="48"/>
  <c r="CI1317" i="48"/>
  <c r="CI1313" i="48"/>
  <c r="CI1309" i="48"/>
  <c r="CI1305" i="48"/>
  <c r="CI1320" i="48"/>
  <c r="CI1312" i="48"/>
  <c r="CI1302" i="48"/>
  <c r="CI1298" i="48"/>
  <c r="CI1294" i="48"/>
  <c r="CI1290" i="48"/>
  <c r="CI1286" i="48"/>
  <c r="CI1282" i="48"/>
  <c r="CI1301" i="48"/>
  <c r="CI1297" i="48"/>
  <c r="CI1293" i="48"/>
  <c r="CI1289" i="48"/>
  <c r="CI1285" i="48"/>
  <c r="CI1281" i="48"/>
  <c r="CI1279" i="48"/>
  <c r="W1280" i="48" s="1"/>
  <c r="CI1300" i="48"/>
  <c r="CI1296" i="48"/>
  <c r="CI1292" i="48"/>
  <c r="CI1288" i="48"/>
  <c r="CI1284" i="48"/>
  <c r="CI1280" i="48"/>
  <c r="CI1299" i="48"/>
  <c r="CI1295" i="48"/>
  <c r="CI1291" i="48"/>
  <c r="CI1287" i="48"/>
  <c r="CI1283" i="48"/>
  <c r="CI1277" i="48"/>
  <c r="CI1273" i="48"/>
  <c r="CI1269" i="48"/>
  <c r="CI1265" i="48"/>
  <c r="CI1261" i="48"/>
  <c r="CI1257" i="48"/>
  <c r="CI1274" i="48"/>
  <c r="CI1258" i="48"/>
  <c r="CI1254" i="48"/>
  <c r="W1255" i="48" s="1"/>
  <c r="CI1276" i="48"/>
  <c r="CI1272" i="48"/>
  <c r="CI1268" i="48"/>
  <c r="CI1264" i="48"/>
  <c r="CI1260" i="48"/>
  <c r="CI1256" i="48"/>
  <c r="CI1270" i="48"/>
  <c r="CI1262" i="48"/>
  <c r="CI1275" i="48"/>
  <c r="CI1271" i="48"/>
  <c r="CI1267" i="48"/>
  <c r="CI1263" i="48"/>
  <c r="CI1259" i="48"/>
  <c r="CI1255" i="48"/>
  <c r="CI1266" i="48"/>
  <c r="CI1252" i="48"/>
  <c r="CI1248" i="48"/>
  <c r="CI1244" i="48"/>
  <c r="CI1240" i="48"/>
  <c r="CI1236" i="48"/>
  <c r="CI1232" i="48"/>
  <c r="CI1251" i="48"/>
  <c r="CI1247" i="48"/>
  <c r="CI1243" i="48"/>
  <c r="CI1239" i="48"/>
  <c r="CI1235" i="48"/>
  <c r="CI1231" i="48"/>
  <c r="CI1250" i="48"/>
  <c r="CI1246" i="48"/>
  <c r="CI1242" i="48"/>
  <c r="CI1238" i="48"/>
  <c r="CI1234" i="48"/>
  <c r="CI1230" i="48"/>
  <c r="CI1249" i="48"/>
  <c r="CI1245" i="48"/>
  <c r="CI1241" i="48"/>
  <c r="CI1237" i="48"/>
  <c r="CI1233" i="48"/>
  <c r="CI1229" i="48"/>
  <c r="W1230" i="48" s="1"/>
  <c r="CI1226" i="48"/>
  <c r="CI1222" i="48"/>
  <c r="CI1218" i="48"/>
  <c r="CI1214" i="48"/>
  <c r="CI1210" i="48"/>
  <c r="CI1206" i="48"/>
  <c r="CI1219" i="48"/>
  <c r="CI1225" i="48"/>
  <c r="CI1221" i="48"/>
  <c r="CI1217" i="48"/>
  <c r="CI1213" i="48"/>
  <c r="CI1209" i="48"/>
  <c r="CI1205" i="48"/>
  <c r="CI1223" i="48"/>
  <c r="CI1211" i="48"/>
  <c r="CI1207" i="48"/>
  <c r="CI1224" i="48"/>
  <c r="CI1220" i="48"/>
  <c r="CI1216" i="48"/>
  <c r="CI1212" i="48"/>
  <c r="CI1208" i="48"/>
  <c r="CI1204" i="48"/>
  <c r="W1205" i="48" s="1"/>
  <c r="CI1215" i="48"/>
  <c r="CI1227" i="48"/>
  <c r="CI1202" i="48"/>
  <c r="CI1198" i="48"/>
  <c r="CI1194" i="48"/>
  <c r="CI1190" i="48"/>
  <c r="CI1186" i="48"/>
  <c r="CI1182" i="48"/>
  <c r="CI1201" i="48"/>
  <c r="CI1197" i="48"/>
  <c r="CI1193" i="48"/>
  <c r="CI1189" i="48"/>
  <c r="CI1185" i="48"/>
  <c r="CI1181" i="48"/>
  <c r="CI1200" i="48"/>
  <c r="CI1196" i="48"/>
  <c r="CI1192" i="48"/>
  <c r="CI1188" i="48"/>
  <c r="CI1184" i="48"/>
  <c r="CI1180" i="48"/>
  <c r="CI1199" i="48"/>
  <c r="CI1195" i="48"/>
  <c r="CI1191" i="48"/>
  <c r="CI1187" i="48"/>
  <c r="CI1183" i="48"/>
  <c r="CI1179" i="48"/>
  <c r="W1180" i="48" s="1"/>
  <c r="CI1177" i="48"/>
  <c r="CI1173" i="48"/>
  <c r="CI1169" i="48"/>
  <c r="CI1165" i="48"/>
  <c r="CI1161" i="48"/>
  <c r="CI1157" i="48"/>
  <c r="CI1174" i="48"/>
  <c r="CI1162" i="48"/>
  <c r="CI1158" i="48"/>
  <c r="CI1176" i="48"/>
  <c r="CI1172" i="48"/>
  <c r="CI1168" i="48"/>
  <c r="CI1164" i="48"/>
  <c r="CI1160" i="48"/>
  <c r="CI1156" i="48"/>
  <c r="CI1175" i="48"/>
  <c r="CI1171" i="48"/>
  <c r="CI1167" i="48"/>
  <c r="CI1163" i="48"/>
  <c r="CI1159" i="48"/>
  <c r="CI1155" i="48"/>
  <c r="CI1170" i="48"/>
  <c r="CI1166" i="48"/>
  <c r="CI1154" i="48"/>
  <c r="W1155" i="48" s="1"/>
  <c r="CI1146" i="48"/>
  <c r="CI1140" i="48"/>
  <c r="CI1150" i="48"/>
  <c r="CI1135" i="48"/>
  <c r="CI1144" i="48"/>
  <c r="CI1138" i="48"/>
  <c r="CI1145" i="48"/>
  <c r="CI1139" i="48"/>
  <c r="CI1132" i="48"/>
  <c r="CI1148" i="48"/>
  <c r="CI1134" i="48"/>
  <c r="CI1141" i="48"/>
  <c r="CI1142" i="48"/>
  <c r="CI1133" i="48"/>
  <c r="CI1149" i="48"/>
  <c r="CI1143" i="48"/>
  <c r="CI1136" i="48"/>
  <c r="CI1127" i="48"/>
  <c r="CI1123" i="48"/>
  <c r="CI1119" i="48"/>
  <c r="CI1115" i="48"/>
  <c r="CI1111" i="48"/>
  <c r="CI1107" i="48"/>
  <c r="CI1120" i="48"/>
  <c r="CI1112" i="48"/>
  <c r="CI1104" i="48"/>
  <c r="W1105" i="48" s="1"/>
  <c r="CI1126" i="48"/>
  <c r="CI1122" i="48"/>
  <c r="CI1118" i="48"/>
  <c r="CI1114" i="48"/>
  <c r="CI1110" i="48"/>
  <c r="CI1106" i="48"/>
  <c r="CI1124" i="48"/>
  <c r="CI1116" i="48"/>
  <c r="CI1108" i="48"/>
  <c r="CI1125" i="48"/>
  <c r="CI1121" i="48"/>
  <c r="CI1117" i="48"/>
  <c r="CI1113" i="48"/>
  <c r="CI1109" i="48"/>
  <c r="CI1105" i="48"/>
  <c r="CI1102" i="48"/>
  <c r="CI1098" i="48"/>
  <c r="CI1094" i="48"/>
  <c r="CI1090" i="48"/>
  <c r="CI1086" i="48"/>
  <c r="CI1082" i="48"/>
  <c r="CI1095" i="48"/>
  <c r="CI1087" i="48"/>
  <c r="CI1079" i="48"/>
  <c r="W1080" i="48" s="1"/>
  <c r="CI1101" i="48"/>
  <c r="CI1097" i="48"/>
  <c r="CI1093" i="48"/>
  <c r="CI1089" i="48"/>
  <c r="CI1085" i="48"/>
  <c r="CI1081" i="48"/>
  <c r="CI1099" i="48"/>
  <c r="CI1091" i="48"/>
  <c r="CI1083" i="48"/>
  <c r="CI1100" i="48"/>
  <c r="CI1096" i="48"/>
  <c r="CI1092" i="48"/>
  <c r="CI1088" i="48"/>
  <c r="CI1084" i="48"/>
  <c r="CI1080" i="48"/>
  <c r="CI1077" i="48"/>
  <c r="CI1073" i="48"/>
  <c r="CI1069" i="48"/>
  <c r="CI1065" i="48"/>
  <c r="CI1061" i="48"/>
  <c r="CI1057" i="48"/>
  <c r="CI1075" i="48"/>
  <c r="CI1063" i="48"/>
  <c r="CI1055" i="48"/>
  <c r="CI1070" i="48"/>
  <c r="CI1062" i="48"/>
  <c r="CI1054" i="48"/>
  <c r="W1055" i="48" s="1"/>
  <c r="CI1076" i="48"/>
  <c r="CI1072" i="48"/>
  <c r="CI1068" i="48"/>
  <c r="CI1064" i="48"/>
  <c r="CI1060" i="48"/>
  <c r="CI1056" i="48"/>
  <c r="CI1071" i="48"/>
  <c r="CI1067" i="48"/>
  <c r="CI1059" i="48"/>
  <c r="CI1074" i="48"/>
  <c r="CI1066" i="48"/>
  <c r="CI1058" i="48"/>
  <c r="CI1052" i="48"/>
  <c r="CI1048" i="48"/>
  <c r="CI1044" i="48"/>
  <c r="CI1040" i="48"/>
  <c r="CI1036" i="48"/>
  <c r="CI1032" i="48"/>
  <c r="CI1050" i="48"/>
  <c r="CI1046" i="48"/>
  <c r="CI1042" i="48"/>
  <c r="CI1038" i="48"/>
  <c r="CI1034" i="48"/>
  <c r="CI1030" i="48"/>
  <c r="CI1033" i="48"/>
  <c r="CI1051" i="48"/>
  <c r="CI1047" i="48"/>
  <c r="CI1043" i="48"/>
  <c r="CI1039" i="48"/>
  <c r="CI1035" i="48"/>
  <c r="CI1031" i="48"/>
  <c r="CI1049" i="48"/>
  <c r="CI1045" i="48"/>
  <c r="CI1041" i="48"/>
  <c r="CI1037" i="48"/>
  <c r="CI1029" i="48"/>
  <c r="W1030" i="48" s="1"/>
  <c r="CI1027" i="48"/>
  <c r="CI1023" i="48"/>
  <c r="CI1019" i="48"/>
  <c r="CI1015" i="48"/>
  <c r="CI1011" i="48"/>
  <c r="CI1007" i="48"/>
  <c r="CI1026" i="48"/>
  <c r="CI1022" i="48"/>
  <c r="CI1018" i="48"/>
  <c r="CI1014" i="48"/>
  <c r="CI1010" i="48"/>
  <c r="CI1006" i="48"/>
  <c r="CI1025" i="48"/>
  <c r="CI1021" i="48"/>
  <c r="CI1017" i="48"/>
  <c r="CI1013" i="48"/>
  <c r="CI1009" i="48"/>
  <c r="CI1005" i="48"/>
  <c r="CI1024" i="48"/>
  <c r="CI1020" i="48"/>
  <c r="CI1016" i="48"/>
  <c r="CI1012" i="48"/>
  <c r="CI1008" i="48"/>
  <c r="CI1004" i="48"/>
  <c r="W1005" i="48" s="1"/>
  <c r="CI987" i="48"/>
  <c r="CI988" i="48"/>
  <c r="CI981" i="48"/>
  <c r="CI997" i="48"/>
  <c r="CI991" i="48"/>
  <c r="CI990" i="48"/>
  <c r="CI995" i="48"/>
  <c r="CI992" i="48"/>
  <c r="CI985" i="48"/>
  <c r="CI1001" i="48"/>
  <c r="CI999" i="48"/>
  <c r="CI994" i="48"/>
  <c r="CI980" i="48"/>
  <c r="CI996" i="48"/>
  <c r="CI989" i="48"/>
  <c r="CI982" i="48"/>
  <c r="CI998" i="48"/>
  <c r="CI984" i="48"/>
  <c r="CI1000" i="48"/>
  <c r="CI993" i="48"/>
  <c r="CI983" i="48"/>
  <c r="CI986" i="48"/>
  <c r="CI977" i="48"/>
  <c r="CI973" i="48"/>
  <c r="CI969" i="48"/>
  <c r="CI965" i="48"/>
  <c r="CI961" i="48"/>
  <c r="CI957" i="48"/>
  <c r="CI976" i="48"/>
  <c r="CI972" i="48"/>
  <c r="CI968" i="48"/>
  <c r="CI964" i="48"/>
  <c r="CI960" i="48"/>
  <c r="CI956" i="48"/>
  <c r="CI975" i="48"/>
  <c r="CI971" i="48"/>
  <c r="CI967" i="48"/>
  <c r="CI963" i="48"/>
  <c r="CI959" i="48"/>
  <c r="CI955" i="48"/>
  <c r="CI974" i="48"/>
  <c r="CI970" i="48"/>
  <c r="CI966" i="48"/>
  <c r="CI962" i="48"/>
  <c r="CI958" i="48"/>
  <c r="CI954" i="48"/>
  <c r="W955" i="48" s="1"/>
  <c r="CI938" i="48"/>
  <c r="CI940" i="48"/>
  <c r="CI933" i="48"/>
  <c r="CI949" i="48"/>
  <c r="CI942" i="48"/>
  <c r="CI935" i="48"/>
  <c r="CI951" i="48"/>
  <c r="CI944" i="48"/>
  <c r="CI945" i="48"/>
  <c r="CI937" i="48"/>
  <c r="CI930" i="48"/>
  <c r="CI946" i="48"/>
  <c r="CI939" i="48"/>
  <c r="CI932" i="48"/>
  <c r="CI948" i="48"/>
  <c r="CI941" i="48"/>
  <c r="CI934" i="48"/>
  <c r="CI950" i="48"/>
  <c r="CI943" i="48"/>
  <c r="CI936" i="48"/>
  <c r="CI926" i="48"/>
  <c r="CI922" i="48"/>
  <c r="CI918" i="48"/>
  <c r="CI914" i="48"/>
  <c r="CI910" i="48"/>
  <c r="CI906" i="48"/>
  <c r="CI920" i="48"/>
  <c r="CI912" i="48"/>
  <c r="CI904" i="48"/>
  <c r="W905" i="48" s="1"/>
  <c r="CI927" i="48"/>
  <c r="CI919" i="48"/>
  <c r="CI907" i="48"/>
  <c r="CI925" i="48"/>
  <c r="CI921" i="48"/>
  <c r="CI917" i="48"/>
  <c r="CI913" i="48"/>
  <c r="CI909" i="48"/>
  <c r="CI905" i="48"/>
  <c r="CI924" i="48"/>
  <c r="CI916" i="48"/>
  <c r="CI908" i="48"/>
  <c r="CI923" i="48"/>
  <c r="CI915" i="48"/>
  <c r="CI911" i="48"/>
  <c r="CI902" i="48"/>
  <c r="CI898" i="48"/>
  <c r="CI894" i="48"/>
  <c r="CI890" i="48"/>
  <c r="CI886" i="48"/>
  <c r="CI882" i="48"/>
  <c r="CI901" i="48"/>
  <c r="CI897" i="48"/>
  <c r="CI893" i="48"/>
  <c r="CI889" i="48"/>
  <c r="CI885" i="48"/>
  <c r="CI881" i="48"/>
  <c r="CI900" i="48"/>
  <c r="CI896" i="48"/>
  <c r="CI892" i="48"/>
  <c r="CI888" i="48"/>
  <c r="CI884" i="48"/>
  <c r="CI880" i="48"/>
  <c r="CI899" i="48"/>
  <c r="CI895" i="48"/>
  <c r="CI891" i="48"/>
  <c r="CI887" i="48"/>
  <c r="CI883" i="48"/>
  <c r="CI879" i="48"/>
  <c r="W880" i="48" s="1"/>
  <c r="CI877" i="48"/>
  <c r="CI873" i="48"/>
  <c r="CI869" i="48"/>
  <c r="CI865" i="48"/>
  <c r="CI861" i="48"/>
  <c r="CI857" i="48"/>
  <c r="CI876" i="48"/>
  <c r="CI872" i="48"/>
  <c r="CI868" i="48"/>
  <c r="CI864" i="48"/>
  <c r="CI860" i="48"/>
  <c r="CI856" i="48"/>
  <c r="CI874" i="48"/>
  <c r="CI870" i="48"/>
  <c r="CI866" i="48"/>
  <c r="CI862" i="48"/>
  <c r="CI858" i="48"/>
  <c r="CI854" i="48"/>
  <c r="W855" i="48" s="1"/>
  <c r="CI875" i="48"/>
  <c r="CI871" i="48"/>
  <c r="CI867" i="48"/>
  <c r="CI863" i="48"/>
  <c r="CI859" i="48"/>
  <c r="CI855" i="48"/>
  <c r="CI842" i="48"/>
  <c r="W843" i="48" s="1"/>
  <c r="CI841" i="48"/>
  <c r="W842" i="48" s="1"/>
  <c r="CI835" i="48"/>
  <c r="W836" i="48" s="1"/>
  <c r="CI851" i="48"/>
  <c r="CI840" i="48"/>
  <c r="W841" i="48" s="1"/>
  <c r="CI830" i="48"/>
  <c r="W831" i="48" s="1"/>
  <c r="CI846" i="48"/>
  <c r="W847" i="48" s="1"/>
  <c r="CI845" i="48"/>
  <c r="W846" i="48" s="1"/>
  <c r="CI839" i="48"/>
  <c r="W840" i="48" s="1"/>
  <c r="CI833" i="48"/>
  <c r="W834" i="48" s="1"/>
  <c r="CI844" i="48"/>
  <c r="W845" i="48" s="1"/>
  <c r="CI834" i="48"/>
  <c r="W835" i="48" s="1"/>
  <c r="CI850" i="48"/>
  <c r="W851" i="48" s="1"/>
  <c r="CI849" i="48"/>
  <c r="W850" i="48" s="1"/>
  <c r="CI843" i="48"/>
  <c r="W844" i="48" s="1"/>
  <c r="CI832" i="48"/>
  <c r="W833" i="48" s="1"/>
  <c r="CI848" i="48"/>
  <c r="W849" i="48" s="1"/>
  <c r="CI838" i="48"/>
  <c r="W839" i="48" s="1"/>
  <c r="CI837" i="48"/>
  <c r="W838" i="48" s="1"/>
  <c r="CI831" i="48"/>
  <c r="W832" i="48" s="1"/>
  <c r="CI847" i="48"/>
  <c r="W848" i="48" s="1"/>
  <c r="CI836" i="48"/>
  <c r="W837" i="48" s="1"/>
  <c r="CI827" i="48"/>
  <c r="CI823" i="48"/>
  <c r="CI819" i="48"/>
  <c r="CI815" i="48"/>
  <c r="CI811" i="48"/>
  <c r="CI807" i="48"/>
  <c r="CI820" i="48"/>
  <c r="CI808" i="48"/>
  <c r="CI826" i="48"/>
  <c r="CI822" i="48"/>
  <c r="CI818" i="48"/>
  <c r="CI814" i="48"/>
  <c r="CI810" i="48"/>
  <c r="CI806" i="48"/>
  <c r="CI824" i="48"/>
  <c r="CI816" i="48"/>
  <c r="CI804" i="48"/>
  <c r="W805" i="48" s="1"/>
  <c r="CI825" i="48"/>
  <c r="CI821" i="48"/>
  <c r="CI817" i="48"/>
  <c r="CI813" i="48"/>
  <c r="CI809" i="48"/>
  <c r="CI805" i="48"/>
  <c r="CI812" i="48"/>
  <c r="CI802" i="48"/>
  <c r="CI798" i="48"/>
  <c r="CI794" i="48"/>
  <c r="CI790" i="48"/>
  <c r="CI786" i="48"/>
  <c r="CI782" i="48"/>
  <c r="CI801" i="48"/>
  <c r="CI797" i="48"/>
  <c r="CI793" i="48"/>
  <c r="CI789" i="48"/>
  <c r="CI785" i="48"/>
  <c r="CI781" i="48"/>
  <c r="CI800" i="48"/>
  <c r="CI796" i="48"/>
  <c r="CI792" i="48"/>
  <c r="CI788" i="48"/>
  <c r="CI784" i="48"/>
  <c r="CI780" i="48"/>
  <c r="CI799" i="48"/>
  <c r="CI795" i="48"/>
  <c r="CI791" i="48"/>
  <c r="CI787" i="48"/>
  <c r="CI783" i="48"/>
  <c r="CI779" i="48"/>
  <c r="W780" i="48" s="1"/>
  <c r="CI777" i="48"/>
  <c r="CI773" i="48"/>
  <c r="CI769" i="48"/>
  <c r="CI765" i="48"/>
  <c r="CI761" i="48"/>
  <c r="CI757" i="48"/>
  <c r="CI776" i="48"/>
  <c r="CI772" i="48"/>
  <c r="CI768" i="48"/>
  <c r="CI764" i="48"/>
  <c r="CI760" i="48"/>
  <c r="CI756" i="48"/>
  <c r="CI775" i="48"/>
  <c r="CI771" i="48"/>
  <c r="CI767" i="48"/>
  <c r="CI763" i="48"/>
  <c r="CI759" i="48"/>
  <c r="CI755" i="48"/>
  <c r="CI774" i="48"/>
  <c r="CI770" i="48"/>
  <c r="CI766" i="48"/>
  <c r="CI762" i="48"/>
  <c r="CI758" i="48"/>
  <c r="CI754" i="48"/>
  <c r="W755" i="48" s="1"/>
  <c r="CI752" i="48"/>
  <c r="CI748" i="48"/>
  <c r="CI744" i="48"/>
  <c r="CI740" i="48"/>
  <c r="CI736" i="48"/>
  <c r="CI732" i="48"/>
  <c r="CI749" i="48"/>
  <c r="CI741" i="48"/>
  <c r="CI733" i="48"/>
  <c r="CI751" i="48"/>
  <c r="CI747" i="48"/>
  <c r="CI743" i="48"/>
  <c r="CI739" i="48"/>
  <c r="CI735" i="48"/>
  <c r="CI731" i="48"/>
  <c r="CI750" i="48"/>
  <c r="CI746" i="48"/>
  <c r="CI742" i="48"/>
  <c r="CI738" i="48"/>
  <c r="CI734" i="48"/>
  <c r="CI730" i="48"/>
  <c r="CI745" i="48"/>
  <c r="CI737" i="48"/>
  <c r="CI729" i="48"/>
  <c r="W730" i="48" s="1"/>
  <c r="CI727" i="48"/>
  <c r="CI723" i="48"/>
  <c r="CI719" i="48"/>
  <c r="CI715" i="48"/>
  <c r="CI711" i="48"/>
  <c r="CI707" i="48"/>
  <c r="CI724" i="48"/>
  <c r="CI712" i="48"/>
  <c r="CI704" i="48"/>
  <c r="W705" i="48" s="1"/>
  <c r="CI726" i="48"/>
  <c r="CI722" i="48"/>
  <c r="CI718" i="48"/>
  <c r="CI714" i="48"/>
  <c r="CI710" i="48"/>
  <c r="CI706" i="48"/>
  <c r="CI720" i="48"/>
  <c r="CI716" i="48"/>
  <c r="CI708" i="48"/>
  <c r="CI725" i="48"/>
  <c r="CI721" i="48"/>
  <c r="CI717" i="48"/>
  <c r="CI713" i="48"/>
  <c r="CI709" i="48"/>
  <c r="CI705" i="48"/>
  <c r="CI702" i="48"/>
  <c r="CI698" i="48"/>
  <c r="CI694" i="48"/>
  <c r="CI690" i="48"/>
  <c r="CI686" i="48"/>
  <c r="CI682" i="48"/>
  <c r="CI700" i="48"/>
  <c r="CI692" i="48"/>
  <c r="CI684" i="48"/>
  <c r="CI695" i="48"/>
  <c r="CI687" i="48"/>
  <c r="CI679" i="48"/>
  <c r="W680" i="48" s="1"/>
  <c r="CI701" i="48"/>
  <c r="CI697" i="48"/>
  <c r="CI693" i="48"/>
  <c r="CI689" i="48"/>
  <c r="CI685" i="48"/>
  <c r="CI681" i="48"/>
  <c r="CI696" i="48"/>
  <c r="CI688" i="48"/>
  <c r="CI680" i="48"/>
  <c r="CI699" i="48"/>
  <c r="CI691" i="48"/>
  <c r="CI683" i="48"/>
  <c r="CI652" i="48"/>
  <c r="CI648" i="48"/>
  <c r="CI644" i="48"/>
  <c r="CI640" i="48"/>
  <c r="CI636" i="48"/>
  <c r="CI632" i="48"/>
  <c r="CI651" i="48"/>
  <c r="CI647" i="48"/>
  <c r="CI643" i="48"/>
  <c r="CI639" i="48"/>
  <c r="CI635" i="48"/>
  <c r="CI631" i="48"/>
  <c r="CI649" i="48"/>
  <c r="CI637" i="48"/>
  <c r="CI629" i="48"/>
  <c r="W630" i="48" s="1"/>
  <c r="CI650" i="48"/>
  <c r="CI646" i="48"/>
  <c r="CI642" i="48"/>
  <c r="CI638" i="48"/>
  <c r="CI634" i="48"/>
  <c r="CI630" i="48"/>
  <c r="CI645" i="48"/>
  <c r="CI641" i="48"/>
  <c r="CI633" i="48"/>
  <c r="CI627" i="48"/>
  <c r="CI623" i="48"/>
  <c r="CI619" i="48"/>
  <c r="CI615" i="48"/>
  <c r="CI611" i="48"/>
  <c r="CI607" i="48"/>
  <c r="CI626" i="48"/>
  <c r="CI622" i="48"/>
  <c r="CI618" i="48"/>
  <c r="CI614" i="48"/>
  <c r="CI610" i="48"/>
  <c r="CI606" i="48"/>
  <c r="CI625" i="48"/>
  <c r="CI621" i="48"/>
  <c r="CI617" i="48"/>
  <c r="CI613" i="48"/>
  <c r="CI609" i="48"/>
  <c r="CI605" i="48"/>
  <c r="CI624" i="48"/>
  <c r="CI620" i="48"/>
  <c r="CI616" i="48"/>
  <c r="CI612" i="48"/>
  <c r="CI608" i="48"/>
  <c r="CI604" i="48"/>
  <c r="W605" i="48" s="1"/>
  <c r="CI602" i="48"/>
  <c r="CI598" i="48"/>
  <c r="CI594" i="48"/>
  <c r="CI590" i="48"/>
  <c r="CI586" i="48"/>
  <c r="CI582" i="48"/>
  <c r="CI595" i="48"/>
  <c r="CI591" i="48"/>
  <c r="CI583" i="48"/>
  <c r="CI601" i="48"/>
  <c r="CI597" i="48"/>
  <c r="CI593" i="48"/>
  <c r="CI589" i="48"/>
  <c r="CI585" i="48"/>
  <c r="CI581" i="48"/>
  <c r="CI599" i="48"/>
  <c r="CI587" i="48"/>
  <c r="CI579" i="48"/>
  <c r="W580" i="48" s="1"/>
  <c r="CI600" i="48"/>
  <c r="CI596" i="48"/>
  <c r="CI592" i="48"/>
  <c r="CI588" i="48"/>
  <c r="CI584" i="48"/>
  <c r="CI580" i="48"/>
  <c r="CI577" i="48"/>
  <c r="CI573" i="48"/>
  <c r="CI569" i="48"/>
  <c r="CI565" i="48"/>
  <c r="CI561" i="48"/>
  <c r="CI557" i="48"/>
  <c r="CI575" i="48"/>
  <c r="CI571" i="48"/>
  <c r="CI567" i="48"/>
  <c r="CI563" i="48"/>
  <c r="CI559" i="48"/>
  <c r="CI555" i="48"/>
  <c r="CI574" i="48"/>
  <c r="CI570" i="48"/>
  <c r="CI566" i="48"/>
  <c r="CI558" i="48"/>
  <c r="CI554" i="48"/>
  <c r="W555" i="48" s="1"/>
  <c r="CI576" i="48"/>
  <c r="CI572" i="48"/>
  <c r="CI568" i="48"/>
  <c r="CI564" i="48"/>
  <c r="CI560" i="48"/>
  <c r="CI556" i="48"/>
  <c r="CI562" i="48"/>
  <c r="CI552" i="48"/>
  <c r="CI548" i="48"/>
  <c r="CI544" i="48"/>
  <c r="CI540" i="48"/>
  <c r="CI536" i="48"/>
  <c r="CI532" i="48"/>
  <c r="CI545" i="48"/>
  <c r="CI537" i="48"/>
  <c r="CI529" i="48"/>
  <c r="W530" i="48" s="1"/>
  <c r="CI551" i="48"/>
  <c r="CI547" i="48"/>
  <c r="CI543" i="48"/>
  <c r="CI539" i="48"/>
  <c r="CI535" i="48"/>
  <c r="CI531" i="48"/>
  <c r="CI550" i="48"/>
  <c r="CI546" i="48"/>
  <c r="CI542" i="48"/>
  <c r="CI538" i="48"/>
  <c r="CI534" i="48"/>
  <c r="CI530" i="48"/>
  <c r="CI549" i="48"/>
  <c r="CI541" i="48"/>
  <c r="CI533" i="48"/>
  <c r="CI527" i="48"/>
  <c r="CI523" i="48"/>
  <c r="CI519" i="48"/>
  <c r="CI515" i="48"/>
  <c r="CI511" i="48"/>
  <c r="CI507" i="48"/>
  <c r="CI526" i="48"/>
  <c r="CI522" i="48"/>
  <c r="CI518" i="48"/>
  <c r="CI514" i="48"/>
  <c r="CI510" i="48"/>
  <c r="CI506" i="48"/>
  <c r="CI525" i="48"/>
  <c r="CI521" i="48"/>
  <c r="CI517" i="48"/>
  <c r="CI513" i="48"/>
  <c r="CI509" i="48"/>
  <c r="CI505" i="48"/>
  <c r="CI524" i="48"/>
  <c r="CI520" i="48"/>
  <c r="CI516" i="48"/>
  <c r="CI512" i="48"/>
  <c r="CI508" i="48"/>
  <c r="CI504" i="48"/>
  <c r="W505" i="48" s="1"/>
  <c r="CI502" i="48"/>
  <c r="CI498" i="48"/>
  <c r="CI494" i="48"/>
  <c r="CI490" i="48"/>
  <c r="CI486" i="48"/>
  <c r="CI482" i="48"/>
  <c r="CI480" i="48"/>
  <c r="CI499" i="48"/>
  <c r="CI495" i="48"/>
  <c r="CI491" i="48"/>
  <c r="CI487" i="48"/>
  <c r="CI483" i="48"/>
  <c r="CI479" i="48"/>
  <c r="W480" i="48" s="1"/>
  <c r="CI501" i="48"/>
  <c r="CI497" i="48"/>
  <c r="CI493" i="48"/>
  <c r="CI489" i="48"/>
  <c r="CI485" i="48"/>
  <c r="CI481" i="48"/>
  <c r="CI500" i="48"/>
  <c r="CI496" i="48"/>
  <c r="CI492" i="48"/>
  <c r="CI488" i="48"/>
  <c r="CI484" i="48"/>
  <c r="CI477" i="48"/>
  <c r="CI473" i="48"/>
  <c r="CI469" i="48"/>
  <c r="CI465" i="48"/>
  <c r="CI461" i="48"/>
  <c r="CI457" i="48"/>
  <c r="CI470" i="48"/>
  <c r="CI466" i="48"/>
  <c r="CI454" i="48"/>
  <c r="W455" i="48" s="1"/>
  <c r="CI476" i="48"/>
  <c r="CI472" i="48"/>
  <c r="CI468" i="48"/>
  <c r="CI464" i="48"/>
  <c r="CI460" i="48"/>
  <c r="CI456" i="48"/>
  <c r="CI475" i="48"/>
  <c r="CI471" i="48"/>
  <c r="CI467" i="48"/>
  <c r="CI463" i="48"/>
  <c r="CI459" i="48"/>
  <c r="CI455" i="48"/>
  <c r="CI474" i="48"/>
  <c r="CI462" i="48"/>
  <c r="CI458" i="48"/>
  <c r="CI445" i="48"/>
  <c r="CI438" i="48"/>
  <c r="CI431" i="48"/>
  <c r="CI447" i="48"/>
  <c r="CI440" i="48"/>
  <c r="CI433" i="48"/>
  <c r="CI449" i="48"/>
  <c r="CI442" i="48"/>
  <c r="CI435" i="48"/>
  <c r="CI451" i="48"/>
  <c r="CI444" i="48"/>
  <c r="CI437" i="48"/>
  <c r="CI430" i="48"/>
  <c r="CI446" i="48"/>
  <c r="CI439" i="48"/>
  <c r="CI432" i="48"/>
  <c r="CI448" i="48"/>
  <c r="CI441" i="48"/>
  <c r="CI434" i="48"/>
  <c r="CI450" i="48"/>
  <c r="CI443" i="48"/>
  <c r="CI436" i="48"/>
  <c r="CI427" i="48"/>
  <c r="CI423" i="48"/>
  <c r="CI419" i="48"/>
  <c r="CI415" i="48"/>
  <c r="CI411" i="48"/>
  <c r="CI407" i="48"/>
  <c r="CI426" i="48"/>
  <c r="W427" i="48" s="1"/>
  <c r="AD427" i="48" s="1"/>
  <c r="AJ427" i="48" s="1"/>
  <c r="CI422" i="48"/>
  <c r="CI418" i="48"/>
  <c r="CI414" i="48"/>
  <c r="CI410" i="48"/>
  <c r="CI406" i="48"/>
  <c r="CI425" i="48"/>
  <c r="CI421" i="48"/>
  <c r="CI417" i="48"/>
  <c r="CI413" i="48"/>
  <c r="CI409" i="48"/>
  <c r="CI405" i="48"/>
  <c r="CI424" i="48"/>
  <c r="CI420" i="48"/>
  <c r="CI416" i="48"/>
  <c r="CI412" i="48"/>
  <c r="CI408" i="48"/>
  <c r="CI404" i="48"/>
  <c r="W405" i="48" s="1"/>
  <c r="CI402" i="48"/>
  <c r="CI398" i="48"/>
  <c r="CI394" i="48"/>
  <c r="CI390" i="48"/>
  <c r="CI386" i="48"/>
  <c r="CI382" i="48"/>
  <c r="CI399" i="48"/>
  <c r="CI387" i="48"/>
  <c r="CI379" i="48"/>
  <c r="W380" i="48" s="1"/>
  <c r="CI401" i="48"/>
  <c r="CI397" i="48"/>
  <c r="CI393" i="48"/>
  <c r="CI389" i="48"/>
  <c r="CI385" i="48"/>
  <c r="CI381" i="48"/>
  <c r="CI395" i="48"/>
  <c r="CI391" i="48"/>
  <c r="CI383" i="48"/>
  <c r="CI400" i="48"/>
  <c r="CI396" i="48"/>
  <c r="CI392" i="48"/>
  <c r="CI388" i="48"/>
  <c r="CI384" i="48"/>
  <c r="CI380" i="48"/>
  <c r="CI359" i="48"/>
  <c r="CI365" i="48"/>
  <c r="CI366" i="48"/>
  <c r="CI363" i="48"/>
  <c r="CI356" i="48"/>
  <c r="CI372" i="48"/>
  <c r="CI370" i="48"/>
  <c r="CI369" i="48"/>
  <c r="CI368" i="48"/>
  <c r="CI374" i="48"/>
  <c r="CI367" i="48"/>
  <c r="CI360" i="48"/>
  <c r="CI376" i="48"/>
  <c r="CI357" i="48"/>
  <c r="CI373" i="48"/>
  <c r="CI375" i="48"/>
  <c r="CI355" i="48"/>
  <c r="CI371" i="48"/>
  <c r="CI364" i="48"/>
  <c r="CI361" i="48"/>
  <c r="CI352" i="48"/>
  <c r="CI348" i="48"/>
  <c r="CI344" i="48"/>
  <c r="CI340" i="48"/>
  <c r="CI336" i="48"/>
  <c r="CI332" i="48"/>
  <c r="CI350" i="48"/>
  <c r="CI346" i="48"/>
  <c r="CI342" i="48"/>
  <c r="CI338" i="48"/>
  <c r="CI334" i="48"/>
  <c r="CI330" i="48"/>
  <c r="CI349" i="48"/>
  <c r="CI341" i="48"/>
  <c r="CI337" i="48"/>
  <c r="CI333" i="48"/>
  <c r="CI329" i="48"/>
  <c r="W330" i="48" s="1"/>
  <c r="CI351" i="48"/>
  <c r="CI347" i="48"/>
  <c r="CI343" i="48"/>
  <c r="CI339" i="48"/>
  <c r="CI335" i="48"/>
  <c r="CI331" i="48"/>
  <c r="CI345" i="48"/>
  <c r="CI313" i="48"/>
  <c r="CI320" i="48"/>
  <c r="CI317" i="48"/>
  <c r="CI314" i="48"/>
  <c r="CI315" i="48"/>
  <c r="CI310" i="48"/>
  <c r="CI308" i="48"/>
  <c r="CI324" i="48"/>
  <c r="CI321" i="48"/>
  <c r="CI326" i="48"/>
  <c r="CI319" i="48"/>
  <c r="CI318" i="48"/>
  <c r="CI312" i="48"/>
  <c r="CI325" i="48"/>
  <c r="CI307" i="48"/>
  <c r="CI323" i="48"/>
  <c r="CI322" i="48"/>
  <c r="CI316" i="48"/>
  <c r="CI309" i="48"/>
  <c r="CI311" i="48"/>
  <c r="CI302" i="48"/>
  <c r="CI298" i="48"/>
  <c r="CI294" i="48"/>
  <c r="CI290" i="48"/>
  <c r="CI286" i="48"/>
  <c r="CI282" i="48"/>
  <c r="CI295" i="48"/>
  <c r="CI291" i="48"/>
  <c r="CI283" i="48"/>
  <c r="CI301" i="48"/>
  <c r="CI297" i="48"/>
  <c r="CI293" i="48"/>
  <c r="CI289" i="48"/>
  <c r="CI285" i="48"/>
  <c r="CI281" i="48"/>
  <c r="CI300" i="48"/>
  <c r="CI296" i="48"/>
  <c r="CI292" i="48"/>
  <c r="CI288" i="48"/>
  <c r="CI284" i="48"/>
  <c r="CI280" i="48"/>
  <c r="CI299" i="48"/>
  <c r="CI287" i="48"/>
  <c r="CI279" i="48"/>
  <c r="W280" i="48" s="1"/>
  <c r="CI267" i="48"/>
  <c r="CI264" i="48"/>
  <c r="CI258" i="48"/>
  <c r="CI263" i="48"/>
  <c r="CI265" i="48"/>
  <c r="CI262" i="48"/>
  <c r="CI271" i="48"/>
  <c r="CI268" i="48"/>
  <c r="CI266" i="48"/>
  <c r="CI275" i="48"/>
  <c r="CI269" i="48"/>
  <c r="CI274" i="48"/>
  <c r="CI256" i="48"/>
  <c r="CI272" i="48"/>
  <c r="CI270" i="48"/>
  <c r="CI257" i="48"/>
  <c r="CI273" i="48"/>
  <c r="CI259" i="48"/>
  <c r="CI260" i="48"/>
  <c r="CI255" i="48"/>
  <c r="CI261" i="48"/>
  <c r="CI249" i="48"/>
  <c r="CI245" i="48"/>
  <c r="CI241" i="48"/>
  <c r="CI237" i="48"/>
  <c r="CI233" i="48"/>
  <c r="CI229" i="48"/>
  <c r="W230" i="48" s="1"/>
  <c r="CI246" i="48"/>
  <c r="CI238" i="48"/>
  <c r="CI230" i="48"/>
  <c r="CI252" i="48"/>
  <c r="CI248" i="48"/>
  <c r="CI244" i="48"/>
  <c r="CI240" i="48"/>
  <c r="CI236" i="48"/>
  <c r="CI232" i="48"/>
  <c r="CI250" i="48"/>
  <c r="CI242" i="48"/>
  <c r="CI234" i="48"/>
  <c r="CI251" i="48"/>
  <c r="CI247" i="48"/>
  <c r="CI243" i="48"/>
  <c r="CI239" i="48"/>
  <c r="CI235" i="48"/>
  <c r="CI231" i="48"/>
  <c r="CI224" i="48"/>
  <c r="CI220" i="48"/>
  <c r="CI216" i="48"/>
  <c r="CI212" i="48"/>
  <c r="CI208" i="48"/>
  <c r="CI204" i="48"/>
  <c r="W205" i="48" s="1"/>
  <c r="CI226" i="48"/>
  <c r="CI218" i="48"/>
  <c r="CI210" i="48"/>
  <c r="CI225" i="48"/>
  <c r="CI213" i="48"/>
  <c r="CI205" i="48"/>
  <c r="CI227" i="48"/>
  <c r="CI223" i="48"/>
  <c r="CI219" i="48"/>
  <c r="CI215" i="48"/>
  <c r="CI211" i="48"/>
  <c r="CI207" i="48"/>
  <c r="CI222" i="48"/>
  <c r="CI214" i="48"/>
  <c r="CI206" i="48"/>
  <c r="CI221" i="48"/>
  <c r="CI217" i="48"/>
  <c r="CI209" i="48"/>
  <c r="CI199" i="48"/>
  <c r="CI195" i="48"/>
  <c r="CI191" i="48"/>
  <c r="CI187" i="48"/>
  <c r="CI183" i="48"/>
  <c r="CI179" i="48"/>
  <c r="W180" i="48" s="1"/>
  <c r="CI200" i="48"/>
  <c r="CI188" i="48"/>
  <c r="CI180" i="48"/>
  <c r="CI202" i="48"/>
  <c r="CI198" i="48"/>
  <c r="CI194" i="48"/>
  <c r="CI190" i="48"/>
  <c r="CI186" i="48"/>
  <c r="CI182" i="48"/>
  <c r="CI201" i="48"/>
  <c r="CI197" i="48"/>
  <c r="CI193" i="48"/>
  <c r="CI189" i="48"/>
  <c r="CI185" i="48"/>
  <c r="CI181" i="48"/>
  <c r="CI196" i="48"/>
  <c r="CI192" i="48"/>
  <c r="CI184" i="48"/>
  <c r="CI174" i="48"/>
  <c r="CI170" i="48"/>
  <c r="CI166" i="48"/>
  <c r="CI162" i="48"/>
  <c r="CI158" i="48"/>
  <c r="CI154" i="48"/>
  <c r="W155" i="48" s="1"/>
  <c r="CI176" i="48"/>
  <c r="CI172" i="48"/>
  <c r="CI168" i="48"/>
  <c r="CI164" i="48"/>
  <c r="CI160" i="48"/>
  <c r="CI156" i="48"/>
  <c r="CI175" i="48"/>
  <c r="CI171" i="48"/>
  <c r="CI167" i="48"/>
  <c r="CI163" i="48"/>
  <c r="CI159" i="48"/>
  <c r="CI155" i="48"/>
  <c r="CI177" i="48"/>
  <c r="CI173" i="48"/>
  <c r="CI169" i="48"/>
  <c r="CI165" i="48"/>
  <c r="CI161" i="48"/>
  <c r="CI157" i="48"/>
  <c r="CI149" i="48"/>
  <c r="CI145" i="48"/>
  <c r="CI141" i="48"/>
  <c r="CI137" i="48"/>
  <c r="CI133" i="48"/>
  <c r="CI129" i="48"/>
  <c r="W130" i="48" s="1"/>
  <c r="CI150" i="48"/>
  <c r="CI138" i="48"/>
  <c r="CI130" i="48"/>
  <c r="CI152" i="48"/>
  <c r="CI148" i="48"/>
  <c r="CI144" i="48"/>
  <c r="CI140" i="48"/>
  <c r="CI136" i="48"/>
  <c r="CI132" i="48"/>
  <c r="CI146" i="48"/>
  <c r="CI142" i="48"/>
  <c r="CI134" i="48"/>
  <c r="CI151" i="48"/>
  <c r="CI147" i="48"/>
  <c r="CI143" i="48"/>
  <c r="CI139" i="48"/>
  <c r="CI135" i="48"/>
  <c r="CI131" i="48"/>
  <c r="CI117" i="48"/>
  <c r="CI118" i="48"/>
  <c r="CI109" i="48"/>
  <c r="CI115" i="48"/>
  <c r="CI113" i="48"/>
  <c r="CI112" i="48"/>
  <c r="CI106" i="48"/>
  <c r="CI122" i="48"/>
  <c r="CI125" i="48"/>
  <c r="CI119" i="48"/>
  <c r="CI121" i="48"/>
  <c r="CI116" i="48"/>
  <c r="CI110" i="48"/>
  <c r="CI126" i="48"/>
  <c r="CI107" i="48"/>
  <c r="CI123" i="48"/>
  <c r="CI120" i="48"/>
  <c r="CI114" i="48"/>
  <c r="CI105" i="48"/>
  <c r="CI111" i="48"/>
  <c r="CI127" i="48"/>
  <c r="CI108" i="48"/>
  <c r="CI102" i="48"/>
  <c r="CI98" i="48"/>
  <c r="CI94" i="48"/>
  <c r="CI90" i="48"/>
  <c r="CI86" i="48"/>
  <c r="CI82" i="48"/>
  <c r="CI95" i="48"/>
  <c r="CI91" i="48"/>
  <c r="CI83" i="48"/>
  <c r="CI101" i="48"/>
  <c r="CI97" i="48"/>
  <c r="CI93" i="48"/>
  <c r="CI89" i="48"/>
  <c r="CI85" i="48"/>
  <c r="CI81" i="48"/>
  <c r="CI100" i="48"/>
  <c r="CI96" i="48"/>
  <c r="CI92" i="48"/>
  <c r="CI88" i="48"/>
  <c r="CI84" i="48"/>
  <c r="CI80" i="48"/>
  <c r="CI99" i="48"/>
  <c r="CI87" i="48"/>
  <c r="CI79" i="48"/>
  <c r="W80" i="48" s="1"/>
  <c r="CI77" i="48"/>
  <c r="CI73" i="48"/>
  <c r="CI69" i="48"/>
  <c r="CI65" i="48"/>
  <c r="CI61" i="48"/>
  <c r="CI57" i="48"/>
  <c r="CI70" i="48"/>
  <c r="CI76" i="48"/>
  <c r="CI72" i="48"/>
  <c r="CI68" i="48"/>
  <c r="CI64" i="48"/>
  <c r="CI60" i="48"/>
  <c r="CI56" i="48"/>
  <c r="CI66" i="48"/>
  <c r="CI75" i="48"/>
  <c r="CI71" i="48"/>
  <c r="CI67" i="48"/>
  <c r="CI63" i="48"/>
  <c r="CI59" i="48"/>
  <c r="CI55" i="48"/>
  <c r="CI74" i="48"/>
  <c r="CI62" i="48"/>
  <c r="CI58" i="48"/>
  <c r="CI54" i="48"/>
  <c r="W55" i="48" s="1"/>
  <c r="CI52" i="48"/>
  <c r="CI48" i="48"/>
  <c r="CI44" i="48"/>
  <c r="CI40" i="48"/>
  <c r="CI36" i="48"/>
  <c r="CI32" i="48"/>
  <c r="CI45" i="48"/>
  <c r="CI51" i="48"/>
  <c r="CI47" i="48"/>
  <c r="CI43" i="48"/>
  <c r="CI39" i="48"/>
  <c r="CI35" i="48"/>
  <c r="CI31" i="48"/>
  <c r="CI49" i="48"/>
  <c r="CI37" i="48"/>
  <c r="CI33" i="48"/>
  <c r="CI29" i="48"/>
  <c r="W30" i="48" s="1"/>
  <c r="CI50" i="48"/>
  <c r="CI46" i="48"/>
  <c r="CI42" i="48"/>
  <c r="CI38" i="48"/>
  <c r="CI34" i="48"/>
  <c r="CI30" i="48"/>
  <c r="CI41" i="48"/>
  <c r="CJ902" i="48"/>
  <c r="CJ702" i="48"/>
  <c r="CJ227" i="48"/>
  <c r="CJ377" i="48"/>
  <c r="CJ852" i="48"/>
  <c r="CJ552" i="48"/>
  <c r="CJ1002" i="48"/>
  <c r="CJ452" i="48"/>
  <c r="CJ1102" i="48"/>
  <c r="CJ152" i="48"/>
  <c r="AD1104" i="48"/>
  <c r="AD954" i="48"/>
  <c r="AD804" i="48"/>
  <c r="AD429" i="48"/>
  <c r="AD204" i="48"/>
  <c r="AD1279" i="48"/>
  <c r="AD1054" i="48"/>
  <c r="AD179" i="48"/>
  <c r="AD1029" i="48"/>
  <c r="AD879" i="48"/>
  <c r="AD704" i="48"/>
  <c r="AD479" i="48"/>
  <c r="AD154" i="48"/>
  <c r="AD1254" i="48"/>
  <c r="AD854" i="48"/>
  <c r="AD554" i="48"/>
  <c r="AD279" i="48"/>
  <c r="AD54" i="48"/>
  <c r="AD229" i="48"/>
  <c r="AD1129" i="48"/>
  <c r="AD529" i="48"/>
  <c r="AD379" i="48"/>
  <c r="AD1329" i="48"/>
  <c r="AD829" i="48"/>
  <c r="AD254" i="48"/>
  <c r="AD1103" i="48"/>
  <c r="AD953" i="48"/>
  <c r="AD803" i="48"/>
  <c r="AD428" i="48"/>
  <c r="AD203" i="48"/>
  <c r="AD1278" i="48"/>
  <c r="AD178" i="48"/>
  <c r="AD1028" i="48"/>
  <c r="AD878" i="48"/>
  <c r="AD703" i="48"/>
  <c r="AD478" i="48"/>
  <c r="AD153" i="48"/>
  <c r="AD1253" i="48"/>
  <c r="AD853" i="48"/>
  <c r="AD553" i="48"/>
  <c r="AD278" i="48"/>
  <c r="AD53" i="48"/>
  <c r="AD228" i="48"/>
  <c r="AD1128" i="48"/>
  <c r="AD528" i="48"/>
  <c r="AD378" i="48"/>
  <c r="AD1328" i="48"/>
  <c r="AD828" i="48"/>
  <c r="AD253" i="48"/>
  <c r="AD1079" i="48"/>
  <c r="AD929" i="48"/>
  <c r="AD729" i="48"/>
  <c r="AD404" i="48"/>
  <c r="AD304" i="48"/>
  <c r="AD104" i="48"/>
  <c r="AD1154" i="48"/>
  <c r="AD904" i="48"/>
  <c r="AD1304" i="48"/>
  <c r="AD979" i="48"/>
  <c r="AD754" i="48"/>
  <c r="AD579" i="48"/>
  <c r="AD329" i="48"/>
  <c r="AD79" i="48"/>
  <c r="AD1004" i="48"/>
  <c r="AD679" i="48"/>
  <c r="AD354" i="48"/>
  <c r="AD129" i="48"/>
  <c r="AD1204" i="48"/>
  <c r="AD1229" i="48"/>
  <c r="AD779" i="48"/>
  <c r="AD604" i="48"/>
  <c r="AD454" i="48"/>
  <c r="AD1179" i="48"/>
  <c r="AD504" i="48"/>
  <c r="AD629" i="48"/>
  <c r="AD1078" i="48"/>
  <c r="AD928" i="48"/>
  <c r="AD728" i="48"/>
  <c r="AD403" i="48"/>
  <c r="AD303" i="48"/>
  <c r="AD103" i="48"/>
  <c r="AD1153" i="48"/>
  <c r="AD903" i="48"/>
  <c r="AD1303" i="48"/>
  <c r="AD978" i="48"/>
  <c r="AD753" i="48"/>
  <c r="AD578" i="48"/>
  <c r="AD328" i="48"/>
  <c r="AD78" i="48"/>
  <c r="AD1003" i="48"/>
  <c r="AD678" i="48"/>
  <c r="AD353" i="48"/>
  <c r="AD128" i="48"/>
  <c r="AD1203" i="48"/>
  <c r="AD1228" i="48"/>
  <c r="AD778" i="48"/>
  <c r="AD603" i="48"/>
  <c r="AD453" i="48"/>
  <c r="AD1178" i="48"/>
  <c r="AD503" i="48"/>
  <c r="AD628" i="48"/>
  <c r="CJ927" i="48" l="1"/>
  <c r="CJ127" i="48"/>
  <c r="CJ1152" i="48"/>
  <c r="CJ202" i="48"/>
  <c r="CJ977" i="48"/>
  <c r="CJ1327" i="48"/>
  <c r="CJ1352" i="48"/>
  <c r="CL302" i="48"/>
  <c r="CL327" i="48"/>
  <c r="CL402" i="48"/>
  <c r="CJ327" i="48"/>
  <c r="CL377" i="48"/>
  <c r="CL527" i="48"/>
  <c r="CL627" i="48"/>
  <c r="CL652" i="48"/>
  <c r="CL802" i="48"/>
  <c r="CL1027" i="48"/>
  <c r="CL1227" i="48"/>
  <c r="CL452" i="48"/>
  <c r="CL477" i="48"/>
  <c r="CL502" i="48"/>
  <c r="CL552" i="48"/>
  <c r="CL727" i="48"/>
  <c r="CL752" i="48"/>
  <c r="CL852" i="48"/>
  <c r="CL1002" i="48"/>
  <c r="CL1102" i="48"/>
  <c r="CL1127" i="48"/>
  <c r="CL1202" i="48"/>
  <c r="CL1252" i="48"/>
  <c r="CL1302" i="48"/>
  <c r="CL1327" i="48"/>
  <c r="CJ1227" i="48"/>
  <c r="AN427" i="48"/>
  <c r="AL427" i="48"/>
  <c r="AM427" i="48"/>
  <c r="CL702" i="48"/>
  <c r="CL827" i="48"/>
  <c r="CL877" i="48"/>
  <c r="CL902" i="48"/>
  <c r="CL952" i="48"/>
  <c r="CL977" i="48"/>
  <c r="CL1077" i="48"/>
  <c r="CL1177" i="48"/>
  <c r="CL1277" i="48"/>
  <c r="CL1352" i="48"/>
  <c r="CL1152" i="48"/>
  <c r="CL27" i="48"/>
  <c r="CL1125" i="48"/>
  <c r="CL1052" i="48"/>
  <c r="W1053" i="48"/>
  <c r="AD1053" i="48" s="1"/>
  <c r="CJ952" i="48"/>
  <c r="CL927" i="48"/>
  <c r="CL825" i="48"/>
  <c r="CL776" i="48"/>
  <c r="CL777" i="48"/>
  <c r="CL451" i="48"/>
  <c r="CL426" i="48"/>
  <c r="CL352" i="48"/>
  <c r="CL252" i="48"/>
  <c r="CL227" i="48"/>
  <c r="CL202" i="48"/>
  <c r="CL177" i="48"/>
  <c r="CL152" i="48"/>
  <c r="CL127" i="48"/>
  <c r="CJ126" i="48"/>
  <c r="CL102" i="48"/>
  <c r="CJ101" i="48"/>
  <c r="CL77" i="48"/>
  <c r="CL52" i="48"/>
  <c r="CJ1302" i="48"/>
  <c r="CJ1277" i="48"/>
  <c r="CJ1252" i="48"/>
  <c r="CJ1202" i="48"/>
  <c r="CJ1177" i="48"/>
  <c r="CJ1127" i="48"/>
  <c r="CJ1077" i="48"/>
  <c r="CJ1052" i="48"/>
  <c r="CJ1027" i="48"/>
  <c r="CJ877" i="48"/>
  <c r="CJ827" i="48"/>
  <c r="CJ802" i="48"/>
  <c r="CJ777" i="48"/>
  <c r="CJ752" i="48"/>
  <c r="CJ727" i="48"/>
  <c r="CJ652" i="48"/>
  <c r="CJ627" i="48"/>
  <c r="CJ602" i="48"/>
  <c r="CJ577" i="48"/>
  <c r="CJ527" i="48"/>
  <c r="CJ502" i="48"/>
  <c r="CJ477" i="48"/>
  <c r="CJ427" i="48"/>
  <c r="CJ402" i="48"/>
  <c r="CJ352" i="48"/>
  <c r="CJ302" i="48"/>
  <c r="CJ252" i="48"/>
  <c r="CJ177" i="48"/>
  <c r="CJ77" i="48"/>
  <c r="CJ52" i="48"/>
  <c r="CJ102" i="48"/>
  <c r="CJ430" i="48"/>
  <c r="CJ306" i="48"/>
  <c r="CJ305" i="48"/>
  <c r="AD355" i="48"/>
  <c r="CJ354" i="48"/>
  <c r="AD830" i="48"/>
  <c r="CJ829" i="48"/>
  <c r="CJ980" i="48"/>
  <c r="AD105" i="48"/>
  <c r="CJ104" i="48"/>
  <c r="AD1130" i="48"/>
  <c r="CJ1129" i="48"/>
  <c r="AD930" i="48"/>
  <c r="CJ929" i="48"/>
  <c r="AD1330" i="48"/>
  <c r="CJ1329" i="48"/>
  <c r="CJ979" i="48"/>
  <c r="AD255" i="48"/>
  <c r="CJ254" i="48"/>
  <c r="CJ304" i="48"/>
  <c r="AD430" i="48"/>
  <c r="CJ429" i="48"/>
  <c r="CL306" i="48"/>
  <c r="CL1129" i="48"/>
  <c r="CL305" i="48"/>
  <c r="CL304" i="48"/>
  <c r="CL430" i="48"/>
  <c r="CL429" i="48"/>
  <c r="CL929" i="48"/>
  <c r="CL980" i="48"/>
  <c r="CL979" i="48"/>
  <c r="CL1329" i="48"/>
  <c r="CL354" i="48"/>
  <c r="CL829" i="48"/>
  <c r="CL104" i="48"/>
  <c r="CL254" i="48"/>
  <c r="CJ307" i="48"/>
  <c r="CJ830" i="48"/>
  <c r="CJ34" i="48"/>
  <c r="CJ30" i="48"/>
  <c r="CJ35" i="48"/>
  <c r="CJ956" i="48"/>
  <c r="CJ959" i="48"/>
  <c r="CJ606" i="48"/>
  <c r="CJ1032" i="48"/>
  <c r="CJ1232" i="48"/>
  <c r="CJ1130" i="48"/>
  <c r="CJ385" i="48"/>
  <c r="CJ355" i="48"/>
  <c r="CJ105" i="48"/>
  <c r="CJ482" i="48"/>
  <c r="CJ483" i="48"/>
  <c r="CJ255" i="48"/>
  <c r="CI17" i="48"/>
  <c r="CI12" i="48"/>
  <c r="CI20" i="48"/>
  <c r="CI15" i="48"/>
  <c r="CI10" i="48"/>
  <c r="CI23" i="48"/>
  <c r="CI18" i="48"/>
  <c r="CI13" i="48"/>
  <c r="CI8" i="48"/>
  <c r="CI11" i="48"/>
  <c r="CI21" i="48"/>
  <c r="CI16" i="48"/>
  <c r="CI19" i="48"/>
  <c r="CI6" i="48"/>
  <c r="CI14" i="48"/>
  <c r="CI9" i="48"/>
  <c r="CI7" i="48"/>
  <c r="CJ155" i="48"/>
  <c r="CJ156" i="48"/>
  <c r="CJ505" i="48"/>
  <c r="CJ930" i="48"/>
  <c r="CJ1306" i="48"/>
  <c r="CJ533" i="48"/>
  <c r="CJ757" i="48"/>
  <c r="CJ1330" i="48"/>
  <c r="CJ410" i="48"/>
  <c r="CJ981" i="48"/>
  <c r="CJ1332" i="48"/>
  <c r="CJ431" i="48"/>
  <c r="CL20" i="48" l="1"/>
  <c r="CJ380" i="48"/>
  <c r="CJ26" i="48"/>
  <c r="CL851" i="48"/>
  <c r="CL51" i="48"/>
  <c r="CJ205" i="48"/>
  <c r="CJ207" i="48"/>
  <c r="CJ210" i="48"/>
  <c r="CM430" i="48"/>
  <c r="CM306" i="48"/>
  <c r="CQ306" i="48" s="1"/>
  <c r="CJ51" i="48"/>
  <c r="CJ282" i="48"/>
  <c r="CJ233" i="48"/>
  <c r="CJ856" i="48"/>
  <c r="CL326" i="48"/>
  <c r="CL126" i="48"/>
  <c r="CL1051" i="48"/>
  <c r="CL1151" i="48"/>
  <c r="CL626" i="48"/>
  <c r="CL1226" i="48"/>
  <c r="CL76" i="48"/>
  <c r="CL101" i="48"/>
  <c r="CL301" i="48"/>
  <c r="CJ409" i="48"/>
  <c r="CJ708" i="48"/>
  <c r="CJ583" i="48"/>
  <c r="CJ160" i="48"/>
  <c r="CJ557" i="48"/>
  <c r="CJ234" i="48"/>
  <c r="CJ383" i="48"/>
  <c r="CJ480" i="48"/>
  <c r="CJ1108" i="48"/>
  <c r="CJ208" i="48"/>
  <c r="CJ1156" i="48"/>
  <c r="CJ1281" i="48"/>
  <c r="CJ1258" i="48"/>
  <c r="CJ834" i="48"/>
  <c r="CJ185" i="48"/>
  <c r="CJ1257" i="48"/>
  <c r="CL1301" i="48"/>
  <c r="CL876" i="48"/>
  <c r="CL226" i="48"/>
  <c r="CL501" i="48"/>
  <c r="CL951" i="48"/>
  <c r="CL351" i="48"/>
  <c r="CL926" i="48"/>
  <c r="CJ1255" i="48"/>
  <c r="CJ560" i="48"/>
  <c r="CJ909" i="48"/>
  <c r="CL601" i="48"/>
  <c r="CL976" i="48"/>
  <c r="CL476" i="48"/>
  <c r="CL526" i="48"/>
  <c r="CL651" i="48"/>
  <c r="CL201" i="48"/>
  <c r="CL826" i="48"/>
  <c r="CM827" i="48" s="1"/>
  <c r="CQ827" i="48" s="1"/>
  <c r="CZ827" i="48" s="1"/>
  <c r="CL1326" i="48"/>
  <c r="CL1276" i="48"/>
  <c r="CL151" i="48"/>
  <c r="CL1001" i="48"/>
  <c r="CL751" i="48"/>
  <c r="CL551" i="48"/>
  <c r="CL1201" i="48"/>
  <c r="CL1126" i="48"/>
  <c r="CM1127" i="48" s="1"/>
  <c r="CQ1127" i="48" s="1"/>
  <c r="CZ1127" i="48" s="1"/>
  <c r="CL701" i="48"/>
  <c r="CL251" i="48"/>
  <c r="CL726" i="48"/>
  <c r="CL576" i="48"/>
  <c r="CL1176" i="48"/>
  <c r="CL1026" i="48"/>
  <c r="CL1351" i="48"/>
  <c r="CL176" i="48"/>
  <c r="CL1251" i="48"/>
  <c r="CL901" i="48"/>
  <c r="CL1101" i="48"/>
  <c r="CL1076" i="48"/>
  <c r="CL401" i="48"/>
  <c r="CL801" i="48"/>
  <c r="CL376" i="48"/>
  <c r="CJ331" i="48"/>
  <c r="CJ688" i="48"/>
  <c r="CJ100" i="48"/>
  <c r="CJ268" i="48"/>
  <c r="CJ771" i="48"/>
  <c r="CJ538" i="48"/>
  <c r="CJ246" i="48"/>
  <c r="CJ1314" i="48"/>
  <c r="CJ163" i="48"/>
  <c r="CJ487" i="48"/>
  <c r="CJ223" i="48"/>
  <c r="CJ964" i="48"/>
  <c r="CJ961" i="48"/>
  <c r="CJ37" i="48"/>
  <c r="CJ912" i="48"/>
  <c r="CJ625" i="48"/>
  <c r="CJ450" i="48"/>
  <c r="CJ113" i="48"/>
  <c r="CJ274" i="48"/>
  <c r="CJ1166" i="48"/>
  <c r="CJ418" i="48"/>
  <c r="CJ1222" i="48"/>
  <c r="CJ768" i="48"/>
  <c r="CJ767" i="48"/>
  <c r="CJ545" i="48"/>
  <c r="CJ243" i="48"/>
  <c r="CJ1145" i="48"/>
  <c r="CJ295" i="48"/>
  <c r="CJ562" i="48"/>
  <c r="CJ1196" i="48"/>
  <c r="CJ523" i="48"/>
  <c r="CJ339" i="48"/>
  <c r="CJ465" i="48"/>
  <c r="CJ24" i="48"/>
  <c r="CJ719" i="48"/>
  <c r="CJ493" i="48"/>
  <c r="CJ490" i="48"/>
  <c r="CJ492" i="48"/>
  <c r="CJ1021" i="48"/>
  <c r="CJ641" i="48"/>
  <c r="CJ1037" i="48"/>
  <c r="CJ65" i="48"/>
  <c r="CJ969" i="48"/>
  <c r="CJ966" i="48"/>
  <c r="CJ75" i="48"/>
  <c r="CJ265" i="48"/>
  <c r="CJ770" i="48"/>
  <c r="CJ1268" i="48"/>
  <c r="CJ349" i="48"/>
  <c r="CJ488" i="48"/>
  <c r="CJ1016" i="48"/>
  <c r="CJ1043" i="48"/>
  <c r="CJ1117" i="48"/>
  <c r="CJ1225" i="48"/>
  <c r="CJ1150" i="48"/>
  <c r="CJ300" i="48"/>
  <c r="CJ840" i="48"/>
  <c r="CJ1147" i="48"/>
  <c r="CJ270" i="48"/>
  <c r="CJ423" i="48"/>
  <c r="CJ773" i="48"/>
  <c r="CJ237" i="48"/>
  <c r="CJ249" i="48"/>
  <c r="CJ248" i="48"/>
  <c r="CJ1321" i="48"/>
  <c r="CJ293" i="48"/>
  <c r="CJ596" i="48"/>
  <c r="CJ173" i="48"/>
  <c r="CJ498" i="48"/>
  <c r="CJ497" i="48"/>
  <c r="CJ1024" i="48"/>
  <c r="CJ646" i="48"/>
  <c r="CJ645" i="48"/>
  <c r="CJ119" i="48"/>
  <c r="CJ1041" i="48"/>
  <c r="CJ213" i="48"/>
  <c r="CJ90" i="48"/>
  <c r="CJ614" i="48"/>
  <c r="CJ974" i="48"/>
  <c r="CJ971" i="48"/>
  <c r="CJ40" i="48"/>
  <c r="CJ696" i="48"/>
  <c r="CJ541" i="48"/>
  <c r="CJ540" i="48"/>
  <c r="CJ287" i="48"/>
  <c r="CJ514" i="48"/>
  <c r="CJ398" i="48"/>
  <c r="CJ38" i="48"/>
  <c r="CJ325" i="48"/>
  <c r="CJ125" i="48"/>
  <c r="CJ1050" i="48"/>
  <c r="CJ945" i="48"/>
  <c r="CJ437" i="48"/>
  <c r="CJ412" i="48"/>
  <c r="CJ874" i="48"/>
  <c r="CJ593" i="48"/>
  <c r="CJ590" i="48"/>
  <c r="CJ341" i="48"/>
  <c r="CJ393" i="48"/>
  <c r="CJ390" i="48"/>
  <c r="CJ1294" i="48"/>
  <c r="CJ1293" i="48"/>
  <c r="CJ1292" i="48"/>
  <c r="CJ1047" i="48"/>
  <c r="CJ1046" i="48"/>
  <c r="CJ218" i="48"/>
  <c r="CJ215" i="48"/>
  <c r="CJ95" i="48"/>
  <c r="CJ1120" i="48"/>
  <c r="CJ49" i="48"/>
  <c r="CJ415" i="48"/>
  <c r="CJ598" i="48"/>
  <c r="CJ580" i="48"/>
  <c r="CJ825" i="48"/>
  <c r="CJ335" i="48"/>
  <c r="CJ485" i="48"/>
  <c r="CJ284" i="48"/>
  <c r="CJ588" i="48"/>
  <c r="CJ640" i="48"/>
  <c r="CJ875" i="48"/>
  <c r="CJ1100" i="48"/>
  <c r="CJ925" i="48"/>
  <c r="CJ1157" i="48"/>
  <c r="CJ795" i="48"/>
  <c r="CJ448" i="48"/>
  <c r="CJ1334" i="48"/>
  <c r="CJ1059" i="48"/>
  <c r="CJ1066" i="48"/>
  <c r="CJ188" i="48"/>
  <c r="CJ195" i="48"/>
  <c r="CJ111" i="48"/>
  <c r="CJ258" i="48"/>
  <c r="CJ1207" i="48"/>
  <c r="CJ871" i="48"/>
  <c r="CJ130" i="48"/>
  <c r="CJ137" i="48"/>
  <c r="CJ312" i="48"/>
  <c r="CJ356" i="48"/>
  <c r="CJ11" i="48"/>
  <c r="CJ374" i="48"/>
  <c r="CJ475" i="48"/>
  <c r="CJ525" i="48"/>
  <c r="CJ650" i="48"/>
  <c r="CJ400" i="48"/>
  <c r="CJ71" i="48"/>
  <c r="CJ55" i="48"/>
  <c r="CJ620" i="48"/>
  <c r="CJ609" i="48"/>
  <c r="CJ957" i="48"/>
  <c r="CJ1109" i="48"/>
  <c r="CJ1114" i="48"/>
  <c r="CJ907" i="48"/>
  <c r="CJ575" i="48"/>
  <c r="CJ700" i="48"/>
  <c r="CJ943" i="48"/>
  <c r="CJ1346" i="48"/>
  <c r="CJ998" i="48"/>
  <c r="CJ936" i="48"/>
  <c r="CJ1140" i="48"/>
  <c r="CJ1075" i="48"/>
  <c r="CJ800" i="48"/>
  <c r="CJ425" i="48"/>
  <c r="CJ994" i="48"/>
  <c r="CJ807" i="48"/>
  <c r="CJ361" i="48"/>
  <c r="CJ1205" i="48"/>
  <c r="CJ1212" i="48"/>
  <c r="CJ762" i="48"/>
  <c r="CJ531" i="48"/>
  <c r="CJ543" i="48"/>
  <c r="CJ534" i="48"/>
  <c r="CJ1320" i="48"/>
  <c r="CJ370" i="48"/>
  <c r="CJ292" i="48"/>
  <c r="CJ887" i="48"/>
  <c r="CJ899" i="48"/>
  <c r="CJ573" i="48"/>
  <c r="CJ564" i="48"/>
  <c r="CJ1180" i="48"/>
  <c r="CJ507" i="48"/>
  <c r="CJ347" i="48"/>
  <c r="CJ167" i="48"/>
  <c r="CJ472" i="48"/>
  <c r="CJ1019" i="48"/>
  <c r="CJ216" i="48"/>
  <c r="CJ92" i="48"/>
  <c r="CJ89" i="48"/>
  <c r="CJ611" i="48"/>
  <c r="CJ42" i="48"/>
  <c r="CJ275" i="48"/>
  <c r="CJ546" i="48"/>
  <c r="CJ1175" i="48"/>
  <c r="CJ781" i="48"/>
  <c r="CJ788" i="48"/>
  <c r="CJ940" i="48"/>
  <c r="CJ1056" i="48"/>
  <c r="CJ192" i="48"/>
  <c r="CJ190" i="48"/>
  <c r="CJ813" i="48"/>
  <c r="CJ810" i="48"/>
  <c r="CJ470" i="48"/>
  <c r="CJ241" i="48"/>
  <c r="CJ1214" i="48"/>
  <c r="CJ760" i="48"/>
  <c r="CJ239" i="48"/>
  <c r="CJ149" i="48"/>
  <c r="CJ1309" i="48"/>
  <c r="CJ338" i="48"/>
  <c r="CJ706" i="48"/>
  <c r="CJ585" i="48"/>
  <c r="CJ388" i="48"/>
  <c r="CJ1023" i="48"/>
  <c r="CJ595" i="48"/>
  <c r="CJ413" i="48"/>
  <c r="CJ44" i="48"/>
  <c r="CJ1318" i="48"/>
  <c r="CJ764" i="48"/>
  <c r="CJ1343" i="48"/>
  <c r="CJ1013" i="48"/>
  <c r="CJ1034" i="48"/>
  <c r="CJ308" i="48"/>
  <c r="CJ920" i="48"/>
  <c r="CJ685" i="48"/>
  <c r="CJ695" i="48"/>
  <c r="CJ369" i="48"/>
  <c r="CJ363" i="48"/>
  <c r="CJ1125" i="48"/>
  <c r="CJ837" i="48"/>
  <c r="CJ986" i="48"/>
  <c r="CJ967" i="48"/>
  <c r="CJ1116" i="48"/>
  <c r="CJ32" i="48"/>
  <c r="CJ375" i="48"/>
  <c r="CJ114" i="48"/>
  <c r="CJ796" i="48"/>
  <c r="CJ798" i="48"/>
  <c r="CJ441" i="48"/>
  <c r="CJ1069" i="48"/>
  <c r="CJ182" i="48"/>
  <c r="CJ823" i="48"/>
  <c r="CJ821" i="48"/>
  <c r="CJ1208" i="48"/>
  <c r="CJ864" i="48"/>
  <c r="CJ755" i="48"/>
  <c r="CJ548" i="48"/>
  <c r="CJ138" i="48"/>
  <c r="CJ143" i="48"/>
  <c r="CJ1325" i="48"/>
  <c r="CJ844" i="48"/>
  <c r="CJ1146" i="48"/>
  <c r="CJ988" i="48"/>
  <c r="CJ1256" i="48"/>
  <c r="CJ893" i="48"/>
  <c r="CJ1198" i="48"/>
  <c r="CJ333" i="48"/>
  <c r="CJ171" i="48"/>
  <c r="CJ7" i="48"/>
  <c r="CJ5" i="48"/>
  <c r="CJ724" i="48"/>
  <c r="CJ494" i="48"/>
  <c r="CJ1338" i="48"/>
  <c r="CJ735" i="48"/>
  <c r="CJ384" i="48"/>
  <c r="CJ1095" i="48"/>
  <c r="CJ1091" i="48"/>
  <c r="CJ1245" i="48"/>
  <c r="CJ1231" i="48"/>
  <c r="CJ1298" i="48"/>
  <c r="CJ1038" i="48"/>
  <c r="CJ1040" i="48"/>
  <c r="CJ209" i="48"/>
  <c r="CJ1275" i="48"/>
  <c r="CJ1300" i="48"/>
  <c r="CJ1250" i="48"/>
  <c r="CJ600" i="48"/>
  <c r="CJ1142" i="48"/>
  <c r="CJ1340" i="48"/>
  <c r="CJ25" i="48"/>
  <c r="CL26" i="48"/>
  <c r="CJ550" i="48"/>
  <c r="CJ357" i="48"/>
  <c r="CJ261" i="48"/>
  <c r="CJ850" i="48"/>
  <c r="CJ371" i="48"/>
  <c r="CJ992" i="48"/>
  <c r="CJ939" i="48"/>
  <c r="CJ1138" i="48"/>
  <c r="CJ360" i="48"/>
  <c r="CJ1131" i="48"/>
  <c r="CJ886" i="48"/>
  <c r="CJ717" i="48"/>
  <c r="CJ1005" i="48"/>
  <c r="CJ1018" i="48"/>
  <c r="CJ1022" i="48"/>
  <c r="CJ643" i="48"/>
  <c r="CJ648" i="48"/>
  <c r="CJ1336" i="48"/>
  <c r="CJ740" i="48"/>
  <c r="CJ1093" i="48"/>
  <c r="CJ1090" i="48"/>
  <c r="CJ1242" i="48"/>
  <c r="CJ1284" i="48"/>
  <c r="CJ1200" i="48"/>
  <c r="CJ900" i="48"/>
  <c r="CJ775" i="48"/>
  <c r="CJ975" i="48"/>
  <c r="CJ725" i="48"/>
  <c r="CJ1169" i="48"/>
  <c r="CJ1136" i="48"/>
  <c r="CJ420" i="48"/>
  <c r="CJ183" i="48"/>
  <c r="CJ817" i="48"/>
  <c r="CJ1133" i="48"/>
  <c r="CJ120" i="48"/>
  <c r="CJ1216" i="48"/>
  <c r="CJ244" i="48"/>
  <c r="CJ147" i="48"/>
  <c r="CJ131" i="48"/>
  <c r="CJ1313" i="48"/>
  <c r="CJ1316" i="48"/>
  <c r="CJ296" i="48"/>
  <c r="CJ889" i="48"/>
  <c r="CJ1182" i="48"/>
  <c r="CJ1192" i="48"/>
  <c r="CJ520" i="48"/>
  <c r="CJ509" i="48"/>
  <c r="CJ511" i="48"/>
  <c r="CJ165" i="48"/>
  <c r="CJ721" i="48"/>
  <c r="CJ637" i="48"/>
  <c r="CJ933" i="48"/>
  <c r="CJ732" i="48"/>
  <c r="CJ737" i="48"/>
  <c r="CJ749" i="48"/>
  <c r="CJ381" i="48"/>
  <c r="CJ395" i="48"/>
  <c r="CJ1084" i="48"/>
  <c r="CJ1081" i="48"/>
  <c r="CJ1237" i="48"/>
  <c r="CJ1287" i="48"/>
  <c r="CJ1031" i="48"/>
  <c r="CJ211" i="48"/>
  <c r="CJ220" i="48"/>
  <c r="CJ82" i="48"/>
  <c r="CJ99" i="48"/>
  <c r="CJ67" i="48"/>
  <c r="CJ62" i="48"/>
  <c r="CJ680" i="48"/>
  <c r="CJ1350" i="48"/>
  <c r="CJ500" i="48"/>
  <c r="CJ322" i="48"/>
  <c r="CJ366" i="48"/>
  <c r="CJ417" i="48"/>
  <c r="CJ822" i="48"/>
  <c r="CJ549" i="48"/>
  <c r="CJ467" i="48"/>
  <c r="CJ6" i="48"/>
  <c r="CJ848" i="48"/>
  <c r="CJ623" i="48"/>
  <c r="CJ225" i="48"/>
  <c r="CJ950" i="48"/>
  <c r="CJ175" i="48"/>
  <c r="CJ350" i="48"/>
  <c r="CJ1164" i="48"/>
  <c r="CJ785" i="48"/>
  <c r="CJ197" i="48"/>
  <c r="CJ818" i="48"/>
  <c r="CJ815" i="48"/>
  <c r="CJ820" i="48"/>
  <c r="CJ867" i="48"/>
  <c r="CJ765" i="48"/>
  <c r="CJ1265" i="48"/>
  <c r="CJ1272" i="48"/>
  <c r="CJ568" i="48"/>
  <c r="CJ559" i="48"/>
  <c r="CJ463" i="48"/>
  <c r="CJ23" i="48"/>
  <c r="CJ1141" i="48"/>
  <c r="CJ256" i="48"/>
  <c r="CJ722" i="48"/>
  <c r="CJ638" i="48"/>
  <c r="CJ1241" i="48"/>
  <c r="CJ368" i="48"/>
  <c r="CJ59" i="48"/>
  <c r="CJ61" i="48"/>
  <c r="CJ612" i="48"/>
  <c r="CJ972" i="48"/>
  <c r="CJ1112" i="48"/>
  <c r="CJ1124" i="48"/>
  <c r="CJ1106" i="48"/>
  <c r="CJ45" i="48"/>
  <c r="CJ921" i="48"/>
  <c r="CJ689" i="48"/>
  <c r="CJ682" i="48"/>
  <c r="CJ862" i="48"/>
  <c r="CJ200" i="48"/>
  <c r="CJ1161" i="48"/>
  <c r="CJ1170" i="48"/>
  <c r="CJ789" i="48"/>
  <c r="CJ791" i="48"/>
  <c r="CJ108" i="48"/>
  <c r="CJ1064" i="48"/>
  <c r="CJ1071" i="48"/>
  <c r="CJ1062" i="48"/>
  <c r="CJ421" i="48"/>
  <c r="CJ184" i="48"/>
  <c r="CJ811" i="48"/>
  <c r="CJ435" i="48"/>
  <c r="CJ317" i="48"/>
  <c r="CJ1217" i="48"/>
  <c r="CJ1220" i="48"/>
  <c r="CJ857" i="48"/>
  <c r="CJ860" i="48"/>
  <c r="CJ236" i="48"/>
  <c r="CJ247" i="48"/>
  <c r="CJ134" i="48"/>
  <c r="CJ141" i="48"/>
  <c r="CJ132" i="48"/>
  <c r="CJ1323" i="48"/>
  <c r="CJ297" i="48"/>
  <c r="CJ299" i="48"/>
  <c r="CJ288" i="48"/>
  <c r="CJ581" i="48"/>
  <c r="CJ1269" i="48"/>
  <c r="CJ896" i="48"/>
  <c r="CJ890" i="48"/>
  <c r="CJ558" i="48"/>
  <c r="CJ1193" i="48"/>
  <c r="CJ521" i="48"/>
  <c r="CJ344" i="48"/>
  <c r="CJ460" i="48"/>
  <c r="CJ469" i="48"/>
  <c r="CJ19" i="48"/>
  <c r="CJ934" i="48"/>
  <c r="CJ1349" i="48"/>
  <c r="CJ365" i="48"/>
  <c r="CJ1017" i="48"/>
  <c r="CJ635" i="48"/>
  <c r="CJ1149" i="48"/>
  <c r="CJ744" i="48"/>
  <c r="CJ387" i="48"/>
  <c r="CJ1248" i="48"/>
  <c r="CJ1234" i="48"/>
  <c r="CJ1044" i="48"/>
  <c r="CJ86" i="48"/>
  <c r="CJ83" i="48"/>
  <c r="CJ80" i="48"/>
  <c r="CJ1111" i="48"/>
  <c r="CJ39" i="48"/>
  <c r="CJ913" i="48"/>
  <c r="CJ150" i="48"/>
  <c r="CJ50" i="48"/>
  <c r="CJ750" i="48"/>
  <c r="CJ1000" i="48"/>
  <c r="CJ1158" i="48"/>
  <c r="CJ1172" i="48"/>
  <c r="CJ793" i="48"/>
  <c r="CJ831" i="48"/>
  <c r="CJ1060" i="48"/>
  <c r="CJ1067" i="48"/>
  <c r="CJ1074" i="48"/>
  <c r="CJ405" i="48"/>
  <c r="CJ407" i="48"/>
  <c r="CJ444" i="48"/>
  <c r="CJ1211" i="48"/>
  <c r="CJ863" i="48"/>
  <c r="CJ872" i="48"/>
  <c r="CJ869" i="48"/>
  <c r="CJ759" i="48"/>
  <c r="CJ145" i="48"/>
  <c r="CJ1308" i="48"/>
  <c r="CJ1319" i="48"/>
  <c r="CJ290" i="48"/>
  <c r="CJ281" i="48"/>
  <c r="CJ285" i="48"/>
  <c r="CJ592" i="48"/>
  <c r="CJ589" i="48"/>
  <c r="CJ1266" i="48"/>
  <c r="CJ1262" i="48"/>
  <c r="CJ1260" i="48"/>
  <c r="CJ1273" i="48"/>
  <c r="CJ884" i="48"/>
  <c r="CJ881" i="48"/>
  <c r="CJ898" i="48"/>
  <c r="CJ570" i="48"/>
  <c r="CJ565" i="48"/>
  <c r="CJ555" i="48"/>
  <c r="CJ572" i="48"/>
  <c r="CJ1186" i="48"/>
  <c r="CJ1188" i="48"/>
  <c r="CJ1184" i="48"/>
  <c r="CJ515" i="48"/>
  <c r="CJ512" i="48"/>
  <c r="CJ524" i="48"/>
  <c r="CJ518" i="48"/>
  <c r="CJ346" i="48"/>
  <c r="CJ340" i="48"/>
  <c r="CJ168" i="48"/>
  <c r="CJ166" i="48"/>
  <c r="CJ473" i="48"/>
  <c r="CJ457" i="48"/>
  <c r="CJ9" i="48"/>
  <c r="CJ16" i="48"/>
  <c r="CJ13" i="48"/>
  <c r="CJ711" i="48"/>
  <c r="CJ713" i="48"/>
  <c r="CJ1010" i="48"/>
  <c r="CJ1012" i="48"/>
  <c r="CJ632" i="48"/>
  <c r="CJ747" i="48"/>
  <c r="CJ738" i="48"/>
  <c r="CJ399" i="48"/>
  <c r="CJ396" i="48"/>
  <c r="CJ1087" i="48"/>
  <c r="CJ1099" i="48"/>
  <c r="CJ1096" i="48"/>
  <c r="CJ373" i="48"/>
  <c r="CJ1235" i="48"/>
  <c r="CJ1239" i="48"/>
  <c r="CJ1288" i="48"/>
  <c r="CJ1291" i="48"/>
  <c r="CJ1049" i="48"/>
  <c r="CJ221" i="48"/>
  <c r="CJ97" i="48"/>
  <c r="CJ94" i="48"/>
  <c r="CJ88" i="48"/>
  <c r="CJ70" i="48"/>
  <c r="CJ57" i="48"/>
  <c r="CJ617" i="48"/>
  <c r="CJ622" i="48"/>
  <c r="CJ619" i="48"/>
  <c r="CJ608" i="48"/>
  <c r="CJ962" i="48"/>
  <c r="CJ1122" i="48"/>
  <c r="CJ1119" i="48"/>
  <c r="CJ1107" i="48"/>
  <c r="CJ47" i="48"/>
  <c r="CJ922" i="48"/>
  <c r="CJ917" i="48"/>
  <c r="CJ924" i="48"/>
  <c r="CJ915" i="48"/>
  <c r="CJ906" i="48"/>
  <c r="CJ697" i="48"/>
  <c r="CJ692" i="48"/>
  <c r="CJ683" i="48"/>
  <c r="CJ690" i="48"/>
  <c r="CJ699" i="48"/>
  <c r="CJ250" i="48"/>
  <c r="CJ1162" i="48"/>
  <c r="CJ1159" i="48"/>
  <c r="CJ1163" i="48"/>
  <c r="CJ1160" i="48"/>
  <c r="CJ783" i="48"/>
  <c r="CJ790" i="48"/>
  <c r="CJ784" i="48"/>
  <c r="CJ1072" i="48"/>
  <c r="CJ1070" i="48"/>
  <c r="AD1055" i="48"/>
  <c r="CJ1054" i="48"/>
  <c r="CJ1063" i="48"/>
  <c r="CJ406" i="48"/>
  <c r="CJ408" i="48"/>
  <c r="CJ199" i="48"/>
  <c r="CJ196" i="48"/>
  <c r="CJ814" i="48"/>
  <c r="CJ819" i="48"/>
  <c r="CJ841" i="48"/>
  <c r="CJ1344" i="48"/>
  <c r="CJ999" i="48"/>
  <c r="CJ1223" i="48"/>
  <c r="CJ1210" i="48"/>
  <c r="CJ1219" i="48"/>
  <c r="CJ861" i="48"/>
  <c r="CJ866" i="48"/>
  <c r="CJ855" i="48"/>
  <c r="CJ769" i="48"/>
  <c r="CJ758" i="48"/>
  <c r="CJ537" i="48"/>
  <c r="CJ539" i="48"/>
  <c r="CJ235" i="48"/>
  <c r="CJ245" i="48"/>
  <c r="CJ140" i="48"/>
  <c r="CJ133" i="48"/>
  <c r="CJ1310" i="48"/>
  <c r="CJ1307" i="48"/>
  <c r="CJ438" i="48"/>
  <c r="CJ1331" i="48"/>
  <c r="CJ319" i="48"/>
  <c r="CJ121" i="48"/>
  <c r="CJ298" i="48"/>
  <c r="CJ289" i="48"/>
  <c r="CJ286" i="48"/>
  <c r="CJ586" i="48"/>
  <c r="CJ597" i="48"/>
  <c r="AD580" i="48"/>
  <c r="CJ579" i="48"/>
  <c r="CJ591" i="48"/>
  <c r="CJ1263" i="48"/>
  <c r="CJ1264" i="48"/>
  <c r="CJ1267" i="48"/>
  <c r="CJ1271" i="48"/>
  <c r="CJ894" i="48"/>
  <c r="CJ883" i="48"/>
  <c r="CJ880" i="48"/>
  <c r="CJ895" i="48"/>
  <c r="CJ569" i="48"/>
  <c r="CJ571" i="48"/>
  <c r="AD555" i="48"/>
  <c r="CJ554" i="48"/>
  <c r="CJ556" i="48"/>
  <c r="CJ1194" i="48"/>
  <c r="CJ1185" i="48"/>
  <c r="CJ1187" i="48"/>
  <c r="CJ1183" i="48"/>
  <c r="CJ513" i="48"/>
  <c r="CJ343" i="48"/>
  <c r="CJ330" i="48"/>
  <c r="CJ348" i="48"/>
  <c r="CJ161" i="48"/>
  <c r="CJ162" i="48"/>
  <c r="CJ174" i="48"/>
  <c r="CJ458" i="48"/>
  <c r="CJ455" i="48"/>
  <c r="CJ462" i="48"/>
  <c r="CJ459" i="48"/>
  <c r="CJ456" i="48"/>
  <c r="CJ468" i="48"/>
  <c r="CJ14" i="48"/>
  <c r="CJ21" i="48"/>
  <c r="CJ18" i="48"/>
  <c r="CJ15" i="48"/>
  <c r="CJ22" i="48"/>
  <c r="CJ931" i="48"/>
  <c r="CJ443" i="48"/>
  <c r="CJ116" i="48"/>
  <c r="CJ989" i="48"/>
  <c r="CJ714" i="48"/>
  <c r="CJ710" i="48"/>
  <c r="CJ715" i="48"/>
  <c r="CJ712" i="48"/>
  <c r="CJ484" i="48"/>
  <c r="CJ486" i="48"/>
  <c r="CJ1007" i="48"/>
  <c r="CJ1025" i="48"/>
  <c r="CJ1011" i="48"/>
  <c r="CJ1015" i="48"/>
  <c r="CJ1009" i="48"/>
  <c r="CJ633" i="48"/>
  <c r="CJ630" i="48"/>
  <c r="CJ634" i="48"/>
  <c r="CJ631" i="48"/>
  <c r="CJ446" i="48"/>
  <c r="CJ1143" i="48"/>
  <c r="CJ122" i="48"/>
  <c r="CJ364" i="48"/>
  <c r="CJ746" i="48"/>
  <c r="CJ743" i="48"/>
  <c r="CJ386" i="48"/>
  <c r="CJ397" i="48"/>
  <c r="AD1080" i="48"/>
  <c r="CJ1079" i="48"/>
  <c r="CJ1086" i="48"/>
  <c r="CJ1098" i="48"/>
  <c r="CJ1082" i="48"/>
  <c r="CJ846" i="48"/>
  <c r="CJ1348" i="48"/>
  <c r="CJ313" i="48"/>
  <c r="CJ123" i="48"/>
  <c r="CJ358" i="48"/>
  <c r="CJ996" i="48"/>
  <c r="CJ1233" i="48"/>
  <c r="CJ1240" i="48"/>
  <c r="CJ1247" i="48"/>
  <c r="CJ1238" i="48"/>
  <c r="CJ1290" i="48"/>
  <c r="CJ1296" i="48"/>
  <c r="CJ1280" i="48"/>
  <c r="AD1030" i="48"/>
  <c r="CJ1029" i="48"/>
  <c r="CJ1048" i="48"/>
  <c r="CJ1042" i="48"/>
  <c r="CJ222" i="48"/>
  <c r="CJ224" i="48"/>
  <c r="AD80" i="48"/>
  <c r="CJ79" i="48"/>
  <c r="CJ96" i="48"/>
  <c r="CJ85" i="48"/>
  <c r="CJ949" i="48"/>
  <c r="CJ434" i="48"/>
  <c r="CJ1148" i="48"/>
  <c r="CJ315" i="48"/>
  <c r="CJ367" i="48"/>
  <c r="CJ264" i="48"/>
  <c r="CJ68" i="48"/>
  <c r="CJ74" i="48"/>
  <c r="CJ56" i="48"/>
  <c r="CJ60" i="48"/>
  <c r="CJ615" i="48"/>
  <c r="AD605" i="48"/>
  <c r="CJ604" i="48"/>
  <c r="CJ616" i="48"/>
  <c r="CJ621" i="48"/>
  <c r="CJ607" i="48"/>
  <c r="CJ963" i="48"/>
  <c r="CJ960" i="48"/>
  <c r="AD1105" i="48"/>
  <c r="CJ1104" i="48"/>
  <c r="CJ1121" i="48"/>
  <c r="CJ1110" i="48"/>
  <c r="CJ36" i="48"/>
  <c r="CJ48" i="48"/>
  <c r="CJ910" i="48"/>
  <c r="CJ905" i="48"/>
  <c r="CJ914" i="48"/>
  <c r="CJ911" i="48"/>
  <c r="CJ687" i="48"/>
  <c r="CJ693" i="48"/>
  <c r="CJ681" i="48"/>
  <c r="CJ107" i="48"/>
  <c r="CJ316" i="48"/>
  <c r="CJ267" i="48"/>
  <c r="CJ1171" i="48"/>
  <c r="CJ1168" i="48"/>
  <c r="CJ1165" i="48"/>
  <c r="CJ792" i="48"/>
  <c r="CJ786" i="48"/>
  <c r="CJ797" i="48"/>
  <c r="CJ946" i="48"/>
  <c r="CJ1061" i="48"/>
  <c r="CJ1057" i="48"/>
  <c r="CJ1068" i="48"/>
  <c r="CJ414" i="48"/>
  <c r="CJ419" i="48"/>
  <c r="AD180" i="48"/>
  <c r="CJ179" i="48"/>
  <c r="CJ181" i="48"/>
  <c r="CJ193" i="48"/>
  <c r="CJ816" i="48"/>
  <c r="CJ842" i="48"/>
  <c r="CJ1137" i="48"/>
  <c r="CJ982" i="48"/>
  <c r="CJ1218" i="48"/>
  <c r="CJ1221" i="48"/>
  <c r="CJ1215" i="48"/>
  <c r="CJ858" i="48"/>
  <c r="CJ859" i="48"/>
  <c r="CJ868" i="48"/>
  <c r="AD755" i="48"/>
  <c r="CJ754" i="48"/>
  <c r="CJ766" i="48"/>
  <c r="CJ535" i="48"/>
  <c r="CJ547" i="48"/>
  <c r="CJ544" i="48"/>
  <c r="AD230" i="48"/>
  <c r="CJ229" i="48"/>
  <c r="CJ240" i="48"/>
  <c r="CJ242" i="48"/>
  <c r="CJ139" i="48"/>
  <c r="CJ144" i="48"/>
  <c r="CJ146" i="48"/>
  <c r="CJ1322" i="48"/>
  <c r="CJ1324" i="48"/>
  <c r="CJ1317" i="48"/>
  <c r="CJ1315" i="48"/>
  <c r="CJ1312" i="48"/>
  <c r="CJ838" i="48"/>
  <c r="CJ439" i="48"/>
  <c r="CJ259" i="48"/>
  <c r="CJ280" i="48"/>
  <c r="CJ294" i="48"/>
  <c r="CJ283" i="48"/>
  <c r="CJ582" i="48"/>
  <c r="CJ587" i="48"/>
  <c r="CJ599" i="48"/>
  <c r="CJ1261" i="48"/>
  <c r="AD1255" i="48"/>
  <c r="CJ1254" i="48"/>
  <c r="CJ1274" i="48"/>
  <c r="AD880" i="48"/>
  <c r="CJ879" i="48"/>
  <c r="CJ891" i="48"/>
  <c r="CJ888" i="48"/>
  <c r="CJ885" i="48"/>
  <c r="CJ892" i="48"/>
  <c r="CJ561" i="48"/>
  <c r="CJ1190" i="48"/>
  <c r="CJ1197" i="48"/>
  <c r="CJ1195" i="48"/>
  <c r="CJ1191" i="48"/>
  <c r="CJ517" i="48"/>
  <c r="CJ522" i="48"/>
  <c r="CJ519" i="48"/>
  <c r="CJ508" i="48"/>
  <c r="CJ510" i="48"/>
  <c r="CJ336" i="48"/>
  <c r="CJ332" i="48"/>
  <c r="CJ337" i="48"/>
  <c r="CJ158" i="48"/>
  <c r="CJ170" i="48"/>
  <c r="CJ159" i="48"/>
  <c r="CJ164" i="48"/>
  <c r="CJ464" i="48"/>
  <c r="CJ461" i="48"/>
  <c r="CJ20" i="48"/>
  <c r="CJ449" i="48"/>
  <c r="CJ718" i="48"/>
  <c r="CJ723" i="48"/>
  <c r="CJ720" i="48"/>
  <c r="CJ716" i="48"/>
  <c r="CJ489" i="48"/>
  <c r="CJ491" i="48"/>
  <c r="AD1005" i="48"/>
  <c r="CJ1004" i="48"/>
  <c r="CJ1014" i="48"/>
  <c r="CJ1008" i="48"/>
  <c r="CJ1020" i="48"/>
  <c r="CJ642" i="48"/>
  <c r="CJ639" i="48"/>
  <c r="CJ636" i="48"/>
  <c r="CJ843" i="48"/>
  <c r="CJ1337" i="48"/>
  <c r="CJ1144" i="48"/>
  <c r="CJ273" i="48"/>
  <c r="CJ984" i="48"/>
  <c r="CJ745" i="48"/>
  <c r="CJ734" i="48"/>
  <c r="CJ731" i="48"/>
  <c r="CJ736" i="48"/>
  <c r="CJ748" i="48"/>
  <c r="CJ394" i="48"/>
  <c r="CJ382" i="48"/>
  <c r="AD380" i="48"/>
  <c r="CJ379" i="48"/>
  <c r="CJ1092" i="48"/>
  <c r="CJ1089" i="48"/>
  <c r="CJ1094" i="48"/>
  <c r="CJ1083" i="48"/>
  <c r="CJ1080" i="48"/>
  <c r="CJ932" i="48"/>
  <c r="CJ440" i="48"/>
  <c r="CJ1339" i="48"/>
  <c r="CJ314" i="48"/>
  <c r="CJ106" i="48"/>
  <c r="CJ260" i="48"/>
  <c r="CJ987" i="48"/>
  <c r="CJ1236" i="48"/>
  <c r="CJ1230" i="48"/>
  <c r="CJ1244" i="48"/>
  <c r="CJ1249" i="48"/>
  <c r="CJ1282" i="48"/>
  <c r="CJ1286" i="48"/>
  <c r="CJ1297" i="48"/>
  <c r="CJ1283" i="48"/>
  <c r="CJ1299" i="48"/>
  <c r="CJ1039" i="48"/>
  <c r="CJ1036" i="48"/>
  <c r="CJ1033" i="48"/>
  <c r="CJ1030" i="48"/>
  <c r="CJ219" i="48"/>
  <c r="AD205" i="48"/>
  <c r="CJ204" i="48"/>
  <c r="CJ206" i="48"/>
  <c r="CJ87" i="48"/>
  <c r="CJ84" i="48"/>
  <c r="CJ81" i="48"/>
  <c r="CJ93" i="48"/>
  <c r="CJ98" i="48"/>
  <c r="CJ833" i="48"/>
  <c r="CJ1342" i="48"/>
  <c r="CJ1134" i="48"/>
  <c r="CJ112" i="48"/>
  <c r="CJ985" i="48"/>
  <c r="CJ73" i="48"/>
  <c r="CJ64" i="48"/>
  <c r="CJ624" i="48"/>
  <c r="CJ618" i="48"/>
  <c r="CJ605" i="48"/>
  <c r="CJ968" i="48"/>
  <c r="CJ965" i="48"/>
  <c r="CJ1118" i="48"/>
  <c r="CJ1115" i="48"/>
  <c r="CJ31" i="48"/>
  <c r="CJ33" i="48"/>
  <c r="CJ918" i="48"/>
  <c r="CJ923" i="48"/>
  <c r="CJ919" i="48"/>
  <c r="CJ908" i="48"/>
  <c r="CJ684" i="48"/>
  <c r="CJ698" i="48"/>
  <c r="CJ694" i="48"/>
  <c r="CJ362" i="48"/>
  <c r="CJ836" i="48"/>
  <c r="AD1155" i="48"/>
  <c r="CJ1154" i="48"/>
  <c r="CJ1167" i="48"/>
  <c r="CJ1173" i="48"/>
  <c r="CJ782" i="48"/>
  <c r="AD780" i="48"/>
  <c r="CJ779" i="48"/>
  <c r="CJ995" i="48"/>
  <c r="CJ1073" i="48"/>
  <c r="CJ422" i="48"/>
  <c r="AD405" i="48"/>
  <c r="CJ404" i="48"/>
  <c r="CJ416" i="48"/>
  <c r="CJ198" i="48"/>
  <c r="CJ186" i="48"/>
  <c r="AD805" i="48"/>
  <c r="CJ804" i="48"/>
  <c r="CJ824" i="48"/>
  <c r="CJ272" i="48"/>
  <c r="CJ1224" i="48"/>
  <c r="AD855" i="48"/>
  <c r="CJ854" i="48"/>
  <c r="CJ865" i="48"/>
  <c r="CJ774" i="48"/>
  <c r="CJ772" i="48"/>
  <c r="AD530" i="48"/>
  <c r="CJ529" i="48"/>
  <c r="CJ230" i="48"/>
  <c r="AD1305" i="48"/>
  <c r="CJ1304" i="48"/>
  <c r="CJ947" i="48"/>
  <c r="CJ1347" i="48"/>
  <c r="CJ318" i="48"/>
  <c r="CJ584" i="48"/>
  <c r="CJ1259" i="48"/>
  <c r="CJ897" i="48"/>
  <c r="CJ566" i="48"/>
  <c r="CJ567" i="48"/>
  <c r="CJ1199" i="48"/>
  <c r="CJ1181" i="48"/>
  <c r="AD505" i="48"/>
  <c r="CJ504" i="48"/>
  <c r="CJ516" i="48"/>
  <c r="CJ345" i="48"/>
  <c r="CJ334" i="48"/>
  <c r="CJ172" i="48"/>
  <c r="CJ169" i="48"/>
  <c r="CJ466" i="48"/>
  <c r="CJ8" i="48"/>
  <c r="CJ12" i="48"/>
  <c r="CJ839" i="48"/>
  <c r="CJ1132" i="48"/>
  <c r="CJ262" i="48"/>
  <c r="AD705" i="48"/>
  <c r="CJ704" i="48"/>
  <c r="CJ705" i="48"/>
  <c r="CJ709" i="48"/>
  <c r="CJ495" i="48"/>
  <c r="CJ499" i="48"/>
  <c r="CJ496" i="48"/>
  <c r="CJ647" i="48"/>
  <c r="CJ644" i="48"/>
  <c r="CJ937" i="48"/>
  <c r="CJ849" i="48"/>
  <c r="CJ266" i="48"/>
  <c r="CJ742" i="48"/>
  <c r="CJ739" i="48"/>
  <c r="CJ733" i="48"/>
  <c r="CJ730" i="48"/>
  <c r="CJ391" i="48"/>
  <c r="CJ1097" i="48"/>
  <c r="CJ1088" i="48"/>
  <c r="CJ1085" i="48"/>
  <c r="CJ938" i="48"/>
  <c r="CJ433" i="48"/>
  <c r="CJ320" i="48"/>
  <c r="CJ372" i="48"/>
  <c r="CJ269" i="48"/>
  <c r="AD1230" i="48"/>
  <c r="CJ1229" i="48"/>
  <c r="AD1280" i="48"/>
  <c r="CJ1279" i="48"/>
  <c r="CJ1285" i="48"/>
  <c r="CJ1289" i="48"/>
  <c r="CJ1295" i="48"/>
  <c r="CJ212" i="48"/>
  <c r="CJ847" i="48"/>
  <c r="CJ1335" i="48"/>
  <c r="CJ118" i="48"/>
  <c r="CJ359" i="48"/>
  <c r="CJ991" i="48"/>
  <c r="CJ72" i="48"/>
  <c r="CJ69" i="48"/>
  <c r="CJ58" i="48"/>
  <c r="CJ613" i="48"/>
  <c r="AD955" i="48"/>
  <c r="CJ954" i="48"/>
  <c r="CJ973" i="48"/>
  <c r="CJ970" i="48"/>
  <c r="CJ1123" i="48"/>
  <c r="CJ1105" i="48"/>
  <c r="CJ46" i="48"/>
  <c r="AD905" i="48"/>
  <c r="CJ904" i="48"/>
  <c r="CJ916" i="48"/>
  <c r="CJ686" i="48"/>
  <c r="AD680" i="48"/>
  <c r="CJ679" i="48"/>
  <c r="CJ691" i="48"/>
  <c r="CJ310" i="48"/>
  <c r="CJ1135" i="48"/>
  <c r="CJ321" i="48"/>
  <c r="CJ1174" i="48"/>
  <c r="CJ1155" i="48"/>
  <c r="CJ799" i="48"/>
  <c r="CJ780" i="48"/>
  <c r="CJ794" i="48"/>
  <c r="CJ787" i="48"/>
  <c r="CJ432" i="48"/>
  <c r="CJ109" i="48"/>
  <c r="CJ271" i="48"/>
  <c r="CJ1065" i="48"/>
  <c r="CJ1058" i="48"/>
  <c r="CJ1055" i="48"/>
  <c r="CJ424" i="48"/>
  <c r="CJ411" i="48"/>
  <c r="CJ189" i="48"/>
  <c r="CJ180" i="48"/>
  <c r="CJ187" i="48"/>
  <c r="CJ194" i="48"/>
  <c r="CJ191" i="48"/>
  <c r="CJ808" i="48"/>
  <c r="CJ805" i="48"/>
  <c r="CJ812" i="48"/>
  <c r="CJ809" i="48"/>
  <c r="CJ806" i="48"/>
  <c r="CJ941" i="48"/>
  <c r="CJ323" i="48"/>
  <c r="CJ993" i="48"/>
  <c r="AD1205" i="48"/>
  <c r="CJ1204" i="48"/>
  <c r="CJ1209" i="48"/>
  <c r="CJ1206" i="48"/>
  <c r="CJ1213" i="48"/>
  <c r="CJ873" i="48"/>
  <c r="CJ870" i="48"/>
  <c r="CJ763" i="48"/>
  <c r="CJ756" i="48"/>
  <c r="CJ761" i="48"/>
  <c r="CJ536" i="48"/>
  <c r="CJ530" i="48"/>
  <c r="CJ532" i="48"/>
  <c r="CJ542" i="48"/>
  <c r="CJ231" i="48"/>
  <c r="CJ238" i="48"/>
  <c r="CJ232" i="48"/>
  <c r="CJ135" i="48"/>
  <c r="CJ142" i="48"/>
  <c r="AD130" i="48"/>
  <c r="CJ129" i="48"/>
  <c r="CJ136" i="48"/>
  <c r="CJ148" i="48"/>
  <c r="CJ1305" i="48"/>
  <c r="CJ1311" i="48"/>
  <c r="CJ845" i="48"/>
  <c r="CJ115" i="48"/>
  <c r="CJ291" i="48"/>
  <c r="AD280" i="48"/>
  <c r="CJ279" i="48"/>
  <c r="CJ594" i="48"/>
  <c r="CJ1270" i="48"/>
  <c r="CJ882" i="48"/>
  <c r="CJ574" i="48"/>
  <c r="CJ563" i="48"/>
  <c r="CJ1189" i="48"/>
  <c r="AD1180" i="48"/>
  <c r="CJ1179" i="48"/>
  <c r="CJ506" i="48"/>
  <c r="AD330" i="48"/>
  <c r="CJ329" i="48"/>
  <c r="CJ342" i="48"/>
  <c r="CJ157" i="48"/>
  <c r="AD155" i="48"/>
  <c r="CJ154" i="48"/>
  <c r="AD455" i="48"/>
  <c r="CJ454" i="48"/>
  <c r="CJ474" i="48"/>
  <c r="CJ471" i="48"/>
  <c r="CJ10" i="48"/>
  <c r="CJ17" i="48"/>
  <c r="CJ948" i="48"/>
  <c r="CJ442" i="48"/>
  <c r="CJ1333" i="48"/>
  <c r="CJ110" i="48"/>
  <c r="CJ983" i="48"/>
  <c r="CJ707" i="48"/>
  <c r="AD480" i="48"/>
  <c r="CJ479" i="48"/>
  <c r="CJ481" i="48"/>
  <c r="CJ1006" i="48"/>
  <c r="AD630" i="48"/>
  <c r="CJ629" i="48"/>
  <c r="CJ649" i="48"/>
  <c r="CJ935" i="48"/>
  <c r="CJ445" i="48"/>
  <c r="CJ324" i="48"/>
  <c r="CJ257" i="48"/>
  <c r="AD730" i="48"/>
  <c r="CJ729" i="48"/>
  <c r="CJ741" i="48"/>
  <c r="CJ392" i="48"/>
  <c r="CJ389" i="48"/>
  <c r="CJ832" i="48"/>
  <c r="CJ447" i="48"/>
  <c r="CJ1139" i="48"/>
  <c r="CJ117" i="48"/>
  <c r="CJ990" i="48"/>
  <c r="CJ1243" i="48"/>
  <c r="CJ1246" i="48"/>
  <c r="CJ1035" i="48"/>
  <c r="CJ1045" i="48"/>
  <c r="CJ217" i="48"/>
  <c r="CJ214" i="48"/>
  <c r="CJ91" i="48"/>
  <c r="CJ942" i="48"/>
  <c r="CJ436" i="48"/>
  <c r="CJ1341" i="48"/>
  <c r="CJ309" i="48"/>
  <c r="CJ124" i="48"/>
  <c r="CJ263" i="48"/>
  <c r="CJ997" i="48"/>
  <c r="AD55" i="48"/>
  <c r="CJ54" i="48"/>
  <c r="CJ66" i="48"/>
  <c r="CJ63" i="48"/>
  <c r="CJ610" i="48"/>
  <c r="CJ958" i="48"/>
  <c r="CJ955" i="48"/>
  <c r="CJ1113" i="48"/>
  <c r="AD30" i="48"/>
  <c r="CJ29" i="48"/>
  <c r="CJ41" i="48"/>
  <c r="CJ43" i="48"/>
  <c r="CJ944" i="48"/>
  <c r="CJ835" i="48"/>
  <c r="CJ1345" i="48"/>
  <c r="CJ311" i="48"/>
  <c r="CL1165" i="48"/>
  <c r="CL786" i="48"/>
  <c r="CL982" i="48"/>
  <c r="CL419" i="48"/>
  <c r="CL816" i="48"/>
  <c r="CL843" i="48"/>
  <c r="CL112" i="48"/>
  <c r="CL868" i="48"/>
  <c r="CL859" i="48"/>
  <c r="CL766" i="48"/>
  <c r="CL547" i="48"/>
  <c r="CL260" i="48"/>
  <c r="CL892" i="48"/>
  <c r="CL561" i="48"/>
  <c r="CL1197" i="48"/>
  <c r="CL242" i="48"/>
  <c r="CL440" i="48"/>
  <c r="CL1191" i="48"/>
  <c r="CL337" i="48"/>
  <c r="CL723" i="48"/>
  <c r="CL491" i="48"/>
  <c r="CL642" i="48"/>
  <c r="CL106" i="48"/>
  <c r="CL985" i="48"/>
  <c r="CL318" i="48"/>
  <c r="CL362" i="48"/>
  <c r="CL544" i="48"/>
  <c r="CL294" i="48"/>
  <c r="CL888" i="48"/>
  <c r="CL334" i="48"/>
  <c r="CL496" i="48"/>
  <c r="CL1339" i="48"/>
  <c r="CL736" i="48"/>
  <c r="CL1130" i="48"/>
  <c r="CL321" i="48"/>
  <c r="CL72" i="48"/>
  <c r="CL908" i="48"/>
  <c r="CL686" i="48"/>
  <c r="CL159" i="48"/>
  <c r="CL464" i="48"/>
  <c r="CL720" i="48"/>
  <c r="CL995" i="48"/>
  <c r="CL1259" i="48"/>
  <c r="CL1181" i="48"/>
  <c r="CL345" i="48"/>
  <c r="CL647" i="48"/>
  <c r="CL636" i="48"/>
  <c r="CL938" i="48"/>
  <c r="CL946" i="48"/>
  <c r="CL438" i="48"/>
  <c r="CL993" i="48"/>
  <c r="CL1159" i="48"/>
  <c r="CL794" i="48"/>
  <c r="CL795" i="48"/>
  <c r="CL940" i="48"/>
  <c r="CL832" i="48"/>
  <c r="CL1139" i="48"/>
  <c r="CL110" i="48"/>
  <c r="CL1061" i="48"/>
  <c r="CL1068" i="48"/>
  <c r="CL406" i="48"/>
  <c r="CL408" i="48"/>
  <c r="CL809" i="48"/>
  <c r="CL806" i="48"/>
  <c r="CL813" i="48"/>
  <c r="CL942" i="48"/>
  <c r="CL445" i="48"/>
  <c r="CL1143" i="48"/>
  <c r="CL1210" i="48"/>
  <c r="CL1207" i="48"/>
  <c r="CL1214" i="48"/>
  <c r="CL873" i="48"/>
  <c r="CL870" i="48"/>
  <c r="CL764" i="48"/>
  <c r="CL758" i="48"/>
  <c r="CL537" i="48"/>
  <c r="CL232" i="48"/>
  <c r="CL136" i="48"/>
  <c r="CL1309" i="48"/>
  <c r="CL1307" i="48"/>
  <c r="CL1312" i="48"/>
  <c r="CL931" i="48"/>
  <c r="CL846" i="48"/>
  <c r="CL1341" i="48"/>
  <c r="CL283" i="48"/>
  <c r="CL286" i="48"/>
  <c r="CL594" i="48"/>
  <c r="CL591" i="48"/>
  <c r="CL1267" i="48"/>
  <c r="CL1263" i="48"/>
  <c r="CL1261" i="48"/>
  <c r="CL1271" i="48"/>
  <c r="CL885" i="48"/>
  <c r="CL883" i="48"/>
  <c r="CL571" i="48"/>
  <c r="CL556" i="48"/>
  <c r="CL1187" i="48"/>
  <c r="CL1189" i="48"/>
  <c r="CL513" i="48"/>
  <c r="CL342" i="48"/>
  <c r="CL157" i="48"/>
  <c r="CL443" i="48"/>
  <c r="CL364" i="48"/>
  <c r="CL984" i="48"/>
  <c r="CL712" i="48"/>
  <c r="CL484" i="48"/>
  <c r="CL481" i="48"/>
  <c r="CL446" i="48"/>
  <c r="CL1337" i="48"/>
  <c r="CL741" i="48"/>
  <c r="CL748" i="48"/>
  <c r="CL397" i="48"/>
  <c r="CL394" i="48"/>
  <c r="CL1094" i="48"/>
  <c r="CL833" i="48"/>
  <c r="CL1243" i="48"/>
  <c r="CL1244" i="48"/>
  <c r="CL1236" i="48"/>
  <c r="CL1247" i="48"/>
  <c r="CL1048" i="48"/>
  <c r="CL1036" i="48"/>
  <c r="CL98" i="48"/>
  <c r="CL1342" i="48"/>
  <c r="CL618" i="48"/>
  <c r="CL963" i="48"/>
  <c r="CL960" i="48"/>
  <c r="CL1121" i="48"/>
  <c r="CL923" i="48"/>
  <c r="CL698" i="48"/>
  <c r="CL693" i="48"/>
  <c r="CL639" i="48"/>
  <c r="CL1283" i="48"/>
  <c r="CL206" i="48"/>
  <c r="CL919" i="48"/>
  <c r="CL431" i="48"/>
  <c r="CL273" i="48"/>
  <c r="CL865" i="48"/>
  <c r="CL897" i="48"/>
  <c r="CL508" i="48"/>
  <c r="CL172" i="48"/>
  <c r="CL495" i="48"/>
  <c r="CL1020" i="48"/>
  <c r="CL1163" i="48"/>
  <c r="CL1160" i="48"/>
  <c r="CL784" i="48"/>
  <c r="CL838" i="48"/>
  <c r="CL1137" i="48"/>
  <c r="CL358" i="48"/>
  <c r="CL814" i="48"/>
  <c r="CL1134" i="48"/>
  <c r="CL121" i="48"/>
  <c r="CL539" i="48"/>
  <c r="CL245" i="48"/>
  <c r="CL1310" i="48"/>
  <c r="CL439" i="48"/>
  <c r="CL122" i="48"/>
  <c r="CL587" i="48"/>
  <c r="CL1264" i="48"/>
  <c r="CL895" i="48"/>
  <c r="CL1195" i="48"/>
  <c r="CL1183" i="48"/>
  <c r="CL510" i="48"/>
  <c r="CL162" i="48"/>
  <c r="CL459" i="48"/>
  <c r="CL456" i="48"/>
  <c r="CL932" i="48"/>
  <c r="CL715" i="48"/>
  <c r="CL489" i="48"/>
  <c r="CL486" i="48"/>
  <c r="CL634" i="48"/>
  <c r="CL631" i="48"/>
  <c r="CL1144" i="48"/>
  <c r="CL123" i="48"/>
  <c r="CL987" i="48"/>
  <c r="CL382" i="48"/>
  <c r="CL1082" i="48"/>
  <c r="CL314" i="48"/>
  <c r="CL1238" i="48"/>
  <c r="CL1033" i="48"/>
  <c r="CL224" i="48"/>
  <c r="CL316" i="48"/>
  <c r="CL68" i="48"/>
  <c r="CL616" i="48"/>
  <c r="CL911" i="48"/>
  <c r="CL681" i="48"/>
  <c r="CL1011" i="48"/>
  <c r="CL1006" i="48"/>
  <c r="CL367" i="48"/>
  <c r="CL1331" i="48"/>
  <c r="CL313" i="48"/>
  <c r="CL315" i="48"/>
  <c r="CL841" i="48"/>
  <c r="CL1148" i="48"/>
  <c r="CL996" i="48"/>
  <c r="CL1063" i="48"/>
  <c r="CL1070" i="48"/>
  <c r="CL1348" i="48"/>
  <c r="CL989" i="48"/>
  <c r="CL434" i="48"/>
  <c r="CL422" i="48"/>
  <c r="CL1157" i="48"/>
  <c r="CL781" i="48"/>
  <c r="CL1007" i="48"/>
  <c r="CL633" i="48"/>
  <c r="CL1240" i="48"/>
  <c r="CL623" i="48"/>
  <c r="CL1175" i="48"/>
  <c r="CL788" i="48"/>
  <c r="CL1066" i="48"/>
  <c r="CL1185" i="48"/>
  <c r="CL519" i="48"/>
  <c r="CL343" i="48"/>
  <c r="CL458" i="48"/>
  <c r="CL714" i="48"/>
  <c r="CL718" i="48"/>
  <c r="CL918" i="48"/>
  <c r="CL836" i="48"/>
  <c r="CL1059" i="48"/>
  <c r="CL1056" i="48"/>
  <c r="CL413" i="48"/>
  <c r="CL810" i="48"/>
  <c r="CL871" i="48"/>
  <c r="CL760" i="48"/>
  <c r="CL1190" i="48"/>
  <c r="CL684" i="48"/>
  <c r="CL882" i="48"/>
  <c r="CL291" i="48"/>
  <c r="CL790" i="48"/>
  <c r="CL1072" i="48"/>
  <c r="CL597" i="48"/>
  <c r="CL348" i="48"/>
  <c r="CL743" i="48"/>
  <c r="CL1098" i="48"/>
  <c r="CL1315" i="48"/>
  <c r="CL332" i="48"/>
  <c r="CL1322" i="48"/>
  <c r="CL461" i="48"/>
  <c r="CL800" i="48"/>
  <c r="CL186" i="48"/>
  <c r="CL567" i="48"/>
  <c r="CL361" i="48"/>
  <c r="CL1212" i="48"/>
  <c r="CL864" i="48"/>
  <c r="CL762" i="48"/>
  <c r="CL534" i="48"/>
  <c r="CL543" i="48"/>
  <c r="CL1132" i="48"/>
  <c r="CL370" i="48"/>
  <c r="CL292" i="48"/>
  <c r="CL887" i="48"/>
  <c r="CL566" i="48"/>
  <c r="CL347" i="48"/>
  <c r="CL472" i="48"/>
  <c r="CL709" i="48"/>
  <c r="CL644" i="48"/>
  <c r="CL739" i="48"/>
  <c r="CL391" i="48"/>
  <c r="CL1088" i="48"/>
  <c r="CL991" i="48"/>
  <c r="CL1285" i="48"/>
  <c r="CL1295" i="48"/>
  <c r="CL1289" i="48"/>
  <c r="CL609" i="48"/>
  <c r="CL957" i="48"/>
  <c r="CL1123" i="48"/>
  <c r="CL1114" i="48"/>
  <c r="CL907" i="48"/>
  <c r="CL691" i="48"/>
  <c r="CL1347" i="48"/>
  <c r="CL320" i="48"/>
  <c r="CL372" i="48"/>
  <c r="CL433" i="48"/>
  <c r="CL807" i="48"/>
  <c r="CL531" i="48"/>
  <c r="CL1320" i="48"/>
  <c r="CL595" i="48"/>
  <c r="CL573" i="48"/>
  <c r="CL564" i="48"/>
  <c r="CL516" i="48"/>
  <c r="CL507" i="48"/>
  <c r="CL1019" i="48"/>
  <c r="CL1023" i="48"/>
  <c r="CL1013" i="48"/>
  <c r="CL742" i="48"/>
  <c r="CL1097" i="48"/>
  <c r="CL1091" i="48"/>
  <c r="CL310" i="48"/>
  <c r="CL620" i="48"/>
  <c r="CL611" i="48"/>
  <c r="CL1109" i="48"/>
  <c r="CL916" i="48"/>
  <c r="CL1335" i="48"/>
  <c r="CL1135" i="48"/>
  <c r="CL1115" i="48"/>
  <c r="CL1173" i="48"/>
  <c r="CL1075" i="48"/>
  <c r="CL425" i="48"/>
  <c r="CL994" i="48"/>
  <c r="CL575" i="48"/>
  <c r="CL525" i="48"/>
  <c r="CL475" i="48"/>
  <c r="CL1334" i="48"/>
  <c r="CL650" i="48"/>
  <c r="CL936" i="48"/>
  <c r="CL325" i="48"/>
  <c r="CL356" i="48"/>
  <c r="CL400" i="48"/>
  <c r="CL448" i="48"/>
  <c r="CL1140" i="48"/>
  <c r="CL1050" i="48"/>
  <c r="CL943" i="48"/>
  <c r="CL998" i="48"/>
  <c r="CL1346" i="48"/>
  <c r="CL312" i="48"/>
  <c r="CL1215" i="48"/>
  <c r="CL1317" i="48"/>
  <c r="CL1265" i="48"/>
  <c r="CL1272" i="48"/>
  <c r="CL716" i="48"/>
  <c r="CL1008" i="48"/>
  <c r="CL638" i="48"/>
  <c r="CL1083" i="48"/>
  <c r="CL1241" i="48"/>
  <c r="CL1282" i="48"/>
  <c r="CL1297" i="48"/>
  <c r="CL368" i="48"/>
  <c r="CL968" i="48"/>
  <c r="CL965" i="48"/>
  <c r="CL1118" i="48"/>
  <c r="CL689" i="48"/>
  <c r="CL694" i="48"/>
  <c r="CL682" i="48"/>
  <c r="CL700" i="48"/>
  <c r="CL1170" i="48"/>
  <c r="CL782" i="48"/>
  <c r="CL1073" i="48"/>
  <c r="CL1220" i="48"/>
  <c r="CL772" i="48"/>
  <c r="CL937" i="48"/>
  <c r="CL297" i="48"/>
  <c r="CL288" i="48"/>
  <c r="CL581" i="48"/>
  <c r="CL1269" i="48"/>
  <c r="CL890" i="48"/>
  <c r="CL896" i="48"/>
  <c r="CL558" i="48"/>
  <c r="CL1193" i="48"/>
  <c r="CL521" i="48"/>
  <c r="CL1017" i="48"/>
  <c r="CL733" i="48"/>
  <c r="CL744" i="48"/>
  <c r="CL387" i="48"/>
  <c r="CL1085" i="48"/>
  <c r="CL847" i="48"/>
  <c r="CL359" i="48"/>
  <c r="CL1234" i="48"/>
  <c r="CL1248" i="48"/>
  <c r="CL1044" i="48"/>
  <c r="CL1111" i="48"/>
  <c r="CL913" i="48"/>
  <c r="CL593" i="48"/>
  <c r="CL1167" i="48"/>
  <c r="CL1169" i="48"/>
  <c r="CL796" i="48"/>
  <c r="CL798" i="48"/>
  <c r="CL947" i="48"/>
  <c r="CL1062" i="48"/>
  <c r="CL1069" i="48"/>
  <c r="CL416" i="48"/>
  <c r="CL420" i="48"/>
  <c r="CL819" i="48"/>
  <c r="CL823" i="48"/>
  <c r="CL821" i="48"/>
  <c r="CL817" i="48"/>
  <c r="CL1223" i="48"/>
  <c r="CL1208" i="48"/>
  <c r="CL1219" i="48"/>
  <c r="CL1216" i="48"/>
  <c r="CL860" i="48"/>
  <c r="CL769" i="48"/>
  <c r="CL1323" i="48"/>
  <c r="CL839" i="48"/>
  <c r="CL584" i="48"/>
  <c r="CL466" i="48"/>
  <c r="CL468" i="48"/>
  <c r="CL1015" i="48"/>
  <c r="CL1009" i="48"/>
  <c r="CL1338" i="48"/>
  <c r="CL384" i="48"/>
  <c r="CL1231" i="48"/>
  <c r="CL1038" i="48"/>
  <c r="CL1040" i="48"/>
  <c r="CL613" i="48"/>
  <c r="CL973" i="48"/>
  <c r="CL970" i="48"/>
  <c r="CL1330" i="48"/>
  <c r="CL1156" i="48"/>
  <c r="CL412" i="48"/>
  <c r="CL875" i="48"/>
  <c r="CL874" i="48"/>
  <c r="CL1306" i="48"/>
  <c r="CL1274" i="48"/>
  <c r="CL474" i="48"/>
  <c r="CL483" i="48"/>
  <c r="CL482" i="48"/>
  <c r="CL649" i="48"/>
  <c r="CL630" i="48"/>
  <c r="CL629" i="48"/>
  <c r="CL730" i="48"/>
  <c r="CL729" i="48"/>
  <c r="CL393" i="48"/>
  <c r="CL1046" i="48"/>
  <c r="CL959" i="48"/>
  <c r="CL956" i="48"/>
  <c r="CL1120" i="48"/>
  <c r="CL945" i="48"/>
  <c r="CL944" i="48"/>
  <c r="CL1164" i="48"/>
  <c r="CL1161" i="48"/>
  <c r="CL789" i="48"/>
  <c r="CL791" i="48"/>
  <c r="CL785" i="48"/>
  <c r="CL941" i="48"/>
  <c r="CL1333" i="48"/>
  <c r="CL999" i="48"/>
  <c r="CL1057" i="48"/>
  <c r="CL1071" i="48"/>
  <c r="CL1055" i="48"/>
  <c r="CL1054" i="48"/>
  <c r="CL1064" i="48"/>
  <c r="CL414" i="48"/>
  <c r="CL411" i="48"/>
  <c r="CL421" i="48"/>
  <c r="CL410" i="48"/>
  <c r="CL407" i="48"/>
  <c r="CL409" i="48"/>
  <c r="CL811" i="48"/>
  <c r="CL818" i="48"/>
  <c r="CL815" i="48"/>
  <c r="CL820" i="48"/>
  <c r="CL842" i="48"/>
  <c r="CL1345" i="48"/>
  <c r="CL1000" i="48"/>
  <c r="CL1224" i="48"/>
  <c r="CL1217" i="48"/>
  <c r="CL1211" i="48"/>
  <c r="CL863" i="48"/>
  <c r="CL862" i="48"/>
  <c r="CL857" i="48"/>
  <c r="CL867" i="48"/>
  <c r="CL856" i="48"/>
  <c r="CL761" i="48"/>
  <c r="CL771" i="48"/>
  <c r="CL765" i="48"/>
  <c r="CL770" i="48"/>
  <c r="CL759" i="48"/>
  <c r="CL542" i="48"/>
  <c r="CL541" i="48"/>
  <c r="CL538" i="48"/>
  <c r="CL540" i="48"/>
  <c r="CL1311" i="48"/>
  <c r="CL1314" i="48"/>
  <c r="CL1308" i="48"/>
  <c r="CL1332" i="48"/>
  <c r="CL299" i="48"/>
  <c r="CL290" i="48"/>
  <c r="CL287" i="48"/>
  <c r="CL599" i="48"/>
  <c r="CL598" i="48"/>
  <c r="CL580" i="48"/>
  <c r="CL579" i="48"/>
  <c r="CL592" i="48"/>
  <c r="CL1268" i="48"/>
  <c r="CL884" i="48"/>
  <c r="CL881" i="48"/>
  <c r="CL570" i="48"/>
  <c r="CL572" i="48"/>
  <c r="CL555" i="48"/>
  <c r="CL554" i="48"/>
  <c r="CL557" i="48"/>
  <c r="CL1186" i="48"/>
  <c r="CL1188" i="48"/>
  <c r="CL1184" i="48"/>
  <c r="CL515" i="48"/>
  <c r="CL512" i="48"/>
  <c r="CL514" i="48"/>
  <c r="CL350" i="48"/>
  <c r="CL344" i="48"/>
  <c r="CL331" i="48"/>
  <c r="CL349" i="48"/>
  <c r="CL463" i="48"/>
  <c r="CL460" i="48"/>
  <c r="CL457" i="48"/>
  <c r="CL469" i="48"/>
  <c r="CL444" i="48"/>
  <c r="CL1141" i="48"/>
  <c r="CL990" i="48"/>
  <c r="CL722" i="48"/>
  <c r="CL711" i="48"/>
  <c r="CL713" i="48"/>
  <c r="CL488" i="48"/>
  <c r="CL485" i="48"/>
  <c r="CL487" i="48"/>
  <c r="CL1012" i="48"/>
  <c r="CL1016" i="48"/>
  <c r="CL1010" i="48"/>
  <c r="CL635" i="48"/>
  <c r="CL632" i="48"/>
  <c r="CL934" i="48"/>
  <c r="CL447" i="48"/>
  <c r="CL365" i="48"/>
  <c r="CL738" i="48"/>
  <c r="CL750" i="48"/>
  <c r="CL747" i="48"/>
  <c r="CL399" i="48"/>
  <c r="CL396" i="48"/>
  <c r="CL398" i="48"/>
  <c r="CL1080" i="48"/>
  <c r="CL1079" i="48"/>
  <c r="CL1087" i="48"/>
  <c r="CL1099" i="48"/>
  <c r="CL1349" i="48"/>
  <c r="CL997" i="48"/>
  <c r="CL1239" i="48"/>
  <c r="CL1288" i="48"/>
  <c r="CL1291" i="48"/>
  <c r="CL1281" i="48"/>
  <c r="CL1030" i="48"/>
  <c r="CL1029" i="48"/>
  <c r="CL1032" i="48"/>
  <c r="CL1049" i="48"/>
  <c r="CL1043" i="48"/>
  <c r="CL950" i="48"/>
  <c r="CL435" i="48"/>
  <c r="CL1149" i="48"/>
  <c r="CL605" i="48"/>
  <c r="CL604" i="48"/>
  <c r="CL617" i="48"/>
  <c r="CL622" i="48"/>
  <c r="CL608" i="48"/>
  <c r="CL962" i="48"/>
  <c r="CL964" i="48"/>
  <c r="CL961" i="48"/>
  <c r="CL1105" i="48"/>
  <c r="CL1104" i="48"/>
  <c r="CL1117" i="48"/>
  <c r="CL1122" i="48"/>
  <c r="CL906" i="48"/>
  <c r="CL915" i="48"/>
  <c r="CL912" i="48"/>
  <c r="CL688" i="48"/>
  <c r="CL831" i="48"/>
  <c r="CL317" i="48"/>
  <c r="CL355" i="48"/>
  <c r="CL324" i="48"/>
  <c r="CL1205" i="48"/>
  <c r="CL1204" i="48"/>
  <c r="CL533" i="48"/>
  <c r="CL330" i="48"/>
  <c r="CL329" i="48"/>
  <c r="CL455" i="48"/>
  <c r="CL454" i="48"/>
  <c r="CL480" i="48"/>
  <c r="CL479" i="48"/>
  <c r="CL1294" i="48"/>
  <c r="CL1292" i="48"/>
  <c r="CL1047" i="48"/>
  <c r="CL1108" i="48"/>
  <c r="CL835" i="48"/>
  <c r="CL1158" i="48"/>
  <c r="CL1172" i="48"/>
  <c r="CL1166" i="48"/>
  <c r="CL793" i="48"/>
  <c r="CL787" i="48"/>
  <c r="CL449" i="48"/>
  <c r="CL323" i="48"/>
  <c r="CL1060" i="48"/>
  <c r="CL1067" i="48"/>
  <c r="CL1058" i="48"/>
  <c r="CL418" i="48"/>
  <c r="CL415" i="48"/>
  <c r="CL1138" i="48"/>
  <c r="CL983" i="48"/>
  <c r="CL1222" i="48"/>
  <c r="CL872" i="48"/>
  <c r="CL869" i="48"/>
  <c r="CL768" i="48"/>
  <c r="CL755" i="48"/>
  <c r="CL754" i="48"/>
  <c r="CL767" i="48"/>
  <c r="CL550" i="48"/>
  <c r="CL536" i="48"/>
  <c r="CL546" i="48"/>
  <c r="CL548" i="48"/>
  <c r="CL545" i="48"/>
  <c r="CL1319" i="48"/>
  <c r="CL1325" i="48"/>
  <c r="CL1318" i="48"/>
  <c r="CL1316" i="48"/>
  <c r="CL1313" i="48"/>
  <c r="CL1146" i="48"/>
  <c r="CL357" i="48"/>
  <c r="CL296" i="48"/>
  <c r="CL281" i="48"/>
  <c r="CL285" i="48"/>
  <c r="CL295" i="48"/>
  <c r="CL284" i="48"/>
  <c r="CL589" i="48"/>
  <c r="CL583" i="48"/>
  <c r="CL588" i="48"/>
  <c r="CL600" i="48"/>
  <c r="CL1266" i="48"/>
  <c r="CL1262" i="48"/>
  <c r="CL1273" i="48"/>
  <c r="CL1256" i="48"/>
  <c r="CL1255" i="48"/>
  <c r="CL1254" i="48"/>
  <c r="CL1275" i="48"/>
  <c r="CL880" i="48"/>
  <c r="CL879" i="48"/>
  <c r="CL889" i="48"/>
  <c r="CL886" i="48"/>
  <c r="CL893" i="48"/>
  <c r="CL569" i="48"/>
  <c r="CL563" i="48"/>
  <c r="CL560" i="48"/>
  <c r="CL562" i="48"/>
  <c r="CL1198" i="48"/>
  <c r="CL1196" i="48"/>
  <c r="CL1192" i="48"/>
  <c r="CL524" i="48"/>
  <c r="CL518" i="48"/>
  <c r="CL523" i="48"/>
  <c r="CL520" i="48"/>
  <c r="CL509" i="48"/>
  <c r="CL511" i="48"/>
  <c r="CL340" i="48"/>
  <c r="CL339" i="48"/>
  <c r="CL333" i="48"/>
  <c r="CL338" i="48"/>
  <c r="CL465" i="48"/>
  <c r="CL462" i="48"/>
  <c r="CL849" i="48"/>
  <c r="CL450" i="48"/>
  <c r="CM452" i="48" s="1"/>
  <c r="CQ452" i="48" s="1"/>
  <c r="CZ452" i="48" s="1"/>
  <c r="W452" i="48" s="1"/>
  <c r="AD452" i="48" s="1"/>
  <c r="AJ452" i="48" s="1"/>
  <c r="CL1142" i="48"/>
  <c r="CL375" i="48"/>
  <c r="CL719" i="48"/>
  <c r="CL724" i="48"/>
  <c r="CL721" i="48"/>
  <c r="CL717" i="48"/>
  <c r="CL494" i="48"/>
  <c r="CL493" i="48"/>
  <c r="CL490" i="48"/>
  <c r="CL492" i="48"/>
  <c r="CL1005" i="48"/>
  <c r="CL1004" i="48"/>
  <c r="CL1022" i="48"/>
  <c r="CL1021" i="48"/>
  <c r="CL641" i="48"/>
  <c r="CL643" i="48"/>
  <c r="CL640" i="48"/>
  <c r="CL637" i="48"/>
  <c r="CL844" i="48"/>
  <c r="CL1145" i="48"/>
  <c r="CL746" i="48"/>
  <c r="CL735" i="48"/>
  <c r="CL732" i="48"/>
  <c r="CL737" i="48"/>
  <c r="CL749" i="48"/>
  <c r="CL395" i="48"/>
  <c r="CL381" i="48"/>
  <c r="CL383" i="48"/>
  <c r="CL380" i="48"/>
  <c r="CL379" i="48"/>
  <c r="CL1093" i="48"/>
  <c r="CL1090" i="48"/>
  <c r="CL1095" i="48"/>
  <c r="CL1084" i="48"/>
  <c r="CL1081" i="48"/>
  <c r="CL933" i="48"/>
  <c r="CL441" i="48"/>
  <c r="CL1340" i="48"/>
  <c r="CL988" i="48"/>
  <c r="CL1242" i="48"/>
  <c r="CL1237" i="48"/>
  <c r="CL1245" i="48"/>
  <c r="CL1250" i="48"/>
  <c r="CL1287" i="48"/>
  <c r="CL1298" i="48"/>
  <c r="CL1284" i="48"/>
  <c r="CL1300" i="48"/>
  <c r="CL1037" i="48"/>
  <c r="CL1034" i="48"/>
  <c r="CL1031" i="48"/>
  <c r="CL834" i="48"/>
  <c r="CL1343" i="48"/>
  <c r="CL369" i="48"/>
  <c r="CL986" i="48"/>
  <c r="CL624" i="48"/>
  <c r="CL625" i="48"/>
  <c r="CL607" i="48"/>
  <c r="CL619" i="48"/>
  <c r="CL606" i="48"/>
  <c r="CL967" i="48"/>
  <c r="CL969" i="48"/>
  <c r="CL966" i="48"/>
  <c r="CL1113" i="48"/>
  <c r="CL1107" i="48"/>
  <c r="CL1119" i="48"/>
  <c r="CL1116" i="48"/>
  <c r="CL922" i="48"/>
  <c r="CL910" i="48"/>
  <c r="CL924" i="48"/>
  <c r="CL920" i="48"/>
  <c r="CL909" i="48"/>
  <c r="CL690" i="48"/>
  <c r="CL685" i="48"/>
  <c r="CL699" i="48"/>
  <c r="CL683" i="48"/>
  <c r="CL695" i="48"/>
  <c r="CL308" i="48"/>
  <c r="CL363" i="48"/>
  <c r="CL837" i="48"/>
  <c r="CL830" i="48"/>
  <c r="CL757" i="48"/>
  <c r="CL280" i="48"/>
  <c r="CL279" i="48"/>
  <c r="CL282" i="48"/>
  <c r="CL590" i="48"/>
  <c r="CL899" i="48"/>
  <c r="CL1180" i="48"/>
  <c r="CL1179" i="48"/>
  <c r="CL341" i="48"/>
  <c r="CL949" i="48"/>
  <c r="CL708" i="48"/>
  <c r="CL390" i="48"/>
  <c r="CL1100" i="48"/>
  <c r="CL374" i="48"/>
  <c r="CL1293" i="48"/>
  <c r="CL437" i="48"/>
  <c r="CL925" i="48"/>
  <c r="CL930" i="48"/>
  <c r="CL432" i="48"/>
  <c r="CL115" i="48"/>
  <c r="CL1155" i="48"/>
  <c r="CL1154" i="48"/>
  <c r="CL1162" i="48"/>
  <c r="CL1168" i="48"/>
  <c r="CL1171" i="48"/>
  <c r="CL1174" i="48"/>
  <c r="CL797" i="48"/>
  <c r="CL792" i="48"/>
  <c r="CL799" i="48"/>
  <c r="CL783" i="48"/>
  <c r="CL780" i="48"/>
  <c r="CL779" i="48"/>
  <c r="CL442" i="48"/>
  <c r="CL109" i="48"/>
  <c r="CL1065" i="48"/>
  <c r="CL1074" i="48"/>
  <c r="CL424" i="48"/>
  <c r="CL423" i="48"/>
  <c r="CL405" i="48"/>
  <c r="CL404" i="48"/>
  <c r="CL417" i="48"/>
  <c r="CL812" i="48"/>
  <c r="CL824" i="48"/>
  <c r="CL808" i="48"/>
  <c r="CL805" i="48"/>
  <c r="CL804" i="48"/>
  <c r="CL822" i="48"/>
  <c r="CL436" i="48"/>
  <c r="CL1344" i="48"/>
  <c r="CL1218" i="48"/>
  <c r="CL1206" i="48"/>
  <c r="CL1213" i="48"/>
  <c r="CL1209" i="48"/>
  <c r="CL1225" i="48"/>
  <c r="CL1221" i="48"/>
  <c r="CL855" i="48"/>
  <c r="CL854" i="48"/>
  <c r="CL858" i="48"/>
  <c r="CL861" i="48"/>
  <c r="CL866" i="48"/>
  <c r="CL774" i="48"/>
  <c r="CL756" i="48"/>
  <c r="CL763" i="48"/>
  <c r="CL775" i="48"/>
  <c r="CL773" i="48"/>
  <c r="CL532" i="48"/>
  <c r="CL549" i="48"/>
  <c r="CL535" i="48"/>
  <c r="CL530" i="48"/>
  <c r="CL529" i="48"/>
  <c r="CL1305" i="48"/>
  <c r="CL1304" i="48"/>
  <c r="CL1324" i="48"/>
  <c r="CL1321" i="48"/>
  <c r="CL948" i="48"/>
  <c r="CL845" i="48"/>
  <c r="CL1147" i="48"/>
  <c r="CL319" i="48"/>
  <c r="CL371" i="48"/>
  <c r="CL293" i="48"/>
  <c r="CL298" i="48"/>
  <c r="CL300" i="48"/>
  <c r="CL289" i="48"/>
  <c r="CL586" i="48"/>
  <c r="CL596" i="48"/>
  <c r="CL585" i="48"/>
  <c r="CL582" i="48"/>
  <c r="CL1270" i="48"/>
  <c r="CL1258" i="48"/>
  <c r="CL1257" i="48"/>
  <c r="CL1260" i="48"/>
  <c r="CL900" i="48"/>
  <c r="CL894" i="48"/>
  <c r="CL891" i="48"/>
  <c r="CL898" i="48"/>
  <c r="CL574" i="48"/>
  <c r="CL568" i="48"/>
  <c r="CL565" i="48"/>
  <c r="CL559" i="48"/>
  <c r="CL1199" i="48"/>
  <c r="CL1194" i="48"/>
  <c r="CL1200" i="48"/>
  <c r="CL1182" i="48"/>
  <c r="CL506" i="48"/>
  <c r="CL505" i="48"/>
  <c r="CL504" i="48"/>
  <c r="CL517" i="48"/>
  <c r="CL522" i="48"/>
  <c r="CL336" i="48"/>
  <c r="CL346" i="48"/>
  <c r="CL335" i="48"/>
  <c r="CL471" i="48"/>
  <c r="CL473" i="48"/>
  <c r="CL470" i="48"/>
  <c r="CL467" i="48"/>
  <c r="CL935" i="48"/>
  <c r="CL840" i="48"/>
  <c r="CL1350" i="48"/>
  <c r="CL1133" i="48"/>
  <c r="CL366" i="48"/>
  <c r="CL263" i="48"/>
  <c r="CL705" i="48"/>
  <c r="CL704" i="48"/>
  <c r="CL707" i="48"/>
  <c r="CL725" i="48"/>
  <c r="CL706" i="48"/>
  <c r="CL710" i="48"/>
  <c r="CL499" i="48"/>
  <c r="CL498" i="48"/>
  <c r="CL500" i="48"/>
  <c r="CL497" i="48"/>
  <c r="CL1025" i="48"/>
  <c r="CL1024" i="48"/>
  <c r="CL1014" i="48"/>
  <c r="CL1018" i="48"/>
  <c r="CL646" i="48"/>
  <c r="CL648" i="48"/>
  <c r="CL645" i="48"/>
  <c r="CL850" i="48"/>
  <c r="CL1150" i="48"/>
  <c r="CL740" i="48"/>
  <c r="CL745" i="48"/>
  <c r="CL734" i="48"/>
  <c r="CL731" i="48"/>
  <c r="CL392" i="48"/>
  <c r="CL389" i="48"/>
  <c r="CL386" i="48"/>
  <c r="CL388" i="48"/>
  <c r="CL385" i="48"/>
  <c r="CL1096" i="48"/>
  <c r="CL1092" i="48"/>
  <c r="CL1089" i="48"/>
  <c r="CL1086" i="48"/>
  <c r="CL939" i="48"/>
  <c r="CL1131" i="48"/>
  <c r="CL373" i="48"/>
  <c r="CL1246" i="48"/>
  <c r="CL1230" i="48"/>
  <c r="CL1229" i="48"/>
  <c r="CL1249" i="48"/>
  <c r="CL1233" i="48"/>
  <c r="CL1235" i="48"/>
  <c r="CL1232" i="48"/>
  <c r="CL1280" i="48"/>
  <c r="CL1279" i="48"/>
  <c r="CL1299" i="48"/>
  <c r="CL1286" i="48"/>
  <c r="CL1290" i="48"/>
  <c r="CL1296" i="48"/>
  <c r="CL1035" i="48"/>
  <c r="CL1045" i="48"/>
  <c r="CL1042" i="48"/>
  <c r="CL1039" i="48"/>
  <c r="CL1041" i="48"/>
  <c r="CL848" i="48"/>
  <c r="CL1336" i="48"/>
  <c r="CL309" i="48"/>
  <c r="CL360" i="48"/>
  <c r="CL992" i="48"/>
  <c r="CL621" i="48"/>
  <c r="CL610" i="48"/>
  <c r="CL615" i="48"/>
  <c r="CL612" i="48"/>
  <c r="CL614" i="48"/>
  <c r="CL958" i="48"/>
  <c r="CL955" i="48"/>
  <c r="CL954" i="48"/>
  <c r="CL975" i="48"/>
  <c r="CL972" i="48"/>
  <c r="CL974" i="48"/>
  <c r="CL971" i="48"/>
  <c r="CL1110" i="48"/>
  <c r="CL1112" i="48"/>
  <c r="CL1124" i="48"/>
  <c r="CL1106" i="48"/>
  <c r="CL914" i="48"/>
  <c r="CL921" i="48"/>
  <c r="CL905" i="48"/>
  <c r="CL904" i="48"/>
  <c r="CL917" i="48"/>
  <c r="CL697" i="48"/>
  <c r="CL696" i="48"/>
  <c r="CL687" i="48"/>
  <c r="CL680" i="48"/>
  <c r="CL679" i="48"/>
  <c r="CL692" i="48"/>
  <c r="CL311" i="48"/>
  <c r="CL1136" i="48"/>
  <c r="CL322" i="48"/>
  <c r="CL307" i="48"/>
  <c r="CL981" i="48"/>
  <c r="CL193" i="48"/>
  <c r="CL181" i="48"/>
  <c r="CL146" i="48"/>
  <c r="CL219" i="48"/>
  <c r="CL196" i="48"/>
  <c r="CL140" i="48"/>
  <c r="CL131" i="48"/>
  <c r="CL107" i="48"/>
  <c r="CL199" i="48"/>
  <c r="CL133" i="48"/>
  <c r="CL174" i="48"/>
  <c r="CL267" i="48"/>
  <c r="CL56" i="48"/>
  <c r="CL190" i="48"/>
  <c r="CL235" i="48"/>
  <c r="CL239" i="48"/>
  <c r="CL149" i="48"/>
  <c r="CL116" i="48"/>
  <c r="CL222" i="48"/>
  <c r="CL96" i="48"/>
  <c r="CL264" i="48"/>
  <c r="CL67" i="48"/>
  <c r="CL188" i="48"/>
  <c r="CL195" i="48"/>
  <c r="CL192" i="48"/>
  <c r="CL234" i="48"/>
  <c r="CL137" i="48"/>
  <c r="CL158" i="48"/>
  <c r="CL111" i="48"/>
  <c r="CL64" i="48"/>
  <c r="CL240" i="48"/>
  <c r="CL164" i="48"/>
  <c r="CL61" i="48"/>
  <c r="CL185" i="48"/>
  <c r="CL183" i="48"/>
  <c r="CL187" i="48"/>
  <c r="CL238" i="48"/>
  <c r="CL249" i="48"/>
  <c r="CL231" i="48"/>
  <c r="CL139" i="48"/>
  <c r="CL135" i="48"/>
  <c r="CL142" i="48"/>
  <c r="CL144" i="48"/>
  <c r="CL168" i="48"/>
  <c r="CL170" i="48"/>
  <c r="CL120" i="48"/>
  <c r="CL217" i="48"/>
  <c r="CL214" i="48"/>
  <c r="CL211" i="48"/>
  <c r="CL91" i="48"/>
  <c r="CL93" i="48"/>
  <c r="CL87" i="48"/>
  <c r="CL84" i="48"/>
  <c r="CL81" i="48"/>
  <c r="CL73" i="48"/>
  <c r="CL70" i="48"/>
  <c r="CL59" i="48"/>
  <c r="CL90" i="48"/>
  <c r="CL169" i="48"/>
  <c r="CL156" i="48"/>
  <c r="CL155" i="48"/>
  <c r="CL154" i="48"/>
  <c r="CL167" i="48"/>
  <c r="CL118" i="48"/>
  <c r="CL216" i="48"/>
  <c r="CL218" i="48"/>
  <c r="CL215" i="48"/>
  <c r="CL95" i="48"/>
  <c r="CL92" i="48"/>
  <c r="CL89" i="48"/>
  <c r="CL125" i="48"/>
  <c r="CL71" i="48"/>
  <c r="CL58" i="48"/>
  <c r="CL54" i="48"/>
  <c r="CL55" i="48"/>
  <c r="CL250" i="48"/>
  <c r="CL173" i="48"/>
  <c r="CL213" i="48"/>
  <c r="CL210" i="48"/>
  <c r="CL269" i="48"/>
  <c r="CL184" i="48"/>
  <c r="CL191" i="48"/>
  <c r="CL200" i="48"/>
  <c r="CL197" i="48"/>
  <c r="CL266" i="48"/>
  <c r="CL247" i="48"/>
  <c r="CL236" i="48"/>
  <c r="CL246" i="48"/>
  <c r="CL148" i="48"/>
  <c r="CL132" i="48"/>
  <c r="CL150" i="48"/>
  <c r="CL141" i="48"/>
  <c r="CL134" i="48"/>
  <c r="CL262" i="48"/>
  <c r="CL166" i="48"/>
  <c r="CL163" i="48"/>
  <c r="CL175" i="48"/>
  <c r="CL117" i="48"/>
  <c r="CL124" i="48"/>
  <c r="CL212" i="48"/>
  <c r="CL221" i="48"/>
  <c r="CL223" i="48"/>
  <c r="CL225" i="48"/>
  <c r="CL83" i="48"/>
  <c r="CL79" i="48"/>
  <c r="CL80" i="48"/>
  <c r="CL100" i="48"/>
  <c r="CL97" i="48"/>
  <c r="CL86" i="48"/>
  <c r="CL69" i="48"/>
  <c r="CL63" i="48"/>
  <c r="CL75" i="48"/>
  <c r="CL57" i="48"/>
  <c r="CL108" i="48"/>
  <c r="CL237" i="48"/>
  <c r="CL248" i="48"/>
  <c r="CL119" i="48"/>
  <c r="CL233" i="48"/>
  <c r="CL143" i="48"/>
  <c r="CL129" i="48"/>
  <c r="CL130" i="48"/>
  <c r="CL114" i="48"/>
  <c r="CL198" i="48"/>
  <c r="CL189" i="48"/>
  <c r="CL180" i="48"/>
  <c r="CL179" i="48"/>
  <c r="CL182" i="48"/>
  <c r="CL194" i="48"/>
  <c r="CL229" i="48"/>
  <c r="CL230" i="48"/>
  <c r="CL244" i="48"/>
  <c r="CL241" i="48"/>
  <c r="CL243" i="48"/>
  <c r="CL138" i="48"/>
  <c r="CL145" i="48"/>
  <c r="CL147" i="48"/>
  <c r="CL161" i="48"/>
  <c r="CL171" i="48"/>
  <c r="CL160" i="48"/>
  <c r="CL165" i="48"/>
  <c r="CL257" i="48"/>
  <c r="CL220" i="48"/>
  <c r="CL209" i="48"/>
  <c r="CL208" i="48"/>
  <c r="CL205" i="48"/>
  <c r="CL204" i="48"/>
  <c r="CL207" i="48"/>
  <c r="CL88" i="48"/>
  <c r="CL85" i="48"/>
  <c r="CL82" i="48"/>
  <c r="CL94" i="48"/>
  <c r="CL99" i="48"/>
  <c r="CL113" i="48"/>
  <c r="CL66" i="48"/>
  <c r="CL74" i="48"/>
  <c r="CL60" i="48"/>
  <c r="CL65" i="48"/>
  <c r="CL62" i="48"/>
  <c r="CL105" i="48"/>
  <c r="CL275" i="48"/>
  <c r="CL271" i="48"/>
  <c r="CL274" i="48"/>
  <c r="CL261" i="48"/>
  <c r="CL270" i="48"/>
  <c r="CL259" i="48"/>
  <c r="CL272" i="48"/>
  <c r="CL258" i="48"/>
  <c r="CL256" i="48"/>
  <c r="CL265" i="48"/>
  <c r="CL268" i="48"/>
  <c r="CL255" i="48"/>
  <c r="CL36" i="48"/>
  <c r="CL48" i="48"/>
  <c r="CL31" i="48"/>
  <c r="CL42" i="48"/>
  <c r="CL39" i="48"/>
  <c r="CL46" i="48"/>
  <c r="CL44" i="48"/>
  <c r="CL32" i="48"/>
  <c r="CL41" i="48"/>
  <c r="CL43" i="48"/>
  <c r="CL40" i="48"/>
  <c r="CL45" i="48"/>
  <c r="CL47" i="48"/>
  <c r="CL30" i="48"/>
  <c r="CL29" i="48"/>
  <c r="CL33" i="48"/>
  <c r="CL38" i="48"/>
  <c r="CL50" i="48"/>
  <c r="CL37" i="48"/>
  <c r="CL49" i="48"/>
  <c r="CL35" i="48"/>
  <c r="CL34" i="48"/>
  <c r="CL25" i="48"/>
  <c r="CL19" i="48"/>
  <c r="CL7" i="48"/>
  <c r="CL12" i="48"/>
  <c r="CL24" i="48"/>
  <c r="CL21" i="48"/>
  <c r="CL5" i="48"/>
  <c r="CL4" i="48"/>
  <c r="CL22" i="48"/>
  <c r="CL23" i="48"/>
  <c r="CL8" i="48"/>
  <c r="CL9" i="48"/>
  <c r="CL6" i="48"/>
  <c r="CL13" i="48"/>
  <c r="CL15" i="48"/>
  <c r="CL16" i="48"/>
  <c r="CL10" i="48"/>
  <c r="CL17" i="48"/>
  <c r="CL14" i="48"/>
  <c r="CL11" i="48"/>
  <c r="CL18" i="48"/>
  <c r="AD980" i="48"/>
  <c r="AD305" i="48"/>
  <c r="CJ4" i="48"/>
  <c r="CZ277" i="48" l="1"/>
  <c r="CM127" i="48"/>
  <c r="CQ127" i="48" s="1"/>
  <c r="CZ127" i="48" s="1"/>
  <c r="W127" i="48" s="1"/>
  <c r="AD127" i="48" s="1"/>
  <c r="AL127" i="48" s="1"/>
  <c r="CM27" i="48"/>
  <c r="CQ27" i="48" s="1"/>
  <c r="CZ27" i="48" s="1"/>
  <c r="W27" i="48" s="1"/>
  <c r="AD27" i="48" s="1"/>
  <c r="CM426" i="48"/>
  <c r="CQ426" i="48" s="1"/>
  <c r="CZ426" i="48" s="1"/>
  <c r="W426" i="48" s="1"/>
  <c r="W1127" i="48"/>
  <c r="AD1127" i="48" s="1"/>
  <c r="AJ1127" i="48" s="1"/>
  <c r="W826" i="48"/>
  <c r="W827" i="48"/>
  <c r="AD827" i="48" s="1"/>
  <c r="AJ827" i="48" s="1"/>
  <c r="CM776" i="48"/>
  <c r="CQ776" i="48" s="1"/>
  <c r="CZ776" i="48" s="1"/>
  <c r="W776" i="48" s="1"/>
  <c r="AN452" i="48"/>
  <c r="AM452" i="48"/>
  <c r="AL452" i="48"/>
  <c r="CM152" i="48"/>
  <c r="CQ152" i="48" s="1"/>
  <c r="CZ152" i="48" s="1"/>
  <c r="W152" i="48" s="1"/>
  <c r="AD152" i="48" s="1"/>
  <c r="AJ152" i="48" s="1"/>
  <c r="CM202" i="48"/>
  <c r="CQ202" i="48" s="1"/>
  <c r="CZ202" i="48" s="1"/>
  <c r="W202" i="48" s="1"/>
  <c r="AD202" i="48" s="1"/>
  <c r="AJ202" i="48" s="1"/>
  <c r="CM252" i="48"/>
  <c r="CQ252" i="48" s="1"/>
  <c r="CZ252" i="48" s="1"/>
  <c r="W252" i="48" s="1"/>
  <c r="AD252" i="48" s="1"/>
  <c r="AJ252" i="48" s="1"/>
  <c r="CM927" i="48"/>
  <c r="CQ927" i="48" s="1"/>
  <c r="CZ927" i="48" s="1"/>
  <c r="CM227" i="48"/>
  <c r="CQ227" i="48" s="1"/>
  <c r="CZ227" i="48" s="1"/>
  <c r="W227" i="48" s="1"/>
  <c r="AD227" i="48" s="1"/>
  <c r="AJ227" i="48" s="1"/>
  <c r="CM102" i="48"/>
  <c r="CQ102" i="48" s="1"/>
  <c r="CZ102" i="48" s="1"/>
  <c r="W102" i="48" s="1"/>
  <c r="AD102" i="48" s="1"/>
  <c r="CM1125" i="48"/>
  <c r="CQ1125" i="48" s="1"/>
  <c r="CM177" i="48"/>
  <c r="CQ177" i="48" s="1"/>
  <c r="CZ177" i="48" s="1"/>
  <c r="W177" i="48" s="1"/>
  <c r="AD177" i="48" s="1"/>
  <c r="AJ177" i="48" s="1"/>
  <c r="CM527" i="48"/>
  <c r="CQ527" i="48" s="1"/>
  <c r="CZ527" i="48" s="1"/>
  <c r="W527" i="48" s="1"/>
  <c r="AD527" i="48" s="1"/>
  <c r="AJ527" i="48" s="1"/>
  <c r="CM352" i="48"/>
  <c r="CQ352" i="48" s="1"/>
  <c r="CZ352" i="48" s="1"/>
  <c r="W352" i="48" s="1"/>
  <c r="AD352" i="48" s="1"/>
  <c r="AJ352" i="48" s="1"/>
  <c r="CM77" i="48"/>
  <c r="CQ77" i="48" s="1"/>
  <c r="CZ77" i="48" s="1"/>
  <c r="W77" i="48" s="1"/>
  <c r="AD77" i="48" s="1"/>
  <c r="AJ77" i="48" s="1"/>
  <c r="CM1052" i="48"/>
  <c r="CQ1052" i="48" s="1"/>
  <c r="CZ1052" i="48" s="1"/>
  <c r="CM52" i="48"/>
  <c r="CQ52" i="48" s="1"/>
  <c r="CZ52" i="48" s="1"/>
  <c r="W52" i="48" s="1"/>
  <c r="AD52" i="48" s="1"/>
  <c r="AJ52" i="48" s="1"/>
  <c r="CM1352" i="48"/>
  <c r="CQ1352" i="48" s="1"/>
  <c r="CZ1352" i="48" s="1"/>
  <c r="CM1327" i="48"/>
  <c r="CQ1327" i="48" s="1"/>
  <c r="CZ1327" i="48" s="1"/>
  <c r="CM1302" i="48"/>
  <c r="CQ1302" i="48" s="1"/>
  <c r="CZ1302" i="48" s="1"/>
  <c r="CM1277" i="48"/>
  <c r="CQ1277" i="48" s="1"/>
  <c r="CZ1277" i="48" s="1"/>
  <c r="CM1252" i="48"/>
  <c r="CQ1252" i="48" s="1"/>
  <c r="CZ1252" i="48" s="1"/>
  <c r="CM1227" i="48"/>
  <c r="CQ1227" i="48" s="1"/>
  <c r="CZ1227" i="48" s="1"/>
  <c r="CM1202" i="48"/>
  <c r="CQ1202" i="48" s="1"/>
  <c r="CZ1202" i="48" s="1"/>
  <c r="CM1177" i="48"/>
  <c r="CQ1177" i="48" s="1"/>
  <c r="CZ1177" i="48" s="1"/>
  <c r="CM1152" i="48"/>
  <c r="CQ1152" i="48" s="1"/>
  <c r="CZ1152" i="48" s="1"/>
  <c r="CM1102" i="48"/>
  <c r="CQ1102" i="48" s="1"/>
  <c r="CZ1102" i="48" s="1"/>
  <c r="CM1077" i="48"/>
  <c r="CQ1077" i="48" s="1"/>
  <c r="CZ1077" i="48" s="1"/>
  <c r="CM1027" i="48"/>
  <c r="CQ1027" i="48" s="1"/>
  <c r="CZ1027" i="48" s="1"/>
  <c r="CM1002" i="48"/>
  <c r="CQ1002" i="48" s="1"/>
  <c r="CZ1002" i="48" s="1"/>
  <c r="CM977" i="48"/>
  <c r="CQ977" i="48" s="1"/>
  <c r="CZ977" i="48" s="1"/>
  <c r="CM952" i="48"/>
  <c r="CQ952" i="48" s="1"/>
  <c r="CZ952" i="48" s="1"/>
  <c r="CM902" i="48"/>
  <c r="CQ902" i="48" s="1"/>
  <c r="CZ902" i="48" s="1"/>
  <c r="CM877" i="48"/>
  <c r="CQ877" i="48" s="1"/>
  <c r="CZ877" i="48" s="1"/>
  <c r="CM852" i="48"/>
  <c r="CQ852" i="48" s="1"/>
  <c r="CZ852" i="48" s="1"/>
  <c r="CM802" i="48"/>
  <c r="CQ802" i="48" s="1"/>
  <c r="CZ802" i="48" s="1"/>
  <c r="W802" i="48" s="1"/>
  <c r="AD802" i="48" s="1"/>
  <c r="AJ802" i="48" s="1"/>
  <c r="CM777" i="48"/>
  <c r="CQ777" i="48" s="1"/>
  <c r="CZ777" i="48" s="1"/>
  <c r="CM752" i="48"/>
  <c r="CQ752" i="48" s="1"/>
  <c r="CZ752" i="48" s="1"/>
  <c r="CM727" i="48"/>
  <c r="CQ727" i="48" s="1"/>
  <c r="CZ727" i="48" s="1"/>
  <c r="W727" i="48" s="1"/>
  <c r="AD727" i="48" s="1"/>
  <c r="AJ727" i="48" s="1"/>
  <c r="CM702" i="48"/>
  <c r="CQ702" i="48" s="1"/>
  <c r="CZ702" i="48" s="1"/>
  <c r="W702" i="48" s="1"/>
  <c r="AD702" i="48" s="1"/>
  <c r="AJ702" i="48" s="1"/>
  <c r="CM652" i="48"/>
  <c r="CQ652" i="48" s="1"/>
  <c r="CZ652" i="48" s="1"/>
  <c r="W652" i="48" s="1"/>
  <c r="AD652" i="48" s="1"/>
  <c r="AJ652" i="48" s="1"/>
  <c r="CM627" i="48"/>
  <c r="CQ627" i="48" s="1"/>
  <c r="CZ627" i="48" s="1"/>
  <c r="W627" i="48" s="1"/>
  <c r="AD627" i="48" s="1"/>
  <c r="AJ627" i="48" s="1"/>
  <c r="CM602" i="48"/>
  <c r="CQ602" i="48" s="1"/>
  <c r="CZ602" i="48" s="1"/>
  <c r="W602" i="48" s="1"/>
  <c r="AD602" i="48" s="1"/>
  <c r="AJ602" i="48" s="1"/>
  <c r="CM577" i="48"/>
  <c r="CQ577" i="48" s="1"/>
  <c r="CZ577" i="48" s="1"/>
  <c r="W577" i="48" s="1"/>
  <c r="AD577" i="48" s="1"/>
  <c r="AJ577" i="48" s="1"/>
  <c r="CM552" i="48"/>
  <c r="CQ552" i="48" s="1"/>
  <c r="CZ552" i="48" s="1"/>
  <c r="W552" i="48" s="1"/>
  <c r="AD552" i="48" s="1"/>
  <c r="AJ552" i="48" s="1"/>
  <c r="CM502" i="48"/>
  <c r="CQ502" i="48" s="1"/>
  <c r="CZ502" i="48" s="1"/>
  <c r="W502" i="48" s="1"/>
  <c r="AD502" i="48" s="1"/>
  <c r="AJ502" i="48" s="1"/>
  <c r="CM477" i="48"/>
  <c r="CQ477" i="48" s="1"/>
  <c r="CZ477" i="48" s="1"/>
  <c r="W477" i="48" s="1"/>
  <c r="AD477" i="48" s="1"/>
  <c r="AJ477" i="48" s="1"/>
  <c r="CM451" i="48"/>
  <c r="CQ451" i="48" s="1"/>
  <c r="CZ451" i="48" s="1"/>
  <c r="W451" i="48" s="1"/>
  <c r="CM402" i="48"/>
  <c r="CQ402" i="48" s="1"/>
  <c r="CZ402" i="48" s="1"/>
  <c r="W402" i="48" s="1"/>
  <c r="AD402" i="48" s="1"/>
  <c r="AJ402" i="48" s="1"/>
  <c r="CM377" i="48"/>
  <c r="CQ377" i="48" s="1"/>
  <c r="CZ377" i="48" s="1"/>
  <c r="W377" i="48" s="1"/>
  <c r="AD377" i="48" s="1"/>
  <c r="AJ377" i="48" s="1"/>
  <c r="CM327" i="48"/>
  <c r="CQ327" i="48" s="1"/>
  <c r="CZ327" i="48" s="1"/>
  <c r="W327" i="48" s="1"/>
  <c r="AD327" i="48" s="1"/>
  <c r="AJ327" i="48" s="1"/>
  <c r="CM302" i="48"/>
  <c r="CQ302" i="48" s="1"/>
  <c r="CZ302" i="48" s="1"/>
  <c r="W302" i="48" s="1"/>
  <c r="AD302" i="48" s="1"/>
  <c r="AJ302" i="48" s="1"/>
  <c r="CZ306" i="48"/>
  <c r="CM16" i="48"/>
  <c r="CQ16" i="48" s="1"/>
  <c r="CZ16" i="48" s="1"/>
  <c r="W16" i="48" s="1"/>
  <c r="CM9" i="48"/>
  <c r="CQ9" i="48" s="1"/>
  <c r="CZ9" i="48" s="1"/>
  <c r="W9" i="48" s="1"/>
  <c r="CM851" i="48"/>
  <c r="CQ851" i="48" s="1"/>
  <c r="CM18" i="48"/>
  <c r="CQ18" i="48" s="1"/>
  <c r="CZ18" i="48" s="1"/>
  <c r="W18" i="48" s="1"/>
  <c r="CM10" i="48"/>
  <c r="CQ10" i="48" s="1"/>
  <c r="CZ10" i="48" s="1"/>
  <c r="W10" i="48" s="1"/>
  <c r="CM23" i="48"/>
  <c r="CQ23" i="48" s="1"/>
  <c r="CZ23" i="48" s="1"/>
  <c r="W23" i="48" s="1"/>
  <c r="CM21" i="48"/>
  <c r="CQ21" i="48" s="1"/>
  <c r="CZ21" i="48" s="1"/>
  <c r="W21" i="48" s="1"/>
  <c r="CM33" i="48"/>
  <c r="CQ33" i="48" s="1"/>
  <c r="CM42" i="48"/>
  <c r="CQ42" i="48" s="1"/>
  <c r="CM261" i="48"/>
  <c r="CQ261" i="48" s="1"/>
  <c r="CM94" i="48"/>
  <c r="CQ94" i="48" s="1"/>
  <c r="CM145" i="48"/>
  <c r="CQ145" i="48" s="1"/>
  <c r="CZ145" i="48" s="1"/>
  <c r="W145" i="48" s="1"/>
  <c r="CM198" i="48"/>
  <c r="CQ198" i="48" s="1"/>
  <c r="CM63" i="48"/>
  <c r="CQ63" i="48" s="1"/>
  <c r="CM124" i="48"/>
  <c r="CQ124" i="48" s="1"/>
  <c r="CM200" i="48"/>
  <c r="CQ200" i="48" s="1"/>
  <c r="CZ200" i="48" s="1"/>
  <c r="W200" i="48" s="1"/>
  <c r="CM125" i="48"/>
  <c r="CQ125" i="48" s="1"/>
  <c r="CZ125" i="48" s="1"/>
  <c r="W125" i="48" s="1"/>
  <c r="CM169" i="48"/>
  <c r="CQ169" i="48" s="1"/>
  <c r="CM217" i="48"/>
  <c r="CQ217" i="48" s="1"/>
  <c r="CM240" i="48"/>
  <c r="CQ240" i="48" s="1"/>
  <c r="CM222" i="48"/>
  <c r="CQ222" i="48" s="1"/>
  <c r="CM131" i="48"/>
  <c r="CQ131" i="48" s="1"/>
  <c r="CZ131" i="48" s="1"/>
  <c r="W131" i="48" s="1"/>
  <c r="CM307" i="48"/>
  <c r="CQ307" i="48" s="1"/>
  <c r="CM1124" i="48"/>
  <c r="CQ1124" i="48" s="1"/>
  <c r="CM360" i="48"/>
  <c r="CQ360" i="48" s="1"/>
  <c r="CM1299" i="48"/>
  <c r="CQ1299" i="48" s="1"/>
  <c r="CZ1299" i="48" s="1"/>
  <c r="CM939" i="48"/>
  <c r="CQ939" i="48" s="1"/>
  <c r="CM389" i="48"/>
  <c r="CQ389" i="48" s="1"/>
  <c r="CM1014" i="48"/>
  <c r="CQ1014" i="48" s="1"/>
  <c r="CM1350" i="48"/>
  <c r="CQ1350" i="48" s="1"/>
  <c r="CZ1350" i="48" s="1"/>
  <c r="CM1200" i="48"/>
  <c r="CQ1200" i="48" s="1"/>
  <c r="CZ1200" i="48" s="1"/>
  <c r="CM1257" i="48"/>
  <c r="CQ1257" i="48" s="1"/>
  <c r="CZ1257" i="48" s="1"/>
  <c r="CM319" i="48"/>
  <c r="CQ319" i="48" s="1"/>
  <c r="CM756" i="48"/>
  <c r="CQ756" i="48" s="1"/>
  <c r="CM1218" i="48"/>
  <c r="CQ1218" i="48" s="1"/>
  <c r="CZ1218" i="48" s="1"/>
  <c r="CM797" i="48"/>
  <c r="CQ797" i="48" s="1"/>
  <c r="CM1293" i="48"/>
  <c r="CQ1293" i="48" s="1"/>
  <c r="CZ1293" i="48" s="1"/>
  <c r="CM909" i="48"/>
  <c r="CQ909" i="48" s="1"/>
  <c r="CM625" i="48"/>
  <c r="CQ625" i="48" s="1"/>
  <c r="CM1287" i="48"/>
  <c r="CQ1287" i="48" s="1"/>
  <c r="CZ1287" i="48" s="1"/>
  <c r="CM1090" i="48"/>
  <c r="CQ1090" i="48" s="1"/>
  <c r="CM1145" i="48"/>
  <c r="CQ1145" i="48" s="1"/>
  <c r="CM493" i="48"/>
  <c r="CQ493" i="48" s="1"/>
  <c r="CM338" i="48"/>
  <c r="CQ338" i="48" s="1"/>
  <c r="CM1198" i="48"/>
  <c r="CQ1198" i="48" s="1"/>
  <c r="CM589" i="48"/>
  <c r="CQ589" i="48" s="1"/>
  <c r="CM1319" i="48"/>
  <c r="CQ1319" i="48" s="1"/>
  <c r="CZ1319" i="48" s="1"/>
  <c r="CM1222" i="48"/>
  <c r="CQ1222" i="48" s="1"/>
  <c r="CZ1222" i="48" s="1"/>
  <c r="CM323" i="48"/>
  <c r="CQ323" i="48" s="1"/>
  <c r="CM906" i="48"/>
  <c r="CQ906" i="48" s="1"/>
  <c r="CM1043" i="48"/>
  <c r="CQ1043" i="48" s="1"/>
  <c r="CM1087" i="48"/>
  <c r="CQ1087" i="48" s="1"/>
  <c r="CM632" i="48"/>
  <c r="CQ632" i="48" s="1"/>
  <c r="CM1141" i="48"/>
  <c r="CQ1141" i="48" s="1"/>
  <c r="CM515" i="48"/>
  <c r="CQ515" i="48" s="1"/>
  <c r="CM570" i="48"/>
  <c r="CQ570" i="48" s="1"/>
  <c r="CM1332" i="48"/>
  <c r="CQ1332" i="48" s="1"/>
  <c r="CZ1332" i="48" s="1"/>
  <c r="CM761" i="48"/>
  <c r="CQ761" i="48" s="1"/>
  <c r="CM820" i="48"/>
  <c r="CQ820" i="48" s="1"/>
  <c r="CM1333" i="48"/>
  <c r="CQ1333" i="48" s="1"/>
  <c r="CZ1333" i="48" s="1"/>
  <c r="CM1046" i="48"/>
  <c r="CQ1046" i="48" s="1"/>
  <c r="CM874" i="48"/>
  <c r="CQ874" i="48" s="1"/>
  <c r="CM1338" i="48"/>
  <c r="CQ1338" i="48" s="1"/>
  <c r="CZ1338" i="48" s="1"/>
  <c r="CM1208" i="48"/>
  <c r="CQ1208" i="48" s="1"/>
  <c r="CZ1208" i="48" s="1"/>
  <c r="CM796" i="48"/>
  <c r="CQ796" i="48" s="1"/>
  <c r="CM387" i="48"/>
  <c r="CQ387" i="48" s="1"/>
  <c r="CM297" i="48"/>
  <c r="CQ297" i="48" s="1"/>
  <c r="CM1282" i="48"/>
  <c r="CQ1282" i="48" s="1"/>
  <c r="CZ1282" i="48" s="1"/>
  <c r="CM998" i="48"/>
  <c r="CQ998" i="48" s="1"/>
  <c r="CM525" i="48"/>
  <c r="CQ525" i="48" s="1"/>
  <c r="CM620" i="48"/>
  <c r="CQ620" i="48" s="1"/>
  <c r="CM595" i="48"/>
  <c r="CQ595" i="48" s="1"/>
  <c r="CM957" i="48"/>
  <c r="CQ957" i="48" s="1"/>
  <c r="CM370" i="48"/>
  <c r="CQ370" i="48" s="1"/>
  <c r="CM1322" i="48"/>
  <c r="CQ1322" i="48" s="1"/>
  <c r="CZ1322" i="48" s="1"/>
  <c r="CM1190" i="48"/>
  <c r="CQ1190" i="48" s="1"/>
  <c r="CM343" i="48"/>
  <c r="CQ343" i="48" s="1"/>
  <c r="CM422" i="48"/>
  <c r="CQ422" i="48" s="1"/>
  <c r="CZ422" i="48" s="1"/>
  <c r="W422" i="48" s="1"/>
  <c r="CM367" i="48"/>
  <c r="CQ367" i="48" s="1"/>
  <c r="CM1144" i="48"/>
  <c r="CQ1144" i="48" s="1"/>
  <c r="CM1195" i="48"/>
  <c r="CQ1195" i="48" s="1"/>
  <c r="CM358" i="48"/>
  <c r="CQ358" i="48" s="1"/>
  <c r="CM273" i="48"/>
  <c r="CQ273" i="48" s="1"/>
  <c r="CM618" i="48"/>
  <c r="CQ618" i="48" s="1"/>
  <c r="CM397" i="48"/>
  <c r="CQ397" i="48" s="1"/>
  <c r="CM342" i="48"/>
  <c r="CQ342" i="48" s="1"/>
  <c r="CM591" i="48"/>
  <c r="CQ591" i="48" s="1"/>
  <c r="CM537" i="48"/>
  <c r="CQ537" i="48" s="1"/>
  <c r="CM1068" i="48"/>
  <c r="CQ1068" i="48" s="1"/>
  <c r="CM938" i="48"/>
  <c r="CQ938" i="48" s="1"/>
  <c r="CM1339" i="48"/>
  <c r="CQ1339" i="48" s="1"/>
  <c r="CZ1339" i="48" s="1"/>
  <c r="CM723" i="48"/>
  <c r="CQ723" i="48" s="1"/>
  <c r="CM419" i="48"/>
  <c r="CQ419" i="48" s="1"/>
  <c r="CZ419" i="48" s="1"/>
  <c r="W419" i="48" s="1"/>
  <c r="CM201" i="48"/>
  <c r="CQ201" i="48" s="1"/>
  <c r="CM976" i="48"/>
  <c r="CQ976" i="48" s="1"/>
  <c r="CZ976" i="48" s="1"/>
  <c r="W976" i="48" s="1"/>
  <c r="CM11" i="48"/>
  <c r="CQ11" i="48" s="1"/>
  <c r="CZ11" i="48" s="1"/>
  <c r="W11" i="48" s="1"/>
  <c r="CM22" i="48"/>
  <c r="CQ22" i="48" s="1"/>
  <c r="CM24" i="48"/>
  <c r="CQ24" i="48" s="1"/>
  <c r="CZ24" i="48" s="1"/>
  <c r="W24" i="48" s="1"/>
  <c r="CM25" i="48"/>
  <c r="CQ25" i="48" s="1"/>
  <c r="CZ25" i="48" s="1"/>
  <c r="W25" i="48" s="1"/>
  <c r="CM37" i="48"/>
  <c r="CQ37" i="48" s="1"/>
  <c r="CM40" i="48"/>
  <c r="CQ40" i="48" s="1"/>
  <c r="CM44" i="48"/>
  <c r="CQ44" i="48" s="1"/>
  <c r="CM31" i="48"/>
  <c r="CQ31" i="48" s="1"/>
  <c r="CM268" i="48"/>
  <c r="CQ268" i="48" s="1"/>
  <c r="CM272" i="48"/>
  <c r="CQ272" i="48" s="1"/>
  <c r="CM274" i="48"/>
  <c r="CQ274" i="48" s="1"/>
  <c r="CM62" i="48"/>
  <c r="CQ62" i="48" s="1"/>
  <c r="CM66" i="48"/>
  <c r="CQ66" i="48" s="1"/>
  <c r="CM82" i="48"/>
  <c r="CQ82" i="48" s="1"/>
  <c r="CM220" i="48"/>
  <c r="CQ220" i="48" s="1"/>
  <c r="CM171" i="48"/>
  <c r="CQ171" i="48" s="1"/>
  <c r="CM138" i="48"/>
  <c r="CQ138" i="48" s="1"/>
  <c r="CZ138" i="48" s="1"/>
  <c r="W138" i="48" s="1"/>
  <c r="CM114" i="48"/>
  <c r="CQ114" i="48" s="1"/>
  <c r="CM233" i="48"/>
  <c r="CQ233" i="48" s="1"/>
  <c r="CM108" i="48"/>
  <c r="CQ108" i="48" s="1"/>
  <c r="CM69" i="48"/>
  <c r="CQ69" i="48" s="1"/>
  <c r="CM223" i="48"/>
  <c r="CQ223" i="48" s="1"/>
  <c r="CM117" i="48"/>
  <c r="CQ117" i="48" s="1"/>
  <c r="CM262" i="48"/>
  <c r="CQ262" i="48" s="1"/>
  <c r="CM132" i="48"/>
  <c r="CQ132" i="48" s="1"/>
  <c r="CZ132" i="48" s="1"/>
  <c r="CM247" i="48"/>
  <c r="CQ247" i="48" s="1"/>
  <c r="CM191" i="48"/>
  <c r="CQ191" i="48" s="1"/>
  <c r="CM213" i="48"/>
  <c r="CQ213" i="48" s="1"/>
  <c r="CM89" i="48"/>
  <c r="CQ89" i="48" s="1"/>
  <c r="CM218" i="48"/>
  <c r="CQ218" i="48" s="1"/>
  <c r="CM90" i="48"/>
  <c r="CQ90" i="48" s="1"/>
  <c r="CM81" i="48"/>
  <c r="CQ81" i="48" s="1"/>
  <c r="CM91" i="48"/>
  <c r="CQ91" i="48" s="1"/>
  <c r="CM120" i="48"/>
  <c r="CQ120" i="48" s="1"/>
  <c r="CM142" i="48"/>
  <c r="CQ142" i="48" s="1"/>
  <c r="CZ142" i="48" s="1"/>
  <c r="W142" i="48" s="1"/>
  <c r="CM249" i="48"/>
  <c r="CQ249" i="48" s="1"/>
  <c r="CM185" i="48"/>
  <c r="CQ185" i="48" s="1"/>
  <c r="CM64" i="48"/>
  <c r="CQ64" i="48" s="1"/>
  <c r="CM234" i="48"/>
  <c r="CQ234" i="48" s="1"/>
  <c r="CM67" i="48"/>
  <c r="CQ67" i="48" s="1"/>
  <c r="CM116" i="48"/>
  <c r="CQ116" i="48" s="1"/>
  <c r="CM190" i="48"/>
  <c r="CQ190" i="48" s="1"/>
  <c r="CM133" i="48"/>
  <c r="CQ133" i="48" s="1"/>
  <c r="CZ133" i="48" s="1"/>
  <c r="W133" i="48" s="1"/>
  <c r="CM140" i="48"/>
  <c r="CQ140" i="48" s="1"/>
  <c r="CZ140" i="48" s="1"/>
  <c r="W140" i="48" s="1"/>
  <c r="CM181" i="48"/>
  <c r="CQ181" i="48" s="1"/>
  <c r="CM322" i="48"/>
  <c r="CQ322" i="48" s="1"/>
  <c r="CM697" i="48"/>
  <c r="CQ697" i="48" s="1"/>
  <c r="CM921" i="48"/>
  <c r="CQ921" i="48" s="1"/>
  <c r="CM1112" i="48"/>
  <c r="CQ1112" i="48" s="1"/>
  <c r="CM972" i="48"/>
  <c r="CQ972" i="48" s="1"/>
  <c r="CM958" i="48"/>
  <c r="CQ958" i="48" s="1"/>
  <c r="CM610" i="48"/>
  <c r="CQ610" i="48" s="1"/>
  <c r="CM309" i="48"/>
  <c r="CQ309" i="48" s="1"/>
  <c r="CM1039" i="48"/>
  <c r="CQ1039" i="48" s="1"/>
  <c r="CM1296" i="48"/>
  <c r="CQ1296" i="48" s="1"/>
  <c r="CZ1296" i="48" s="1"/>
  <c r="CM1233" i="48"/>
  <c r="CQ1233" i="48" s="1"/>
  <c r="CZ1233" i="48" s="1"/>
  <c r="CM1246" i="48"/>
  <c r="CQ1246" i="48" s="1"/>
  <c r="CZ1246" i="48" s="1"/>
  <c r="CM1086" i="48"/>
  <c r="CQ1086" i="48" s="1"/>
  <c r="CM385" i="48"/>
  <c r="CQ385" i="48" s="1"/>
  <c r="CM392" i="48"/>
  <c r="CQ392" i="48" s="1"/>
  <c r="CM740" i="48"/>
  <c r="CQ740" i="48" s="1"/>
  <c r="CM648" i="48"/>
  <c r="CQ648" i="48" s="1"/>
  <c r="CM1024" i="48"/>
  <c r="CQ1024" i="48" s="1"/>
  <c r="CM498" i="48"/>
  <c r="CQ498" i="48" s="1"/>
  <c r="CM725" i="48"/>
  <c r="CQ725" i="48" s="1"/>
  <c r="CM263" i="48"/>
  <c r="CQ263" i="48" s="1"/>
  <c r="CM840" i="48"/>
  <c r="CQ840" i="48" s="1"/>
  <c r="CM473" i="48"/>
  <c r="CQ473" i="48" s="1"/>
  <c r="CM336" i="48"/>
  <c r="CQ336" i="48" s="1"/>
  <c r="CM1194" i="48"/>
  <c r="CQ1194" i="48" s="1"/>
  <c r="CM568" i="48"/>
  <c r="CQ568" i="48" s="1"/>
  <c r="CM894" i="48"/>
  <c r="CQ894" i="48" s="1"/>
  <c r="CM1258" i="48"/>
  <c r="CQ1258" i="48" s="1"/>
  <c r="CZ1258" i="48" s="1"/>
  <c r="DB1258" i="48" s="1"/>
  <c r="CM596" i="48"/>
  <c r="CQ596" i="48" s="1"/>
  <c r="CM298" i="48"/>
  <c r="CQ298" i="48" s="1"/>
  <c r="CM1147" i="48"/>
  <c r="CQ1147" i="48" s="1"/>
  <c r="CM1324" i="48"/>
  <c r="CQ1324" i="48" s="1"/>
  <c r="CZ1324" i="48" s="1"/>
  <c r="CM773" i="48"/>
  <c r="CQ773" i="48" s="1"/>
  <c r="CM774" i="48"/>
  <c r="CQ774" i="48" s="1"/>
  <c r="CM1209" i="48"/>
  <c r="CQ1209" i="48" s="1"/>
  <c r="CZ1209" i="48" s="1"/>
  <c r="CM1344" i="48"/>
  <c r="CQ1344" i="48" s="1"/>
  <c r="CZ1344" i="48" s="1"/>
  <c r="CM812" i="48"/>
  <c r="CQ812" i="48" s="1"/>
  <c r="CM423" i="48"/>
  <c r="CQ423" i="48" s="1"/>
  <c r="CZ423" i="48" s="1"/>
  <c r="CM109" i="48"/>
  <c r="CQ109" i="48" s="1"/>
  <c r="CM783" i="48"/>
  <c r="CQ783" i="48" s="1"/>
  <c r="CM1174" i="48"/>
  <c r="CQ1174" i="48" s="1"/>
  <c r="CM374" i="48"/>
  <c r="CQ374" i="48" s="1"/>
  <c r="CM949" i="48"/>
  <c r="CQ949" i="48" s="1"/>
  <c r="CM899" i="48"/>
  <c r="CQ899" i="48" s="1"/>
  <c r="CM363" i="48"/>
  <c r="CQ363" i="48" s="1"/>
  <c r="CM699" i="48"/>
  <c r="CQ699" i="48" s="1"/>
  <c r="CM920" i="48"/>
  <c r="CQ920" i="48" s="1"/>
  <c r="CM1116" i="48"/>
  <c r="CQ1116" i="48" s="1"/>
  <c r="CM1113" i="48"/>
  <c r="CQ1113" i="48" s="1"/>
  <c r="CM606" i="48"/>
  <c r="CQ606" i="48" s="1"/>
  <c r="CM624" i="48"/>
  <c r="CQ624" i="48" s="1"/>
  <c r="CM834" i="48"/>
  <c r="CQ834" i="48" s="1"/>
  <c r="CM1300" i="48"/>
  <c r="CQ1300" i="48" s="1"/>
  <c r="CZ1300" i="48" s="1"/>
  <c r="CM1250" i="48"/>
  <c r="CQ1250" i="48" s="1"/>
  <c r="CM988" i="48"/>
  <c r="CQ988" i="48" s="1"/>
  <c r="CM1081" i="48"/>
  <c r="CQ1081" i="48" s="1"/>
  <c r="CM1093" i="48"/>
  <c r="CQ1093" i="48" s="1"/>
  <c r="CM381" i="48"/>
  <c r="CQ381" i="48" s="1"/>
  <c r="CM732" i="48"/>
  <c r="CQ732" i="48" s="1"/>
  <c r="CM844" i="48"/>
  <c r="CQ844" i="48" s="1"/>
  <c r="CM641" i="48"/>
  <c r="CQ641" i="48" s="1"/>
  <c r="CM494" i="48"/>
  <c r="CQ494" i="48" s="1"/>
  <c r="CM719" i="48"/>
  <c r="CQ719" i="48" s="1"/>
  <c r="CM849" i="48"/>
  <c r="CQ849" i="48" s="1"/>
  <c r="CM333" i="48"/>
  <c r="CQ333" i="48" s="1"/>
  <c r="CM509" i="48"/>
  <c r="CQ509" i="48" s="1"/>
  <c r="CM524" i="48"/>
  <c r="CQ524" i="48" s="1"/>
  <c r="CM562" i="48"/>
  <c r="CQ562" i="48" s="1"/>
  <c r="CM893" i="48"/>
  <c r="CQ893" i="48" s="1"/>
  <c r="CM1256" i="48"/>
  <c r="CQ1256" i="48" s="1"/>
  <c r="CZ1256" i="48" s="1"/>
  <c r="CM600" i="48"/>
  <c r="CQ600" i="48" s="1"/>
  <c r="CM284" i="48"/>
  <c r="CQ284" i="48" s="1"/>
  <c r="CM296" i="48"/>
  <c r="CQ296" i="48" s="1"/>
  <c r="CM1316" i="48"/>
  <c r="CQ1316" i="48" s="1"/>
  <c r="CZ1316" i="48" s="1"/>
  <c r="CM545" i="48"/>
  <c r="CQ545" i="48" s="1"/>
  <c r="CM550" i="48"/>
  <c r="CQ550" i="48" s="1"/>
  <c r="CM768" i="48"/>
  <c r="CQ768" i="48" s="1"/>
  <c r="CM983" i="48"/>
  <c r="CQ983" i="48" s="1"/>
  <c r="CM1058" i="48"/>
  <c r="CQ1058" i="48" s="1"/>
  <c r="CM449" i="48"/>
  <c r="CQ449" i="48" s="1"/>
  <c r="CM1172" i="48"/>
  <c r="CQ1172" i="48" s="1"/>
  <c r="CM1047" i="48"/>
  <c r="CQ1047" i="48" s="1"/>
  <c r="CM324" i="48"/>
  <c r="CQ324" i="48" s="1"/>
  <c r="CM688" i="48"/>
  <c r="CQ688" i="48" s="1"/>
  <c r="CM1122" i="48"/>
  <c r="CQ1122" i="48" s="1"/>
  <c r="CM961" i="48"/>
  <c r="CQ961" i="48" s="1"/>
  <c r="CM622" i="48"/>
  <c r="CQ622" i="48" s="1"/>
  <c r="CM1149" i="48"/>
  <c r="CQ1149" i="48" s="1"/>
  <c r="CM1049" i="48"/>
  <c r="CQ1049" i="48" s="1"/>
  <c r="CM1281" i="48"/>
  <c r="CQ1281" i="48" s="1"/>
  <c r="CZ1281" i="48" s="1"/>
  <c r="CM997" i="48"/>
  <c r="CQ997" i="48" s="1"/>
  <c r="CM399" i="48"/>
  <c r="CQ399" i="48" s="1"/>
  <c r="CM365" i="48"/>
  <c r="CQ365" i="48" s="1"/>
  <c r="CM635" i="48"/>
  <c r="CQ635" i="48" s="1"/>
  <c r="CM487" i="48"/>
  <c r="CQ487" i="48" s="1"/>
  <c r="CM711" i="48"/>
  <c r="CQ711" i="48" s="1"/>
  <c r="CM444" i="48"/>
  <c r="CQ444" i="48" s="1"/>
  <c r="CM463" i="48"/>
  <c r="CQ463" i="48" s="1"/>
  <c r="CM350" i="48"/>
  <c r="CQ350" i="48" s="1"/>
  <c r="CZ350" i="48" s="1"/>
  <c r="W350" i="48" s="1"/>
  <c r="CM1184" i="48"/>
  <c r="CQ1184" i="48" s="1"/>
  <c r="CM881" i="48"/>
  <c r="CQ881" i="48" s="1"/>
  <c r="CM287" i="48"/>
  <c r="CQ287" i="48" s="1"/>
  <c r="CM1308" i="48"/>
  <c r="CQ1308" i="48" s="1"/>
  <c r="CZ1308" i="48" s="1"/>
  <c r="CM538" i="48"/>
  <c r="CQ538" i="48" s="1"/>
  <c r="CM770" i="48"/>
  <c r="CQ770" i="48" s="1"/>
  <c r="CM856" i="48"/>
  <c r="CQ856" i="48" s="1"/>
  <c r="CM863" i="48"/>
  <c r="CQ863" i="48" s="1"/>
  <c r="CM1000" i="48"/>
  <c r="CQ1000" i="48" s="1"/>
  <c r="CM815" i="48"/>
  <c r="CQ815" i="48" s="1"/>
  <c r="CM407" i="48"/>
  <c r="CQ407" i="48" s="1"/>
  <c r="CZ407" i="48" s="1"/>
  <c r="W407" i="48" s="1"/>
  <c r="CM414" i="48"/>
  <c r="CQ414" i="48" s="1"/>
  <c r="CZ414" i="48" s="1"/>
  <c r="W414" i="48" s="1"/>
  <c r="CM1071" i="48"/>
  <c r="CQ1071" i="48" s="1"/>
  <c r="CM941" i="48"/>
  <c r="CQ941" i="48" s="1"/>
  <c r="CM1161" i="48"/>
  <c r="CQ1161" i="48" s="1"/>
  <c r="CM1120" i="48"/>
  <c r="CQ1120" i="48" s="1"/>
  <c r="CM393" i="48"/>
  <c r="CQ393" i="48" s="1"/>
  <c r="CM474" i="48"/>
  <c r="CQ474" i="48" s="1"/>
  <c r="CM875" i="48"/>
  <c r="CQ875" i="48" s="1"/>
  <c r="CM970" i="48"/>
  <c r="CQ970" i="48" s="1"/>
  <c r="CM1038" i="48"/>
  <c r="CQ1038" i="48" s="1"/>
  <c r="CM1009" i="48"/>
  <c r="CQ1009" i="48" s="1"/>
  <c r="CM584" i="48"/>
  <c r="CQ584" i="48" s="1"/>
  <c r="CM860" i="48"/>
  <c r="CQ860" i="48" s="1"/>
  <c r="CM1223" i="48"/>
  <c r="CQ1223" i="48" s="1"/>
  <c r="CZ1223" i="48" s="1"/>
  <c r="DB1223" i="48" s="1"/>
  <c r="CM819" i="48"/>
  <c r="CQ819" i="48" s="1"/>
  <c r="CM1062" i="48"/>
  <c r="CQ1062" i="48" s="1"/>
  <c r="CM1169" i="48"/>
  <c r="CQ1169" i="48" s="1"/>
  <c r="CM1111" i="48"/>
  <c r="CQ1111" i="48" s="1"/>
  <c r="CM359" i="48"/>
  <c r="CQ359" i="48" s="1"/>
  <c r="CM744" i="48"/>
  <c r="CQ744" i="48" s="1"/>
  <c r="CM1193" i="48"/>
  <c r="CQ1193" i="48" s="1"/>
  <c r="CM1269" i="48"/>
  <c r="CQ1269" i="48" s="1"/>
  <c r="CZ1269" i="48" s="1"/>
  <c r="CM937" i="48"/>
  <c r="CQ937" i="48" s="1"/>
  <c r="CM782" i="48"/>
  <c r="CQ782" i="48" s="1"/>
  <c r="CM694" i="48"/>
  <c r="CQ694" i="48" s="1"/>
  <c r="CM968" i="48"/>
  <c r="CQ968" i="48" s="1"/>
  <c r="CM1241" i="48"/>
  <c r="CQ1241" i="48" s="1"/>
  <c r="CZ1241" i="48" s="1"/>
  <c r="CM716" i="48"/>
  <c r="CQ716" i="48" s="1"/>
  <c r="CM1215" i="48"/>
  <c r="CQ1215" i="48" s="1"/>
  <c r="CZ1215" i="48" s="1"/>
  <c r="CM943" i="48"/>
  <c r="CQ943" i="48" s="1"/>
  <c r="CM400" i="48"/>
  <c r="CQ400" i="48" s="1"/>
  <c r="CM650" i="48"/>
  <c r="CQ650" i="48" s="1"/>
  <c r="CM575" i="48"/>
  <c r="CQ575" i="48" s="1"/>
  <c r="CM1173" i="48"/>
  <c r="CQ1173" i="48" s="1"/>
  <c r="CM916" i="48"/>
  <c r="CQ916" i="48" s="1"/>
  <c r="CM310" i="48"/>
  <c r="CQ310" i="48" s="1"/>
  <c r="CM1013" i="48"/>
  <c r="CQ1013" i="48" s="1"/>
  <c r="CM516" i="48"/>
  <c r="CQ516" i="48" s="1"/>
  <c r="CM1320" i="48"/>
  <c r="CQ1320" i="48" s="1"/>
  <c r="CZ1320" i="48" s="1"/>
  <c r="CM372" i="48"/>
  <c r="CQ372" i="48" s="1"/>
  <c r="CM907" i="48"/>
  <c r="CQ907" i="48" s="1"/>
  <c r="CM609" i="48"/>
  <c r="CQ609" i="48" s="1"/>
  <c r="CM991" i="48"/>
  <c r="CQ991" i="48" s="1"/>
  <c r="CM644" i="48"/>
  <c r="CQ644" i="48" s="1"/>
  <c r="CM566" i="48"/>
  <c r="CQ566" i="48" s="1"/>
  <c r="CM1132" i="48"/>
  <c r="CQ1132" i="48" s="1"/>
  <c r="CM864" i="48"/>
  <c r="CQ864" i="48" s="1"/>
  <c r="CM186" i="48"/>
  <c r="CQ186" i="48" s="1"/>
  <c r="CM332" i="48"/>
  <c r="CQ332" i="48" s="1"/>
  <c r="CM348" i="48"/>
  <c r="CQ348" i="48" s="1"/>
  <c r="CM291" i="48"/>
  <c r="CQ291" i="48" s="1"/>
  <c r="CM760" i="48"/>
  <c r="CQ760" i="48" s="1"/>
  <c r="CM1056" i="48"/>
  <c r="CQ1056" i="48" s="1"/>
  <c r="CM718" i="48"/>
  <c r="CQ718" i="48" s="1"/>
  <c r="CM519" i="48"/>
  <c r="CQ519" i="48" s="1"/>
  <c r="CM1175" i="48"/>
  <c r="CQ1175" i="48" s="1"/>
  <c r="CM1007" i="48"/>
  <c r="CQ1007" i="48" s="1"/>
  <c r="CM434" i="48"/>
  <c r="CQ434" i="48" s="1"/>
  <c r="CM1063" i="48"/>
  <c r="CQ1063" i="48" s="1"/>
  <c r="CM315" i="48"/>
  <c r="CQ315" i="48" s="1"/>
  <c r="CM1006" i="48"/>
  <c r="CQ1006" i="48" s="1"/>
  <c r="CM616" i="48"/>
  <c r="CQ616" i="48" s="1"/>
  <c r="CM1033" i="48"/>
  <c r="CQ1033" i="48" s="1"/>
  <c r="CM382" i="48"/>
  <c r="CQ382" i="48" s="1"/>
  <c r="CM631" i="48"/>
  <c r="CQ631" i="48" s="1"/>
  <c r="CM715" i="48"/>
  <c r="CQ715" i="48" s="1"/>
  <c r="CM162" i="48"/>
  <c r="CQ162" i="48" s="1"/>
  <c r="CM895" i="48"/>
  <c r="CQ895" i="48" s="1"/>
  <c r="CM439" i="48"/>
  <c r="CQ439" i="48" s="1"/>
  <c r="CM121" i="48"/>
  <c r="CQ121" i="48" s="1"/>
  <c r="CM1137" i="48"/>
  <c r="CQ1137" i="48" s="1"/>
  <c r="CM1163" i="48"/>
  <c r="CQ1163" i="48" s="1"/>
  <c r="CM508" i="48"/>
  <c r="CQ508" i="48" s="1"/>
  <c r="CM431" i="48"/>
  <c r="CQ431" i="48" s="1"/>
  <c r="CM639" i="48"/>
  <c r="CQ639" i="48" s="1"/>
  <c r="CM1121" i="48"/>
  <c r="CQ1121" i="48" s="1"/>
  <c r="CM1342" i="48"/>
  <c r="CQ1342" i="48" s="1"/>
  <c r="CZ1342" i="48" s="1"/>
  <c r="CM1247" i="48"/>
  <c r="CQ1247" i="48" s="1"/>
  <c r="CZ1247" i="48" s="1"/>
  <c r="DB1247" i="48" s="1"/>
  <c r="CM833" i="48"/>
  <c r="CQ833" i="48" s="1"/>
  <c r="CM748" i="48"/>
  <c r="CQ748" i="48" s="1"/>
  <c r="CM481" i="48"/>
  <c r="CQ481" i="48" s="1"/>
  <c r="CM364" i="48"/>
  <c r="CQ364" i="48" s="1"/>
  <c r="CM513" i="48"/>
  <c r="CQ513" i="48" s="1"/>
  <c r="CM571" i="48"/>
  <c r="CQ571" i="48" s="1"/>
  <c r="CM1261" i="48"/>
  <c r="CQ1261" i="48" s="1"/>
  <c r="CZ1261" i="48" s="1"/>
  <c r="CM594" i="48"/>
  <c r="CQ594" i="48" s="1"/>
  <c r="CM846" i="48"/>
  <c r="CQ846" i="48" s="1"/>
  <c r="CM1309" i="48"/>
  <c r="CQ1309" i="48" s="1"/>
  <c r="CZ1309" i="48" s="1"/>
  <c r="CM758" i="48"/>
  <c r="CQ758" i="48" s="1"/>
  <c r="CM1214" i="48"/>
  <c r="CQ1214" i="48" s="1"/>
  <c r="CZ1214" i="48" s="1"/>
  <c r="CM445" i="48"/>
  <c r="CQ445" i="48" s="1"/>
  <c r="CM809" i="48"/>
  <c r="CQ809" i="48" s="1"/>
  <c r="CM1061" i="48"/>
  <c r="CQ1061" i="48" s="1"/>
  <c r="CM940" i="48"/>
  <c r="CQ940" i="48" s="1"/>
  <c r="CM993" i="48"/>
  <c r="CQ993" i="48" s="1"/>
  <c r="CM636" i="48"/>
  <c r="CQ636" i="48" s="1"/>
  <c r="CM1259" i="48"/>
  <c r="CQ1259" i="48" s="1"/>
  <c r="CZ1259" i="48" s="1"/>
  <c r="CM159" i="48"/>
  <c r="CQ159" i="48" s="1"/>
  <c r="CM321" i="48"/>
  <c r="CQ321" i="48" s="1"/>
  <c r="CM496" i="48"/>
  <c r="CQ496" i="48" s="1"/>
  <c r="CM544" i="48"/>
  <c r="CQ544" i="48" s="1"/>
  <c r="CM106" i="48"/>
  <c r="CQ106" i="48" s="1"/>
  <c r="CM337" i="48"/>
  <c r="CQ337" i="48" s="1"/>
  <c r="CM1197" i="48"/>
  <c r="CQ1197" i="48" s="1"/>
  <c r="CM547" i="48"/>
  <c r="CQ547" i="48" s="1"/>
  <c r="CM112" i="48"/>
  <c r="CQ112" i="48" s="1"/>
  <c r="CM982" i="48"/>
  <c r="CQ982" i="48" s="1"/>
  <c r="CM401" i="48"/>
  <c r="CQ401" i="48" s="1"/>
  <c r="CZ401" i="48" s="1"/>
  <c r="W401" i="48" s="1"/>
  <c r="CM1101" i="48"/>
  <c r="CQ1101" i="48" s="1"/>
  <c r="CM1251" i="48"/>
  <c r="CQ1251" i="48" s="1"/>
  <c r="CZ1251" i="48" s="1"/>
  <c r="CM1026" i="48"/>
  <c r="CQ1026" i="48" s="1"/>
  <c r="CM576" i="48"/>
  <c r="CQ576" i="48" s="1"/>
  <c r="CM726" i="48"/>
  <c r="CQ726" i="48" s="1"/>
  <c r="CM701" i="48"/>
  <c r="CQ701" i="48" s="1"/>
  <c r="CM1201" i="48"/>
  <c r="CQ1201" i="48" s="1"/>
  <c r="CM751" i="48"/>
  <c r="CQ751" i="48" s="1"/>
  <c r="CZ751" i="48" s="1"/>
  <c r="W751" i="48" s="1"/>
  <c r="CM151" i="48"/>
  <c r="CQ151" i="48" s="1"/>
  <c r="CZ151" i="48" s="1"/>
  <c r="W151" i="48" s="1"/>
  <c r="CM351" i="48"/>
  <c r="CQ351" i="48" s="1"/>
  <c r="CM501" i="48"/>
  <c r="CQ501" i="48" s="1"/>
  <c r="CM876" i="48"/>
  <c r="CQ876" i="48" s="1"/>
  <c r="CM301" i="48"/>
  <c r="CQ301" i="48" s="1"/>
  <c r="CZ301" i="48" s="1"/>
  <c r="W301" i="48" s="1"/>
  <c r="CM126" i="48"/>
  <c r="CQ126" i="48" s="1"/>
  <c r="CM49" i="48"/>
  <c r="CQ49" i="48" s="1"/>
  <c r="CM32" i="48"/>
  <c r="CQ32" i="48" s="1"/>
  <c r="CM258" i="48"/>
  <c r="CQ258" i="48" s="1"/>
  <c r="CM207" i="48"/>
  <c r="CQ207" i="48" s="1"/>
  <c r="CM160" i="48"/>
  <c r="CQ160" i="48" s="1"/>
  <c r="CM182" i="48"/>
  <c r="CQ182" i="48" s="1"/>
  <c r="CM237" i="48"/>
  <c r="CQ237" i="48" s="1"/>
  <c r="CM225" i="48"/>
  <c r="CQ225" i="48" s="1"/>
  <c r="CM150" i="48"/>
  <c r="CQ150" i="48" s="1"/>
  <c r="CZ150" i="48" s="1"/>
  <c r="W150" i="48" s="1"/>
  <c r="CM210" i="48"/>
  <c r="CQ210" i="48" s="1"/>
  <c r="CM215" i="48"/>
  <c r="CQ215" i="48" s="1"/>
  <c r="CM73" i="48"/>
  <c r="CQ73" i="48" s="1"/>
  <c r="CM144" i="48"/>
  <c r="CQ144" i="48" s="1"/>
  <c r="CZ144" i="48" s="1"/>
  <c r="W144" i="48" s="1"/>
  <c r="CM183" i="48"/>
  <c r="CQ183" i="48" s="1"/>
  <c r="CM137" i="48"/>
  <c r="CQ137" i="48" s="1"/>
  <c r="CZ137" i="48" s="1"/>
  <c r="W137" i="48" s="1"/>
  <c r="CM235" i="48"/>
  <c r="CQ235" i="48" s="1"/>
  <c r="CM146" i="48"/>
  <c r="CQ146" i="48" s="1"/>
  <c r="CZ146" i="48" s="1"/>
  <c r="CM696" i="48"/>
  <c r="CQ696" i="48" s="1"/>
  <c r="CM974" i="48"/>
  <c r="CQ974" i="48" s="1"/>
  <c r="CM1041" i="48"/>
  <c r="CQ1041" i="48" s="1"/>
  <c r="CM1235" i="48"/>
  <c r="CQ1235" i="48" s="1"/>
  <c r="CZ1235" i="48" s="1"/>
  <c r="CM1096" i="48"/>
  <c r="CQ1096" i="48" s="1"/>
  <c r="CM645" i="48"/>
  <c r="CQ645" i="48" s="1"/>
  <c r="CM706" i="48"/>
  <c r="CQ706" i="48" s="1"/>
  <c r="CM346" i="48"/>
  <c r="CQ346" i="48" s="1"/>
  <c r="CM565" i="48"/>
  <c r="CQ565" i="48" s="1"/>
  <c r="CM585" i="48"/>
  <c r="CQ585" i="48" s="1"/>
  <c r="CM1321" i="48"/>
  <c r="CQ1321" i="48" s="1"/>
  <c r="CZ1321" i="48" s="1"/>
  <c r="CM532" i="48"/>
  <c r="CQ532" i="48" s="1"/>
  <c r="CM1225" i="48"/>
  <c r="CQ1225" i="48" s="1"/>
  <c r="CZ1225" i="48" s="1"/>
  <c r="CM825" i="48"/>
  <c r="CQ825" i="48" s="1"/>
  <c r="CM1065" i="48"/>
  <c r="CQ1065" i="48" s="1"/>
  <c r="CM1162" i="48"/>
  <c r="CQ1162" i="48" s="1"/>
  <c r="CM708" i="48"/>
  <c r="CQ708" i="48" s="1"/>
  <c r="CM837" i="48"/>
  <c r="CQ837" i="48" s="1"/>
  <c r="CM922" i="48"/>
  <c r="CQ922" i="48" s="1"/>
  <c r="CM967" i="48"/>
  <c r="CQ967" i="48" s="1"/>
  <c r="CM1037" i="48"/>
  <c r="CQ1037" i="48" s="1"/>
  <c r="CM933" i="48"/>
  <c r="CQ933" i="48" s="1"/>
  <c r="CM737" i="48"/>
  <c r="CQ737" i="48" s="1"/>
  <c r="CM724" i="48"/>
  <c r="CQ724" i="48" s="1"/>
  <c r="CM511" i="48"/>
  <c r="CQ511" i="48" s="1"/>
  <c r="CM569" i="48"/>
  <c r="CQ569" i="48" s="1"/>
  <c r="CM281" i="48"/>
  <c r="CQ281" i="48" s="1"/>
  <c r="CM536" i="48"/>
  <c r="CQ536" i="48" s="1"/>
  <c r="CM418" i="48"/>
  <c r="CQ418" i="48" s="1"/>
  <c r="CZ418" i="48" s="1"/>
  <c r="W418" i="48" s="1"/>
  <c r="CM1108" i="48"/>
  <c r="CQ1108" i="48" s="1"/>
  <c r="CM396" i="48"/>
  <c r="CQ396" i="48" s="1"/>
  <c r="CM1012" i="48"/>
  <c r="CQ1012" i="48" s="1"/>
  <c r="CM460" i="48"/>
  <c r="CQ460" i="48" s="1"/>
  <c r="CM557" i="48"/>
  <c r="CQ557" i="48" s="1"/>
  <c r="CM599" i="48"/>
  <c r="CQ599" i="48" s="1"/>
  <c r="CM540" i="48"/>
  <c r="CQ540" i="48" s="1"/>
  <c r="CM1224" i="48"/>
  <c r="CQ1224" i="48" s="1"/>
  <c r="CZ1224" i="48" s="1"/>
  <c r="CM409" i="48"/>
  <c r="CQ409" i="48" s="1"/>
  <c r="CZ409" i="48" s="1"/>
  <c r="W409" i="48" s="1"/>
  <c r="CM789" i="48"/>
  <c r="CQ789" i="48" s="1"/>
  <c r="CM466" i="48"/>
  <c r="CQ466" i="48" s="1"/>
  <c r="CM823" i="48"/>
  <c r="CQ823" i="48" s="1"/>
  <c r="CM913" i="48"/>
  <c r="CQ913" i="48" s="1"/>
  <c r="CM521" i="48"/>
  <c r="CQ521" i="48" s="1"/>
  <c r="CM1073" i="48"/>
  <c r="CQ1073" i="48" s="1"/>
  <c r="CM965" i="48"/>
  <c r="CQ965" i="48" s="1"/>
  <c r="CM1317" i="48"/>
  <c r="CQ1317" i="48" s="1"/>
  <c r="CZ1317" i="48" s="1"/>
  <c r="CM936" i="48"/>
  <c r="CQ936" i="48" s="1"/>
  <c r="CM1335" i="48"/>
  <c r="CQ1335" i="48" s="1"/>
  <c r="CZ1335" i="48" s="1"/>
  <c r="CM507" i="48"/>
  <c r="CQ507" i="48" s="1"/>
  <c r="CM691" i="48"/>
  <c r="CQ691" i="48" s="1"/>
  <c r="CM347" i="48"/>
  <c r="CQ347" i="48" s="1"/>
  <c r="CM762" i="48"/>
  <c r="CQ762" i="48" s="1"/>
  <c r="CM743" i="48"/>
  <c r="CQ743" i="48" s="1"/>
  <c r="CM413" i="48"/>
  <c r="CQ413" i="48" s="1"/>
  <c r="CZ413" i="48" s="1"/>
  <c r="W413" i="48" s="1"/>
  <c r="CM788" i="48"/>
  <c r="CQ788" i="48" s="1"/>
  <c r="CM1070" i="48"/>
  <c r="CQ1070" i="48" s="1"/>
  <c r="CM911" i="48"/>
  <c r="CQ911" i="48" s="1"/>
  <c r="CM1082" i="48"/>
  <c r="CQ1082" i="48" s="1"/>
  <c r="CM459" i="48"/>
  <c r="CQ459" i="48" s="1"/>
  <c r="CM539" i="48"/>
  <c r="CQ539" i="48" s="1"/>
  <c r="CM172" i="48"/>
  <c r="CQ172" i="48" s="1"/>
  <c r="CM923" i="48"/>
  <c r="CQ923" i="48" s="1"/>
  <c r="CM1243" i="48"/>
  <c r="CQ1243" i="48" s="1"/>
  <c r="CZ1243" i="48" s="1"/>
  <c r="CM984" i="48"/>
  <c r="CQ984" i="48" s="1"/>
  <c r="CM1271" i="48"/>
  <c r="CQ1271" i="48" s="1"/>
  <c r="CZ1271" i="48" s="1"/>
  <c r="CM1307" i="48"/>
  <c r="CQ1307" i="48" s="1"/>
  <c r="CZ1307" i="48" s="1"/>
  <c r="CM873" i="48"/>
  <c r="CQ873" i="48" s="1"/>
  <c r="CM806" i="48"/>
  <c r="CQ806" i="48" s="1"/>
  <c r="CM1159" i="48"/>
  <c r="CQ1159" i="48" s="1"/>
  <c r="CM464" i="48"/>
  <c r="CQ464" i="48" s="1"/>
  <c r="CM294" i="48"/>
  <c r="CQ294" i="48" s="1"/>
  <c r="CM242" i="48"/>
  <c r="CQ242" i="48" s="1"/>
  <c r="CM260" i="48"/>
  <c r="CQ260" i="48" s="1"/>
  <c r="CM1226" i="48"/>
  <c r="CQ1226" i="48" s="1"/>
  <c r="CZ1226" i="48" s="1"/>
  <c r="W1226" i="48" s="1"/>
  <c r="CM14" i="48"/>
  <c r="CQ14" i="48" s="1"/>
  <c r="CZ14" i="48" s="1"/>
  <c r="W14" i="48" s="1"/>
  <c r="CM15" i="48"/>
  <c r="CQ15" i="48" s="1"/>
  <c r="CZ15" i="48" s="1"/>
  <c r="W15" i="48" s="1"/>
  <c r="CM20" i="48"/>
  <c r="CQ20" i="48" s="1"/>
  <c r="CZ20" i="48" s="1"/>
  <c r="W20" i="48" s="1"/>
  <c r="CM12" i="48"/>
  <c r="CQ12" i="48" s="1"/>
  <c r="CZ12" i="48" s="1"/>
  <c r="W12" i="48" s="1"/>
  <c r="CM34" i="48"/>
  <c r="CQ34" i="48" s="1"/>
  <c r="CM50" i="48"/>
  <c r="CQ50" i="48" s="1"/>
  <c r="CZ50" i="48" s="1"/>
  <c r="W50" i="48" s="1"/>
  <c r="CM43" i="48"/>
  <c r="CQ43" i="48" s="1"/>
  <c r="CM46" i="48"/>
  <c r="CQ46" i="48" s="1"/>
  <c r="CM48" i="48"/>
  <c r="CQ48" i="48" s="1"/>
  <c r="CM265" i="48"/>
  <c r="CQ265" i="48" s="1"/>
  <c r="CM259" i="48"/>
  <c r="CQ259" i="48" s="1"/>
  <c r="CM271" i="48"/>
  <c r="CQ271" i="48" s="1"/>
  <c r="CM65" i="48"/>
  <c r="CQ65" i="48" s="1"/>
  <c r="CM113" i="48"/>
  <c r="CQ113" i="48" s="1"/>
  <c r="CM85" i="48"/>
  <c r="CQ85" i="48" s="1"/>
  <c r="CM257" i="48"/>
  <c r="CQ257" i="48" s="1"/>
  <c r="CM161" i="48"/>
  <c r="CQ161" i="48" s="1"/>
  <c r="CM243" i="48"/>
  <c r="CQ243" i="48" s="1"/>
  <c r="CM119" i="48"/>
  <c r="CQ119" i="48" s="1"/>
  <c r="CM57" i="48"/>
  <c r="CQ57" i="48" s="1"/>
  <c r="CM86" i="48"/>
  <c r="CQ86" i="48" s="1"/>
  <c r="CM221" i="48"/>
  <c r="CQ221" i="48" s="1"/>
  <c r="CM175" i="48"/>
  <c r="CQ175" i="48" s="1"/>
  <c r="CM134" i="48"/>
  <c r="CQ134" i="48" s="1"/>
  <c r="CZ134" i="48" s="1"/>
  <c r="CM148" i="48"/>
  <c r="CQ148" i="48" s="1"/>
  <c r="CZ148" i="48" s="1"/>
  <c r="W148" i="48" s="1"/>
  <c r="CM266" i="48"/>
  <c r="CQ266" i="48" s="1"/>
  <c r="CM184" i="48"/>
  <c r="CQ184" i="48" s="1"/>
  <c r="CM173" i="48"/>
  <c r="CQ173" i="48" s="1"/>
  <c r="CM58" i="48"/>
  <c r="CQ58" i="48" s="1"/>
  <c r="CM92" i="48"/>
  <c r="CQ92" i="48" s="1"/>
  <c r="CM216" i="48"/>
  <c r="CQ216" i="48" s="1"/>
  <c r="CM59" i="48"/>
  <c r="CQ59" i="48" s="1"/>
  <c r="CM84" i="48"/>
  <c r="CQ84" i="48" s="1"/>
  <c r="CM211" i="48"/>
  <c r="CQ211" i="48" s="1"/>
  <c r="CM170" i="48"/>
  <c r="CQ170" i="48" s="1"/>
  <c r="CM135" i="48"/>
  <c r="CQ135" i="48" s="1"/>
  <c r="CZ135" i="48" s="1"/>
  <c r="CM238" i="48"/>
  <c r="CQ238" i="48" s="1"/>
  <c r="CM61" i="48"/>
  <c r="CQ61" i="48" s="1"/>
  <c r="CM111" i="48"/>
  <c r="CQ111" i="48" s="1"/>
  <c r="CM192" i="48"/>
  <c r="CQ192" i="48" s="1"/>
  <c r="CM264" i="48"/>
  <c r="CQ264" i="48" s="1"/>
  <c r="CM149" i="48"/>
  <c r="CQ149" i="48" s="1"/>
  <c r="CZ149" i="48" s="1"/>
  <c r="W149" i="48" s="1"/>
  <c r="CM56" i="48"/>
  <c r="CQ56" i="48" s="1"/>
  <c r="CM199" i="48"/>
  <c r="CQ199" i="48" s="1"/>
  <c r="CM196" i="48"/>
  <c r="CQ196" i="48" s="1"/>
  <c r="CM193" i="48"/>
  <c r="CQ193" i="48" s="1"/>
  <c r="CM1136" i="48"/>
  <c r="CQ1136" i="48" s="1"/>
  <c r="CM917" i="48"/>
  <c r="CQ917" i="48" s="1"/>
  <c r="CM914" i="48"/>
  <c r="CQ914" i="48" s="1"/>
  <c r="CM1110" i="48"/>
  <c r="CQ1110" i="48" s="1"/>
  <c r="CM975" i="48"/>
  <c r="CQ975" i="48" s="1"/>
  <c r="CM614" i="48"/>
  <c r="CQ614" i="48" s="1"/>
  <c r="CM621" i="48"/>
  <c r="CQ621" i="48" s="1"/>
  <c r="CM1336" i="48"/>
  <c r="CQ1336" i="48" s="1"/>
  <c r="CZ1336" i="48" s="1"/>
  <c r="DB1336" i="48" s="1"/>
  <c r="CM1042" i="48"/>
  <c r="CQ1042" i="48" s="1"/>
  <c r="CM1290" i="48"/>
  <c r="CQ1290" i="48" s="1"/>
  <c r="CZ1290" i="48" s="1"/>
  <c r="CM1249" i="48"/>
  <c r="CQ1249" i="48" s="1"/>
  <c r="CZ1249" i="48" s="1"/>
  <c r="CM373" i="48"/>
  <c r="CQ373" i="48" s="1"/>
  <c r="CM1089" i="48"/>
  <c r="CQ1089" i="48" s="1"/>
  <c r="CM388" i="48"/>
  <c r="CQ388" i="48" s="1"/>
  <c r="CM731" i="48"/>
  <c r="CQ731" i="48" s="1"/>
  <c r="CM1150" i="48"/>
  <c r="CQ1150" i="48" s="1"/>
  <c r="CM646" i="48"/>
  <c r="CQ646" i="48" s="1"/>
  <c r="CM1025" i="48"/>
  <c r="CQ1025" i="48" s="1"/>
  <c r="CZ1025" i="48" s="1"/>
  <c r="CM499" i="48"/>
  <c r="CQ499" i="48" s="1"/>
  <c r="CM707" i="48"/>
  <c r="CQ707" i="48" s="1"/>
  <c r="CM366" i="48"/>
  <c r="CQ366" i="48" s="1"/>
  <c r="CM935" i="48"/>
  <c r="CQ935" i="48" s="1"/>
  <c r="CM471" i="48"/>
  <c r="CQ471" i="48" s="1"/>
  <c r="CM522" i="48"/>
  <c r="CQ522" i="48" s="1"/>
  <c r="CM506" i="48"/>
  <c r="CQ506" i="48" s="1"/>
  <c r="CM1199" i="48"/>
  <c r="CQ1199" i="48" s="1"/>
  <c r="CM574" i="48"/>
  <c r="CQ574" i="48" s="1"/>
  <c r="CM900" i="48"/>
  <c r="CQ900" i="48" s="1"/>
  <c r="CM1270" i="48"/>
  <c r="CQ1270" i="48" s="1"/>
  <c r="CZ1270" i="48" s="1"/>
  <c r="CM586" i="48"/>
  <c r="CQ586" i="48" s="1"/>
  <c r="CM293" i="48"/>
  <c r="CQ293" i="48" s="1"/>
  <c r="CM845" i="48"/>
  <c r="CQ845" i="48" s="1"/>
  <c r="CM535" i="48"/>
  <c r="CQ535" i="48" s="1"/>
  <c r="CM775" i="48"/>
  <c r="CQ775" i="48" s="1"/>
  <c r="CM866" i="48"/>
  <c r="CQ866" i="48" s="1"/>
  <c r="CM1213" i="48"/>
  <c r="CQ1213" i="48" s="1"/>
  <c r="CZ1213" i="48" s="1"/>
  <c r="CM436" i="48"/>
  <c r="CQ436" i="48" s="1"/>
  <c r="CM417" i="48"/>
  <c r="CQ417" i="48" s="1"/>
  <c r="CZ417" i="48" s="1"/>
  <c r="W417" i="48" s="1"/>
  <c r="CM424" i="48"/>
  <c r="CQ424" i="48" s="1"/>
  <c r="CZ424" i="48" s="1"/>
  <c r="CM442" i="48"/>
  <c r="CQ442" i="48" s="1"/>
  <c r="CM799" i="48"/>
  <c r="CQ799" i="48" s="1"/>
  <c r="CM1171" i="48"/>
  <c r="CQ1171" i="48" s="1"/>
  <c r="CM925" i="48"/>
  <c r="CQ925" i="48" s="1"/>
  <c r="CM1100" i="48"/>
  <c r="CQ1100" i="48" s="1"/>
  <c r="CZ1100" i="48" s="1"/>
  <c r="CM341" i="48"/>
  <c r="CQ341" i="48" s="1"/>
  <c r="CM590" i="48"/>
  <c r="CQ590" i="48" s="1"/>
  <c r="CM757" i="48"/>
  <c r="CQ757" i="48" s="1"/>
  <c r="CM308" i="48"/>
  <c r="CQ308" i="48" s="1"/>
  <c r="CM685" i="48"/>
  <c r="CQ685" i="48" s="1"/>
  <c r="CM924" i="48"/>
  <c r="CQ924" i="48" s="1"/>
  <c r="CM1119" i="48"/>
  <c r="CQ1119" i="48" s="1"/>
  <c r="CM966" i="48"/>
  <c r="CQ966" i="48" s="1"/>
  <c r="CM619" i="48"/>
  <c r="CQ619" i="48" s="1"/>
  <c r="CM986" i="48"/>
  <c r="CQ986" i="48" s="1"/>
  <c r="CM1031" i="48"/>
  <c r="CQ1031" i="48" s="1"/>
  <c r="CM1284" i="48"/>
  <c r="CQ1284" i="48" s="1"/>
  <c r="CZ1284" i="48" s="1"/>
  <c r="CM1245" i="48"/>
  <c r="CQ1245" i="48" s="1"/>
  <c r="CZ1245" i="48" s="1"/>
  <c r="CM1340" i="48"/>
  <c r="CQ1340" i="48" s="1"/>
  <c r="CZ1340" i="48" s="1"/>
  <c r="CM1084" i="48"/>
  <c r="CQ1084" i="48" s="1"/>
  <c r="CM395" i="48"/>
  <c r="CQ395" i="48" s="1"/>
  <c r="CM735" i="48"/>
  <c r="CQ735" i="48" s="1"/>
  <c r="CM637" i="48"/>
  <c r="CQ637" i="48" s="1"/>
  <c r="CM1021" i="48"/>
  <c r="CQ1021" i="48" s="1"/>
  <c r="CM492" i="48"/>
  <c r="CQ492" i="48" s="1"/>
  <c r="CM717" i="48"/>
  <c r="CQ717" i="48" s="1"/>
  <c r="CM375" i="48"/>
  <c r="CQ375" i="48" s="1"/>
  <c r="CM462" i="48"/>
  <c r="CQ462" i="48" s="1"/>
  <c r="CM339" i="48"/>
  <c r="CQ339" i="48" s="1"/>
  <c r="CM520" i="48"/>
  <c r="CQ520" i="48" s="1"/>
  <c r="CM1192" i="48"/>
  <c r="CQ1192" i="48" s="1"/>
  <c r="CM560" i="48"/>
  <c r="CQ560" i="48" s="1"/>
  <c r="CM886" i="48"/>
  <c r="CQ886" i="48" s="1"/>
  <c r="CM1275" i="48"/>
  <c r="CQ1275" i="48" s="1"/>
  <c r="CZ1275" i="48" s="1"/>
  <c r="CM1273" i="48"/>
  <c r="CQ1273" i="48" s="1"/>
  <c r="CZ1273" i="48" s="1"/>
  <c r="CM588" i="48"/>
  <c r="CQ588" i="48" s="1"/>
  <c r="CM295" i="48"/>
  <c r="CQ295" i="48" s="1"/>
  <c r="CM357" i="48"/>
  <c r="CQ357" i="48" s="1"/>
  <c r="CM1318" i="48"/>
  <c r="CQ1318" i="48" s="1"/>
  <c r="CZ1318" i="48" s="1"/>
  <c r="DB1318" i="48" s="1"/>
  <c r="CM548" i="48"/>
  <c r="CQ548" i="48" s="1"/>
  <c r="CM767" i="48"/>
  <c r="CQ767" i="48" s="1"/>
  <c r="CM869" i="48"/>
  <c r="CQ869" i="48" s="1"/>
  <c r="CM1138" i="48"/>
  <c r="CQ1138" i="48" s="1"/>
  <c r="CM1067" i="48"/>
  <c r="CQ1067" i="48" s="1"/>
  <c r="CM787" i="48"/>
  <c r="CQ787" i="48" s="1"/>
  <c r="CM1158" i="48"/>
  <c r="CQ1158" i="48" s="1"/>
  <c r="CM1292" i="48"/>
  <c r="CQ1292" i="48" s="1"/>
  <c r="CZ1292" i="48" s="1"/>
  <c r="CM533" i="48"/>
  <c r="CQ533" i="48" s="1"/>
  <c r="CM912" i="48"/>
  <c r="CQ912" i="48" s="1"/>
  <c r="CM1117" i="48"/>
  <c r="CQ1117" i="48" s="1"/>
  <c r="CM964" i="48"/>
  <c r="CQ964" i="48" s="1"/>
  <c r="CM617" i="48"/>
  <c r="CQ617" i="48" s="1"/>
  <c r="CM435" i="48"/>
  <c r="CQ435" i="48" s="1"/>
  <c r="CM1032" i="48"/>
  <c r="CQ1032" i="48" s="1"/>
  <c r="CM1291" i="48"/>
  <c r="CQ1291" i="48" s="1"/>
  <c r="CZ1291" i="48" s="1"/>
  <c r="DB1291" i="48" s="1"/>
  <c r="CM1349" i="48"/>
  <c r="CQ1349" i="48" s="1"/>
  <c r="CZ1349" i="48" s="1"/>
  <c r="CM747" i="48"/>
  <c r="CQ747" i="48" s="1"/>
  <c r="CM447" i="48"/>
  <c r="CQ447" i="48" s="1"/>
  <c r="CM1010" i="48"/>
  <c r="CQ1010" i="48" s="1"/>
  <c r="CM485" i="48"/>
  <c r="CQ485" i="48" s="1"/>
  <c r="CM722" i="48"/>
  <c r="CQ722" i="48" s="1"/>
  <c r="CM469" i="48"/>
  <c r="CQ469" i="48" s="1"/>
  <c r="CM349" i="48"/>
  <c r="CQ349" i="48" s="1"/>
  <c r="CM514" i="48"/>
  <c r="CQ514" i="48" s="1"/>
  <c r="CM1188" i="48"/>
  <c r="CQ1188" i="48" s="1"/>
  <c r="CM884" i="48"/>
  <c r="CQ884" i="48" s="1"/>
  <c r="CM290" i="48"/>
  <c r="CQ290" i="48" s="1"/>
  <c r="CM1314" i="48"/>
  <c r="CQ1314" i="48" s="1"/>
  <c r="CZ1314" i="48" s="1"/>
  <c r="CM541" i="48"/>
  <c r="CQ541" i="48" s="1"/>
  <c r="CM765" i="48"/>
  <c r="CQ765" i="48" s="1"/>
  <c r="CM867" i="48"/>
  <c r="CQ867" i="48" s="1"/>
  <c r="CM1211" i="48"/>
  <c r="CQ1211" i="48" s="1"/>
  <c r="CZ1211" i="48" s="1"/>
  <c r="CM1345" i="48"/>
  <c r="CQ1345" i="48" s="1"/>
  <c r="CZ1345" i="48" s="1"/>
  <c r="CM818" i="48"/>
  <c r="CQ818" i="48" s="1"/>
  <c r="CM410" i="48"/>
  <c r="CQ410" i="48" s="1"/>
  <c r="CZ410" i="48" s="1"/>
  <c r="CM1064" i="48"/>
  <c r="CQ1064" i="48" s="1"/>
  <c r="CM1057" i="48"/>
  <c r="CQ1057" i="48" s="1"/>
  <c r="CM785" i="48"/>
  <c r="CQ785" i="48" s="1"/>
  <c r="CM1164" i="48"/>
  <c r="CQ1164" i="48" s="1"/>
  <c r="CM956" i="48"/>
  <c r="CQ956" i="48" s="1"/>
  <c r="CM649" i="48"/>
  <c r="CQ649" i="48" s="1"/>
  <c r="CM1274" i="48"/>
  <c r="CQ1274" i="48" s="1"/>
  <c r="CZ1274" i="48" s="1"/>
  <c r="CM412" i="48"/>
  <c r="CQ412" i="48" s="1"/>
  <c r="CZ412" i="48" s="1"/>
  <c r="W412" i="48" s="1"/>
  <c r="CM973" i="48"/>
  <c r="CQ973" i="48" s="1"/>
  <c r="CM1231" i="48"/>
  <c r="CQ1231" i="48" s="1"/>
  <c r="CZ1231" i="48" s="1"/>
  <c r="CM1015" i="48"/>
  <c r="CQ1015" i="48" s="1"/>
  <c r="CM839" i="48"/>
  <c r="CQ839" i="48" s="1"/>
  <c r="CM1216" i="48"/>
  <c r="CQ1216" i="48" s="1"/>
  <c r="CZ1216" i="48" s="1"/>
  <c r="CM817" i="48"/>
  <c r="CQ817" i="48" s="1"/>
  <c r="CM420" i="48"/>
  <c r="CQ420" i="48" s="1"/>
  <c r="CZ420" i="48" s="1"/>
  <c r="CM947" i="48"/>
  <c r="CQ947" i="48" s="1"/>
  <c r="CM1167" i="48"/>
  <c r="CQ1167" i="48" s="1"/>
  <c r="CM1044" i="48"/>
  <c r="CQ1044" i="48" s="1"/>
  <c r="CM847" i="48"/>
  <c r="CQ847" i="48" s="1"/>
  <c r="CM733" i="48"/>
  <c r="CQ733" i="48" s="1"/>
  <c r="CM558" i="48"/>
  <c r="CQ558" i="48" s="1"/>
  <c r="CM581" i="48"/>
  <c r="CQ581" i="48" s="1"/>
  <c r="CM772" i="48"/>
  <c r="CQ772" i="48" s="1"/>
  <c r="CM1170" i="48"/>
  <c r="CQ1170" i="48" s="1"/>
  <c r="CM689" i="48"/>
  <c r="CQ689" i="48" s="1"/>
  <c r="CM368" i="48"/>
  <c r="CQ368" i="48" s="1"/>
  <c r="CM1083" i="48"/>
  <c r="CQ1083" i="48" s="1"/>
  <c r="CM1272" i="48"/>
  <c r="CQ1272" i="48" s="1"/>
  <c r="CZ1272" i="48" s="1"/>
  <c r="CM312" i="48"/>
  <c r="CQ312" i="48" s="1"/>
  <c r="CM1050" i="48"/>
  <c r="CQ1050" i="48" s="1"/>
  <c r="CM356" i="48"/>
  <c r="CQ356" i="48" s="1"/>
  <c r="CM1334" i="48"/>
  <c r="CQ1334" i="48" s="1"/>
  <c r="CZ1334" i="48" s="1"/>
  <c r="DB1334" i="48" s="1"/>
  <c r="CM994" i="48"/>
  <c r="CQ994" i="48" s="1"/>
  <c r="CM1115" i="48"/>
  <c r="CQ1115" i="48" s="1"/>
  <c r="CM1109" i="48"/>
  <c r="CQ1109" i="48" s="1"/>
  <c r="CM1091" i="48"/>
  <c r="CQ1091" i="48" s="1"/>
  <c r="CM1023" i="48"/>
  <c r="CQ1023" i="48" s="1"/>
  <c r="CM564" i="48"/>
  <c r="CQ564" i="48" s="1"/>
  <c r="CM531" i="48"/>
  <c r="CQ531" i="48" s="1"/>
  <c r="CM320" i="48"/>
  <c r="CQ320" i="48" s="1"/>
  <c r="CM1114" i="48"/>
  <c r="CQ1114" i="48" s="1"/>
  <c r="CM1289" i="48"/>
  <c r="CQ1289" i="48" s="1"/>
  <c r="CZ1289" i="48" s="1"/>
  <c r="CM1088" i="48"/>
  <c r="CQ1088" i="48" s="1"/>
  <c r="CM709" i="48"/>
  <c r="CQ709" i="48" s="1"/>
  <c r="CM887" i="48"/>
  <c r="CQ887" i="48" s="1"/>
  <c r="CM543" i="48"/>
  <c r="CQ543" i="48" s="1"/>
  <c r="CM1212" i="48"/>
  <c r="CQ1212" i="48" s="1"/>
  <c r="CZ1212" i="48" s="1"/>
  <c r="CM800" i="48"/>
  <c r="CQ800" i="48" s="1"/>
  <c r="CM1315" i="48"/>
  <c r="CQ1315" i="48" s="1"/>
  <c r="CZ1315" i="48" s="1"/>
  <c r="DB1315" i="48" s="1"/>
  <c r="CM597" i="48"/>
  <c r="CQ597" i="48" s="1"/>
  <c r="CM882" i="48"/>
  <c r="CQ882" i="48" s="1"/>
  <c r="CM871" i="48"/>
  <c r="CQ871" i="48" s="1"/>
  <c r="CM1059" i="48"/>
  <c r="CQ1059" i="48" s="1"/>
  <c r="CM714" i="48"/>
  <c r="CQ714" i="48" s="1"/>
  <c r="CM1185" i="48"/>
  <c r="CQ1185" i="48" s="1"/>
  <c r="CM623" i="48"/>
  <c r="CQ623" i="48" s="1"/>
  <c r="CM781" i="48"/>
  <c r="CQ781" i="48" s="1"/>
  <c r="CM989" i="48"/>
  <c r="CQ989" i="48" s="1"/>
  <c r="CM996" i="48"/>
  <c r="CQ996" i="48" s="1"/>
  <c r="CM313" i="48"/>
  <c r="CQ313" i="48" s="1"/>
  <c r="CM1011" i="48"/>
  <c r="CQ1011" i="48" s="1"/>
  <c r="CM68" i="48"/>
  <c r="CQ68" i="48" s="1"/>
  <c r="CM1238" i="48"/>
  <c r="CQ1238" i="48" s="1"/>
  <c r="CZ1238" i="48" s="1"/>
  <c r="CM987" i="48"/>
  <c r="CQ987" i="48" s="1"/>
  <c r="CM634" i="48"/>
  <c r="CQ634" i="48" s="1"/>
  <c r="CM932" i="48"/>
  <c r="CQ932" i="48" s="1"/>
  <c r="CM510" i="48"/>
  <c r="CQ510" i="48" s="1"/>
  <c r="CM1264" i="48"/>
  <c r="CQ1264" i="48" s="1"/>
  <c r="CZ1264" i="48" s="1"/>
  <c r="CM1310" i="48"/>
  <c r="CQ1310" i="48" s="1"/>
  <c r="CZ1310" i="48" s="1"/>
  <c r="CM1134" i="48"/>
  <c r="CQ1134" i="48" s="1"/>
  <c r="CM838" i="48"/>
  <c r="CQ838" i="48" s="1"/>
  <c r="CM1020" i="48"/>
  <c r="CQ1020" i="48" s="1"/>
  <c r="CM897" i="48"/>
  <c r="CQ897" i="48" s="1"/>
  <c r="CM919" i="48"/>
  <c r="CQ919" i="48" s="1"/>
  <c r="CM693" i="48"/>
  <c r="CQ693" i="48" s="1"/>
  <c r="CM960" i="48"/>
  <c r="CQ960" i="48" s="1"/>
  <c r="CM98" i="48"/>
  <c r="CQ98" i="48" s="1"/>
  <c r="CM1236" i="48"/>
  <c r="CQ1236" i="48" s="1"/>
  <c r="CZ1236" i="48" s="1"/>
  <c r="DB1236" i="48" s="1"/>
  <c r="CM1094" i="48"/>
  <c r="CQ1094" i="48" s="1"/>
  <c r="CM741" i="48"/>
  <c r="CQ741" i="48" s="1"/>
  <c r="CM484" i="48"/>
  <c r="CQ484" i="48" s="1"/>
  <c r="CM443" i="48"/>
  <c r="CQ443" i="48" s="1"/>
  <c r="CM1189" i="48"/>
  <c r="CQ1189" i="48" s="1"/>
  <c r="CM883" i="48"/>
  <c r="CQ883" i="48" s="1"/>
  <c r="CM1263" i="48"/>
  <c r="CQ1263" i="48" s="1"/>
  <c r="CZ1263" i="48" s="1"/>
  <c r="CM286" i="48"/>
  <c r="CQ286" i="48" s="1"/>
  <c r="CM931" i="48"/>
  <c r="CQ931" i="48" s="1"/>
  <c r="CM136" i="48"/>
  <c r="CQ136" i="48" s="1"/>
  <c r="CZ136" i="48" s="1"/>
  <c r="CM764" i="48"/>
  <c r="CQ764" i="48" s="1"/>
  <c r="CM1207" i="48"/>
  <c r="CQ1207" i="48" s="1"/>
  <c r="CZ1207" i="48" s="1"/>
  <c r="CM942" i="48"/>
  <c r="CQ942" i="48" s="1"/>
  <c r="CM408" i="48"/>
  <c r="CQ408" i="48" s="1"/>
  <c r="CZ408" i="48" s="1"/>
  <c r="CM110" i="48"/>
  <c r="CQ110" i="48" s="1"/>
  <c r="CM795" i="48"/>
  <c r="CQ795" i="48" s="1"/>
  <c r="CM438" i="48"/>
  <c r="CQ438" i="48" s="1"/>
  <c r="CM647" i="48"/>
  <c r="CQ647" i="48" s="1"/>
  <c r="CM995" i="48"/>
  <c r="CQ995" i="48" s="1"/>
  <c r="CM686" i="48"/>
  <c r="CQ686" i="48" s="1"/>
  <c r="CM334" i="48"/>
  <c r="CQ334" i="48" s="1"/>
  <c r="CM362" i="48"/>
  <c r="CQ362" i="48" s="1"/>
  <c r="CM642" i="48"/>
  <c r="CQ642" i="48" s="1"/>
  <c r="CM1191" i="48"/>
  <c r="CQ1191" i="48" s="1"/>
  <c r="CM561" i="48"/>
  <c r="CQ561" i="48" s="1"/>
  <c r="CM766" i="48"/>
  <c r="CQ766" i="48" s="1"/>
  <c r="CM843" i="48"/>
  <c r="CQ843" i="48" s="1"/>
  <c r="CM786" i="48"/>
  <c r="CQ786" i="48" s="1"/>
  <c r="CM826" i="48"/>
  <c r="CQ826" i="48" s="1"/>
  <c r="CZ826" i="48" s="1"/>
  <c r="DB827" i="48" s="1"/>
  <c r="CM651" i="48"/>
  <c r="CQ651" i="48" s="1"/>
  <c r="CM476" i="48"/>
  <c r="CQ476" i="48" s="1"/>
  <c r="CM601" i="48"/>
  <c r="CQ601" i="48" s="1"/>
  <c r="CZ601" i="48" s="1"/>
  <c r="W601" i="48" s="1"/>
  <c r="CM101" i="48"/>
  <c r="CQ101" i="48" s="1"/>
  <c r="CM626" i="48"/>
  <c r="CQ626" i="48" s="1"/>
  <c r="CZ626" i="48" s="1"/>
  <c r="W626" i="48" s="1"/>
  <c r="CM326" i="48"/>
  <c r="CQ326" i="48" s="1"/>
  <c r="CM19" i="48"/>
  <c r="CQ19" i="48" s="1"/>
  <c r="CZ19" i="48" s="1"/>
  <c r="W19" i="48" s="1"/>
  <c r="CM45" i="48"/>
  <c r="CQ45" i="48" s="1"/>
  <c r="CM74" i="48"/>
  <c r="CQ74" i="48" s="1"/>
  <c r="CM209" i="48"/>
  <c r="CQ209" i="48" s="1"/>
  <c r="CM244" i="48"/>
  <c r="CQ244" i="48" s="1"/>
  <c r="CM143" i="48"/>
  <c r="CQ143" i="48" s="1"/>
  <c r="CZ143" i="48" s="1"/>
  <c r="CM100" i="48"/>
  <c r="CQ100" i="48" s="1"/>
  <c r="CM166" i="48"/>
  <c r="CQ166" i="48" s="1"/>
  <c r="CM236" i="48"/>
  <c r="CQ236" i="48" s="1"/>
  <c r="CM167" i="48"/>
  <c r="CQ167" i="48" s="1"/>
  <c r="CM93" i="48"/>
  <c r="CQ93" i="48" s="1"/>
  <c r="CM231" i="48"/>
  <c r="CQ231" i="48" s="1"/>
  <c r="CM188" i="48"/>
  <c r="CQ188" i="48" s="1"/>
  <c r="CM174" i="48"/>
  <c r="CQ174" i="48" s="1"/>
  <c r="CM692" i="48"/>
  <c r="CQ692" i="48" s="1"/>
  <c r="CM615" i="48"/>
  <c r="CQ615" i="48" s="1"/>
  <c r="CM1035" i="48"/>
  <c r="CQ1035" i="48" s="1"/>
  <c r="CM745" i="48"/>
  <c r="CQ745" i="48" s="1"/>
  <c r="CM500" i="48"/>
  <c r="CQ500" i="48" s="1"/>
  <c r="CM470" i="48"/>
  <c r="CQ470" i="48" s="1"/>
  <c r="CM891" i="48"/>
  <c r="CQ891" i="48" s="1"/>
  <c r="CM300" i="48"/>
  <c r="CQ300" i="48" s="1"/>
  <c r="CM858" i="48"/>
  <c r="CQ858" i="48" s="1"/>
  <c r="CM824" i="48"/>
  <c r="CQ824" i="48" s="1"/>
  <c r="CM432" i="48"/>
  <c r="CQ432" i="48" s="1"/>
  <c r="CM683" i="48"/>
  <c r="CQ683" i="48" s="1"/>
  <c r="CM1343" i="48"/>
  <c r="CQ1343" i="48" s="1"/>
  <c r="CZ1343" i="48" s="1"/>
  <c r="CM1242" i="48"/>
  <c r="CQ1242" i="48" s="1"/>
  <c r="CZ1242" i="48" s="1"/>
  <c r="CM383" i="48"/>
  <c r="CQ383" i="48" s="1"/>
  <c r="CM643" i="48"/>
  <c r="CQ643" i="48" s="1"/>
  <c r="CM450" i="48"/>
  <c r="CQ450" i="48" s="1"/>
  <c r="CM518" i="48"/>
  <c r="CQ518" i="48" s="1"/>
  <c r="CM1266" i="48"/>
  <c r="CQ1266" i="48" s="1"/>
  <c r="CZ1266" i="48" s="1"/>
  <c r="CM1313" i="48"/>
  <c r="CQ1313" i="48" s="1"/>
  <c r="CZ1313" i="48" s="1"/>
  <c r="CM1166" i="48"/>
  <c r="CQ1166" i="48" s="1"/>
  <c r="CM831" i="48"/>
  <c r="CQ831" i="48" s="1"/>
  <c r="CM608" i="48"/>
  <c r="CQ608" i="48" s="1"/>
  <c r="CM1239" i="48"/>
  <c r="CQ1239" i="48" s="1"/>
  <c r="CZ1239" i="48" s="1"/>
  <c r="DB1239" i="48" s="1"/>
  <c r="CM738" i="48"/>
  <c r="CQ738" i="48" s="1"/>
  <c r="CM713" i="48"/>
  <c r="CQ713" i="48" s="1"/>
  <c r="CM344" i="48"/>
  <c r="CQ344" i="48" s="1"/>
  <c r="CM592" i="48"/>
  <c r="CQ592" i="48" s="1"/>
  <c r="CM759" i="48"/>
  <c r="CQ759" i="48" s="1"/>
  <c r="CM862" i="48"/>
  <c r="CQ862" i="48" s="1"/>
  <c r="CM411" i="48"/>
  <c r="CQ411" i="48" s="1"/>
  <c r="CZ411" i="48" s="1"/>
  <c r="W411" i="48" s="1"/>
  <c r="CM945" i="48"/>
  <c r="CQ945" i="48" s="1"/>
  <c r="CM483" i="48"/>
  <c r="CQ483" i="48" s="1"/>
  <c r="CM1040" i="48"/>
  <c r="CQ1040" i="48" s="1"/>
  <c r="CM769" i="48"/>
  <c r="CQ769" i="48" s="1"/>
  <c r="CM1069" i="48"/>
  <c r="CQ1069" i="48" s="1"/>
  <c r="CM1234" i="48"/>
  <c r="CQ1234" i="48" s="1"/>
  <c r="CZ1234" i="48" s="1"/>
  <c r="CM890" i="48"/>
  <c r="CQ890" i="48" s="1"/>
  <c r="CM682" i="48"/>
  <c r="CQ682" i="48" s="1"/>
  <c r="CM1008" i="48"/>
  <c r="CQ1008" i="48" s="1"/>
  <c r="CM448" i="48"/>
  <c r="CQ448" i="48" s="1"/>
  <c r="CM1075" i="48"/>
  <c r="CQ1075" i="48" s="1"/>
  <c r="CM742" i="48"/>
  <c r="CQ742" i="48" s="1"/>
  <c r="CM433" i="48"/>
  <c r="CQ433" i="48" s="1"/>
  <c r="CM1285" i="48"/>
  <c r="CQ1285" i="48" s="1"/>
  <c r="CZ1285" i="48" s="1"/>
  <c r="CM739" i="48"/>
  <c r="CQ739" i="48" s="1"/>
  <c r="CM567" i="48"/>
  <c r="CQ567" i="48" s="1"/>
  <c r="CM790" i="48"/>
  <c r="CQ790" i="48" s="1"/>
  <c r="CM918" i="48"/>
  <c r="CQ918" i="48" s="1"/>
  <c r="CM633" i="48"/>
  <c r="CQ633" i="48" s="1"/>
  <c r="CM841" i="48"/>
  <c r="CQ841" i="48" s="1"/>
  <c r="CM224" i="48"/>
  <c r="CQ224" i="48" s="1"/>
  <c r="CM489" i="48"/>
  <c r="CQ489" i="48" s="1"/>
  <c r="CM122" i="48"/>
  <c r="CQ122" i="48" s="1"/>
  <c r="CM1160" i="48"/>
  <c r="CQ1160" i="48" s="1"/>
  <c r="CM1283" i="48"/>
  <c r="CQ1283" i="48" s="1"/>
  <c r="CZ1283" i="48" s="1"/>
  <c r="DB1283" i="48" s="1"/>
  <c r="CM1048" i="48"/>
  <c r="CQ1048" i="48" s="1"/>
  <c r="CM446" i="48"/>
  <c r="CQ446" i="48" s="1"/>
  <c r="CM556" i="48"/>
  <c r="CQ556" i="48" s="1"/>
  <c r="CM1341" i="48"/>
  <c r="CQ1341" i="48" s="1"/>
  <c r="CZ1341" i="48" s="1"/>
  <c r="CM1143" i="48"/>
  <c r="CQ1143" i="48" s="1"/>
  <c r="CM832" i="48"/>
  <c r="CQ832" i="48" s="1"/>
  <c r="CM1181" i="48"/>
  <c r="CQ1181" i="48" s="1"/>
  <c r="CM72" i="48"/>
  <c r="CQ72" i="48" s="1"/>
  <c r="CM985" i="48"/>
  <c r="CQ985" i="48" s="1"/>
  <c r="CM868" i="48"/>
  <c r="CQ868" i="48" s="1"/>
  <c r="CM26" i="48"/>
  <c r="CM1326" i="48"/>
  <c r="CQ1326" i="48" s="1"/>
  <c r="CM526" i="48"/>
  <c r="CQ526" i="48" s="1"/>
  <c r="CM1051" i="48"/>
  <c r="CQ1051" i="48" s="1"/>
  <c r="CM17" i="48"/>
  <c r="CQ17" i="48" s="1"/>
  <c r="CZ17" i="48" s="1"/>
  <c r="W17" i="48" s="1"/>
  <c r="CM13" i="48"/>
  <c r="CQ13" i="48" s="1"/>
  <c r="CZ13" i="48" s="1"/>
  <c r="W13" i="48" s="1"/>
  <c r="CM8" i="48"/>
  <c r="CQ8" i="48" s="1"/>
  <c r="CZ8" i="48" s="1"/>
  <c r="W8" i="48" s="1"/>
  <c r="CM7" i="48"/>
  <c r="CQ7" i="48" s="1"/>
  <c r="CZ7" i="48" s="1"/>
  <c r="W7" i="48" s="1"/>
  <c r="CM35" i="48"/>
  <c r="CQ35" i="48" s="1"/>
  <c r="CM38" i="48"/>
  <c r="CQ38" i="48" s="1"/>
  <c r="CM47" i="48"/>
  <c r="CQ47" i="48" s="1"/>
  <c r="CM41" i="48"/>
  <c r="CQ41" i="48" s="1"/>
  <c r="CM39" i="48"/>
  <c r="CQ39" i="48" s="1"/>
  <c r="CM36" i="48"/>
  <c r="CQ36" i="48" s="1"/>
  <c r="CM256" i="48"/>
  <c r="CQ256" i="48" s="1"/>
  <c r="CM270" i="48"/>
  <c r="CQ270" i="48" s="1"/>
  <c r="CM275" i="48"/>
  <c r="CQ275" i="48" s="1"/>
  <c r="CM60" i="48"/>
  <c r="CQ60" i="48" s="1"/>
  <c r="CM99" i="48"/>
  <c r="CQ99" i="48" s="1"/>
  <c r="CM88" i="48"/>
  <c r="CQ88" i="48" s="1"/>
  <c r="CM208" i="48"/>
  <c r="CQ208" i="48" s="1"/>
  <c r="CM165" i="48"/>
  <c r="CQ165" i="48" s="1"/>
  <c r="CM147" i="48"/>
  <c r="CQ147" i="48" s="1"/>
  <c r="CZ147" i="48" s="1"/>
  <c r="W147" i="48" s="1"/>
  <c r="CM241" i="48"/>
  <c r="CQ241" i="48" s="1"/>
  <c r="CM194" i="48"/>
  <c r="CQ194" i="48" s="1"/>
  <c r="CM189" i="48"/>
  <c r="CQ189" i="48" s="1"/>
  <c r="CM248" i="48"/>
  <c r="CQ248" i="48" s="1"/>
  <c r="CM75" i="48"/>
  <c r="CQ75" i="48" s="1"/>
  <c r="CM97" i="48"/>
  <c r="CQ97" i="48" s="1"/>
  <c r="CM83" i="48"/>
  <c r="CQ83" i="48" s="1"/>
  <c r="CM212" i="48"/>
  <c r="CQ212" i="48" s="1"/>
  <c r="CM163" i="48"/>
  <c r="CQ163" i="48" s="1"/>
  <c r="CM141" i="48"/>
  <c r="CQ141" i="48" s="1"/>
  <c r="CZ141" i="48" s="1"/>
  <c r="W141" i="48" s="1"/>
  <c r="CM246" i="48"/>
  <c r="CQ246" i="48" s="1"/>
  <c r="CM197" i="48"/>
  <c r="CQ197" i="48" s="1"/>
  <c r="CM269" i="48"/>
  <c r="CQ269" i="48" s="1"/>
  <c r="CM250" i="48"/>
  <c r="CQ250" i="48" s="1"/>
  <c r="CM71" i="48"/>
  <c r="CQ71" i="48" s="1"/>
  <c r="CM95" i="48"/>
  <c r="CQ95" i="48" s="1"/>
  <c r="CM118" i="48"/>
  <c r="CQ118" i="48" s="1"/>
  <c r="CM156" i="48"/>
  <c r="CQ156" i="48" s="1"/>
  <c r="CM70" i="48"/>
  <c r="CQ70" i="48" s="1"/>
  <c r="CM87" i="48"/>
  <c r="CQ87" i="48" s="1"/>
  <c r="CM214" i="48"/>
  <c r="CQ214" i="48" s="1"/>
  <c r="CM168" i="48"/>
  <c r="CQ168" i="48" s="1"/>
  <c r="CM139" i="48"/>
  <c r="CQ139" i="48" s="1"/>
  <c r="CZ139" i="48" s="1"/>
  <c r="CM187" i="48"/>
  <c r="CQ187" i="48" s="1"/>
  <c r="CM164" i="48"/>
  <c r="CQ164" i="48" s="1"/>
  <c r="CM158" i="48"/>
  <c r="CQ158" i="48" s="1"/>
  <c r="CM195" i="48"/>
  <c r="CQ195" i="48" s="1"/>
  <c r="CM96" i="48"/>
  <c r="CQ96" i="48" s="1"/>
  <c r="CM239" i="48"/>
  <c r="CQ239" i="48" s="1"/>
  <c r="CM267" i="48"/>
  <c r="CQ267" i="48" s="1"/>
  <c r="CM107" i="48"/>
  <c r="CQ107" i="48" s="1"/>
  <c r="CM219" i="48"/>
  <c r="CQ219" i="48" s="1"/>
  <c r="CM981" i="48"/>
  <c r="CQ981" i="48" s="1"/>
  <c r="CM311" i="48"/>
  <c r="CQ311" i="48" s="1"/>
  <c r="CM687" i="48"/>
  <c r="CQ687" i="48" s="1"/>
  <c r="CM1106" i="48"/>
  <c r="CQ1106" i="48" s="1"/>
  <c r="CM971" i="48"/>
  <c r="CQ971" i="48" s="1"/>
  <c r="CM612" i="48"/>
  <c r="CQ612" i="48" s="1"/>
  <c r="CM992" i="48"/>
  <c r="CQ992" i="48" s="1"/>
  <c r="CM848" i="48"/>
  <c r="CQ848" i="48" s="1"/>
  <c r="CM1045" i="48"/>
  <c r="CQ1045" i="48" s="1"/>
  <c r="CM1286" i="48"/>
  <c r="CQ1286" i="48" s="1"/>
  <c r="CZ1286" i="48" s="1"/>
  <c r="CM1232" i="48"/>
  <c r="CQ1232" i="48" s="1"/>
  <c r="CZ1232" i="48" s="1"/>
  <c r="CM1131" i="48"/>
  <c r="CQ1131" i="48" s="1"/>
  <c r="CM1092" i="48"/>
  <c r="CQ1092" i="48" s="1"/>
  <c r="CM386" i="48"/>
  <c r="CQ386" i="48" s="1"/>
  <c r="CM734" i="48"/>
  <c r="CQ734" i="48" s="1"/>
  <c r="CM850" i="48"/>
  <c r="CQ850" i="48" s="1"/>
  <c r="CM1018" i="48"/>
  <c r="CQ1018" i="48" s="1"/>
  <c r="CM497" i="48"/>
  <c r="CQ497" i="48" s="1"/>
  <c r="CM710" i="48"/>
  <c r="CQ710" i="48" s="1"/>
  <c r="CM1133" i="48"/>
  <c r="CQ1133" i="48" s="1"/>
  <c r="CM467" i="48"/>
  <c r="CQ467" i="48" s="1"/>
  <c r="CM335" i="48"/>
  <c r="CQ335" i="48" s="1"/>
  <c r="CM517" i="48"/>
  <c r="CQ517" i="48" s="1"/>
  <c r="CM1182" i="48"/>
  <c r="CQ1182" i="48" s="1"/>
  <c r="CM559" i="48"/>
  <c r="CQ559" i="48" s="1"/>
  <c r="CM898" i="48"/>
  <c r="CQ898" i="48" s="1"/>
  <c r="CM1260" i="48"/>
  <c r="CQ1260" i="48" s="1"/>
  <c r="CZ1260" i="48" s="1"/>
  <c r="CM582" i="48"/>
  <c r="CQ582" i="48" s="1"/>
  <c r="CM289" i="48"/>
  <c r="CQ289" i="48" s="1"/>
  <c r="CM371" i="48"/>
  <c r="CQ371" i="48" s="1"/>
  <c r="CM948" i="48"/>
  <c r="CQ948" i="48" s="1"/>
  <c r="CM549" i="48"/>
  <c r="CQ549" i="48" s="1"/>
  <c r="CM763" i="48"/>
  <c r="CQ763" i="48" s="1"/>
  <c r="CM861" i="48"/>
  <c r="CQ861" i="48" s="1"/>
  <c r="CM1221" i="48"/>
  <c r="CQ1221" i="48" s="1"/>
  <c r="CZ1221" i="48" s="1"/>
  <c r="CM1206" i="48"/>
  <c r="CQ1206" i="48" s="1"/>
  <c r="CZ1206" i="48" s="1"/>
  <c r="CM822" i="48"/>
  <c r="CQ822" i="48" s="1"/>
  <c r="CM808" i="48"/>
  <c r="CQ808" i="48" s="1"/>
  <c r="CM1074" i="48"/>
  <c r="CQ1074" i="48" s="1"/>
  <c r="CM792" i="48"/>
  <c r="CQ792" i="48" s="1"/>
  <c r="CM1168" i="48"/>
  <c r="CQ1168" i="48" s="1"/>
  <c r="CM115" i="48"/>
  <c r="CQ115" i="48" s="1"/>
  <c r="CM437" i="48"/>
  <c r="CQ437" i="48" s="1"/>
  <c r="CM390" i="48"/>
  <c r="CQ390" i="48" s="1"/>
  <c r="CM282" i="48"/>
  <c r="CQ282" i="48" s="1"/>
  <c r="CM695" i="48"/>
  <c r="CQ695" i="48" s="1"/>
  <c r="CM690" i="48"/>
  <c r="CQ690" i="48" s="1"/>
  <c r="CM910" i="48"/>
  <c r="CQ910" i="48" s="1"/>
  <c r="CM1107" i="48"/>
  <c r="CQ1107" i="48" s="1"/>
  <c r="CM969" i="48"/>
  <c r="CQ969" i="48" s="1"/>
  <c r="CM607" i="48"/>
  <c r="CQ607" i="48" s="1"/>
  <c r="CM369" i="48"/>
  <c r="CQ369" i="48" s="1"/>
  <c r="CM1034" i="48"/>
  <c r="CQ1034" i="48" s="1"/>
  <c r="CM1298" i="48"/>
  <c r="CQ1298" i="48" s="1"/>
  <c r="CZ1298" i="48" s="1"/>
  <c r="CM1237" i="48"/>
  <c r="CQ1237" i="48" s="1"/>
  <c r="CZ1237" i="48" s="1"/>
  <c r="CM441" i="48"/>
  <c r="CQ441" i="48" s="1"/>
  <c r="CM1095" i="48"/>
  <c r="CQ1095" i="48" s="1"/>
  <c r="CM749" i="48"/>
  <c r="CQ749" i="48" s="1"/>
  <c r="CM746" i="48"/>
  <c r="CQ746" i="48" s="1"/>
  <c r="CM640" i="48"/>
  <c r="CQ640" i="48" s="1"/>
  <c r="CM1022" i="48"/>
  <c r="CQ1022" i="48" s="1"/>
  <c r="CM490" i="48"/>
  <c r="CQ490" i="48" s="1"/>
  <c r="CM721" i="48"/>
  <c r="CQ721" i="48" s="1"/>
  <c r="CM1142" i="48"/>
  <c r="CQ1142" i="48" s="1"/>
  <c r="CM465" i="48"/>
  <c r="CQ465" i="48" s="1"/>
  <c r="CM340" i="48"/>
  <c r="CQ340" i="48" s="1"/>
  <c r="CM523" i="48"/>
  <c r="CQ523" i="48" s="1"/>
  <c r="CM1196" i="48"/>
  <c r="CQ1196" i="48" s="1"/>
  <c r="CM563" i="48"/>
  <c r="CQ563" i="48" s="1"/>
  <c r="CM889" i="48"/>
  <c r="CQ889" i="48" s="1"/>
  <c r="CM1262" i="48"/>
  <c r="CQ1262" i="48" s="1"/>
  <c r="CZ1262" i="48" s="1"/>
  <c r="CM583" i="48"/>
  <c r="CQ583" i="48" s="1"/>
  <c r="CM285" i="48"/>
  <c r="CQ285" i="48" s="1"/>
  <c r="CM1146" i="48"/>
  <c r="CQ1146" i="48" s="1"/>
  <c r="CM1325" i="48"/>
  <c r="CQ1325" i="48" s="1"/>
  <c r="CZ1325" i="48" s="1"/>
  <c r="DB1325" i="48" s="1"/>
  <c r="CM546" i="48"/>
  <c r="CQ546" i="48" s="1"/>
  <c r="CM872" i="48"/>
  <c r="CQ872" i="48" s="1"/>
  <c r="CM415" i="48"/>
  <c r="CQ415" i="48" s="1"/>
  <c r="CZ415" i="48" s="1"/>
  <c r="W415" i="48" s="1"/>
  <c r="CM1060" i="48"/>
  <c r="CQ1060" i="48" s="1"/>
  <c r="CM793" i="48"/>
  <c r="CQ793" i="48" s="1"/>
  <c r="CM835" i="48"/>
  <c r="CQ835" i="48" s="1"/>
  <c r="CM1294" i="48"/>
  <c r="CQ1294" i="48" s="1"/>
  <c r="CZ1294" i="48" s="1"/>
  <c r="CM317" i="48"/>
  <c r="CQ317" i="48" s="1"/>
  <c r="CM915" i="48"/>
  <c r="CQ915" i="48" s="1"/>
  <c r="CM962" i="48"/>
  <c r="CQ962" i="48" s="1"/>
  <c r="CM950" i="48"/>
  <c r="CQ950" i="48" s="1"/>
  <c r="CM1288" i="48"/>
  <c r="CQ1288" i="48" s="1"/>
  <c r="CZ1288" i="48" s="1"/>
  <c r="DB1288" i="48" s="1"/>
  <c r="CM1099" i="48"/>
  <c r="CQ1099" i="48" s="1"/>
  <c r="CM398" i="48"/>
  <c r="CQ398" i="48" s="1"/>
  <c r="CM750" i="48"/>
  <c r="CQ750" i="48" s="1"/>
  <c r="CM934" i="48"/>
  <c r="CQ934" i="48" s="1"/>
  <c r="CM1016" i="48"/>
  <c r="CQ1016" i="48" s="1"/>
  <c r="CM488" i="48"/>
  <c r="CQ488" i="48" s="1"/>
  <c r="CM990" i="48"/>
  <c r="CQ990" i="48" s="1"/>
  <c r="CM457" i="48"/>
  <c r="CQ457" i="48" s="1"/>
  <c r="CM331" i="48"/>
  <c r="CQ331" i="48" s="1"/>
  <c r="CM512" i="48"/>
  <c r="CQ512" i="48" s="1"/>
  <c r="CM1186" i="48"/>
  <c r="CQ1186" i="48" s="1"/>
  <c r="CM572" i="48"/>
  <c r="CQ572" i="48" s="1"/>
  <c r="CM1268" i="48"/>
  <c r="CQ1268" i="48" s="1"/>
  <c r="CZ1268" i="48" s="1"/>
  <c r="CM598" i="48"/>
  <c r="CQ598" i="48" s="1"/>
  <c r="CM299" i="48"/>
  <c r="CQ299" i="48" s="1"/>
  <c r="CM1311" i="48"/>
  <c r="CQ1311" i="48" s="1"/>
  <c r="CZ1311" i="48" s="1"/>
  <c r="CM542" i="48"/>
  <c r="CQ542" i="48" s="1"/>
  <c r="CM771" i="48"/>
  <c r="CQ771" i="48" s="1"/>
  <c r="CM857" i="48"/>
  <c r="CQ857" i="48" s="1"/>
  <c r="CM1217" i="48"/>
  <c r="CQ1217" i="48" s="1"/>
  <c r="CZ1217" i="48" s="1"/>
  <c r="CM842" i="48"/>
  <c r="CQ842" i="48" s="1"/>
  <c r="CM811" i="48"/>
  <c r="CQ811" i="48" s="1"/>
  <c r="CM421" i="48"/>
  <c r="CQ421" i="48" s="1"/>
  <c r="CZ421" i="48" s="1"/>
  <c r="CM999" i="48"/>
  <c r="CQ999" i="48" s="1"/>
  <c r="CM791" i="48"/>
  <c r="CQ791" i="48" s="1"/>
  <c r="CM944" i="48"/>
  <c r="CQ944" i="48" s="1"/>
  <c r="CM959" i="48"/>
  <c r="CQ959" i="48" s="1"/>
  <c r="CM482" i="48"/>
  <c r="CQ482" i="48" s="1"/>
  <c r="CM1306" i="48"/>
  <c r="CQ1306" i="48" s="1"/>
  <c r="CZ1306" i="48" s="1"/>
  <c r="CM1156" i="48"/>
  <c r="CQ1156" i="48" s="1"/>
  <c r="CM613" i="48"/>
  <c r="CQ613" i="48" s="1"/>
  <c r="CM384" i="48"/>
  <c r="CQ384" i="48" s="1"/>
  <c r="CM468" i="48"/>
  <c r="CQ468" i="48" s="1"/>
  <c r="CM1323" i="48"/>
  <c r="CQ1323" i="48" s="1"/>
  <c r="CZ1323" i="48" s="1"/>
  <c r="CM1219" i="48"/>
  <c r="CQ1219" i="48" s="1"/>
  <c r="CZ1219" i="48" s="1"/>
  <c r="CM821" i="48"/>
  <c r="CQ821" i="48" s="1"/>
  <c r="CM416" i="48"/>
  <c r="CQ416" i="48" s="1"/>
  <c r="CZ416" i="48" s="1"/>
  <c r="CM798" i="48"/>
  <c r="CQ798" i="48" s="1"/>
  <c r="CM593" i="48"/>
  <c r="CQ593" i="48" s="1"/>
  <c r="CM1248" i="48"/>
  <c r="CQ1248" i="48" s="1"/>
  <c r="CZ1248" i="48" s="1"/>
  <c r="DB1248" i="48" s="1"/>
  <c r="CM1085" i="48"/>
  <c r="CQ1085" i="48" s="1"/>
  <c r="CM1017" i="48"/>
  <c r="CQ1017" i="48" s="1"/>
  <c r="CM896" i="48"/>
  <c r="CQ896" i="48" s="1"/>
  <c r="CM288" i="48"/>
  <c r="CQ288" i="48" s="1"/>
  <c r="CM1220" i="48"/>
  <c r="CQ1220" i="48" s="1"/>
  <c r="CZ1220" i="48" s="1"/>
  <c r="CM700" i="48"/>
  <c r="CQ700" i="48" s="1"/>
  <c r="CM1118" i="48"/>
  <c r="CQ1118" i="48" s="1"/>
  <c r="CM1297" i="48"/>
  <c r="CQ1297" i="48" s="1"/>
  <c r="CZ1297" i="48" s="1"/>
  <c r="CM638" i="48"/>
  <c r="CQ638" i="48" s="1"/>
  <c r="CM1265" i="48"/>
  <c r="CQ1265" i="48" s="1"/>
  <c r="CZ1265" i="48" s="1"/>
  <c r="CM1346" i="48"/>
  <c r="CQ1346" i="48" s="1"/>
  <c r="CZ1346" i="48" s="1"/>
  <c r="DB1346" i="48" s="1"/>
  <c r="CM1140" i="48"/>
  <c r="CQ1140" i="48" s="1"/>
  <c r="CM325" i="48"/>
  <c r="CQ325" i="48" s="1"/>
  <c r="CM475" i="48"/>
  <c r="CQ475" i="48" s="1"/>
  <c r="CM425" i="48"/>
  <c r="CQ425" i="48" s="1"/>
  <c r="CZ425" i="48" s="1"/>
  <c r="CM1135" i="48"/>
  <c r="CQ1135" i="48" s="1"/>
  <c r="CM611" i="48"/>
  <c r="CQ611" i="48" s="1"/>
  <c r="CM1097" i="48"/>
  <c r="CQ1097" i="48" s="1"/>
  <c r="CM1019" i="48"/>
  <c r="CQ1019" i="48" s="1"/>
  <c r="CM573" i="48"/>
  <c r="CQ573" i="48" s="1"/>
  <c r="CM807" i="48"/>
  <c r="CQ807" i="48" s="1"/>
  <c r="CM1347" i="48"/>
  <c r="CQ1347" i="48" s="1"/>
  <c r="CZ1347" i="48" s="1"/>
  <c r="CM1123" i="48"/>
  <c r="CQ1123" i="48" s="1"/>
  <c r="CM1295" i="48"/>
  <c r="CQ1295" i="48" s="1"/>
  <c r="CZ1295" i="48" s="1"/>
  <c r="CM391" i="48"/>
  <c r="CQ391" i="48" s="1"/>
  <c r="CM472" i="48"/>
  <c r="CQ472" i="48" s="1"/>
  <c r="CM292" i="48"/>
  <c r="CQ292" i="48" s="1"/>
  <c r="CM534" i="48"/>
  <c r="CQ534" i="48" s="1"/>
  <c r="CM361" i="48"/>
  <c r="CQ361" i="48" s="1"/>
  <c r="CM461" i="48"/>
  <c r="CQ461" i="48" s="1"/>
  <c r="CM1098" i="48"/>
  <c r="CQ1098" i="48" s="1"/>
  <c r="CM1072" i="48"/>
  <c r="CQ1072" i="48" s="1"/>
  <c r="CM684" i="48"/>
  <c r="CQ684" i="48" s="1"/>
  <c r="CM810" i="48"/>
  <c r="CQ810" i="48" s="1"/>
  <c r="CM836" i="48"/>
  <c r="CQ836" i="48" s="1"/>
  <c r="CM458" i="48"/>
  <c r="CQ458" i="48" s="1"/>
  <c r="CM1066" i="48"/>
  <c r="CQ1066" i="48" s="1"/>
  <c r="CM1240" i="48"/>
  <c r="CQ1240" i="48" s="1"/>
  <c r="CZ1240" i="48" s="1"/>
  <c r="CM1157" i="48"/>
  <c r="CQ1157" i="48" s="1"/>
  <c r="CM1348" i="48"/>
  <c r="CQ1348" i="48" s="1"/>
  <c r="CZ1348" i="48" s="1"/>
  <c r="CM1148" i="48"/>
  <c r="CQ1148" i="48" s="1"/>
  <c r="CM1331" i="48"/>
  <c r="CQ1331" i="48" s="1"/>
  <c r="CZ1331" i="48" s="1"/>
  <c r="CM681" i="48"/>
  <c r="CQ681" i="48" s="1"/>
  <c r="CM316" i="48"/>
  <c r="CQ316" i="48" s="1"/>
  <c r="CM314" i="48"/>
  <c r="CQ314" i="48" s="1"/>
  <c r="CM123" i="48"/>
  <c r="CQ123" i="48" s="1"/>
  <c r="CM486" i="48"/>
  <c r="CQ486" i="48" s="1"/>
  <c r="CM456" i="48"/>
  <c r="CQ456" i="48" s="1"/>
  <c r="CM1183" i="48"/>
  <c r="CQ1183" i="48" s="1"/>
  <c r="CM587" i="48"/>
  <c r="CQ587" i="48" s="1"/>
  <c r="CM245" i="48"/>
  <c r="CQ245" i="48" s="1"/>
  <c r="CM814" i="48"/>
  <c r="CQ814" i="48" s="1"/>
  <c r="CM784" i="48"/>
  <c r="CQ784" i="48" s="1"/>
  <c r="CM495" i="48"/>
  <c r="CQ495" i="48" s="1"/>
  <c r="CM865" i="48"/>
  <c r="CQ865" i="48" s="1"/>
  <c r="CM206" i="48"/>
  <c r="CQ206" i="48" s="1"/>
  <c r="CM698" i="48"/>
  <c r="CQ698" i="48" s="1"/>
  <c r="CM963" i="48"/>
  <c r="CQ963" i="48" s="1"/>
  <c r="CM1036" i="48"/>
  <c r="CQ1036" i="48" s="1"/>
  <c r="CM1244" i="48"/>
  <c r="CQ1244" i="48" s="1"/>
  <c r="CZ1244" i="48" s="1"/>
  <c r="CM394" i="48"/>
  <c r="CQ394" i="48" s="1"/>
  <c r="CM1337" i="48"/>
  <c r="CQ1337" i="48" s="1"/>
  <c r="CZ1337" i="48" s="1"/>
  <c r="CM712" i="48"/>
  <c r="CQ712" i="48" s="1"/>
  <c r="CM157" i="48"/>
  <c r="CQ157" i="48" s="1"/>
  <c r="CM1187" i="48"/>
  <c r="CQ1187" i="48" s="1"/>
  <c r="CM885" i="48"/>
  <c r="CQ885" i="48" s="1"/>
  <c r="CM1267" i="48"/>
  <c r="CQ1267" i="48" s="1"/>
  <c r="CZ1267" i="48" s="1"/>
  <c r="DB1267" i="48" s="1"/>
  <c r="CM283" i="48"/>
  <c r="CQ283" i="48" s="1"/>
  <c r="CM1312" i="48"/>
  <c r="CQ1312" i="48" s="1"/>
  <c r="CZ1312" i="48" s="1"/>
  <c r="CM232" i="48"/>
  <c r="CQ232" i="48" s="1"/>
  <c r="CM870" i="48"/>
  <c r="CQ870" i="48" s="1"/>
  <c r="CM1210" i="48"/>
  <c r="CQ1210" i="48" s="1"/>
  <c r="CZ1210" i="48" s="1"/>
  <c r="CM813" i="48"/>
  <c r="CQ813" i="48" s="1"/>
  <c r="CM406" i="48"/>
  <c r="CQ406" i="48" s="1"/>
  <c r="CZ406" i="48" s="1"/>
  <c r="W406" i="48" s="1"/>
  <c r="CM1139" i="48"/>
  <c r="CQ1139" i="48" s="1"/>
  <c r="CM794" i="48"/>
  <c r="CQ794" i="48" s="1"/>
  <c r="CM946" i="48"/>
  <c r="CQ946" i="48" s="1"/>
  <c r="CM345" i="48"/>
  <c r="CQ345" i="48" s="1"/>
  <c r="CM720" i="48"/>
  <c r="CQ720" i="48" s="1"/>
  <c r="CM908" i="48"/>
  <c r="CQ908" i="48" s="1"/>
  <c r="CM736" i="48"/>
  <c r="CQ736" i="48" s="1"/>
  <c r="CM888" i="48"/>
  <c r="CQ888" i="48" s="1"/>
  <c r="CM318" i="48"/>
  <c r="CQ318" i="48" s="1"/>
  <c r="CM491" i="48"/>
  <c r="CQ491" i="48" s="1"/>
  <c r="CM440" i="48"/>
  <c r="CQ440" i="48" s="1"/>
  <c r="CM892" i="48"/>
  <c r="CQ892" i="48" s="1"/>
  <c r="CM859" i="48"/>
  <c r="CQ859" i="48" s="1"/>
  <c r="CM816" i="48"/>
  <c r="CQ816" i="48" s="1"/>
  <c r="CM1165" i="48"/>
  <c r="CQ1165" i="48" s="1"/>
  <c r="CM376" i="48"/>
  <c r="CQ376" i="48" s="1"/>
  <c r="CZ376" i="48" s="1"/>
  <c r="W376" i="48" s="1"/>
  <c r="CM801" i="48"/>
  <c r="CQ801" i="48" s="1"/>
  <c r="CM1076" i="48"/>
  <c r="CQ1076" i="48" s="1"/>
  <c r="CM901" i="48"/>
  <c r="CQ901" i="48" s="1"/>
  <c r="CZ901" i="48" s="1"/>
  <c r="W901" i="48" s="1"/>
  <c r="CM176" i="48"/>
  <c r="CQ176" i="48" s="1"/>
  <c r="CZ176" i="48" s="1"/>
  <c r="W176" i="48" s="1"/>
  <c r="CM1351" i="48"/>
  <c r="CQ1351" i="48" s="1"/>
  <c r="CM1176" i="48"/>
  <c r="CQ1176" i="48" s="1"/>
  <c r="CM251" i="48"/>
  <c r="CQ251" i="48" s="1"/>
  <c r="CZ251" i="48" s="1"/>
  <c r="W251" i="48" s="1"/>
  <c r="CM1126" i="48"/>
  <c r="CQ1126" i="48" s="1"/>
  <c r="CZ1126" i="48" s="1"/>
  <c r="W1126" i="48" s="1"/>
  <c r="CM551" i="48"/>
  <c r="CQ551" i="48" s="1"/>
  <c r="CM1001" i="48"/>
  <c r="CQ1001" i="48" s="1"/>
  <c r="CM1276" i="48"/>
  <c r="CQ1276" i="48" s="1"/>
  <c r="CZ1276" i="48" s="1"/>
  <c r="W1276" i="48" s="1"/>
  <c r="CM926" i="48"/>
  <c r="CQ926" i="48" s="1"/>
  <c r="CZ926" i="48" s="1"/>
  <c r="W926" i="48" s="1"/>
  <c r="CM951" i="48"/>
  <c r="CQ951" i="48" s="1"/>
  <c r="CM226" i="48"/>
  <c r="CQ226" i="48" s="1"/>
  <c r="CM1301" i="48"/>
  <c r="CQ1301" i="48" s="1"/>
  <c r="CM76" i="48"/>
  <c r="CM1151" i="48"/>
  <c r="CQ1151" i="48" s="1"/>
  <c r="CM51" i="48"/>
  <c r="CQ51" i="48" s="1"/>
  <c r="CZ276" i="48"/>
  <c r="CM6" i="48"/>
  <c r="CQ6" i="48" s="1"/>
  <c r="CZ6" i="48" s="1"/>
  <c r="W6" i="48" s="1"/>
  <c r="CJ76" i="48"/>
  <c r="CZ22" i="48"/>
  <c r="W22" i="48" s="1"/>
  <c r="DB1339" i="48" l="1"/>
  <c r="AN127" i="48"/>
  <c r="AJ102" i="48"/>
  <c r="DB1270" i="48"/>
  <c r="DB1224" i="48"/>
  <c r="DB1219" i="48"/>
  <c r="DB1345" i="48"/>
  <c r="AM127" i="48"/>
  <c r="AJ127" i="48"/>
  <c r="DB1310" i="48"/>
  <c r="DB1272" i="48"/>
  <c r="X252" i="48"/>
  <c r="DB1317" i="48"/>
  <c r="DB1300" i="48"/>
  <c r="DB1297" i="48"/>
  <c r="DB1217" i="48"/>
  <c r="DB1244" i="48"/>
  <c r="DB1311" i="48"/>
  <c r="DB1312" i="48"/>
  <c r="AN27" i="48"/>
  <c r="DB1333" i="48"/>
  <c r="DB1127" i="48"/>
  <c r="DB1298" i="48"/>
  <c r="DB1286" i="48"/>
  <c r="DB1266" i="48"/>
  <c r="DB1207" i="48"/>
  <c r="DB1289" i="48"/>
  <c r="DB1284" i="48"/>
  <c r="DB1213" i="48"/>
  <c r="DB1335" i="48"/>
  <c r="DB1235" i="48"/>
  <c r="DB1259" i="48"/>
  <c r="DB1261" i="48"/>
  <c r="DB1342" i="48"/>
  <c r="DB1215" i="48"/>
  <c r="DB1308" i="48"/>
  <c r="DB1209" i="48"/>
  <c r="DB1233" i="48"/>
  <c r="DB1322" i="48"/>
  <c r="DB1338" i="48"/>
  <c r="DB1319" i="48"/>
  <c r="DB1218" i="48"/>
  <c r="DB1341" i="48"/>
  <c r="DB1274" i="48"/>
  <c r="DB1294" i="48"/>
  <c r="DB1240" i="48"/>
  <c r="DB1265" i="48"/>
  <c r="DB1242" i="48"/>
  <c r="DB1321" i="48"/>
  <c r="CZ1351" i="48"/>
  <c r="W1351" i="48" s="1"/>
  <c r="W1200" i="48"/>
  <c r="AD1200" i="48" s="1"/>
  <c r="AN302" i="48"/>
  <c r="AM302" i="48"/>
  <c r="AL302" i="48"/>
  <c r="AN577" i="48"/>
  <c r="AL577" i="48"/>
  <c r="AM577" i="48"/>
  <c r="W952" i="48"/>
  <c r="AD952" i="48" s="1"/>
  <c r="DB1201" i="48"/>
  <c r="W1202" i="48"/>
  <c r="AD1202" i="48" s="1"/>
  <c r="AJ1202" i="48" s="1"/>
  <c r="W1052" i="48"/>
  <c r="AD1052" i="48" s="1"/>
  <c r="AJ1052" i="48" s="1"/>
  <c r="DB927" i="48"/>
  <c r="W927" i="48"/>
  <c r="AD927" i="48" s="1"/>
  <c r="AJ927" i="48" s="1"/>
  <c r="DB1347" i="48"/>
  <c r="DB1323" i="48"/>
  <c r="DB1263" i="48"/>
  <c r="DB1216" i="48"/>
  <c r="DB1211" i="48"/>
  <c r="DB1314" i="48"/>
  <c r="DB1349" i="48"/>
  <c r="DB1249" i="48"/>
  <c r="DB1243" i="48"/>
  <c r="DB1309" i="48"/>
  <c r="DB1316" i="48"/>
  <c r="CZ1250" i="48"/>
  <c r="DB1251" i="48" s="1"/>
  <c r="DB1296" i="48"/>
  <c r="DB1350" i="48"/>
  <c r="DB1299" i="48"/>
  <c r="AN327" i="48"/>
  <c r="AL327" i="48"/>
  <c r="AM327" i="48"/>
  <c r="AN477" i="48"/>
  <c r="AM477" i="48"/>
  <c r="AL477" i="48"/>
  <c r="AN602" i="48"/>
  <c r="AM602" i="48"/>
  <c r="AL602" i="48"/>
  <c r="AN727" i="48"/>
  <c r="AL727" i="48"/>
  <c r="AM727" i="48"/>
  <c r="DB852" i="48"/>
  <c r="DB851" i="48"/>
  <c r="W852" i="48"/>
  <c r="AD852" i="48" s="1"/>
  <c r="AJ852" i="48" s="1"/>
  <c r="DB977" i="48"/>
  <c r="W977" i="48"/>
  <c r="AD977" i="48" s="1"/>
  <c r="AJ977" i="48" s="1"/>
  <c r="DB1101" i="48"/>
  <c r="W1102" i="48"/>
  <c r="AD1102" i="48" s="1"/>
  <c r="AJ1102" i="48" s="1"/>
  <c r="DB1227" i="48"/>
  <c r="DB1226" i="48"/>
  <c r="W1227" i="48"/>
  <c r="AD1227" i="48" s="1"/>
  <c r="AJ1227" i="48" s="1"/>
  <c r="DB1326" i="48"/>
  <c r="W1327" i="48"/>
  <c r="AD1327" i="48" s="1"/>
  <c r="AJ1327" i="48" s="1"/>
  <c r="AN77" i="48"/>
  <c r="AL77" i="48"/>
  <c r="AM77" i="48"/>
  <c r="AN252" i="48"/>
  <c r="AL252" i="48"/>
  <c r="AM252" i="48"/>
  <c r="AN702" i="48"/>
  <c r="AL702" i="48"/>
  <c r="AM702" i="48"/>
  <c r="AN152" i="48"/>
  <c r="AL152" i="48"/>
  <c r="AM152" i="48"/>
  <c r="DB1337" i="48"/>
  <c r="CZ1301" i="48"/>
  <c r="W1301" i="48" s="1"/>
  <c r="DB1220" i="48"/>
  <c r="DB1268" i="48"/>
  <c r="DB1285" i="48"/>
  <c r="DB1234" i="48"/>
  <c r="DB1343" i="48"/>
  <c r="DB1264" i="48"/>
  <c r="DB1292" i="48"/>
  <c r="DB1273" i="48"/>
  <c r="DB1340" i="48"/>
  <c r="W1025" i="48"/>
  <c r="AD1025" i="48" s="1"/>
  <c r="DB1290" i="48"/>
  <c r="DB1307" i="48"/>
  <c r="DB1320" i="48"/>
  <c r="DB1241" i="48"/>
  <c r="DB1332" i="48"/>
  <c r="DB1293" i="48"/>
  <c r="AN377" i="48"/>
  <c r="AL377" i="48"/>
  <c r="AM377" i="48"/>
  <c r="AN502" i="48"/>
  <c r="AL502" i="48"/>
  <c r="AM502" i="48"/>
  <c r="AN627" i="48"/>
  <c r="AL627" i="48"/>
  <c r="AM627" i="48"/>
  <c r="DB752" i="48"/>
  <c r="W752" i="48"/>
  <c r="AD752" i="48" s="1"/>
  <c r="AJ752" i="48" s="1"/>
  <c r="W877" i="48"/>
  <c r="AD877" i="48" s="1"/>
  <c r="AJ877" i="48" s="1"/>
  <c r="W1002" i="48"/>
  <c r="AD1002" i="48" s="1"/>
  <c r="AJ1002" i="48" s="1"/>
  <c r="W1152" i="48"/>
  <c r="AD1152" i="48" s="1"/>
  <c r="AJ1152" i="48" s="1"/>
  <c r="DB1252" i="48"/>
  <c r="W1252" i="48"/>
  <c r="AD1252" i="48" s="1"/>
  <c r="AJ1252" i="48" s="1"/>
  <c r="DB1351" i="48"/>
  <c r="W1352" i="48"/>
  <c r="AD1352" i="48" s="1"/>
  <c r="AJ1352" i="48" s="1"/>
  <c r="AN102" i="48"/>
  <c r="AL102" i="48"/>
  <c r="AM102" i="48"/>
  <c r="AN1127" i="48"/>
  <c r="AL1127" i="48"/>
  <c r="AM1127" i="48"/>
  <c r="W1100" i="48"/>
  <c r="AD1100" i="48" s="1"/>
  <c r="AN802" i="48"/>
  <c r="AL802" i="48"/>
  <c r="AM802" i="48"/>
  <c r="W1077" i="48"/>
  <c r="AD1077" i="48" s="1"/>
  <c r="AJ1077" i="48" s="1"/>
  <c r="DB1302" i="48"/>
  <c r="DB1301" i="48"/>
  <c r="W1302" i="48"/>
  <c r="AD1302" i="48" s="1"/>
  <c r="AJ1302" i="48" s="1"/>
  <c r="AN177" i="48"/>
  <c r="AL177" i="48"/>
  <c r="AM177" i="48"/>
  <c r="X177" i="48"/>
  <c r="DB1210" i="48"/>
  <c r="DB1348" i="48"/>
  <c r="DB1295" i="48"/>
  <c r="DB1262" i="48"/>
  <c r="DB1237" i="48"/>
  <c r="DB1221" i="48"/>
  <c r="DB1260" i="48"/>
  <c r="DB1232" i="48"/>
  <c r="CZ1326" i="48"/>
  <c r="W1326" i="48" s="1"/>
  <c r="DB1313" i="48"/>
  <c r="DB1238" i="48"/>
  <c r="DB1212" i="48"/>
  <c r="DB1275" i="48"/>
  <c r="DB1245" i="48"/>
  <c r="DB1271" i="48"/>
  <c r="DB1225" i="48"/>
  <c r="X152" i="48"/>
  <c r="DB1214" i="48"/>
  <c r="DB1269" i="48"/>
  <c r="DB1344" i="48"/>
  <c r="DB1324" i="48"/>
  <c r="DB1246" i="48"/>
  <c r="DB1282" i="48"/>
  <c r="DB1208" i="48"/>
  <c r="DB1222" i="48"/>
  <c r="DB1287" i="48"/>
  <c r="DB1257" i="48"/>
  <c r="AN402" i="48"/>
  <c r="AM402" i="48"/>
  <c r="AL402" i="48"/>
  <c r="AN552" i="48"/>
  <c r="AM552" i="48"/>
  <c r="AL552" i="48"/>
  <c r="AN652" i="48"/>
  <c r="AL652" i="48"/>
  <c r="AM652" i="48"/>
  <c r="DB777" i="48"/>
  <c r="W777" i="48"/>
  <c r="AD777" i="48" s="1"/>
  <c r="AJ777" i="48" s="1"/>
  <c r="DB902" i="48"/>
  <c r="W902" i="48"/>
  <c r="AD902" i="48" s="1"/>
  <c r="AJ902" i="48" s="1"/>
  <c r="DB1026" i="48"/>
  <c r="W1027" i="48"/>
  <c r="AD1027" i="48" s="1"/>
  <c r="AJ1027" i="48" s="1"/>
  <c r="DB1177" i="48"/>
  <c r="W1177" i="48"/>
  <c r="AD1177" i="48" s="1"/>
  <c r="AJ1177" i="48" s="1"/>
  <c r="DB1277" i="48"/>
  <c r="DB1276" i="48"/>
  <c r="W1277" i="48"/>
  <c r="AD1277" i="48" s="1"/>
  <c r="AJ1277" i="48" s="1"/>
  <c r="AN52" i="48"/>
  <c r="AL52" i="48"/>
  <c r="AM52" i="48"/>
  <c r="AN527" i="48"/>
  <c r="AL527" i="48"/>
  <c r="AM527" i="48"/>
  <c r="AN227" i="48"/>
  <c r="AL227" i="48"/>
  <c r="AM227" i="48"/>
  <c r="AN202" i="48"/>
  <c r="AL202" i="48"/>
  <c r="AM202" i="48"/>
  <c r="AN827" i="48"/>
  <c r="AL827" i="48"/>
  <c r="AM827" i="48"/>
  <c r="AJ27" i="48"/>
  <c r="AM27" i="48"/>
  <c r="AL27" i="48"/>
  <c r="W1251" i="48"/>
  <c r="DB452" i="48"/>
  <c r="DB423" i="48"/>
  <c r="W423" i="48"/>
  <c r="DB416" i="48"/>
  <c r="W416" i="48"/>
  <c r="DB408" i="48"/>
  <c r="W408" i="48"/>
  <c r="DB410" i="48"/>
  <c r="W410" i="48"/>
  <c r="DB424" i="48"/>
  <c r="W424" i="48"/>
  <c r="DB420" i="48"/>
  <c r="W420" i="48"/>
  <c r="AD420" i="48" s="1"/>
  <c r="DB425" i="48"/>
  <c r="W425" i="48"/>
  <c r="AD425" i="48" s="1"/>
  <c r="DB421" i="48"/>
  <c r="W421" i="48"/>
  <c r="AD421" i="48" s="1"/>
  <c r="W306" i="48"/>
  <c r="AD306" i="48" s="1"/>
  <c r="DB136" i="48"/>
  <c r="W136" i="48"/>
  <c r="AD136" i="48" s="1"/>
  <c r="DB135" i="48"/>
  <c r="W135" i="48"/>
  <c r="DB134" i="48"/>
  <c r="W134" i="48"/>
  <c r="AD134" i="48" s="1"/>
  <c r="DB139" i="48"/>
  <c r="W139" i="48"/>
  <c r="DB143" i="48"/>
  <c r="W143" i="48"/>
  <c r="DB132" i="48"/>
  <c r="W132" i="48"/>
  <c r="AD132" i="48" s="1"/>
  <c r="DB146" i="48"/>
  <c r="W146" i="48"/>
  <c r="AD146" i="48" s="1"/>
  <c r="CQ76" i="48"/>
  <c r="CZ76" i="48" s="1"/>
  <c r="DB415" i="48"/>
  <c r="DB411" i="48"/>
  <c r="DB602" i="48"/>
  <c r="DB414" i="48"/>
  <c r="DB426" i="48"/>
  <c r="DB427" i="48"/>
  <c r="DB407" i="48"/>
  <c r="DB422" i="48"/>
  <c r="DB412" i="48"/>
  <c r="DB417" i="48"/>
  <c r="DB413" i="48"/>
  <c r="DB409" i="48"/>
  <c r="DB419" i="48"/>
  <c r="DB418" i="48"/>
  <c r="DB402" i="48"/>
  <c r="DB377" i="48"/>
  <c r="DB302" i="48"/>
  <c r="DB252" i="48"/>
  <c r="DB177" i="48"/>
  <c r="DB147" i="48"/>
  <c r="DB141" i="48"/>
  <c r="CQ26" i="48"/>
  <c r="CZ26" i="48" s="1"/>
  <c r="DB627" i="48"/>
  <c r="DB149" i="48"/>
  <c r="DB144" i="48"/>
  <c r="DB150" i="48"/>
  <c r="DB140" i="48"/>
  <c r="DB148" i="48"/>
  <c r="DB133" i="48"/>
  <c r="DB142" i="48"/>
  <c r="DB137" i="48"/>
  <c r="DB151" i="48"/>
  <c r="DB152" i="48"/>
  <c r="DB138" i="48"/>
  <c r="DB145" i="48"/>
  <c r="W1337" i="48"/>
  <c r="W1347" i="48"/>
  <c r="W1345" i="48"/>
  <c r="W1335" i="48"/>
  <c r="W1341" i="48"/>
  <c r="W1334" i="48"/>
  <c r="W1340" i="48"/>
  <c r="W1332" i="48"/>
  <c r="W1336" i="48"/>
  <c r="W1342" i="48"/>
  <c r="W1343" i="48"/>
  <c r="W1344" i="48"/>
  <c r="W1323" i="48"/>
  <c r="W1322" i="48"/>
  <c r="W1319" i="48"/>
  <c r="W1312" i="48"/>
  <c r="W1310" i="48"/>
  <c r="W1315" i="48"/>
  <c r="W1314" i="48"/>
  <c r="W1321" i="48"/>
  <c r="AD1321" i="48" s="1"/>
  <c r="W1309" i="48"/>
  <c r="W1316" i="48"/>
  <c r="W1311" i="48"/>
  <c r="W1325" i="48"/>
  <c r="W1313" i="48"/>
  <c r="W1318" i="48"/>
  <c r="W1307" i="48"/>
  <c r="W1320" i="48"/>
  <c r="W1285" i="48"/>
  <c r="W1296" i="48"/>
  <c r="W1299" i="48"/>
  <c r="W1295" i="48"/>
  <c r="W1297" i="48"/>
  <c r="W1288" i="48"/>
  <c r="W1283" i="48"/>
  <c r="W1291" i="48"/>
  <c r="W1292" i="48"/>
  <c r="W1290" i="48"/>
  <c r="W1293" i="48"/>
  <c r="W1289" i="48"/>
  <c r="W1287" i="48"/>
  <c r="W1265" i="48"/>
  <c r="W1261" i="48"/>
  <c r="W1268" i="48"/>
  <c r="W1263" i="48"/>
  <c r="W1272" i="48"/>
  <c r="W1273" i="48"/>
  <c r="W1267" i="48"/>
  <c r="W1266" i="48"/>
  <c r="W1274" i="48"/>
  <c r="W1275" i="48"/>
  <c r="W1270" i="48"/>
  <c r="W1271" i="48"/>
  <c r="W1269" i="48"/>
  <c r="W1240" i="48"/>
  <c r="W1242" i="48"/>
  <c r="W1236" i="48"/>
  <c r="W1231" i="48"/>
  <c r="W1235" i="48"/>
  <c r="W1233" i="48"/>
  <c r="W1234" i="48"/>
  <c r="W1249" i="48"/>
  <c r="W1243" i="48"/>
  <c r="W1244" i="48"/>
  <c r="W1248" i="48"/>
  <c r="W1237" i="48"/>
  <c r="W1232" i="48"/>
  <c r="W1239" i="48"/>
  <c r="W1241" i="48"/>
  <c r="W1245" i="48"/>
  <c r="W1247" i="48"/>
  <c r="W1246" i="48"/>
  <c r="W1218" i="48"/>
  <c r="W1220" i="48"/>
  <c r="W1216" i="48"/>
  <c r="W1211" i="48"/>
  <c r="W1217" i="48"/>
  <c r="W1221" i="48"/>
  <c r="W1213" i="48"/>
  <c r="W1215" i="48"/>
  <c r="W1209" i="48"/>
  <c r="W1210" i="48"/>
  <c r="W1212" i="48"/>
  <c r="W1224" i="48"/>
  <c r="W1225" i="48"/>
  <c r="W1223" i="48"/>
  <c r="W1208" i="48"/>
  <c r="CZ1191" i="48"/>
  <c r="CZ1188" i="48"/>
  <c r="CZ1193" i="48"/>
  <c r="CZ1183" i="48"/>
  <c r="CZ1196" i="48"/>
  <c r="CZ1182" i="48"/>
  <c r="CZ1201" i="48"/>
  <c r="DB1202" i="48" s="1"/>
  <c r="CZ1197" i="48"/>
  <c r="CZ1187" i="48"/>
  <c r="CZ1192" i="48"/>
  <c r="CZ1199" i="48"/>
  <c r="CZ1194" i="48"/>
  <c r="CZ1195" i="48"/>
  <c r="CZ1198" i="48"/>
  <c r="CZ1186" i="48"/>
  <c r="CZ1181" i="48"/>
  <c r="CZ1189" i="48"/>
  <c r="CZ1185" i="48"/>
  <c r="CZ1184" i="48"/>
  <c r="CZ1190" i="48"/>
  <c r="CZ1156" i="48"/>
  <c r="CZ1168" i="48"/>
  <c r="CZ1162" i="48"/>
  <c r="CZ1169" i="48"/>
  <c r="CZ1165" i="48"/>
  <c r="CZ1166" i="48"/>
  <c r="CZ1167" i="48"/>
  <c r="CZ1163" i="48"/>
  <c r="CZ1175" i="48"/>
  <c r="CZ1161" i="48"/>
  <c r="W1176" i="48"/>
  <c r="CZ1170" i="48"/>
  <c r="DB1170" i="48" s="1"/>
  <c r="CZ1164" i="48"/>
  <c r="CZ1171" i="48"/>
  <c r="CZ1172" i="48"/>
  <c r="CZ1174" i="48"/>
  <c r="CZ1157" i="48"/>
  <c r="DB1157" i="48" s="1"/>
  <c r="CZ1160" i="48"/>
  <c r="CZ1158" i="48"/>
  <c r="CZ1159" i="48"/>
  <c r="CZ1173" i="48"/>
  <c r="CZ1150" i="48"/>
  <c r="CZ1147" i="48"/>
  <c r="CZ1148" i="48"/>
  <c r="CZ1142" i="48"/>
  <c r="CZ1133" i="48"/>
  <c r="CZ1131" i="48"/>
  <c r="CZ1143" i="48"/>
  <c r="CZ1141" i="48"/>
  <c r="CZ1145" i="48"/>
  <c r="CZ1135" i="48"/>
  <c r="CZ1140" i="48"/>
  <c r="CZ1138" i="48"/>
  <c r="CZ1137" i="48"/>
  <c r="CZ1134" i="48"/>
  <c r="CZ1151" i="48"/>
  <c r="W1151" i="48" s="1"/>
  <c r="CZ1139" i="48"/>
  <c r="DB1139" i="48" s="1"/>
  <c r="CZ1146" i="48"/>
  <c r="DB1146" i="48" s="1"/>
  <c r="CZ1136" i="48"/>
  <c r="CZ1132" i="48"/>
  <c r="CZ1149" i="48"/>
  <c r="CZ1144" i="48"/>
  <c r="CZ1106" i="48"/>
  <c r="CZ1114" i="48"/>
  <c r="CZ1119" i="48"/>
  <c r="CZ1121" i="48"/>
  <c r="CZ1115" i="48"/>
  <c r="CZ1125" i="48"/>
  <c r="CZ1108" i="48"/>
  <c r="CZ1122" i="48"/>
  <c r="CZ1113" i="48"/>
  <c r="CZ1107" i="48"/>
  <c r="CZ1110" i="48"/>
  <c r="CZ1120" i="48"/>
  <c r="CZ1123" i="48"/>
  <c r="CZ1118" i="48"/>
  <c r="CZ1109" i="48"/>
  <c r="CZ1117" i="48"/>
  <c r="CZ1111" i="48"/>
  <c r="CZ1116" i="48"/>
  <c r="CZ1112" i="48"/>
  <c r="CZ1124" i="48"/>
  <c r="CZ1097" i="48"/>
  <c r="CZ1092" i="48"/>
  <c r="CZ1085" i="48"/>
  <c r="CZ1099" i="48"/>
  <c r="CZ1084" i="48"/>
  <c r="CZ1091" i="48"/>
  <c r="CZ1082" i="48"/>
  <c r="CZ1093" i="48"/>
  <c r="CZ1086" i="48"/>
  <c r="CZ1090" i="48"/>
  <c r="CZ1095" i="48"/>
  <c r="CZ1098" i="48"/>
  <c r="CZ1094" i="48"/>
  <c r="CZ1088" i="48"/>
  <c r="CZ1083" i="48"/>
  <c r="DB1083" i="48" s="1"/>
  <c r="CZ1089" i="48"/>
  <c r="CZ1096" i="48"/>
  <c r="CZ1101" i="48"/>
  <c r="DB1102" i="48" s="1"/>
  <c r="CZ1081" i="48"/>
  <c r="CZ1087" i="48"/>
  <c r="CZ1061" i="48"/>
  <c r="CZ1075" i="48"/>
  <c r="DB1076" i="48" s="1"/>
  <c r="CZ1070" i="48"/>
  <c r="CZ1059" i="48"/>
  <c r="CZ1067" i="48"/>
  <c r="CZ1065" i="48"/>
  <c r="CZ1062" i="48"/>
  <c r="CZ1076" i="48"/>
  <c r="W1076" i="48" s="1"/>
  <c r="CZ1072" i="48"/>
  <c r="CZ1060" i="48"/>
  <c r="CZ1074" i="48"/>
  <c r="CZ1069" i="48"/>
  <c r="CZ1063" i="48"/>
  <c r="CZ1068" i="48"/>
  <c r="CZ1057" i="48"/>
  <c r="CZ1073" i="48"/>
  <c r="CZ1056" i="48"/>
  <c r="CZ1058" i="48"/>
  <c r="CZ1066" i="48"/>
  <c r="CZ1064" i="48"/>
  <c r="CZ1071" i="48"/>
  <c r="CZ1034" i="48"/>
  <c r="CZ1045" i="48"/>
  <c r="CZ1051" i="48"/>
  <c r="W1051" i="48" s="1"/>
  <c r="CZ1040" i="48"/>
  <c r="CZ1035" i="48"/>
  <c r="DB1035" i="48" s="1"/>
  <c r="CZ1050" i="48"/>
  <c r="CZ1044" i="48"/>
  <c r="CZ1043" i="48"/>
  <c r="CZ1048" i="48"/>
  <c r="CZ1031" i="48"/>
  <c r="CZ1041" i="48"/>
  <c r="CZ1047" i="48"/>
  <c r="CZ1033" i="48"/>
  <c r="CZ1049" i="48"/>
  <c r="CZ1039" i="48"/>
  <c r="CZ1046" i="48"/>
  <c r="CZ1036" i="48"/>
  <c r="DB1036" i="48" s="1"/>
  <c r="CZ1032" i="48"/>
  <c r="DB1032" i="48" s="1"/>
  <c r="CZ1042" i="48"/>
  <c r="DB1042" i="48" s="1"/>
  <c r="CZ1037" i="48"/>
  <c r="CZ1038" i="48"/>
  <c r="CZ1022" i="48"/>
  <c r="CZ1018" i="48"/>
  <c r="CZ1012" i="48"/>
  <c r="CZ1013" i="48"/>
  <c r="CZ1016" i="48"/>
  <c r="CZ1011" i="48"/>
  <c r="CZ1023" i="48"/>
  <c r="CZ1021" i="48"/>
  <c r="CZ1026" i="48"/>
  <c r="DB1027" i="48" s="1"/>
  <c r="CZ1024" i="48"/>
  <c r="CZ1017" i="48"/>
  <c r="CZ1006" i="48"/>
  <c r="CZ1008" i="48"/>
  <c r="CZ1020" i="48"/>
  <c r="CZ1010" i="48"/>
  <c r="CZ1009" i="48"/>
  <c r="CZ1014" i="48"/>
  <c r="CZ1007" i="48"/>
  <c r="CZ1019" i="48"/>
  <c r="CZ1015" i="48"/>
  <c r="CZ981" i="48"/>
  <c r="CZ989" i="48"/>
  <c r="CZ984" i="48"/>
  <c r="CZ997" i="48"/>
  <c r="CZ988" i="48"/>
  <c r="CZ985" i="48"/>
  <c r="CZ995" i="48"/>
  <c r="CZ994" i="48"/>
  <c r="CZ983" i="48"/>
  <c r="CZ1001" i="48"/>
  <c r="W1001" i="48" s="1"/>
  <c r="CZ999" i="48"/>
  <c r="CZ992" i="48"/>
  <c r="CZ987" i="48"/>
  <c r="CZ986" i="48"/>
  <c r="DB986" i="48" s="1"/>
  <c r="CZ982" i="48"/>
  <c r="CZ993" i="48"/>
  <c r="DB993" i="48" s="1"/>
  <c r="CZ991" i="48"/>
  <c r="CZ998" i="48"/>
  <c r="CZ990" i="48"/>
  <c r="CZ996" i="48"/>
  <c r="CZ1000" i="48"/>
  <c r="CZ963" i="48"/>
  <c r="CZ962" i="48"/>
  <c r="CZ971" i="48"/>
  <c r="CZ966" i="48"/>
  <c r="CZ967" i="48"/>
  <c r="CZ970" i="48"/>
  <c r="CZ973" i="48"/>
  <c r="CZ956" i="48"/>
  <c r="CZ961" i="48"/>
  <c r="CZ958" i="48"/>
  <c r="CZ960" i="48"/>
  <c r="CZ964" i="48"/>
  <c r="CZ974" i="48"/>
  <c r="CZ972" i="48"/>
  <c r="CZ957" i="48"/>
  <c r="CZ959" i="48"/>
  <c r="CZ969" i="48"/>
  <c r="CZ975" i="48"/>
  <c r="DB976" i="48" s="1"/>
  <c r="CZ965" i="48"/>
  <c r="CZ968" i="48"/>
  <c r="CZ944" i="48"/>
  <c r="CZ932" i="48"/>
  <c r="CZ949" i="48"/>
  <c r="CZ939" i="48"/>
  <c r="CZ946" i="48"/>
  <c r="CZ936" i="48"/>
  <c r="CZ938" i="48"/>
  <c r="CZ934" i="48"/>
  <c r="CZ948" i="48"/>
  <c r="CZ945" i="48"/>
  <c r="CZ947" i="48"/>
  <c r="CZ935" i="48"/>
  <c r="DB935" i="48" s="1"/>
  <c r="CZ933" i="48"/>
  <c r="CZ937" i="48"/>
  <c r="CZ941" i="48"/>
  <c r="CZ951" i="48"/>
  <c r="W951" i="48" s="1"/>
  <c r="CZ950" i="48"/>
  <c r="DB951" i="48" s="1"/>
  <c r="CZ942" i="48"/>
  <c r="CZ931" i="48"/>
  <c r="CZ940" i="48"/>
  <c r="DB940" i="48" s="1"/>
  <c r="CZ943" i="48"/>
  <c r="CZ919" i="48"/>
  <c r="CZ912" i="48"/>
  <c r="CZ907" i="48"/>
  <c r="CZ920" i="48"/>
  <c r="CZ921" i="48"/>
  <c r="CZ915" i="48"/>
  <c r="CZ910" i="48"/>
  <c r="CZ918" i="48"/>
  <c r="CZ925" i="48"/>
  <c r="CZ914" i="48"/>
  <c r="CZ922" i="48"/>
  <c r="CZ906" i="48"/>
  <c r="CZ909" i="48"/>
  <c r="CZ908" i="48"/>
  <c r="CZ924" i="48"/>
  <c r="CZ917" i="48"/>
  <c r="CZ923" i="48"/>
  <c r="CZ913" i="48"/>
  <c r="DB913" i="48" s="1"/>
  <c r="CZ916" i="48"/>
  <c r="CZ911" i="48"/>
  <c r="CZ892" i="48"/>
  <c r="CZ888" i="48"/>
  <c r="CZ885" i="48"/>
  <c r="CZ890" i="48"/>
  <c r="CZ891" i="48"/>
  <c r="CZ886" i="48"/>
  <c r="CZ900" i="48"/>
  <c r="CZ894" i="48"/>
  <c r="CZ897" i="48"/>
  <c r="CZ887" i="48"/>
  <c r="CZ895" i="48"/>
  <c r="CZ883" i="48"/>
  <c r="CZ881" i="48"/>
  <c r="CZ893" i="48"/>
  <c r="CZ896" i="48"/>
  <c r="CZ889" i="48"/>
  <c r="CZ898" i="48"/>
  <c r="DB898" i="48" s="1"/>
  <c r="CZ882" i="48"/>
  <c r="CZ884" i="48"/>
  <c r="CZ899" i="48"/>
  <c r="CZ872" i="48"/>
  <c r="CZ868" i="48"/>
  <c r="CZ862" i="48"/>
  <c r="CZ860" i="48"/>
  <c r="CZ863" i="48"/>
  <c r="CZ866" i="48"/>
  <c r="CZ873" i="48"/>
  <c r="CZ875" i="48"/>
  <c r="DB876" i="48" s="1"/>
  <c r="CZ856" i="48"/>
  <c r="CZ874" i="48"/>
  <c r="CZ858" i="48"/>
  <c r="CZ871" i="48"/>
  <c r="CZ867" i="48"/>
  <c r="CZ864" i="48"/>
  <c r="CZ859" i="48"/>
  <c r="CZ870" i="48"/>
  <c r="CZ865" i="48"/>
  <c r="CZ857" i="48"/>
  <c r="CZ861" i="48"/>
  <c r="CZ869" i="48"/>
  <c r="CZ876" i="48"/>
  <c r="DB877" i="48" s="1"/>
  <c r="CZ817" i="48"/>
  <c r="W817" i="48" s="1"/>
  <c r="CZ820" i="48"/>
  <c r="W820" i="48" s="1"/>
  <c r="CZ813" i="48"/>
  <c r="W813" i="48" s="1"/>
  <c r="CZ807" i="48"/>
  <c r="W807" i="48" s="1"/>
  <c r="CZ824" i="48"/>
  <c r="W824" i="48" s="1"/>
  <c r="CZ809" i="48"/>
  <c r="CZ811" i="48"/>
  <c r="W811" i="48" s="1"/>
  <c r="CZ822" i="48"/>
  <c r="W822" i="48" s="1"/>
  <c r="CZ806" i="48"/>
  <c r="CZ816" i="48"/>
  <c r="W816" i="48" s="1"/>
  <c r="CZ821" i="48"/>
  <c r="W821" i="48" s="1"/>
  <c r="CZ825" i="48"/>
  <c r="W825" i="48" s="1"/>
  <c r="CZ819" i="48"/>
  <c r="W819" i="48" s="1"/>
  <c r="CZ815" i="48"/>
  <c r="W815" i="48" s="1"/>
  <c r="CZ812" i="48"/>
  <c r="CZ810" i="48"/>
  <c r="W810" i="48" s="1"/>
  <c r="CZ814" i="48"/>
  <c r="W814" i="48" s="1"/>
  <c r="CZ808" i="48"/>
  <c r="W808" i="48" s="1"/>
  <c r="CZ818" i="48"/>
  <c r="CZ823" i="48"/>
  <c r="W823" i="48" s="1"/>
  <c r="CZ786" i="48"/>
  <c r="W786" i="48" s="1"/>
  <c r="CZ784" i="48"/>
  <c r="W784" i="48" s="1"/>
  <c r="CZ791" i="48"/>
  <c r="W791" i="48" s="1"/>
  <c r="CZ793" i="48"/>
  <c r="W793" i="48" s="1"/>
  <c r="CZ792" i="48"/>
  <c r="W792" i="48" s="1"/>
  <c r="CZ781" i="48"/>
  <c r="CZ788" i="48"/>
  <c r="W788" i="48" s="1"/>
  <c r="CZ789" i="48"/>
  <c r="W789" i="48" s="1"/>
  <c r="CZ782" i="48"/>
  <c r="W782" i="48" s="1"/>
  <c r="CZ795" i="48"/>
  <c r="W795" i="48" s="1"/>
  <c r="CZ787" i="48"/>
  <c r="CZ794" i="48"/>
  <c r="W794" i="48" s="1"/>
  <c r="CZ790" i="48"/>
  <c r="W790" i="48" s="1"/>
  <c r="CZ800" i="48"/>
  <c r="W800" i="48" s="1"/>
  <c r="CZ796" i="48"/>
  <c r="W796" i="48" s="1"/>
  <c r="CZ798" i="48"/>
  <c r="W798" i="48" s="1"/>
  <c r="CZ801" i="48"/>
  <c r="CZ785" i="48"/>
  <c r="CZ799" i="48"/>
  <c r="W799" i="48" s="1"/>
  <c r="CZ783" i="48"/>
  <c r="CZ797" i="48"/>
  <c r="W797" i="48" s="1"/>
  <c r="CZ771" i="48"/>
  <c r="W771" i="48" s="1"/>
  <c r="CZ763" i="48"/>
  <c r="W763" i="48" s="1"/>
  <c r="CZ767" i="48"/>
  <c r="W767" i="48" s="1"/>
  <c r="CZ762" i="48"/>
  <c r="W762" i="48" s="1"/>
  <c r="CZ758" i="48"/>
  <c r="W758" i="48" s="1"/>
  <c r="CZ759" i="48"/>
  <c r="W759" i="48" s="1"/>
  <c r="CZ764" i="48"/>
  <c r="W764" i="48" s="1"/>
  <c r="CZ757" i="48"/>
  <c r="W757" i="48" s="1"/>
  <c r="CZ760" i="48"/>
  <c r="W760" i="48" s="1"/>
  <c r="CZ774" i="48"/>
  <c r="W774" i="48" s="1"/>
  <c r="CZ761" i="48"/>
  <c r="W761" i="48" s="1"/>
  <c r="CZ756" i="48"/>
  <c r="CZ766" i="48"/>
  <c r="W766" i="48" s="1"/>
  <c r="CZ775" i="48"/>
  <c r="CZ770" i="48"/>
  <c r="W770" i="48" s="1"/>
  <c r="CZ768" i="48"/>
  <c r="W768" i="48" s="1"/>
  <c r="CZ773" i="48"/>
  <c r="W773" i="48" s="1"/>
  <c r="CZ769" i="48"/>
  <c r="W769" i="48" s="1"/>
  <c r="CZ772" i="48"/>
  <c r="W772" i="48" s="1"/>
  <c r="CZ765" i="48"/>
  <c r="W765" i="48" s="1"/>
  <c r="CZ750" i="48"/>
  <c r="CZ749" i="48"/>
  <c r="W749" i="48" s="1"/>
  <c r="CZ742" i="48"/>
  <c r="W742" i="48" s="1"/>
  <c r="CZ745" i="48"/>
  <c r="W745" i="48" s="1"/>
  <c r="CZ735" i="48"/>
  <c r="W735" i="48" s="1"/>
  <c r="CZ739" i="48"/>
  <c r="W739" i="48" s="1"/>
  <c r="CZ747" i="48"/>
  <c r="W747" i="48" s="1"/>
  <c r="CZ732" i="48"/>
  <c r="W732" i="48" s="1"/>
  <c r="CZ731" i="48"/>
  <c r="CZ737" i="48"/>
  <c r="W737" i="48" s="1"/>
  <c r="CZ748" i="48"/>
  <c r="W748" i="48" s="1"/>
  <c r="CZ744" i="48"/>
  <c r="W744" i="48" s="1"/>
  <c r="CZ736" i="48"/>
  <c r="W736" i="48" s="1"/>
  <c r="CZ738" i="48"/>
  <c r="CZ746" i="48"/>
  <c r="CZ734" i="48"/>
  <c r="CZ741" i="48"/>
  <c r="W741" i="48" s="1"/>
  <c r="CZ733" i="48"/>
  <c r="W733" i="48" s="1"/>
  <c r="CZ743" i="48"/>
  <c r="W743" i="48" s="1"/>
  <c r="CZ740" i="48"/>
  <c r="CZ713" i="48"/>
  <c r="W713" i="48" s="1"/>
  <c r="CZ714" i="48"/>
  <c r="W714" i="48" s="1"/>
  <c r="CZ722" i="48"/>
  <c r="W722" i="48" s="1"/>
  <c r="CZ707" i="48"/>
  <c r="W707" i="48" s="1"/>
  <c r="CZ724" i="48"/>
  <c r="W724" i="48" s="1"/>
  <c r="CZ719" i="48"/>
  <c r="W719" i="48" s="1"/>
  <c r="CZ706" i="48"/>
  <c r="CZ716" i="48"/>
  <c r="W716" i="48" s="1"/>
  <c r="CZ721" i="48"/>
  <c r="W721" i="48" s="1"/>
  <c r="CZ710" i="48"/>
  <c r="W710" i="48" s="1"/>
  <c r="CZ709" i="48"/>
  <c r="W709" i="48" s="1"/>
  <c r="CZ720" i="48"/>
  <c r="CZ712" i="48"/>
  <c r="W712" i="48" s="1"/>
  <c r="CZ717" i="48"/>
  <c r="W717" i="48" s="1"/>
  <c r="CZ708" i="48"/>
  <c r="W708" i="48" s="1"/>
  <c r="CZ726" i="48"/>
  <c r="W726" i="48" s="1"/>
  <c r="CZ715" i="48"/>
  <c r="W715" i="48" s="1"/>
  <c r="CZ718" i="48"/>
  <c r="CZ711" i="48"/>
  <c r="W711" i="48" s="1"/>
  <c r="CZ725" i="48"/>
  <c r="W725" i="48" s="1"/>
  <c r="CZ723" i="48"/>
  <c r="W723" i="48" s="1"/>
  <c r="CZ700" i="48"/>
  <c r="W700" i="48" s="1"/>
  <c r="CZ698" i="48"/>
  <c r="W698" i="48" s="1"/>
  <c r="CZ684" i="48"/>
  <c r="W684" i="48" s="1"/>
  <c r="CZ689" i="48"/>
  <c r="W689" i="48" s="1"/>
  <c r="CZ699" i="48"/>
  <c r="W699" i="48" s="1"/>
  <c r="CZ697" i="48"/>
  <c r="W697" i="48" s="1"/>
  <c r="CZ686" i="48"/>
  <c r="W686" i="48" s="1"/>
  <c r="CZ690" i="48"/>
  <c r="CZ687" i="48"/>
  <c r="W687" i="48" s="1"/>
  <c r="CZ692" i="48"/>
  <c r="W692" i="48" s="1"/>
  <c r="CZ691" i="48"/>
  <c r="W691" i="48" s="1"/>
  <c r="CZ701" i="48"/>
  <c r="W701" i="48" s="1"/>
  <c r="CZ694" i="48"/>
  <c r="W694" i="48" s="1"/>
  <c r="CZ681" i="48"/>
  <c r="CZ695" i="48"/>
  <c r="W695" i="48" s="1"/>
  <c r="CZ682" i="48"/>
  <c r="W682" i="48" s="1"/>
  <c r="CZ683" i="48"/>
  <c r="W683" i="48" s="1"/>
  <c r="CZ693" i="48"/>
  <c r="CZ685" i="48"/>
  <c r="CZ696" i="48"/>
  <c r="W696" i="48" s="1"/>
  <c r="CZ688" i="48"/>
  <c r="CZ633" i="48"/>
  <c r="W633" i="48" s="1"/>
  <c r="CZ649" i="48"/>
  <c r="W649" i="48" s="1"/>
  <c r="CZ631" i="48"/>
  <c r="CZ638" i="48"/>
  <c r="W638" i="48" s="1"/>
  <c r="CZ640" i="48"/>
  <c r="W640" i="48" s="1"/>
  <c r="CZ642" i="48"/>
  <c r="W642" i="48" s="1"/>
  <c r="CZ634" i="48"/>
  <c r="W634" i="48" s="1"/>
  <c r="CZ636" i="48"/>
  <c r="W636" i="48" s="1"/>
  <c r="CZ644" i="48"/>
  <c r="W644" i="48" s="1"/>
  <c r="CZ650" i="48"/>
  <c r="CZ635" i="48"/>
  <c r="CZ643" i="48"/>
  <c r="W643" i="48" s="1"/>
  <c r="CZ651" i="48"/>
  <c r="W651" i="48" s="1"/>
  <c r="CZ647" i="48"/>
  <c r="W647" i="48" s="1"/>
  <c r="CZ637" i="48"/>
  <c r="W637" i="48" s="1"/>
  <c r="CZ645" i="48"/>
  <c r="W645" i="48" s="1"/>
  <c r="CZ639" i="48"/>
  <c r="W639" i="48" s="1"/>
  <c r="CZ641" i="48"/>
  <c r="W641" i="48" s="1"/>
  <c r="CZ648" i="48"/>
  <c r="W648" i="48" s="1"/>
  <c r="CZ632" i="48"/>
  <c r="CZ646" i="48"/>
  <c r="W646" i="48" s="1"/>
  <c r="CZ622" i="48"/>
  <c r="W622" i="48" s="1"/>
  <c r="CZ624" i="48"/>
  <c r="W624" i="48" s="1"/>
  <c r="CZ610" i="48"/>
  <c r="W610" i="48" s="1"/>
  <c r="CZ620" i="48"/>
  <c r="W620" i="48" s="1"/>
  <c r="CZ625" i="48"/>
  <c r="W625" i="48" s="1"/>
  <c r="CZ611" i="48"/>
  <c r="W611" i="48" s="1"/>
  <c r="CZ615" i="48"/>
  <c r="W615" i="48" s="1"/>
  <c r="CZ617" i="48"/>
  <c r="W617" i="48" s="1"/>
  <c r="CZ621" i="48"/>
  <c r="W621" i="48" s="1"/>
  <c r="CZ606" i="48"/>
  <c r="CZ607" i="48"/>
  <c r="W607" i="48" s="1"/>
  <c r="CZ623" i="48"/>
  <c r="W623" i="48" s="1"/>
  <c r="CZ614" i="48"/>
  <c r="CZ613" i="48"/>
  <c r="W613" i="48" s="1"/>
  <c r="CZ612" i="48"/>
  <c r="W612" i="48" s="1"/>
  <c r="CZ608" i="48"/>
  <c r="W608" i="48" s="1"/>
  <c r="CZ619" i="48"/>
  <c r="CZ616" i="48"/>
  <c r="W616" i="48" s="1"/>
  <c r="CZ609" i="48"/>
  <c r="CZ618" i="48"/>
  <c r="CZ591" i="48"/>
  <c r="W591" i="48" s="1"/>
  <c r="CZ583" i="48"/>
  <c r="W583" i="48" s="1"/>
  <c r="CZ582" i="48"/>
  <c r="W582" i="48" s="1"/>
  <c r="CZ588" i="48"/>
  <c r="W588" i="48" s="1"/>
  <c r="CZ599" i="48"/>
  <c r="W599" i="48" s="1"/>
  <c r="CZ584" i="48"/>
  <c r="CZ589" i="48"/>
  <c r="CZ587" i="48"/>
  <c r="W587" i="48" s="1"/>
  <c r="CZ581" i="48"/>
  <c r="CZ592" i="48"/>
  <c r="W592" i="48" s="1"/>
  <c r="CZ590" i="48"/>
  <c r="CZ586" i="48"/>
  <c r="W586" i="48" s="1"/>
  <c r="CZ585" i="48"/>
  <c r="CZ596" i="48"/>
  <c r="W596" i="48" s="1"/>
  <c r="CZ598" i="48"/>
  <c r="W598" i="48" s="1"/>
  <c r="CZ597" i="48"/>
  <c r="W597" i="48" s="1"/>
  <c r="CZ600" i="48"/>
  <c r="CZ593" i="48"/>
  <c r="CZ594" i="48"/>
  <c r="W594" i="48" s="1"/>
  <c r="CZ595" i="48"/>
  <c r="W595" i="48" s="1"/>
  <c r="CZ567" i="48"/>
  <c r="W567" i="48" s="1"/>
  <c r="CZ561" i="48"/>
  <c r="W561" i="48" s="1"/>
  <c r="CZ563" i="48"/>
  <c r="W563" i="48" s="1"/>
  <c r="CZ559" i="48"/>
  <c r="CZ564" i="48"/>
  <c r="W564" i="48" s="1"/>
  <c r="CZ576" i="48"/>
  <c r="W576" i="48" s="1"/>
  <c r="CZ566" i="48"/>
  <c r="W566" i="48" s="1"/>
  <c r="CZ575" i="48"/>
  <c r="W575" i="48" s="1"/>
  <c r="CZ560" i="48"/>
  <c r="CZ571" i="48"/>
  <c r="W571" i="48" s="1"/>
  <c r="CZ568" i="48"/>
  <c r="W568" i="48" s="1"/>
  <c r="CZ558" i="48"/>
  <c r="CZ574" i="48"/>
  <c r="W574" i="48" s="1"/>
  <c r="CZ573" i="48"/>
  <c r="W573" i="48" s="1"/>
  <c r="CZ572" i="48"/>
  <c r="W572" i="48" s="1"/>
  <c r="CZ557" i="48"/>
  <c r="CZ569" i="48"/>
  <c r="W569" i="48" s="1"/>
  <c r="CZ556" i="48"/>
  <c r="CZ565" i="48"/>
  <c r="W565" i="48" s="1"/>
  <c r="CZ562" i="48"/>
  <c r="CZ570" i="48"/>
  <c r="CZ543" i="48"/>
  <c r="W543" i="48" s="1"/>
  <c r="CZ541" i="48"/>
  <c r="W541" i="48" s="1"/>
  <c r="CZ540" i="48"/>
  <c r="W540" i="48" s="1"/>
  <c r="CZ544" i="48"/>
  <c r="W544" i="48" s="1"/>
  <c r="CZ545" i="48"/>
  <c r="W545" i="48" s="1"/>
  <c r="CZ542" i="48"/>
  <c r="CZ546" i="48"/>
  <c r="W546" i="48" s="1"/>
  <c r="CZ549" i="48"/>
  <c r="W549" i="48" s="1"/>
  <c r="CZ533" i="48"/>
  <c r="W533" i="48" s="1"/>
  <c r="CZ548" i="48"/>
  <c r="W548" i="48" s="1"/>
  <c r="CZ539" i="48"/>
  <c r="W539" i="48" s="1"/>
  <c r="CZ536" i="48"/>
  <c r="W536" i="48" s="1"/>
  <c r="CZ534" i="48"/>
  <c r="CZ532" i="48"/>
  <c r="W532" i="48" s="1"/>
  <c r="CZ547" i="48"/>
  <c r="CZ551" i="48"/>
  <c r="W551" i="48" s="1"/>
  <c r="CZ531" i="48"/>
  <c r="CZ535" i="48"/>
  <c r="W535" i="48" s="1"/>
  <c r="CZ538" i="48"/>
  <c r="W538" i="48" s="1"/>
  <c r="CZ550" i="48"/>
  <c r="CZ537" i="48"/>
  <c r="W537" i="48" s="1"/>
  <c r="CZ512" i="48"/>
  <c r="W512" i="48" s="1"/>
  <c r="CZ518" i="48"/>
  <c r="W518" i="48" s="1"/>
  <c r="CZ522" i="48"/>
  <c r="W522" i="48" s="1"/>
  <c r="CZ508" i="48"/>
  <c r="W508" i="48" s="1"/>
  <c r="CZ524" i="48"/>
  <c r="W524" i="48" s="1"/>
  <c r="CZ515" i="48"/>
  <c r="W515" i="48" s="1"/>
  <c r="CZ526" i="48"/>
  <c r="W526" i="48" s="1"/>
  <c r="CZ514" i="48"/>
  <c r="W514" i="48" s="1"/>
  <c r="CZ521" i="48"/>
  <c r="W521" i="48" s="1"/>
  <c r="CZ509" i="48"/>
  <c r="W509" i="48" s="1"/>
  <c r="CZ525" i="48"/>
  <c r="W525" i="48" s="1"/>
  <c r="CZ523" i="48"/>
  <c r="W523" i="48" s="1"/>
  <c r="CZ517" i="48"/>
  <c r="W517" i="48" s="1"/>
  <c r="CZ513" i="48"/>
  <c r="W513" i="48" s="1"/>
  <c r="CZ519" i="48"/>
  <c r="CZ510" i="48"/>
  <c r="CZ520" i="48"/>
  <c r="W520" i="48" s="1"/>
  <c r="CZ506" i="48"/>
  <c r="CZ507" i="48"/>
  <c r="W507" i="48" s="1"/>
  <c r="CZ511" i="48"/>
  <c r="CZ516" i="48"/>
  <c r="W516" i="48" s="1"/>
  <c r="CZ495" i="48"/>
  <c r="W495" i="48" s="1"/>
  <c r="CZ488" i="48"/>
  <c r="W488" i="48" s="1"/>
  <c r="CZ492" i="48"/>
  <c r="W492" i="48" s="1"/>
  <c r="CZ501" i="48"/>
  <c r="W501" i="48" s="1"/>
  <c r="CZ481" i="48"/>
  <c r="CZ487" i="48"/>
  <c r="W487" i="48" s="1"/>
  <c r="CZ498" i="48"/>
  <c r="W498" i="48" s="1"/>
  <c r="CZ493" i="48"/>
  <c r="W493" i="48" s="1"/>
  <c r="CZ489" i="48"/>
  <c r="W489" i="48" s="1"/>
  <c r="CZ483" i="48"/>
  <c r="CZ484" i="48"/>
  <c r="W484" i="48" s="1"/>
  <c r="CZ485" i="48"/>
  <c r="W485" i="48" s="1"/>
  <c r="CZ499" i="48"/>
  <c r="CZ496" i="48"/>
  <c r="CZ494" i="48"/>
  <c r="W494" i="48" s="1"/>
  <c r="CZ491" i="48"/>
  <c r="W491" i="48" s="1"/>
  <c r="CZ482" i="48"/>
  <c r="CZ500" i="48"/>
  <c r="W500" i="48" s="1"/>
  <c r="CZ486" i="48"/>
  <c r="W486" i="48" s="1"/>
  <c r="CZ490" i="48"/>
  <c r="W490" i="48" s="1"/>
  <c r="CZ497" i="48"/>
  <c r="W497" i="48" s="1"/>
  <c r="CZ461" i="48"/>
  <c r="W461" i="48" s="1"/>
  <c r="CZ472" i="48"/>
  <c r="W472" i="48" s="1"/>
  <c r="CZ475" i="48"/>
  <c r="W475" i="48" s="1"/>
  <c r="CZ465" i="48"/>
  <c r="W465" i="48" s="1"/>
  <c r="CZ467" i="48"/>
  <c r="W467" i="48" s="1"/>
  <c r="CZ466" i="48"/>
  <c r="W466" i="48" s="1"/>
  <c r="CZ473" i="48"/>
  <c r="W473" i="48" s="1"/>
  <c r="CZ468" i="48"/>
  <c r="W468" i="48" s="1"/>
  <c r="CZ470" i="48"/>
  <c r="W470" i="48" s="1"/>
  <c r="CZ476" i="48"/>
  <c r="W476" i="48" s="1"/>
  <c r="CZ462" i="48"/>
  <c r="W462" i="48" s="1"/>
  <c r="CZ471" i="48"/>
  <c r="W471" i="48" s="1"/>
  <c r="CZ459" i="48"/>
  <c r="W459" i="48" s="1"/>
  <c r="CZ463" i="48"/>
  <c r="W463" i="48" s="1"/>
  <c r="CZ456" i="48"/>
  <c r="CZ458" i="48"/>
  <c r="W458" i="48" s="1"/>
  <c r="CZ457" i="48"/>
  <c r="W457" i="48" s="1"/>
  <c r="CZ464" i="48"/>
  <c r="CZ474" i="48"/>
  <c r="CZ469" i="48"/>
  <c r="CZ460" i="48"/>
  <c r="CZ440" i="48"/>
  <c r="W440" i="48" s="1"/>
  <c r="CZ441" i="48"/>
  <c r="W441" i="48" s="1"/>
  <c r="CZ448" i="48"/>
  <c r="W448" i="48" s="1"/>
  <c r="CZ450" i="48"/>
  <c r="W450" i="48" s="1"/>
  <c r="CZ446" i="48"/>
  <c r="W446" i="48" s="1"/>
  <c r="CZ435" i="48"/>
  <c r="W435" i="48" s="1"/>
  <c r="CZ442" i="48"/>
  <c r="W442" i="48" s="1"/>
  <c r="CZ439" i="48"/>
  <c r="W439" i="48" s="1"/>
  <c r="CZ437" i="48"/>
  <c r="W437" i="48" s="1"/>
  <c r="CZ433" i="48"/>
  <c r="W433" i="48" s="1"/>
  <c r="CZ445" i="48"/>
  <c r="W445" i="48" s="1"/>
  <c r="CZ444" i="48"/>
  <c r="W444" i="48" s="1"/>
  <c r="CZ432" i="48"/>
  <c r="W432" i="48" s="1"/>
  <c r="CZ443" i="48"/>
  <c r="W443" i="48" s="1"/>
  <c r="CZ438" i="48"/>
  <c r="CZ447" i="48"/>
  <c r="CZ436" i="48"/>
  <c r="W436" i="48" s="1"/>
  <c r="CZ431" i="48"/>
  <c r="CZ434" i="48"/>
  <c r="W434" i="48" s="1"/>
  <c r="CZ449" i="48"/>
  <c r="AD415" i="48"/>
  <c r="AD411" i="48"/>
  <c r="AD418" i="48"/>
  <c r="AJ418" i="48" s="1"/>
  <c r="CZ398" i="48"/>
  <c r="W398" i="48" s="1"/>
  <c r="CZ395" i="48"/>
  <c r="W395" i="48" s="1"/>
  <c r="CZ392" i="48"/>
  <c r="W392" i="48" s="1"/>
  <c r="CZ394" i="48"/>
  <c r="W394" i="48" s="1"/>
  <c r="CZ391" i="48"/>
  <c r="W391" i="48" s="1"/>
  <c r="CZ390" i="48"/>
  <c r="W390" i="48" s="1"/>
  <c r="CZ396" i="48"/>
  <c r="CZ382" i="48"/>
  <c r="W382" i="48" s="1"/>
  <c r="CZ381" i="48"/>
  <c r="CZ385" i="48"/>
  <c r="W385" i="48" s="1"/>
  <c r="CZ387" i="48"/>
  <c r="W387" i="48" s="1"/>
  <c r="CZ384" i="48"/>
  <c r="W384" i="48" s="1"/>
  <c r="CZ388" i="48"/>
  <c r="W388" i="48" s="1"/>
  <c r="CZ400" i="48"/>
  <c r="W400" i="48" s="1"/>
  <c r="CZ397" i="48"/>
  <c r="CZ386" i="48"/>
  <c r="CZ383" i="48"/>
  <c r="CZ393" i="48"/>
  <c r="W393" i="48" s="1"/>
  <c r="CZ399" i="48"/>
  <c r="W399" i="48" s="1"/>
  <c r="CZ389" i="48"/>
  <c r="W389" i="48" s="1"/>
  <c r="CZ368" i="48"/>
  <c r="CZ367" i="48"/>
  <c r="W367" i="48" s="1"/>
  <c r="CZ361" i="48"/>
  <c r="W361" i="48" s="1"/>
  <c r="CZ369" i="48"/>
  <c r="W369" i="48" s="1"/>
  <c r="CZ372" i="48"/>
  <c r="W372" i="48" s="1"/>
  <c r="CZ374" i="48"/>
  <c r="W374" i="48" s="1"/>
  <c r="CZ358" i="48"/>
  <c r="W358" i="48" s="1"/>
  <c r="CZ370" i="48"/>
  <c r="CZ362" i="48"/>
  <c r="W362" i="48" s="1"/>
  <c r="CZ375" i="48"/>
  <c r="CZ359" i="48"/>
  <c r="CZ365" i="48"/>
  <c r="CZ363" i="48"/>
  <c r="CZ360" i="48"/>
  <c r="W360" i="48" s="1"/>
  <c r="CZ373" i="48"/>
  <c r="W373" i="48" s="1"/>
  <c r="CZ371" i="48"/>
  <c r="CZ356" i="48"/>
  <c r="CZ357" i="48"/>
  <c r="W357" i="48" s="1"/>
  <c r="CZ366" i="48"/>
  <c r="CZ364" i="48"/>
  <c r="W364" i="48" s="1"/>
  <c r="CZ345" i="48"/>
  <c r="W345" i="48" s="1"/>
  <c r="CZ339" i="48"/>
  <c r="W339" i="48" s="1"/>
  <c r="CZ346" i="48"/>
  <c r="W346" i="48" s="1"/>
  <c r="CZ332" i="48"/>
  <c r="W332" i="48" s="1"/>
  <c r="CZ331" i="48"/>
  <c r="CZ347" i="48"/>
  <c r="W347" i="48" s="1"/>
  <c r="CZ351" i="48"/>
  <c r="W351" i="48" s="1"/>
  <c r="CZ342" i="48"/>
  <c r="W342" i="48" s="1"/>
  <c r="CZ349" i="48"/>
  <c r="W349" i="48" s="1"/>
  <c r="CZ337" i="48"/>
  <c r="W337" i="48" s="1"/>
  <c r="CZ333" i="48"/>
  <c r="CZ343" i="48"/>
  <c r="W343" i="48" s="1"/>
  <c r="CZ340" i="48"/>
  <c r="CZ335" i="48"/>
  <c r="W335" i="48" s="1"/>
  <c r="CZ344" i="48"/>
  <c r="W344" i="48" s="1"/>
  <c r="CZ334" i="48"/>
  <c r="W334" i="48" s="1"/>
  <c r="CZ341" i="48"/>
  <c r="CZ348" i="48"/>
  <c r="CZ336" i="48"/>
  <c r="CZ338" i="48"/>
  <c r="CZ314" i="48"/>
  <c r="W314" i="48" s="1"/>
  <c r="CZ325" i="48"/>
  <c r="W325" i="48" s="1"/>
  <c r="CZ326" i="48"/>
  <c r="W326" i="48" s="1"/>
  <c r="CZ312" i="48"/>
  <c r="W312" i="48" s="1"/>
  <c r="CZ315" i="48"/>
  <c r="CZ310" i="48"/>
  <c r="W310" i="48" s="1"/>
  <c r="CZ316" i="48"/>
  <c r="W316" i="48" s="1"/>
  <c r="CZ317" i="48"/>
  <c r="W317" i="48" s="1"/>
  <c r="CZ313" i="48"/>
  <c r="CZ320" i="48"/>
  <c r="W320" i="48" s="1"/>
  <c r="CZ321" i="48"/>
  <c r="W321" i="48" s="1"/>
  <c r="CZ322" i="48"/>
  <c r="W322" i="48" s="1"/>
  <c r="CZ323" i="48"/>
  <c r="W323" i="48" s="1"/>
  <c r="CZ319" i="48"/>
  <c r="W319" i="48" s="1"/>
  <c r="CZ318" i="48"/>
  <c r="W318" i="48" s="1"/>
  <c r="CZ311" i="48"/>
  <c r="CZ309" i="48"/>
  <c r="W309" i="48" s="1"/>
  <c r="CZ308" i="48"/>
  <c r="W308" i="48" s="1"/>
  <c r="CZ324" i="48"/>
  <c r="W324" i="48" s="1"/>
  <c r="CZ307" i="48"/>
  <c r="CZ292" i="48"/>
  <c r="W292" i="48" s="1"/>
  <c r="CZ299" i="48"/>
  <c r="W299" i="48" s="1"/>
  <c r="CZ300" i="48"/>
  <c r="W300" i="48" s="1"/>
  <c r="CZ284" i="48"/>
  <c r="W284" i="48" s="1"/>
  <c r="CZ285" i="48"/>
  <c r="CZ282" i="48"/>
  <c r="W282" i="48" s="1"/>
  <c r="CZ289" i="48"/>
  <c r="W289" i="48" s="1"/>
  <c r="CZ286" i="48"/>
  <c r="W286" i="48" s="1"/>
  <c r="CZ295" i="48"/>
  <c r="W295" i="48" s="1"/>
  <c r="CZ297" i="48"/>
  <c r="W297" i="48" s="1"/>
  <c r="CZ293" i="48"/>
  <c r="W293" i="48" s="1"/>
  <c r="CZ294" i="48"/>
  <c r="W294" i="48" s="1"/>
  <c r="CZ281" i="48"/>
  <c r="CZ287" i="48"/>
  <c r="W287" i="48" s="1"/>
  <c r="CZ298" i="48"/>
  <c r="CZ283" i="48"/>
  <c r="CZ288" i="48"/>
  <c r="CZ290" i="48"/>
  <c r="W290" i="48" s="1"/>
  <c r="CZ291" i="48"/>
  <c r="CZ296" i="48"/>
  <c r="W296" i="48" s="1"/>
  <c r="CZ267" i="48"/>
  <c r="W267" i="48" s="1"/>
  <c r="CZ275" i="48"/>
  <c r="W275" i="48" s="1"/>
  <c r="CZ259" i="48"/>
  <c r="W259" i="48" s="1"/>
  <c r="CZ260" i="48"/>
  <c r="W260" i="48" s="1"/>
  <c r="CZ268" i="48"/>
  <c r="CZ269" i="48"/>
  <c r="W269" i="48" s="1"/>
  <c r="CZ270" i="48"/>
  <c r="W270" i="48" s="1"/>
  <c r="CZ266" i="48"/>
  <c r="W266" i="48" s="1"/>
  <c r="CZ265" i="48"/>
  <c r="W265" i="48" s="1"/>
  <c r="CZ262" i="48"/>
  <c r="W262" i="48" s="1"/>
  <c r="CZ273" i="48"/>
  <c r="W273" i="48" s="1"/>
  <c r="CZ256" i="48"/>
  <c r="CZ264" i="48"/>
  <c r="W264" i="48" s="1"/>
  <c r="CZ274" i="48"/>
  <c r="W274" i="48" s="1"/>
  <c r="CZ261" i="48"/>
  <c r="W261" i="48" s="1"/>
  <c r="CZ257" i="48"/>
  <c r="CZ271" i="48"/>
  <c r="W271" i="48" s="1"/>
  <c r="CZ258" i="48"/>
  <c r="W258" i="48" s="1"/>
  <c r="CZ263" i="48"/>
  <c r="W263" i="48" s="1"/>
  <c r="CZ272" i="48"/>
  <c r="W272" i="48" s="1"/>
  <c r="CZ245" i="48"/>
  <c r="W245" i="48" s="1"/>
  <c r="CZ250" i="48"/>
  <c r="W250" i="48" s="1"/>
  <c r="CZ240" i="48"/>
  <c r="W240" i="48" s="1"/>
  <c r="CZ232" i="48"/>
  <c r="W232" i="48" s="1"/>
  <c r="CZ239" i="48"/>
  <c r="W239" i="48" s="1"/>
  <c r="CZ241" i="48"/>
  <c r="W241" i="48" s="1"/>
  <c r="CZ236" i="48"/>
  <c r="W236" i="48" s="1"/>
  <c r="CZ244" i="48"/>
  <c r="W244" i="48" s="1"/>
  <c r="CZ243" i="48"/>
  <c r="CZ242" i="48"/>
  <c r="W242" i="48" s="1"/>
  <c r="CZ249" i="48"/>
  <c r="W249" i="48" s="1"/>
  <c r="CZ248" i="48"/>
  <c r="W248" i="48" s="1"/>
  <c r="CZ231" i="48"/>
  <c r="CZ238" i="48"/>
  <c r="W238" i="48" s="1"/>
  <c r="CZ235" i="48"/>
  <c r="W235" i="48" s="1"/>
  <c r="CZ234" i="48"/>
  <c r="W234" i="48" s="1"/>
  <c r="CZ233" i="48"/>
  <c r="CZ246" i="48"/>
  <c r="W246" i="48" s="1"/>
  <c r="CZ237" i="48"/>
  <c r="CZ247" i="48"/>
  <c r="CZ216" i="48"/>
  <c r="W216" i="48" s="1"/>
  <c r="CZ210" i="48"/>
  <c r="W210" i="48" s="1"/>
  <c r="CZ208" i="48"/>
  <c r="W208" i="48" s="1"/>
  <c r="CZ214" i="48"/>
  <c r="W214" i="48" s="1"/>
  <c r="CZ211" i="48"/>
  <c r="W211" i="48" s="1"/>
  <c r="CZ221" i="48"/>
  <c r="W221" i="48" s="1"/>
  <c r="CZ213" i="48"/>
  <c r="W213" i="48" s="1"/>
  <c r="CZ217" i="48"/>
  <c r="W217" i="48" s="1"/>
  <c r="CZ219" i="48"/>
  <c r="W219" i="48" s="1"/>
  <c r="CZ212" i="48"/>
  <c r="W212" i="48" s="1"/>
  <c r="CZ209" i="48"/>
  <c r="CZ225" i="48"/>
  <c r="W225" i="48" s="1"/>
  <c r="CZ207" i="48"/>
  <c r="W207" i="48" s="1"/>
  <c r="CZ220" i="48"/>
  <c r="W220" i="48" s="1"/>
  <c r="CZ226" i="48"/>
  <c r="W226" i="48" s="1"/>
  <c r="X227" i="48" s="1"/>
  <c r="CZ206" i="48"/>
  <c r="CZ224" i="48"/>
  <c r="W224" i="48" s="1"/>
  <c r="CZ215" i="48"/>
  <c r="W215" i="48" s="1"/>
  <c r="CZ218" i="48"/>
  <c r="W218" i="48" s="1"/>
  <c r="CZ223" i="48"/>
  <c r="W223" i="48" s="1"/>
  <c r="CZ222" i="48"/>
  <c r="W222" i="48" s="1"/>
  <c r="CZ194" i="48"/>
  <c r="W194" i="48" s="1"/>
  <c r="CZ184" i="48"/>
  <c r="W184" i="48" s="1"/>
  <c r="CZ183" i="48"/>
  <c r="W183" i="48" s="1"/>
  <c r="CZ182" i="48"/>
  <c r="CZ181" i="48"/>
  <c r="CZ185" i="48"/>
  <c r="CZ188" i="48"/>
  <c r="W188" i="48" s="1"/>
  <c r="CZ193" i="48"/>
  <c r="W193" i="48" s="1"/>
  <c r="CZ187" i="48"/>
  <c r="W187" i="48" s="1"/>
  <c r="CZ197" i="48"/>
  <c r="W197" i="48" s="1"/>
  <c r="CZ196" i="48"/>
  <c r="W196" i="48" s="1"/>
  <c r="CZ186" i="48"/>
  <c r="W186" i="48" s="1"/>
  <c r="CZ191" i="48"/>
  <c r="W191" i="48" s="1"/>
  <c r="CZ201" i="48"/>
  <c r="W201" i="48" s="1"/>
  <c r="X202" i="48" s="1"/>
  <c r="CZ195" i="48"/>
  <c r="CZ189" i="48"/>
  <c r="W189" i="48" s="1"/>
  <c r="CZ199" i="48"/>
  <c r="W199" i="48" s="1"/>
  <c r="CZ192" i="48"/>
  <c r="CZ190" i="48"/>
  <c r="W190" i="48" s="1"/>
  <c r="CZ198" i="48"/>
  <c r="W198" i="48" s="1"/>
  <c r="CZ158" i="48"/>
  <c r="W158" i="48" s="1"/>
  <c r="CZ168" i="48"/>
  <c r="W168" i="48" s="1"/>
  <c r="CZ156" i="48"/>
  <c r="CZ174" i="48"/>
  <c r="W174" i="48" s="1"/>
  <c r="CZ167" i="48"/>
  <c r="W167" i="48" s="1"/>
  <c r="CZ170" i="48"/>
  <c r="W170" i="48" s="1"/>
  <c r="CZ175" i="48"/>
  <c r="W175" i="48" s="1"/>
  <c r="CZ172" i="48"/>
  <c r="W172" i="48" s="1"/>
  <c r="CZ159" i="48"/>
  <c r="CZ164" i="48"/>
  <c r="W164" i="48" s="1"/>
  <c r="CZ163" i="48"/>
  <c r="W163" i="48" s="1"/>
  <c r="CZ160" i="48"/>
  <c r="CZ171" i="48"/>
  <c r="W171" i="48" s="1"/>
  <c r="CZ166" i="48"/>
  <c r="W166" i="48" s="1"/>
  <c r="CZ161" i="48"/>
  <c r="W161" i="48" s="1"/>
  <c r="CZ169" i="48"/>
  <c r="W169" i="48" s="1"/>
  <c r="CZ157" i="48"/>
  <c r="W157" i="48" s="1"/>
  <c r="CZ165" i="48"/>
  <c r="CZ173" i="48"/>
  <c r="W173" i="48" s="1"/>
  <c r="CZ162" i="48"/>
  <c r="W162" i="48" s="1"/>
  <c r="AD143" i="48"/>
  <c r="AD145" i="48"/>
  <c r="AD150" i="48"/>
  <c r="AD147" i="48"/>
  <c r="AJ147" i="48" s="1"/>
  <c r="AD133" i="48"/>
  <c r="AD131" i="48"/>
  <c r="CZ112" i="48"/>
  <c r="CZ118" i="48"/>
  <c r="W118" i="48" s="1"/>
  <c r="CZ122" i="48"/>
  <c r="W122" i="48" s="1"/>
  <c r="CZ113" i="48"/>
  <c r="W113" i="48" s="1"/>
  <c r="CZ109" i="48"/>
  <c r="W109" i="48" s="1"/>
  <c r="CZ108" i="48"/>
  <c r="W108" i="48" s="1"/>
  <c r="CZ124" i="48"/>
  <c r="CZ115" i="48"/>
  <c r="W115" i="48" s="1"/>
  <c r="CZ121" i="48"/>
  <c r="W121" i="48" s="1"/>
  <c r="CZ116" i="48"/>
  <c r="W116" i="48" s="1"/>
  <c r="CZ123" i="48"/>
  <c r="W123" i="48" s="1"/>
  <c r="CZ110" i="48"/>
  <c r="W110" i="48" s="1"/>
  <c r="CZ126" i="48"/>
  <c r="W126" i="48" s="1"/>
  <c r="X127" i="48" s="1"/>
  <c r="CZ117" i="48"/>
  <c r="W117" i="48" s="1"/>
  <c r="CZ111" i="48"/>
  <c r="W111" i="48" s="1"/>
  <c r="CZ119" i="48"/>
  <c r="W119" i="48" s="1"/>
  <c r="CZ106" i="48"/>
  <c r="CZ107" i="48"/>
  <c r="W107" i="48" s="1"/>
  <c r="CZ120" i="48"/>
  <c r="W120" i="48" s="1"/>
  <c r="CZ114" i="48"/>
  <c r="W114" i="48" s="1"/>
  <c r="CZ85" i="48"/>
  <c r="W85" i="48" s="1"/>
  <c r="CZ91" i="48"/>
  <c r="W91" i="48" s="1"/>
  <c r="CZ88" i="48"/>
  <c r="W88" i="48" s="1"/>
  <c r="CZ92" i="48"/>
  <c r="W92" i="48" s="1"/>
  <c r="CZ96" i="48"/>
  <c r="W96" i="48" s="1"/>
  <c r="CZ87" i="48"/>
  <c r="W87" i="48" s="1"/>
  <c r="CZ95" i="48"/>
  <c r="W95" i="48" s="1"/>
  <c r="CZ99" i="48"/>
  <c r="W99" i="48" s="1"/>
  <c r="CZ98" i="48"/>
  <c r="W98" i="48" s="1"/>
  <c r="CZ84" i="48"/>
  <c r="W84" i="48" s="1"/>
  <c r="CZ86" i="48"/>
  <c r="W86" i="48" s="1"/>
  <c r="CZ90" i="48"/>
  <c r="W90" i="48" s="1"/>
  <c r="CZ97" i="48"/>
  <c r="CZ101" i="48"/>
  <c r="W101" i="48" s="1"/>
  <c r="X102" i="48" s="1"/>
  <c r="CZ89" i="48"/>
  <c r="CZ81" i="48"/>
  <c r="CZ94" i="48"/>
  <c r="W94" i="48" s="1"/>
  <c r="CZ83" i="48"/>
  <c r="W83" i="48" s="1"/>
  <c r="CZ93" i="48"/>
  <c r="W93" i="48" s="1"/>
  <c r="CZ100" i="48"/>
  <c r="CZ82" i="48"/>
  <c r="W82" i="48" s="1"/>
  <c r="CZ69" i="48"/>
  <c r="W69" i="48" s="1"/>
  <c r="CZ75" i="48"/>
  <c r="W75" i="48" s="1"/>
  <c r="CZ68" i="48"/>
  <c r="W68" i="48" s="1"/>
  <c r="CZ61" i="48"/>
  <c r="W61" i="48" s="1"/>
  <c r="CZ67" i="48"/>
  <c r="W67" i="48" s="1"/>
  <c r="CZ58" i="48"/>
  <c r="W58" i="48" s="1"/>
  <c r="CZ65" i="48"/>
  <c r="W65" i="48" s="1"/>
  <c r="CZ73" i="48"/>
  <c r="W73" i="48" s="1"/>
  <c r="CZ63" i="48"/>
  <c r="W63" i="48" s="1"/>
  <c r="CZ56" i="48"/>
  <c r="CZ66" i="48"/>
  <c r="CZ62" i="48"/>
  <c r="CZ70" i="48"/>
  <c r="CZ71" i="48"/>
  <c r="W71" i="48" s="1"/>
  <c r="CZ60" i="48"/>
  <c r="W60" i="48" s="1"/>
  <c r="CZ72" i="48"/>
  <c r="W72" i="48" s="1"/>
  <c r="CZ74" i="48"/>
  <c r="W74" i="48" s="1"/>
  <c r="CZ59" i="48"/>
  <c r="W59" i="48" s="1"/>
  <c r="CZ57" i="48"/>
  <c r="CZ64" i="48"/>
  <c r="W64" i="48" s="1"/>
  <c r="CZ35" i="48"/>
  <c r="W35" i="48" s="1"/>
  <c r="CZ43" i="48"/>
  <c r="W43" i="48" s="1"/>
  <c r="CZ33" i="48"/>
  <c r="W33" i="48" s="1"/>
  <c r="CZ41" i="48"/>
  <c r="W41" i="48" s="1"/>
  <c r="CZ49" i="48"/>
  <c r="CZ31" i="48"/>
  <c r="CZ45" i="48"/>
  <c r="CZ47" i="48"/>
  <c r="CZ48" i="48"/>
  <c r="CZ34" i="48"/>
  <c r="W34" i="48" s="1"/>
  <c r="CZ44" i="48"/>
  <c r="W44" i="48" s="1"/>
  <c r="CZ39" i="48"/>
  <c r="W39" i="48" s="1"/>
  <c r="CZ32" i="48"/>
  <c r="W32" i="48" s="1"/>
  <c r="CZ37" i="48"/>
  <c r="W37" i="48" s="1"/>
  <c r="CZ51" i="48"/>
  <c r="W51" i="48" s="1"/>
  <c r="X52" i="48" s="1"/>
  <c r="CZ36" i="48"/>
  <c r="W36" i="48" s="1"/>
  <c r="CZ38" i="48"/>
  <c r="W38" i="48" s="1"/>
  <c r="CZ46" i="48"/>
  <c r="W46" i="48" s="1"/>
  <c r="CZ40" i="48"/>
  <c r="W40" i="48" s="1"/>
  <c r="CZ42" i="48"/>
  <c r="DB7" i="48"/>
  <c r="AD200" i="48"/>
  <c r="AJ411" i="48"/>
  <c r="DB26" i="48"/>
  <c r="AD125" i="48"/>
  <c r="AD350" i="48"/>
  <c r="AD50" i="48"/>
  <c r="AD276" i="48"/>
  <c r="DB15" i="48"/>
  <c r="DB24" i="48"/>
  <c r="DB21" i="48"/>
  <c r="DB18" i="48"/>
  <c r="AD10" i="48"/>
  <c r="DB10" i="48"/>
  <c r="DB11" i="48"/>
  <c r="DB23" i="48"/>
  <c r="DB9" i="48"/>
  <c r="DB12" i="48"/>
  <c r="DB14" i="48"/>
  <c r="DB17" i="48"/>
  <c r="DB16" i="48"/>
  <c r="DB8" i="48"/>
  <c r="X19" i="48"/>
  <c r="DB19" i="48"/>
  <c r="DB20" i="48"/>
  <c r="DB13" i="48"/>
  <c r="X22" i="48"/>
  <c r="DB22" i="48"/>
  <c r="AN411" i="48"/>
  <c r="AM411" i="48"/>
  <c r="AL411" i="48"/>
  <c r="DB859" i="48" l="1"/>
  <c r="AN147" i="48"/>
  <c r="DB1352" i="48"/>
  <c r="AL147" i="48"/>
  <c r="DB1149" i="48"/>
  <c r="DB1136" i="48"/>
  <c r="AM147" i="48"/>
  <c r="AN134" i="48"/>
  <c r="AM134" i="48"/>
  <c r="AL134" i="48"/>
  <c r="DB1108" i="48"/>
  <c r="DB908" i="48"/>
  <c r="DB1015" i="48"/>
  <c r="DB923" i="48"/>
  <c r="DB932" i="48"/>
  <c r="DB958" i="48"/>
  <c r="DB982" i="48"/>
  <c r="DB1017" i="48"/>
  <c r="DB1046" i="48"/>
  <c r="DB1071" i="48"/>
  <c r="DB1086" i="48"/>
  <c r="DB1115" i="48"/>
  <c r="DB1327" i="48"/>
  <c r="DB883" i="48"/>
  <c r="DB911" i="48"/>
  <c r="DB967" i="48"/>
  <c r="DB1007" i="48"/>
  <c r="DB1093" i="48"/>
  <c r="DB1117" i="48"/>
  <c r="DB1120" i="48"/>
  <c r="DB1144" i="48"/>
  <c r="DB1198" i="48"/>
  <c r="DB1182" i="48"/>
  <c r="W921" i="48"/>
  <c r="DB921" i="48"/>
  <c r="W863" i="48"/>
  <c r="DB863" i="48"/>
  <c r="W891" i="48"/>
  <c r="DB891" i="48"/>
  <c r="W936" i="48"/>
  <c r="DB936" i="48"/>
  <c r="W972" i="48"/>
  <c r="DB972" i="48"/>
  <c r="W962" i="48"/>
  <c r="AD962" i="48" s="1"/>
  <c r="DB962" i="48"/>
  <c r="W999" i="48"/>
  <c r="DB999" i="48"/>
  <c r="W995" i="48"/>
  <c r="DB995" i="48"/>
  <c r="W1010" i="48"/>
  <c r="DB1010" i="48"/>
  <c r="W1012" i="48"/>
  <c r="DB1012" i="48"/>
  <c r="W1047" i="48"/>
  <c r="DB1047" i="48"/>
  <c r="W1040" i="48"/>
  <c r="DB1040" i="48"/>
  <c r="W1063" i="48"/>
  <c r="DB1063" i="48"/>
  <c r="W1061" i="48"/>
  <c r="DB1061" i="48"/>
  <c r="W1111" i="48"/>
  <c r="DB1111" i="48"/>
  <c r="W1134" i="48"/>
  <c r="AD1134" i="48" s="1"/>
  <c r="DB1134" i="48"/>
  <c r="W1147" i="48"/>
  <c r="DB1147" i="48"/>
  <c r="W1167" i="48"/>
  <c r="DB1167" i="48"/>
  <c r="W1186" i="48"/>
  <c r="DB1186" i="48"/>
  <c r="W1193" i="48"/>
  <c r="AD1193" i="48" s="1"/>
  <c r="DB1193" i="48"/>
  <c r="AL418" i="48"/>
  <c r="W869" i="48"/>
  <c r="DB869" i="48"/>
  <c r="W870" i="48"/>
  <c r="DB870" i="48"/>
  <c r="W871" i="48"/>
  <c r="DB871" i="48"/>
  <c r="W875" i="48"/>
  <c r="DB875" i="48"/>
  <c r="W860" i="48"/>
  <c r="DB860" i="48"/>
  <c r="DB899" i="48"/>
  <c r="W889" i="48"/>
  <c r="AD889" i="48" s="1"/>
  <c r="DB889" i="48"/>
  <c r="W894" i="48"/>
  <c r="DB894" i="48"/>
  <c r="W890" i="48"/>
  <c r="DB890" i="48"/>
  <c r="W917" i="48"/>
  <c r="AD917" i="48" s="1"/>
  <c r="DB917" i="48"/>
  <c r="W918" i="48"/>
  <c r="AD918" i="48" s="1"/>
  <c r="DB918" i="48"/>
  <c r="DB920" i="48"/>
  <c r="DB943" i="48"/>
  <c r="W950" i="48"/>
  <c r="DB950" i="48"/>
  <c r="DB933" i="48"/>
  <c r="W948" i="48"/>
  <c r="AD948" i="48" s="1"/>
  <c r="DB948" i="48"/>
  <c r="W946" i="48"/>
  <c r="DB946" i="48"/>
  <c r="W944" i="48"/>
  <c r="DB944" i="48"/>
  <c r="W969" i="48"/>
  <c r="DB969" i="48"/>
  <c r="W974" i="48"/>
  <c r="DB974" i="48"/>
  <c r="W961" i="48"/>
  <c r="DB961" i="48"/>
  <c r="DB963" i="48"/>
  <c r="W998" i="48"/>
  <c r="DB998" i="48"/>
  <c r="DB985" i="48"/>
  <c r="W989" i="48"/>
  <c r="AD989" i="48" s="1"/>
  <c r="DB989" i="48"/>
  <c r="W1020" i="48"/>
  <c r="DB1020" i="48"/>
  <c r="DB1024" i="48"/>
  <c r="W1011" i="48"/>
  <c r="DB1011" i="48"/>
  <c r="W1018" i="48"/>
  <c r="DB1018" i="48"/>
  <c r="W1039" i="48"/>
  <c r="DB1039" i="48"/>
  <c r="W1041" i="48"/>
  <c r="DB1041" i="48"/>
  <c r="W1044" i="48"/>
  <c r="DB1044" i="48"/>
  <c r="DB1064" i="48"/>
  <c r="DB1073" i="48"/>
  <c r="W1069" i="48"/>
  <c r="DB1069" i="48"/>
  <c r="W1059" i="48"/>
  <c r="AD1059" i="48" s="1"/>
  <c r="DB1059" i="48"/>
  <c r="DB1087" i="48"/>
  <c r="W1089" i="48"/>
  <c r="AD1089" i="48" s="1"/>
  <c r="DB1089" i="48"/>
  <c r="DB1098" i="48"/>
  <c r="DB1099" i="48"/>
  <c r="DB1124" i="48"/>
  <c r="W1122" i="48"/>
  <c r="AD1122" i="48" s="1"/>
  <c r="DB1122" i="48"/>
  <c r="W1121" i="48"/>
  <c r="DB1121" i="48"/>
  <c r="W1137" i="48"/>
  <c r="DB1137" i="48"/>
  <c r="W1145" i="48"/>
  <c r="DB1145" i="48"/>
  <c r="W1133" i="48"/>
  <c r="DB1133" i="48"/>
  <c r="W1150" i="48"/>
  <c r="DB1150" i="48"/>
  <c r="W1160" i="48"/>
  <c r="DB1160" i="48"/>
  <c r="W1171" i="48"/>
  <c r="DB1171" i="48"/>
  <c r="W1161" i="48"/>
  <c r="DB1161" i="48"/>
  <c r="W1166" i="48"/>
  <c r="DB1166" i="48"/>
  <c r="W1168" i="48"/>
  <c r="DB1168" i="48"/>
  <c r="W1185" i="48"/>
  <c r="AD1185" i="48" s="1"/>
  <c r="AN1185" i="48" s="1"/>
  <c r="DB1185" i="48"/>
  <c r="W1192" i="48"/>
  <c r="DB1192" i="48"/>
  <c r="W1188" i="48"/>
  <c r="AD1188" i="48" s="1"/>
  <c r="DB1188" i="48"/>
  <c r="AN1027" i="48"/>
  <c r="AM1027" i="48"/>
  <c r="AL1027" i="48"/>
  <c r="AN1077" i="48"/>
  <c r="AM1077" i="48"/>
  <c r="AL1077" i="48"/>
  <c r="DB1100" i="48"/>
  <c r="AN1152" i="48"/>
  <c r="AL1152" i="48"/>
  <c r="AM1152" i="48"/>
  <c r="DB1002" i="48"/>
  <c r="DB1025" i="48"/>
  <c r="AN1102" i="48"/>
  <c r="AM1102" i="48"/>
  <c r="AL1102" i="48"/>
  <c r="DB1250" i="48"/>
  <c r="W1250" i="48"/>
  <c r="AN1052" i="48"/>
  <c r="AL1052" i="48"/>
  <c r="AM1052" i="48"/>
  <c r="DB952" i="48"/>
  <c r="W867" i="48"/>
  <c r="DB867" i="48"/>
  <c r="W872" i="48"/>
  <c r="DB872" i="48"/>
  <c r="W925" i="48"/>
  <c r="DB925" i="48"/>
  <c r="DB937" i="48"/>
  <c r="W990" i="48"/>
  <c r="DB990" i="48"/>
  <c r="W1019" i="48"/>
  <c r="DB1019" i="48"/>
  <c r="W1023" i="48"/>
  <c r="DB1023" i="48"/>
  <c r="W1072" i="48"/>
  <c r="DB1072" i="48"/>
  <c r="W1096" i="48"/>
  <c r="DB1096" i="48"/>
  <c r="W1084" i="48"/>
  <c r="DB1084" i="48"/>
  <c r="W1123" i="48"/>
  <c r="DB1123" i="48"/>
  <c r="W1135" i="48"/>
  <c r="DB1135" i="48"/>
  <c r="W1158" i="48"/>
  <c r="AD1158" i="48" s="1"/>
  <c r="DB1158" i="48"/>
  <c r="W1162" i="48"/>
  <c r="DB1162" i="48"/>
  <c r="W1199" i="48"/>
  <c r="DB1199" i="48"/>
  <c r="AM418" i="48"/>
  <c r="AJ200" i="48"/>
  <c r="AM136" i="48"/>
  <c r="AL150" i="48"/>
  <c r="AM143" i="48"/>
  <c r="AL415" i="48"/>
  <c r="DB861" i="48"/>
  <c r="W858" i="48"/>
  <c r="AD858" i="48" s="1"/>
  <c r="DB858" i="48"/>
  <c r="W873" i="48"/>
  <c r="DB873" i="48"/>
  <c r="W862" i="48"/>
  <c r="DB862" i="48"/>
  <c r="DB884" i="48"/>
  <c r="W896" i="48"/>
  <c r="DB896" i="48"/>
  <c r="W895" i="48"/>
  <c r="DB895" i="48"/>
  <c r="W900" i="48"/>
  <c r="DB900" i="48"/>
  <c r="W885" i="48"/>
  <c r="DB885" i="48"/>
  <c r="W916" i="48"/>
  <c r="DB916" i="48"/>
  <c r="W924" i="48"/>
  <c r="DB924" i="48"/>
  <c r="DB922" i="48"/>
  <c r="W910" i="48"/>
  <c r="DB910" i="48"/>
  <c r="W907" i="48"/>
  <c r="AD907" i="48" s="1"/>
  <c r="DB907" i="48"/>
  <c r="W934" i="48"/>
  <c r="AD934" i="48" s="1"/>
  <c r="DB934" i="48"/>
  <c r="W939" i="48"/>
  <c r="DB939" i="48"/>
  <c r="W968" i="48"/>
  <c r="DB968" i="48"/>
  <c r="DB959" i="48"/>
  <c r="W964" i="48"/>
  <c r="DB964" i="48"/>
  <c r="W966" i="48"/>
  <c r="DB966" i="48"/>
  <c r="DB1000" i="48"/>
  <c r="W991" i="48"/>
  <c r="DB991" i="48"/>
  <c r="W987" i="48"/>
  <c r="DB987" i="48"/>
  <c r="W983" i="48"/>
  <c r="AD983" i="48" s="1"/>
  <c r="DB983" i="48"/>
  <c r="W988" i="48"/>
  <c r="DB988" i="48"/>
  <c r="W1014" i="48"/>
  <c r="AD1014" i="48" s="1"/>
  <c r="DB1014" i="48"/>
  <c r="W1008" i="48"/>
  <c r="AD1008" i="48" s="1"/>
  <c r="DB1008" i="48"/>
  <c r="W1016" i="48"/>
  <c r="DB1016" i="48"/>
  <c r="W1022" i="48"/>
  <c r="DB1022" i="48"/>
  <c r="W1049" i="48"/>
  <c r="DB1049" i="48"/>
  <c r="W1050" i="48"/>
  <c r="DB1050" i="48"/>
  <c r="W1045" i="48"/>
  <c r="DB1045" i="48"/>
  <c r="W1066" i="48"/>
  <c r="DB1066" i="48"/>
  <c r="W1057" i="48"/>
  <c r="AD1057" i="48" s="1"/>
  <c r="DB1057" i="48"/>
  <c r="W1074" i="48"/>
  <c r="DB1074" i="48"/>
  <c r="DB1062" i="48"/>
  <c r="W1070" i="48"/>
  <c r="DB1070" i="48"/>
  <c r="W1095" i="48"/>
  <c r="AD1095" i="48" s="1"/>
  <c r="DB1095" i="48"/>
  <c r="DB1082" i="48"/>
  <c r="W1085" i="48"/>
  <c r="AD1085" i="48" s="1"/>
  <c r="AN1085" i="48" s="1"/>
  <c r="DB1085" i="48"/>
  <c r="W1112" i="48"/>
  <c r="DB1112" i="48"/>
  <c r="W1109" i="48"/>
  <c r="AD1109" i="48" s="1"/>
  <c r="DB1109" i="48"/>
  <c r="W1110" i="48"/>
  <c r="AD1110" i="48" s="1"/>
  <c r="AN1110" i="48" s="1"/>
  <c r="DB1110" i="48"/>
  <c r="W1119" i="48"/>
  <c r="AD1119" i="48" s="1"/>
  <c r="DB1119" i="48"/>
  <c r="W1138" i="48"/>
  <c r="DB1138" i="48"/>
  <c r="W1141" i="48"/>
  <c r="DB1141" i="48"/>
  <c r="W1142" i="48"/>
  <c r="DB1142" i="48"/>
  <c r="W1173" i="48"/>
  <c r="AD1173" i="48" s="1"/>
  <c r="AJ1173" i="48" s="1"/>
  <c r="DB1173" i="48"/>
  <c r="W1164" i="48"/>
  <c r="DB1164" i="48"/>
  <c r="W1175" i="48"/>
  <c r="DB1175" i="48"/>
  <c r="W1165" i="48"/>
  <c r="DB1165" i="48"/>
  <c r="DB1189" i="48"/>
  <c r="W1195" i="48"/>
  <c r="DB1195" i="48"/>
  <c r="W1187" i="48"/>
  <c r="DB1187" i="48"/>
  <c r="W1196" i="48"/>
  <c r="DB1196" i="48"/>
  <c r="W1191" i="48"/>
  <c r="DB1191" i="48"/>
  <c r="AJ1321" i="48"/>
  <c r="AJ420" i="48"/>
  <c r="AN1177" i="48"/>
  <c r="AM1177" i="48"/>
  <c r="AL1177" i="48"/>
  <c r="DB901" i="48"/>
  <c r="AN1302" i="48"/>
  <c r="AM1302" i="48"/>
  <c r="AL1302" i="48"/>
  <c r="AN1252" i="48"/>
  <c r="AL1252" i="48"/>
  <c r="AM1252" i="48"/>
  <c r="DB1152" i="48"/>
  <c r="DB1001" i="48"/>
  <c r="AN752" i="48"/>
  <c r="AL752" i="48"/>
  <c r="AM752" i="48"/>
  <c r="AN1227" i="48"/>
  <c r="AM1227" i="48"/>
  <c r="AL1227" i="48"/>
  <c r="AN927" i="48"/>
  <c r="AL927" i="48"/>
  <c r="AM927" i="48"/>
  <c r="DB1051" i="48"/>
  <c r="W865" i="48"/>
  <c r="DB865" i="48"/>
  <c r="W897" i="48"/>
  <c r="AD897" i="48" s="1"/>
  <c r="DB897" i="48"/>
  <c r="W892" i="48"/>
  <c r="DB892" i="48"/>
  <c r="W909" i="48"/>
  <c r="AD909" i="48" s="1"/>
  <c r="DB909" i="48"/>
  <c r="W919" i="48"/>
  <c r="DB919" i="48"/>
  <c r="W942" i="48"/>
  <c r="DB942" i="48"/>
  <c r="W945" i="48"/>
  <c r="DB945" i="48"/>
  <c r="W975" i="48"/>
  <c r="DB975" i="48"/>
  <c r="W970" i="48"/>
  <c r="AD970" i="48" s="1"/>
  <c r="DB970" i="48"/>
  <c r="W984" i="48"/>
  <c r="AD984" i="48" s="1"/>
  <c r="DB984" i="48"/>
  <c r="W1037" i="48"/>
  <c r="DB1037" i="48"/>
  <c r="W1043" i="48"/>
  <c r="DB1043" i="48"/>
  <c r="W1067" i="48"/>
  <c r="DB1067" i="48"/>
  <c r="W1094" i="48"/>
  <c r="DB1094" i="48"/>
  <c r="W1097" i="48"/>
  <c r="DB1097" i="48"/>
  <c r="W1113" i="48"/>
  <c r="DB1113" i="48"/>
  <c r="W1172" i="48"/>
  <c r="DB1172" i="48"/>
  <c r="W1184" i="48"/>
  <c r="AD1184" i="48" s="1"/>
  <c r="DB1184" i="48"/>
  <c r="AN902" i="48"/>
  <c r="AL902" i="48"/>
  <c r="AM902" i="48"/>
  <c r="AN1002" i="48"/>
  <c r="AL1002" i="48"/>
  <c r="AM1002" i="48"/>
  <c r="AN977" i="48"/>
  <c r="AL977" i="48"/>
  <c r="AM977" i="48"/>
  <c r="AN1202" i="48"/>
  <c r="AL1202" i="48"/>
  <c r="AM1202" i="48"/>
  <c r="DB1200" i="48"/>
  <c r="AN418" i="48"/>
  <c r="AJ125" i="48"/>
  <c r="W857" i="48"/>
  <c r="AD857" i="48" s="1"/>
  <c r="DB857" i="48"/>
  <c r="W864" i="48"/>
  <c r="DB864" i="48"/>
  <c r="W874" i="48"/>
  <c r="DB874" i="48"/>
  <c r="W866" i="48"/>
  <c r="DB866" i="48"/>
  <c r="W868" i="48"/>
  <c r="AD868" i="48" s="1"/>
  <c r="DB868" i="48"/>
  <c r="DB882" i="48"/>
  <c r="DB893" i="48"/>
  <c r="W887" i="48"/>
  <c r="AD887" i="48" s="1"/>
  <c r="AL887" i="48" s="1"/>
  <c r="DB887" i="48"/>
  <c r="W886" i="48"/>
  <c r="DB886" i="48"/>
  <c r="W888" i="48"/>
  <c r="DB888" i="48"/>
  <c r="W914" i="48"/>
  <c r="AD914" i="48" s="1"/>
  <c r="DB914" i="48"/>
  <c r="W915" i="48"/>
  <c r="AD915" i="48" s="1"/>
  <c r="DB915" i="48"/>
  <c r="W912" i="48"/>
  <c r="AD912" i="48" s="1"/>
  <c r="DB912" i="48"/>
  <c r="W941" i="48"/>
  <c r="DB941" i="48"/>
  <c r="W947" i="48"/>
  <c r="DB947" i="48"/>
  <c r="W938" i="48"/>
  <c r="DB938" i="48"/>
  <c r="W949" i="48"/>
  <c r="DB949" i="48"/>
  <c r="W965" i="48"/>
  <c r="DB965" i="48"/>
  <c r="W957" i="48"/>
  <c r="AD957" i="48" s="1"/>
  <c r="DB957" i="48"/>
  <c r="W960" i="48"/>
  <c r="DB960" i="48"/>
  <c r="W973" i="48"/>
  <c r="DB973" i="48"/>
  <c r="W971" i="48"/>
  <c r="AD971" i="48" s="1"/>
  <c r="DB971" i="48"/>
  <c r="DB996" i="48"/>
  <c r="W992" i="48"/>
  <c r="DB992" i="48"/>
  <c r="W994" i="48"/>
  <c r="DB994" i="48"/>
  <c r="W997" i="48"/>
  <c r="DB997" i="48"/>
  <c r="DB1009" i="48"/>
  <c r="W1021" i="48"/>
  <c r="AD1021" i="48" s="1"/>
  <c r="DB1021" i="48"/>
  <c r="DB1013" i="48"/>
  <c r="W1038" i="48"/>
  <c r="DB1038" i="48"/>
  <c r="W1033" i="48"/>
  <c r="DB1033" i="48"/>
  <c r="W1048" i="48"/>
  <c r="DB1048" i="48"/>
  <c r="W1034" i="48"/>
  <c r="DB1034" i="48"/>
  <c r="W1058" i="48"/>
  <c r="AD1058" i="48" s="1"/>
  <c r="DB1058" i="48"/>
  <c r="DB1068" i="48"/>
  <c r="DB1060" i="48"/>
  <c r="W1065" i="48"/>
  <c r="DB1065" i="48"/>
  <c r="W1075" i="48"/>
  <c r="DB1075" i="48"/>
  <c r="DB1088" i="48"/>
  <c r="DB1090" i="48"/>
  <c r="DB1091" i="48"/>
  <c r="W1092" i="48"/>
  <c r="DB1092" i="48"/>
  <c r="DB1116" i="48"/>
  <c r="DB1118" i="48"/>
  <c r="DB1107" i="48"/>
  <c r="DB1125" i="48"/>
  <c r="DB1126" i="48"/>
  <c r="DB1114" i="48"/>
  <c r="W1132" i="48"/>
  <c r="AD1132" i="48" s="1"/>
  <c r="DB1132" i="48"/>
  <c r="W1140" i="48"/>
  <c r="DB1140" i="48"/>
  <c r="W1143" i="48"/>
  <c r="DB1143" i="48"/>
  <c r="W1148" i="48"/>
  <c r="AD1148" i="48" s="1"/>
  <c r="DB1148" i="48"/>
  <c r="W1159" i="48"/>
  <c r="DB1159" i="48"/>
  <c r="W1174" i="48"/>
  <c r="DB1174" i="48"/>
  <c r="W1163" i="48"/>
  <c r="DB1163" i="48"/>
  <c r="W1169" i="48"/>
  <c r="DB1169" i="48"/>
  <c r="W1190" i="48"/>
  <c r="DB1190" i="48"/>
  <c r="W1194" i="48"/>
  <c r="DB1194" i="48"/>
  <c r="W1197" i="48"/>
  <c r="DB1197" i="48"/>
  <c r="DB1183" i="48"/>
  <c r="AN1277" i="48"/>
  <c r="AL1277" i="48"/>
  <c r="AM1277" i="48"/>
  <c r="DB1176" i="48"/>
  <c r="AN777" i="48"/>
  <c r="AL777" i="48"/>
  <c r="AM777" i="48"/>
  <c r="DB1077" i="48"/>
  <c r="AN1352" i="48"/>
  <c r="AL1352" i="48"/>
  <c r="AM1352" i="48"/>
  <c r="DB1151" i="48"/>
  <c r="AN877" i="48"/>
  <c r="AL877" i="48"/>
  <c r="AM877" i="48"/>
  <c r="AN1327" i="48"/>
  <c r="AL1327" i="48"/>
  <c r="AM1327" i="48"/>
  <c r="AN852" i="48"/>
  <c r="AL852" i="48"/>
  <c r="AM852" i="48"/>
  <c r="DB926" i="48"/>
  <c r="DB1052" i="48"/>
  <c r="AN952" i="48"/>
  <c r="AL952" i="48"/>
  <c r="AM952" i="48"/>
  <c r="AJ136" i="48"/>
  <c r="DB27" i="48"/>
  <c r="W26" i="48"/>
  <c r="X27" i="48" s="1"/>
  <c r="W1333" i="48"/>
  <c r="AD1333" i="48" s="1"/>
  <c r="W1349" i="48"/>
  <c r="W1348" i="48"/>
  <c r="W1346" i="48"/>
  <c r="AD1346" i="48" s="1"/>
  <c r="W1339" i="48"/>
  <c r="W1338" i="48"/>
  <c r="W1350" i="48"/>
  <c r="W1331" i="48"/>
  <c r="AD1331" i="48" s="1"/>
  <c r="W1317" i="48"/>
  <c r="AD1317" i="48" s="1"/>
  <c r="W1306" i="48"/>
  <c r="AD1306" i="48" s="1"/>
  <c r="W1308" i="48"/>
  <c r="AD1308" i="48" s="1"/>
  <c r="W1324" i="48"/>
  <c r="W1282" i="48"/>
  <c r="AD1282" i="48" s="1"/>
  <c r="W1281" i="48"/>
  <c r="AD1281" i="48" s="1"/>
  <c r="W1286" i="48"/>
  <c r="W1298" i="48"/>
  <c r="W1300" i="48"/>
  <c r="W1284" i="48"/>
  <c r="AD1284" i="48" s="1"/>
  <c r="W1294" i="48"/>
  <c r="AD1294" i="48" s="1"/>
  <c r="W1258" i="48"/>
  <c r="AD1258" i="48" s="1"/>
  <c r="W1262" i="48"/>
  <c r="W1256" i="48"/>
  <c r="AD1256" i="48" s="1"/>
  <c r="W1259" i="48"/>
  <c r="AD1259" i="48" s="1"/>
  <c r="W1264" i="48"/>
  <c r="W1257" i="48"/>
  <c r="AD1257" i="48" s="1"/>
  <c r="W1260" i="48"/>
  <c r="W1238" i="48"/>
  <c r="W1214" i="48"/>
  <c r="W1219" i="48"/>
  <c r="W1222" i="48"/>
  <c r="W1207" i="48"/>
  <c r="AD1207" i="48" s="1"/>
  <c r="W1206" i="48"/>
  <c r="AD1206" i="48" s="1"/>
  <c r="W1198" i="48"/>
  <c r="W1182" i="48"/>
  <c r="AD1182" i="48" s="1"/>
  <c r="W1189" i="48"/>
  <c r="W1181" i="48"/>
  <c r="AD1181" i="48" s="1"/>
  <c r="W1183" i="48"/>
  <c r="AD1183" i="48" s="1"/>
  <c r="W1201" i="48"/>
  <c r="W1157" i="48"/>
  <c r="AD1157" i="48" s="1"/>
  <c r="W1156" i="48"/>
  <c r="AD1156" i="48" s="1"/>
  <c r="W1170" i="48"/>
  <c r="W1144" i="48"/>
  <c r="W1149" i="48"/>
  <c r="W1139" i="48"/>
  <c r="W1146" i="48"/>
  <c r="W1136" i="48"/>
  <c r="W1131" i="48"/>
  <c r="AD1131" i="48" s="1"/>
  <c r="W1124" i="48"/>
  <c r="AD1124" i="48" s="1"/>
  <c r="W1108" i="48"/>
  <c r="AD1108" i="48" s="1"/>
  <c r="W1120" i="48"/>
  <c r="AD1120" i="48" s="1"/>
  <c r="AN1120" i="48" s="1"/>
  <c r="W1116" i="48"/>
  <c r="AD1116" i="48" s="1"/>
  <c r="W1118" i="48"/>
  <c r="AD1118" i="48" s="1"/>
  <c r="W1107" i="48"/>
  <c r="AD1107" i="48" s="1"/>
  <c r="W1125" i="48"/>
  <c r="AD1125" i="48" s="1"/>
  <c r="W1114" i="48"/>
  <c r="AD1114" i="48" s="1"/>
  <c r="W1117" i="48"/>
  <c r="AD1117" i="48" s="1"/>
  <c r="W1115" i="48"/>
  <c r="W1106" i="48"/>
  <c r="AD1106" i="48" s="1"/>
  <c r="W1093" i="48"/>
  <c r="AD1093" i="48" s="1"/>
  <c r="W1081" i="48"/>
  <c r="AD1081" i="48" s="1"/>
  <c r="W1083" i="48"/>
  <c r="AD1083" i="48" s="1"/>
  <c r="W1082" i="48"/>
  <c r="AD1082" i="48" s="1"/>
  <c r="W1087" i="48"/>
  <c r="AD1087" i="48" s="1"/>
  <c r="W1098" i="48"/>
  <c r="W1099" i="48"/>
  <c r="AD1099" i="48" s="1"/>
  <c r="W1101" i="48"/>
  <c r="W1088" i="48"/>
  <c r="AD1088" i="48" s="1"/>
  <c r="W1090" i="48"/>
  <c r="AD1090" i="48" s="1"/>
  <c r="W1091" i="48"/>
  <c r="AD1091" i="48" s="1"/>
  <c r="W1086" i="48"/>
  <c r="W1064" i="48"/>
  <c r="W1073" i="48"/>
  <c r="W1062" i="48"/>
  <c r="W1068" i="48"/>
  <c r="W1060" i="48"/>
  <c r="W1071" i="48"/>
  <c r="W1056" i="48"/>
  <c r="AD1056" i="48" s="1"/>
  <c r="W1042" i="48"/>
  <c r="W1032" i="48"/>
  <c r="AD1032" i="48" s="1"/>
  <c r="W1031" i="48"/>
  <c r="AD1031" i="48" s="1"/>
  <c r="W1036" i="48"/>
  <c r="W1035" i="48"/>
  <c r="W1046" i="48"/>
  <c r="W1007" i="48"/>
  <c r="AD1007" i="48" s="1"/>
  <c r="W1024" i="48"/>
  <c r="W1026" i="48"/>
  <c r="W1015" i="48"/>
  <c r="AD1015" i="48" s="1"/>
  <c r="W1009" i="48"/>
  <c r="AD1009" i="48" s="1"/>
  <c r="W1006" i="48"/>
  <c r="AD1006" i="48" s="1"/>
  <c r="W1013" i="48"/>
  <c r="W1017" i="48"/>
  <c r="W986" i="48"/>
  <c r="W985" i="48"/>
  <c r="W1000" i="48"/>
  <c r="W981" i="48"/>
  <c r="AD981" i="48" s="1"/>
  <c r="W996" i="48"/>
  <c r="W993" i="48"/>
  <c r="W982" i="48"/>
  <c r="AD982" i="48" s="1"/>
  <c r="W967" i="48"/>
  <c r="W963" i="48"/>
  <c r="W959" i="48"/>
  <c r="AD959" i="48" s="1"/>
  <c r="W956" i="48"/>
  <c r="AD956" i="48" s="1"/>
  <c r="W958" i="48"/>
  <c r="AD958" i="48" s="1"/>
  <c r="W943" i="48"/>
  <c r="W940" i="48"/>
  <c r="W935" i="48"/>
  <c r="W931" i="48"/>
  <c r="AD931" i="48" s="1"/>
  <c r="W933" i="48"/>
  <c r="W937" i="48"/>
  <c r="W932" i="48"/>
  <c r="AD932" i="48" s="1"/>
  <c r="W911" i="48"/>
  <c r="W906" i="48"/>
  <c r="AD906" i="48" s="1"/>
  <c r="W920" i="48"/>
  <c r="W922" i="48"/>
  <c r="W913" i="48"/>
  <c r="W908" i="48"/>
  <c r="W923" i="48"/>
  <c r="W884" i="48"/>
  <c r="W882" i="48"/>
  <c r="AD882" i="48" s="1"/>
  <c r="W893" i="48"/>
  <c r="W898" i="48"/>
  <c r="W881" i="48"/>
  <c r="AD881" i="48" s="1"/>
  <c r="W899" i="48"/>
  <c r="AD899" i="48" s="1"/>
  <c r="W883" i="48"/>
  <c r="AD883" i="48" s="1"/>
  <c r="W861" i="48"/>
  <c r="W859" i="48"/>
  <c r="AD859" i="48" s="1"/>
  <c r="W876" i="48"/>
  <c r="W856" i="48"/>
  <c r="AD856" i="48" s="1"/>
  <c r="W809" i="48"/>
  <c r="AD809" i="48" s="1"/>
  <c r="W806" i="48"/>
  <c r="AD806" i="48" s="1"/>
  <c r="DB818" i="48"/>
  <c r="W818" i="48"/>
  <c r="DB812" i="48"/>
  <c r="W812" i="48"/>
  <c r="DB785" i="48"/>
  <c r="W785" i="48"/>
  <c r="W781" i="48"/>
  <c r="AD781" i="48" s="1"/>
  <c r="DB802" i="48"/>
  <c r="W801" i="48"/>
  <c r="DB783" i="48"/>
  <c r="W783" i="48"/>
  <c r="AD783" i="48" s="1"/>
  <c r="DB787" i="48"/>
  <c r="W787" i="48"/>
  <c r="W756" i="48"/>
  <c r="AD756" i="48" s="1"/>
  <c r="DB775" i="48"/>
  <c r="W775" i="48"/>
  <c r="DB738" i="48"/>
  <c r="W738" i="48"/>
  <c r="W731" i="48"/>
  <c r="AD731" i="48" s="1"/>
  <c r="DB751" i="48"/>
  <c r="W750" i="48"/>
  <c r="DB740" i="48"/>
  <c r="W740" i="48"/>
  <c r="W734" i="48"/>
  <c r="DB746" i="48"/>
  <c r="W746" i="48"/>
  <c r="DB720" i="48"/>
  <c r="W720" i="48"/>
  <c r="W706" i="48"/>
  <c r="AD706" i="48" s="1"/>
  <c r="DB718" i="48"/>
  <c r="W718" i="48"/>
  <c r="DB690" i="48"/>
  <c r="W690" i="48"/>
  <c r="DB685" i="48"/>
  <c r="W685" i="48"/>
  <c r="DB693" i="48"/>
  <c r="W693" i="48"/>
  <c r="W681" i="48"/>
  <c r="AD681" i="48" s="1"/>
  <c r="DB688" i="48"/>
  <c r="W688" i="48"/>
  <c r="DB635" i="48"/>
  <c r="W635" i="48"/>
  <c r="W631" i="48"/>
  <c r="AD631" i="48" s="1"/>
  <c r="DB650" i="48"/>
  <c r="W650" i="48"/>
  <c r="DB632" i="48"/>
  <c r="W632" i="48"/>
  <c r="AD632" i="48" s="1"/>
  <c r="W606" i="48"/>
  <c r="AD606" i="48" s="1"/>
  <c r="W619" i="48"/>
  <c r="AD619" i="48" s="1"/>
  <c r="W614" i="48"/>
  <c r="AD614" i="48" s="1"/>
  <c r="DB618" i="48"/>
  <c r="W618" i="48"/>
  <c r="W609" i="48"/>
  <c r="AD609" i="48" s="1"/>
  <c r="DB593" i="48"/>
  <c r="W593" i="48"/>
  <c r="AD593" i="48" s="1"/>
  <c r="DB584" i="48"/>
  <c r="W584" i="48"/>
  <c r="AD584" i="48" s="1"/>
  <c r="DB600" i="48"/>
  <c r="W600" i="48"/>
  <c r="DB585" i="48"/>
  <c r="W585" i="48"/>
  <c r="W581" i="48"/>
  <c r="AD581" i="48" s="1"/>
  <c r="DB590" i="48"/>
  <c r="W590" i="48"/>
  <c r="DB589" i="48"/>
  <c r="W589" i="48"/>
  <c r="W556" i="48"/>
  <c r="AD556" i="48" s="1"/>
  <c r="DB560" i="48"/>
  <c r="W560" i="48"/>
  <c r="DB570" i="48"/>
  <c r="W570" i="48"/>
  <c r="DB562" i="48"/>
  <c r="W562" i="48"/>
  <c r="W557" i="48"/>
  <c r="AD557" i="48" s="1"/>
  <c r="W558" i="48"/>
  <c r="AD558" i="48" s="1"/>
  <c r="W559" i="48"/>
  <c r="AD559" i="48" s="1"/>
  <c r="W531" i="48"/>
  <c r="AD531" i="48" s="1"/>
  <c r="DB534" i="48"/>
  <c r="W534" i="48"/>
  <c r="DB550" i="48"/>
  <c r="W550" i="48"/>
  <c r="DB547" i="48"/>
  <c r="W547" i="48"/>
  <c r="DB542" i="48"/>
  <c r="W542" i="48"/>
  <c r="DB519" i="48"/>
  <c r="W519" i="48"/>
  <c r="DB511" i="48"/>
  <c r="W511" i="48"/>
  <c r="W506" i="48"/>
  <c r="AD506" i="48" s="1"/>
  <c r="DB510" i="48"/>
  <c r="W510" i="48"/>
  <c r="DB496" i="48"/>
  <c r="W496" i="48"/>
  <c r="W483" i="48"/>
  <c r="AD483" i="48" s="1"/>
  <c r="DB482" i="48"/>
  <c r="W482" i="48"/>
  <c r="AD482" i="48" s="1"/>
  <c r="DB499" i="48"/>
  <c r="W499" i="48"/>
  <c r="W481" i="48"/>
  <c r="AD481" i="48" s="1"/>
  <c r="DB464" i="48"/>
  <c r="W464" i="48"/>
  <c r="DB460" i="48"/>
  <c r="W460" i="48"/>
  <c r="DB469" i="48"/>
  <c r="W469" i="48"/>
  <c r="DB474" i="48"/>
  <c r="W474" i="48"/>
  <c r="W456" i="48"/>
  <c r="AD456" i="48" s="1"/>
  <c r="DB449" i="48"/>
  <c r="W449" i="48"/>
  <c r="DB447" i="48"/>
  <c r="W447" i="48"/>
  <c r="DB438" i="48"/>
  <c r="W438" i="48"/>
  <c r="W431" i="48"/>
  <c r="AD431" i="48" s="1"/>
  <c r="AM421" i="48"/>
  <c r="AJ421" i="48"/>
  <c r="AN421" i="48"/>
  <c r="AL421" i="48"/>
  <c r="DB383" i="48"/>
  <c r="W383" i="48"/>
  <c r="W381" i="48"/>
  <c r="AD381" i="48" s="1"/>
  <c r="DB386" i="48"/>
  <c r="W386" i="48"/>
  <c r="DB397" i="48"/>
  <c r="W397" i="48"/>
  <c r="DB396" i="48"/>
  <c r="W396" i="48"/>
  <c r="DB363" i="48"/>
  <c r="W363" i="48"/>
  <c r="DB368" i="48"/>
  <c r="W368" i="48"/>
  <c r="DB371" i="48"/>
  <c r="W371" i="48"/>
  <c r="AD371" i="48" s="1"/>
  <c r="W365" i="48"/>
  <c r="AD365" i="48" s="1"/>
  <c r="DB370" i="48"/>
  <c r="W370" i="48"/>
  <c r="DB366" i="48"/>
  <c r="W366" i="48"/>
  <c r="DB359" i="48"/>
  <c r="W359" i="48"/>
  <c r="W356" i="48"/>
  <c r="AD356" i="48" s="1"/>
  <c r="DB375" i="48"/>
  <c r="W375" i="48"/>
  <c r="AD375" i="48" s="1"/>
  <c r="AL375" i="48" s="1"/>
  <c r="DB341" i="48"/>
  <c r="W341" i="48"/>
  <c r="DB340" i="48"/>
  <c r="W340" i="48"/>
  <c r="W331" i="48"/>
  <c r="AD331" i="48" s="1"/>
  <c r="DB338" i="48"/>
  <c r="W338" i="48"/>
  <c r="DB336" i="48"/>
  <c r="W336" i="48"/>
  <c r="DB333" i="48"/>
  <c r="W333" i="48"/>
  <c r="AD333" i="48" s="1"/>
  <c r="DB348" i="48"/>
  <c r="W348" i="48"/>
  <c r="AD348" i="48" s="1"/>
  <c r="AN348" i="48" s="1"/>
  <c r="DB313" i="48"/>
  <c r="W313" i="48"/>
  <c r="DB315" i="48"/>
  <c r="W315" i="48"/>
  <c r="DB307" i="48"/>
  <c r="W307" i="48"/>
  <c r="AD307" i="48" s="1"/>
  <c r="DB311" i="48"/>
  <c r="W311" i="48"/>
  <c r="DB298" i="48"/>
  <c r="W298" i="48"/>
  <c r="DB288" i="48"/>
  <c r="W288" i="48"/>
  <c r="W281" i="48"/>
  <c r="AD281" i="48" s="1"/>
  <c r="DB285" i="48"/>
  <c r="W285" i="48"/>
  <c r="DB291" i="48"/>
  <c r="W291" i="48"/>
  <c r="DB283" i="48"/>
  <c r="W283" i="48"/>
  <c r="AD283" i="48" s="1"/>
  <c r="DB268" i="48"/>
  <c r="W268" i="48"/>
  <c r="DB257" i="48"/>
  <c r="W257" i="48"/>
  <c r="AD257" i="48" s="1"/>
  <c r="W256" i="48"/>
  <c r="AD256" i="48" s="1"/>
  <c r="DB237" i="48"/>
  <c r="W237" i="48"/>
  <c r="DB233" i="48"/>
  <c r="W233" i="48"/>
  <c r="W231" i="48"/>
  <c r="AD231" i="48" s="1"/>
  <c r="W243" i="48"/>
  <c r="AD243" i="48" s="1"/>
  <c r="DB247" i="48"/>
  <c r="W247" i="48"/>
  <c r="DB209" i="48"/>
  <c r="W209" i="48"/>
  <c r="W206" i="48"/>
  <c r="AD206" i="48" s="1"/>
  <c r="DB192" i="48"/>
  <c r="W192" i="48"/>
  <c r="DB185" i="48"/>
  <c r="W185" i="48"/>
  <c r="W181" i="48"/>
  <c r="AD181" i="48" s="1"/>
  <c r="W182" i="48"/>
  <c r="AD182" i="48" s="1"/>
  <c r="DB195" i="48"/>
  <c r="W195" i="48"/>
  <c r="DB165" i="48"/>
  <c r="W165" i="48"/>
  <c r="DB159" i="48"/>
  <c r="W159" i="48"/>
  <c r="AD159" i="48" s="1"/>
  <c r="DB160" i="48"/>
  <c r="W160" i="48"/>
  <c r="W156" i="48"/>
  <c r="AD156" i="48" s="1"/>
  <c r="AE147" i="48"/>
  <c r="W106" i="48"/>
  <c r="AD106" i="48" s="1"/>
  <c r="W112" i="48"/>
  <c r="AD112" i="48" s="1"/>
  <c r="W124" i="48"/>
  <c r="AD124" i="48" s="1"/>
  <c r="DB97" i="48"/>
  <c r="W97" i="48"/>
  <c r="DB100" i="48"/>
  <c r="W100" i="48"/>
  <c r="W81" i="48"/>
  <c r="AD81" i="48" s="1"/>
  <c r="DB89" i="48"/>
  <c r="W89" i="48"/>
  <c r="W76" i="48"/>
  <c r="X77" i="48" s="1"/>
  <c r="DB77" i="48"/>
  <c r="W57" i="48"/>
  <c r="AD57" i="48" s="1"/>
  <c r="DB66" i="48"/>
  <c r="W66" i="48"/>
  <c r="W56" i="48"/>
  <c r="AD56" i="48" s="1"/>
  <c r="DB70" i="48"/>
  <c r="W70" i="48"/>
  <c r="DB62" i="48"/>
  <c r="W62" i="48"/>
  <c r="W48" i="48"/>
  <c r="AD48" i="48" s="1"/>
  <c r="W47" i="48"/>
  <c r="W45" i="48"/>
  <c r="AD45" i="48" s="1"/>
  <c r="W49" i="48"/>
  <c r="W42" i="48"/>
  <c r="AD42" i="48" s="1"/>
  <c r="W31" i="48"/>
  <c r="AD31" i="48" s="1"/>
  <c r="AJ146" i="48"/>
  <c r="AL146" i="48"/>
  <c r="AM146" i="48"/>
  <c r="AN146" i="48"/>
  <c r="DB443" i="48"/>
  <c r="DB516" i="48"/>
  <c r="DB572" i="48"/>
  <c r="DB645" i="48"/>
  <c r="DB544" i="48"/>
  <c r="DB441" i="48"/>
  <c r="DB473" i="48"/>
  <c r="DB490" i="48"/>
  <c r="DB485" i="48"/>
  <c r="DB493" i="48"/>
  <c r="DB714" i="48"/>
  <c r="DB344" i="48"/>
  <c r="DB467" i="48"/>
  <c r="DB500" i="48"/>
  <c r="DB621" i="48"/>
  <c r="DB641" i="48"/>
  <c r="DB725" i="48"/>
  <c r="DB287" i="48"/>
  <c r="DB509" i="48"/>
  <c r="AD1121" i="48"/>
  <c r="AD1191" i="48"/>
  <c r="DB241" i="48"/>
  <c r="DB258" i="48"/>
  <c r="DB274" i="48"/>
  <c r="DB290" i="48"/>
  <c r="DB347" i="48"/>
  <c r="DB360" i="48"/>
  <c r="DB393" i="48"/>
  <c r="DB471" i="48"/>
  <c r="DB468" i="48"/>
  <c r="DB497" i="48"/>
  <c r="DB489" i="48"/>
  <c r="DB597" i="48"/>
  <c r="DB743" i="48"/>
  <c r="DB748" i="48"/>
  <c r="DB765" i="48"/>
  <c r="DB768" i="48"/>
  <c r="AL143" i="48"/>
  <c r="DB362" i="48"/>
  <c r="DB462" i="48"/>
  <c r="DB520" i="48"/>
  <c r="DB565" i="48"/>
  <c r="DB568" i="48"/>
  <c r="DB643" i="48"/>
  <c r="DB717" i="48"/>
  <c r="DB733" i="48"/>
  <c r="DB772" i="48"/>
  <c r="DB810" i="48"/>
  <c r="DB92" i="48"/>
  <c r="DB119" i="48"/>
  <c r="DB271" i="48"/>
  <c r="DB388" i="48"/>
  <c r="DB173" i="48"/>
  <c r="DB161" i="48"/>
  <c r="DB175" i="48"/>
  <c r="DB260" i="48"/>
  <c r="DB294" i="48"/>
  <c r="DB334" i="48"/>
  <c r="DB523" i="48"/>
  <c r="DB537" i="48"/>
  <c r="DB545" i="48"/>
  <c r="DB592" i="48"/>
  <c r="DB648" i="48"/>
  <c r="DB701" i="48"/>
  <c r="DB769" i="48"/>
  <c r="AD745" i="48"/>
  <c r="AN745" i="48" s="1"/>
  <c r="AD1019" i="48"/>
  <c r="AD1113" i="48"/>
  <c r="AD343" i="48"/>
  <c r="DB190" i="48"/>
  <c r="DB223" i="48"/>
  <c r="DB217" i="48"/>
  <c r="DB774" i="48"/>
  <c r="AE146" i="48"/>
  <c r="DB220" i="48"/>
  <c r="DB212" i="48"/>
  <c r="DB541" i="48"/>
  <c r="AD893" i="48"/>
  <c r="AD342" i="48"/>
  <c r="AD649" i="48"/>
  <c r="AD573" i="48"/>
  <c r="AD739" i="48"/>
  <c r="AN739" i="48" s="1"/>
  <c r="DB218" i="48"/>
  <c r="DB235" i="48"/>
  <c r="DB249" i="48"/>
  <c r="DB272" i="48"/>
  <c r="DB296" i="48"/>
  <c r="DB286" i="48"/>
  <c r="DB322" i="48"/>
  <c r="DB317" i="48"/>
  <c r="DB364" i="48"/>
  <c r="DB369" i="48"/>
  <c r="DB389" i="48"/>
  <c r="DB436" i="48"/>
  <c r="DB463" i="48"/>
  <c r="DB486" i="48"/>
  <c r="DB494" i="48"/>
  <c r="DB484" i="48"/>
  <c r="DB533" i="48"/>
  <c r="DB616" i="48"/>
  <c r="DB611" i="48"/>
  <c r="DB637" i="48"/>
  <c r="DB634" i="48"/>
  <c r="DB710" i="48"/>
  <c r="DB750" i="48"/>
  <c r="DB758" i="48"/>
  <c r="AL145" i="48"/>
  <c r="DB93" i="48"/>
  <c r="DB86" i="48"/>
  <c r="DB162" i="48"/>
  <c r="DB157" i="48"/>
  <c r="DB171" i="48"/>
  <c r="DB215" i="48"/>
  <c r="DB210" i="48"/>
  <c r="DB246" i="48"/>
  <c r="DB293" i="48"/>
  <c r="DB324" i="48"/>
  <c r="DB346" i="48"/>
  <c r="DB373" i="48"/>
  <c r="DB399" i="48"/>
  <c r="DB392" i="48"/>
  <c r="DB457" i="48"/>
  <c r="DB525" i="48"/>
  <c r="DB564" i="48"/>
  <c r="DB682" i="48"/>
  <c r="DB723" i="48"/>
  <c r="DB736" i="48"/>
  <c r="DB797" i="48"/>
  <c r="DB792" i="48"/>
  <c r="DB814" i="48"/>
  <c r="DB113" i="48"/>
  <c r="AL136" i="48"/>
  <c r="AN145" i="48"/>
  <c r="DB74" i="48"/>
  <c r="DB69" i="48"/>
  <c r="DB169" i="48"/>
  <c r="DB198" i="48"/>
  <c r="DB189" i="48"/>
  <c r="DB319" i="48"/>
  <c r="AD334" i="48"/>
  <c r="DB343" i="48"/>
  <c r="DB357" i="48"/>
  <c r="DB434" i="48"/>
  <c r="DB445" i="48"/>
  <c r="DB442" i="48"/>
  <c r="DB513" i="48"/>
  <c r="DB569" i="48"/>
  <c r="DB595" i="48"/>
  <c r="DB608" i="48"/>
  <c r="DB646" i="48"/>
  <c r="DB639" i="48"/>
  <c r="DB732" i="48"/>
  <c r="DB789" i="48"/>
  <c r="DB793" i="48"/>
  <c r="DB822" i="48"/>
  <c r="AD1325" i="48"/>
  <c r="AL1321" i="48"/>
  <c r="AM1321" i="48"/>
  <c r="AD1293" i="48"/>
  <c r="AD1295" i="48"/>
  <c r="AD1287" i="48"/>
  <c r="AD1288" i="48"/>
  <c r="AD1263" i="48"/>
  <c r="AD1265" i="48"/>
  <c r="AD1261" i="48"/>
  <c r="AD1084" i="48"/>
  <c r="AN1084" i="48" s="1"/>
  <c r="AD1061" i="48"/>
  <c r="AD966" i="48"/>
  <c r="AD895" i="48"/>
  <c r="DB815" i="48"/>
  <c r="DB825" i="48"/>
  <c r="DB826" i="48"/>
  <c r="DB807" i="48"/>
  <c r="DB800" i="48"/>
  <c r="DB798" i="48"/>
  <c r="AD773" i="48"/>
  <c r="AD770" i="48"/>
  <c r="DB766" i="48"/>
  <c r="DB760" i="48"/>
  <c r="DB771" i="48"/>
  <c r="DB761" i="48"/>
  <c r="DB764" i="48"/>
  <c r="AD742" i="48"/>
  <c r="AN742" i="48" s="1"/>
  <c r="AD735" i="48"/>
  <c r="AN735" i="48" s="1"/>
  <c r="AD749" i="48"/>
  <c r="AN749" i="48" s="1"/>
  <c r="AD747" i="48"/>
  <c r="AN747" i="48" s="1"/>
  <c r="DB726" i="48"/>
  <c r="DB716" i="48"/>
  <c r="DB707" i="48"/>
  <c r="DB687" i="48"/>
  <c r="DB696" i="48"/>
  <c r="DB651" i="48"/>
  <c r="DB652" i="48"/>
  <c r="DB644" i="48"/>
  <c r="DB640" i="48"/>
  <c r="DB633" i="48"/>
  <c r="AD633" i="48"/>
  <c r="DB647" i="48"/>
  <c r="DB636" i="48"/>
  <c r="DB642" i="48"/>
  <c r="DB638" i="48"/>
  <c r="DB649" i="48"/>
  <c r="AD594" i="48"/>
  <c r="DB596" i="48"/>
  <c r="DB583" i="48"/>
  <c r="DB599" i="48"/>
  <c r="DB591" i="48"/>
  <c r="AD595" i="48"/>
  <c r="AD597" i="48"/>
  <c r="AL597" i="48" s="1"/>
  <c r="DB586" i="48"/>
  <c r="DB587" i="48"/>
  <c r="DB588" i="48"/>
  <c r="DB594" i="48"/>
  <c r="DB598" i="48"/>
  <c r="DB582" i="48"/>
  <c r="DB601" i="48"/>
  <c r="AD575" i="48"/>
  <c r="AD571" i="48"/>
  <c r="AD561" i="48"/>
  <c r="DB557" i="48"/>
  <c r="DB573" i="48"/>
  <c r="DB566" i="48"/>
  <c r="DB563" i="48"/>
  <c r="DB567" i="48"/>
  <c r="DB574" i="48"/>
  <c r="DB558" i="48"/>
  <c r="DB571" i="48"/>
  <c r="DB575" i="48"/>
  <c r="DB577" i="48"/>
  <c r="DB576" i="48"/>
  <c r="DB559" i="48"/>
  <c r="DB561" i="48"/>
  <c r="DB535" i="48"/>
  <c r="DB532" i="48"/>
  <c r="DB548" i="48"/>
  <c r="DB543" i="48"/>
  <c r="DB552" i="48"/>
  <c r="DB551" i="48"/>
  <c r="DB536" i="48"/>
  <c r="DB549" i="48"/>
  <c r="DB538" i="48"/>
  <c r="DB539" i="48"/>
  <c r="DB546" i="48"/>
  <c r="DB540" i="48"/>
  <c r="DB514" i="48"/>
  <c r="DB508" i="48"/>
  <c r="DB512" i="48"/>
  <c r="DB507" i="48"/>
  <c r="DB526" i="48"/>
  <c r="DB527" i="48"/>
  <c r="DB522" i="48"/>
  <c r="DB515" i="48"/>
  <c r="DB518" i="48"/>
  <c r="DB517" i="48"/>
  <c r="DB521" i="48"/>
  <c r="DB524" i="48"/>
  <c r="AD487" i="48"/>
  <c r="AD488" i="48"/>
  <c r="AD491" i="48"/>
  <c r="DB498" i="48"/>
  <c r="DB492" i="48"/>
  <c r="DB495" i="48"/>
  <c r="AD484" i="48"/>
  <c r="DB491" i="48"/>
  <c r="DB483" i="48"/>
  <c r="DB487" i="48"/>
  <c r="DB501" i="48"/>
  <c r="DB502" i="48"/>
  <c r="DB488" i="48"/>
  <c r="DB458" i="48"/>
  <c r="DB465" i="48"/>
  <c r="DB461" i="48"/>
  <c r="DB475" i="48"/>
  <c r="DB477" i="48"/>
  <c r="DB476" i="48"/>
  <c r="DB466" i="48"/>
  <c r="DB472" i="48"/>
  <c r="DB459" i="48"/>
  <c r="DB470" i="48"/>
  <c r="DB448" i="48"/>
  <c r="DB433" i="48"/>
  <c r="DB435" i="48"/>
  <c r="DB432" i="48"/>
  <c r="DB437" i="48"/>
  <c r="DB446" i="48"/>
  <c r="DB440" i="48"/>
  <c r="DB444" i="48"/>
  <c r="DB439" i="48"/>
  <c r="DB451" i="48"/>
  <c r="DB450" i="48"/>
  <c r="AE421" i="48"/>
  <c r="DB400" i="48"/>
  <c r="DB385" i="48"/>
  <c r="DB390" i="48"/>
  <c r="DB395" i="48"/>
  <c r="DB391" i="48"/>
  <c r="AD384" i="48"/>
  <c r="AL384" i="48" s="1"/>
  <c r="DB384" i="48"/>
  <c r="AD382" i="48"/>
  <c r="DB382" i="48"/>
  <c r="DB394" i="48"/>
  <c r="DB398" i="48"/>
  <c r="DB387" i="48"/>
  <c r="DB401" i="48"/>
  <c r="AD364" i="48"/>
  <c r="AD357" i="48"/>
  <c r="DB358" i="48"/>
  <c r="DB361" i="48"/>
  <c r="DB374" i="48"/>
  <c r="DB367" i="48"/>
  <c r="AD373" i="48"/>
  <c r="AN373" i="48" s="1"/>
  <c r="AD359" i="48"/>
  <c r="DB372" i="48"/>
  <c r="DB376" i="48"/>
  <c r="DB365" i="48"/>
  <c r="AD337" i="48"/>
  <c r="DB352" i="48"/>
  <c r="DB351" i="48"/>
  <c r="DB332" i="48"/>
  <c r="DB335" i="48"/>
  <c r="DB349" i="48"/>
  <c r="DB342" i="48"/>
  <c r="DB339" i="48"/>
  <c r="DB337" i="48"/>
  <c r="DB345" i="48"/>
  <c r="DB350" i="48"/>
  <c r="DB312" i="48"/>
  <c r="DB314" i="48"/>
  <c r="DB318" i="48"/>
  <c r="DB321" i="48"/>
  <c r="DB316" i="48"/>
  <c r="DB326" i="48"/>
  <c r="DB327" i="48"/>
  <c r="DB308" i="48"/>
  <c r="DB320" i="48"/>
  <c r="DB310" i="48"/>
  <c r="DB325" i="48"/>
  <c r="DB309" i="48"/>
  <c r="DB323" i="48"/>
  <c r="DB289" i="48"/>
  <c r="DB300" i="48"/>
  <c r="DB297" i="48"/>
  <c r="DB282" i="48"/>
  <c r="DB299" i="48"/>
  <c r="DB295" i="48"/>
  <c r="DB292" i="48"/>
  <c r="DB284" i="48"/>
  <c r="DB301" i="48"/>
  <c r="DB263" i="48"/>
  <c r="DB261" i="48"/>
  <c r="DB270" i="48"/>
  <c r="DB269" i="48"/>
  <c r="DB266" i="48"/>
  <c r="AD275" i="48"/>
  <c r="DB265" i="48"/>
  <c r="AD258" i="48"/>
  <c r="DB267" i="48"/>
  <c r="DB264" i="48"/>
  <c r="DB273" i="48"/>
  <c r="DB259" i="48"/>
  <c r="DB262" i="48"/>
  <c r="DB275" i="48"/>
  <c r="AD236" i="48"/>
  <c r="AD240" i="48"/>
  <c r="AD239" i="48"/>
  <c r="AD245" i="48"/>
  <c r="AD234" i="48"/>
  <c r="AN234" i="48" s="1"/>
  <c r="DB234" i="48"/>
  <c r="AD248" i="48"/>
  <c r="AJ248" i="48" s="1"/>
  <c r="DB248" i="48"/>
  <c r="DB243" i="48"/>
  <c r="DB232" i="48"/>
  <c r="DB250" i="48"/>
  <c r="DB238" i="48"/>
  <c r="DB244" i="48"/>
  <c r="AD232" i="48"/>
  <c r="DB251" i="48"/>
  <c r="DB242" i="48"/>
  <c r="DB236" i="48"/>
  <c r="DB239" i="48"/>
  <c r="DB240" i="48"/>
  <c r="DB245" i="48"/>
  <c r="DB222" i="48"/>
  <c r="DB224" i="48"/>
  <c r="DB207" i="48"/>
  <c r="DB219" i="48"/>
  <c r="DB211" i="48"/>
  <c r="DB216" i="48"/>
  <c r="DB221" i="48"/>
  <c r="DB225" i="48"/>
  <c r="DB214" i="48"/>
  <c r="DB227" i="48"/>
  <c r="DB226" i="48"/>
  <c r="DB213" i="48"/>
  <c r="DB208" i="48"/>
  <c r="DB186" i="48"/>
  <c r="DB183" i="48"/>
  <c r="AD174" i="48"/>
  <c r="AM145" i="48"/>
  <c r="AN150" i="48"/>
  <c r="AJ145" i="48"/>
  <c r="AM150" i="48"/>
  <c r="AJ150" i="48"/>
  <c r="AN136" i="48"/>
  <c r="DB114" i="48"/>
  <c r="DB44" i="48"/>
  <c r="AD193" i="48"/>
  <c r="AD197" i="48"/>
  <c r="DB199" i="48"/>
  <c r="DB191" i="48"/>
  <c r="DB196" i="48"/>
  <c r="DB187" i="48"/>
  <c r="DB188" i="48"/>
  <c r="DB184" i="48"/>
  <c r="DB182" i="48"/>
  <c r="DB201" i="48"/>
  <c r="DB202" i="48"/>
  <c r="DB197" i="48"/>
  <c r="DB193" i="48"/>
  <c r="DB194" i="48"/>
  <c r="DB200" i="48"/>
  <c r="AD172" i="48"/>
  <c r="DB164" i="48"/>
  <c r="DB167" i="48"/>
  <c r="DB168" i="48"/>
  <c r="DB174" i="48"/>
  <c r="DB166" i="48"/>
  <c r="DB170" i="48"/>
  <c r="DB158" i="48"/>
  <c r="DB163" i="48"/>
  <c r="DB172" i="48"/>
  <c r="DB176" i="48"/>
  <c r="AD122" i="48"/>
  <c r="DB121" i="48"/>
  <c r="DB123" i="48"/>
  <c r="DB109" i="48"/>
  <c r="DB107" i="48"/>
  <c r="DB117" i="48"/>
  <c r="AD123" i="48"/>
  <c r="AN123" i="48" s="1"/>
  <c r="DB46" i="48"/>
  <c r="DB40" i="48"/>
  <c r="DB38" i="48"/>
  <c r="DB32" i="48"/>
  <c r="DB34" i="48"/>
  <c r="AD44" i="48"/>
  <c r="DB36" i="48"/>
  <c r="AD32" i="48"/>
  <c r="DB42" i="48"/>
  <c r="AD46" i="48"/>
  <c r="AD34" i="48"/>
  <c r="AM34" i="48" s="1"/>
  <c r="AD1344" i="48"/>
  <c r="AD1315" i="48"/>
  <c r="AD1319" i="48"/>
  <c r="AD1318" i="48"/>
  <c r="AN1321" i="48"/>
  <c r="AD1291" i="48"/>
  <c r="AD1296" i="48"/>
  <c r="AD1272" i="48"/>
  <c r="AD1271" i="48"/>
  <c r="AD1270" i="48"/>
  <c r="AD1275" i="48"/>
  <c r="AD1273" i="48"/>
  <c r="AD1268" i="48"/>
  <c r="DB692" i="48"/>
  <c r="DB689" i="48"/>
  <c r="DB695" i="48"/>
  <c r="AD612" i="48"/>
  <c r="DB613" i="48"/>
  <c r="DB624" i="48"/>
  <c r="DB622" i="48"/>
  <c r="DB623" i="48"/>
  <c r="DB625" i="48"/>
  <c r="AD608" i="48"/>
  <c r="DB617" i="48"/>
  <c r="DB620" i="48"/>
  <c r="DB609" i="48"/>
  <c r="DB619" i="48"/>
  <c r="DB612" i="48"/>
  <c r="DB614" i="48"/>
  <c r="DB607" i="48"/>
  <c r="DB615" i="48"/>
  <c r="DB610" i="48"/>
  <c r="DB626" i="48"/>
  <c r="DB115" i="48"/>
  <c r="DB126" i="48"/>
  <c r="DB127" i="48"/>
  <c r="DB116" i="48"/>
  <c r="DB124" i="48"/>
  <c r="AD109" i="48"/>
  <c r="DB118" i="48"/>
  <c r="DB110" i="48"/>
  <c r="DB112" i="48"/>
  <c r="DB120" i="48"/>
  <c r="DB111" i="48"/>
  <c r="AD108" i="48"/>
  <c r="DB108" i="48"/>
  <c r="DB122" i="48"/>
  <c r="DB125" i="48"/>
  <c r="DB82" i="48"/>
  <c r="DB96" i="48"/>
  <c r="DB99" i="48"/>
  <c r="DB95" i="48"/>
  <c r="DB88" i="48"/>
  <c r="DB83" i="48"/>
  <c r="DB101" i="48"/>
  <c r="DB102" i="48"/>
  <c r="DB84" i="48"/>
  <c r="DB87" i="48"/>
  <c r="AD91" i="48"/>
  <c r="DB91" i="48"/>
  <c r="DB94" i="48"/>
  <c r="DB98" i="48"/>
  <c r="DB85" i="48"/>
  <c r="DB90" i="48"/>
  <c r="DB64" i="48"/>
  <c r="DB72" i="48"/>
  <c r="AD60" i="48"/>
  <c r="AN60" i="48" s="1"/>
  <c r="DB59" i="48"/>
  <c r="DB57" i="48"/>
  <c r="DB71" i="48"/>
  <c r="DB63" i="48"/>
  <c r="DB67" i="48"/>
  <c r="AD64" i="48"/>
  <c r="AM64" i="48" s="1"/>
  <c r="AD59" i="48"/>
  <c r="AD71" i="48"/>
  <c r="AN71" i="48" s="1"/>
  <c r="AD62" i="48"/>
  <c r="DB73" i="48"/>
  <c r="DB61" i="48"/>
  <c r="DB60" i="48"/>
  <c r="DB65" i="48"/>
  <c r="DB68" i="48"/>
  <c r="DB58" i="48"/>
  <c r="DB75" i="48"/>
  <c r="DB76" i="48"/>
  <c r="DB35" i="48"/>
  <c r="DB37" i="48"/>
  <c r="DB39" i="48"/>
  <c r="DB47" i="48"/>
  <c r="DB41" i="48"/>
  <c r="AD37" i="48"/>
  <c r="AN37" i="48" s="1"/>
  <c r="DB33" i="48"/>
  <c r="DB51" i="48"/>
  <c r="DB52" i="48"/>
  <c r="DB48" i="48"/>
  <c r="DB45" i="48"/>
  <c r="DB49" i="48"/>
  <c r="DB43" i="48"/>
  <c r="DB50" i="48"/>
  <c r="DB808" i="48"/>
  <c r="DB820" i="48"/>
  <c r="AD1242" i="48"/>
  <c r="AD1332" i="48"/>
  <c r="AD1334" i="48"/>
  <c r="AD1307" i="48"/>
  <c r="AD1298" i="48"/>
  <c r="AL1298" i="48" s="1"/>
  <c r="AD1283" i="48"/>
  <c r="AD1233" i="48"/>
  <c r="AD1231" i="48"/>
  <c r="AD1232" i="48"/>
  <c r="AD1217" i="48"/>
  <c r="AD1208" i="48"/>
  <c r="AD1209" i="48"/>
  <c r="AD1223" i="48"/>
  <c r="AD1133" i="48"/>
  <c r="AD1073" i="48"/>
  <c r="AM1073" i="48" s="1"/>
  <c r="AD1033" i="48"/>
  <c r="AD1034" i="48"/>
  <c r="AD933" i="48"/>
  <c r="AD908" i="48"/>
  <c r="AD839" i="48"/>
  <c r="AD835" i="48"/>
  <c r="AN835" i="48" s="1"/>
  <c r="AD834" i="48"/>
  <c r="AD832" i="48"/>
  <c r="AD831" i="48"/>
  <c r="AD833" i="48"/>
  <c r="AD848" i="48"/>
  <c r="AD816" i="48"/>
  <c r="AD808" i="48"/>
  <c r="AD807" i="48"/>
  <c r="DB816" i="48"/>
  <c r="DB823" i="48"/>
  <c r="DB819" i="48"/>
  <c r="DB821" i="48"/>
  <c r="DB811" i="48"/>
  <c r="DB824" i="48"/>
  <c r="DB813" i="48"/>
  <c r="DB817" i="48"/>
  <c r="DB809" i="48"/>
  <c r="AD795" i="48"/>
  <c r="AD794" i="48"/>
  <c r="DB784" i="48"/>
  <c r="AD798" i="48"/>
  <c r="AD784" i="48"/>
  <c r="DB794" i="48"/>
  <c r="DB795" i="48"/>
  <c r="DB799" i="48"/>
  <c r="DB801" i="48"/>
  <c r="DB796" i="48"/>
  <c r="DB790" i="48"/>
  <c r="DB782" i="48"/>
  <c r="DB788" i="48"/>
  <c r="DB791" i="48"/>
  <c r="DB786" i="48"/>
  <c r="AD782" i="48"/>
  <c r="DB757" i="48"/>
  <c r="DB759" i="48"/>
  <c r="DB762" i="48"/>
  <c r="DB763" i="48"/>
  <c r="DB773" i="48"/>
  <c r="DB770" i="48"/>
  <c r="AD757" i="48"/>
  <c r="AD759" i="48"/>
  <c r="DB767" i="48"/>
  <c r="DB776" i="48"/>
  <c r="AD758" i="48"/>
  <c r="AD744" i="48"/>
  <c r="AN744" i="48" s="1"/>
  <c r="AD737" i="48"/>
  <c r="AN737" i="48" s="1"/>
  <c r="AD733" i="48"/>
  <c r="AD732" i="48"/>
  <c r="DB739" i="48"/>
  <c r="DB745" i="48"/>
  <c r="DB749" i="48"/>
  <c r="DB741" i="48"/>
  <c r="AD748" i="48"/>
  <c r="DB747" i="48"/>
  <c r="DB735" i="48"/>
  <c r="DB742" i="48"/>
  <c r="DB734" i="48"/>
  <c r="DB744" i="48"/>
  <c r="DB737" i="48"/>
  <c r="AD719" i="48"/>
  <c r="AD707" i="48"/>
  <c r="DB711" i="48"/>
  <c r="DB715" i="48"/>
  <c r="DB708" i="48"/>
  <c r="DB712" i="48"/>
  <c r="DB709" i="48"/>
  <c r="DB721" i="48"/>
  <c r="DB724" i="48"/>
  <c r="DB722" i="48"/>
  <c r="DB713" i="48"/>
  <c r="DB719" i="48"/>
  <c r="AD708" i="48"/>
  <c r="AD709" i="48"/>
  <c r="DB697" i="48"/>
  <c r="DB698" i="48"/>
  <c r="AD682" i="48"/>
  <c r="AD698" i="48"/>
  <c r="AN698" i="48" s="1"/>
  <c r="DB683" i="48"/>
  <c r="DB694" i="48"/>
  <c r="DB691" i="48"/>
  <c r="DB686" i="48"/>
  <c r="DB699" i="48"/>
  <c r="DB684" i="48"/>
  <c r="DB700" i="48"/>
  <c r="AD683" i="48"/>
  <c r="AD684" i="48"/>
  <c r="AD607" i="48"/>
  <c r="AD587" i="48"/>
  <c r="AD583" i="48"/>
  <c r="AD582" i="48"/>
  <c r="AD532" i="48"/>
  <c r="AD533" i="48"/>
  <c r="AD523" i="48"/>
  <c r="AJ523" i="48" s="1"/>
  <c r="AD509" i="48"/>
  <c r="AD508" i="48"/>
  <c r="AD507" i="48"/>
  <c r="AD458" i="48"/>
  <c r="AD457" i="48"/>
  <c r="AD459" i="48"/>
  <c r="AD450" i="48"/>
  <c r="AD444" i="48"/>
  <c r="AD433" i="48"/>
  <c r="AD434" i="48"/>
  <c r="AD432" i="48"/>
  <c r="AN415" i="48"/>
  <c r="AM420" i="48"/>
  <c r="AM415" i="48"/>
  <c r="AN420" i="48"/>
  <c r="AJ415" i="48"/>
  <c r="AD408" i="48"/>
  <c r="AD407" i="48"/>
  <c r="AL420" i="48"/>
  <c r="AD409" i="48"/>
  <c r="AD406" i="48"/>
  <c r="AD400" i="48"/>
  <c r="AD385" i="48"/>
  <c r="AN385" i="48" s="1"/>
  <c r="AD390" i="48"/>
  <c r="AD394" i="48"/>
  <c r="AD383" i="48"/>
  <c r="AD358" i="48"/>
  <c r="AD332" i="48"/>
  <c r="AD308" i="48"/>
  <c r="AD309" i="48"/>
  <c r="AD282" i="48"/>
  <c r="AD284" i="48"/>
  <c r="AD238" i="48"/>
  <c r="AD233" i="48"/>
  <c r="AD207" i="48"/>
  <c r="AD208" i="48"/>
  <c r="AD183" i="48"/>
  <c r="AD173" i="48"/>
  <c r="AD157" i="48"/>
  <c r="AD158" i="48"/>
  <c r="AN143" i="48"/>
  <c r="AJ143" i="48"/>
  <c r="AD135" i="48"/>
  <c r="AN135" i="48" s="1"/>
  <c r="AD140" i="48"/>
  <c r="AD137" i="48"/>
  <c r="AD148" i="48"/>
  <c r="AD138" i="48"/>
  <c r="AD142" i="48"/>
  <c r="AD149" i="48"/>
  <c r="AD139" i="48"/>
  <c r="AD144" i="48"/>
  <c r="AD141" i="48"/>
  <c r="AD115" i="48"/>
  <c r="AD107" i="48"/>
  <c r="AD83" i="48"/>
  <c r="AD84" i="48"/>
  <c r="AD82" i="48"/>
  <c r="AD58" i="48"/>
  <c r="AD33" i="48"/>
  <c r="AN200" i="48"/>
  <c r="AM200" i="48"/>
  <c r="X13" i="48"/>
  <c r="X16" i="48"/>
  <c r="X11" i="48"/>
  <c r="X18" i="48"/>
  <c r="X24" i="48"/>
  <c r="X20" i="48"/>
  <c r="X17" i="48"/>
  <c r="X12" i="48"/>
  <c r="X23" i="48"/>
  <c r="X21" i="48"/>
  <c r="X15" i="48"/>
  <c r="X14" i="48"/>
  <c r="AJ50" i="48"/>
  <c r="AM350" i="48"/>
  <c r="AL125" i="48"/>
  <c r="AD9" i="48"/>
  <c r="AN9" i="48" s="1"/>
  <c r="AD22" i="48"/>
  <c r="AL1200" i="48"/>
  <c r="AM1200" i="48"/>
  <c r="AL200" i="48"/>
  <c r="AN1100" i="48"/>
  <c r="AM1100" i="48"/>
  <c r="AL1100" i="48"/>
  <c r="AN1200" i="48"/>
  <c r="AJ1100" i="48"/>
  <c r="AJ1200" i="48"/>
  <c r="AM125" i="48"/>
  <c r="AL1025" i="48"/>
  <c r="AN125" i="48"/>
  <c r="AD16" i="48"/>
  <c r="AM1025" i="48"/>
  <c r="AN350" i="48"/>
  <c r="AJ1025" i="48"/>
  <c r="AJ350" i="48"/>
  <c r="AN1025" i="48"/>
  <c r="AL350" i="48"/>
  <c r="AD20" i="48"/>
  <c r="AD17" i="48"/>
  <c r="AD12" i="48"/>
  <c r="AD21" i="48"/>
  <c r="AD15" i="48"/>
  <c r="AL50" i="48"/>
  <c r="AJ425" i="48"/>
  <c r="AL248" i="48"/>
  <c r="AN425" i="48"/>
  <c r="AM50" i="48"/>
  <c r="AN50" i="48"/>
  <c r="AM425" i="48"/>
  <c r="AL425" i="48"/>
  <c r="AD23" i="48"/>
  <c r="AD13" i="48"/>
  <c r="AD19" i="48"/>
  <c r="AD14" i="48"/>
  <c r="AD11" i="48"/>
  <c r="AD18" i="48"/>
  <c r="AD24" i="48"/>
  <c r="DB25" i="48"/>
  <c r="AM10" i="48"/>
  <c r="AL10" i="48"/>
  <c r="AN10" i="48"/>
  <c r="AM1122" i="48" l="1"/>
  <c r="AJ1122" i="48"/>
  <c r="AE748" i="48"/>
  <c r="AJ698" i="48"/>
  <c r="AL748" i="48"/>
  <c r="AM384" i="48"/>
  <c r="AN384" i="48"/>
  <c r="AN597" i="48"/>
  <c r="AJ748" i="48"/>
  <c r="AJ1298" i="48"/>
  <c r="AM1298" i="48"/>
  <c r="AN887" i="48"/>
  <c r="AL1173" i="48"/>
  <c r="AL1073" i="48"/>
  <c r="AJ1073" i="48"/>
  <c r="AJ1120" i="48"/>
  <c r="AL1120" i="48"/>
  <c r="AE1120" i="48"/>
  <c r="AJ42" i="48"/>
  <c r="AM42" i="48"/>
  <c r="AL42" i="48"/>
  <c r="AL1089" i="48"/>
  <c r="AM1089" i="48"/>
  <c r="AN42" i="48"/>
  <c r="AN1122" i="48"/>
  <c r="AD973" i="48"/>
  <c r="AN973" i="48" s="1"/>
  <c r="AE1121" i="48"/>
  <c r="AN62" i="48"/>
  <c r="AN1089" i="48"/>
  <c r="AJ371" i="48"/>
  <c r="AL371" i="48"/>
  <c r="AM371" i="48"/>
  <c r="AN371" i="48"/>
  <c r="AJ593" i="48"/>
  <c r="AE594" i="48"/>
  <c r="AN971" i="48"/>
  <c r="AN868" i="48"/>
  <c r="AN897" i="48"/>
  <c r="AN1087" i="48"/>
  <c r="AN1014" i="48"/>
  <c r="AN1188" i="48"/>
  <c r="AN918" i="48"/>
  <c r="AN149" i="48"/>
  <c r="AN839" i="48"/>
  <c r="AN915" i="48"/>
  <c r="AJ62" i="48"/>
  <c r="AN612" i="48"/>
  <c r="AN122" i="48"/>
  <c r="AN239" i="48"/>
  <c r="AN491" i="48"/>
  <c r="AN561" i="48"/>
  <c r="AN595" i="48"/>
  <c r="AN966" i="48"/>
  <c r="AN1295" i="48"/>
  <c r="AN889" i="48"/>
  <c r="AD1250" i="48"/>
  <c r="AN1250" i="48" s="1"/>
  <c r="AN141" i="48"/>
  <c r="AN142" i="48"/>
  <c r="AN140" i="48"/>
  <c r="AN238" i="48"/>
  <c r="AN394" i="48"/>
  <c r="AN390" i="48"/>
  <c r="AN444" i="48"/>
  <c r="AN523" i="48"/>
  <c r="AL698" i="48"/>
  <c r="AJ798" i="48"/>
  <c r="AN795" i="48"/>
  <c r="AN816" i="48"/>
  <c r="AN914" i="48"/>
  <c r="AN1021" i="48"/>
  <c r="AN1223" i="48"/>
  <c r="AN1298" i="48"/>
  <c r="AJ71" i="48"/>
  <c r="AN91" i="48"/>
  <c r="AN1272" i="48"/>
  <c r="AN1318" i="48"/>
  <c r="AN197" i="48"/>
  <c r="AN240" i="48"/>
  <c r="AN275" i="48"/>
  <c r="AL373" i="48"/>
  <c r="AJ364" i="48"/>
  <c r="AN488" i="48"/>
  <c r="AN571" i="48"/>
  <c r="AN594" i="48"/>
  <c r="AJ889" i="48"/>
  <c r="AN962" i="48"/>
  <c r="AN1061" i="48"/>
  <c r="AN1263" i="48"/>
  <c r="AM1120" i="48"/>
  <c r="AJ893" i="48"/>
  <c r="AN1019" i="48"/>
  <c r="AJ887" i="48"/>
  <c r="AN1193" i="48"/>
  <c r="AN115" i="48"/>
  <c r="AN137" i="48"/>
  <c r="AL948" i="48"/>
  <c r="AN1217" i="48"/>
  <c r="AN1268" i="48"/>
  <c r="AN1344" i="48"/>
  <c r="AN337" i="48"/>
  <c r="AN773" i="48"/>
  <c r="AN989" i="48"/>
  <c r="AN1265" i="48"/>
  <c r="AN1325" i="48"/>
  <c r="AN342" i="48"/>
  <c r="AJ1121" i="48"/>
  <c r="AM1015" i="48"/>
  <c r="AM887" i="48"/>
  <c r="AN248" i="48"/>
  <c r="AM248" i="48"/>
  <c r="AN144" i="48"/>
  <c r="AN138" i="48"/>
  <c r="AN450" i="48"/>
  <c r="AN587" i="48"/>
  <c r="AN719" i="48"/>
  <c r="AM848" i="48"/>
  <c r="AJ37" i="48"/>
  <c r="AL122" i="48"/>
  <c r="AN1275" i="48"/>
  <c r="AN1296" i="48"/>
  <c r="AJ123" i="48"/>
  <c r="AN193" i="48"/>
  <c r="AN236" i="48"/>
  <c r="AJ375" i="48"/>
  <c r="AN487" i="48"/>
  <c r="AN575" i="48"/>
  <c r="AN895" i="48"/>
  <c r="AN970" i="48"/>
  <c r="AN573" i="48"/>
  <c r="AN343" i="48"/>
  <c r="AN1191" i="48"/>
  <c r="AN173" i="48"/>
  <c r="AN794" i="48"/>
  <c r="AN1271" i="48"/>
  <c r="AN1113" i="48"/>
  <c r="AN139" i="48"/>
  <c r="AN148" i="48"/>
  <c r="AN400" i="48"/>
  <c r="AN912" i="48"/>
  <c r="AN917" i="48"/>
  <c r="AM1148" i="48"/>
  <c r="AM1242" i="48"/>
  <c r="AN1270" i="48"/>
  <c r="AN1291" i="48"/>
  <c r="AN1315" i="48"/>
  <c r="AN172" i="48"/>
  <c r="AN174" i="48"/>
  <c r="AN245" i="48"/>
  <c r="AJ348" i="48"/>
  <c r="AN770" i="48"/>
  <c r="AN1095" i="48"/>
  <c r="AN1261" i="48"/>
  <c r="AN1287" i="48"/>
  <c r="AN649" i="48"/>
  <c r="AN1119" i="48"/>
  <c r="AL1122" i="48"/>
  <c r="AJ1294" i="48"/>
  <c r="AL1294" i="48"/>
  <c r="AJ112" i="48"/>
  <c r="AN112" i="48"/>
  <c r="AM112" i="48"/>
  <c r="AL112" i="48"/>
  <c r="AL899" i="48"/>
  <c r="AM899" i="48"/>
  <c r="AM1259" i="48"/>
  <c r="AL1259" i="48"/>
  <c r="AN375" i="48"/>
  <c r="AL559" i="48"/>
  <c r="AM559" i="48"/>
  <c r="AN559" i="48"/>
  <c r="AN1009" i="48"/>
  <c r="AM1009" i="48"/>
  <c r="AL1009" i="48"/>
  <c r="AL1124" i="48"/>
  <c r="AJ1124" i="48"/>
  <c r="AL243" i="48"/>
  <c r="AJ243" i="48"/>
  <c r="AN243" i="48"/>
  <c r="AM243" i="48"/>
  <c r="AL48" i="48"/>
  <c r="AN48" i="48"/>
  <c r="AJ48" i="48"/>
  <c r="AM48" i="48"/>
  <c r="AN1284" i="48"/>
  <c r="AM1284" i="48"/>
  <c r="AL1284" i="48"/>
  <c r="AJ45" i="48"/>
  <c r="AE46" i="48"/>
  <c r="AL45" i="48"/>
  <c r="AM45" i="48"/>
  <c r="AN45" i="48"/>
  <c r="AJ619" i="48"/>
  <c r="AN619" i="48"/>
  <c r="AL619" i="48"/>
  <c r="AM619" i="48"/>
  <c r="AJ1346" i="48"/>
  <c r="AM1346" i="48"/>
  <c r="AN1346" i="48"/>
  <c r="AL1346" i="48"/>
  <c r="AJ173" i="48"/>
  <c r="AL123" i="48"/>
  <c r="AE174" i="48"/>
  <c r="AM748" i="48"/>
  <c r="AL62" i="48"/>
  <c r="AM234" i="48"/>
  <c r="AN1015" i="48"/>
  <c r="AN1259" i="48"/>
  <c r="AN899" i="48"/>
  <c r="AN1294" i="48"/>
  <c r="AJ899" i="48"/>
  <c r="AD734" i="48"/>
  <c r="AE735" i="48" s="1"/>
  <c r="AM698" i="48"/>
  <c r="AE123" i="48"/>
  <c r="AJ948" i="48"/>
  <c r="AN748" i="48"/>
  <c r="AL234" i="48"/>
  <c r="AM375" i="48"/>
  <c r="AE45" i="48"/>
  <c r="AM1294" i="48"/>
  <c r="AE1294" i="48"/>
  <c r="AM123" i="48"/>
  <c r="AE749" i="48"/>
  <c r="AM1317" i="48"/>
  <c r="AN1317" i="48"/>
  <c r="AL1317" i="48"/>
  <c r="AJ1317" i="48"/>
  <c r="AL1148" i="48"/>
  <c r="AJ1148" i="48"/>
  <c r="AL1125" i="48"/>
  <c r="AM1125" i="48"/>
  <c r="AN1125" i="48"/>
  <c r="AJ1125" i="48"/>
  <c r="AJ1116" i="48"/>
  <c r="AL1116" i="48"/>
  <c r="AM1116" i="48"/>
  <c r="AJ1114" i="48"/>
  <c r="AL1114" i="48"/>
  <c r="AM1114" i="48"/>
  <c r="AE1114" i="48"/>
  <c r="AJ1118" i="48"/>
  <c r="AN1118" i="48"/>
  <c r="AM1118" i="48"/>
  <c r="AE1118" i="48"/>
  <c r="AL1118" i="48"/>
  <c r="AE1119" i="48"/>
  <c r="AJ1117" i="48"/>
  <c r="AL1117" i="48"/>
  <c r="AE1117" i="48"/>
  <c r="AN1117" i="48"/>
  <c r="AM1117" i="48"/>
  <c r="AN1114" i="48"/>
  <c r="AN1116" i="48"/>
  <c r="AJ1091" i="48"/>
  <c r="AE1091" i="48"/>
  <c r="AN1091" i="48"/>
  <c r="AM1091" i="48"/>
  <c r="AL1091" i="48"/>
  <c r="AJ1090" i="48"/>
  <c r="AE1090" i="48"/>
  <c r="AL1090" i="48"/>
  <c r="AN1090" i="48"/>
  <c r="AM1090" i="48"/>
  <c r="AL1099" i="48"/>
  <c r="AM1099" i="48"/>
  <c r="AJ1099" i="48"/>
  <c r="AN1099" i="48"/>
  <c r="AE1100" i="48"/>
  <c r="AM1088" i="48"/>
  <c r="AN1088" i="48"/>
  <c r="AL1088" i="48"/>
  <c r="AJ1088" i="48"/>
  <c r="AM1093" i="48"/>
  <c r="AN1093" i="48"/>
  <c r="AL1093" i="48"/>
  <c r="AJ1093" i="48"/>
  <c r="AN809" i="48"/>
  <c r="AM809" i="48"/>
  <c r="AL809" i="48"/>
  <c r="AJ614" i="48"/>
  <c r="AM614" i="48"/>
  <c r="AN614" i="48"/>
  <c r="AL614" i="48"/>
  <c r="AN609" i="48"/>
  <c r="AL609" i="48"/>
  <c r="AM609" i="48"/>
  <c r="AJ365" i="48"/>
  <c r="AN365" i="48"/>
  <c r="AL365" i="48"/>
  <c r="AE365" i="48"/>
  <c r="AM365" i="48"/>
  <c r="AL348" i="48"/>
  <c r="AM348" i="48"/>
  <c r="AJ124" i="48"/>
  <c r="AE124" i="48"/>
  <c r="AL124" i="48"/>
  <c r="AE125" i="48"/>
  <c r="AN124" i="48"/>
  <c r="AM124" i="48"/>
  <c r="AD49" i="48"/>
  <c r="AD47" i="48"/>
  <c r="AM373" i="48"/>
  <c r="AN948" i="48"/>
  <c r="AM1223" i="48"/>
  <c r="AL71" i="48"/>
  <c r="AL595" i="48"/>
  <c r="AM595" i="48"/>
  <c r="AL893" i="48"/>
  <c r="AJ373" i="48"/>
  <c r="AM948" i="48"/>
  <c r="AJ1223" i="48"/>
  <c r="AN364" i="48"/>
  <c r="AN848" i="48"/>
  <c r="AN798" i="48"/>
  <c r="AL1223" i="48"/>
  <c r="AM71" i="48"/>
  <c r="AM364" i="48"/>
  <c r="AL364" i="48"/>
  <c r="AM1087" i="48"/>
  <c r="AN1148" i="48"/>
  <c r="AM1173" i="48"/>
  <c r="AE1125" i="48"/>
  <c r="AM1121" i="48"/>
  <c r="AE1122" i="48"/>
  <c r="AJ612" i="48"/>
  <c r="AM1124" i="48"/>
  <c r="AN1173" i="48"/>
  <c r="AE173" i="48"/>
  <c r="AN593" i="48"/>
  <c r="AL1121" i="48"/>
  <c r="AN893" i="48"/>
  <c r="AN1124" i="48"/>
  <c r="AM893" i="48"/>
  <c r="AL173" i="48"/>
  <c r="AM173" i="48"/>
  <c r="AN1293" i="48"/>
  <c r="AN1121" i="48"/>
  <c r="AL1191" i="48"/>
  <c r="AJ1191" i="48"/>
  <c r="AM1191" i="48"/>
  <c r="AJ1188" i="48"/>
  <c r="AL1188" i="48"/>
  <c r="AM1188" i="48"/>
  <c r="AL1193" i="48"/>
  <c r="AJ1193" i="48"/>
  <c r="AM1193" i="48"/>
  <c r="AJ343" i="48"/>
  <c r="AL343" i="48"/>
  <c r="AM343" i="48"/>
  <c r="AJ1119" i="48"/>
  <c r="AL1119" i="48"/>
  <c r="AM1119" i="48"/>
  <c r="AJ1019" i="48"/>
  <c r="AM1019" i="48"/>
  <c r="AL1019" i="48"/>
  <c r="AD338" i="48"/>
  <c r="AE338" i="48" s="1"/>
  <c r="AD1115" i="48"/>
  <c r="AJ1113" i="48"/>
  <c r="AL1113" i="48"/>
  <c r="AM1113" i="48"/>
  <c r="AM745" i="48"/>
  <c r="AJ745" i="48"/>
  <c r="AL745" i="48"/>
  <c r="AD572" i="48"/>
  <c r="AN334" i="48"/>
  <c r="AL334" i="48"/>
  <c r="AM334" i="48"/>
  <c r="AL889" i="48"/>
  <c r="AM889" i="48"/>
  <c r="AL573" i="48"/>
  <c r="AM573" i="48"/>
  <c r="AJ573" i="48"/>
  <c r="AJ1242" i="48"/>
  <c r="AD165" i="48"/>
  <c r="AJ649" i="48"/>
  <c r="AL649" i="48"/>
  <c r="AM649" i="48"/>
  <c r="AM1014" i="48"/>
  <c r="AJ1014" i="48"/>
  <c r="AL1014" i="48"/>
  <c r="AJ739" i="48"/>
  <c r="AL739" i="48"/>
  <c r="AM739" i="48"/>
  <c r="AJ342" i="48"/>
  <c r="AM342" i="48"/>
  <c r="AE343" i="48"/>
  <c r="AL342" i="48"/>
  <c r="AM1325" i="48"/>
  <c r="AJ1325" i="48"/>
  <c r="AL1325" i="48"/>
  <c r="AL1295" i="48"/>
  <c r="AJ1295" i="48"/>
  <c r="AM1295" i="48"/>
  <c r="AE1295" i="48"/>
  <c r="AJ1288" i="48"/>
  <c r="AM1288" i="48"/>
  <c r="AE1288" i="48"/>
  <c r="AL1288" i="48"/>
  <c r="AN1288" i="48"/>
  <c r="AM1287" i="48"/>
  <c r="AJ1287" i="48"/>
  <c r="AL1287" i="48"/>
  <c r="AL1293" i="48"/>
  <c r="AJ1293" i="48"/>
  <c r="AM1293" i="48"/>
  <c r="AL1265" i="48"/>
  <c r="AM1265" i="48"/>
  <c r="AJ1265" i="48"/>
  <c r="AL1261" i="48"/>
  <c r="AJ1261" i="48"/>
  <c r="AM1261" i="48"/>
  <c r="AJ1263" i="48"/>
  <c r="AM1263" i="48"/>
  <c r="AL1263" i="48"/>
  <c r="AD1123" i="48"/>
  <c r="AN1109" i="48"/>
  <c r="AL1109" i="48"/>
  <c r="AM1109" i="48"/>
  <c r="AD1112" i="48"/>
  <c r="AD1111" i="48"/>
  <c r="AM1110" i="48"/>
  <c r="AE1110" i="48"/>
  <c r="AL1110" i="48"/>
  <c r="AL1087" i="48"/>
  <c r="AJ1087" i="48"/>
  <c r="AE1088" i="48"/>
  <c r="AD1098" i="48"/>
  <c r="AD1096" i="48"/>
  <c r="AM1095" i="48"/>
  <c r="AJ1095" i="48"/>
  <c r="AL1095" i="48"/>
  <c r="AE1089" i="48"/>
  <c r="AJ1089" i="48"/>
  <c r="AD1086" i="48"/>
  <c r="AD1094" i="48"/>
  <c r="AM1084" i="48"/>
  <c r="AL1084" i="48"/>
  <c r="AM1085" i="48"/>
  <c r="AL1085" i="48"/>
  <c r="AE1085" i="48"/>
  <c r="AJ1061" i="48"/>
  <c r="AL1061" i="48"/>
  <c r="AM1061" i="48"/>
  <c r="AE1015" i="48"/>
  <c r="AL1015" i="48"/>
  <c r="AJ1015" i="48"/>
  <c r="AL989" i="48"/>
  <c r="AM989" i="48"/>
  <c r="AJ989" i="48"/>
  <c r="AD963" i="48"/>
  <c r="AD967" i="48"/>
  <c r="AJ966" i="48"/>
  <c r="AM966" i="48"/>
  <c r="AL966" i="48"/>
  <c r="AJ970" i="48"/>
  <c r="AL970" i="48"/>
  <c r="AM970" i="48"/>
  <c r="AJ962" i="48"/>
  <c r="AL962" i="48"/>
  <c r="AM962" i="48"/>
  <c r="AJ971" i="48"/>
  <c r="AL971" i="48"/>
  <c r="AE971" i="48"/>
  <c r="AM971" i="48"/>
  <c r="AD896" i="48"/>
  <c r="AM895" i="48"/>
  <c r="AJ895" i="48"/>
  <c r="AL895" i="48"/>
  <c r="AD898" i="48"/>
  <c r="AD884" i="48"/>
  <c r="AJ897" i="48"/>
  <c r="AM897" i="48"/>
  <c r="AL897" i="48"/>
  <c r="AJ868" i="48"/>
  <c r="AM868" i="48"/>
  <c r="AL868" i="48"/>
  <c r="AD772" i="48"/>
  <c r="AD768" i="48"/>
  <c r="AJ770" i="48"/>
  <c r="AM770" i="48"/>
  <c r="AL770" i="48"/>
  <c r="AD769" i="48"/>
  <c r="AD765" i="48"/>
  <c r="AL773" i="48"/>
  <c r="AJ773" i="48"/>
  <c r="AM773" i="48"/>
  <c r="AL747" i="48"/>
  <c r="AJ747" i="48"/>
  <c r="AM747" i="48"/>
  <c r="AL735" i="48"/>
  <c r="AM735" i="48"/>
  <c r="AD750" i="48"/>
  <c r="AN750" i="48" s="1"/>
  <c r="AJ749" i="48"/>
  <c r="AL749" i="48"/>
  <c r="AM749" i="48"/>
  <c r="AJ742" i="48"/>
  <c r="AM742" i="48"/>
  <c r="AL742" i="48"/>
  <c r="AD642" i="48"/>
  <c r="AD647" i="48"/>
  <c r="AD644" i="48"/>
  <c r="AD639" i="48"/>
  <c r="AD636" i="48"/>
  <c r="AD645" i="48"/>
  <c r="AD635" i="48"/>
  <c r="AN635" i="48" s="1"/>
  <c r="AD648" i="48"/>
  <c r="AD650" i="48"/>
  <c r="AD641" i="48"/>
  <c r="AD640" i="48"/>
  <c r="AD646" i="48"/>
  <c r="AD638" i="48"/>
  <c r="AD643" i="48"/>
  <c r="AD634" i="48"/>
  <c r="AN634" i="48" s="1"/>
  <c r="AD637" i="48"/>
  <c r="AE595" i="48"/>
  <c r="AJ595" i="48"/>
  <c r="AD600" i="48"/>
  <c r="AJ597" i="48"/>
  <c r="AM597" i="48"/>
  <c r="AM593" i="48"/>
  <c r="AL593" i="48"/>
  <c r="AL594" i="48"/>
  <c r="AM594" i="48"/>
  <c r="AJ594" i="48"/>
  <c r="AD565" i="48"/>
  <c r="AD564" i="48"/>
  <c r="AD562" i="48"/>
  <c r="AL561" i="48"/>
  <c r="AM561" i="48"/>
  <c r="AJ561" i="48"/>
  <c r="AD570" i="48"/>
  <c r="AD566" i="48"/>
  <c r="AD567" i="48"/>
  <c r="AD560" i="48"/>
  <c r="AE561" i="48" s="1"/>
  <c r="AJ571" i="48"/>
  <c r="AL571" i="48"/>
  <c r="AM571" i="48"/>
  <c r="AD569" i="48"/>
  <c r="AD563" i="48"/>
  <c r="AD568" i="48"/>
  <c r="AL575" i="48"/>
  <c r="AJ575" i="48"/>
  <c r="AM575" i="48"/>
  <c r="AD518" i="48"/>
  <c r="AD495" i="48"/>
  <c r="AN484" i="48"/>
  <c r="AM484" i="48"/>
  <c r="AL484" i="48"/>
  <c r="AD486" i="48"/>
  <c r="AD500" i="48"/>
  <c r="AD492" i="48"/>
  <c r="AD499" i="48"/>
  <c r="AD497" i="48"/>
  <c r="AD493" i="48"/>
  <c r="AD490" i="48"/>
  <c r="AJ488" i="48"/>
  <c r="AE488" i="48"/>
  <c r="AL488" i="48"/>
  <c r="AM488" i="48"/>
  <c r="AD498" i="48"/>
  <c r="AD494" i="48"/>
  <c r="AD485" i="48"/>
  <c r="AN485" i="48" s="1"/>
  <c r="AD489" i="48"/>
  <c r="AD496" i="48"/>
  <c r="AM491" i="48"/>
  <c r="AJ491" i="48"/>
  <c r="AL491" i="48"/>
  <c r="AL487" i="48"/>
  <c r="AM487" i="48"/>
  <c r="AJ487" i="48"/>
  <c r="AD472" i="48"/>
  <c r="AD398" i="48"/>
  <c r="AD395" i="48"/>
  <c r="AE395" i="48" s="1"/>
  <c r="AD362" i="48"/>
  <c r="AD366" i="48"/>
  <c r="AN359" i="48"/>
  <c r="AM359" i="48"/>
  <c r="AL359" i="48"/>
  <c r="AD363" i="48"/>
  <c r="AD360" i="48"/>
  <c r="AN360" i="48" s="1"/>
  <c r="AD347" i="48"/>
  <c r="AD335" i="48"/>
  <c r="AN335" i="48" s="1"/>
  <c r="AM337" i="48"/>
  <c r="AJ337" i="48"/>
  <c r="AL337" i="48"/>
  <c r="AD325" i="48"/>
  <c r="AD296" i="48"/>
  <c r="AD291" i="48"/>
  <c r="AD263" i="48"/>
  <c r="AD272" i="48"/>
  <c r="AD264" i="48"/>
  <c r="AD274" i="48"/>
  <c r="AD261" i="48"/>
  <c r="AD271" i="48"/>
  <c r="AL275" i="48"/>
  <c r="AJ275" i="48"/>
  <c r="AM275" i="48"/>
  <c r="AD241" i="48"/>
  <c r="AL245" i="48"/>
  <c r="AM245" i="48"/>
  <c r="AJ245" i="48"/>
  <c r="AE240" i="48"/>
  <c r="AM240" i="48"/>
  <c r="AL240" i="48"/>
  <c r="AJ240" i="48"/>
  <c r="AD250" i="48"/>
  <c r="AD249" i="48"/>
  <c r="AM239" i="48"/>
  <c r="AJ239" i="48"/>
  <c r="AL239" i="48"/>
  <c r="AJ236" i="48"/>
  <c r="AL236" i="48"/>
  <c r="AM236" i="48"/>
  <c r="AD160" i="48"/>
  <c r="AN160" i="48" s="1"/>
  <c r="AJ174" i="48"/>
  <c r="AL174" i="48"/>
  <c r="AM174" i="48"/>
  <c r="AD184" i="48"/>
  <c r="AN184" i="48" s="1"/>
  <c r="AD196" i="48"/>
  <c r="AD190" i="48"/>
  <c r="AD186" i="48"/>
  <c r="AD191" i="48"/>
  <c r="AD189" i="48"/>
  <c r="AJ197" i="48"/>
  <c r="AL197" i="48"/>
  <c r="AM197" i="48"/>
  <c r="AD188" i="48"/>
  <c r="AD195" i="48"/>
  <c r="AD192" i="48"/>
  <c r="AD187" i="48"/>
  <c r="AD199" i="48"/>
  <c r="AD185" i="48"/>
  <c r="AN185" i="48" s="1"/>
  <c r="AD198" i="48"/>
  <c r="AJ193" i="48"/>
  <c r="AL193" i="48"/>
  <c r="AM193" i="48"/>
  <c r="AD164" i="48"/>
  <c r="AD169" i="48"/>
  <c r="AD166" i="48"/>
  <c r="AD162" i="48"/>
  <c r="AD170" i="48"/>
  <c r="AD168" i="48"/>
  <c r="AJ172" i="48"/>
  <c r="AL172" i="48"/>
  <c r="AM172" i="48"/>
  <c r="AJ122" i="48"/>
  <c r="AM122" i="48"/>
  <c r="AN44" i="48"/>
  <c r="AJ44" i="48"/>
  <c r="AL44" i="48"/>
  <c r="AM44" i="48"/>
  <c r="AN46" i="48"/>
  <c r="AJ46" i="48"/>
  <c r="AL46" i="48"/>
  <c r="AM46" i="48"/>
  <c r="AN34" i="48"/>
  <c r="AL34" i="48"/>
  <c r="AM1344" i="48"/>
  <c r="AL1344" i="48"/>
  <c r="AJ1344" i="48"/>
  <c r="AM1319" i="48"/>
  <c r="AJ1319" i="48"/>
  <c r="AL1319" i="48"/>
  <c r="AE1319" i="48"/>
  <c r="AD1324" i="48"/>
  <c r="AJ1318" i="48"/>
  <c r="AE1318" i="48"/>
  <c r="AL1318" i="48"/>
  <c r="AM1318" i="48"/>
  <c r="AJ1315" i="48"/>
  <c r="AM1315" i="48"/>
  <c r="AL1315" i="48"/>
  <c r="AD1316" i="48"/>
  <c r="AN1319" i="48"/>
  <c r="AD1285" i="48"/>
  <c r="AN1285" i="48" s="1"/>
  <c r="AJ1296" i="48"/>
  <c r="AM1296" i="48"/>
  <c r="AE1296" i="48"/>
  <c r="AL1296" i="48"/>
  <c r="AD1290" i="48"/>
  <c r="AD1286" i="48"/>
  <c r="AL1291" i="48"/>
  <c r="AM1291" i="48"/>
  <c r="AJ1291" i="48"/>
  <c r="AD1269" i="48"/>
  <c r="AD1266" i="48"/>
  <c r="AJ1273" i="48"/>
  <c r="AL1273" i="48"/>
  <c r="AE1273" i="48"/>
  <c r="AM1273" i="48"/>
  <c r="AD1260" i="48"/>
  <c r="AN1260" i="48" s="1"/>
  <c r="AJ1271" i="48"/>
  <c r="AE1271" i="48"/>
  <c r="AM1271" i="48"/>
  <c r="AL1271" i="48"/>
  <c r="AD1267" i="48"/>
  <c r="AE1268" i="48" s="1"/>
  <c r="AD1262" i="48"/>
  <c r="AM1268" i="48"/>
  <c r="AJ1268" i="48"/>
  <c r="AL1268" i="48"/>
  <c r="AJ1275" i="48"/>
  <c r="AM1275" i="48"/>
  <c r="AL1275" i="48"/>
  <c r="AD1274" i="48"/>
  <c r="AD1264" i="48"/>
  <c r="AN1273" i="48"/>
  <c r="AM1270" i="48"/>
  <c r="AJ1270" i="48"/>
  <c r="AL1270" i="48"/>
  <c r="AJ1272" i="48"/>
  <c r="AL1272" i="48"/>
  <c r="AE1272" i="48"/>
  <c r="AM1272" i="48"/>
  <c r="AM612" i="48"/>
  <c r="AL612" i="48"/>
  <c r="AD616" i="48"/>
  <c r="AD623" i="48"/>
  <c r="AD618" i="48"/>
  <c r="AD613" i="48"/>
  <c r="AD121" i="48"/>
  <c r="AN109" i="48"/>
  <c r="AL109" i="48"/>
  <c r="AM109" i="48"/>
  <c r="AN59" i="48"/>
  <c r="AN64" i="48"/>
  <c r="AE60" i="48"/>
  <c r="AM62" i="48"/>
  <c r="AD70" i="48"/>
  <c r="AD74" i="48"/>
  <c r="AL60" i="48"/>
  <c r="AM60" i="48"/>
  <c r="AL59" i="48"/>
  <c r="AM59" i="48"/>
  <c r="AJ64" i="48"/>
  <c r="AL64" i="48"/>
  <c r="AD72" i="48"/>
  <c r="AD39" i="48"/>
  <c r="AL37" i="48"/>
  <c r="AM37" i="48"/>
  <c r="AD36" i="48"/>
  <c r="AN1242" i="48"/>
  <c r="AL1242" i="48"/>
  <c r="AD1335" i="48"/>
  <c r="AN1335" i="48" s="1"/>
  <c r="AD1342" i="48"/>
  <c r="AD1341" i="48"/>
  <c r="AD1349" i="48"/>
  <c r="AD1347" i="48"/>
  <c r="AD1339" i="48"/>
  <c r="AD1348" i="48"/>
  <c r="AD1343" i="48"/>
  <c r="AD1337" i="48"/>
  <c r="AD1340" i="48"/>
  <c r="AD1338" i="48"/>
  <c r="AN1334" i="48"/>
  <c r="AL1334" i="48"/>
  <c r="AM1334" i="48"/>
  <c r="AD1350" i="48"/>
  <c r="AD1345" i="48"/>
  <c r="AD1336" i="48"/>
  <c r="AD1312" i="48"/>
  <c r="AD1311" i="48"/>
  <c r="AD1313" i="48"/>
  <c r="AD1310" i="48"/>
  <c r="AN1310" i="48" s="1"/>
  <c r="AD1323" i="48"/>
  <c r="AD1314" i="48"/>
  <c r="AD1320" i="48"/>
  <c r="AD1322" i="48"/>
  <c r="AD1309" i="48"/>
  <c r="AN1309" i="48" s="1"/>
  <c r="AD1297" i="48"/>
  <c r="AD1289" i="48"/>
  <c r="AD1292" i="48"/>
  <c r="AD1299" i="48"/>
  <c r="AD1300" i="48"/>
  <c r="AD1234" i="48"/>
  <c r="AN1234" i="48" s="1"/>
  <c r="AD1241" i="48"/>
  <c r="AD1239" i="48"/>
  <c r="AD1240" i="48"/>
  <c r="AD1243" i="48"/>
  <c r="AD1245" i="48"/>
  <c r="AD1249" i="48"/>
  <c r="AD1238" i="48"/>
  <c r="AD1236" i="48"/>
  <c r="AN1236" i="48" s="1"/>
  <c r="AD1248" i="48"/>
  <c r="AD1246" i="48"/>
  <c r="AD1244" i="48"/>
  <c r="AD1247" i="48"/>
  <c r="AD1235" i="48"/>
  <c r="AN1235" i="48" s="1"/>
  <c r="AD1237" i="48"/>
  <c r="AD1225" i="48"/>
  <c r="AD1216" i="48"/>
  <c r="AD1218" i="48"/>
  <c r="AD1215" i="48"/>
  <c r="AD1224" i="48"/>
  <c r="AD1211" i="48"/>
  <c r="AD1210" i="48"/>
  <c r="AN1210" i="48" s="1"/>
  <c r="AD1222" i="48"/>
  <c r="AD1213" i="48"/>
  <c r="AD1214" i="48"/>
  <c r="AD1219" i="48"/>
  <c r="AD1221" i="48"/>
  <c r="AD1212" i="48"/>
  <c r="AD1220" i="48"/>
  <c r="AN1209" i="48"/>
  <c r="AL1209" i="48"/>
  <c r="AM1209" i="48"/>
  <c r="AJ1217" i="48"/>
  <c r="AL1217" i="48"/>
  <c r="AM1217" i="48"/>
  <c r="AD1186" i="48"/>
  <c r="AD1198" i="48"/>
  <c r="AD1187" i="48"/>
  <c r="AD1189" i="48"/>
  <c r="AD1197" i="48"/>
  <c r="AD1190" i="48"/>
  <c r="AD1199" i="48"/>
  <c r="AN1184" i="48"/>
  <c r="AM1184" i="48"/>
  <c r="AL1184" i="48"/>
  <c r="AD1192" i="48"/>
  <c r="AD1196" i="48"/>
  <c r="AD1195" i="48"/>
  <c r="AD1194" i="48"/>
  <c r="AM1185" i="48"/>
  <c r="AE1185" i="48"/>
  <c r="AL1185" i="48"/>
  <c r="AD1162" i="48"/>
  <c r="AN1162" i="48" s="1"/>
  <c r="AD1169" i="48"/>
  <c r="AN1169" i="48" s="1"/>
  <c r="AD1170" i="48"/>
  <c r="AN1170" i="48" s="1"/>
  <c r="AD1159" i="48"/>
  <c r="AN1159" i="48" s="1"/>
  <c r="AD1165" i="48"/>
  <c r="AN1165" i="48" s="1"/>
  <c r="AD1164" i="48"/>
  <c r="AN1164" i="48" s="1"/>
  <c r="AD1166" i="48"/>
  <c r="AN1166" i="48" s="1"/>
  <c r="AD1171" i="48"/>
  <c r="AN1171" i="48" s="1"/>
  <c r="AD1167" i="48"/>
  <c r="AN1167" i="48" s="1"/>
  <c r="AD1172" i="48"/>
  <c r="AN1172" i="48" s="1"/>
  <c r="AD1163" i="48"/>
  <c r="AN1163" i="48" s="1"/>
  <c r="AD1174" i="48"/>
  <c r="AN1174" i="48" s="1"/>
  <c r="AD1175" i="48"/>
  <c r="AN1175" i="48" s="1"/>
  <c r="AD1168" i="48"/>
  <c r="AN1168" i="48" s="1"/>
  <c r="AD1161" i="48"/>
  <c r="AN1161" i="48" s="1"/>
  <c r="AD1160" i="48"/>
  <c r="AN1160" i="48" s="1"/>
  <c r="AD1137" i="48"/>
  <c r="AD1144" i="48"/>
  <c r="AD1135" i="48"/>
  <c r="AN1135" i="48" s="1"/>
  <c r="AD1136" i="48"/>
  <c r="AD1143" i="48"/>
  <c r="AD1147" i="48"/>
  <c r="AD1138" i="48"/>
  <c r="AD1149" i="48"/>
  <c r="AD1150" i="48"/>
  <c r="AD1145" i="48"/>
  <c r="AD1146" i="48"/>
  <c r="AD1142" i="48"/>
  <c r="AN1134" i="48"/>
  <c r="AL1134" i="48"/>
  <c r="AM1134" i="48"/>
  <c r="AD1140" i="48"/>
  <c r="AD1141" i="48"/>
  <c r="AD1139" i="48"/>
  <c r="AD1092" i="48"/>
  <c r="AD1097" i="48"/>
  <c r="AD1067" i="48"/>
  <c r="AD1062" i="48"/>
  <c r="AN1073" i="48"/>
  <c r="AD1068" i="48"/>
  <c r="AD1072" i="48"/>
  <c r="AD1066" i="48"/>
  <c r="AD1075" i="48"/>
  <c r="AD1060" i="48"/>
  <c r="AN1060" i="48" s="1"/>
  <c r="AD1063" i="48"/>
  <c r="AD1065" i="48"/>
  <c r="AD1070" i="48"/>
  <c r="AD1074" i="48"/>
  <c r="AD1071" i="48"/>
  <c r="AN1059" i="48"/>
  <c r="AL1059" i="48"/>
  <c r="AM1059" i="48"/>
  <c r="AD1069" i="48"/>
  <c r="AD1064" i="48"/>
  <c r="AD1041" i="48"/>
  <c r="AD1042" i="48"/>
  <c r="AD1045" i="48"/>
  <c r="AD1047" i="48"/>
  <c r="AD1037" i="48"/>
  <c r="AD1035" i="48"/>
  <c r="AN1035" i="48" s="1"/>
  <c r="AD1038" i="48"/>
  <c r="AD1040" i="48"/>
  <c r="AD1049" i="48"/>
  <c r="AD1044" i="48"/>
  <c r="AD1039" i="48"/>
  <c r="AD1050" i="48"/>
  <c r="AD1046" i="48"/>
  <c r="AN1034" i="48"/>
  <c r="AM1034" i="48"/>
  <c r="AL1034" i="48"/>
  <c r="AD1048" i="48"/>
  <c r="AD1036" i="48"/>
  <c r="AD1043" i="48"/>
  <c r="AD1022" i="48"/>
  <c r="AD1012" i="48"/>
  <c r="AD1017" i="48"/>
  <c r="AD1011" i="48"/>
  <c r="AD1013" i="48"/>
  <c r="AD1016" i="48"/>
  <c r="AD1024" i="48"/>
  <c r="AD1023" i="48"/>
  <c r="AD1010" i="48"/>
  <c r="AN1010" i="48" s="1"/>
  <c r="AD1018" i="48"/>
  <c r="AD1020" i="48"/>
  <c r="AJ1021" i="48"/>
  <c r="AL1021" i="48"/>
  <c r="AM1021" i="48"/>
  <c r="AD991" i="48"/>
  <c r="AD994" i="48"/>
  <c r="AD993" i="48"/>
  <c r="AN984" i="48"/>
  <c r="AL984" i="48"/>
  <c r="AM984" i="48"/>
  <c r="AD999" i="48"/>
  <c r="AD990" i="48"/>
  <c r="AD998" i="48"/>
  <c r="AD988" i="48"/>
  <c r="AD987" i="48"/>
  <c r="AD1000" i="48"/>
  <c r="AD997" i="48"/>
  <c r="AD992" i="48"/>
  <c r="AD996" i="48"/>
  <c r="AD995" i="48"/>
  <c r="AD985" i="48"/>
  <c r="AN985" i="48" s="1"/>
  <c r="AD986" i="48"/>
  <c r="AD974" i="48"/>
  <c r="AD972" i="48"/>
  <c r="AN959" i="48"/>
  <c r="AL959" i="48"/>
  <c r="AM959" i="48"/>
  <c r="AD961" i="48"/>
  <c r="AD969" i="48"/>
  <c r="AD975" i="48"/>
  <c r="AD960" i="48"/>
  <c r="AN960" i="48" s="1"/>
  <c r="AD965" i="48"/>
  <c r="AD964" i="48"/>
  <c r="AD968" i="48"/>
  <c r="AD938" i="48"/>
  <c r="AD941" i="48"/>
  <c r="AD945" i="48"/>
  <c r="AD942" i="48"/>
  <c r="AD946" i="48"/>
  <c r="AD944" i="48"/>
  <c r="AD950" i="48"/>
  <c r="AD939" i="48"/>
  <c r="AD935" i="48"/>
  <c r="AN935" i="48" s="1"/>
  <c r="AD940" i="48"/>
  <c r="AN934" i="48"/>
  <c r="AM934" i="48"/>
  <c r="AL934" i="48"/>
  <c r="AD949" i="48"/>
  <c r="AD947" i="48"/>
  <c r="AD943" i="48"/>
  <c r="AD936" i="48"/>
  <c r="AD937" i="48"/>
  <c r="AD922" i="48"/>
  <c r="AD916" i="48"/>
  <c r="AE917" i="48" s="1"/>
  <c r="AD913" i="48"/>
  <c r="AD921" i="48"/>
  <c r="AN909" i="48"/>
  <c r="AL909" i="48"/>
  <c r="AM909" i="48"/>
  <c r="AD911" i="48"/>
  <c r="AE912" i="48" s="1"/>
  <c r="AL915" i="48"/>
  <c r="AJ915" i="48"/>
  <c r="AM915" i="48"/>
  <c r="AE915" i="48"/>
  <c r="AE918" i="48"/>
  <c r="AM918" i="48"/>
  <c r="AL918" i="48"/>
  <c r="AJ918" i="48"/>
  <c r="AD910" i="48"/>
  <c r="AN910" i="48" s="1"/>
  <c r="AD924" i="48"/>
  <c r="AD920" i="48"/>
  <c r="AD919" i="48"/>
  <c r="AD925" i="48"/>
  <c r="AD923" i="48"/>
  <c r="AM912" i="48"/>
  <c r="AJ912" i="48"/>
  <c r="AL912" i="48"/>
  <c r="AM914" i="48"/>
  <c r="AJ914" i="48"/>
  <c r="AL914" i="48"/>
  <c r="AL917" i="48"/>
  <c r="AM917" i="48"/>
  <c r="AJ917" i="48"/>
  <c r="AD891" i="48"/>
  <c r="AD886" i="48"/>
  <c r="AD900" i="48"/>
  <c r="AD894" i="48"/>
  <c r="AD892" i="48"/>
  <c r="AD888" i="48"/>
  <c r="AD885" i="48"/>
  <c r="AN885" i="48" s="1"/>
  <c r="AD890" i="48"/>
  <c r="AD872" i="48"/>
  <c r="AD861" i="48"/>
  <c r="AD874" i="48"/>
  <c r="AD862" i="48"/>
  <c r="AD867" i="48"/>
  <c r="AD860" i="48"/>
  <c r="AN860" i="48" s="1"/>
  <c r="AD871" i="48"/>
  <c r="AD869" i="48"/>
  <c r="AD863" i="48"/>
  <c r="AN859" i="48"/>
  <c r="AL859" i="48"/>
  <c r="AM859" i="48"/>
  <c r="AD866" i="48"/>
  <c r="AD864" i="48"/>
  <c r="AD873" i="48"/>
  <c r="AD865" i="48"/>
  <c r="AD875" i="48"/>
  <c r="AD870" i="48"/>
  <c r="AD838" i="48"/>
  <c r="AE839" i="48" s="1"/>
  <c r="AD840" i="48"/>
  <c r="AD849" i="48"/>
  <c r="AL835" i="48"/>
  <c r="AM835" i="48"/>
  <c r="AE835" i="48"/>
  <c r="AD844" i="48"/>
  <c r="AJ848" i="48"/>
  <c r="AL848" i="48"/>
  <c r="AD845" i="48"/>
  <c r="AD841" i="48"/>
  <c r="AD846" i="48"/>
  <c r="AN834" i="48"/>
  <c r="AM834" i="48"/>
  <c r="AL834" i="48"/>
  <c r="AD843" i="48"/>
  <c r="AD842" i="48"/>
  <c r="AD837" i="48"/>
  <c r="AD847" i="48"/>
  <c r="AD850" i="48"/>
  <c r="AD836" i="48"/>
  <c r="AM839" i="48"/>
  <c r="AL839" i="48"/>
  <c r="AJ839" i="48"/>
  <c r="AD824" i="48"/>
  <c r="AD812" i="48"/>
  <c r="AD822" i="48"/>
  <c r="AD813" i="48"/>
  <c r="AD819" i="48"/>
  <c r="AD823" i="48"/>
  <c r="AD810" i="48"/>
  <c r="AN810" i="48" s="1"/>
  <c r="AD811" i="48"/>
  <c r="AD814" i="48"/>
  <c r="AD825" i="48"/>
  <c r="AD818" i="48"/>
  <c r="AD817" i="48"/>
  <c r="AD821" i="48"/>
  <c r="AD820" i="48"/>
  <c r="AD815" i="48"/>
  <c r="AJ816" i="48"/>
  <c r="AM816" i="48"/>
  <c r="AL816" i="48"/>
  <c r="AM798" i="48"/>
  <c r="AL798" i="48"/>
  <c r="AD792" i="48"/>
  <c r="AD790" i="48"/>
  <c r="AD797" i="48"/>
  <c r="AD793" i="48"/>
  <c r="AD785" i="48"/>
  <c r="AN785" i="48" s="1"/>
  <c r="AJ794" i="48"/>
  <c r="AL794" i="48"/>
  <c r="AM794" i="48"/>
  <c r="AD787" i="48"/>
  <c r="AD799" i="48"/>
  <c r="AN784" i="48"/>
  <c r="AL784" i="48"/>
  <c r="AM784" i="48"/>
  <c r="AD788" i="48"/>
  <c r="AD796" i="48"/>
  <c r="AD789" i="48"/>
  <c r="AD791" i="48"/>
  <c r="AD786" i="48"/>
  <c r="AD800" i="48"/>
  <c r="AJ795" i="48"/>
  <c r="AE795" i="48"/>
  <c r="AL795" i="48"/>
  <c r="AM795" i="48"/>
  <c r="AD767" i="48"/>
  <c r="AD761" i="48"/>
  <c r="AD763" i="48"/>
  <c r="AD774" i="48"/>
  <c r="AD766" i="48"/>
  <c r="AD762" i="48"/>
  <c r="AD775" i="48"/>
  <c r="AD764" i="48"/>
  <c r="AN759" i="48"/>
  <c r="AM759" i="48"/>
  <c r="AL759" i="48"/>
  <c r="AD771" i="48"/>
  <c r="AD760" i="48"/>
  <c r="AN760" i="48" s="1"/>
  <c r="AD736" i="48"/>
  <c r="AN736" i="48" s="1"/>
  <c r="AD746" i="48"/>
  <c r="AN746" i="48" s="1"/>
  <c r="AD738" i="48"/>
  <c r="AN738" i="48" s="1"/>
  <c r="AL737" i="48"/>
  <c r="AJ737" i="48"/>
  <c r="AM737" i="48"/>
  <c r="AD741" i="48"/>
  <c r="AN741" i="48" s="1"/>
  <c r="AD743" i="48"/>
  <c r="AN743" i="48" s="1"/>
  <c r="AD740" i="48"/>
  <c r="AN740" i="48" s="1"/>
  <c r="AE745" i="48"/>
  <c r="AJ744" i="48"/>
  <c r="AL744" i="48"/>
  <c r="AM744" i="48"/>
  <c r="AD718" i="48"/>
  <c r="AD713" i="48"/>
  <c r="AN709" i="48"/>
  <c r="AM709" i="48"/>
  <c r="AL709" i="48"/>
  <c r="AD711" i="48"/>
  <c r="AD714" i="48"/>
  <c r="AD720" i="48"/>
  <c r="AD725" i="48"/>
  <c r="AD721" i="48"/>
  <c r="AD715" i="48"/>
  <c r="AD710" i="48"/>
  <c r="AD722" i="48"/>
  <c r="AD712" i="48"/>
  <c r="AD723" i="48"/>
  <c r="AD717" i="48"/>
  <c r="AD724" i="48"/>
  <c r="AD716" i="48"/>
  <c r="AJ719" i="48"/>
  <c r="AM719" i="48"/>
  <c r="AE719" i="48"/>
  <c r="AL719" i="48"/>
  <c r="AN684" i="48"/>
  <c r="AL684" i="48"/>
  <c r="AM684" i="48"/>
  <c r="AD691" i="48"/>
  <c r="AD685" i="48"/>
  <c r="AN685" i="48" s="1"/>
  <c r="AD690" i="48"/>
  <c r="AD693" i="48"/>
  <c r="AD699" i="48"/>
  <c r="AD694" i="48"/>
  <c r="AD688" i="48"/>
  <c r="AD692" i="48"/>
  <c r="AD696" i="48"/>
  <c r="AD686" i="48"/>
  <c r="AD695" i="48"/>
  <c r="AD689" i="48"/>
  <c r="AD700" i="48"/>
  <c r="AD687" i="48"/>
  <c r="AD697" i="48"/>
  <c r="AD615" i="48"/>
  <c r="AD624" i="48"/>
  <c r="AD622" i="48"/>
  <c r="AD621" i="48"/>
  <c r="AD620" i="48"/>
  <c r="AD610" i="48"/>
  <c r="AN610" i="48" s="1"/>
  <c r="AD611" i="48"/>
  <c r="AD625" i="48"/>
  <c r="AD617" i="48"/>
  <c r="AD589" i="48"/>
  <c r="AD586" i="48"/>
  <c r="AD599" i="48"/>
  <c r="AD598" i="48"/>
  <c r="AD591" i="48"/>
  <c r="AD590" i="48"/>
  <c r="AD588" i="48"/>
  <c r="AD596" i="48"/>
  <c r="AJ587" i="48"/>
  <c r="AM587" i="48"/>
  <c r="AL587" i="48"/>
  <c r="AD592" i="48"/>
  <c r="AD585" i="48"/>
  <c r="AN585" i="48" s="1"/>
  <c r="AN584" i="48"/>
  <c r="AL584" i="48"/>
  <c r="AM584" i="48"/>
  <c r="AD574" i="48"/>
  <c r="AD535" i="48"/>
  <c r="AN535" i="48" s="1"/>
  <c r="AD545" i="48"/>
  <c r="AD534" i="48"/>
  <c r="AN534" i="48" s="1"/>
  <c r="AD544" i="48"/>
  <c r="AD536" i="48"/>
  <c r="AD550" i="48"/>
  <c r="AD540" i="48"/>
  <c r="AD539" i="48"/>
  <c r="AD537" i="48"/>
  <c r="AD541" i="48"/>
  <c r="AD546" i="48"/>
  <c r="AD547" i="48"/>
  <c r="AD542" i="48"/>
  <c r="AD548" i="48"/>
  <c r="AD543" i="48"/>
  <c r="AD538" i="48"/>
  <c r="AD549" i="48"/>
  <c r="AD522" i="48"/>
  <c r="AJ522" i="48" s="1"/>
  <c r="AD525" i="48"/>
  <c r="AJ525" i="48" s="1"/>
  <c r="AL523" i="48"/>
  <c r="AM523" i="48"/>
  <c r="AD524" i="48"/>
  <c r="AJ524" i="48" s="1"/>
  <c r="AD517" i="48"/>
  <c r="AD516" i="48"/>
  <c r="AD515" i="48"/>
  <c r="AD513" i="48"/>
  <c r="AD519" i="48"/>
  <c r="AD514" i="48"/>
  <c r="AD510" i="48"/>
  <c r="AN510" i="48" s="1"/>
  <c r="AD512" i="48"/>
  <c r="AD521" i="48"/>
  <c r="AJ521" i="48" s="1"/>
  <c r="AD520" i="48"/>
  <c r="AJ520" i="48" s="1"/>
  <c r="AN509" i="48"/>
  <c r="AL509" i="48"/>
  <c r="AM509" i="48"/>
  <c r="AD511" i="48"/>
  <c r="AD473" i="48"/>
  <c r="AD465" i="48"/>
  <c r="AD471" i="48"/>
  <c r="AD469" i="48"/>
  <c r="AD461" i="48"/>
  <c r="AD470" i="48"/>
  <c r="AD474" i="48"/>
  <c r="AD466" i="48"/>
  <c r="AD463" i="48"/>
  <c r="AD475" i="48"/>
  <c r="AD462" i="48"/>
  <c r="AD460" i="48"/>
  <c r="AN460" i="48" s="1"/>
  <c r="AD468" i="48"/>
  <c r="AD467" i="48"/>
  <c r="AN459" i="48"/>
  <c r="AL459" i="48"/>
  <c r="AM459" i="48"/>
  <c r="AD464" i="48"/>
  <c r="AN434" i="48"/>
  <c r="AL434" i="48"/>
  <c r="AM434" i="48"/>
  <c r="AD446" i="48"/>
  <c r="AD441" i="48"/>
  <c r="AD443" i="48"/>
  <c r="AJ444" i="48"/>
  <c r="AL444" i="48"/>
  <c r="AM444" i="48"/>
  <c r="AD448" i="48"/>
  <c r="AD442" i="48"/>
  <c r="AD438" i="48"/>
  <c r="AD435" i="48"/>
  <c r="AD447" i="48"/>
  <c r="AD445" i="48"/>
  <c r="AD440" i="48"/>
  <c r="AD437" i="48"/>
  <c r="AD436" i="48"/>
  <c r="AD439" i="48"/>
  <c r="AD449" i="48"/>
  <c r="AL450" i="48"/>
  <c r="AM450" i="48"/>
  <c r="AJ450" i="48"/>
  <c r="AD423" i="48"/>
  <c r="AN409" i="48"/>
  <c r="AL409" i="48"/>
  <c r="AM409" i="48"/>
  <c r="AD422" i="48"/>
  <c r="AD419" i="48"/>
  <c r="AD417" i="48"/>
  <c r="AD424" i="48"/>
  <c r="AD413" i="48"/>
  <c r="AD414" i="48"/>
  <c r="AD412" i="48"/>
  <c r="AD416" i="48"/>
  <c r="AD410" i="48"/>
  <c r="AN410" i="48" s="1"/>
  <c r="AD391" i="48"/>
  <c r="AD397" i="48"/>
  <c r="AD389" i="48"/>
  <c r="AD396" i="48"/>
  <c r="AE385" i="48"/>
  <c r="AL385" i="48"/>
  <c r="AM385" i="48"/>
  <c r="AD387" i="48"/>
  <c r="AD399" i="48"/>
  <c r="AE400" i="48" s="1"/>
  <c r="AD386" i="48"/>
  <c r="AJ394" i="48"/>
  <c r="AL394" i="48"/>
  <c r="AM394" i="48"/>
  <c r="AD392" i="48"/>
  <c r="AD388" i="48"/>
  <c r="AD393" i="48"/>
  <c r="AJ390" i="48"/>
  <c r="AM390" i="48"/>
  <c r="AL390" i="48"/>
  <c r="AL400" i="48"/>
  <c r="AJ400" i="48"/>
  <c r="AM400" i="48"/>
  <c r="AD361" i="48"/>
  <c r="AD367" i="48"/>
  <c r="AD368" i="48"/>
  <c r="AD372" i="48"/>
  <c r="AD369" i="48"/>
  <c r="AD370" i="48"/>
  <c r="AD374" i="48"/>
  <c r="AD340" i="48"/>
  <c r="AD339" i="48"/>
  <c r="AD344" i="48"/>
  <c r="AD345" i="48"/>
  <c r="AD349" i="48"/>
  <c r="AD341" i="48"/>
  <c r="AD346" i="48"/>
  <c r="AD336" i="48"/>
  <c r="AD316" i="48"/>
  <c r="AD318" i="48"/>
  <c r="AD320" i="48"/>
  <c r="AD314" i="48"/>
  <c r="AD313" i="48"/>
  <c r="AN309" i="48"/>
  <c r="AM309" i="48"/>
  <c r="AL309" i="48"/>
  <c r="AD312" i="48"/>
  <c r="AD322" i="48"/>
  <c r="AD321" i="48"/>
  <c r="AD324" i="48"/>
  <c r="AD310" i="48"/>
  <c r="AN310" i="48" s="1"/>
  <c r="AD319" i="48"/>
  <c r="AD315" i="48"/>
  <c r="AD323" i="48"/>
  <c r="AD317" i="48"/>
  <c r="AD311" i="48"/>
  <c r="AD289" i="48"/>
  <c r="AD288" i="48"/>
  <c r="AD286" i="48"/>
  <c r="AD292" i="48"/>
  <c r="AD295" i="48"/>
  <c r="AD299" i="48"/>
  <c r="AD297" i="48"/>
  <c r="AD290" i="48"/>
  <c r="AD300" i="48"/>
  <c r="AD293" i="48"/>
  <c r="AN284" i="48"/>
  <c r="AM284" i="48"/>
  <c r="AL284" i="48"/>
  <c r="AD294" i="48"/>
  <c r="AD285" i="48"/>
  <c r="AN285" i="48" s="1"/>
  <c r="AD298" i="48"/>
  <c r="AD287" i="48"/>
  <c r="AD259" i="48"/>
  <c r="AN259" i="48" s="1"/>
  <c r="AD273" i="48"/>
  <c r="AD262" i="48"/>
  <c r="AD268" i="48"/>
  <c r="AD260" i="48"/>
  <c r="AN260" i="48" s="1"/>
  <c r="AD270" i="48"/>
  <c r="AD269" i="48"/>
  <c r="AD267" i="48"/>
  <c r="AD265" i="48"/>
  <c r="AD266" i="48"/>
  <c r="AD244" i="48"/>
  <c r="AD235" i="48"/>
  <c r="AN235" i="48" s="1"/>
  <c r="AD242" i="48"/>
  <c r="AD246" i="48"/>
  <c r="AD247" i="48"/>
  <c r="AD237" i="48"/>
  <c r="AE239" i="48"/>
  <c r="AL238" i="48"/>
  <c r="AJ238" i="48"/>
  <c r="AM238" i="48"/>
  <c r="AD216" i="48"/>
  <c r="AD219" i="48"/>
  <c r="AD224" i="48"/>
  <c r="AD221" i="48"/>
  <c r="AD220" i="48"/>
  <c r="AD209" i="48"/>
  <c r="AN209" i="48" s="1"/>
  <c r="AD218" i="48"/>
  <c r="AD217" i="48"/>
  <c r="AD215" i="48"/>
  <c r="AD211" i="48"/>
  <c r="AD222" i="48"/>
  <c r="AD210" i="48"/>
  <c r="AN210" i="48" s="1"/>
  <c r="AD212" i="48"/>
  <c r="AD223" i="48"/>
  <c r="AD213" i="48"/>
  <c r="AD214" i="48"/>
  <c r="AD225" i="48"/>
  <c r="AD194" i="48"/>
  <c r="AD161" i="48"/>
  <c r="AD167" i="48"/>
  <c r="AD175" i="48"/>
  <c r="AD163" i="48"/>
  <c r="AN159" i="48"/>
  <c r="AM159" i="48"/>
  <c r="AL159" i="48"/>
  <c r="AD171" i="48"/>
  <c r="AJ141" i="48"/>
  <c r="AM141" i="48"/>
  <c r="AE141" i="48"/>
  <c r="AL141" i="48"/>
  <c r="AE139" i="48"/>
  <c r="AL139" i="48"/>
  <c r="AM139" i="48"/>
  <c r="AJ139" i="48"/>
  <c r="AJ142" i="48"/>
  <c r="AL142" i="48"/>
  <c r="AE143" i="48"/>
  <c r="AE142" i="48"/>
  <c r="AM142" i="48"/>
  <c r="AE148" i="48"/>
  <c r="AL148" i="48"/>
  <c r="AM148" i="48"/>
  <c r="AJ148" i="48"/>
  <c r="AE140" i="48"/>
  <c r="AL140" i="48"/>
  <c r="AM140" i="48"/>
  <c r="AJ140" i="48"/>
  <c r="AE144" i="48"/>
  <c r="AM144" i="48"/>
  <c r="AE145" i="48"/>
  <c r="AL144" i="48"/>
  <c r="AJ144" i="48"/>
  <c r="AE150" i="48"/>
  <c r="AJ149" i="48"/>
  <c r="AE149" i="48"/>
  <c r="AL149" i="48"/>
  <c r="AM149" i="48"/>
  <c r="AL138" i="48"/>
  <c r="AJ138" i="48"/>
  <c r="AE138" i="48"/>
  <c r="AM138" i="48"/>
  <c r="AJ137" i="48"/>
  <c r="AE137" i="48"/>
  <c r="AM137" i="48"/>
  <c r="AL137" i="48"/>
  <c r="AE135" i="48"/>
  <c r="AM135" i="48"/>
  <c r="AL135" i="48"/>
  <c r="AE136" i="48"/>
  <c r="AD114" i="48"/>
  <c r="AD111" i="48"/>
  <c r="AD113" i="48"/>
  <c r="AD119" i="48"/>
  <c r="AD110" i="48"/>
  <c r="AN110" i="48" s="1"/>
  <c r="AD118" i="48"/>
  <c r="AD117" i="48"/>
  <c r="AD120" i="48"/>
  <c r="AD116" i="48"/>
  <c r="AJ115" i="48"/>
  <c r="AL115" i="48"/>
  <c r="AM115" i="48"/>
  <c r="AD85" i="48"/>
  <c r="AD98" i="48"/>
  <c r="AD94" i="48"/>
  <c r="AD87" i="48"/>
  <c r="AD88" i="48"/>
  <c r="AD86" i="48"/>
  <c r="AD93" i="48"/>
  <c r="AD99" i="48"/>
  <c r="AD96" i="48"/>
  <c r="AD97" i="48"/>
  <c r="AN84" i="48"/>
  <c r="AM84" i="48"/>
  <c r="AL84" i="48"/>
  <c r="AD100" i="48"/>
  <c r="AD95" i="48"/>
  <c r="AD89" i="48"/>
  <c r="AD92" i="48"/>
  <c r="AD90" i="48"/>
  <c r="AM91" i="48"/>
  <c r="AJ91" i="48"/>
  <c r="AL91" i="48"/>
  <c r="AD67" i="48"/>
  <c r="AD73" i="48"/>
  <c r="AD68" i="48"/>
  <c r="AD65" i="48"/>
  <c r="AD75" i="48"/>
  <c r="AD66" i="48"/>
  <c r="AD69" i="48"/>
  <c r="AD63" i="48"/>
  <c r="AD61" i="48"/>
  <c r="AD40" i="48"/>
  <c r="AD43" i="48"/>
  <c r="AD35" i="48"/>
  <c r="AD38" i="48"/>
  <c r="AD41" i="48"/>
  <c r="X25" i="48"/>
  <c r="X26" i="48"/>
  <c r="AE10" i="48"/>
  <c r="AM21" i="48"/>
  <c r="AN12" i="48"/>
  <c r="AM20" i="48"/>
  <c r="AL15" i="48"/>
  <c r="AL17" i="48"/>
  <c r="AL16" i="48"/>
  <c r="AM22" i="48"/>
  <c r="AL9" i="48"/>
  <c r="AM9" i="48"/>
  <c r="AN22" i="48"/>
  <c r="AM16" i="48"/>
  <c r="AL22" i="48"/>
  <c r="AL12" i="48"/>
  <c r="AN20" i="48"/>
  <c r="AN16" i="48"/>
  <c r="AJ22" i="48"/>
  <c r="AM17" i="48"/>
  <c r="AN17" i="48"/>
  <c r="AN15" i="48"/>
  <c r="AJ21" i="48"/>
  <c r="AE21" i="48"/>
  <c r="AJ12" i="48"/>
  <c r="AE12" i="48"/>
  <c r="AJ20" i="48"/>
  <c r="AE20" i="48"/>
  <c r="AM12" i="48"/>
  <c r="AJ14" i="48"/>
  <c r="AE14" i="48"/>
  <c r="AE22" i="48"/>
  <c r="AJ16" i="48"/>
  <c r="AE16" i="48"/>
  <c r="AJ17" i="48"/>
  <c r="AE17" i="48"/>
  <c r="AJ11" i="48"/>
  <c r="AE11" i="48"/>
  <c r="AJ24" i="48"/>
  <c r="AE24" i="48"/>
  <c r="AJ19" i="48"/>
  <c r="AE19" i="48"/>
  <c r="AL23" i="48"/>
  <c r="AE23" i="48"/>
  <c r="AJ15" i="48"/>
  <c r="AE15" i="48"/>
  <c r="AL20" i="48"/>
  <c r="AM15" i="48"/>
  <c r="AN21" i="48"/>
  <c r="AL21" i="48"/>
  <c r="AJ18" i="48"/>
  <c r="AE18" i="48"/>
  <c r="AJ13" i="48"/>
  <c r="AE13" i="48"/>
  <c r="AN23" i="48"/>
  <c r="AM23" i="48"/>
  <c r="AJ23" i="48"/>
  <c r="AL14" i="48"/>
  <c r="AN24" i="48"/>
  <c r="AL24" i="48"/>
  <c r="AN13" i="48"/>
  <c r="AL13" i="48"/>
  <c r="AM14" i="48"/>
  <c r="AM24" i="48"/>
  <c r="AM13" i="48"/>
  <c r="AM19" i="48"/>
  <c r="AL19" i="48"/>
  <c r="AN19" i="48"/>
  <c r="AN14" i="48"/>
  <c r="AN18" i="48"/>
  <c r="AM18" i="48"/>
  <c r="AL18" i="48"/>
  <c r="AM11" i="48"/>
  <c r="AL11" i="48"/>
  <c r="AN11" i="48"/>
  <c r="AD25" i="48"/>
  <c r="AL973" i="48" l="1"/>
  <c r="AN85" i="48"/>
  <c r="AJ973" i="48"/>
  <c r="AM973" i="48"/>
  <c r="AN1042" i="48"/>
  <c r="AN1074" i="48"/>
  <c r="AN1097" i="48"/>
  <c r="AN1149" i="48"/>
  <c r="AN1195" i="48"/>
  <c r="AN1186" i="48"/>
  <c r="AN1225" i="48"/>
  <c r="AN1240" i="48"/>
  <c r="AN1297" i="48"/>
  <c r="AN1350" i="48"/>
  <c r="AN1341" i="48"/>
  <c r="AN74" i="48"/>
  <c r="AN162" i="48"/>
  <c r="AN190" i="48"/>
  <c r="AN250" i="48"/>
  <c r="AN241" i="48"/>
  <c r="AN325" i="48"/>
  <c r="AN472" i="48"/>
  <c r="AN492" i="48"/>
  <c r="AN562" i="48"/>
  <c r="AN650" i="48"/>
  <c r="AN1112" i="48"/>
  <c r="AN43" i="48"/>
  <c r="AN69" i="48"/>
  <c r="AN68" i="48"/>
  <c r="AN99" i="48"/>
  <c r="AN87" i="48"/>
  <c r="AN120" i="48"/>
  <c r="AN119" i="48"/>
  <c r="AN175" i="48"/>
  <c r="AN225" i="48"/>
  <c r="AN212" i="48"/>
  <c r="AN215" i="48"/>
  <c r="AN220" i="48"/>
  <c r="AN216" i="48"/>
  <c r="AN242" i="48"/>
  <c r="AN265" i="48"/>
  <c r="AN294" i="48"/>
  <c r="AN293" i="48"/>
  <c r="AN299" i="48"/>
  <c r="AN288" i="48"/>
  <c r="AN314" i="48"/>
  <c r="AN336" i="48"/>
  <c r="AN345" i="48"/>
  <c r="AN374" i="48"/>
  <c r="AN368" i="48"/>
  <c r="AN392" i="48"/>
  <c r="AE390" i="48"/>
  <c r="AN468" i="48"/>
  <c r="AN463" i="48"/>
  <c r="AN461" i="48"/>
  <c r="AN473" i="48"/>
  <c r="AN515" i="48"/>
  <c r="AN549" i="48"/>
  <c r="AN542" i="48"/>
  <c r="AN537" i="48"/>
  <c r="AN536" i="48"/>
  <c r="AN590" i="48"/>
  <c r="AN586" i="48"/>
  <c r="AN611" i="48"/>
  <c r="AN622" i="48"/>
  <c r="AN687" i="48"/>
  <c r="AN686" i="48"/>
  <c r="AN694" i="48"/>
  <c r="AN723" i="48"/>
  <c r="AN715" i="48"/>
  <c r="AN714" i="48"/>
  <c r="AN766" i="48"/>
  <c r="AN767" i="48"/>
  <c r="AN789" i="48"/>
  <c r="AN793" i="48"/>
  <c r="AN817" i="48"/>
  <c r="AN811" i="48"/>
  <c r="AN813" i="48"/>
  <c r="AN836" i="48"/>
  <c r="AN842" i="48"/>
  <c r="AN838" i="48"/>
  <c r="AN873" i="48"/>
  <c r="AN871" i="48"/>
  <c r="AN874" i="48"/>
  <c r="AN900" i="48"/>
  <c r="AN919" i="48"/>
  <c r="AN911" i="48"/>
  <c r="AN921" i="48"/>
  <c r="AN940" i="48"/>
  <c r="AN944" i="48"/>
  <c r="AN941" i="48"/>
  <c r="AN965" i="48"/>
  <c r="AN961" i="48"/>
  <c r="AN972" i="48"/>
  <c r="AN995" i="48"/>
  <c r="AN1000" i="48"/>
  <c r="AN990" i="48"/>
  <c r="AN1018" i="48"/>
  <c r="AN1016" i="48"/>
  <c r="AN1012" i="48"/>
  <c r="AN1048" i="48"/>
  <c r="AN1046" i="48"/>
  <c r="AN1049" i="48"/>
  <c r="AN1037" i="48"/>
  <c r="AN1041" i="48"/>
  <c r="AN1070" i="48"/>
  <c r="AN1075" i="48"/>
  <c r="AN1092" i="48"/>
  <c r="AN1146" i="48"/>
  <c r="AN1138" i="48"/>
  <c r="AN1196" i="48"/>
  <c r="AN1189" i="48"/>
  <c r="AN1221" i="48"/>
  <c r="AN1222" i="48"/>
  <c r="AN1215" i="48"/>
  <c r="AN1237" i="48"/>
  <c r="AN1246" i="48"/>
  <c r="AN1249" i="48"/>
  <c r="AN1239" i="48"/>
  <c r="AN1299" i="48"/>
  <c r="AN1323" i="48"/>
  <c r="AN1312" i="48"/>
  <c r="AN1340" i="48"/>
  <c r="AN1339" i="48"/>
  <c r="AN1342" i="48"/>
  <c r="AN36" i="48"/>
  <c r="AN72" i="48"/>
  <c r="AN70" i="48"/>
  <c r="AN121" i="48"/>
  <c r="AN616" i="48"/>
  <c r="AN1264" i="48"/>
  <c r="AN1266" i="48"/>
  <c r="AN166" i="48"/>
  <c r="AN199" i="48"/>
  <c r="AN188" i="48"/>
  <c r="AN189" i="48"/>
  <c r="AN196" i="48"/>
  <c r="AN261" i="48"/>
  <c r="AN263" i="48"/>
  <c r="AN362" i="48"/>
  <c r="AN493" i="48"/>
  <c r="AN500" i="48"/>
  <c r="AN569" i="48"/>
  <c r="AN564" i="48"/>
  <c r="AN637" i="48"/>
  <c r="AN646" i="48"/>
  <c r="AN648" i="48"/>
  <c r="AN639" i="48"/>
  <c r="AN769" i="48"/>
  <c r="AN768" i="48"/>
  <c r="AN963" i="48"/>
  <c r="AN1086" i="48"/>
  <c r="AN165" i="48"/>
  <c r="AE47" i="48"/>
  <c r="AN63" i="48"/>
  <c r="AN96" i="48"/>
  <c r="AN116" i="48"/>
  <c r="AN114" i="48"/>
  <c r="AN163" i="48"/>
  <c r="AN223" i="48"/>
  <c r="AN246" i="48"/>
  <c r="AN270" i="48"/>
  <c r="AN297" i="48"/>
  <c r="AN317" i="48"/>
  <c r="AN312" i="48"/>
  <c r="AN316" i="48"/>
  <c r="AN340" i="48"/>
  <c r="AN387" i="48"/>
  <c r="AN422" i="48"/>
  <c r="AN449" i="48"/>
  <c r="AN438" i="48"/>
  <c r="AN464" i="48"/>
  <c r="AN475" i="48"/>
  <c r="AN465" i="48"/>
  <c r="AN513" i="48"/>
  <c r="AN522" i="48"/>
  <c r="AN548" i="48"/>
  <c r="AN550" i="48"/>
  <c r="AN588" i="48"/>
  <c r="AN621" i="48"/>
  <c r="AN695" i="48"/>
  <c r="AN690" i="48"/>
  <c r="AN761" i="48"/>
  <c r="AN791" i="48"/>
  <c r="AN821" i="48"/>
  <c r="AN819" i="48"/>
  <c r="AN824" i="48"/>
  <c r="AN862" i="48"/>
  <c r="AN894" i="48"/>
  <c r="AN925" i="48"/>
  <c r="AN947" i="48"/>
  <c r="AN950" i="48"/>
  <c r="AN964" i="48"/>
  <c r="AN998" i="48"/>
  <c r="AN991" i="48"/>
  <c r="AN1017" i="48"/>
  <c r="AN1142" i="48"/>
  <c r="AN1212" i="48"/>
  <c r="AN1224" i="48"/>
  <c r="AN1238" i="48"/>
  <c r="AN1314" i="48"/>
  <c r="AN1338" i="48"/>
  <c r="AN39" i="48"/>
  <c r="AN195" i="48"/>
  <c r="AN271" i="48"/>
  <c r="AN489" i="48"/>
  <c r="AN563" i="48"/>
  <c r="AN570" i="48"/>
  <c r="AN636" i="48"/>
  <c r="AN765" i="48"/>
  <c r="AN967" i="48"/>
  <c r="AN1094" i="48"/>
  <c r="AN1123" i="48"/>
  <c r="AN41" i="48"/>
  <c r="AN66" i="48"/>
  <c r="AN93" i="48"/>
  <c r="AN117" i="48"/>
  <c r="AN113" i="48"/>
  <c r="AN167" i="48"/>
  <c r="AN214" i="48"/>
  <c r="AN217" i="48"/>
  <c r="AN221" i="48"/>
  <c r="AN237" i="48"/>
  <c r="AN267" i="48"/>
  <c r="AN268" i="48"/>
  <c r="AN287" i="48"/>
  <c r="AN300" i="48"/>
  <c r="AN295" i="48"/>
  <c r="AN289" i="48"/>
  <c r="AN315" i="48"/>
  <c r="AN321" i="48"/>
  <c r="AN320" i="48"/>
  <c r="AN346" i="48"/>
  <c r="AN344" i="48"/>
  <c r="AN370" i="48"/>
  <c r="AN367" i="48"/>
  <c r="AN386" i="48"/>
  <c r="AN397" i="48"/>
  <c r="AN412" i="48"/>
  <c r="AN417" i="48"/>
  <c r="AN436" i="48"/>
  <c r="AN447" i="48"/>
  <c r="AN448" i="48"/>
  <c r="AE444" i="48"/>
  <c r="AN466" i="48"/>
  <c r="AN469" i="48"/>
  <c r="AN511" i="48"/>
  <c r="AN520" i="48"/>
  <c r="AN514" i="48"/>
  <c r="AN516" i="48"/>
  <c r="AN538" i="48"/>
  <c r="AN547" i="48"/>
  <c r="AN539" i="48"/>
  <c r="AN544" i="48"/>
  <c r="AN574" i="48"/>
  <c r="AN591" i="48"/>
  <c r="AN589" i="48"/>
  <c r="AN624" i="48"/>
  <c r="AN700" i="48"/>
  <c r="AN696" i="48"/>
  <c r="AN699" i="48"/>
  <c r="AN691" i="48"/>
  <c r="AN713" i="48"/>
  <c r="AN771" i="48"/>
  <c r="AN764" i="48"/>
  <c r="AN774" i="48"/>
  <c r="AN800" i="48"/>
  <c r="AN796" i="48"/>
  <c r="AN797" i="48"/>
  <c r="AN815" i="48"/>
  <c r="AN818" i="48"/>
  <c r="AN822" i="48"/>
  <c r="AN846" i="48"/>
  <c r="AN870" i="48"/>
  <c r="AN864" i="48"/>
  <c r="AN861" i="48"/>
  <c r="AN888" i="48"/>
  <c r="AN886" i="48"/>
  <c r="AN920" i="48"/>
  <c r="AN913" i="48"/>
  <c r="AN936" i="48"/>
  <c r="AN946" i="48"/>
  <c r="AN938" i="48"/>
  <c r="AN974" i="48"/>
  <c r="AN996" i="48"/>
  <c r="AN987" i="48"/>
  <c r="AN999" i="48"/>
  <c r="AN993" i="48"/>
  <c r="AN1013" i="48"/>
  <c r="AN1022" i="48"/>
  <c r="AN1050" i="48"/>
  <c r="AN1040" i="48"/>
  <c r="AN1047" i="48"/>
  <c r="AN1065" i="48"/>
  <c r="AN1066" i="48"/>
  <c r="AN1062" i="48"/>
  <c r="AN1139" i="48"/>
  <c r="AN1145" i="48"/>
  <c r="AN1147" i="48"/>
  <c r="AN1144" i="48"/>
  <c r="AN1192" i="48"/>
  <c r="AN1199" i="48"/>
  <c r="AN1187" i="48"/>
  <c r="AN1219" i="48"/>
  <c r="AN1218" i="48"/>
  <c r="AN1248" i="48"/>
  <c r="AN1245" i="48"/>
  <c r="AN1241" i="48"/>
  <c r="AN1292" i="48"/>
  <c r="AN1322" i="48"/>
  <c r="AN1336" i="48"/>
  <c r="AN1337" i="48"/>
  <c r="AN1347" i="48"/>
  <c r="AN613" i="48"/>
  <c r="AE1275" i="48"/>
  <c r="AN1262" i="48"/>
  <c r="AN1269" i="48"/>
  <c r="AN1286" i="48"/>
  <c r="AN1316" i="48"/>
  <c r="AN1324" i="48"/>
  <c r="AN168" i="48"/>
  <c r="AN169" i="48"/>
  <c r="AN187" i="48"/>
  <c r="AN191" i="48"/>
  <c r="AN274" i="48"/>
  <c r="AN291" i="48"/>
  <c r="AN347" i="48"/>
  <c r="AN395" i="48"/>
  <c r="AN494" i="48"/>
  <c r="AN497" i="48"/>
  <c r="AN486" i="48"/>
  <c r="AN495" i="48"/>
  <c r="AN567" i="48"/>
  <c r="AN565" i="48"/>
  <c r="AN600" i="48"/>
  <c r="AN640" i="48"/>
  <c r="AN644" i="48"/>
  <c r="AN772" i="48"/>
  <c r="AN896" i="48"/>
  <c r="AN35" i="48"/>
  <c r="AN65" i="48"/>
  <c r="AN92" i="48"/>
  <c r="AN88" i="48"/>
  <c r="AN171" i="48"/>
  <c r="AN194" i="48"/>
  <c r="AN211" i="48"/>
  <c r="AN219" i="48"/>
  <c r="AN266" i="48"/>
  <c r="AN273" i="48"/>
  <c r="AN286" i="48"/>
  <c r="AN313" i="48"/>
  <c r="AN349" i="48"/>
  <c r="AN372" i="48"/>
  <c r="AN396" i="48"/>
  <c r="AN413" i="48"/>
  <c r="AN423" i="48"/>
  <c r="AN440" i="48"/>
  <c r="AN467" i="48"/>
  <c r="AN470" i="48"/>
  <c r="AN512" i="48"/>
  <c r="AN524" i="48"/>
  <c r="AN541" i="48"/>
  <c r="AN545" i="48"/>
  <c r="AN599" i="48"/>
  <c r="AN625" i="48"/>
  <c r="AN697" i="48"/>
  <c r="AN688" i="48"/>
  <c r="AN762" i="48"/>
  <c r="AN787" i="48"/>
  <c r="AN792" i="48"/>
  <c r="AN814" i="48"/>
  <c r="AN845" i="48"/>
  <c r="AN865" i="48"/>
  <c r="AN869" i="48"/>
  <c r="AN890" i="48"/>
  <c r="AN922" i="48"/>
  <c r="AN945" i="48"/>
  <c r="AN969" i="48"/>
  <c r="AN997" i="48"/>
  <c r="AN1020" i="48"/>
  <c r="AN1024" i="48"/>
  <c r="AN1036" i="48"/>
  <c r="AN1044" i="48"/>
  <c r="AN1068" i="48"/>
  <c r="AN1140" i="48"/>
  <c r="AN1136" i="48"/>
  <c r="AN1197" i="48"/>
  <c r="AN1213" i="48"/>
  <c r="AN1244" i="48"/>
  <c r="AN1300" i="48"/>
  <c r="AN1311" i="48"/>
  <c r="AN1348" i="48"/>
  <c r="AN623" i="48"/>
  <c r="AN272" i="48"/>
  <c r="AN366" i="48"/>
  <c r="AN490" i="48"/>
  <c r="AN638" i="48"/>
  <c r="AN642" i="48"/>
  <c r="AN1098" i="48"/>
  <c r="AN40" i="48"/>
  <c r="AN73" i="48"/>
  <c r="AN95" i="48"/>
  <c r="AN94" i="48"/>
  <c r="AN38" i="48"/>
  <c r="AN61" i="48"/>
  <c r="AN75" i="48"/>
  <c r="AN67" i="48"/>
  <c r="AN97" i="48"/>
  <c r="AN86" i="48"/>
  <c r="AN98" i="48"/>
  <c r="AN118" i="48"/>
  <c r="AN111" i="48"/>
  <c r="AN161" i="48"/>
  <c r="AN213" i="48"/>
  <c r="AN222" i="48"/>
  <c r="AN218" i="48"/>
  <c r="AN224" i="48"/>
  <c r="AN247" i="48"/>
  <c r="AN244" i="48"/>
  <c r="AN269" i="48"/>
  <c r="AN262" i="48"/>
  <c r="AN298" i="48"/>
  <c r="AN290" i="48"/>
  <c r="AN292" i="48"/>
  <c r="AN318" i="48"/>
  <c r="AN341" i="48"/>
  <c r="AN339" i="48"/>
  <c r="AN369" i="48"/>
  <c r="AN361" i="48"/>
  <c r="AN393" i="48"/>
  <c r="AN399" i="48"/>
  <c r="AN391" i="48"/>
  <c r="AN441" i="48"/>
  <c r="AN462" i="48"/>
  <c r="AN474" i="48"/>
  <c r="AN471" i="48"/>
  <c r="AN521" i="48"/>
  <c r="AN519" i="48"/>
  <c r="AN517" i="48"/>
  <c r="AN525" i="48"/>
  <c r="AN543" i="48"/>
  <c r="AN546" i="48"/>
  <c r="AN540" i="48"/>
  <c r="AN592" i="48"/>
  <c r="AN596" i="48"/>
  <c r="AN598" i="48"/>
  <c r="AN617" i="48"/>
  <c r="AN620" i="48"/>
  <c r="AN615" i="48"/>
  <c r="AN689" i="48"/>
  <c r="AN692" i="48"/>
  <c r="AN693" i="48"/>
  <c r="AN724" i="48"/>
  <c r="AN722" i="48"/>
  <c r="AN725" i="48"/>
  <c r="AN718" i="48"/>
  <c r="AN775" i="48"/>
  <c r="AN763" i="48"/>
  <c r="AN786" i="48"/>
  <c r="AN788" i="48"/>
  <c r="AN799" i="48"/>
  <c r="AN790" i="48"/>
  <c r="AN820" i="48"/>
  <c r="AN825" i="48"/>
  <c r="AN823" i="48"/>
  <c r="AN812" i="48"/>
  <c r="AE848" i="48"/>
  <c r="AN841" i="48"/>
  <c r="AN844" i="48"/>
  <c r="AN849" i="48"/>
  <c r="AN875" i="48"/>
  <c r="AN866" i="48"/>
  <c r="AN863" i="48"/>
  <c r="AN867" i="48"/>
  <c r="AN872" i="48"/>
  <c r="AN892" i="48"/>
  <c r="AN891" i="48"/>
  <c r="AN923" i="48"/>
  <c r="AN924" i="48"/>
  <c r="AN916" i="48"/>
  <c r="AN939" i="48"/>
  <c r="AN942" i="48"/>
  <c r="AN968" i="48"/>
  <c r="AN975" i="48"/>
  <c r="AN986" i="48"/>
  <c r="AN992" i="48"/>
  <c r="AN988" i="48"/>
  <c r="AN994" i="48"/>
  <c r="AN1023" i="48"/>
  <c r="AN1011" i="48"/>
  <c r="AN1043" i="48"/>
  <c r="AN1039" i="48"/>
  <c r="AN1038" i="48"/>
  <c r="AN1045" i="48"/>
  <c r="AN1069" i="48"/>
  <c r="AN1071" i="48"/>
  <c r="AN1063" i="48"/>
  <c r="AE1073" i="48"/>
  <c r="AN1067" i="48"/>
  <c r="AN1141" i="48"/>
  <c r="AN1150" i="48"/>
  <c r="AN1143" i="48"/>
  <c r="AN1137" i="48"/>
  <c r="AN1194" i="48"/>
  <c r="AN1190" i="48"/>
  <c r="AN1198" i="48"/>
  <c r="AN1220" i="48"/>
  <c r="AN1214" i="48"/>
  <c r="AN1211" i="48"/>
  <c r="AN1216" i="48"/>
  <c r="AN1247" i="48"/>
  <c r="AN1243" i="48"/>
  <c r="AN1289" i="48"/>
  <c r="AN1320" i="48"/>
  <c r="AN1313" i="48"/>
  <c r="AN1343" i="48"/>
  <c r="AN1349" i="48"/>
  <c r="AN618" i="48"/>
  <c r="AE1270" i="48"/>
  <c r="AN1267" i="48"/>
  <c r="AN1290" i="48"/>
  <c r="AN170" i="48"/>
  <c r="AN164" i="48"/>
  <c r="AN198" i="48"/>
  <c r="AN192" i="48"/>
  <c r="AN186" i="48"/>
  <c r="AN249" i="48"/>
  <c r="AN264" i="48"/>
  <c r="AN296" i="48"/>
  <c r="AN398" i="48"/>
  <c r="AN496" i="48"/>
  <c r="AN498" i="48"/>
  <c r="AN499" i="48"/>
  <c r="AN518" i="48"/>
  <c r="AN568" i="48"/>
  <c r="AN566" i="48"/>
  <c r="AN643" i="48"/>
  <c r="AN641" i="48"/>
  <c r="AN645" i="48"/>
  <c r="AN647" i="48"/>
  <c r="AN1096" i="48"/>
  <c r="AN572" i="48"/>
  <c r="AN338" i="48"/>
  <c r="AM1250" i="48"/>
  <c r="AL1250" i="48"/>
  <c r="AJ1250" i="48"/>
  <c r="AE773" i="48"/>
  <c r="AE572" i="48"/>
  <c r="AL734" i="48"/>
  <c r="AM734" i="48"/>
  <c r="AN734" i="48"/>
  <c r="AE491" i="48"/>
  <c r="AE197" i="48"/>
  <c r="AJ49" i="48"/>
  <c r="AM49" i="48"/>
  <c r="AE50" i="48"/>
  <c r="AL49" i="48"/>
  <c r="AE49" i="48"/>
  <c r="AN49" i="48"/>
  <c r="AE48" i="48"/>
  <c r="AJ47" i="48"/>
  <c r="AL47" i="48"/>
  <c r="AM47" i="48"/>
  <c r="AN47" i="48"/>
  <c r="AE160" i="48"/>
  <c r="AE798" i="48"/>
  <c r="AE897" i="48"/>
  <c r="AE1217" i="48"/>
  <c r="AE794" i="48"/>
  <c r="AE914" i="48"/>
  <c r="AE275" i="48"/>
  <c r="AE487" i="48"/>
  <c r="AE587" i="48"/>
  <c r="AL1115" i="48"/>
  <c r="AJ1115" i="48"/>
  <c r="AM1115" i="48"/>
  <c r="AE1116" i="48"/>
  <c r="AE1115" i="48"/>
  <c r="AE1291" i="48"/>
  <c r="AM338" i="48"/>
  <c r="AJ338" i="48"/>
  <c r="AL338" i="48"/>
  <c r="AE115" i="48"/>
  <c r="AE571" i="48"/>
  <c r="AE573" i="48"/>
  <c r="AN1115" i="48"/>
  <c r="AN1274" i="48"/>
  <c r="AE1021" i="48"/>
  <c r="AE770" i="48"/>
  <c r="AM165" i="48"/>
  <c r="AJ165" i="48"/>
  <c r="AL165" i="48"/>
  <c r="AJ572" i="48"/>
  <c r="AL572" i="48"/>
  <c r="AM572" i="48"/>
  <c r="AJ1111" i="48"/>
  <c r="AM1111" i="48"/>
  <c r="AE1111" i="48"/>
  <c r="AL1111" i="48"/>
  <c r="AJ1112" i="48"/>
  <c r="AE1113" i="48"/>
  <c r="AE1112" i="48"/>
  <c r="AL1112" i="48"/>
  <c r="AM1112" i="48"/>
  <c r="AN1111" i="48"/>
  <c r="AL1123" i="48"/>
  <c r="AJ1123" i="48"/>
  <c r="AE1124" i="48"/>
  <c r="AM1123" i="48"/>
  <c r="AE1123" i="48"/>
  <c r="AM1086" i="48"/>
  <c r="AJ1086" i="48"/>
  <c r="AL1086" i="48"/>
  <c r="AE1086" i="48"/>
  <c r="AE1096" i="48"/>
  <c r="AM1096" i="48"/>
  <c r="AL1096" i="48"/>
  <c r="AJ1096" i="48"/>
  <c r="AJ1094" i="48"/>
  <c r="AE1094" i="48"/>
  <c r="AL1094" i="48"/>
  <c r="AM1094" i="48"/>
  <c r="AE1095" i="48"/>
  <c r="AM1098" i="48"/>
  <c r="AJ1098" i="48"/>
  <c r="AL1098" i="48"/>
  <c r="AE1099" i="48"/>
  <c r="AE1087" i="48"/>
  <c r="AJ967" i="48"/>
  <c r="AL967" i="48"/>
  <c r="AE967" i="48"/>
  <c r="AM967" i="48"/>
  <c r="AE963" i="48"/>
  <c r="AL963" i="48"/>
  <c r="AM963" i="48"/>
  <c r="AJ963" i="48"/>
  <c r="AM884" i="48"/>
  <c r="AL884" i="48"/>
  <c r="AE899" i="48"/>
  <c r="AL898" i="48"/>
  <c r="AE898" i="48"/>
  <c r="AM898" i="48"/>
  <c r="AJ898" i="48"/>
  <c r="AN898" i="48"/>
  <c r="AN884" i="48"/>
  <c r="AL896" i="48"/>
  <c r="AM896" i="48"/>
  <c r="AE896" i="48"/>
  <c r="AJ896" i="48"/>
  <c r="AE816" i="48"/>
  <c r="AL765" i="48"/>
  <c r="AM765" i="48"/>
  <c r="AJ765" i="48"/>
  <c r="AM768" i="48"/>
  <c r="AJ768" i="48"/>
  <c r="AL768" i="48"/>
  <c r="AE769" i="48"/>
  <c r="AJ769" i="48"/>
  <c r="AL769" i="48"/>
  <c r="AM769" i="48"/>
  <c r="AM772" i="48"/>
  <c r="AL772" i="48"/>
  <c r="AJ772" i="48"/>
  <c r="AM750" i="48"/>
  <c r="AJ750" i="48"/>
  <c r="AE750" i="48"/>
  <c r="AL750" i="48"/>
  <c r="AE637" i="48"/>
  <c r="AL637" i="48"/>
  <c r="AM637" i="48"/>
  <c r="AJ637" i="48"/>
  <c r="AJ643" i="48"/>
  <c r="AE643" i="48"/>
  <c r="AL643" i="48"/>
  <c r="AM643" i="48"/>
  <c r="AM646" i="48"/>
  <c r="AL646" i="48"/>
  <c r="AJ646" i="48"/>
  <c r="AE646" i="48"/>
  <c r="AJ641" i="48"/>
  <c r="AE641" i="48"/>
  <c r="AL641" i="48"/>
  <c r="AM641" i="48"/>
  <c r="AE649" i="48"/>
  <c r="AJ648" i="48"/>
  <c r="AE648" i="48"/>
  <c r="AL648" i="48"/>
  <c r="AM648" i="48"/>
  <c r="AE645" i="48"/>
  <c r="AL645" i="48"/>
  <c r="AM645" i="48"/>
  <c r="AJ645" i="48"/>
  <c r="AJ639" i="48"/>
  <c r="AL639" i="48"/>
  <c r="AE639" i="48"/>
  <c r="AM639" i="48"/>
  <c r="AJ647" i="48"/>
  <c r="AM647" i="48"/>
  <c r="AE647" i="48"/>
  <c r="AL647" i="48"/>
  <c r="AM634" i="48"/>
  <c r="AL634" i="48"/>
  <c r="AJ638" i="48"/>
  <c r="AE638" i="48"/>
  <c r="AM638" i="48"/>
  <c r="AL638" i="48"/>
  <c r="AJ640" i="48"/>
  <c r="AL640" i="48"/>
  <c r="AE640" i="48"/>
  <c r="AM640" i="48"/>
  <c r="AL650" i="48"/>
  <c r="AJ650" i="48"/>
  <c r="AE650" i="48"/>
  <c r="AM650" i="48"/>
  <c r="AL635" i="48"/>
  <c r="AE635" i="48"/>
  <c r="AM635" i="48"/>
  <c r="AJ636" i="48"/>
  <c r="AL636" i="48"/>
  <c r="AE636" i="48"/>
  <c r="AM636" i="48"/>
  <c r="AL644" i="48"/>
  <c r="AJ644" i="48"/>
  <c r="AM644" i="48"/>
  <c r="AE644" i="48"/>
  <c r="AJ642" i="48"/>
  <c r="AE642" i="48"/>
  <c r="AM642" i="48"/>
  <c r="AL642" i="48"/>
  <c r="AJ600" i="48"/>
  <c r="AL600" i="48"/>
  <c r="AM600" i="48"/>
  <c r="AE568" i="48"/>
  <c r="AL568" i="48"/>
  <c r="AJ568" i="48"/>
  <c r="AM568" i="48"/>
  <c r="AJ569" i="48"/>
  <c r="AL569" i="48"/>
  <c r="AE569" i="48"/>
  <c r="AM569" i="48"/>
  <c r="AE567" i="48"/>
  <c r="AM567" i="48"/>
  <c r="AL567" i="48"/>
  <c r="AJ567" i="48"/>
  <c r="AJ570" i="48"/>
  <c r="AE570" i="48"/>
  <c r="AL570" i="48"/>
  <c r="AM570" i="48"/>
  <c r="AM564" i="48"/>
  <c r="AJ564" i="48"/>
  <c r="AL564" i="48"/>
  <c r="AE564" i="48"/>
  <c r="AJ563" i="48"/>
  <c r="AM563" i="48"/>
  <c r="AE563" i="48"/>
  <c r="AL563" i="48"/>
  <c r="AN560" i="48"/>
  <c r="AL560" i="48"/>
  <c r="AE560" i="48"/>
  <c r="AM560" i="48"/>
  <c r="AM566" i="48"/>
  <c r="AJ566" i="48"/>
  <c r="AL566" i="48"/>
  <c r="AE566" i="48"/>
  <c r="AM562" i="48"/>
  <c r="AJ562" i="48"/>
  <c r="AL562" i="48"/>
  <c r="AE562" i="48"/>
  <c r="AJ565" i="48"/>
  <c r="AL565" i="48"/>
  <c r="AE565" i="48"/>
  <c r="AM565" i="48"/>
  <c r="AL518" i="48"/>
  <c r="AM518" i="48"/>
  <c r="AE496" i="48"/>
  <c r="AL496" i="48"/>
  <c r="AM496" i="48"/>
  <c r="AJ496" i="48"/>
  <c r="AL485" i="48"/>
  <c r="AE485" i="48"/>
  <c r="AM485" i="48"/>
  <c r="AE498" i="48"/>
  <c r="AJ498" i="48"/>
  <c r="AM498" i="48"/>
  <c r="AL498" i="48"/>
  <c r="AE493" i="48"/>
  <c r="AL493" i="48"/>
  <c r="AJ493" i="48"/>
  <c r="AM493" i="48"/>
  <c r="AE499" i="48"/>
  <c r="AJ499" i="48"/>
  <c r="AM499" i="48"/>
  <c r="AL499" i="48"/>
  <c r="AL500" i="48"/>
  <c r="AM500" i="48"/>
  <c r="AE500" i="48"/>
  <c r="AJ500" i="48"/>
  <c r="AL489" i="48"/>
  <c r="AJ489" i="48"/>
  <c r="AM489" i="48"/>
  <c r="AE489" i="48"/>
  <c r="AJ494" i="48"/>
  <c r="AM494" i="48"/>
  <c r="AE494" i="48"/>
  <c r="AL494" i="48"/>
  <c r="AJ490" i="48"/>
  <c r="AE490" i="48"/>
  <c r="AM490" i="48"/>
  <c r="AL490" i="48"/>
  <c r="AJ497" i="48"/>
  <c r="AE497" i="48"/>
  <c r="AL497" i="48"/>
  <c r="AM497" i="48"/>
  <c r="AJ492" i="48"/>
  <c r="AL492" i="48"/>
  <c r="AE492" i="48"/>
  <c r="AM492" i="48"/>
  <c r="AE486" i="48"/>
  <c r="AL486" i="48"/>
  <c r="AJ486" i="48"/>
  <c r="AM486" i="48"/>
  <c r="AL495" i="48"/>
  <c r="AJ495" i="48"/>
  <c r="AE495" i="48"/>
  <c r="AM495" i="48"/>
  <c r="AM472" i="48"/>
  <c r="AJ472" i="48"/>
  <c r="AL472" i="48"/>
  <c r="AJ395" i="48"/>
  <c r="AL395" i="48"/>
  <c r="AM395" i="48"/>
  <c r="AL398" i="48"/>
  <c r="AJ398" i="48"/>
  <c r="AM398" i="48"/>
  <c r="AJ363" i="48"/>
  <c r="AM363" i="48"/>
  <c r="AE363" i="48"/>
  <c r="AL363" i="48"/>
  <c r="AE364" i="48"/>
  <c r="AL366" i="48"/>
  <c r="AJ366" i="48"/>
  <c r="AM366" i="48"/>
  <c r="AE366" i="48"/>
  <c r="AE360" i="48"/>
  <c r="AM360" i="48"/>
  <c r="AL360" i="48"/>
  <c r="AN363" i="48"/>
  <c r="AM362" i="48"/>
  <c r="AJ362" i="48"/>
  <c r="AL362" i="48"/>
  <c r="AM335" i="48"/>
  <c r="AL335" i="48"/>
  <c r="AE335" i="48"/>
  <c r="AJ347" i="48"/>
  <c r="AM347" i="48"/>
  <c r="AL347" i="48"/>
  <c r="AE348" i="48"/>
  <c r="AJ325" i="48"/>
  <c r="AM325" i="48"/>
  <c r="AL325" i="48"/>
  <c r="AM291" i="48"/>
  <c r="AJ291" i="48"/>
  <c r="AL291" i="48"/>
  <c r="AJ296" i="48"/>
  <c r="AL296" i="48"/>
  <c r="AM296" i="48"/>
  <c r="AJ271" i="48"/>
  <c r="AM271" i="48"/>
  <c r="AL271" i="48"/>
  <c r="AL274" i="48"/>
  <c r="AM274" i="48"/>
  <c r="AJ274" i="48"/>
  <c r="AM272" i="48"/>
  <c r="AL272" i="48"/>
  <c r="AJ272" i="48"/>
  <c r="AE272" i="48"/>
  <c r="AM261" i="48"/>
  <c r="AJ261" i="48"/>
  <c r="AL261" i="48"/>
  <c r="AJ264" i="48"/>
  <c r="AE264" i="48"/>
  <c r="AL264" i="48"/>
  <c r="AM264" i="48"/>
  <c r="AM263" i="48"/>
  <c r="AJ263" i="48"/>
  <c r="AL263" i="48"/>
  <c r="AL249" i="48"/>
  <c r="AM249" i="48"/>
  <c r="AJ249" i="48"/>
  <c r="AE249" i="48"/>
  <c r="AM250" i="48"/>
  <c r="AJ250" i="48"/>
  <c r="AE250" i="48"/>
  <c r="AL250" i="48"/>
  <c r="AJ241" i="48"/>
  <c r="AM241" i="48"/>
  <c r="AE241" i="48"/>
  <c r="AL241" i="48"/>
  <c r="AM160" i="48"/>
  <c r="AL160" i="48"/>
  <c r="AE193" i="48"/>
  <c r="AE185" i="48"/>
  <c r="AM185" i="48"/>
  <c r="AL185" i="48"/>
  <c r="AE187" i="48"/>
  <c r="AM187" i="48"/>
  <c r="AL187" i="48"/>
  <c r="AJ187" i="48"/>
  <c r="AM195" i="48"/>
  <c r="AJ195" i="48"/>
  <c r="AL195" i="48"/>
  <c r="AE189" i="48"/>
  <c r="AM189" i="48"/>
  <c r="AL189" i="48"/>
  <c r="AJ189" i="48"/>
  <c r="AE186" i="48"/>
  <c r="AM186" i="48"/>
  <c r="AL186" i="48"/>
  <c r="AJ186" i="48"/>
  <c r="AJ196" i="48"/>
  <c r="AM196" i="48"/>
  <c r="AE196" i="48"/>
  <c r="AL196" i="48"/>
  <c r="AE198" i="48"/>
  <c r="AM198" i="48"/>
  <c r="AJ198" i="48"/>
  <c r="AL198" i="48"/>
  <c r="AM199" i="48"/>
  <c r="AJ199" i="48"/>
  <c r="AL199" i="48"/>
  <c r="AE199" i="48"/>
  <c r="AE200" i="48"/>
  <c r="AE192" i="48"/>
  <c r="AL192" i="48"/>
  <c r="AM192" i="48"/>
  <c r="AJ192" i="48"/>
  <c r="AJ188" i="48"/>
  <c r="AE188" i="48"/>
  <c r="AL188" i="48"/>
  <c r="AM188" i="48"/>
  <c r="AJ191" i="48"/>
  <c r="AL191" i="48"/>
  <c r="AE191" i="48"/>
  <c r="AM191" i="48"/>
  <c r="AL190" i="48"/>
  <c r="AJ190" i="48"/>
  <c r="AE190" i="48"/>
  <c r="AM190" i="48"/>
  <c r="AM184" i="48"/>
  <c r="AL184" i="48"/>
  <c r="AL168" i="48"/>
  <c r="AJ168" i="48"/>
  <c r="AM168" i="48"/>
  <c r="AM162" i="48"/>
  <c r="AJ162" i="48"/>
  <c r="AL162" i="48"/>
  <c r="AL169" i="48"/>
  <c r="AM169" i="48"/>
  <c r="AJ169" i="48"/>
  <c r="AE169" i="48"/>
  <c r="AM170" i="48"/>
  <c r="AJ170" i="48"/>
  <c r="AE170" i="48"/>
  <c r="AL170" i="48"/>
  <c r="AL166" i="48"/>
  <c r="AJ166" i="48"/>
  <c r="AM166" i="48"/>
  <c r="AE166" i="48"/>
  <c r="AE165" i="48"/>
  <c r="AL164" i="48"/>
  <c r="AJ164" i="48"/>
  <c r="AM164" i="48"/>
  <c r="AL1316" i="48"/>
  <c r="AJ1316" i="48"/>
  <c r="AM1316" i="48"/>
  <c r="AE1316" i="48"/>
  <c r="AE1317" i="48"/>
  <c r="AJ1324" i="48"/>
  <c r="AL1324" i="48"/>
  <c r="AE1325" i="48"/>
  <c r="AM1324" i="48"/>
  <c r="AJ1290" i="48"/>
  <c r="AL1290" i="48"/>
  <c r="AM1290" i="48"/>
  <c r="AJ1286" i="48"/>
  <c r="AM1286" i="48"/>
  <c r="AE1286" i="48"/>
  <c r="AE1287" i="48"/>
  <c r="AL1286" i="48"/>
  <c r="AE1285" i="48"/>
  <c r="AL1285" i="48"/>
  <c r="AM1285" i="48"/>
  <c r="AE1274" i="48"/>
  <c r="AM1274" i="48"/>
  <c r="AL1274" i="48"/>
  <c r="AJ1274" i="48"/>
  <c r="AM1267" i="48"/>
  <c r="AL1267" i="48"/>
  <c r="AJ1267" i="48"/>
  <c r="AE1267" i="48"/>
  <c r="AM1266" i="48"/>
  <c r="AJ1266" i="48"/>
  <c r="AL1266" i="48"/>
  <c r="AE1266" i="48"/>
  <c r="AL1264" i="48"/>
  <c r="AJ1264" i="48"/>
  <c r="AM1264" i="48"/>
  <c r="AE1264" i="48"/>
  <c r="AE1265" i="48"/>
  <c r="AJ1262" i="48"/>
  <c r="AE1262" i="48"/>
  <c r="AM1262" i="48"/>
  <c r="AL1262" i="48"/>
  <c r="AE1263" i="48"/>
  <c r="AE1261" i="48"/>
  <c r="AM1260" i="48"/>
  <c r="AE1260" i="48"/>
  <c r="AL1260" i="48"/>
  <c r="AE1269" i="48"/>
  <c r="AL1269" i="48"/>
  <c r="AM1269" i="48"/>
  <c r="AJ1269" i="48"/>
  <c r="AM613" i="48"/>
  <c r="AE613" i="48"/>
  <c r="AL613" i="48"/>
  <c r="AJ613" i="48"/>
  <c r="AE614" i="48"/>
  <c r="AM623" i="48"/>
  <c r="AJ623" i="48"/>
  <c r="AL623" i="48"/>
  <c r="AJ618" i="48"/>
  <c r="AL618" i="48"/>
  <c r="AM618" i="48"/>
  <c r="AE619" i="48"/>
  <c r="AL616" i="48"/>
  <c r="AJ616" i="48"/>
  <c r="AM616" i="48"/>
  <c r="AJ121" i="48"/>
  <c r="AM121" i="48"/>
  <c r="AL121" i="48"/>
  <c r="AE122" i="48"/>
  <c r="AM74" i="48"/>
  <c r="AJ74" i="48"/>
  <c r="AL74" i="48"/>
  <c r="AL70" i="48"/>
  <c r="AJ70" i="48"/>
  <c r="AM70" i="48"/>
  <c r="AE71" i="48"/>
  <c r="AM72" i="48"/>
  <c r="AE72" i="48"/>
  <c r="AL72" i="48"/>
  <c r="AJ72" i="48"/>
  <c r="AE37" i="48"/>
  <c r="AJ36" i="48"/>
  <c r="AL36" i="48"/>
  <c r="AM36" i="48"/>
  <c r="AJ39" i="48"/>
  <c r="AL39" i="48"/>
  <c r="AM39" i="48"/>
  <c r="AJ1340" i="48"/>
  <c r="AM1340" i="48"/>
  <c r="AE1340" i="48"/>
  <c r="AL1340" i="48"/>
  <c r="AJ1343" i="48"/>
  <c r="AL1343" i="48"/>
  <c r="AE1343" i="48"/>
  <c r="AE1344" i="48"/>
  <c r="AM1343" i="48"/>
  <c r="AJ1339" i="48"/>
  <c r="AE1339" i="48"/>
  <c r="AL1339" i="48"/>
  <c r="AM1339" i="48"/>
  <c r="AM1349" i="48"/>
  <c r="AE1349" i="48"/>
  <c r="AL1349" i="48"/>
  <c r="AJ1349" i="48"/>
  <c r="AJ1342" i="48"/>
  <c r="AM1342" i="48"/>
  <c r="AE1342" i="48"/>
  <c r="AL1342" i="48"/>
  <c r="AJ1336" i="48"/>
  <c r="AM1336" i="48"/>
  <c r="AE1336" i="48"/>
  <c r="AL1336" i="48"/>
  <c r="AE1350" i="48"/>
  <c r="AJ1350" i="48"/>
  <c r="AL1350" i="48"/>
  <c r="AM1350" i="48"/>
  <c r="AE1345" i="48"/>
  <c r="AL1345" i="48"/>
  <c r="AM1345" i="48"/>
  <c r="AJ1345" i="48"/>
  <c r="AE1346" i="48"/>
  <c r="AN1345" i="48"/>
  <c r="AJ1338" i="48"/>
  <c r="AE1338" i="48"/>
  <c r="AM1338" i="48"/>
  <c r="AL1338" i="48"/>
  <c r="AJ1337" i="48"/>
  <c r="AE1337" i="48"/>
  <c r="AM1337" i="48"/>
  <c r="AL1337" i="48"/>
  <c r="AL1348" i="48"/>
  <c r="AJ1348" i="48"/>
  <c r="AE1348" i="48"/>
  <c r="AM1348" i="48"/>
  <c r="AJ1347" i="48"/>
  <c r="AL1347" i="48"/>
  <c r="AE1347" i="48"/>
  <c r="AM1347" i="48"/>
  <c r="AJ1341" i="48"/>
  <c r="AL1341" i="48"/>
  <c r="AE1341" i="48"/>
  <c r="AM1341" i="48"/>
  <c r="AE1335" i="48"/>
  <c r="AM1335" i="48"/>
  <c r="AL1335" i="48"/>
  <c r="AJ1322" i="48"/>
  <c r="AM1322" i="48"/>
  <c r="AE1322" i="48"/>
  <c r="AL1322" i="48"/>
  <c r="AL1314" i="48"/>
  <c r="AJ1314" i="48"/>
  <c r="AE1314" i="48"/>
  <c r="AE1315" i="48"/>
  <c r="AM1314" i="48"/>
  <c r="AE1310" i="48"/>
  <c r="AM1310" i="48"/>
  <c r="AL1310" i="48"/>
  <c r="AE1311" i="48"/>
  <c r="AM1311" i="48"/>
  <c r="AL1311" i="48"/>
  <c r="AJ1311" i="48"/>
  <c r="AM1309" i="48"/>
  <c r="AL1309" i="48"/>
  <c r="AJ1320" i="48"/>
  <c r="AL1320" i="48"/>
  <c r="AE1320" i="48"/>
  <c r="AE1321" i="48"/>
  <c r="AM1320" i="48"/>
  <c r="AL1323" i="48"/>
  <c r="AE1324" i="48"/>
  <c r="AJ1323" i="48"/>
  <c r="AM1323" i="48"/>
  <c r="AE1323" i="48"/>
  <c r="AE1313" i="48"/>
  <c r="AM1313" i="48"/>
  <c r="AJ1313" i="48"/>
  <c r="AL1313" i="48"/>
  <c r="AM1312" i="48"/>
  <c r="AL1312" i="48"/>
  <c r="AJ1312" i="48"/>
  <c r="AE1312" i="48"/>
  <c r="AL1299" i="48"/>
  <c r="AJ1299" i="48"/>
  <c r="AM1299" i="48"/>
  <c r="AE1299" i="48"/>
  <c r="AJ1289" i="48"/>
  <c r="AM1289" i="48"/>
  <c r="AE1289" i="48"/>
  <c r="AE1290" i="48"/>
  <c r="AL1289" i="48"/>
  <c r="AJ1300" i="48"/>
  <c r="AL1300" i="48"/>
  <c r="AE1300" i="48"/>
  <c r="AM1300" i="48"/>
  <c r="AJ1292" i="48"/>
  <c r="AM1292" i="48"/>
  <c r="AE1292" i="48"/>
  <c r="AL1292" i="48"/>
  <c r="AE1293" i="48"/>
  <c r="AE1297" i="48"/>
  <c r="AM1297" i="48"/>
  <c r="AJ1297" i="48"/>
  <c r="AL1297" i="48"/>
  <c r="AE1298" i="48"/>
  <c r="AM1235" i="48"/>
  <c r="AE1235" i="48"/>
  <c r="AL1235" i="48"/>
  <c r="AM1244" i="48"/>
  <c r="AJ1244" i="48"/>
  <c r="AL1244" i="48"/>
  <c r="AE1244" i="48"/>
  <c r="AL1248" i="48"/>
  <c r="AE1248" i="48"/>
  <c r="AJ1248" i="48"/>
  <c r="AM1248" i="48"/>
  <c r="AJ1238" i="48"/>
  <c r="AL1238" i="48"/>
  <c r="AE1238" i="48"/>
  <c r="AM1238" i="48"/>
  <c r="AE1245" i="48"/>
  <c r="AL1245" i="48"/>
  <c r="AJ1245" i="48"/>
  <c r="AM1245" i="48"/>
  <c r="AJ1240" i="48"/>
  <c r="AM1240" i="48"/>
  <c r="AE1240" i="48"/>
  <c r="AL1240" i="48"/>
  <c r="AE1242" i="48"/>
  <c r="AJ1241" i="48"/>
  <c r="AM1241" i="48"/>
  <c r="AE1241" i="48"/>
  <c r="AL1241" i="48"/>
  <c r="AM1237" i="48"/>
  <c r="AJ1237" i="48"/>
  <c r="AE1237" i="48"/>
  <c r="AL1237" i="48"/>
  <c r="AE1247" i="48"/>
  <c r="AM1247" i="48"/>
  <c r="AJ1247" i="48"/>
  <c r="AL1247" i="48"/>
  <c r="AL1246" i="48"/>
  <c r="AM1246" i="48"/>
  <c r="AJ1246" i="48"/>
  <c r="AE1246" i="48"/>
  <c r="AJ1236" i="48"/>
  <c r="AL1236" i="48"/>
  <c r="AE1236" i="48"/>
  <c r="AM1236" i="48"/>
  <c r="AE1249" i="48"/>
  <c r="AM1249" i="48"/>
  <c r="AL1249" i="48"/>
  <c r="AE1250" i="48"/>
  <c r="AJ1249" i="48"/>
  <c r="AE1243" i="48"/>
  <c r="AL1243" i="48"/>
  <c r="AM1243" i="48"/>
  <c r="AJ1243" i="48"/>
  <c r="AJ1239" i="48"/>
  <c r="AL1239" i="48"/>
  <c r="AE1239" i="48"/>
  <c r="AM1239" i="48"/>
  <c r="AL1234" i="48"/>
  <c r="AM1234" i="48"/>
  <c r="AM1220" i="48"/>
  <c r="AL1220" i="48"/>
  <c r="AE1220" i="48"/>
  <c r="AJ1220" i="48"/>
  <c r="AM1221" i="48"/>
  <c r="AE1221" i="48"/>
  <c r="AL1221" i="48"/>
  <c r="AJ1221" i="48"/>
  <c r="AL1214" i="48"/>
  <c r="AJ1214" i="48"/>
  <c r="AM1214" i="48"/>
  <c r="AE1214" i="48"/>
  <c r="AE1222" i="48"/>
  <c r="AM1222" i="48"/>
  <c r="AL1222" i="48"/>
  <c r="AJ1222" i="48"/>
  <c r="AE1223" i="48"/>
  <c r="AJ1211" i="48"/>
  <c r="AE1211" i="48"/>
  <c r="AM1211" i="48"/>
  <c r="AL1211" i="48"/>
  <c r="AL1215" i="48"/>
  <c r="AM1215" i="48"/>
  <c r="AJ1215" i="48"/>
  <c r="AE1215" i="48"/>
  <c r="AL1216" i="48"/>
  <c r="AJ1216" i="48"/>
  <c r="AM1216" i="48"/>
  <c r="AE1216" i="48"/>
  <c r="AJ1212" i="48"/>
  <c r="AL1212" i="48"/>
  <c r="AE1212" i="48"/>
  <c r="AM1212" i="48"/>
  <c r="AE1219" i="48"/>
  <c r="AM1219" i="48"/>
  <c r="AL1219" i="48"/>
  <c r="AJ1219" i="48"/>
  <c r="AE1213" i="48"/>
  <c r="AM1213" i="48"/>
  <c r="AL1213" i="48"/>
  <c r="AJ1213" i="48"/>
  <c r="AE1210" i="48"/>
  <c r="AM1210" i="48"/>
  <c r="AL1210" i="48"/>
  <c r="AJ1224" i="48"/>
  <c r="AL1224" i="48"/>
  <c r="AM1224" i="48"/>
  <c r="AE1224" i="48"/>
  <c r="AJ1218" i="48"/>
  <c r="AL1218" i="48"/>
  <c r="AE1218" i="48"/>
  <c r="AM1218" i="48"/>
  <c r="AM1225" i="48"/>
  <c r="AE1225" i="48"/>
  <c r="AJ1225" i="48"/>
  <c r="AL1225" i="48"/>
  <c r="AJ1194" i="48"/>
  <c r="AE1194" i="48"/>
  <c r="AM1194" i="48"/>
  <c r="AL1194" i="48"/>
  <c r="AJ1196" i="48"/>
  <c r="AE1196" i="48"/>
  <c r="AL1196" i="48"/>
  <c r="AM1196" i="48"/>
  <c r="AE1191" i="48"/>
  <c r="AJ1190" i="48"/>
  <c r="AM1190" i="48"/>
  <c r="AE1190" i="48"/>
  <c r="AL1190" i="48"/>
  <c r="AM1189" i="48"/>
  <c r="AJ1189" i="48"/>
  <c r="AE1189" i="48"/>
  <c r="AL1189" i="48"/>
  <c r="AE1198" i="48"/>
  <c r="AL1198" i="48"/>
  <c r="AM1198" i="48"/>
  <c r="AJ1198" i="48"/>
  <c r="AJ1195" i="48"/>
  <c r="AM1195" i="48"/>
  <c r="AE1195" i="48"/>
  <c r="AL1195" i="48"/>
  <c r="AL1192" i="48"/>
  <c r="AJ1192" i="48"/>
  <c r="AE1193" i="48"/>
  <c r="AE1192" i="48"/>
  <c r="AM1192" i="48"/>
  <c r="AJ1199" i="48"/>
  <c r="AE1199" i="48"/>
  <c r="AL1199" i="48"/>
  <c r="AM1199" i="48"/>
  <c r="AE1200" i="48"/>
  <c r="AJ1197" i="48"/>
  <c r="AL1197" i="48"/>
  <c r="AE1197" i="48"/>
  <c r="AM1197" i="48"/>
  <c r="AE1188" i="48"/>
  <c r="AE1187" i="48"/>
  <c r="AM1187" i="48"/>
  <c r="AL1187" i="48"/>
  <c r="AJ1187" i="48"/>
  <c r="AE1186" i="48"/>
  <c r="AM1186" i="48"/>
  <c r="AL1186" i="48"/>
  <c r="AJ1186" i="48"/>
  <c r="AM1160" i="48"/>
  <c r="AL1160" i="48"/>
  <c r="AE1160" i="48"/>
  <c r="AJ1168" i="48"/>
  <c r="AE1168" i="48"/>
  <c r="AL1168" i="48"/>
  <c r="AM1168" i="48"/>
  <c r="AJ1174" i="48"/>
  <c r="AM1174" i="48"/>
  <c r="AL1174" i="48"/>
  <c r="AE1174" i="48"/>
  <c r="AE1172" i="48"/>
  <c r="AL1172" i="48"/>
  <c r="AM1172" i="48"/>
  <c r="AJ1172" i="48"/>
  <c r="AE1173" i="48"/>
  <c r="AJ1171" i="48"/>
  <c r="AE1171" i="48"/>
  <c r="AM1171" i="48"/>
  <c r="AL1171" i="48"/>
  <c r="AJ1164" i="48"/>
  <c r="AL1164" i="48"/>
  <c r="AE1164" i="48"/>
  <c r="AM1164" i="48"/>
  <c r="AM1159" i="48"/>
  <c r="AL1159" i="48"/>
  <c r="AE1169" i="48"/>
  <c r="AL1169" i="48"/>
  <c r="AJ1169" i="48"/>
  <c r="AM1169" i="48"/>
  <c r="AE1161" i="48"/>
  <c r="AL1161" i="48"/>
  <c r="AM1161" i="48"/>
  <c r="AJ1161" i="48"/>
  <c r="AL1175" i="48"/>
  <c r="AJ1175" i="48"/>
  <c r="AE1175" i="48"/>
  <c r="AM1175" i="48"/>
  <c r="AE1163" i="48"/>
  <c r="AL1163" i="48"/>
  <c r="AM1163" i="48"/>
  <c r="AJ1163" i="48"/>
  <c r="AE1167" i="48"/>
  <c r="AL1167" i="48"/>
  <c r="AM1167" i="48"/>
  <c r="AJ1167" i="48"/>
  <c r="AE1166" i="48"/>
  <c r="AL1166" i="48"/>
  <c r="AJ1166" i="48"/>
  <c r="AM1166" i="48"/>
  <c r="AJ1165" i="48"/>
  <c r="AE1165" i="48"/>
  <c r="AM1165" i="48"/>
  <c r="AL1165" i="48"/>
  <c r="AJ1170" i="48"/>
  <c r="AE1170" i="48"/>
  <c r="AM1170" i="48"/>
  <c r="AL1170" i="48"/>
  <c r="AJ1162" i="48"/>
  <c r="AE1162" i="48"/>
  <c r="AM1162" i="48"/>
  <c r="AL1162" i="48"/>
  <c r="AE1139" i="48"/>
  <c r="AL1139" i="48"/>
  <c r="AM1139" i="48"/>
  <c r="AJ1139" i="48"/>
  <c r="AJ1140" i="48"/>
  <c r="AE1140" i="48"/>
  <c r="AM1140" i="48"/>
  <c r="AL1140" i="48"/>
  <c r="AE1142" i="48"/>
  <c r="AM1142" i="48"/>
  <c r="AL1142" i="48"/>
  <c r="AJ1142" i="48"/>
  <c r="AL1145" i="48"/>
  <c r="AJ1145" i="48"/>
  <c r="AE1145" i="48"/>
  <c r="AM1145" i="48"/>
  <c r="AJ1149" i="48"/>
  <c r="AM1149" i="48"/>
  <c r="AL1149" i="48"/>
  <c r="AE1149" i="48"/>
  <c r="AJ1147" i="48"/>
  <c r="AL1147" i="48"/>
  <c r="AE1147" i="48"/>
  <c r="AM1147" i="48"/>
  <c r="AE1148" i="48"/>
  <c r="AE1136" i="48"/>
  <c r="AM1136" i="48"/>
  <c r="AL1136" i="48"/>
  <c r="AJ1136" i="48"/>
  <c r="AE1144" i="48"/>
  <c r="AL1144" i="48"/>
  <c r="AJ1144" i="48"/>
  <c r="AM1144" i="48"/>
  <c r="AJ1141" i="48"/>
  <c r="AL1141" i="48"/>
  <c r="AE1141" i="48"/>
  <c r="AM1141" i="48"/>
  <c r="AM1146" i="48"/>
  <c r="AJ1146" i="48"/>
  <c r="AE1146" i="48"/>
  <c r="AL1146" i="48"/>
  <c r="AE1150" i="48"/>
  <c r="AJ1150" i="48"/>
  <c r="AL1150" i="48"/>
  <c r="AM1150" i="48"/>
  <c r="AJ1138" i="48"/>
  <c r="AL1138" i="48"/>
  <c r="AE1138" i="48"/>
  <c r="AM1138" i="48"/>
  <c r="AJ1143" i="48"/>
  <c r="AM1143" i="48"/>
  <c r="AE1143" i="48"/>
  <c r="AL1143" i="48"/>
  <c r="AE1135" i="48"/>
  <c r="AM1135" i="48"/>
  <c r="AL1135" i="48"/>
  <c r="AM1137" i="48"/>
  <c r="AJ1137" i="48"/>
  <c r="AE1137" i="48"/>
  <c r="AL1137" i="48"/>
  <c r="AM1097" i="48"/>
  <c r="AJ1097" i="48"/>
  <c r="AL1097" i="48"/>
  <c r="AE1097" i="48"/>
  <c r="AE1098" i="48"/>
  <c r="AJ1092" i="48"/>
  <c r="AM1092" i="48"/>
  <c r="AE1092" i="48"/>
  <c r="AL1092" i="48"/>
  <c r="AE1093" i="48"/>
  <c r="AE1064" i="48"/>
  <c r="AL1064" i="48"/>
  <c r="AM1064" i="48"/>
  <c r="AJ1064" i="48"/>
  <c r="AM1074" i="48"/>
  <c r="AJ1074" i="48"/>
  <c r="AL1074" i="48"/>
  <c r="AE1074" i="48"/>
  <c r="AE1065" i="48"/>
  <c r="AL1065" i="48"/>
  <c r="AJ1065" i="48"/>
  <c r="AM1065" i="48"/>
  <c r="AE1061" i="48"/>
  <c r="AE1060" i="48"/>
  <c r="AM1060" i="48"/>
  <c r="AL1060" i="48"/>
  <c r="AL1066" i="48"/>
  <c r="AJ1066" i="48"/>
  <c r="AM1066" i="48"/>
  <c r="AE1066" i="48"/>
  <c r="AE1068" i="48"/>
  <c r="AL1068" i="48"/>
  <c r="AM1068" i="48"/>
  <c r="AJ1068" i="48"/>
  <c r="AM1062" i="48"/>
  <c r="AJ1062" i="48"/>
  <c r="AE1062" i="48"/>
  <c r="AL1062" i="48"/>
  <c r="AJ1069" i="48"/>
  <c r="AL1069" i="48"/>
  <c r="AE1069" i="48"/>
  <c r="AM1069" i="48"/>
  <c r="AN1072" i="48"/>
  <c r="AN1064" i="48"/>
  <c r="AJ1071" i="48"/>
  <c r="AE1071" i="48"/>
  <c r="AM1071" i="48"/>
  <c r="AL1071" i="48"/>
  <c r="AM1070" i="48"/>
  <c r="AJ1070" i="48"/>
  <c r="AE1070" i="48"/>
  <c r="AL1070" i="48"/>
  <c r="AL1063" i="48"/>
  <c r="AJ1063" i="48"/>
  <c r="AE1063" i="48"/>
  <c r="AM1063" i="48"/>
  <c r="AE1075" i="48"/>
  <c r="AM1075" i="48"/>
  <c r="AJ1075" i="48"/>
  <c r="AL1075" i="48"/>
  <c r="AM1072" i="48"/>
  <c r="AJ1072" i="48"/>
  <c r="AE1072" i="48"/>
  <c r="AL1072" i="48"/>
  <c r="AJ1067" i="48"/>
  <c r="AE1067" i="48"/>
  <c r="AL1067" i="48"/>
  <c r="AM1067" i="48"/>
  <c r="AE1036" i="48"/>
  <c r="AM1036" i="48"/>
  <c r="AJ1036" i="48"/>
  <c r="AL1036" i="48"/>
  <c r="AM1050" i="48"/>
  <c r="AE1050" i="48"/>
  <c r="AL1050" i="48"/>
  <c r="AJ1050" i="48"/>
  <c r="AJ1044" i="48"/>
  <c r="AE1044" i="48"/>
  <c r="AL1044" i="48"/>
  <c r="AM1044" i="48"/>
  <c r="AM1040" i="48"/>
  <c r="AJ1040" i="48"/>
  <c r="AL1040" i="48"/>
  <c r="AE1040" i="48"/>
  <c r="AE1035" i="48"/>
  <c r="AM1035" i="48"/>
  <c r="AL1035" i="48"/>
  <c r="AL1047" i="48"/>
  <c r="AJ1047" i="48"/>
  <c r="AE1047" i="48"/>
  <c r="AM1047" i="48"/>
  <c r="AJ1042" i="48"/>
  <c r="AM1042" i="48"/>
  <c r="AE1042" i="48"/>
  <c r="AL1042" i="48"/>
  <c r="AL1043" i="48"/>
  <c r="AJ1043" i="48"/>
  <c r="AM1043" i="48"/>
  <c r="AE1043" i="48"/>
  <c r="AJ1048" i="48"/>
  <c r="AL1048" i="48"/>
  <c r="AM1048" i="48"/>
  <c r="AE1048" i="48"/>
  <c r="AJ1046" i="48"/>
  <c r="AM1046" i="48"/>
  <c r="AE1046" i="48"/>
  <c r="AL1046" i="48"/>
  <c r="AJ1039" i="48"/>
  <c r="AM1039" i="48"/>
  <c r="AE1039" i="48"/>
  <c r="AL1039" i="48"/>
  <c r="AM1049" i="48"/>
  <c r="AJ1049" i="48"/>
  <c r="AL1049" i="48"/>
  <c r="AE1049" i="48"/>
  <c r="AJ1038" i="48"/>
  <c r="AE1038" i="48"/>
  <c r="AL1038" i="48"/>
  <c r="AM1038" i="48"/>
  <c r="AE1037" i="48"/>
  <c r="AM1037" i="48"/>
  <c r="AL1037" i="48"/>
  <c r="AJ1037" i="48"/>
  <c r="AJ1045" i="48"/>
  <c r="AL1045" i="48"/>
  <c r="AE1045" i="48"/>
  <c r="AM1045" i="48"/>
  <c r="AJ1041" i="48"/>
  <c r="AL1041" i="48"/>
  <c r="AE1041" i="48"/>
  <c r="AM1041" i="48"/>
  <c r="AE1019" i="48"/>
  <c r="AJ1018" i="48"/>
  <c r="AE1018" i="48"/>
  <c r="AL1018" i="48"/>
  <c r="AM1018" i="48"/>
  <c r="AJ1023" i="48"/>
  <c r="AL1023" i="48"/>
  <c r="AE1023" i="48"/>
  <c r="AM1023" i="48"/>
  <c r="AM1016" i="48"/>
  <c r="AL1016" i="48"/>
  <c r="AJ1016" i="48"/>
  <c r="AE1016" i="48"/>
  <c r="AM1011" i="48"/>
  <c r="AJ1011" i="48"/>
  <c r="AL1011" i="48"/>
  <c r="AE1011" i="48"/>
  <c r="AE1012" i="48"/>
  <c r="AJ1012" i="48"/>
  <c r="AM1012" i="48"/>
  <c r="AL1012" i="48"/>
  <c r="AL1020" i="48"/>
  <c r="AJ1020" i="48"/>
  <c r="AE1020" i="48"/>
  <c r="AM1020" i="48"/>
  <c r="AM1010" i="48"/>
  <c r="AL1010" i="48"/>
  <c r="AE1010" i="48"/>
  <c r="AE1024" i="48"/>
  <c r="AM1024" i="48"/>
  <c r="AJ1024" i="48"/>
  <c r="AL1024" i="48"/>
  <c r="AE1025" i="48"/>
  <c r="AJ1013" i="48"/>
  <c r="AL1013" i="48"/>
  <c r="AE1014" i="48"/>
  <c r="AE1013" i="48"/>
  <c r="AM1013" i="48"/>
  <c r="AJ1017" i="48"/>
  <c r="AE1017" i="48"/>
  <c r="AL1017" i="48"/>
  <c r="AM1017" i="48"/>
  <c r="AJ1022" i="48"/>
  <c r="AM1022" i="48"/>
  <c r="AE1022" i="48"/>
  <c r="AL1022" i="48"/>
  <c r="AJ986" i="48"/>
  <c r="AE986" i="48"/>
  <c r="AM986" i="48"/>
  <c r="AL986" i="48"/>
  <c r="AJ995" i="48"/>
  <c r="AE995" i="48"/>
  <c r="AM995" i="48"/>
  <c r="AL995" i="48"/>
  <c r="AL992" i="48"/>
  <c r="AJ992" i="48"/>
  <c r="AM992" i="48"/>
  <c r="AE992" i="48"/>
  <c r="AE1000" i="48"/>
  <c r="AL1000" i="48"/>
  <c r="AM1000" i="48"/>
  <c r="AJ1000" i="48"/>
  <c r="AE989" i="48"/>
  <c r="AJ988" i="48"/>
  <c r="AE988" i="48"/>
  <c r="AL988" i="48"/>
  <c r="AM988" i="48"/>
  <c r="AJ990" i="48"/>
  <c r="AE990" i="48"/>
  <c r="AL990" i="48"/>
  <c r="AM990" i="48"/>
  <c r="AE994" i="48"/>
  <c r="AM994" i="48"/>
  <c r="AL994" i="48"/>
  <c r="AJ994" i="48"/>
  <c r="AE985" i="48"/>
  <c r="AM985" i="48"/>
  <c r="AL985" i="48"/>
  <c r="AE996" i="48"/>
  <c r="AL996" i="48"/>
  <c r="AM996" i="48"/>
  <c r="AJ996" i="48"/>
  <c r="AM997" i="48"/>
  <c r="AL997" i="48"/>
  <c r="AJ997" i="48"/>
  <c r="AE997" i="48"/>
  <c r="AJ987" i="48"/>
  <c r="AL987" i="48"/>
  <c r="AE987" i="48"/>
  <c r="AM987" i="48"/>
  <c r="AJ998" i="48"/>
  <c r="AE998" i="48"/>
  <c r="AM998" i="48"/>
  <c r="AL998" i="48"/>
  <c r="AL999" i="48"/>
  <c r="AM999" i="48"/>
  <c r="AE999" i="48"/>
  <c r="AJ999" i="48"/>
  <c r="AJ993" i="48"/>
  <c r="AM993" i="48"/>
  <c r="AE993" i="48"/>
  <c r="AL993" i="48"/>
  <c r="AJ991" i="48"/>
  <c r="AM991" i="48"/>
  <c r="AE991" i="48"/>
  <c r="AL991" i="48"/>
  <c r="AJ968" i="48"/>
  <c r="AM968" i="48"/>
  <c r="AE968" i="48"/>
  <c r="AL968" i="48"/>
  <c r="AE965" i="48"/>
  <c r="AE966" i="48"/>
  <c r="AL965" i="48"/>
  <c r="AM965" i="48"/>
  <c r="AJ965" i="48"/>
  <c r="AE975" i="48"/>
  <c r="AL975" i="48"/>
  <c r="AM975" i="48"/>
  <c r="AJ975" i="48"/>
  <c r="AJ961" i="48"/>
  <c r="AE961" i="48"/>
  <c r="AM961" i="48"/>
  <c r="AE962" i="48"/>
  <c r="AL961" i="48"/>
  <c r="AJ972" i="48"/>
  <c r="AL972" i="48"/>
  <c r="AE972" i="48"/>
  <c r="AM972" i="48"/>
  <c r="AE973" i="48"/>
  <c r="AE964" i="48"/>
  <c r="AL964" i="48"/>
  <c r="AJ964" i="48"/>
  <c r="AM964" i="48"/>
  <c r="AM960" i="48"/>
  <c r="AE960" i="48"/>
  <c r="AL960" i="48"/>
  <c r="AM969" i="48"/>
  <c r="AJ969" i="48"/>
  <c r="AL969" i="48"/>
  <c r="AE969" i="48"/>
  <c r="AE970" i="48"/>
  <c r="AL974" i="48"/>
  <c r="AM974" i="48"/>
  <c r="AJ974" i="48"/>
  <c r="AE974" i="48"/>
  <c r="AM940" i="48"/>
  <c r="AL940" i="48"/>
  <c r="AJ940" i="48"/>
  <c r="AE940" i="48"/>
  <c r="AL939" i="48"/>
  <c r="AJ939" i="48"/>
  <c r="AM939" i="48"/>
  <c r="AE939" i="48"/>
  <c r="AJ944" i="48"/>
  <c r="AM944" i="48"/>
  <c r="AE944" i="48"/>
  <c r="AL944" i="48"/>
  <c r="AJ942" i="48"/>
  <c r="AL942" i="48"/>
  <c r="AE942" i="48"/>
  <c r="AM942" i="48"/>
  <c r="AJ941" i="48"/>
  <c r="AM941" i="48"/>
  <c r="AE941" i="48"/>
  <c r="AL941" i="48"/>
  <c r="AL937" i="48"/>
  <c r="AJ937" i="48"/>
  <c r="AM937" i="48"/>
  <c r="AE937" i="48"/>
  <c r="AJ943" i="48"/>
  <c r="AM943" i="48"/>
  <c r="AE943" i="48"/>
  <c r="AL943" i="48"/>
  <c r="AL949" i="48"/>
  <c r="AJ949" i="48"/>
  <c r="AM949" i="48"/>
  <c r="AE949" i="48"/>
  <c r="AJ936" i="48"/>
  <c r="AE936" i="48"/>
  <c r="AM936" i="48"/>
  <c r="AL936" i="48"/>
  <c r="AJ947" i="48"/>
  <c r="AM947" i="48"/>
  <c r="AE947" i="48"/>
  <c r="AL947" i="48"/>
  <c r="AE948" i="48"/>
  <c r="AN937" i="48"/>
  <c r="AN943" i="48"/>
  <c r="AN949" i="48"/>
  <c r="AE935" i="48"/>
  <c r="AM935" i="48"/>
  <c r="AL935" i="48"/>
  <c r="AE950" i="48"/>
  <c r="AM950" i="48"/>
  <c r="AJ950" i="48"/>
  <c r="AL950" i="48"/>
  <c r="AE946" i="48"/>
  <c r="AL946" i="48"/>
  <c r="AM946" i="48"/>
  <c r="AJ946" i="48"/>
  <c r="AJ945" i="48"/>
  <c r="AM945" i="48"/>
  <c r="AE945" i="48"/>
  <c r="AL945" i="48"/>
  <c r="AJ938" i="48"/>
  <c r="AL938" i="48"/>
  <c r="AE938" i="48"/>
  <c r="AM938" i="48"/>
  <c r="AL923" i="48"/>
  <c r="AE923" i="48"/>
  <c r="AM923" i="48"/>
  <c r="AJ923" i="48"/>
  <c r="AE919" i="48"/>
  <c r="AL919" i="48"/>
  <c r="AJ919" i="48"/>
  <c r="AM919" i="48"/>
  <c r="AE924" i="48"/>
  <c r="AJ924" i="48"/>
  <c r="AM924" i="48"/>
  <c r="AL924" i="48"/>
  <c r="AJ911" i="48"/>
  <c r="AM911" i="48"/>
  <c r="AE911" i="48"/>
  <c r="AL911" i="48"/>
  <c r="AJ921" i="48"/>
  <c r="AL921" i="48"/>
  <c r="AE921" i="48"/>
  <c r="AM921" i="48"/>
  <c r="AL916" i="48"/>
  <c r="AJ916" i="48"/>
  <c r="AM916" i="48"/>
  <c r="AE916" i="48"/>
  <c r="AM925" i="48"/>
  <c r="AJ925" i="48"/>
  <c r="AE925" i="48"/>
  <c r="AL925" i="48"/>
  <c r="AE920" i="48"/>
  <c r="AM920" i="48"/>
  <c r="AL920" i="48"/>
  <c r="AJ920" i="48"/>
  <c r="AL910" i="48"/>
  <c r="AE910" i="48"/>
  <c r="AM910" i="48"/>
  <c r="AJ913" i="48"/>
  <c r="AL913" i="48"/>
  <c r="AE913" i="48"/>
  <c r="AM913" i="48"/>
  <c r="AE922" i="48"/>
  <c r="AM922" i="48"/>
  <c r="AL922" i="48"/>
  <c r="AJ922" i="48"/>
  <c r="AL890" i="48"/>
  <c r="AJ890" i="48"/>
  <c r="AM890" i="48"/>
  <c r="AE890" i="48"/>
  <c r="AE889" i="48"/>
  <c r="AJ888" i="48"/>
  <c r="AL888" i="48"/>
  <c r="AE888" i="48"/>
  <c r="AM888" i="48"/>
  <c r="AE894" i="48"/>
  <c r="AE895" i="48"/>
  <c r="AL894" i="48"/>
  <c r="AM894" i="48"/>
  <c r="AJ894" i="48"/>
  <c r="AJ886" i="48"/>
  <c r="AE886" i="48"/>
  <c r="AE887" i="48"/>
  <c r="AL886" i="48"/>
  <c r="AM886" i="48"/>
  <c r="AM885" i="48"/>
  <c r="AE885" i="48"/>
  <c r="AL885" i="48"/>
  <c r="AE892" i="48"/>
  <c r="AL892" i="48"/>
  <c r="AE893" i="48"/>
  <c r="AJ892" i="48"/>
  <c r="AM892" i="48"/>
  <c r="AE900" i="48"/>
  <c r="AM900" i="48"/>
  <c r="AJ900" i="48"/>
  <c r="AL900" i="48"/>
  <c r="AE891" i="48"/>
  <c r="AL891" i="48"/>
  <c r="AJ891" i="48"/>
  <c r="AM891" i="48"/>
  <c r="AJ870" i="48"/>
  <c r="AM870" i="48"/>
  <c r="AE870" i="48"/>
  <c r="AL870" i="48"/>
  <c r="AL865" i="48"/>
  <c r="AJ865" i="48"/>
  <c r="AM865" i="48"/>
  <c r="AE865" i="48"/>
  <c r="AE864" i="48"/>
  <c r="AM864" i="48"/>
  <c r="AL864" i="48"/>
  <c r="AJ864" i="48"/>
  <c r="AE869" i="48"/>
  <c r="AL869" i="48"/>
  <c r="AJ869" i="48"/>
  <c r="AM869" i="48"/>
  <c r="AE860" i="48"/>
  <c r="AM860" i="48"/>
  <c r="AL860" i="48"/>
  <c r="AE862" i="48"/>
  <c r="AL862" i="48"/>
  <c r="AM862" i="48"/>
  <c r="AJ862" i="48"/>
  <c r="AL861" i="48"/>
  <c r="AJ861" i="48"/>
  <c r="AE861" i="48"/>
  <c r="AM861" i="48"/>
  <c r="AJ875" i="48"/>
  <c r="AE875" i="48"/>
  <c r="AL875" i="48"/>
  <c r="AM875" i="48"/>
  <c r="AL873" i="48"/>
  <c r="AE873" i="48"/>
  <c r="AM873" i="48"/>
  <c r="AJ873" i="48"/>
  <c r="AJ866" i="48"/>
  <c r="AE866" i="48"/>
  <c r="AL866" i="48"/>
  <c r="AM866" i="48"/>
  <c r="AJ863" i="48"/>
  <c r="AL863" i="48"/>
  <c r="AE863" i="48"/>
  <c r="AM863" i="48"/>
  <c r="AJ871" i="48"/>
  <c r="AL871" i="48"/>
  <c r="AE871" i="48"/>
  <c r="AM871" i="48"/>
  <c r="AJ867" i="48"/>
  <c r="AE867" i="48"/>
  <c r="AL867" i="48"/>
  <c r="AE868" i="48"/>
  <c r="AM867" i="48"/>
  <c r="AM874" i="48"/>
  <c r="AJ874" i="48"/>
  <c r="AE874" i="48"/>
  <c r="AL874" i="48"/>
  <c r="AE872" i="48"/>
  <c r="AM872" i="48"/>
  <c r="AL872" i="48"/>
  <c r="AJ872" i="48"/>
  <c r="AN847" i="48"/>
  <c r="AJ840" i="48"/>
  <c r="AE840" i="48"/>
  <c r="AL840" i="48"/>
  <c r="AM840" i="48"/>
  <c r="AJ846" i="48"/>
  <c r="AE846" i="48"/>
  <c r="AM846" i="48"/>
  <c r="AL846" i="48"/>
  <c r="AM845" i="48"/>
  <c r="AE845" i="48"/>
  <c r="AL845" i="48"/>
  <c r="AJ845" i="48"/>
  <c r="AE844" i="48"/>
  <c r="AM844" i="48"/>
  <c r="AL844" i="48"/>
  <c r="AJ844" i="48"/>
  <c r="AE836" i="48"/>
  <c r="AM836" i="48"/>
  <c r="AL836" i="48"/>
  <c r="AJ836" i="48"/>
  <c r="AM847" i="48"/>
  <c r="AE847" i="48"/>
  <c r="AL847" i="48"/>
  <c r="AJ847" i="48"/>
  <c r="AE842" i="48"/>
  <c r="AM842" i="48"/>
  <c r="AJ842" i="48"/>
  <c r="AL842" i="48"/>
  <c r="AJ849" i="48"/>
  <c r="AM849" i="48"/>
  <c r="AL849" i="48"/>
  <c r="AE849" i="48"/>
  <c r="AE850" i="48"/>
  <c r="AJ850" i="48"/>
  <c r="AM850" i="48"/>
  <c r="AL850" i="48"/>
  <c r="AJ837" i="48"/>
  <c r="AL837" i="48"/>
  <c r="AE837" i="48"/>
  <c r="AM837" i="48"/>
  <c r="AE843" i="48"/>
  <c r="AL843" i="48"/>
  <c r="AJ843" i="48"/>
  <c r="AM843" i="48"/>
  <c r="AN850" i="48"/>
  <c r="AN837" i="48"/>
  <c r="AN843" i="48"/>
  <c r="AM841" i="48"/>
  <c r="AJ841" i="48"/>
  <c r="AE841" i="48"/>
  <c r="AL841" i="48"/>
  <c r="AN840" i="48"/>
  <c r="AL838" i="48"/>
  <c r="AM838" i="48"/>
  <c r="AE838" i="48"/>
  <c r="AJ838" i="48"/>
  <c r="AJ820" i="48"/>
  <c r="AM820" i="48"/>
  <c r="AE820" i="48"/>
  <c r="AL820" i="48"/>
  <c r="AE817" i="48"/>
  <c r="AJ817" i="48"/>
  <c r="AL817" i="48"/>
  <c r="AM817" i="48"/>
  <c r="AE825" i="48"/>
  <c r="AJ825" i="48"/>
  <c r="AM825" i="48"/>
  <c r="AL825" i="48"/>
  <c r="AL811" i="48"/>
  <c r="AJ811" i="48"/>
  <c r="AM811" i="48"/>
  <c r="AE811" i="48"/>
  <c r="AJ823" i="48"/>
  <c r="AL823" i="48"/>
  <c r="AE823" i="48"/>
  <c r="AM823" i="48"/>
  <c r="AJ813" i="48"/>
  <c r="AM813" i="48"/>
  <c r="AE813" i="48"/>
  <c r="AL813" i="48"/>
  <c r="AJ812" i="48"/>
  <c r="AM812" i="48"/>
  <c r="AE812" i="48"/>
  <c r="AL812" i="48"/>
  <c r="AL815" i="48"/>
  <c r="AJ815" i="48"/>
  <c r="AM815" i="48"/>
  <c r="AE815" i="48"/>
  <c r="AE821" i="48"/>
  <c r="AM821" i="48"/>
  <c r="AL821" i="48"/>
  <c r="AJ821" i="48"/>
  <c r="AE818" i="48"/>
  <c r="AL818" i="48"/>
  <c r="AJ818" i="48"/>
  <c r="AM818" i="48"/>
  <c r="AJ814" i="48"/>
  <c r="AM814" i="48"/>
  <c r="AE814" i="48"/>
  <c r="AL814" i="48"/>
  <c r="AL810" i="48"/>
  <c r="AE810" i="48"/>
  <c r="AM810" i="48"/>
  <c r="AE819" i="48"/>
  <c r="AM819" i="48"/>
  <c r="AJ819" i="48"/>
  <c r="AL819" i="48"/>
  <c r="AL822" i="48"/>
  <c r="AM822" i="48"/>
  <c r="AE822" i="48"/>
  <c r="AJ822" i="48"/>
  <c r="AL824" i="48"/>
  <c r="AE824" i="48"/>
  <c r="AJ824" i="48"/>
  <c r="AM824" i="48"/>
  <c r="AL800" i="48"/>
  <c r="AM800" i="48"/>
  <c r="AJ800" i="48"/>
  <c r="AE800" i="48"/>
  <c r="AJ791" i="48"/>
  <c r="AE791" i="48"/>
  <c r="AL791" i="48"/>
  <c r="AM791" i="48"/>
  <c r="AJ796" i="48"/>
  <c r="AM796" i="48"/>
  <c r="AE796" i="48"/>
  <c r="AL796" i="48"/>
  <c r="AJ799" i="48"/>
  <c r="AL799" i="48"/>
  <c r="AM799" i="48"/>
  <c r="AE799" i="48"/>
  <c r="AE785" i="48"/>
  <c r="AM785" i="48"/>
  <c r="AL785" i="48"/>
  <c r="AM797" i="48"/>
  <c r="AL797" i="48"/>
  <c r="AE797" i="48"/>
  <c r="AJ797" i="48"/>
  <c r="AJ792" i="48"/>
  <c r="AM792" i="48"/>
  <c r="AE792" i="48"/>
  <c r="AL792" i="48"/>
  <c r="AJ786" i="48"/>
  <c r="AL786" i="48"/>
  <c r="AE786" i="48"/>
  <c r="AM786" i="48"/>
  <c r="AL789" i="48"/>
  <c r="AJ789" i="48"/>
  <c r="AM789" i="48"/>
  <c r="AE789" i="48"/>
  <c r="AJ788" i="48"/>
  <c r="AM788" i="48"/>
  <c r="AE788" i="48"/>
  <c r="AL788" i="48"/>
  <c r="AJ787" i="48"/>
  <c r="AL787" i="48"/>
  <c r="AE787" i="48"/>
  <c r="AM787" i="48"/>
  <c r="AE793" i="48"/>
  <c r="AM793" i="48"/>
  <c r="AL793" i="48"/>
  <c r="AJ793" i="48"/>
  <c r="AL790" i="48"/>
  <c r="AJ790" i="48"/>
  <c r="AM790" i="48"/>
  <c r="AE790" i="48"/>
  <c r="AE771" i="48"/>
  <c r="AE772" i="48"/>
  <c r="AL771" i="48"/>
  <c r="AJ771" i="48"/>
  <c r="AM771" i="48"/>
  <c r="AJ764" i="48"/>
  <c r="AE764" i="48"/>
  <c r="AM764" i="48"/>
  <c r="AL764" i="48"/>
  <c r="AE765" i="48"/>
  <c r="AM762" i="48"/>
  <c r="AL762" i="48"/>
  <c r="AJ762" i="48"/>
  <c r="AE762" i="48"/>
  <c r="AJ774" i="48"/>
  <c r="AE774" i="48"/>
  <c r="AM774" i="48"/>
  <c r="AL774" i="48"/>
  <c r="AL761" i="48"/>
  <c r="AJ761" i="48"/>
  <c r="AM761" i="48"/>
  <c r="AE761" i="48"/>
  <c r="AL760" i="48"/>
  <c r="AE760" i="48"/>
  <c r="AM760" i="48"/>
  <c r="AJ775" i="48"/>
  <c r="AE775" i="48"/>
  <c r="AM775" i="48"/>
  <c r="AL775" i="48"/>
  <c r="AJ766" i="48"/>
  <c r="AL766" i="48"/>
  <c r="AE766" i="48"/>
  <c r="AM766" i="48"/>
  <c r="AJ763" i="48"/>
  <c r="AE763" i="48"/>
  <c r="AM763" i="48"/>
  <c r="AL763" i="48"/>
  <c r="AE767" i="48"/>
  <c r="AM767" i="48"/>
  <c r="AE768" i="48"/>
  <c r="AL767" i="48"/>
  <c r="AJ767" i="48"/>
  <c r="AE744" i="48"/>
  <c r="AM740" i="48"/>
  <c r="AJ740" i="48"/>
  <c r="AL740" i="48"/>
  <c r="AE740" i="48"/>
  <c r="AJ741" i="48"/>
  <c r="AM741" i="48"/>
  <c r="AE742" i="48"/>
  <c r="AE741" i="48"/>
  <c r="AL741" i="48"/>
  <c r="AL746" i="48"/>
  <c r="AJ746" i="48"/>
  <c r="AE746" i="48"/>
  <c r="AE747" i="48"/>
  <c r="AM746" i="48"/>
  <c r="AE737" i="48"/>
  <c r="AL743" i="48"/>
  <c r="AM743" i="48"/>
  <c r="AJ743" i="48"/>
  <c r="AE743" i="48"/>
  <c r="AE739" i="48"/>
  <c r="AL738" i="48"/>
  <c r="AJ738" i="48"/>
  <c r="AE738" i="48"/>
  <c r="AM738" i="48"/>
  <c r="AE736" i="48"/>
  <c r="AM736" i="48"/>
  <c r="AJ736" i="48"/>
  <c r="AL736" i="48"/>
  <c r="AE713" i="48"/>
  <c r="AM713" i="48"/>
  <c r="AJ713" i="48"/>
  <c r="AL713" i="48"/>
  <c r="AJ716" i="48"/>
  <c r="AM716" i="48"/>
  <c r="AE716" i="48"/>
  <c r="AL716" i="48"/>
  <c r="AJ712" i="48"/>
  <c r="AM712" i="48"/>
  <c r="AE712" i="48"/>
  <c r="AL712" i="48"/>
  <c r="AM721" i="48"/>
  <c r="AL721" i="48"/>
  <c r="AJ721" i="48"/>
  <c r="AE721" i="48"/>
  <c r="AJ711" i="48"/>
  <c r="AM711" i="48"/>
  <c r="AE711" i="48"/>
  <c r="AL711" i="48"/>
  <c r="AM724" i="48"/>
  <c r="AJ724" i="48"/>
  <c r="AL724" i="48"/>
  <c r="AE724" i="48"/>
  <c r="AE723" i="48"/>
  <c r="AJ723" i="48"/>
  <c r="AM723" i="48"/>
  <c r="AL723" i="48"/>
  <c r="AE722" i="48"/>
  <c r="AM722" i="48"/>
  <c r="AJ722" i="48"/>
  <c r="AL722" i="48"/>
  <c r="AM715" i="48"/>
  <c r="AE715" i="48"/>
  <c r="AL715" i="48"/>
  <c r="AJ715" i="48"/>
  <c r="AL725" i="48"/>
  <c r="AJ725" i="48"/>
  <c r="AE725" i="48"/>
  <c r="AM725" i="48"/>
  <c r="AL714" i="48"/>
  <c r="AJ714" i="48"/>
  <c r="AM714" i="48"/>
  <c r="AE714" i="48"/>
  <c r="AE717" i="48"/>
  <c r="AL717" i="48"/>
  <c r="AJ717" i="48"/>
  <c r="AM717" i="48"/>
  <c r="AL710" i="48"/>
  <c r="AM710" i="48"/>
  <c r="AE710" i="48"/>
  <c r="AE720" i="48"/>
  <c r="AJ720" i="48"/>
  <c r="AL720" i="48"/>
  <c r="AM720" i="48"/>
  <c r="AN716" i="48"/>
  <c r="AN717" i="48"/>
  <c r="AN712" i="48"/>
  <c r="AN710" i="48"/>
  <c r="AN721" i="48"/>
  <c r="AN720" i="48"/>
  <c r="AN711" i="48"/>
  <c r="AJ718" i="48"/>
  <c r="AE718" i="48"/>
  <c r="AL718" i="48"/>
  <c r="AM718" i="48"/>
  <c r="AJ697" i="48"/>
  <c r="AL697" i="48"/>
  <c r="AE697" i="48"/>
  <c r="AM697" i="48"/>
  <c r="AE698" i="48"/>
  <c r="AE700" i="48"/>
  <c r="AJ700" i="48"/>
  <c r="AM700" i="48"/>
  <c r="AL700" i="48"/>
  <c r="AE695" i="48"/>
  <c r="AL695" i="48"/>
  <c r="AJ695" i="48"/>
  <c r="AM695" i="48"/>
  <c r="AE696" i="48"/>
  <c r="AM696" i="48"/>
  <c r="AL696" i="48"/>
  <c r="AJ696" i="48"/>
  <c r="AE688" i="48"/>
  <c r="AL688" i="48"/>
  <c r="AJ688" i="48"/>
  <c r="AM688" i="48"/>
  <c r="AL699" i="48"/>
  <c r="AM699" i="48"/>
  <c r="AJ699" i="48"/>
  <c r="AE699" i="48"/>
  <c r="AM690" i="48"/>
  <c r="AJ690" i="48"/>
  <c r="AL690" i="48"/>
  <c r="AE690" i="48"/>
  <c r="AM691" i="48"/>
  <c r="AJ691" i="48"/>
  <c r="AL691" i="48"/>
  <c r="AE691" i="48"/>
  <c r="AM687" i="48"/>
  <c r="AL687" i="48"/>
  <c r="AJ687" i="48"/>
  <c r="AE687" i="48"/>
  <c r="AL689" i="48"/>
  <c r="AJ689" i="48"/>
  <c r="AM689" i="48"/>
  <c r="AE689" i="48"/>
  <c r="AM686" i="48"/>
  <c r="AL686" i="48"/>
  <c r="AE686" i="48"/>
  <c r="AJ692" i="48"/>
  <c r="AE692" i="48"/>
  <c r="AL692" i="48"/>
  <c r="AM692" i="48"/>
  <c r="AE694" i="48"/>
  <c r="AM694" i="48"/>
  <c r="AL694" i="48"/>
  <c r="AJ694" i="48"/>
  <c r="AE693" i="48"/>
  <c r="AL693" i="48"/>
  <c r="AM693" i="48"/>
  <c r="AJ693" i="48"/>
  <c r="AE685" i="48"/>
  <c r="AL685" i="48"/>
  <c r="AM685" i="48"/>
  <c r="AM625" i="48"/>
  <c r="AE625" i="48"/>
  <c r="AL625" i="48"/>
  <c r="AJ625" i="48"/>
  <c r="AE610" i="48"/>
  <c r="AM610" i="48"/>
  <c r="AL610" i="48"/>
  <c r="AJ621" i="48"/>
  <c r="AL621" i="48"/>
  <c r="AE621" i="48"/>
  <c r="AM621" i="48"/>
  <c r="AM624" i="48"/>
  <c r="AE624" i="48"/>
  <c r="AJ624" i="48"/>
  <c r="AL624" i="48"/>
  <c r="AJ617" i="48"/>
  <c r="AL617" i="48"/>
  <c r="AE617" i="48"/>
  <c r="AE618" i="48"/>
  <c r="AM617" i="48"/>
  <c r="AM611" i="48"/>
  <c r="AJ611" i="48"/>
  <c r="AE611" i="48"/>
  <c r="AE612" i="48"/>
  <c r="AL611" i="48"/>
  <c r="AJ620" i="48"/>
  <c r="AL620" i="48"/>
  <c r="AE620" i="48"/>
  <c r="AM620" i="48"/>
  <c r="AE622" i="48"/>
  <c r="AM622" i="48"/>
  <c r="AE623" i="48"/>
  <c r="AJ622" i="48"/>
  <c r="AL622" i="48"/>
  <c r="AJ615" i="48"/>
  <c r="AE616" i="48"/>
  <c r="AL615" i="48"/>
  <c r="AE615" i="48"/>
  <c r="AM615" i="48"/>
  <c r="AM585" i="48"/>
  <c r="AE585" i="48"/>
  <c r="AL585" i="48"/>
  <c r="AL596" i="48"/>
  <c r="AE596" i="48"/>
  <c r="AJ596" i="48"/>
  <c r="AM596" i="48"/>
  <c r="AE597" i="48"/>
  <c r="AJ590" i="48"/>
  <c r="AE590" i="48"/>
  <c r="AL590" i="48"/>
  <c r="AM590" i="48"/>
  <c r="AL598" i="48"/>
  <c r="AE598" i="48"/>
  <c r="AM598" i="48"/>
  <c r="AJ598" i="48"/>
  <c r="AM586" i="48"/>
  <c r="AJ586" i="48"/>
  <c r="AL586" i="48"/>
  <c r="AE586" i="48"/>
  <c r="AE592" i="48"/>
  <c r="AE593" i="48"/>
  <c r="AJ592" i="48"/>
  <c r="AM592" i="48"/>
  <c r="AL592" i="48"/>
  <c r="AE588" i="48"/>
  <c r="AL588" i="48"/>
  <c r="AJ588" i="48"/>
  <c r="AM588" i="48"/>
  <c r="AE591" i="48"/>
  <c r="AL591" i="48"/>
  <c r="AJ591" i="48"/>
  <c r="AM591" i="48"/>
  <c r="AJ599" i="48"/>
  <c r="AM599" i="48"/>
  <c r="AL599" i="48"/>
  <c r="AE599" i="48"/>
  <c r="AE600" i="48"/>
  <c r="AM589" i="48"/>
  <c r="AJ589" i="48"/>
  <c r="AE589" i="48"/>
  <c r="AL589" i="48"/>
  <c r="AJ574" i="48"/>
  <c r="AE574" i="48"/>
  <c r="AE575" i="48"/>
  <c r="AM574" i="48"/>
  <c r="AL574" i="48"/>
  <c r="AJ538" i="48"/>
  <c r="AE538" i="48"/>
  <c r="AL538" i="48"/>
  <c r="AM538" i="48"/>
  <c r="AM548" i="48"/>
  <c r="AE548" i="48"/>
  <c r="AJ548" i="48"/>
  <c r="AL548" i="48"/>
  <c r="AJ547" i="48"/>
  <c r="AL547" i="48"/>
  <c r="AE547" i="48"/>
  <c r="AM547" i="48"/>
  <c r="AJ541" i="48"/>
  <c r="AE541" i="48"/>
  <c r="AM541" i="48"/>
  <c r="AL541" i="48"/>
  <c r="AJ539" i="48"/>
  <c r="AM539" i="48"/>
  <c r="AL539" i="48"/>
  <c r="AE539" i="48"/>
  <c r="AE550" i="48"/>
  <c r="AJ550" i="48"/>
  <c r="AM550" i="48"/>
  <c r="AL550" i="48"/>
  <c r="AE544" i="48"/>
  <c r="AM544" i="48"/>
  <c r="AL544" i="48"/>
  <c r="AJ544" i="48"/>
  <c r="AJ545" i="48"/>
  <c r="AE545" i="48"/>
  <c r="AM545" i="48"/>
  <c r="AL545" i="48"/>
  <c r="AM549" i="48"/>
  <c r="AE549" i="48"/>
  <c r="AL549" i="48"/>
  <c r="AJ549" i="48"/>
  <c r="AJ543" i="48"/>
  <c r="AM543" i="48"/>
  <c r="AL543" i="48"/>
  <c r="AE543" i="48"/>
  <c r="AL542" i="48"/>
  <c r="AM542" i="48"/>
  <c r="AJ542" i="48"/>
  <c r="AE542" i="48"/>
  <c r="AM546" i="48"/>
  <c r="AE546" i="48"/>
  <c r="AL546" i="48"/>
  <c r="AJ546" i="48"/>
  <c r="AJ537" i="48"/>
  <c r="AE537" i="48"/>
  <c r="AM537" i="48"/>
  <c r="AL537" i="48"/>
  <c r="AE540" i="48"/>
  <c r="AM540" i="48"/>
  <c r="AL540" i="48"/>
  <c r="AJ540" i="48"/>
  <c r="AJ536" i="48"/>
  <c r="AE536" i="48"/>
  <c r="AL536" i="48"/>
  <c r="AM536" i="48"/>
  <c r="AM534" i="48"/>
  <c r="AL534" i="48"/>
  <c r="AE535" i="48"/>
  <c r="AM535" i="48"/>
  <c r="AL535" i="48"/>
  <c r="AM511" i="48"/>
  <c r="AE511" i="48"/>
  <c r="AL511" i="48"/>
  <c r="AM520" i="48"/>
  <c r="AE520" i="48"/>
  <c r="AL520" i="48"/>
  <c r="AE512" i="48"/>
  <c r="AM512" i="48"/>
  <c r="AL512" i="48"/>
  <c r="AL514" i="48"/>
  <c r="AE514" i="48"/>
  <c r="AM514" i="48"/>
  <c r="AE513" i="48"/>
  <c r="AL513" i="48"/>
  <c r="AM513" i="48"/>
  <c r="AE516" i="48"/>
  <c r="AM516" i="48"/>
  <c r="AL516" i="48"/>
  <c r="AL524" i="48"/>
  <c r="AM524" i="48"/>
  <c r="AE524" i="48"/>
  <c r="AM525" i="48"/>
  <c r="AE525" i="48"/>
  <c r="AL525" i="48"/>
  <c r="AL521" i="48"/>
  <c r="AE521" i="48"/>
  <c r="AM521" i="48"/>
  <c r="AE510" i="48"/>
  <c r="AL510" i="48"/>
  <c r="AM510" i="48"/>
  <c r="AL519" i="48"/>
  <c r="AE519" i="48"/>
  <c r="AM519" i="48"/>
  <c r="AL515" i="48"/>
  <c r="AE515" i="48"/>
  <c r="AM515" i="48"/>
  <c r="AL517" i="48"/>
  <c r="AE518" i="48"/>
  <c r="AM517" i="48"/>
  <c r="AE517" i="48"/>
  <c r="AL522" i="48"/>
  <c r="AM522" i="48"/>
  <c r="AE522" i="48"/>
  <c r="AE523" i="48"/>
  <c r="AJ464" i="48"/>
  <c r="AE464" i="48"/>
  <c r="AM464" i="48"/>
  <c r="AL464" i="48"/>
  <c r="AJ467" i="48"/>
  <c r="AM467" i="48"/>
  <c r="AE467" i="48"/>
  <c r="AL467" i="48"/>
  <c r="AE460" i="48"/>
  <c r="AL460" i="48"/>
  <c r="AM460" i="48"/>
  <c r="AE475" i="48"/>
  <c r="AJ475" i="48"/>
  <c r="AL475" i="48"/>
  <c r="AM475" i="48"/>
  <c r="AM466" i="48"/>
  <c r="AJ466" i="48"/>
  <c r="AE466" i="48"/>
  <c r="AL466" i="48"/>
  <c r="AE470" i="48"/>
  <c r="AL470" i="48"/>
  <c r="AJ470" i="48"/>
  <c r="AM470" i="48"/>
  <c r="AE469" i="48"/>
  <c r="AM469" i="48"/>
  <c r="AL469" i="48"/>
  <c r="AJ469" i="48"/>
  <c r="AE465" i="48"/>
  <c r="AM465" i="48"/>
  <c r="AJ465" i="48"/>
  <c r="AL465" i="48"/>
  <c r="AJ468" i="48"/>
  <c r="AE468" i="48"/>
  <c r="AL468" i="48"/>
  <c r="AM468" i="48"/>
  <c r="AJ462" i="48"/>
  <c r="AM462" i="48"/>
  <c r="AE462" i="48"/>
  <c r="AL462" i="48"/>
  <c r="AM463" i="48"/>
  <c r="AJ463" i="48"/>
  <c r="AL463" i="48"/>
  <c r="AE463" i="48"/>
  <c r="AJ474" i="48"/>
  <c r="AM474" i="48"/>
  <c r="AL474" i="48"/>
  <c r="AE474" i="48"/>
  <c r="AM461" i="48"/>
  <c r="AJ461" i="48"/>
  <c r="AL461" i="48"/>
  <c r="AE461" i="48"/>
  <c r="AE472" i="48"/>
  <c r="AM471" i="48"/>
  <c r="AJ471" i="48"/>
  <c r="AL471" i="48"/>
  <c r="AE471" i="48"/>
  <c r="AM473" i="48"/>
  <c r="AL473" i="48"/>
  <c r="AE473" i="48"/>
  <c r="AJ473" i="48"/>
  <c r="AE445" i="48"/>
  <c r="AL445" i="48"/>
  <c r="AM445" i="48"/>
  <c r="AJ445" i="48"/>
  <c r="AE446" i="48"/>
  <c r="AL446" i="48"/>
  <c r="AJ446" i="48"/>
  <c r="AM446" i="48"/>
  <c r="AJ437" i="48"/>
  <c r="AL437" i="48"/>
  <c r="AE437" i="48"/>
  <c r="AM437" i="48"/>
  <c r="AE443" i="48"/>
  <c r="AL443" i="48"/>
  <c r="AJ443" i="48"/>
  <c r="AM443" i="48"/>
  <c r="AM449" i="48"/>
  <c r="AE449" i="48"/>
  <c r="AL449" i="48"/>
  <c r="AJ449" i="48"/>
  <c r="AJ436" i="48"/>
  <c r="AE436" i="48"/>
  <c r="AL436" i="48"/>
  <c r="AM436" i="48"/>
  <c r="AM440" i="48"/>
  <c r="AJ440" i="48"/>
  <c r="AL440" i="48"/>
  <c r="AE440" i="48"/>
  <c r="AJ447" i="48"/>
  <c r="AM447" i="48"/>
  <c r="AE447" i="48"/>
  <c r="AL447" i="48"/>
  <c r="AJ438" i="48"/>
  <c r="AL438" i="48"/>
  <c r="AE438" i="48"/>
  <c r="AM438" i="48"/>
  <c r="AE448" i="48"/>
  <c r="AJ448" i="48"/>
  <c r="AL448" i="48"/>
  <c r="AM448" i="48"/>
  <c r="AJ441" i="48"/>
  <c r="AM441" i="48"/>
  <c r="AE441" i="48"/>
  <c r="AL441" i="48"/>
  <c r="AL439" i="48"/>
  <c r="AJ439" i="48"/>
  <c r="AE439" i="48"/>
  <c r="AM439" i="48"/>
  <c r="AM435" i="48"/>
  <c r="AL435" i="48"/>
  <c r="AE435" i="48"/>
  <c r="AL442" i="48"/>
  <c r="AM442" i="48"/>
  <c r="AJ442" i="48"/>
  <c r="AE442" i="48"/>
  <c r="AE450" i="48"/>
  <c r="AN439" i="48"/>
  <c r="AN437" i="48"/>
  <c r="AN445" i="48"/>
  <c r="AN435" i="48"/>
  <c r="AN442" i="48"/>
  <c r="AN443" i="48"/>
  <c r="AN446" i="48"/>
  <c r="AM414" i="48"/>
  <c r="AE414" i="48"/>
  <c r="AL414" i="48"/>
  <c r="AJ414" i="48"/>
  <c r="AE415" i="48"/>
  <c r="AJ419" i="48"/>
  <c r="AE419" i="48"/>
  <c r="AL419" i="48"/>
  <c r="AM419" i="48"/>
  <c r="AE420" i="48"/>
  <c r="AE410" i="48"/>
  <c r="AE411" i="48"/>
  <c r="AM410" i="48"/>
  <c r="AL410" i="48"/>
  <c r="AJ412" i="48"/>
  <c r="AM412" i="48"/>
  <c r="AE412" i="48"/>
  <c r="AL412" i="48"/>
  <c r="AE413" i="48"/>
  <c r="AJ413" i="48"/>
  <c r="AM413" i="48"/>
  <c r="AL413" i="48"/>
  <c r="AL417" i="48"/>
  <c r="AE418" i="48"/>
  <c r="AJ417" i="48"/>
  <c r="AM417" i="48"/>
  <c r="AE417" i="48"/>
  <c r="AJ422" i="48"/>
  <c r="AL422" i="48"/>
  <c r="AE422" i="48"/>
  <c r="AM422" i="48"/>
  <c r="AE416" i="48"/>
  <c r="AM416" i="48"/>
  <c r="AL416" i="48"/>
  <c r="AJ416" i="48"/>
  <c r="AE424" i="48"/>
  <c r="AM424" i="48"/>
  <c r="AJ424" i="48"/>
  <c r="AL424" i="48"/>
  <c r="AE425" i="48"/>
  <c r="AN416" i="48"/>
  <c r="AN414" i="48"/>
  <c r="AN424" i="48"/>
  <c r="AN419" i="48"/>
  <c r="AE423" i="48"/>
  <c r="AM423" i="48"/>
  <c r="AJ423" i="48"/>
  <c r="AL423" i="48"/>
  <c r="AE388" i="48"/>
  <c r="AL388" i="48"/>
  <c r="AM388" i="48"/>
  <c r="AJ388" i="48"/>
  <c r="AM389" i="48"/>
  <c r="AJ389" i="48"/>
  <c r="AL389" i="48"/>
  <c r="AE389" i="48"/>
  <c r="AJ386" i="48"/>
  <c r="AE386" i="48"/>
  <c r="AM386" i="48"/>
  <c r="AL386" i="48"/>
  <c r="AM387" i="48"/>
  <c r="AJ387" i="48"/>
  <c r="AL387" i="48"/>
  <c r="AE387" i="48"/>
  <c r="AJ393" i="48"/>
  <c r="AL393" i="48"/>
  <c r="AE393" i="48"/>
  <c r="AM393" i="48"/>
  <c r="AJ392" i="48"/>
  <c r="AE392" i="48"/>
  <c r="AL392" i="48"/>
  <c r="AM392" i="48"/>
  <c r="AJ396" i="48"/>
  <c r="AE396" i="48"/>
  <c r="AL396" i="48"/>
  <c r="AM396" i="48"/>
  <c r="AM397" i="48"/>
  <c r="AJ397" i="48"/>
  <c r="AL397" i="48"/>
  <c r="AE397" i="48"/>
  <c r="AE398" i="48"/>
  <c r="AN388" i="48"/>
  <c r="AJ399" i="48"/>
  <c r="AM399" i="48"/>
  <c r="AL399" i="48"/>
  <c r="AE399" i="48"/>
  <c r="AN389" i="48"/>
  <c r="AE394" i="48"/>
  <c r="AE391" i="48"/>
  <c r="AM391" i="48"/>
  <c r="AL391" i="48"/>
  <c r="AJ391" i="48"/>
  <c r="AE370" i="48"/>
  <c r="AL370" i="48"/>
  <c r="AM370" i="48"/>
  <c r="AJ370" i="48"/>
  <c r="AE371" i="48"/>
  <c r="AJ372" i="48"/>
  <c r="AE372" i="48"/>
  <c r="AM372" i="48"/>
  <c r="AL372" i="48"/>
  <c r="AE373" i="48"/>
  <c r="AE367" i="48"/>
  <c r="AM367" i="48"/>
  <c r="AJ367" i="48"/>
  <c r="AL367" i="48"/>
  <c r="AJ374" i="48"/>
  <c r="AL374" i="48"/>
  <c r="AM374" i="48"/>
  <c r="AE374" i="48"/>
  <c r="AE375" i="48"/>
  <c r="AJ369" i="48"/>
  <c r="AE369" i="48"/>
  <c r="AL369" i="48"/>
  <c r="AM369" i="48"/>
  <c r="AJ368" i="48"/>
  <c r="AL368" i="48"/>
  <c r="AE368" i="48"/>
  <c r="AM368" i="48"/>
  <c r="AJ361" i="48"/>
  <c r="AE362" i="48"/>
  <c r="AM361" i="48"/>
  <c r="AE361" i="48"/>
  <c r="AL361" i="48"/>
  <c r="AJ336" i="48"/>
  <c r="AM336" i="48"/>
  <c r="AE337" i="48"/>
  <c r="AE336" i="48"/>
  <c r="AL336" i="48"/>
  <c r="AE341" i="48"/>
  <c r="AL341" i="48"/>
  <c r="AE342" i="48"/>
  <c r="AJ341" i="48"/>
  <c r="AM341" i="48"/>
  <c r="AJ345" i="48"/>
  <c r="AM345" i="48"/>
  <c r="AE345" i="48"/>
  <c r="AL345" i="48"/>
  <c r="AJ339" i="48"/>
  <c r="AM339" i="48"/>
  <c r="AE339" i="48"/>
  <c r="AL339" i="48"/>
  <c r="AJ346" i="48"/>
  <c r="AE346" i="48"/>
  <c r="AE347" i="48"/>
  <c r="AL346" i="48"/>
  <c r="AM346" i="48"/>
  <c r="AJ349" i="48"/>
  <c r="AM349" i="48"/>
  <c r="AL349" i="48"/>
  <c r="AE349" i="48"/>
  <c r="AE350" i="48"/>
  <c r="AJ344" i="48"/>
  <c r="AM344" i="48"/>
  <c r="AE344" i="48"/>
  <c r="AL344" i="48"/>
  <c r="AM340" i="48"/>
  <c r="AJ340" i="48"/>
  <c r="AE340" i="48"/>
  <c r="AL340" i="48"/>
  <c r="AJ311" i="48"/>
  <c r="AE311" i="48"/>
  <c r="AM311" i="48"/>
  <c r="AL311" i="48"/>
  <c r="AJ323" i="48"/>
  <c r="AM323" i="48"/>
  <c r="AE323" i="48"/>
  <c r="AL323" i="48"/>
  <c r="AE319" i="48"/>
  <c r="AM319" i="48"/>
  <c r="AL319" i="48"/>
  <c r="AJ319" i="48"/>
  <c r="AJ324" i="48"/>
  <c r="AL324" i="48"/>
  <c r="AM324" i="48"/>
  <c r="AE325" i="48"/>
  <c r="AE324" i="48"/>
  <c r="AL322" i="48"/>
  <c r="AJ322" i="48"/>
  <c r="AM322" i="48"/>
  <c r="AE322" i="48"/>
  <c r="AM314" i="48"/>
  <c r="AL314" i="48"/>
  <c r="AJ314" i="48"/>
  <c r="AE314" i="48"/>
  <c r="AJ318" i="48"/>
  <c r="AL318" i="48"/>
  <c r="AE318" i="48"/>
  <c r="AM318" i="48"/>
  <c r="AE317" i="48"/>
  <c r="AL317" i="48"/>
  <c r="AM317" i="48"/>
  <c r="AJ317" i="48"/>
  <c r="AL315" i="48"/>
  <c r="AJ315" i="48"/>
  <c r="AM315" i="48"/>
  <c r="AE315" i="48"/>
  <c r="AM310" i="48"/>
  <c r="AE310" i="48"/>
  <c r="AL310" i="48"/>
  <c r="AE321" i="48"/>
  <c r="AM321" i="48"/>
  <c r="AJ321" i="48"/>
  <c r="AL321" i="48"/>
  <c r="AJ312" i="48"/>
  <c r="AE312" i="48"/>
  <c r="AM312" i="48"/>
  <c r="AL312" i="48"/>
  <c r="AN311" i="48"/>
  <c r="AN323" i="48"/>
  <c r="AN319" i="48"/>
  <c r="AN324" i="48"/>
  <c r="AN322" i="48"/>
  <c r="AJ313" i="48"/>
  <c r="AE313" i="48"/>
  <c r="AL313" i="48"/>
  <c r="AM313" i="48"/>
  <c r="AL320" i="48"/>
  <c r="AM320" i="48"/>
  <c r="AJ320" i="48"/>
  <c r="AE320" i="48"/>
  <c r="AE316" i="48"/>
  <c r="AM316" i="48"/>
  <c r="AL316" i="48"/>
  <c r="AJ316" i="48"/>
  <c r="AL298" i="48"/>
  <c r="AJ298" i="48"/>
  <c r="AM298" i="48"/>
  <c r="AE298" i="48"/>
  <c r="AJ294" i="48"/>
  <c r="AM294" i="48"/>
  <c r="AE294" i="48"/>
  <c r="AL294" i="48"/>
  <c r="AE293" i="48"/>
  <c r="AM293" i="48"/>
  <c r="AJ293" i="48"/>
  <c r="AL293" i="48"/>
  <c r="AE290" i="48"/>
  <c r="AM290" i="48"/>
  <c r="AE291" i="48"/>
  <c r="AL290" i="48"/>
  <c r="AJ290" i="48"/>
  <c r="AJ299" i="48"/>
  <c r="AL299" i="48"/>
  <c r="AE299" i="48"/>
  <c r="AM299" i="48"/>
  <c r="AM292" i="48"/>
  <c r="AJ292" i="48"/>
  <c r="AE292" i="48"/>
  <c r="AL292" i="48"/>
  <c r="AE288" i="48"/>
  <c r="AM288" i="48"/>
  <c r="AL288" i="48"/>
  <c r="AJ288" i="48"/>
  <c r="AJ287" i="48"/>
  <c r="AE287" i="48"/>
  <c r="AM287" i="48"/>
  <c r="AL287" i="48"/>
  <c r="AL285" i="48"/>
  <c r="AE285" i="48"/>
  <c r="AM285" i="48"/>
  <c r="AL300" i="48"/>
  <c r="AJ300" i="48"/>
  <c r="AE300" i="48"/>
  <c r="AM300" i="48"/>
  <c r="AL297" i="48"/>
  <c r="AJ297" i="48"/>
  <c r="AM297" i="48"/>
  <c r="AE297" i="48"/>
  <c r="AJ295" i="48"/>
  <c r="AM295" i="48"/>
  <c r="AE296" i="48"/>
  <c r="AE295" i="48"/>
  <c r="AL295" i="48"/>
  <c r="AJ286" i="48"/>
  <c r="AE286" i="48"/>
  <c r="AL286" i="48"/>
  <c r="AM286" i="48"/>
  <c r="AE289" i="48"/>
  <c r="AM289" i="48"/>
  <c r="AL289" i="48"/>
  <c r="AJ289" i="48"/>
  <c r="AJ266" i="48"/>
  <c r="AE266" i="48"/>
  <c r="AM266" i="48"/>
  <c r="AL266" i="48"/>
  <c r="AJ267" i="48"/>
  <c r="AE267" i="48"/>
  <c r="AM267" i="48"/>
  <c r="AL267" i="48"/>
  <c r="AE270" i="48"/>
  <c r="AM270" i="48"/>
  <c r="AJ270" i="48"/>
  <c r="AE271" i="48"/>
  <c r="AL270" i="48"/>
  <c r="AM268" i="48"/>
  <c r="AJ268" i="48"/>
  <c r="AL268" i="48"/>
  <c r="AE268" i="48"/>
  <c r="AJ273" i="48"/>
  <c r="AE273" i="48"/>
  <c r="AE274" i="48"/>
  <c r="AL273" i="48"/>
  <c r="AM273" i="48"/>
  <c r="AJ265" i="48"/>
  <c r="AL265" i="48"/>
  <c r="AE265" i="48"/>
  <c r="AM265" i="48"/>
  <c r="AJ269" i="48"/>
  <c r="AM269" i="48"/>
  <c r="AE269" i="48"/>
  <c r="AL269" i="48"/>
  <c r="AE260" i="48"/>
  <c r="AL260" i="48"/>
  <c r="AE261" i="48"/>
  <c r="AM260" i="48"/>
  <c r="AJ262" i="48"/>
  <c r="AM262" i="48"/>
  <c r="AE263" i="48"/>
  <c r="AE262" i="48"/>
  <c r="AL262" i="48"/>
  <c r="AL259" i="48"/>
  <c r="AM259" i="48"/>
  <c r="AJ237" i="48"/>
  <c r="AM237" i="48"/>
  <c r="AE237" i="48"/>
  <c r="AL237" i="48"/>
  <c r="AJ246" i="48"/>
  <c r="AL246" i="48"/>
  <c r="AE246" i="48"/>
  <c r="AM246" i="48"/>
  <c r="AE235" i="48"/>
  <c r="AE236" i="48"/>
  <c r="AL235" i="48"/>
  <c r="AM235" i="48"/>
  <c r="AE238" i="48"/>
  <c r="AE247" i="48"/>
  <c r="AL247" i="48"/>
  <c r="AM247" i="48"/>
  <c r="AJ247" i="48"/>
  <c r="AE248" i="48"/>
  <c r="AM242" i="48"/>
  <c r="AE243" i="48"/>
  <c r="AJ242" i="48"/>
  <c r="AE242" i="48"/>
  <c r="AL242" i="48"/>
  <c r="AM244" i="48"/>
  <c r="AJ244" i="48"/>
  <c r="AL244" i="48"/>
  <c r="AE244" i="48"/>
  <c r="AE245" i="48"/>
  <c r="AJ214" i="48"/>
  <c r="AM214" i="48"/>
  <c r="AE214" i="48"/>
  <c r="AL214" i="48"/>
  <c r="AM223" i="48"/>
  <c r="AJ223" i="48"/>
  <c r="AE223" i="48"/>
  <c r="AL223" i="48"/>
  <c r="AE210" i="48"/>
  <c r="AM210" i="48"/>
  <c r="AL210" i="48"/>
  <c r="AJ211" i="48"/>
  <c r="AE211" i="48"/>
  <c r="AM211" i="48"/>
  <c r="AL211" i="48"/>
  <c r="AJ217" i="48"/>
  <c r="AE217" i="48"/>
  <c r="AM217" i="48"/>
  <c r="AL217" i="48"/>
  <c r="AL209" i="48"/>
  <c r="AM209" i="48"/>
  <c r="AJ221" i="48"/>
  <c r="AL221" i="48"/>
  <c r="AE221" i="48"/>
  <c r="AM221" i="48"/>
  <c r="AE219" i="48"/>
  <c r="AL219" i="48"/>
  <c r="AJ219" i="48"/>
  <c r="AM219" i="48"/>
  <c r="AE225" i="48"/>
  <c r="AL225" i="48"/>
  <c r="AM225" i="48"/>
  <c r="AJ225" i="48"/>
  <c r="AE213" i="48"/>
  <c r="AL213" i="48"/>
  <c r="AM213" i="48"/>
  <c r="AJ213" i="48"/>
  <c r="AE212" i="48"/>
  <c r="AM212" i="48"/>
  <c r="AJ212" i="48"/>
  <c r="AL212" i="48"/>
  <c r="AL222" i="48"/>
  <c r="AM222" i="48"/>
  <c r="AJ222" i="48"/>
  <c r="AE222" i="48"/>
  <c r="AM215" i="48"/>
  <c r="AL215" i="48"/>
  <c r="AJ215" i="48"/>
  <c r="AE215" i="48"/>
  <c r="AE218" i="48"/>
  <c r="AL218" i="48"/>
  <c r="AJ218" i="48"/>
  <c r="AM218" i="48"/>
  <c r="AE220" i="48"/>
  <c r="AL220" i="48"/>
  <c r="AM220" i="48"/>
  <c r="AJ220" i="48"/>
  <c r="AE224" i="48"/>
  <c r="AJ224" i="48"/>
  <c r="AL224" i="48"/>
  <c r="AM224" i="48"/>
  <c r="AJ216" i="48"/>
  <c r="AE216" i="48"/>
  <c r="AL216" i="48"/>
  <c r="AM216" i="48"/>
  <c r="AM194" i="48"/>
  <c r="AJ194" i="48"/>
  <c r="AE194" i="48"/>
  <c r="AE195" i="48"/>
  <c r="AL194" i="48"/>
  <c r="AE163" i="48"/>
  <c r="AE164" i="48"/>
  <c r="AL163" i="48"/>
  <c r="AJ163" i="48"/>
  <c r="AM163" i="48"/>
  <c r="AE167" i="48"/>
  <c r="AM167" i="48"/>
  <c r="AE168" i="48"/>
  <c r="AJ167" i="48"/>
  <c r="AL167" i="48"/>
  <c r="AE172" i="48"/>
  <c r="AJ171" i="48"/>
  <c r="AE171" i="48"/>
  <c r="AL171" i="48"/>
  <c r="AM171" i="48"/>
  <c r="AL175" i="48"/>
  <c r="AJ175" i="48"/>
  <c r="AM175" i="48"/>
  <c r="AE175" i="48"/>
  <c r="AE161" i="48"/>
  <c r="AE162" i="48"/>
  <c r="AL161" i="48"/>
  <c r="AJ161" i="48"/>
  <c r="AM161" i="48"/>
  <c r="AJ120" i="48"/>
  <c r="AE120" i="48"/>
  <c r="AE121" i="48"/>
  <c r="AL120" i="48"/>
  <c r="AM120" i="48"/>
  <c r="AJ118" i="48"/>
  <c r="AM118" i="48"/>
  <c r="AE118" i="48"/>
  <c r="AL118" i="48"/>
  <c r="AJ119" i="48"/>
  <c r="AE119" i="48"/>
  <c r="AL119" i="48"/>
  <c r="AM119" i="48"/>
  <c r="AJ111" i="48"/>
  <c r="AE111" i="48"/>
  <c r="AE112" i="48"/>
  <c r="AL111" i="48"/>
  <c r="AM111" i="48"/>
  <c r="AJ116" i="48"/>
  <c r="AE116" i="48"/>
  <c r="AM116" i="48"/>
  <c r="AL116" i="48"/>
  <c r="AJ117" i="48"/>
  <c r="AL117" i="48"/>
  <c r="AM117" i="48"/>
  <c r="AE117" i="48"/>
  <c r="AL110" i="48"/>
  <c r="AE110" i="48"/>
  <c r="AM110" i="48"/>
  <c r="AJ113" i="48"/>
  <c r="AM113" i="48"/>
  <c r="AL113" i="48"/>
  <c r="AE113" i="48"/>
  <c r="AJ114" i="48"/>
  <c r="AE114" i="48"/>
  <c r="AM114" i="48"/>
  <c r="AL114" i="48"/>
  <c r="AE90" i="48"/>
  <c r="AM90" i="48"/>
  <c r="AJ90" i="48"/>
  <c r="AL90" i="48"/>
  <c r="AJ89" i="48"/>
  <c r="AM89" i="48"/>
  <c r="AL89" i="48"/>
  <c r="AE89" i="48"/>
  <c r="AE100" i="48"/>
  <c r="AL100" i="48"/>
  <c r="AJ100" i="48"/>
  <c r="AM100" i="48"/>
  <c r="AM97" i="48"/>
  <c r="AE97" i="48"/>
  <c r="AJ97" i="48"/>
  <c r="AL97" i="48"/>
  <c r="AL99" i="48"/>
  <c r="AE99" i="48"/>
  <c r="AJ99" i="48"/>
  <c r="AM99" i="48"/>
  <c r="AE86" i="48"/>
  <c r="AM86" i="48"/>
  <c r="AJ86" i="48"/>
  <c r="AL86" i="48"/>
  <c r="AE87" i="48"/>
  <c r="AJ87" i="48"/>
  <c r="AL87" i="48"/>
  <c r="AM87" i="48"/>
  <c r="AJ98" i="48"/>
  <c r="AE98" i="48"/>
  <c r="AM98" i="48"/>
  <c r="AL98" i="48"/>
  <c r="AE92" i="48"/>
  <c r="AL92" i="48"/>
  <c r="AJ92" i="48"/>
  <c r="AM92" i="48"/>
  <c r="AE95" i="48"/>
  <c r="AL95" i="48"/>
  <c r="AM95" i="48"/>
  <c r="AJ95" i="48"/>
  <c r="AE91" i="48"/>
  <c r="AN90" i="48"/>
  <c r="AN89" i="48"/>
  <c r="AN100" i="48"/>
  <c r="AE96" i="48"/>
  <c r="AL96" i="48"/>
  <c r="AJ96" i="48"/>
  <c r="AM96" i="48"/>
  <c r="AJ93" i="48"/>
  <c r="AL93" i="48"/>
  <c r="AE93" i="48"/>
  <c r="AM93" i="48"/>
  <c r="AJ88" i="48"/>
  <c r="AL88" i="48"/>
  <c r="AE88" i="48"/>
  <c r="AM88" i="48"/>
  <c r="AJ94" i="48"/>
  <c r="AE94" i="48"/>
  <c r="AL94" i="48"/>
  <c r="AM94" i="48"/>
  <c r="AL85" i="48"/>
  <c r="AM85" i="48"/>
  <c r="AE85" i="48"/>
  <c r="AL63" i="48"/>
  <c r="AE64" i="48"/>
  <c r="AJ63" i="48"/>
  <c r="AM63" i="48"/>
  <c r="AE63" i="48"/>
  <c r="AJ73" i="48"/>
  <c r="AE74" i="48"/>
  <c r="AE73" i="48"/>
  <c r="AL73" i="48"/>
  <c r="AM73" i="48"/>
  <c r="AJ66" i="48"/>
  <c r="AM66" i="48"/>
  <c r="AE66" i="48"/>
  <c r="AL66" i="48"/>
  <c r="AL65" i="48"/>
  <c r="AJ65" i="48"/>
  <c r="AM65" i="48"/>
  <c r="AE65" i="48"/>
  <c r="AJ61" i="48"/>
  <c r="AL61" i="48"/>
  <c r="AE61" i="48"/>
  <c r="AM61" i="48"/>
  <c r="AE62" i="48"/>
  <c r="AJ69" i="48"/>
  <c r="AE70" i="48"/>
  <c r="AE69" i="48"/>
  <c r="AL69" i="48"/>
  <c r="AM69" i="48"/>
  <c r="AJ75" i="48"/>
  <c r="AM75" i="48"/>
  <c r="AL75" i="48"/>
  <c r="AE75" i="48"/>
  <c r="AL68" i="48"/>
  <c r="AE68" i="48"/>
  <c r="AM68" i="48"/>
  <c r="AJ68" i="48"/>
  <c r="AM67" i="48"/>
  <c r="AJ67" i="48"/>
  <c r="AL67" i="48"/>
  <c r="AE67" i="48"/>
  <c r="AJ43" i="48"/>
  <c r="AM43" i="48"/>
  <c r="AE43" i="48"/>
  <c r="AL43" i="48"/>
  <c r="AE44" i="48"/>
  <c r="AJ38" i="48"/>
  <c r="AE38" i="48"/>
  <c r="AM38" i="48"/>
  <c r="AL38" i="48"/>
  <c r="AE39" i="48"/>
  <c r="AM41" i="48"/>
  <c r="AL41" i="48"/>
  <c r="AE41" i="48"/>
  <c r="AJ41" i="48"/>
  <c r="AE42" i="48"/>
  <c r="AE35" i="48"/>
  <c r="AM35" i="48"/>
  <c r="AL35" i="48"/>
  <c r="AE36" i="48"/>
  <c r="AJ40" i="48"/>
  <c r="AE40" i="48"/>
  <c r="AM40" i="48"/>
  <c r="AL40" i="48"/>
  <c r="AE25" i="48"/>
  <c r="AJ25" i="48"/>
  <c r="AL25" i="48"/>
  <c r="AN25" i="48"/>
  <c r="AM25" i="48"/>
  <c r="K60" i="48"/>
  <c r="I17" i="28"/>
  <c r="K59" i="48"/>
  <c r="AJ276" i="48" l="1"/>
  <c r="AO160" i="48"/>
  <c r="AO685" i="48"/>
  <c r="AO235" i="48"/>
  <c r="K74" i="48"/>
  <c r="K68" i="48"/>
  <c r="K66" i="48"/>
  <c r="K75" i="48"/>
  <c r="K71" i="48"/>
  <c r="K72" i="48"/>
  <c r="K73" i="48"/>
  <c r="K63" i="48"/>
  <c r="K64" i="48"/>
  <c r="K65" i="48"/>
  <c r="K67" i="48"/>
  <c r="K69" i="48"/>
  <c r="K61" i="48"/>
  <c r="K70" i="48"/>
  <c r="K62" i="48"/>
  <c r="L60" i="48"/>
  <c r="K16" i="48"/>
  <c r="DG16" i="48"/>
  <c r="AU16" i="48" s="1"/>
  <c r="K366" i="48"/>
  <c r="K341" i="48"/>
  <c r="K241" i="48"/>
  <c r="K316" i="48"/>
  <c r="K566" i="48"/>
  <c r="K441" i="48"/>
  <c r="K591" i="48"/>
  <c r="K891" i="48"/>
  <c r="K1291" i="48"/>
  <c r="K766" i="48"/>
  <c r="K1216" i="48"/>
  <c r="K1266" i="48"/>
  <c r="K1341" i="48"/>
  <c r="K99" i="48"/>
  <c r="K174" i="48"/>
  <c r="K249" i="48"/>
  <c r="K124" i="48"/>
  <c r="K499" i="48"/>
  <c r="K449" i="48"/>
  <c r="K599" i="48"/>
  <c r="K899" i="48"/>
  <c r="K974" i="48"/>
  <c r="K1299" i="48"/>
  <c r="K1124" i="48"/>
  <c r="K1099" i="48"/>
  <c r="K1149" i="48"/>
  <c r="K243" i="48"/>
  <c r="K393" i="48"/>
  <c r="K368" i="48"/>
  <c r="K418" i="48"/>
  <c r="K718" i="48"/>
  <c r="K568" i="48"/>
  <c r="K793" i="48"/>
  <c r="K843" i="48"/>
  <c r="K818" i="48"/>
  <c r="K868" i="48"/>
  <c r="K1168" i="48"/>
  <c r="K1318" i="48"/>
  <c r="K1293" i="48"/>
  <c r="K109" i="48"/>
  <c r="K484" i="48"/>
  <c r="K434" i="48"/>
  <c r="K509" i="48"/>
  <c r="K559" i="48"/>
  <c r="K659" i="48"/>
  <c r="K734" i="48"/>
  <c r="K834" i="48"/>
  <c r="K984" i="48"/>
  <c r="K1034" i="48"/>
  <c r="K1059" i="48"/>
  <c r="K1009" i="48"/>
  <c r="K1084" i="48"/>
  <c r="K17" i="48"/>
  <c r="DG17" i="48"/>
  <c r="AU17" i="48" s="1"/>
  <c r="K217" i="48"/>
  <c r="K517" i="48"/>
  <c r="K167" i="48"/>
  <c r="K592" i="48"/>
  <c r="K467" i="48"/>
  <c r="K717" i="48"/>
  <c r="K1317" i="48"/>
  <c r="K992" i="48"/>
  <c r="K792" i="48"/>
  <c r="K1242" i="48"/>
  <c r="K1192" i="48"/>
  <c r="K1267" i="48"/>
  <c r="K225" i="48"/>
  <c r="K200" i="48"/>
  <c r="K175" i="48"/>
  <c r="K425" i="48"/>
  <c r="K575" i="48"/>
  <c r="K650" i="48"/>
  <c r="K850" i="48"/>
  <c r="K825" i="48"/>
  <c r="K875" i="48"/>
  <c r="K1075" i="48"/>
  <c r="K1125" i="48"/>
  <c r="K1175" i="48"/>
  <c r="K135" i="48"/>
  <c r="K210" i="48"/>
  <c r="K185" i="48"/>
  <c r="K260" i="48"/>
  <c r="K610" i="48"/>
  <c r="K485" i="48"/>
  <c r="K735" i="48"/>
  <c r="K1235" i="48"/>
  <c r="K1060" i="48"/>
  <c r="K1335" i="48"/>
  <c r="K1085" i="48"/>
  <c r="K1210" i="48"/>
  <c r="K1285" i="48"/>
  <c r="K161" i="48"/>
  <c r="K136" i="48"/>
  <c r="K311" i="48"/>
  <c r="K186" i="48"/>
  <c r="K461" i="48"/>
  <c r="K1261" i="48"/>
  <c r="K586" i="48"/>
  <c r="K861" i="48"/>
  <c r="K936" i="48"/>
  <c r="K1161" i="48"/>
  <c r="K1011" i="48"/>
  <c r="K1061" i="48"/>
  <c r="K1036" i="48"/>
  <c r="K269" i="48"/>
  <c r="K444" i="48"/>
  <c r="K519" i="48"/>
  <c r="K294" i="48"/>
  <c r="K644" i="48"/>
  <c r="K594" i="48"/>
  <c r="K869" i="48"/>
  <c r="K944" i="48"/>
  <c r="K919" i="48"/>
  <c r="K994" i="48"/>
  <c r="K1194" i="48"/>
  <c r="K1244" i="48"/>
  <c r="K1319" i="48"/>
  <c r="K173" i="48"/>
  <c r="K148" i="48"/>
  <c r="K223" i="48"/>
  <c r="K98" i="48"/>
  <c r="K473" i="48"/>
  <c r="K723" i="48"/>
  <c r="K573" i="48"/>
  <c r="K1098" i="48"/>
  <c r="K773" i="48"/>
  <c r="K823" i="48"/>
  <c r="K1023" i="48"/>
  <c r="K1073" i="48"/>
  <c r="K1048" i="48"/>
  <c r="K12" i="48"/>
  <c r="DG12" i="48"/>
  <c r="AU12" i="48" s="1"/>
  <c r="K362" i="48"/>
  <c r="K462" i="48"/>
  <c r="K412" i="48"/>
  <c r="K312" i="48"/>
  <c r="K662" i="48"/>
  <c r="K612" i="48"/>
  <c r="K687" i="48"/>
  <c r="K987" i="48"/>
  <c r="K1012" i="48"/>
  <c r="K762" i="48"/>
  <c r="K1212" i="48"/>
  <c r="K1262" i="48"/>
  <c r="K1337" i="48"/>
  <c r="K20" i="48"/>
  <c r="DG20" i="48"/>
  <c r="AU20" i="48" s="1"/>
  <c r="K370" i="48"/>
  <c r="K145" i="48"/>
  <c r="K220" i="48"/>
  <c r="K495" i="48"/>
  <c r="K1295" i="48"/>
  <c r="K720" i="48"/>
  <c r="K820" i="48"/>
  <c r="K870" i="48"/>
  <c r="K1195" i="48"/>
  <c r="K1020" i="48"/>
  <c r="K1095" i="48"/>
  <c r="K1145" i="48"/>
  <c r="K438" i="48"/>
  <c r="K213" i="48"/>
  <c r="K288" i="48"/>
  <c r="K163" i="48"/>
  <c r="K138" i="48"/>
  <c r="K588" i="48"/>
  <c r="K538" i="48"/>
  <c r="K763" i="48"/>
  <c r="K738" i="48"/>
  <c r="K1038" i="48"/>
  <c r="K788" i="48"/>
  <c r="K1238" i="48"/>
  <c r="K1188" i="48"/>
  <c r="K1263" i="48"/>
  <c r="K121" i="48"/>
  <c r="K96" i="48"/>
  <c r="K496" i="48"/>
  <c r="K446" i="48"/>
  <c r="K421" i="48"/>
  <c r="K671" i="48"/>
  <c r="K621" i="48"/>
  <c r="K921" i="48"/>
  <c r="K996" i="48"/>
  <c r="K1046" i="48"/>
  <c r="K1071" i="48"/>
  <c r="K1021" i="48"/>
  <c r="K1096" i="48"/>
  <c r="K139" i="48"/>
  <c r="K214" i="48"/>
  <c r="K289" i="48"/>
  <c r="K264" i="48"/>
  <c r="K614" i="48"/>
  <c r="K489" i="48"/>
  <c r="K789" i="48"/>
  <c r="K764" i="48"/>
  <c r="K739" i="48"/>
  <c r="K864" i="48"/>
  <c r="K1089" i="48"/>
  <c r="K1214" i="48"/>
  <c r="K1289" i="48"/>
  <c r="K22" i="48"/>
  <c r="DG22" i="48"/>
  <c r="AU22" i="48" s="1"/>
  <c r="K122" i="48"/>
  <c r="K297" i="48"/>
  <c r="K272" i="48"/>
  <c r="K622" i="48"/>
  <c r="K397" i="48"/>
  <c r="K547" i="48"/>
  <c r="K1247" i="48"/>
  <c r="K1072" i="48"/>
  <c r="K897" i="48"/>
  <c r="K972" i="48"/>
  <c r="K1047" i="48"/>
  <c r="K1122" i="48"/>
  <c r="K115" i="48"/>
  <c r="K340" i="48"/>
  <c r="K215" i="48"/>
  <c r="K15" i="48"/>
  <c r="DG15" i="48"/>
  <c r="AU15" i="48" s="1"/>
  <c r="K365" i="48"/>
  <c r="K640" i="48"/>
  <c r="K590" i="48"/>
  <c r="K865" i="48"/>
  <c r="K940" i="48"/>
  <c r="K1265" i="48"/>
  <c r="K990" i="48"/>
  <c r="K1190" i="48"/>
  <c r="K1240" i="48"/>
  <c r="K1315" i="48"/>
  <c r="K91" i="48"/>
  <c r="K466" i="48"/>
  <c r="K541" i="48"/>
  <c r="K391" i="48"/>
  <c r="K666" i="48"/>
  <c r="K516" i="48"/>
  <c r="K691" i="48"/>
  <c r="K991" i="48"/>
  <c r="K791" i="48"/>
  <c r="K841" i="48"/>
  <c r="K1316" i="48"/>
  <c r="K1066" i="48"/>
  <c r="K199" i="48"/>
  <c r="K274" i="48"/>
  <c r="K474" i="48"/>
  <c r="K224" i="48"/>
  <c r="K574" i="48"/>
  <c r="K524" i="48"/>
  <c r="K699" i="48"/>
  <c r="K999" i="48"/>
  <c r="K1024" i="48"/>
  <c r="K774" i="48"/>
  <c r="K1049" i="48"/>
  <c r="K1174" i="48"/>
  <c r="K1249" i="48"/>
  <c r="K93" i="48"/>
  <c r="K118" i="48"/>
  <c r="K468" i="48"/>
  <c r="K168" i="48"/>
  <c r="K443" i="48"/>
  <c r="K593" i="48"/>
  <c r="K668" i="48"/>
  <c r="K943" i="48"/>
  <c r="K918" i="48"/>
  <c r="K893" i="48"/>
  <c r="K968" i="48"/>
  <c r="K1268" i="48"/>
  <c r="K1018" i="48"/>
  <c r="K209" i="48"/>
  <c r="K184" i="48"/>
  <c r="K159" i="48"/>
  <c r="K409" i="48"/>
  <c r="K459" i="48"/>
  <c r="K609" i="48"/>
  <c r="K909" i="48"/>
  <c r="K1209" i="48"/>
  <c r="K784" i="48"/>
  <c r="K1134" i="48"/>
  <c r="K1109" i="48"/>
  <c r="K1159" i="48"/>
  <c r="K442" i="48"/>
  <c r="K317" i="48"/>
  <c r="K192" i="48"/>
  <c r="K267" i="48"/>
  <c r="K142" i="48"/>
  <c r="K692" i="48"/>
  <c r="K542" i="48"/>
  <c r="K767" i="48"/>
  <c r="K742" i="48"/>
  <c r="K867" i="48"/>
  <c r="K942" i="48"/>
  <c r="K1342" i="48"/>
  <c r="K1292" i="48"/>
  <c r="K25" i="48"/>
  <c r="DG25" i="48"/>
  <c r="AU25" i="48" s="1"/>
  <c r="K325" i="48"/>
  <c r="K300" i="48"/>
  <c r="K275" i="48"/>
  <c r="K150" i="48"/>
  <c r="K600" i="48"/>
  <c r="K675" i="48"/>
  <c r="K625" i="48"/>
  <c r="K925" i="48"/>
  <c r="K900" i="48"/>
  <c r="K975" i="48"/>
  <c r="K1150" i="48"/>
  <c r="K1200" i="48"/>
  <c r="K1275" i="48"/>
  <c r="K85" i="48"/>
  <c r="K235" i="48"/>
  <c r="K310" i="48"/>
  <c r="K285" i="48"/>
  <c r="K335" i="48"/>
  <c r="K710" i="48"/>
  <c r="K560" i="48"/>
  <c r="K785" i="48"/>
  <c r="K760" i="48"/>
  <c r="K810" i="48"/>
  <c r="K860" i="48"/>
  <c r="K1160" i="48"/>
  <c r="K1310" i="48"/>
  <c r="K261" i="48"/>
  <c r="K236" i="48"/>
  <c r="K386" i="48"/>
  <c r="K286" i="48"/>
  <c r="K536" i="48"/>
  <c r="K611" i="48"/>
  <c r="K686" i="48"/>
  <c r="K961" i="48"/>
  <c r="K761" i="48"/>
  <c r="K811" i="48"/>
  <c r="K1111" i="48"/>
  <c r="K1136" i="48"/>
  <c r="K1211" i="48"/>
  <c r="K344" i="48"/>
  <c r="K219" i="48"/>
  <c r="K19" i="48"/>
  <c r="DG19" i="48"/>
  <c r="AU19" i="48" s="1"/>
  <c r="K369" i="48"/>
  <c r="K619" i="48"/>
  <c r="K694" i="48"/>
  <c r="K969" i="48"/>
  <c r="K1094" i="48"/>
  <c r="K744" i="48"/>
  <c r="K1169" i="48"/>
  <c r="K1294" i="48"/>
  <c r="K1344" i="48"/>
  <c r="K273" i="48"/>
  <c r="K248" i="48"/>
  <c r="K323" i="48"/>
  <c r="K198" i="48"/>
  <c r="K548" i="48"/>
  <c r="K423" i="48"/>
  <c r="K673" i="48"/>
  <c r="K798" i="48"/>
  <c r="K848" i="48"/>
  <c r="K898" i="48"/>
  <c r="K1123" i="48"/>
  <c r="K1148" i="48"/>
  <c r="K1223" i="48"/>
  <c r="K87" i="48"/>
  <c r="K162" i="48"/>
  <c r="K137" i="48"/>
  <c r="K387" i="48"/>
  <c r="K637" i="48"/>
  <c r="K712" i="48"/>
  <c r="K737" i="48"/>
  <c r="K862" i="48"/>
  <c r="K787" i="48"/>
  <c r="K837" i="48"/>
  <c r="K1312" i="48"/>
  <c r="K1062" i="48"/>
  <c r="K420" i="48"/>
  <c r="K95" i="48"/>
  <c r="K170" i="48"/>
  <c r="K245" i="48"/>
  <c r="K320" i="48"/>
  <c r="K570" i="48"/>
  <c r="K445" i="48"/>
  <c r="K595" i="48"/>
  <c r="K895" i="48"/>
  <c r="K970" i="48"/>
  <c r="K770" i="48"/>
  <c r="K1045" i="48"/>
  <c r="K1170" i="48"/>
  <c r="K1245" i="48"/>
  <c r="K88" i="48"/>
  <c r="K313" i="48"/>
  <c r="K363" i="48"/>
  <c r="K263" i="48"/>
  <c r="K238" i="48"/>
  <c r="K688" i="48"/>
  <c r="K638" i="48"/>
  <c r="K838" i="48"/>
  <c r="K813" i="48"/>
  <c r="K1313" i="48"/>
  <c r="K938" i="48"/>
  <c r="K1338" i="48"/>
  <c r="K1288" i="48"/>
  <c r="K21" i="48"/>
  <c r="DG21" i="48"/>
  <c r="AU21" i="48" s="1"/>
  <c r="K221" i="48"/>
  <c r="K196" i="48"/>
  <c r="K171" i="48"/>
  <c r="K596" i="48"/>
  <c r="K471" i="48"/>
  <c r="K721" i="48"/>
  <c r="K746" i="48"/>
  <c r="K1221" i="48"/>
  <c r="K1321" i="48"/>
  <c r="K1146" i="48"/>
  <c r="K1121" i="48"/>
  <c r="K1171" i="48"/>
  <c r="K89" i="48"/>
  <c r="K239" i="48"/>
  <c r="K314" i="48"/>
  <c r="K364" i="48"/>
  <c r="K339" i="48"/>
  <c r="K714" i="48"/>
  <c r="K564" i="48"/>
  <c r="K939" i="48"/>
  <c r="K839" i="48"/>
  <c r="K814" i="48"/>
  <c r="K964" i="48"/>
  <c r="K1164" i="48"/>
  <c r="K1314" i="48"/>
  <c r="K97" i="48"/>
  <c r="K222" i="48"/>
  <c r="K372" i="48"/>
  <c r="K347" i="48"/>
  <c r="K722" i="48"/>
  <c r="K497" i="48"/>
  <c r="K647" i="48"/>
  <c r="K772" i="48"/>
  <c r="K1347" i="48"/>
  <c r="K997" i="48"/>
  <c r="K1097" i="48"/>
  <c r="K1222" i="48"/>
  <c r="K1197" i="48"/>
  <c r="K490" i="48"/>
  <c r="K315" i="48"/>
  <c r="K90" i="48"/>
  <c r="K515" i="48"/>
  <c r="K615" i="48"/>
  <c r="K690" i="48"/>
  <c r="K965" i="48"/>
  <c r="K765" i="48"/>
  <c r="K740" i="48"/>
  <c r="K1090" i="48"/>
  <c r="K1290" i="48"/>
  <c r="K1340" i="48"/>
  <c r="K1350" i="48"/>
  <c r="K191" i="48"/>
  <c r="K166" i="48"/>
  <c r="K416" i="48"/>
  <c r="K116" i="48"/>
  <c r="K1191" i="48"/>
  <c r="K1016" i="48"/>
  <c r="K616" i="48"/>
  <c r="K741" i="48"/>
  <c r="K866" i="48"/>
  <c r="K941" i="48"/>
  <c r="K916" i="48"/>
  <c r="K1091" i="48"/>
  <c r="K1141" i="48"/>
  <c r="K424" i="48"/>
  <c r="K299" i="48"/>
  <c r="K349" i="48"/>
  <c r="K549" i="48"/>
  <c r="K324" i="48"/>
  <c r="K674" i="48"/>
  <c r="K624" i="48"/>
  <c r="K749" i="48"/>
  <c r="K1199" i="48"/>
  <c r="K799" i="48"/>
  <c r="K849" i="48"/>
  <c r="K1224" i="48"/>
  <c r="K1274" i="48"/>
  <c r="K1349" i="48"/>
  <c r="K218" i="48"/>
  <c r="K193" i="48"/>
  <c r="K268" i="48"/>
  <c r="K518" i="48"/>
  <c r="K693" i="48"/>
  <c r="K543" i="48"/>
  <c r="K1143" i="48"/>
  <c r="K1243" i="48"/>
  <c r="K993" i="48"/>
  <c r="K1343" i="48"/>
  <c r="K1043" i="48"/>
  <c r="K1118" i="48"/>
  <c r="K84" i="48"/>
  <c r="K309" i="48"/>
  <c r="K284" i="48"/>
  <c r="K259" i="48"/>
  <c r="K134" i="48"/>
  <c r="K584" i="48"/>
  <c r="K534" i="48"/>
  <c r="K709" i="48"/>
  <c r="K809" i="48"/>
  <c r="K859" i="48"/>
  <c r="K934" i="48"/>
  <c r="K1234" i="48"/>
  <c r="K1184" i="48"/>
  <c r="K1259" i="48"/>
  <c r="K392" i="48"/>
  <c r="K292" i="48"/>
  <c r="K342" i="48"/>
  <c r="K242" i="48"/>
  <c r="K667" i="48"/>
  <c r="K642" i="48"/>
  <c r="K842" i="48"/>
  <c r="K817" i="48"/>
  <c r="K967" i="48"/>
  <c r="K1067" i="48"/>
  <c r="K1017" i="48"/>
  <c r="K1092" i="48"/>
  <c r="K500" i="48"/>
  <c r="K375" i="48"/>
  <c r="K350" i="48"/>
  <c r="K250" i="48"/>
  <c r="K700" i="48"/>
  <c r="K475" i="48"/>
  <c r="K725" i="48"/>
  <c r="K1050" i="48"/>
  <c r="K1000" i="48"/>
  <c r="K800" i="48"/>
  <c r="K1250" i="48"/>
  <c r="K1300" i="48"/>
  <c r="K460" i="48"/>
  <c r="K535" i="48"/>
  <c r="K385" i="48"/>
  <c r="K360" i="48"/>
  <c r="K435" i="48"/>
  <c r="K585" i="48"/>
  <c r="K660" i="48"/>
  <c r="K935" i="48"/>
  <c r="K835" i="48"/>
  <c r="K885" i="48"/>
  <c r="K960" i="48"/>
  <c r="K1260" i="48"/>
  <c r="K1110" i="48"/>
  <c r="K336" i="48"/>
  <c r="K486" i="48"/>
  <c r="K11" i="48"/>
  <c r="DG11" i="48"/>
  <c r="AU11" i="48" s="1"/>
  <c r="K361" i="48"/>
  <c r="K636" i="48"/>
  <c r="K711" i="48"/>
  <c r="K561" i="48"/>
  <c r="K1086" i="48"/>
  <c r="K836" i="48"/>
  <c r="K886" i="48"/>
  <c r="K1186" i="48"/>
  <c r="K1236" i="48"/>
  <c r="K1311" i="48"/>
  <c r="K494" i="48"/>
  <c r="K144" i="48"/>
  <c r="K319" i="48"/>
  <c r="K94" i="48"/>
  <c r="K469" i="48"/>
  <c r="K719" i="48"/>
  <c r="K569" i="48"/>
  <c r="K1269" i="48"/>
  <c r="K769" i="48"/>
  <c r="K819" i="48"/>
  <c r="K1019" i="48"/>
  <c r="K1069" i="48"/>
  <c r="K1044" i="48"/>
  <c r="K348" i="48"/>
  <c r="K523" i="48"/>
  <c r="K498" i="48"/>
  <c r="K298" i="48"/>
  <c r="K648" i="48"/>
  <c r="K598" i="48"/>
  <c r="K873" i="48"/>
  <c r="K948" i="48"/>
  <c r="K923" i="48"/>
  <c r="K998" i="48"/>
  <c r="K1198" i="48"/>
  <c r="K1248" i="48"/>
  <c r="K1323" i="48"/>
  <c r="K187" i="48"/>
  <c r="K262" i="48"/>
  <c r="K237" i="48"/>
  <c r="K112" i="48"/>
  <c r="K487" i="48"/>
  <c r="K437" i="48"/>
  <c r="K1112" i="48"/>
  <c r="K812" i="48"/>
  <c r="K962" i="48"/>
  <c r="K937" i="48"/>
  <c r="K912" i="48"/>
  <c r="K1087" i="48"/>
  <c r="K1137" i="48"/>
  <c r="K195" i="48"/>
  <c r="K270" i="48"/>
  <c r="K395" i="48"/>
  <c r="K670" i="48"/>
  <c r="K520" i="48"/>
  <c r="K695" i="48"/>
  <c r="K995" i="48"/>
  <c r="K795" i="48"/>
  <c r="K845" i="48"/>
  <c r="K1220" i="48"/>
  <c r="K1270" i="48"/>
  <c r="K1345" i="48"/>
  <c r="K388" i="48"/>
  <c r="K513" i="48"/>
  <c r="K338" i="48"/>
  <c r="K488" i="48"/>
  <c r="K663" i="48"/>
  <c r="K613" i="48"/>
  <c r="K913" i="48"/>
  <c r="K888" i="48"/>
  <c r="K863" i="48"/>
  <c r="K1063" i="48"/>
  <c r="K1013" i="48"/>
  <c r="K1088" i="48"/>
  <c r="K521" i="48"/>
  <c r="K321" i="48"/>
  <c r="K296" i="48"/>
  <c r="K271" i="48"/>
  <c r="K146" i="48"/>
  <c r="K696" i="48"/>
  <c r="K546" i="48"/>
  <c r="K771" i="48"/>
  <c r="K821" i="48"/>
  <c r="K871" i="48"/>
  <c r="K796" i="48"/>
  <c r="K1246" i="48"/>
  <c r="K1196" i="48"/>
  <c r="K1271" i="48"/>
  <c r="K539" i="48"/>
  <c r="K414" i="48"/>
  <c r="K389" i="48"/>
  <c r="K464" i="48"/>
  <c r="K439" i="48"/>
  <c r="K589" i="48"/>
  <c r="K664" i="48"/>
  <c r="K1064" i="48"/>
  <c r="K914" i="48"/>
  <c r="K889" i="48"/>
  <c r="K1014" i="48"/>
  <c r="K1264" i="48"/>
  <c r="K1114" i="48"/>
  <c r="K147" i="48"/>
  <c r="K322" i="48"/>
  <c r="K422" i="48"/>
  <c r="K447" i="48"/>
  <c r="K597" i="48"/>
  <c r="K572" i="48"/>
  <c r="K797" i="48"/>
  <c r="K847" i="48"/>
  <c r="K747" i="48"/>
  <c r="K1147" i="48"/>
  <c r="K1172" i="48"/>
  <c r="K1322" i="48"/>
  <c r="K1297" i="48"/>
  <c r="K165" i="48"/>
  <c r="K140" i="48"/>
  <c r="K390" i="48"/>
  <c r="K190" i="48"/>
  <c r="K465" i="48"/>
  <c r="K715" i="48"/>
  <c r="K565" i="48"/>
  <c r="K1165" i="48"/>
  <c r="K840" i="48"/>
  <c r="K815" i="48"/>
  <c r="K1015" i="48"/>
  <c r="K1065" i="48"/>
  <c r="K1040" i="48"/>
  <c r="K291" i="48"/>
  <c r="K266" i="48"/>
  <c r="K141" i="48"/>
  <c r="K216" i="48"/>
  <c r="K491" i="48"/>
  <c r="K641" i="48"/>
  <c r="K716" i="48"/>
  <c r="K816" i="48"/>
  <c r="K966" i="48"/>
  <c r="K1116" i="48"/>
  <c r="K1041" i="48"/>
  <c r="K1166" i="48"/>
  <c r="K1241" i="48"/>
  <c r="K24" i="48"/>
  <c r="DG24" i="48"/>
  <c r="AU24" i="48" s="1"/>
  <c r="K374" i="48"/>
  <c r="K149" i="48"/>
  <c r="K399" i="48"/>
  <c r="K649" i="48"/>
  <c r="K724" i="48"/>
  <c r="K824" i="48"/>
  <c r="K874" i="48"/>
  <c r="K949" i="48"/>
  <c r="K924" i="48"/>
  <c r="K1324" i="48"/>
  <c r="K1074" i="48"/>
  <c r="K18" i="48"/>
  <c r="DG18" i="48"/>
  <c r="AU18" i="48" s="1"/>
  <c r="K143" i="48"/>
  <c r="K318" i="48"/>
  <c r="K293" i="48"/>
  <c r="K343" i="48"/>
  <c r="K618" i="48"/>
  <c r="K493" i="48"/>
  <c r="K643" i="48"/>
  <c r="K768" i="48"/>
  <c r="K743" i="48"/>
  <c r="K1068" i="48"/>
  <c r="K1093" i="48"/>
  <c r="K1218" i="48"/>
  <c r="K1193" i="48"/>
  <c r="K384" i="48"/>
  <c r="K359" i="48"/>
  <c r="K334" i="48"/>
  <c r="K234" i="48"/>
  <c r="K684" i="48"/>
  <c r="K634" i="48"/>
  <c r="K759" i="48"/>
  <c r="K884" i="48"/>
  <c r="K959" i="48"/>
  <c r="K1309" i="48"/>
  <c r="K1334" i="48"/>
  <c r="K1284" i="48"/>
  <c r="K92" i="48"/>
  <c r="K117" i="48"/>
  <c r="K567" i="48"/>
  <c r="K367" i="48"/>
  <c r="K492" i="48"/>
  <c r="K417" i="48"/>
  <c r="K1042" i="48"/>
  <c r="K617" i="48"/>
  <c r="K917" i="48"/>
  <c r="K892" i="48"/>
  <c r="K1217" i="48"/>
  <c r="K1142" i="48"/>
  <c r="K1117" i="48"/>
  <c r="K1167" i="48"/>
  <c r="K125" i="48"/>
  <c r="K100" i="48"/>
  <c r="K450" i="48"/>
  <c r="K525" i="48"/>
  <c r="K400" i="48"/>
  <c r="K1225" i="48"/>
  <c r="K550" i="48"/>
  <c r="K775" i="48"/>
  <c r="K750" i="48"/>
  <c r="K1325" i="48"/>
  <c r="K950" i="48"/>
  <c r="K1025" i="48"/>
  <c r="K1100" i="48"/>
  <c r="K10" i="48"/>
  <c r="K110" i="48"/>
  <c r="K410" i="48"/>
  <c r="K160" i="48"/>
  <c r="K510" i="48"/>
  <c r="K685" i="48"/>
  <c r="K635" i="48"/>
  <c r="K1010" i="48"/>
  <c r="K910" i="48"/>
  <c r="K985" i="48"/>
  <c r="K1135" i="48"/>
  <c r="K1035" i="48"/>
  <c r="K1185" i="48"/>
  <c r="K111" i="48"/>
  <c r="K511" i="48"/>
  <c r="K211" i="48"/>
  <c r="K86" i="48"/>
  <c r="K436" i="48"/>
  <c r="K736" i="48"/>
  <c r="K411" i="48"/>
  <c r="K661" i="48"/>
  <c r="K786" i="48"/>
  <c r="K911" i="48"/>
  <c r="K986" i="48"/>
  <c r="K1286" i="48"/>
  <c r="K1336" i="48"/>
  <c r="K119" i="48"/>
  <c r="K169" i="48"/>
  <c r="K244" i="48"/>
  <c r="K394" i="48"/>
  <c r="K194" i="48"/>
  <c r="K544" i="48"/>
  <c r="K419" i="48"/>
  <c r="K669" i="48"/>
  <c r="K794" i="48"/>
  <c r="K844" i="48"/>
  <c r="K894" i="48"/>
  <c r="K1119" i="48"/>
  <c r="K1144" i="48"/>
  <c r="K1219" i="48"/>
  <c r="K123" i="48"/>
  <c r="K448" i="48"/>
  <c r="K398" i="48"/>
  <c r="K23" i="48"/>
  <c r="DG23" i="48"/>
  <c r="AU23" i="48" s="1"/>
  <c r="K373" i="48"/>
  <c r="K623" i="48"/>
  <c r="K698" i="48"/>
  <c r="K973" i="48"/>
  <c r="K1173" i="48"/>
  <c r="K748" i="48"/>
  <c r="K1273" i="48"/>
  <c r="K1298" i="48"/>
  <c r="K1348" i="48"/>
  <c r="K287" i="48"/>
  <c r="K337" i="48"/>
  <c r="K537" i="48"/>
  <c r="K212" i="48"/>
  <c r="K562" i="48"/>
  <c r="K512" i="48"/>
  <c r="K587" i="48"/>
  <c r="K887" i="48"/>
  <c r="K1187" i="48"/>
  <c r="K1287" i="48"/>
  <c r="K1037" i="48"/>
  <c r="K1162" i="48"/>
  <c r="K1237" i="48"/>
  <c r="K545" i="48"/>
  <c r="K295" i="48"/>
  <c r="K345" i="48"/>
  <c r="K120" i="48"/>
  <c r="K470" i="48"/>
  <c r="K645" i="48"/>
  <c r="K620" i="48"/>
  <c r="K745" i="48"/>
  <c r="K1120" i="48"/>
  <c r="K945" i="48"/>
  <c r="K920" i="48"/>
  <c r="K1320" i="48"/>
  <c r="K1070" i="48"/>
  <c r="K13" i="48"/>
  <c r="DG13" i="48"/>
  <c r="AU13" i="48" s="1"/>
  <c r="K113" i="48"/>
  <c r="K188" i="48"/>
  <c r="K563" i="48"/>
  <c r="K413" i="48"/>
  <c r="K463" i="48"/>
  <c r="K713" i="48"/>
  <c r="K1213" i="48"/>
  <c r="K988" i="48"/>
  <c r="K963" i="48"/>
  <c r="K1138" i="48"/>
  <c r="K1113" i="48"/>
  <c r="K1163" i="48"/>
  <c r="K396" i="48"/>
  <c r="K371" i="48"/>
  <c r="K346" i="48"/>
  <c r="K246" i="48"/>
  <c r="K571" i="48"/>
  <c r="K646" i="48"/>
  <c r="K846" i="48"/>
  <c r="K896" i="48"/>
  <c r="K971" i="48"/>
  <c r="K946" i="48"/>
  <c r="K1346" i="48"/>
  <c r="K1296" i="48"/>
  <c r="K14" i="48"/>
  <c r="DG14" i="48"/>
  <c r="AU14" i="48" s="1"/>
  <c r="K114" i="48"/>
  <c r="K189" i="48"/>
  <c r="K164" i="48"/>
  <c r="K514" i="48"/>
  <c r="K689" i="48"/>
  <c r="K639" i="48"/>
  <c r="K1339" i="48"/>
  <c r="K1139" i="48"/>
  <c r="K989" i="48"/>
  <c r="K1239" i="48"/>
  <c r="K1039" i="48"/>
  <c r="K1189" i="48"/>
  <c r="K472" i="48"/>
  <c r="K247" i="48"/>
  <c r="K197" i="48"/>
  <c r="K172" i="48"/>
  <c r="K522" i="48"/>
  <c r="K697" i="48"/>
  <c r="K672" i="48"/>
  <c r="K947" i="48"/>
  <c r="K922" i="48"/>
  <c r="K822" i="48"/>
  <c r="K872" i="48"/>
  <c r="K1272" i="48"/>
  <c r="K1022" i="48"/>
  <c r="K265" i="48"/>
  <c r="K240" i="48"/>
  <c r="K440" i="48"/>
  <c r="K290" i="48"/>
  <c r="K540" i="48"/>
  <c r="K415" i="48"/>
  <c r="K665" i="48"/>
  <c r="K790" i="48"/>
  <c r="K915" i="48"/>
  <c r="K890" i="48"/>
  <c r="K1115" i="48"/>
  <c r="K1140" i="48"/>
  <c r="K1215" i="48"/>
  <c r="D4" i="21"/>
  <c r="D5" i="21" s="1"/>
  <c r="L1345" i="48" l="1"/>
  <c r="L1094" i="48"/>
  <c r="L1064" i="48"/>
  <c r="L1021" i="48"/>
  <c r="L914" i="48"/>
  <c r="L889" i="48"/>
  <c r="L838" i="48"/>
  <c r="L664" i="48"/>
  <c r="L638" i="48"/>
  <c r="AO60" i="48"/>
  <c r="L1096" i="48"/>
  <c r="AO1096" i="48" s="1"/>
  <c r="L344" i="48"/>
  <c r="AO344" i="48" s="1"/>
  <c r="L865" i="48"/>
  <c r="AO865" i="48" s="1"/>
  <c r="L171" i="48"/>
  <c r="L763" i="48"/>
  <c r="AO763" i="48" s="1"/>
  <c r="AO889" i="48"/>
  <c r="AO1064" i="48"/>
  <c r="AO1021" i="48"/>
  <c r="AO638" i="48"/>
  <c r="AO1094" i="48"/>
  <c r="AO1345" i="48"/>
  <c r="AO838" i="48"/>
  <c r="AO914" i="48"/>
  <c r="L1263" i="48"/>
  <c r="AT11" i="48"/>
  <c r="AT12" i="48" s="1"/>
  <c r="AT13" i="48" s="1"/>
  <c r="AT14" i="48" s="1"/>
  <c r="AT15" i="48" s="1"/>
  <c r="AT16" i="48" s="1"/>
  <c r="AT17" i="48" s="1"/>
  <c r="AT18" i="48" s="1"/>
  <c r="AT19" i="48" s="1"/>
  <c r="AT20" i="48" s="1"/>
  <c r="AT21" i="48" s="1"/>
  <c r="AT22" i="48" s="1"/>
  <c r="AT23" i="48" s="1"/>
  <c r="AT24" i="48" s="1"/>
  <c r="AT25" i="48" s="1"/>
  <c r="L973" i="48"/>
  <c r="L118" i="48"/>
  <c r="L1061" i="48"/>
  <c r="L1236" i="48"/>
  <c r="M1236" i="48" s="1"/>
  <c r="L21" i="48"/>
  <c r="L1046" i="48"/>
  <c r="L216" i="48"/>
  <c r="L248" i="48"/>
  <c r="L1316" i="48"/>
  <c r="L645" i="48"/>
  <c r="L871" i="48"/>
  <c r="L818" i="48"/>
  <c r="L243" i="48"/>
  <c r="L450" i="48"/>
  <c r="L970" i="48"/>
  <c r="L1225" i="48"/>
  <c r="L620" i="48"/>
  <c r="L345" i="48"/>
  <c r="L67" i="48"/>
  <c r="L221" i="48"/>
  <c r="L363" i="48"/>
  <c r="L73" i="48"/>
  <c r="L986" i="48"/>
  <c r="L1019" i="48"/>
  <c r="L194" i="48"/>
  <c r="L69" i="48"/>
  <c r="L17" i="48"/>
  <c r="L1235" i="48"/>
  <c r="AO1235" i="48" s="1"/>
  <c r="L260" i="48"/>
  <c r="AO260" i="48" s="1"/>
  <c r="L623" i="48"/>
  <c r="L1285" i="48"/>
  <c r="AO1285" i="48" s="1"/>
  <c r="L469" i="48"/>
  <c r="L250" i="48"/>
  <c r="L600" i="48"/>
  <c r="L75" i="48"/>
  <c r="L63" i="48"/>
  <c r="L68" i="48"/>
  <c r="L186" i="48"/>
  <c r="L65" i="48"/>
  <c r="L572" i="48"/>
  <c r="L514" i="48"/>
  <c r="L93" i="48"/>
  <c r="L918" i="48"/>
  <c r="L486" i="48"/>
  <c r="L70" i="48"/>
  <c r="L697" i="48"/>
  <c r="L1272" i="48"/>
  <c r="L472" i="48"/>
  <c r="L62" i="48"/>
  <c r="L71" i="48"/>
  <c r="L74" i="48"/>
  <c r="L447" i="48"/>
  <c r="L313" i="48"/>
  <c r="L61" i="48"/>
  <c r="L911" i="48"/>
  <c r="L635" i="48"/>
  <c r="AO635" i="48" s="1"/>
  <c r="L870" i="48"/>
  <c r="L686" i="48"/>
  <c r="L72" i="48"/>
  <c r="L66" i="48"/>
  <c r="L64" i="48"/>
  <c r="L1122" i="48"/>
  <c r="L218" i="48"/>
  <c r="L1315" i="48"/>
  <c r="L489" i="48"/>
  <c r="L885" i="48"/>
  <c r="AO885" i="48" s="1"/>
  <c r="L1271" i="48"/>
  <c r="L886" i="48"/>
  <c r="L90" i="48"/>
  <c r="L210" i="48"/>
  <c r="L249" i="48"/>
  <c r="L1020" i="48"/>
  <c r="L465" i="48"/>
  <c r="L586" i="48"/>
  <c r="L462" i="48"/>
  <c r="L1210" i="48"/>
  <c r="AO1210" i="48" s="1"/>
  <c r="L261" i="48"/>
  <c r="L1149" i="48"/>
  <c r="L499" i="48"/>
  <c r="L891" i="48"/>
  <c r="L1037" i="48"/>
  <c r="L587" i="48"/>
  <c r="L100" i="48"/>
  <c r="L937" i="48"/>
  <c r="L311" i="48"/>
  <c r="L975" i="48"/>
  <c r="L442" i="48"/>
  <c r="L312" i="48"/>
  <c r="L872" i="48"/>
  <c r="L989" i="48"/>
  <c r="L211" i="48"/>
  <c r="L1036" i="48"/>
  <c r="L1011" i="48"/>
  <c r="L892" i="48"/>
  <c r="L966" i="48"/>
  <c r="L491" i="48"/>
  <c r="L273" i="48"/>
  <c r="L1211" i="48"/>
  <c r="L1265" i="48"/>
  <c r="L340" i="48"/>
  <c r="L490" i="48"/>
  <c r="L1335" i="48"/>
  <c r="AO1335" i="48" s="1"/>
  <c r="L18" i="48"/>
  <c r="L936" i="48"/>
  <c r="L1215" i="48"/>
  <c r="L265" i="48"/>
  <c r="L187" i="48"/>
  <c r="L425" i="48"/>
  <c r="L1342" i="48"/>
  <c r="L972" i="48"/>
  <c r="L700" i="48"/>
  <c r="L22" i="48"/>
  <c r="L485" i="48"/>
  <c r="AO485" i="48" s="1"/>
  <c r="L1314" i="48"/>
  <c r="L263" i="48"/>
  <c r="L1063" i="48"/>
  <c r="L712" i="48"/>
  <c r="L761" i="48"/>
  <c r="L96" i="48"/>
  <c r="L214" i="48"/>
  <c r="L495" i="48"/>
  <c r="L919" i="48"/>
  <c r="L270" i="48"/>
  <c r="L1294" i="48"/>
  <c r="L1042" i="48"/>
  <c r="L264" i="48"/>
  <c r="L1293" i="48"/>
  <c r="L922" i="48"/>
  <c r="L672" i="48"/>
  <c r="L197" i="48"/>
  <c r="L1039" i="48"/>
  <c r="L1339" i="48"/>
  <c r="L689" i="48"/>
  <c r="L164" i="48"/>
  <c r="L463" i="48"/>
  <c r="L448" i="48"/>
  <c r="L437" i="48"/>
  <c r="L112" i="48"/>
  <c r="L1168" i="48"/>
  <c r="L960" i="48"/>
  <c r="AO960" i="48" s="1"/>
  <c r="L1041" i="48"/>
  <c r="L796" i="48"/>
  <c r="L839" i="48"/>
  <c r="L762" i="48"/>
  <c r="L946" i="48"/>
  <c r="L646" i="48"/>
  <c r="L246" i="48"/>
  <c r="L113" i="48"/>
  <c r="L920" i="48"/>
  <c r="L1324" i="48"/>
  <c r="L824" i="48"/>
  <c r="L649" i="48"/>
  <c r="L520" i="48"/>
  <c r="L1260" i="48"/>
  <c r="AO1260" i="48" s="1"/>
  <c r="L942" i="48"/>
  <c r="L742" i="48"/>
  <c r="L1098" i="48"/>
  <c r="L723" i="48"/>
  <c r="L1170" i="48"/>
  <c r="L20" i="48"/>
  <c r="L314" i="48"/>
  <c r="L764" i="48"/>
  <c r="L988" i="48"/>
  <c r="L1145" i="48"/>
  <c r="L794" i="48"/>
  <c r="L244" i="48"/>
  <c r="L86" i="48"/>
  <c r="L510" i="48"/>
  <c r="AO510" i="48" s="1"/>
  <c r="L410" i="48"/>
  <c r="AO410" i="48" s="1"/>
  <c r="L1310" i="48"/>
  <c r="AO1310" i="48" s="1"/>
  <c r="L1264" i="48"/>
  <c r="L589" i="48"/>
  <c r="L1246" i="48"/>
  <c r="L1088" i="48"/>
  <c r="L613" i="48"/>
  <c r="L1045" i="48"/>
  <c r="L570" i="48"/>
  <c r="L519" i="48"/>
  <c r="L965" i="48"/>
  <c r="L1322" i="48"/>
  <c r="L536" i="48"/>
  <c r="L387" i="48"/>
  <c r="L262" i="48"/>
  <c r="L769" i="48"/>
  <c r="L1087" i="48"/>
  <c r="L161" i="48"/>
  <c r="L1120" i="48"/>
  <c r="L470" i="48"/>
  <c r="L545" i="48"/>
  <c r="L887" i="48"/>
  <c r="L212" i="48"/>
  <c r="L775" i="48"/>
  <c r="L525" i="48"/>
  <c r="L494" i="48"/>
  <c r="L319" i="48"/>
  <c r="L815" i="48"/>
  <c r="L1165" i="48"/>
  <c r="L715" i="48"/>
  <c r="L140" i="48"/>
  <c r="L1172" i="48"/>
  <c r="L597" i="48"/>
  <c r="L1137" i="48"/>
  <c r="L962" i="48"/>
  <c r="L1248" i="48"/>
  <c r="L361" i="48"/>
  <c r="L1275" i="48"/>
  <c r="L325" i="48"/>
  <c r="L648" i="48"/>
  <c r="L969" i="48"/>
  <c r="L492" i="48"/>
  <c r="L271" i="48"/>
  <c r="L840" i="48"/>
  <c r="L1321" i="48"/>
  <c r="L1237" i="48"/>
  <c r="L565" i="48"/>
  <c r="L1148" i="48"/>
  <c r="L322" i="48"/>
  <c r="L1222" i="48"/>
  <c r="L991" i="48"/>
  <c r="L1163" i="48"/>
  <c r="L1274" i="48"/>
  <c r="L373" i="48"/>
  <c r="L360" i="48"/>
  <c r="AO360" i="48" s="1"/>
  <c r="L150" i="48"/>
  <c r="L1166" i="48"/>
  <c r="L816" i="48"/>
  <c r="L814" i="48"/>
  <c r="L939" i="48"/>
  <c r="L364" i="48"/>
  <c r="L1171" i="48"/>
  <c r="L236" i="48"/>
  <c r="L122" i="48"/>
  <c r="L789" i="48"/>
  <c r="L289" i="48"/>
  <c r="L139" i="48"/>
  <c r="L791" i="48"/>
  <c r="L846" i="48"/>
  <c r="L745" i="48"/>
  <c r="L1325" i="48"/>
  <c r="L294" i="48"/>
  <c r="L1198" i="48"/>
  <c r="L435" i="48"/>
  <c r="AO435" i="48" s="1"/>
  <c r="L1092" i="48"/>
  <c r="L997" i="48"/>
  <c r="L497" i="48"/>
  <c r="L222" i="48"/>
  <c r="L114" i="48"/>
  <c r="L1219" i="48"/>
  <c r="L845" i="48"/>
  <c r="L395" i="48"/>
  <c r="L418" i="48"/>
  <c r="L439" i="48"/>
  <c r="L539" i="48"/>
  <c r="L821" i="48"/>
  <c r="L1013" i="48"/>
  <c r="L913" i="48"/>
  <c r="L663" i="48"/>
  <c r="L1049" i="48"/>
  <c r="L1024" i="48"/>
  <c r="L474" i="48"/>
  <c r="L735" i="48"/>
  <c r="AO735" i="48" s="1"/>
  <c r="L367" i="48"/>
  <c r="L225" i="48"/>
  <c r="L792" i="48"/>
  <c r="L1175" i="48"/>
  <c r="L1317" i="48"/>
  <c r="L468" i="48"/>
  <c r="L1014" i="48"/>
  <c r="L517" i="48"/>
  <c r="L567" i="48"/>
  <c r="L825" i="48"/>
  <c r="L467" i="48"/>
  <c r="L949" i="48"/>
  <c r="L23" i="48"/>
  <c r="L760" i="48"/>
  <c r="AO760" i="48" s="1"/>
  <c r="L1112" i="48"/>
  <c r="L599" i="48"/>
  <c r="L819" i="48"/>
  <c r="L835" i="48"/>
  <c r="AO835" i="48" s="1"/>
  <c r="L660" i="48"/>
  <c r="L500" i="48"/>
  <c r="L1169" i="48"/>
  <c r="L369" i="48"/>
  <c r="L13" i="48"/>
  <c r="L860" i="48"/>
  <c r="AO860" i="48" s="1"/>
  <c r="L310" i="48"/>
  <c r="AO310" i="48" s="1"/>
  <c r="L543" i="48"/>
  <c r="L193" i="48"/>
  <c r="L424" i="48"/>
  <c r="L19" i="48"/>
  <c r="L1018" i="48"/>
  <c r="L668" i="48"/>
  <c r="L85" i="48"/>
  <c r="L1150" i="48"/>
  <c r="L1267" i="48"/>
  <c r="L237" i="48"/>
  <c r="L286" i="48"/>
  <c r="L239" i="48"/>
  <c r="L642" i="48"/>
  <c r="L272" i="48"/>
  <c r="L321" i="48"/>
  <c r="L594" i="48"/>
  <c r="L241" i="48"/>
  <c r="L370" i="48"/>
  <c r="L335" i="48"/>
  <c r="AO335" i="48" s="1"/>
  <c r="L619" i="48"/>
  <c r="L143" i="48"/>
  <c r="L875" i="48"/>
  <c r="L725" i="48"/>
  <c r="L1065" i="48"/>
  <c r="L747" i="48"/>
  <c r="L798" i="48"/>
  <c r="L547" i="48"/>
  <c r="L146" i="48"/>
  <c r="L297" i="48"/>
  <c r="L864" i="48"/>
  <c r="L339" i="48"/>
  <c r="L388" i="48"/>
  <c r="L671" i="48"/>
  <c r="L196" i="48"/>
  <c r="L999" i="48"/>
  <c r="L298" i="48"/>
  <c r="L524" i="48"/>
  <c r="L1311" i="48"/>
  <c r="L561" i="48"/>
  <c r="L12" i="48"/>
  <c r="L336" i="48"/>
  <c r="L1000" i="48"/>
  <c r="L721" i="48"/>
  <c r="L446" i="48"/>
  <c r="L548" i="48"/>
  <c r="L612" i="48"/>
  <c r="L575" i="48"/>
  <c r="L200" i="48"/>
  <c r="L375" i="48"/>
  <c r="L1068" i="48"/>
  <c r="L292" i="48"/>
  <c r="L585" i="48"/>
  <c r="AO585" i="48" s="1"/>
  <c r="L1118" i="48"/>
  <c r="L350" i="48"/>
  <c r="L967" i="48"/>
  <c r="L343" i="48"/>
  <c r="L935" i="48"/>
  <c r="AO935" i="48" s="1"/>
  <c r="L535" i="48"/>
  <c r="AO535" i="48" s="1"/>
  <c r="L1044" i="48"/>
  <c r="L1117" i="48"/>
  <c r="L521" i="48"/>
  <c r="L487" i="48"/>
  <c r="L1270" i="48"/>
  <c r="L596" i="48"/>
  <c r="L88" i="48"/>
  <c r="L1313" i="48"/>
  <c r="L692" i="48"/>
  <c r="L215" i="48"/>
  <c r="L1047" i="48"/>
  <c r="L496" i="48"/>
  <c r="L1195" i="48"/>
  <c r="L1012" i="48"/>
  <c r="L1125" i="48"/>
  <c r="L1069" i="48"/>
  <c r="L542" i="48"/>
  <c r="L1072" i="48"/>
  <c r="L622" i="48"/>
  <c r="L1091" i="48"/>
  <c r="L772" i="48"/>
  <c r="L348" i="48"/>
  <c r="L938" i="48"/>
  <c r="L813" i="48"/>
  <c r="L770" i="48"/>
  <c r="L320" i="48"/>
  <c r="L848" i="48"/>
  <c r="L323" i="48"/>
  <c r="L1344" i="48"/>
  <c r="L785" i="48"/>
  <c r="AO785" i="48" s="1"/>
  <c r="L711" i="48"/>
  <c r="L1200" i="48"/>
  <c r="L1250" i="48"/>
  <c r="L92" i="48"/>
  <c r="L898" i="48"/>
  <c r="L1247" i="48"/>
  <c r="L1089" i="48"/>
  <c r="L1097" i="48"/>
  <c r="L996" i="48"/>
  <c r="L138" i="48"/>
  <c r="L438" i="48"/>
  <c r="L1295" i="48"/>
  <c r="L1338" i="48"/>
  <c r="L1212" i="48"/>
  <c r="L362" i="48"/>
  <c r="L573" i="48"/>
  <c r="L995" i="48"/>
  <c r="L595" i="48"/>
  <c r="L444" i="48"/>
  <c r="L1060" i="48"/>
  <c r="AO1060" i="48" s="1"/>
  <c r="L610" i="48"/>
  <c r="AO610" i="48" s="1"/>
  <c r="L560" i="48"/>
  <c r="AO560" i="48" s="1"/>
  <c r="L1319" i="48"/>
  <c r="L569" i="48"/>
  <c r="L899" i="48"/>
  <c r="L1292" i="48"/>
  <c r="L242" i="48"/>
  <c r="L267" i="48"/>
  <c r="L820" i="48"/>
  <c r="L1161" i="48"/>
  <c r="L1217" i="48"/>
  <c r="L1194" i="48"/>
  <c r="L1193" i="48"/>
  <c r="L744" i="48"/>
  <c r="L743" i="48"/>
  <c r="L643" i="48"/>
  <c r="L644" i="48"/>
  <c r="L925" i="48"/>
  <c r="L924" i="48"/>
  <c r="L390" i="48"/>
  <c r="L389" i="48"/>
  <c r="L1197" i="48"/>
  <c r="L1196" i="48"/>
  <c r="L695" i="48"/>
  <c r="L696" i="48"/>
  <c r="L720" i="48"/>
  <c r="L719" i="48"/>
  <c r="L98" i="48"/>
  <c r="L97" i="48"/>
  <c r="L1221" i="48"/>
  <c r="L637" i="48"/>
  <c r="L163" i="48"/>
  <c r="L162" i="48"/>
  <c r="L1124" i="48"/>
  <c r="L1123" i="48"/>
  <c r="L812" i="48"/>
  <c r="L811" i="48"/>
  <c r="L318" i="48"/>
  <c r="L317" i="48"/>
  <c r="L1289" i="48"/>
  <c r="L1290" i="48"/>
  <c r="L738" i="48"/>
  <c r="L1095" i="48"/>
  <c r="L223" i="48"/>
  <c r="L224" i="48"/>
  <c r="L1245" i="48"/>
  <c r="L1244" i="48"/>
  <c r="L944" i="48"/>
  <c r="L861" i="48"/>
  <c r="L862" i="48"/>
  <c r="L1262" i="48"/>
  <c r="L1261" i="48"/>
  <c r="L136" i="48"/>
  <c r="L137" i="48"/>
  <c r="L1085" i="48"/>
  <c r="AO1085" i="48" s="1"/>
  <c r="L1086" i="48"/>
  <c r="L368" i="48"/>
  <c r="L998" i="48"/>
  <c r="L1343" i="48"/>
  <c r="L771" i="48"/>
  <c r="L1090" i="48"/>
  <c r="L710" i="48"/>
  <c r="AO710" i="48" s="1"/>
  <c r="L423" i="48"/>
  <c r="L422" i="48"/>
  <c r="L148" i="48"/>
  <c r="L147" i="48"/>
  <c r="L95" i="48"/>
  <c r="L94" i="48"/>
  <c r="L145" i="48"/>
  <c r="L144" i="48"/>
  <c r="L836" i="48"/>
  <c r="L837" i="48"/>
  <c r="L1111" i="48"/>
  <c r="L1110" i="48"/>
  <c r="AO1110" i="48" s="1"/>
  <c r="L386" i="48"/>
  <c r="L385" i="48"/>
  <c r="AO385" i="48" s="1"/>
  <c r="L461" i="48"/>
  <c r="L460" i="48"/>
  <c r="AO460" i="48" s="1"/>
  <c r="L766" i="48"/>
  <c r="L765" i="48"/>
  <c r="L315" i="48"/>
  <c r="L316" i="48"/>
  <c r="L1146" i="48"/>
  <c r="L1147" i="48"/>
  <c r="L238" i="48"/>
  <c r="L1312" i="48"/>
  <c r="L961" i="48"/>
  <c r="L25" i="48"/>
  <c r="L768" i="48"/>
  <c r="L767" i="48"/>
  <c r="L893" i="48"/>
  <c r="L1249" i="48"/>
  <c r="L940" i="48"/>
  <c r="L365" i="48"/>
  <c r="L739" i="48"/>
  <c r="L740" i="48"/>
  <c r="L614" i="48"/>
  <c r="L615" i="48"/>
  <c r="L421" i="48"/>
  <c r="L788" i="48"/>
  <c r="L220" i="48"/>
  <c r="L687" i="48"/>
  <c r="L688" i="48"/>
  <c r="L773" i="48"/>
  <c r="L774" i="48"/>
  <c r="L185" i="48"/>
  <c r="AO185" i="48" s="1"/>
  <c r="L869" i="48"/>
  <c r="L868" i="48"/>
  <c r="L1015" i="48"/>
  <c r="L488" i="48"/>
  <c r="L1269" i="48"/>
  <c r="L89" i="48"/>
  <c r="L445" i="48"/>
  <c r="L475" i="48"/>
  <c r="L797" i="48"/>
  <c r="L863" i="48"/>
  <c r="L722" i="48"/>
  <c r="L1062" i="48"/>
  <c r="L611" i="48"/>
  <c r="L574" i="48"/>
  <c r="L324" i="48"/>
  <c r="L1341" i="48"/>
  <c r="L290" i="48"/>
  <c r="L822" i="48"/>
  <c r="L948" i="48"/>
  <c r="L1189" i="48"/>
  <c r="L945" i="48"/>
  <c r="L295" i="48"/>
  <c r="L1188" i="48"/>
  <c r="L562" i="48"/>
  <c r="L538" i="48"/>
  <c r="L398" i="48"/>
  <c r="L894" i="48"/>
  <c r="L419" i="48"/>
  <c r="L1286" i="48"/>
  <c r="L910" i="48"/>
  <c r="AO910" i="48" s="1"/>
  <c r="L850" i="48"/>
  <c r="L849" i="48"/>
  <c r="L941" i="48"/>
  <c r="L116" i="48"/>
  <c r="L900" i="48"/>
  <c r="L518" i="48"/>
  <c r="L173" i="48"/>
  <c r="L1240" i="48"/>
  <c r="L639" i="48"/>
  <c r="L1296" i="48"/>
  <c r="L896" i="48"/>
  <c r="L371" i="48"/>
  <c r="L1113" i="48"/>
  <c r="L1213" i="48"/>
  <c r="L188" i="48"/>
  <c r="L121" i="48"/>
  <c r="L288" i="48"/>
  <c r="L699" i="48"/>
  <c r="L119" i="48"/>
  <c r="L736" i="48"/>
  <c r="L1185" i="48"/>
  <c r="AO1185" i="48" s="1"/>
  <c r="L1025" i="48"/>
  <c r="L1067" i="48"/>
  <c r="L817" i="48"/>
  <c r="L1100" i="48"/>
  <c r="L125" i="48"/>
  <c r="L568" i="48"/>
  <c r="L1115" i="48"/>
  <c r="L915" i="48"/>
  <c r="L665" i="48"/>
  <c r="L522" i="48"/>
  <c r="L14" i="48"/>
  <c r="L1346" i="48"/>
  <c r="L347" i="48"/>
  <c r="L397" i="48"/>
  <c r="L1138" i="48"/>
  <c r="L714" i="48"/>
  <c r="L413" i="48"/>
  <c r="L563" i="48"/>
  <c r="L1070" i="48"/>
  <c r="L1162" i="48"/>
  <c r="L1287" i="48"/>
  <c r="L512" i="48"/>
  <c r="L337" i="48"/>
  <c r="L1119" i="48"/>
  <c r="L670" i="48"/>
  <c r="L544" i="48"/>
  <c r="L170" i="48"/>
  <c r="L1337" i="48"/>
  <c r="L787" i="48"/>
  <c r="L412" i="48"/>
  <c r="L985" i="48"/>
  <c r="AO985" i="48" s="1"/>
  <c r="L110" i="48"/>
  <c r="L11" i="48"/>
  <c r="L1300" i="48"/>
  <c r="L1050" i="48"/>
  <c r="L842" i="48"/>
  <c r="L392" i="48"/>
  <c r="L810" i="48"/>
  <c r="AO810" i="48" s="1"/>
  <c r="L135" i="48"/>
  <c r="L285" i="48"/>
  <c r="AO285" i="48" s="1"/>
  <c r="L994" i="48"/>
  <c r="L1143" i="48"/>
  <c r="L693" i="48"/>
  <c r="L268" i="48"/>
  <c r="L1224" i="48"/>
  <c r="L549" i="48"/>
  <c r="L1142" i="48"/>
  <c r="L191" i="48"/>
  <c r="L400" i="48"/>
  <c r="L717" i="48"/>
  <c r="L800" i="48"/>
  <c r="L823" i="48"/>
  <c r="L1167" i="48"/>
  <c r="L1093" i="48"/>
  <c r="L1241" i="48"/>
  <c r="L590" i="48"/>
  <c r="L1160" i="48"/>
  <c r="AO1160" i="48" s="1"/>
  <c r="L1242" i="48"/>
  <c r="L168" i="48"/>
  <c r="L293" i="48"/>
  <c r="L219" i="48"/>
  <c r="L175" i="48"/>
  <c r="L167" i="48"/>
  <c r="L550" i="48"/>
  <c r="L417" i="48"/>
  <c r="L673" i="48"/>
  <c r="L498" i="48"/>
  <c r="L694" i="48"/>
  <c r="L843" i="48"/>
  <c r="L10" i="48"/>
  <c r="L1017" i="48"/>
  <c r="L117" i="48"/>
  <c r="L1268" i="48"/>
  <c r="L716" i="48"/>
  <c r="L141" i="48"/>
  <c r="L874" i="48"/>
  <c r="L1350" i="48"/>
  <c r="L799" i="48"/>
  <c r="L750" i="48"/>
  <c r="L675" i="48"/>
  <c r="L300" i="48"/>
  <c r="L917" i="48"/>
  <c r="L866" i="48"/>
  <c r="L616" i="48"/>
  <c r="L1191" i="48"/>
  <c r="L192" i="48"/>
  <c r="L275" i="48"/>
  <c r="L342" i="48"/>
  <c r="L142" i="48"/>
  <c r="L269" i="48"/>
  <c r="L950" i="48"/>
  <c r="L1074" i="48"/>
  <c r="L724" i="48"/>
  <c r="L149" i="48"/>
  <c r="L641" i="48"/>
  <c r="L1297" i="48"/>
  <c r="L790" i="48"/>
  <c r="L190" i="48"/>
  <c r="L189" i="48"/>
  <c r="L963" i="48"/>
  <c r="L964" i="48"/>
  <c r="L1187" i="48"/>
  <c r="L625" i="48"/>
  <c r="L1075" i="48"/>
  <c r="L650" i="48"/>
  <c r="L1243" i="48"/>
  <c r="L992" i="48"/>
  <c r="L593" i="48"/>
  <c r="L217" i="48"/>
  <c r="L669" i="48"/>
  <c r="L624" i="48"/>
  <c r="L795" i="48"/>
  <c r="L1320" i="48"/>
  <c r="L1347" i="48"/>
  <c r="L867" i="48"/>
  <c r="L15" i="48"/>
  <c r="L971" i="48"/>
  <c r="L120" i="48"/>
  <c r="L1336" i="48"/>
  <c r="L1043" i="48"/>
  <c r="L968" i="48"/>
  <c r="L393" i="48"/>
  <c r="L1141" i="48"/>
  <c r="L416" i="48"/>
  <c r="L1139" i="48"/>
  <c r="L1144" i="48"/>
  <c r="L1135" i="48"/>
  <c r="AO1135" i="48" s="1"/>
  <c r="L667" i="48"/>
  <c r="L564" i="48"/>
  <c r="L592" i="48"/>
  <c r="L396" i="48"/>
  <c r="L436" i="48"/>
  <c r="L617" i="48"/>
  <c r="L993" i="48"/>
  <c r="L198" i="48"/>
  <c r="L674" i="48"/>
  <c r="L338" i="48"/>
  <c r="L647" i="48"/>
  <c r="L640" i="48"/>
  <c r="L621" i="48"/>
  <c r="L213" i="48"/>
  <c r="L1192" i="48"/>
  <c r="L1239" i="48"/>
  <c r="L713" i="48"/>
  <c r="L287" i="48"/>
  <c r="L1040" i="48"/>
  <c r="L546" i="48"/>
  <c r="L296" i="48"/>
  <c r="L1220" i="48"/>
  <c r="L195" i="48"/>
  <c r="L912" i="48"/>
  <c r="L471" i="48"/>
  <c r="L245" i="48"/>
  <c r="L87" i="48"/>
  <c r="L1238" i="48"/>
  <c r="L1140" i="48"/>
  <c r="L571" i="48"/>
  <c r="L786" i="48"/>
  <c r="L873" i="48"/>
  <c r="L473" i="48"/>
  <c r="L511" i="48"/>
  <c r="L1114" i="48"/>
  <c r="L372" i="48"/>
  <c r="L1121" i="48"/>
  <c r="L746" i="48"/>
  <c r="L1190" i="48"/>
  <c r="L1071" i="48"/>
  <c r="L1038" i="48"/>
  <c r="L247" i="48"/>
  <c r="L394" i="48"/>
  <c r="L111" i="48"/>
  <c r="L523" i="48"/>
  <c r="L974" i="48"/>
  <c r="L540" i="48"/>
  <c r="L541" i="48"/>
  <c r="L441" i="48"/>
  <c r="L440" i="48"/>
  <c r="L1023" i="48"/>
  <c r="L1022" i="48"/>
  <c r="L1298" i="48"/>
  <c r="L1299" i="48"/>
  <c r="L748" i="48"/>
  <c r="L749" i="48"/>
  <c r="L165" i="48"/>
  <c r="L464" i="48"/>
  <c r="L513" i="48"/>
  <c r="L636" i="48"/>
  <c r="L1340" i="48"/>
  <c r="L515" i="48"/>
  <c r="L1164" i="48"/>
  <c r="L895" i="48"/>
  <c r="L420" i="48"/>
  <c r="L1136" i="48"/>
  <c r="L115" i="48"/>
  <c r="L897" i="48"/>
  <c r="L921" i="48"/>
  <c r="L987" i="48"/>
  <c r="L890" i="48"/>
  <c r="L240" i="48"/>
  <c r="L947" i="48"/>
  <c r="L346" i="48"/>
  <c r="L537" i="48"/>
  <c r="L844" i="48"/>
  <c r="L169" i="48"/>
  <c r="L411" i="48"/>
  <c r="L1035" i="48"/>
  <c r="AO1035" i="48" s="1"/>
  <c r="L923" i="48"/>
  <c r="L449" i="48"/>
  <c r="L1348" i="48"/>
  <c r="L1349" i="48"/>
  <c r="L1173" i="48"/>
  <c r="L1174" i="48"/>
  <c r="L123" i="48"/>
  <c r="L124" i="48"/>
  <c r="L661" i="48"/>
  <c r="L662" i="48"/>
  <c r="L847" i="48"/>
  <c r="L414" i="48"/>
  <c r="L888" i="48"/>
  <c r="L1186" i="48"/>
  <c r="L690" i="48"/>
  <c r="L1288" i="48"/>
  <c r="L737" i="48"/>
  <c r="L990" i="48"/>
  <c r="L1214" i="48"/>
  <c r="L588" i="48"/>
  <c r="L415" i="48"/>
  <c r="L172" i="48"/>
  <c r="L1010" i="48"/>
  <c r="AO1010" i="48" s="1"/>
  <c r="L916" i="48"/>
  <c r="L1216" i="48"/>
  <c r="L666" i="48"/>
  <c r="L618" i="48"/>
  <c r="L24" i="48"/>
  <c r="L1116" i="48"/>
  <c r="L266" i="48"/>
  <c r="L516" i="48"/>
  <c r="L1318" i="48"/>
  <c r="L1099" i="48"/>
  <c r="L1273" i="48"/>
  <c r="L698" i="48"/>
  <c r="L598" i="48"/>
  <c r="L943" i="48"/>
  <c r="L199" i="48"/>
  <c r="L1066" i="48"/>
  <c r="L841" i="48"/>
  <c r="L391" i="48"/>
  <c r="L91" i="48"/>
  <c r="L174" i="48"/>
  <c r="L1291" i="48"/>
  <c r="L591" i="48"/>
  <c r="L566" i="48"/>
  <c r="L366" i="48"/>
  <c r="L399" i="48"/>
  <c r="L299" i="48"/>
  <c r="L1048" i="48"/>
  <c r="L1323" i="48"/>
  <c r="L1223" i="48"/>
  <c r="L443" i="48"/>
  <c r="L274" i="48"/>
  <c r="L691" i="48"/>
  <c r="L466" i="48"/>
  <c r="L793" i="48"/>
  <c r="L718" i="48"/>
  <c r="L99" i="48"/>
  <c r="L1266" i="48"/>
  <c r="L341" i="48"/>
  <c r="L16" i="48"/>
  <c r="L1218" i="48"/>
  <c r="L493" i="48"/>
  <c r="L374" i="48"/>
  <c r="L291" i="48"/>
  <c r="L1199" i="48"/>
  <c r="L349" i="48"/>
  <c r="L741" i="48"/>
  <c r="L1016" i="48"/>
  <c r="L166" i="48"/>
  <c r="L1073" i="48"/>
  <c r="D6" i="21"/>
  <c r="D7" i="21" s="1"/>
  <c r="D8" i="21" s="1"/>
  <c r="D9" i="21" s="1"/>
  <c r="D10" i="21" s="1"/>
  <c r="D11" i="21" s="1"/>
  <c r="D12" i="21" s="1"/>
  <c r="D13" i="21" s="1"/>
  <c r="D14" i="21" s="1"/>
  <c r="D15" i="21" s="1"/>
  <c r="D16" i="21" s="1"/>
  <c r="D17" i="21" s="1"/>
  <c r="D18" i="21" s="1"/>
  <c r="D19" i="21" s="1"/>
  <c r="D20" i="21" s="1"/>
  <c r="D21" i="21" s="1"/>
  <c r="D22" i="21" s="1"/>
  <c r="D23" i="21" s="1"/>
  <c r="D24" i="21" s="1"/>
  <c r="D25" i="21" s="1"/>
  <c r="D26" i="21" s="1"/>
  <c r="D27" i="21" s="1"/>
  <c r="D28" i="21" s="1"/>
  <c r="D29" i="21" s="1"/>
  <c r="D30" i="21" s="1"/>
  <c r="D31" i="21" s="1"/>
  <c r="D32" i="21" s="1"/>
  <c r="D33" i="21" s="1"/>
  <c r="D34" i="21" s="1"/>
  <c r="D35" i="21" s="1"/>
  <c r="D36" i="21" s="1"/>
  <c r="D37" i="21" s="1"/>
  <c r="D38" i="21" s="1"/>
  <c r="D39" i="21" s="1"/>
  <c r="D40" i="21" s="1"/>
  <c r="D41" i="21" s="1"/>
  <c r="D42" i="21" s="1"/>
  <c r="D43" i="21" s="1"/>
  <c r="D44" i="21" s="1"/>
  <c r="D45" i="21" s="1"/>
  <c r="D46" i="21" s="1"/>
  <c r="D47" i="21" s="1"/>
  <c r="D48" i="21" s="1"/>
  <c r="D49" i="21" s="1"/>
  <c r="D50" i="21" s="1"/>
  <c r="D51" i="21" s="1"/>
  <c r="D52" i="21" s="1"/>
  <c r="D53" i="21" s="1"/>
  <c r="AO210" i="48" l="1"/>
  <c r="AO171" i="48"/>
  <c r="AO135" i="48"/>
  <c r="AO110" i="48"/>
  <c r="AO85" i="48"/>
  <c r="AO99" i="48"/>
  <c r="AO1223" i="48"/>
  <c r="AO1291" i="48"/>
  <c r="AO1318" i="48"/>
  <c r="AO1288" i="48"/>
  <c r="AO923" i="48"/>
  <c r="AO897" i="48"/>
  <c r="AO1022" i="48"/>
  <c r="AO372" i="48"/>
  <c r="AO1140" i="48"/>
  <c r="AO296" i="48"/>
  <c r="AO621" i="48"/>
  <c r="AO416" i="48"/>
  <c r="AO1043" i="48"/>
  <c r="AO795" i="48"/>
  <c r="AO593" i="48"/>
  <c r="AO1075" i="48"/>
  <c r="AO964" i="48"/>
  <c r="AO790" i="48"/>
  <c r="AO724" i="48"/>
  <c r="AO142" i="48"/>
  <c r="AO1191" i="48"/>
  <c r="AO300" i="48"/>
  <c r="AO1350" i="48"/>
  <c r="AO1268" i="48"/>
  <c r="AO843" i="48"/>
  <c r="AO417" i="48"/>
  <c r="AO219" i="48"/>
  <c r="AO1167" i="48"/>
  <c r="AO400" i="48"/>
  <c r="AO1224" i="48"/>
  <c r="AO994" i="48"/>
  <c r="AO392" i="48"/>
  <c r="AO787" i="48"/>
  <c r="AO1287" i="48"/>
  <c r="AO413" i="48"/>
  <c r="AO347" i="48"/>
  <c r="AO125" i="48"/>
  <c r="AO1025" i="48"/>
  <c r="AO699" i="48"/>
  <c r="AO1213" i="48"/>
  <c r="AO1296" i="48"/>
  <c r="AO518" i="48"/>
  <c r="AO849" i="48"/>
  <c r="AO419" i="48"/>
  <c r="AO562" i="48"/>
  <c r="AO1189" i="48"/>
  <c r="AO1341" i="48"/>
  <c r="AO1062" i="48"/>
  <c r="AO475" i="48"/>
  <c r="AO488" i="48"/>
  <c r="AO687" i="48"/>
  <c r="AO615" i="48"/>
  <c r="AO365" i="48"/>
  <c r="AO767" i="48"/>
  <c r="AO1312" i="48"/>
  <c r="AO316" i="48"/>
  <c r="AO144" i="48"/>
  <c r="AO147" i="48"/>
  <c r="AO998" i="48"/>
  <c r="AO137" i="48"/>
  <c r="AO862" i="48"/>
  <c r="AO1245" i="48"/>
  <c r="AO738" i="48"/>
  <c r="AO318" i="48"/>
  <c r="AO1124" i="48"/>
  <c r="AO1221" i="48"/>
  <c r="AO720" i="48"/>
  <c r="AO1197" i="48"/>
  <c r="AO925" i="48"/>
  <c r="AO744" i="48"/>
  <c r="AO1161" i="48"/>
  <c r="AP1161" i="48" s="1"/>
  <c r="AQ1161" i="48" s="1"/>
  <c r="AO1292" i="48"/>
  <c r="AO595" i="48"/>
  <c r="AO1212" i="48"/>
  <c r="AO138" i="48"/>
  <c r="AO1247" i="48"/>
  <c r="AO1200" i="48"/>
  <c r="AO323" i="48"/>
  <c r="AO813" i="48"/>
  <c r="AO1091" i="48"/>
  <c r="AO1069" i="48"/>
  <c r="AO496" i="48"/>
  <c r="AO1313" i="48"/>
  <c r="AO487" i="48"/>
  <c r="AO350" i="48"/>
  <c r="AO1068" i="48"/>
  <c r="AO612" i="48"/>
  <c r="AO1000" i="48"/>
  <c r="AO1311" i="48"/>
  <c r="AP1311" i="48" s="1"/>
  <c r="AQ1311" i="48" s="1"/>
  <c r="AO196" i="48"/>
  <c r="AO864" i="48"/>
  <c r="AO798" i="48"/>
  <c r="AO875" i="48"/>
  <c r="AO370" i="48"/>
  <c r="AO272" i="48"/>
  <c r="AO237" i="48"/>
  <c r="AO193" i="48"/>
  <c r="AO1112" i="48"/>
  <c r="AO467" i="48"/>
  <c r="AO1014" i="48"/>
  <c r="AO792" i="48"/>
  <c r="AO474" i="48"/>
  <c r="AO913" i="48"/>
  <c r="AO439" i="48"/>
  <c r="AO1219" i="48"/>
  <c r="AO997" i="48"/>
  <c r="AO294" i="48"/>
  <c r="AO791" i="48"/>
  <c r="AO122" i="48"/>
  <c r="AO939" i="48"/>
  <c r="AO150" i="48"/>
  <c r="AO1163" i="48"/>
  <c r="AO1148" i="48"/>
  <c r="AO840" i="48"/>
  <c r="AO648" i="48"/>
  <c r="AO1248" i="48"/>
  <c r="AO1172" i="48"/>
  <c r="AO815" i="48"/>
  <c r="AO775" i="48"/>
  <c r="AO470" i="48"/>
  <c r="AO769" i="48"/>
  <c r="AO1322" i="48"/>
  <c r="AO1045" i="48"/>
  <c r="AO589" i="48"/>
  <c r="AO1145" i="48"/>
  <c r="AO742" i="48"/>
  <c r="AO649" i="48"/>
  <c r="AO113" i="48"/>
  <c r="AO762" i="48"/>
  <c r="AO448" i="48"/>
  <c r="AO1339" i="48"/>
  <c r="AO922" i="48"/>
  <c r="AO1294" i="48"/>
  <c r="AO214" i="48"/>
  <c r="AO1063" i="48"/>
  <c r="AO425" i="48"/>
  <c r="AO936" i="48"/>
  <c r="AP936" i="48" s="1"/>
  <c r="AQ936" i="48" s="1"/>
  <c r="AO340" i="48"/>
  <c r="AO491" i="48"/>
  <c r="AO1036" i="48"/>
  <c r="AP1036" i="48" s="1"/>
  <c r="AQ1036" i="48" s="1"/>
  <c r="AO312" i="48"/>
  <c r="AO937" i="48"/>
  <c r="AO891" i="48"/>
  <c r="AO1020" i="48"/>
  <c r="AO886" i="48"/>
  <c r="AP886" i="48" s="1"/>
  <c r="AQ886" i="48" s="1"/>
  <c r="AO489" i="48"/>
  <c r="AO64" i="48"/>
  <c r="AO72" i="48"/>
  <c r="AO911" i="48"/>
  <c r="AP911" i="48" s="1"/>
  <c r="AQ911" i="48" s="1"/>
  <c r="AO447" i="48"/>
  <c r="AO62" i="48"/>
  <c r="AO486" i="48"/>
  <c r="AP486" i="48" s="1"/>
  <c r="AQ486" i="48" s="1"/>
  <c r="AO93" i="48"/>
  <c r="AO65" i="48"/>
  <c r="AO186" i="48"/>
  <c r="AP186" i="48" s="1"/>
  <c r="AQ186" i="48" s="1"/>
  <c r="AO63" i="48"/>
  <c r="AO600" i="48"/>
  <c r="AO623" i="48"/>
  <c r="AO194" i="48"/>
  <c r="AO1225" i="48"/>
  <c r="AO871" i="48"/>
  <c r="AO248" i="48"/>
  <c r="AO1236" i="48"/>
  <c r="AP1236" i="48" s="1"/>
  <c r="AQ1236" i="48" s="1"/>
  <c r="AO973" i="48"/>
  <c r="AO1199" i="48"/>
  <c r="AO240" i="48"/>
  <c r="AO749" i="48"/>
  <c r="AO1071" i="48"/>
  <c r="AO473" i="48"/>
  <c r="AO436" i="48"/>
  <c r="AP436" i="48" s="1"/>
  <c r="AQ436" i="48" s="1"/>
  <c r="AO1016" i="48"/>
  <c r="AO291" i="48"/>
  <c r="AO718" i="48"/>
  <c r="AO691" i="48"/>
  <c r="AO1048" i="48"/>
  <c r="AO366" i="48"/>
  <c r="AO174" i="48"/>
  <c r="AO1066" i="48"/>
  <c r="AO598" i="48"/>
  <c r="AO516" i="48"/>
  <c r="AO618" i="48"/>
  <c r="AO1214" i="48"/>
  <c r="AO690" i="48"/>
  <c r="AO847" i="48"/>
  <c r="AO124" i="48"/>
  <c r="AO1349" i="48"/>
  <c r="AO537" i="48"/>
  <c r="AO890" i="48"/>
  <c r="AO115" i="48"/>
  <c r="AO1164" i="48"/>
  <c r="AO513" i="48"/>
  <c r="AO748" i="48"/>
  <c r="AO1023" i="48"/>
  <c r="AO540" i="48"/>
  <c r="AO394" i="48"/>
  <c r="AO1190" i="48"/>
  <c r="AO1114" i="48"/>
  <c r="AO873" i="48"/>
  <c r="AO1238" i="48"/>
  <c r="AO912" i="48"/>
  <c r="AO546" i="48"/>
  <c r="AO1239" i="48"/>
  <c r="AO640" i="48"/>
  <c r="AO198" i="48"/>
  <c r="AO396" i="48"/>
  <c r="AO1141" i="48"/>
  <c r="AO1336" i="48"/>
  <c r="AP1336" i="48" s="1"/>
  <c r="AQ1336" i="48" s="1"/>
  <c r="AO867" i="48"/>
  <c r="AO624" i="48"/>
  <c r="AO992" i="48"/>
  <c r="AO625" i="48"/>
  <c r="AO963" i="48"/>
  <c r="AO1297" i="48"/>
  <c r="AO1074" i="48"/>
  <c r="AO342" i="48"/>
  <c r="AO616" i="48"/>
  <c r="AO874" i="48"/>
  <c r="AO117" i="48"/>
  <c r="AO694" i="48"/>
  <c r="AO550" i="48"/>
  <c r="AO293" i="48"/>
  <c r="AO590" i="48"/>
  <c r="AO823" i="48"/>
  <c r="AO191" i="48"/>
  <c r="AO268" i="48"/>
  <c r="AO842" i="48"/>
  <c r="AO1337" i="48"/>
  <c r="AO1119" i="48"/>
  <c r="AO1162" i="48"/>
  <c r="AO714" i="48"/>
  <c r="AO1346" i="48"/>
  <c r="AO915" i="48"/>
  <c r="AO1100" i="48"/>
  <c r="AO288" i="48"/>
  <c r="AO1113" i="48"/>
  <c r="AO639" i="48"/>
  <c r="AO900" i="48"/>
  <c r="AO850" i="48"/>
  <c r="AO894" i="48"/>
  <c r="AO1188" i="48"/>
  <c r="AO948" i="48"/>
  <c r="AO324" i="48"/>
  <c r="AO722" i="48"/>
  <c r="AO445" i="48"/>
  <c r="AO1015" i="48"/>
  <c r="AO774" i="48"/>
  <c r="AO220" i="48"/>
  <c r="AO614" i="48"/>
  <c r="AO940" i="48"/>
  <c r="AO768" i="48"/>
  <c r="AO238" i="48"/>
  <c r="AO315" i="48"/>
  <c r="AO461" i="48"/>
  <c r="AP461" i="48" s="1"/>
  <c r="AQ461" i="48" s="1"/>
  <c r="AO1111" i="48"/>
  <c r="AP1111" i="48" s="1"/>
  <c r="AQ1111" i="48" s="1"/>
  <c r="AO145" i="48"/>
  <c r="AO148" i="48"/>
  <c r="AO1090" i="48"/>
  <c r="AO368" i="48"/>
  <c r="AO136" i="48"/>
  <c r="AP136" i="48" s="1"/>
  <c r="AQ136" i="48" s="1"/>
  <c r="AO861" i="48"/>
  <c r="AP861" i="48" s="1"/>
  <c r="AQ861" i="48" s="1"/>
  <c r="AO224" i="48"/>
  <c r="AO1290" i="48"/>
  <c r="AO811" i="48"/>
  <c r="AP811" i="48" s="1"/>
  <c r="AQ811" i="48" s="1"/>
  <c r="AO162" i="48"/>
  <c r="AO97" i="48"/>
  <c r="AO696" i="48"/>
  <c r="AO389" i="48"/>
  <c r="AO644" i="48"/>
  <c r="AO1193" i="48"/>
  <c r="AO820" i="48"/>
  <c r="AO899" i="48"/>
  <c r="AO995" i="48"/>
  <c r="AO1338" i="48"/>
  <c r="AO996" i="48"/>
  <c r="AO898" i="48"/>
  <c r="AO711" i="48"/>
  <c r="AP711" i="48" s="1"/>
  <c r="AQ711" i="48" s="1"/>
  <c r="AO848" i="48"/>
  <c r="AO938" i="48"/>
  <c r="AO622" i="48"/>
  <c r="AO1125" i="48"/>
  <c r="AO1047" i="48"/>
  <c r="AO88" i="48"/>
  <c r="AO521" i="48"/>
  <c r="AO1118" i="48"/>
  <c r="AO375" i="48"/>
  <c r="AO548" i="48"/>
  <c r="AO336" i="48"/>
  <c r="AP336" i="48" s="1"/>
  <c r="AQ336" i="48" s="1"/>
  <c r="AO524" i="48"/>
  <c r="AO297" i="48"/>
  <c r="AO747" i="48"/>
  <c r="AO143" i="48"/>
  <c r="AO241" i="48"/>
  <c r="AO642" i="48"/>
  <c r="AO1267" i="48"/>
  <c r="AO1018" i="48"/>
  <c r="AO543" i="48"/>
  <c r="AO369" i="48"/>
  <c r="AO825" i="48"/>
  <c r="AO468" i="48"/>
  <c r="AO225" i="48"/>
  <c r="AO1024" i="48"/>
  <c r="AO1013" i="48"/>
  <c r="AO418" i="48"/>
  <c r="AO114" i="48"/>
  <c r="AO1092" i="48"/>
  <c r="AO1325" i="48"/>
  <c r="AO139" i="48"/>
  <c r="AO236" i="48"/>
  <c r="AP236" i="48" s="1"/>
  <c r="AQ236" i="48" s="1"/>
  <c r="AO814" i="48"/>
  <c r="AO991" i="48"/>
  <c r="AO565" i="48"/>
  <c r="AO271" i="48"/>
  <c r="AO325" i="48"/>
  <c r="AO962" i="48"/>
  <c r="AO140" i="48"/>
  <c r="AO319" i="48"/>
  <c r="AO212" i="48"/>
  <c r="AO1120" i="48"/>
  <c r="AO262" i="48"/>
  <c r="AO965" i="48"/>
  <c r="AO613" i="48"/>
  <c r="AO1264" i="48"/>
  <c r="AO86" i="48"/>
  <c r="AP86" i="48" s="1"/>
  <c r="AQ86" i="48" s="1"/>
  <c r="AO988" i="48"/>
  <c r="AO1170" i="48"/>
  <c r="AO942" i="48"/>
  <c r="AO824" i="48"/>
  <c r="AO246" i="48"/>
  <c r="AO839" i="48"/>
  <c r="AO1168" i="48"/>
  <c r="AO463" i="48"/>
  <c r="AO1039" i="48"/>
  <c r="AO1293" i="48"/>
  <c r="AO270" i="48"/>
  <c r="AO96" i="48"/>
  <c r="AO263" i="48"/>
  <c r="AO700" i="48"/>
  <c r="AO187" i="48"/>
  <c r="AO1265" i="48"/>
  <c r="AO966" i="48"/>
  <c r="AO211" i="48"/>
  <c r="AP211" i="48" s="1"/>
  <c r="AQ211" i="48" s="1"/>
  <c r="AO442" i="48"/>
  <c r="AO100" i="48"/>
  <c r="AO499" i="48"/>
  <c r="AO462" i="48"/>
  <c r="AO249" i="48"/>
  <c r="AO1271" i="48"/>
  <c r="AO1315" i="48"/>
  <c r="AO66" i="48"/>
  <c r="AO686" i="48"/>
  <c r="AP686" i="48" s="1"/>
  <c r="AQ686" i="48" s="1"/>
  <c r="AO472" i="48"/>
  <c r="AO697" i="48"/>
  <c r="AO514" i="48"/>
  <c r="AO250" i="48"/>
  <c r="AO73" i="48"/>
  <c r="AO67" i="48"/>
  <c r="AO450" i="48"/>
  <c r="AO243" i="48"/>
  <c r="AO645" i="48"/>
  <c r="AO216" i="48"/>
  <c r="AO166" i="48"/>
  <c r="AO466" i="48"/>
  <c r="AO1323" i="48"/>
  <c r="AO841" i="48"/>
  <c r="AO588" i="48"/>
  <c r="AO1173" i="48"/>
  <c r="AO895" i="48"/>
  <c r="AO541" i="48"/>
  <c r="AO713" i="48"/>
  <c r="AO741" i="48"/>
  <c r="AO341" i="48"/>
  <c r="AO274" i="48"/>
  <c r="AO566" i="48"/>
  <c r="AO91" i="48"/>
  <c r="AO199" i="48"/>
  <c r="AO698" i="48"/>
  <c r="AO266" i="48"/>
  <c r="AO172" i="48"/>
  <c r="AO990" i="48"/>
  <c r="AO1186" i="48"/>
  <c r="AP1186" i="48" s="1"/>
  <c r="AQ1186" i="48" s="1"/>
  <c r="AO123" i="48"/>
  <c r="AO1348" i="48"/>
  <c r="AO411" i="48"/>
  <c r="AP411" i="48" s="1"/>
  <c r="AQ411" i="48" s="1"/>
  <c r="AO346" i="48"/>
  <c r="AO987" i="48"/>
  <c r="AO1136" i="48"/>
  <c r="AP1136" i="48" s="1"/>
  <c r="AQ1136" i="48" s="1"/>
  <c r="AO515" i="48"/>
  <c r="AO464" i="48"/>
  <c r="AO1299" i="48"/>
  <c r="AO440" i="48"/>
  <c r="AO974" i="48"/>
  <c r="AO247" i="48"/>
  <c r="AO746" i="48"/>
  <c r="AO786" i="48"/>
  <c r="AP786" i="48" s="1"/>
  <c r="AQ786" i="48" s="1"/>
  <c r="AO87" i="48"/>
  <c r="AO195" i="48"/>
  <c r="AO1040" i="48"/>
  <c r="AO1192" i="48"/>
  <c r="AO647" i="48"/>
  <c r="AO993" i="48"/>
  <c r="AO592" i="48"/>
  <c r="AO1144" i="48"/>
  <c r="AO393" i="48"/>
  <c r="AO120" i="48"/>
  <c r="AO1347" i="48"/>
  <c r="AO1243" i="48"/>
  <c r="AO189" i="48"/>
  <c r="AO641" i="48"/>
  <c r="AO950" i="48"/>
  <c r="AO275" i="48"/>
  <c r="AO866" i="48"/>
  <c r="AO750" i="48"/>
  <c r="AO141" i="48"/>
  <c r="AO1017" i="48"/>
  <c r="AO498" i="48"/>
  <c r="AO167" i="48"/>
  <c r="AO168" i="48"/>
  <c r="AO1241" i="48"/>
  <c r="AO800" i="48"/>
  <c r="AO1142" i="48"/>
  <c r="AO693" i="48"/>
  <c r="AO1050" i="48"/>
  <c r="AO170" i="48"/>
  <c r="AO337" i="48"/>
  <c r="AO1070" i="48"/>
  <c r="AO1138" i="48"/>
  <c r="AO1115" i="48"/>
  <c r="AO817" i="48"/>
  <c r="AO736" i="48"/>
  <c r="AP736" i="48" s="1"/>
  <c r="AQ736" i="48" s="1"/>
  <c r="AO121" i="48"/>
  <c r="AO371" i="48"/>
  <c r="AO1240" i="48"/>
  <c r="AO116" i="48"/>
  <c r="AO398" i="48"/>
  <c r="AO295" i="48"/>
  <c r="AO822" i="48"/>
  <c r="AO574" i="48"/>
  <c r="AO863" i="48"/>
  <c r="AO89" i="48"/>
  <c r="AO868" i="48"/>
  <c r="AO773" i="48"/>
  <c r="AO788" i="48"/>
  <c r="AO740" i="48"/>
  <c r="AO1249" i="48"/>
  <c r="AO1147" i="48"/>
  <c r="AO765" i="48"/>
  <c r="AO837" i="48"/>
  <c r="AO94" i="48"/>
  <c r="AO422" i="48"/>
  <c r="AO771" i="48"/>
  <c r="AO1086" i="48"/>
  <c r="AP1086" i="48" s="1"/>
  <c r="AQ1086" i="48" s="1"/>
  <c r="AO1261" i="48"/>
  <c r="AP1261" i="48" s="1"/>
  <c r="AQ1261" i="48" s="1"/>
  <c r="AO944" i="48"/>
  <c r="AO223" i="48"/>
  <c r="AO1289" i="48"/>
  <c r="AO812" i="48"/>
  <c r="AO163" i="48"/>
  <c r="AO98" i="48"/>
  <c r="AO695" i="48"/>
  <c r="AO390" i="48"/>
  <c r="AO643" i="48"/>
  <c r="AO1194" i="48"/>
  <c r="AO267" i="48"/>
  <c r="AO569" i="48"/>
  <c r="AO573" i="48"/>
  <c r="AO1295" i="48"/>
  <c r="AO1097" i="48"/>
  <c r="AO92" i="48"/>
  <c r="AO320" i="48"/>
  <c r="AO348" i="48"/>
  <c r="AO1072" i="48"/>
  <c r="AO1012" i="48"/>
  <c r="AO215" i="48"/>
  <c r="AO596" i="48"/>
  <c r="AO1117" i="48"/>
  <c r="AO343" i="48"/>
  <c r="AO200" i="48"/>
  <c r="AO446" i="48"/>
  <c r="AO298" i="48"/>
  <c r="AO388" i="48"/>
  <c r="AO146" i="48"/>
  <c r="AO1065" i="48"/>
  <c r="AO619" i="48"/>
  <c r="AO594" i="48"/>
  <c r="AO239" i="48"/>
  <c r="AO1150" i="48"/>
  <c r="AO1169" i="48"/>
  <c r="AO819" i="48"/>
  <c r="AO567" i="48"/>
  <c r="AO1317" i="48"/>
  <c r="AO367" i="48"/>
  <c r="AO1049" i="48"/>
  <c r="AO821" i="48"/>
  <c r="AO395" i="48"/>
  <c r="AO222" i="48"/>
  <c r="AO745" i="48"/>
  <c r="AO289" i="48"/>
  <c r="AO1171" i="48"/>
  <c r="AO816" i="48"/>
  <c r="AO373" i="48"/>
  <c r="AO1222" i="48"/>
  <c r="AO1237" i="48"/>
  <c r="AO492" i="48"/>
  <c r="AO1275" i="48"/>
  <c r="AO1137" i="48"/>
  <c r="AO715" i="48"/>
  <c r="AO494" i="48"/>
  <c r="AO887" i="48"/>
  <c r="AO161" i="48"/>
  <c r="AP161" i="48" s="1"/>
  <c r="AQ161" i="48" s="1"/>
  <c r="AO387" i="48"/>
  <c r="AO519" i="48"/>
  <c r="AO1088" i="48"/>
  <c r="AO244" i="48"/>
  <c r="AO764" i="48"/>
  <c r="AO723" i="48"/>
  <c r="AO1324" i="48"/>
  <c r="AO646" i="48"/>
  <c r="AO796" i="48"/>
  <c r="AO112" i="48"/>
  <c r="AO164" i="48"/>
  <c r="AO197" i="48"/>
  <c r="AO264" i="48"/>
  <c r="AO919" i="48"/>
  <c r="AO761" i="48"/>
  <c r="AP761" i="48" s="1"/>
  <c r="AQ761" i="48" s="1"/>
  <c r="AO1314" i="48"/>
  <c r="AO972" i="48"/>
  <c r="AO265" i="48"/>
  <c r="AO1211" i="48"/>
  <c r="AP1211" i="48" s="1"/>
  <c r="AQ1211" i="48" s="1"/>
  <c r="AO892" i="48"/>
  <c r="AO989" i="48"/>
  <c r="AO975" i="48"/>
  <c r="AO587" i="48"/>
  <c r="AO1149" i="48"/>
  <c r="AO586" i="48"/>
  <c r="AP586" i="48" s="1"/>
  <c r="AQ586" i="48" s="1"/>
  <c r="AO218" i="48"/>
  <c r="AO870" i="48"/>
  <c r="AO61" i="48"/>
  <c r="AP61" i="48" s="1"/>
  <c r="AQ61" i="48" s="1"/>
  <c r="AO74" i="48"/>
  <c r="AO1272" i="48"/>
  <c r="AO918" i="48"/>
  <c r="AO572" i="48"/>
  <c r="AO68" i="48"/>
  <c r="AO469" i="48"/>
  <c r="AO1019" i="48"/>
  <c r="AO363" i="48"/>
  <c r="AO345" i="48"/>
  <c r="AO818" i="48"/>
  <c r="AO1316" i="48"/>
  <c r="AO1046" i="48"/>
  <c r="AO1061" i="48"/>
  <c r="AP1061" i="48" s="1"/>
  <c r="AQ1061" i="48" s="1"/>
  <c r="AO1218" i="48"/>
  <c r="AO399" i="48"/>
  <c r="AO916" i="48"/>
  <c r="AO414" i="48"/>
  <c r="AO844" i="48"/>
  <c r="AO636" i="48"/>
  <c r="AP636" i="48" s="1"/>
  <c r="AQ636" i="48" s="1"/>
  <c r="AO111" i="48"/>
  <c r="AP111" i="48" s="1"/>
  <c r="AQ111" i="48" s="1"/>
  <c r="AO471" i="48"/>
  <c r="AO374" i="48"/>
  <c r="AO793" i="48"/>
  <c r="AO1073" i="48"/>
  <c r="AO349" i="48"/>
  <c r="AO493" i="48"/>
  <c r="AO1266" i="48"/>
  <c r="AO443" i="48"/>
  <c r="AO299" i="48"/>
  <c r="AO591" i="48"/>
  <c r="AO391" i="48"/>
  <c r="AO943" i="48"/>
  <c r="AO1273" i="48"/>
  <c r="AO1099" i="48"/>
  <c r="AO1116" i="48"/>
  <c r="AO1216" i="48"/>
  <c r="AO415" i="48"/>
  <c r="AO737" i="48"/>
  <c r="AO888" i="48"/>
  <c r="AO1174" i="48"/>
  <c r="AO449" i="48"/>
  <c r="AO169" i="48"/>
  <c r="AO947" i="48"/>
  <c r="AO921" i="48"/>
  <c r="AO420" i="48"/>
  <c r="AO1340" i="48"/>
  <c r="AO165" i="48"/>
  <c r="AO1298" i="48"/>
  <c r="AO441" i="48"/>
  <c r="AO523" i="48"/>
  <c r="AO1038" i="48"/>
  <c r="AO1121" i="48"/>
  <c r="AO511" i="48"/>
  <c r="AP511" i="48" s="1"/>
  <c r="AQ511" i="48" s="1"/>
  <c r="AO571" i="48"/>
  <c r="AO245" i="48"/>
  <c r="AO1220" i="48"/>
  <c r="AO287" i="48"/>
  <c r="AO213" i="48"/>
  <c r="AO338" i="48"/>
  <c r="AO617" i="48"/>
  <c r="AO564" i="48"/>
  <c r="AO1139" i="48"/>
  <c r="AO968" i="48"/>
  <c r="AO971" i="48"/>
  <c r="AO1320" i="48"/>
  <c r="AO217" i="48"/>
  <c r="AO650" i="48"/>
  <c r="AO1187" i="48"/>
  <c r="AO190" i="48"/>
  <c r="AO149" i="48"/>
  <c r="AO269" i="48"/>
  <c r="AO192" i="48"/>
  <c r="AO917" i="48"/>
  <c r="AO799" i="48"/>
  <c r="AO716" i="48"/>
  <c r="AO175" i="48"/>
  <c r="AO1242" i="48"/>
  <c r="AO1093" i="48"/>
  <c r="AO717" i="48"/>
  <c r="AO549" i="48"/>
  <c r="AO1143" i="48"/>
  <c r="AO1300" i="48"/>
  <c r="AO412" i="48"/>
  <c r="AO544" i="48"/>
  <c r="AO512" i="48"/>
  <c r="AO563" i="48"/>
  <c r="AO397" i="48"/>
  <c r="AO522" i="48"/>
  <c r="AO568" i="48"/>
  <c r="AO1067" i="48"/>
  <c r="AO119" i="48"/>
  <c r="AO188" i="48"/>
  <c r="AO896" i="48"/>
  <c r="AO173" i="48"/>
  <c r="AO941" i="48"/>
  <c r="AO1286" i="48"/>
  <c r="AP1286" i="48" s="1"/>
  <c r="AQ1286" i="48" s="1"/>
  <c r="AO538" i="48"/>
  <c r="AO945" i="48"/>
  <c r="AO290" i="48"/>
  <c r="AO611" i="48"/>
  <c r="AP611" i="48" s="1"/>
  <c r="AQ611" i="48" s="1"/>
  <c r="AO797" i="48"/>
  <c r="AO1269" i="48"/>
  <c r="AO869" i="48"/>
  <c r="AO688" i="48"/>
  <c r="AO421" i="48"/>
  <c r="AO739" i="48"/>
  <c r="AO893" i="48"/>
  <c r="AO961" i="48"/>
  <c r="AP961" i="48" s="1"/>
  <c r="AQ961" i="48" s="1"/>
  <c r="AO1146" i="48"/>
  <c r="AO766" i="48"/>
  <c r="AO386" i="48"/>
  <c r="AP386" i="48" s="1"/>
  <c r="AQ386" i="48" s="1"/>
  <c r="AO836" i="48"/>
  <c r="AP836" i="48" s="1"/>
  <c r="AQ836" i="48" s="1"/>
  <c r="AO95" i="48"/>
  <c r="AO423" i="48"/>
  <c r="AO1343" i="48"/>
  <c r="AO1262" i="48"/>
  <c r="AO1244" i="48"/>
  <c r="AO1095" i="48"/>
  <c r="AO317" i="48"/>
  <c r="AO1123" i="48"/>
  <c r="AO637" i="48"/>
  <c r="AO719" i="48"/>
  <c r="AO1196" i="48"/>
  <c r="AO924" i="48"/>
  <c r="AO743" i="48"/>
  <c r="AO1217" i="48"/>
  <c r="AO242" i="48"/>
  <c r="AO1319" i="48"/>
  <c r="AO444" i="48"/>
  <c r="AO362" i="48"/>
  <c r="AO438" i="48"/>
  <c r="AO1089" i="48"/>
  <c r="AO1250" i="48"/>
  <c r="AO1344" i="48"/>
  <c r="AO770" i="48"/>
  <c r="AO772" i="48"/>
  <c r="AO542" i="48"/>
  <c r="AO1195" i="48"/>
  <c r="AO692" i="48"/>
  <c r="AO1270" i="48"/>
  <c r="AO1044" i="48"/>
  <c r="AO967" i="48"/>
  <c r="AO292" i="48"/>
  <c r="AO575" i="48"/>
  <c r="AO721" i="48"/>
  <c r="AO561" i="48"/>
  <c r="AP561" i="48" s="1"/>
  <c r="AQ561" i="48" s="1"/>
  <c r="AO999" i="48"/>
  <c r="AO339" i="48"/>
  <c r="AO547" i="48"/>
  <c r="AO725" i="48"/>
  <c r="AO321" i="48"/>
  <c r="AO286" i="48"/>
  <c r="AP286" i="48" s="1"/>
  <c r="AQ286" i="48" s="1"/>
  <c r="AO424" i="48"/>
  <c r="AO500" i="48"/>
  <c r="AO599" i="48"/>
  <c r="AO949" i="48"/>
  <c r="AO517" i="48"/>
  <c r="AO1175" i="48"/>
  <c r="AO539" i="48"/>
  <c r="AO845" i="48"/>
  <c r="AO497" i="48"/>
  <c r="AO1198" i="48"/>
  <c r="AO846" i="48"/>
  <c r="AO789" i="48"/>
  <c r="AO364" i="48"/>
  <c r="AO1166" i="48"/>
  <c r="AO1274" i="48"/>
  <c r="AO322" i="48"/>
  <c r="AO1321" i="48"/>
  <c r="AO969" i="48"/>
  <c r="AO361" i="48"/>
  <c r="AP361" i="48" s="1"/>
  <c r="AQ361" i="48" s="1"/>
  <c r="AO597" i="48"/>
  <c r="AO1165" i="48"/>
  <c r="AO525" i="48"/>
  <c r="AO545" i="48"/>
  <c r="AO1087" i="48"/>
  <c r="AP1087" i="48" s="1"/>
  <c r="AO536" i="48"/>
  <c r="AP536" i="48" s="1"/>
  <c r="AQ536" i="48" s="1"/>
  <c r="AO570" i="48"/>
  <c r="AO1246" i="48"/>
  <c r="AO794" i="48"/>
  <c r="AO314" i="48"/>
  <c r="AO1098" i="48"/>
  <c r="AO520" i="48"/>
  <c r="AO920" i="48"/>
  <c r="AO946" i="48"/>
  <c r="AO1041" i="48"/>
  <c r="AO437" i="48"/>
  <c r="AO689" i="48"/>
  <c r="AO1042" i="48"/>
  <c r="AO495" i="48"/>
  <c r="AO712" i="48"/>
  <c r="AO1342" i="48"/>
  <c r="AO1215" i="48"/>
  <c r="AO490" i="48"/>
  <c r="AO273" i="48"/>
  <c r="AO1011" i="48"/>
  <c r="AP1011" i="48" s="1"/>
  <c r="AQ1011" i="48" s="1"/>
  <c r="AO872" i="48"/>
  <c r="AO311" i="48"/>
  <c r="AP311" i="48" s="1"/>
  <c r="AQ311" i="48" s="1"/>
  <c r="AO1037" i="48"/>
  <c r="AO261" i="48"/>
  <c r="AP261" i="48" s="1"/>
  <c r="AQ261" i="48" s="1"/>
  <c r="AO465" i="48"/>
  <c r="AO90" i="48"/>
  <c r="AO1122" i="48"/>
  <c r="AO313" i="48"/>
  <c r="AO71" i="48"/>
  <c r="AO70" i="48"/>
  <c r="AO75" i="48"/>
  <c r="AO69" i="48"/>
  <c r="AO986" i="48"/>
  <c r="AP986" i="48" s="1"/>
  <c r="AQ986" i="48" s="1"/>
  <c r="AO221" i="48"/>
  <c r="AO620" i="48"/>
  <c r="AO970" i="48"/>
  <c r="AO118" i="48"/>
  <c r="AO1263" i="48"/>
  <c r="F3" i="21"/>
  <c r="AP737" i="48" l="1"/>
  <c r="AP787" i="48"/>
  <c r="AP788" i="48" s="1"/>
  <c r="AP789" i="48" s="1"/>
  <c r="AP237" i="48"/>
  <c r="AQ237" i="48" s="1"/>
  <c r="AP1112" i="48"/>
  <c r="AQ1112" i="48" s="1"/>
  <c r="AP687" i="48"/>
  <c r="AQ687" i="48" s="1"/>
  <c r="AP1137" i="48"/>
  <c r="AP1138" i="48" s="1"/>
  <c r="AP1139" i="48" s="1"/>
  <c r="AP862" i="48"/>
  <c r="AP863" i="48" s="1"/>
  <c r="AQ863" i="48" s="1"/>
  <c r="AP1037" i="48"/>
  <c r="AQ1037" i="48" s="1"/>
  <c r="AP712" i="48"/>
  <c r="AP713" i="48" s="1"/>
  <c r="AP714" i="48" s="1"/>
  <c r="AP112" i="48"/>
  <c r="AQ112" i="48" s="1"/>
  <c r="AP637" i="48"/>
  <c r="AQ637" i="48" s="1"/>
  <c r="AP887" i="48"/>
  <c r="AQ887" i="48" s="1"/>
  <c r="AP462" i="48"/>
  <c r="AQ462" i="48" s="1"/>
  <c r="AP937" i="48"/>
  <c r="AQ937" i="48" s="1"/>
  <c r="AP437" i="48"/>
  <c r="AQ437" i="48" s="1"/>
  <c r="AP412" i="48"/>
  <c r="AP413" i="48" s="1"/>
  <c r="AQ413" i="48" s="1"/>
  <c r="AP387" i="48"/>
  <c r="AP388" i="48" s="1"/>
  <c r="AP389" i="48" s="1"/>
  <c r="AP87" i="48"/>
  <c r="AQ87" i="48" s="1"/>
  <c r="AP1088" i="48"/>
  <c r="AQ1088" i="48" s="1"/>
  <c r="AP1262" i="48"/>
  <c r="AP1263" i="48" s="1"/>
  <c r="AP1187" i="48"/>
  <c r="AP1188" i="48" s="1"/>
  <c r="AP1189" i="48" s="1"/>
  <c r="AP337" i="48"/>
  <c r="AQ337" i="48" s="1"/>
  <c r="AP1162" i="48"/>
  <c r="AP512" i="48"/>
  <c r="AQ512" i="48" s="1"/>
  <c r="AP812" i="48"/>
  <c r="AQ812" i="48" s="1"/>
  <c r="AP1337" i="48"/>
  <c r="AP1338" i="48" s="1"/>
  <c r="AQ1338" i="48" s="1"/>
  <c r="AP137" i="48"/>
  <c r="AP138" i="48" s="1"/>
  <c r="AQ138" i="48" s="1"/>
  <c r="AP362" i="48"/>
  <c r="AQ362" i="48" s="1"/>
  <c r="AP1287" i="48"/>
  <c r="AP1288" i="48" s="1"/>
  <c r="AP1289" i="48" s="1"/>
  <c r="AP738" i="48"/>
  <c r="AQ738" i="48" s="1"/>
  <c r="AQ737" i="48"/>
  <c r="AP62" i="48"/>
  <c r="AQ62" i="48" s="1"/>
  <c r="AP962" i="48"/>
  <c r="AP963" i="48" s="1"/>
  <c r="AP964" i="48" s="1"/>
  <c r="AP612" i="48"/>
  <c r="AP837" i="48"/>
  <c r="AQ837" i="48" s="1"/>
  <c r="AP262" i="48"/>
  <c r="AQ262" i="48" s="1"/>
  <c r="AQ1087" i="48"/>
  <c r="AP312" i="48"/>
  <c r="AP313" i="48" s="1"/>
  <c r="AQ313" i="48" s="1"/>
  <c r="AP287" i="48"/>
  <c r="AP162" i="48"/>
  <c r="AP587" i="48"/>
  <c r="AP1237" i="48"/>
  <c r="AP1012" i="48"/>
  <c r="AP762" i="48"/>
  <c r="AP212" i="48"/>
  <c r="AP912" i="48"/>
  <c r="AP1312" i="48"/>
  <c r="AP562" i="48"/>
  <c r="AP987" i="48"/>
  <c r="AP187" i="48"/>
  <c r="AP537" i="48"/>
  <c r="AP487" i="48"/>
  <c r="AP1212" i="48"/>
  <c r="AP1062" i="48"/>
  <c r="AQ787" i="48"/>
  <c r="AQ788" i="48"/>
  <c r="AQ1137" i="48" l="1"/>
  <c r="AP1113" i="48"/>
  <c r="AQ1113" i="48" s="1"/>
  <c r="AP238" i="48"/>
  <c r="AQ238" i="48" s="1"/>
  <c r="AQ1138" i="48"/>
  <c r="AP1038" i="48"/>
  <c r="AQ1038" i="48" s="1"/>
  <c r="AP638" i="48"/>
  <c r="AP639" i="48" s="1"/>
  <c r="AQ639" i="48" s="1"/>
  <c r="AP888" i="48"/>
  <c r="AP889" i="48" s="1"/>
  <c r="AQ889" i="48" s="1"/>
  <c r="AQ388" i="48"/>
  <c r="AP938" i="48"/>
  <c r="AQ938" i="48" s="1"/>
  <c r="AQ387" i="48"/>
  <c r="AP113" i="48"/>
  <c r="AP114" i="48" s="1"/>
  <c r="AP115" i="48" s="1"/>
  <c r="AP463" i="48"/>
  <c r="AP464" i="48" s="1"/>
  <c r="AQ464" i="48" s="1"/>
  <c r="AQ862" i="48"/>
  <c r="AP688" i="48"/>
  <c r="AP689" i="48" s="1"/>
  <c r="AP690" i="48" s="1"/>
  <c r="AP513" i="48"/>
  <c r="AP514" i="48" s="1"/>
  <c r="AP515" i="48" s="1"/>
  <c r="AP438" i="48"/>
  <c r="AP439" i="48" s="1"/>
  <c r="AQ439" i="48" s="1"/>
  <c r="AQ137" i="48"/>
  <c r="AP139" i="48"/>
  <c r="AQ139" i="48" s="1"/>
  <c r="AQ1188" i="48"/>
  <c r="AQ1187" i="48"/>
  <c r="AQ713" i="48"/>
  <c r="AQ712" i="48"/>
  <c r="AP88" i="48"/>
  <c r="AQ88" i="48" s="1"/>
  <c r="AP864" i="48"/>
  <c r="AQ864" i="48" s="1"/>
  <c r="AP838" i="48"/>
  <c r="AP839" i="48" s="1"/>
  <c r="AQ839" i="48" s="1"/>
  <c r="AQ1288" i="48"/>
  <c r="AP414" i="48"/>
  <c r="AP415" i="48" s="1"/>
  <c r="AP1089" i="48"/>
  <c r="AP1090" i="48" s="1"/>
  <c r="AQ412" i="48"/>
  <c r="AP338" i="48"/>
  <c r="AQ963" i="48"/>
  <c r="AP813" i="48"/>
  <c r="AP814" i="48" s="1"/>
  <c r="AP815" i="48" s="1"/>
  <c r="AQ1263" i="48"/>
  <c r="AP1264" i="48"/>
  <c r="AQ1264" i="48" s="1"/>
  <c r="AP1339" i="48"/>
  <c r="AP1340" i="48" s="1"/>
  <c r="AQ1262" i="48"/>
  <c r="AP363" i="48"/>
  <c r="AQ363" i="48" s="1"/>
  <c r="AQ1162" i="48"/>
  <c r="AP1163" i="48"/>
  <c r="AQ962" i="48"/>
  <c r="AQ1337" i="48"/>
  <c r="AP63" i="48"/>
  <c r="AQ63" i="48" s="1"/>
  <c r="AQ1287" i="48"/>
  <c r="AP263" i="48"/>
  <c r="AP314" i="48"/>
  <c r="AQ314" i="48" s="1"/>
  <c r="AP739" i="48"/>
  <c r="AP740" i="48" s="1"/>
  <c r="AQ612" i="48"/>
  <c r="AP613" i="48"/>
  <c r="AQ312" i="48"/>
  <c r="AP1063" i="48"/>
  <c r="AQ1062" i="48"/>
  <c r="AP188" i="48"/>
  <c r="AQ187" i="48"/>
  <c r="AP913" i="48"/>
  <c r="AQ912" i="48"/>
  <c r="AQ1212" i="48"/>
  <c r="AP1213" i="48"/>
  <c r="AQ987" i="48"/>
  <c r="AP988" i="48"/>
  <c r="AP213" i="48"/>
  <c r="AQ212" i="48"/>
  <c r="AP588" i="48"/>
  <c r="AQ587" i="48"/>
  <c r="AP488" i="48"/>
  <c r="AQ487" i="48"/>
  <c r="AQ562" i="48"/>
  <c r="AP563" i="48"/>
  <c r="AP763" i="48"/>
  <c r="AQ762" i="48"/>
  <c r="AP163" i="48"/>
  <c r="AQ162" i="48"/>
  <c r="AQ1237" i="48"/>
  <c r="AP1238" i="48"/>
  <c r="AQ537" i="48"/>
  <c r="AP538" i="48"/>
  <c r="AP1313" i="48"/>
  <c r="AQ1312" i="48"/>
  <c r="AQ1012" i="48"/>
  <c r="AP1013" i="48"/>
  <c r="AP288" i="48"/>
  <c r="AQ287" i="48"/>
  <c r="AP390" i="48"/>
  <c r="AQ389" i="48"/>
  <c r="AP1190" i="48"/>
  <c r="AQ1189" i="48"/>
  <c r="AQ714" i="48"/>
  <c r="AP715" i="48"/>
  <c r="AP1290" i="48"/>
  <c r="AQ1289" i="48"/>
  <c r="AP1140" i="48"/>
  <c r="AQ1139" i="48"/>
  <c r="AP790" i="48"/>
  <c r="AQ789" i="48"/>
  <c r="AQ964" i="48"/>
  <c r="AP965" i="48"/>
  <c r="AP1114" i="48" l="1"/>
  <c r="AQ1114" i="48" s="1"/>
  <c r="AP640" i="48"/>
  <c r="AQ688" i="48"/>
  <c r="AP1039" i="48"/>
  <c r="AQ1039" i="48" s="1"/>
  <c r="AP239" i="48"/>
  <c r="AP240" i="48" s="1"/>
  <c r="AP241" i="48" s="1"/>
  <c r="AP890" i="48"/>
  <c r="AQ890" i="48" s="1"/>
  <c r="AQ638" i="48"/>
  <c r="AQ514" i="48"/>
  <c r="AQ888" i="48"/>
  <c r="AQ114" i="48"/>
  <c r="AP140" i="48"/>
  <c r="AP141" i="48" s="1"/>
  <c r="AQ113" i="48"/>
  <c r="AQ463" i="48"/>
  <c r="AP465" i="48"/>
  <c r="AP466" i="48" s="1"/>
  <c r="AP440" i="48"/>
  <c r="AQ440" i="48" s="1"/>
  <c r="AQ438" i="48"/>
  <c r="AP939" i="48"/>
  <c r="AP940" i="48" s="1"/>
  <c r="AQ940" i="48" s="1"/>
  <c r="AQ689" i="48"/>
  <c r="AQ513" i="48"/>
  <c r="AQ739" i="48"/>
  <c r="AQ814" i="48"/>
  <c r="AP89" i="48"/>
  <c r="AP90" i="48" s="1"/>
  <c r="AP91" i="48" s="1"/>
  <c r="AP865" i="48"/>
  <c r="AQ865" i="48" s="1"/>
  <c r="AQ813" i="48"/>
  <c r="AP315" i="48"/>
  <c r="AQ315" i="48" s="1"/>
  <c r="AP840" i="48"/>
  <c r="AP841" i="48" s="1"/>
  <c r="AQ414" i="48"/>
  <c r="AQ838" i="48"/>
  <c r="AP64" i="48"/>
  <c r="AQ64" i="48" s="1"/>
  <c r="AQ1089" i="48"/>
  <c r="AQ1339" i="48"/>
  <c r="AP1265" i="48"/>
  <c r="AP1266" i="48" s="1"/>
  <c r="AQ338" i="48"/>
  <c r="AP339" i="48"/>
  <c r="AP364" i="48"/>
  <c r="AQ364" i="48" s="1"/>
  <c r="AQ263" i="48"/>
  <c r="AP264" i="48"/>
  <c r="AQ1163" i="48"/>
  <c r="AP1164" i="48"/>
  <c r="AP614" i="48"/>
  <c r="AQ613" i="48"/>
  <c r="AQ288" i="48"/>
  <c r="AP289" i="48"/>
  <c r="AP1314" i="48"/>
  <c r="AQ1313" i="48"/>
  <c r="AQ763" i="48"/>
  <c r="AP764" i="48"/>
  <c r="AQ488" i="48"/>
  <c r="AP489" i="48"/>
  <c r="AP214" i="48"/>
  <c r="AQ213" i="48"/>
  <c r="AP539" i="48"/>
  <c r="AQ538" i="48"/>
  <c r="AQ563" i="48"/>
  <c r="AP564" i="48"/>
  <c r="AQ988" i="48"/>
  <c r="AP989" i="48"/>
  <c r="AP164" i="48"/>
  <c r="AQ163" i="48"/>
  <c r="AQ588" i="48"/>
  <c r="AP589" i="48"/>
  <c r="AP1014" i="48"/>
  <c r="AQ1013" i="48"/>
  <c r="AQ188" i="48"/>
  <c r="AP189" i="48"/>
  <c r="AQ1238" i="48"/>
  <c r="AP1239" i="48"/>
  <c r="AQ1213" i="48"/>
  <c r="AP1214" i="48"/>
  <c r="AP914" i="48"/>
  <c r="AQ913" i="48"/>
  <c r="AQ1063" i="48"/>
  <c r="AP1064" i="48"/>
  <c r="AP1115" i="48"/>
  <c r="AQ1115" i="48" s="1"/>
  <c r="AQ965" i="48"/>
  <c r="AP966" i="48"/>
  <c r="AP816" i="48"/>
  <c r="AQ815" i="48"/>
  <c r="AQ715" i="48"/>
  <c r="AP716" i="48"/>
  <c r="AP516" i="48"/>
  <c r="AQ515" i="48"/>
  <c r="AP791" i="48"/>
  <c r="AQ790" i="48"/>
  <c r="AP1141" i="48"/>
  <c r="AQ1140" i="48"/>
  <c r="AP1291" i="48"/>
  <c r="AQ1290" i="48"/>
  <c r="AP1191" i="48"/>
  <c r="AQ1190" i="48"/>
  <c r="AQ390" i="48"/>
  <c r="AP391" i="48"/>
  <c r="AQ1090" i="48"/>
  <c r="AP1091" i="48"/>
  <c r="AQ1340" i="48"/>
  <c r="AP1341" i="48"/>
  <c r="AP641" i="48"/>
  <c r="AQ640" i="48"/>
  <c r="AQ415" i="48"/>
  <c r="AP416" i="48"/>
  <c r="AP116" i="48"/>
  <c r="AQ115" i="48"/>
  <c r="AQ690" i="48"/>
  <c r="AP691" i="48"/>
  <c r="AQ740" i="48"/>
  <c r="AP741" i="48"/>
  <c r="AP441" i="48" l="1"/>
  <c r="AQ240" i="48"/>
  <c r="AQ239" i="48"/>
  <c r="AP891" i="48"/>
  <c r="AQ891" i="48" s="1"/>
  <c r="AP1040" i="48"/>
  <c r="AQ1040" i="48" s="1"/>
  <c r="AQ939" i="48"/>
  <c r="AP941" i="48"/>
  <c r="AP942" i="48" s="1"/>
  <c r="AQ140" i="48"/>
  <c r="AQ465" i="48"/>
  <c r="AQ90" i="48"/>
  <c r="AQ89" i="48"/>
  <c r="AP866" i="48"/>
  <c r="AP867" i="48" s="1"/>
  <c r="AP316" i="48"/>
  <c r="AQ316" i="48" s="1"/>
  <c r="AQ840" i="48"/>
  <c r="AQ1265" i="48"/>
  <c r="AP65" i="48"/>
  <c r="AQ339" i="48"/>
  <c r="AP340" i="48"/>
  <c r="AP365" i="48"/>
  <c r="AP1165" i="48"/>
  <c r="AQ1164" i="48"/>
  <c r="AP265" i="48"/>
  <c r="AQ264" i="48"/>
  <c r="AQ614" i="48"/>
  <c r="AP615" i="48"/>
  <c r="AP1116" i="48"/>
  <c r="AQ1116" i="48" s="1"/>
  <c r="AQ1064" i="48"/>
  <c r="AP1065" i="48"/>
  <c r="AP1215" i="48"/>
  <c r="AQ1214" i="48"/>
  <c r="AP190" i="48"/>
  <c r="AQ189" i="48"/>
  <c r="AQ589" i="48"/>
  <c r="AP590" i="48"/>
  <c r="AP990" i="48"/>
  <c r="AQ989" i="48"/>
  <c r="AQ489" i="48"/>
  <c r="AP490" i="48"/>
  <c r="AQ539" i="48"/>
  <c r="AP540" i="48"/>
  <c r="AP1315" i="48"/>
  <c r="AQ1314" i="48"/>
  <c r="AP1240" i="48"/>
  <c r="AQ1239" i="48"/>
  <c r="AP565" i="48"/>
  <c r="AQ564" i="48"/>
  <c r="AQ764" i="48"/>
  <c r="AP765" i="48"/>
  <c r="AP290" i="48"/>
  <c r="AQ289" i="48"/>
  <c r="AQ914" i="48"/>
  <c r="AP915" i="48"/>
  <c r="AP1015" i="48"/>
  <c r="AQ1014" i="48"/>
  <c r="AP165" i="48"/>
  <c r="AQ164" i="48"/>
  <c r="AP215" i="48"/>
  <c r="AQ214" i="48"/>
  <c r="AP742" i="48"/>
  <c r="AQ741" i="48"/>
  <c r="AQ416" i="48"/>
  <c r="AP417" i="48"/>
  <c r="AP1342" i="48"/>
  <c r="AQ1341" i="48"/>
  <c r="AQ1266" i="48"/>
  <c r="AP1267" i="48"/>
  <c r="AP392" i="48"/>
  <c r="AQ391" i="48"/>
  <c r="AQ1141" i="48"/>
  <c r="AP1142" i="48"/>
  <c r="AQ516" i="48"/>
  <c r="AP517" i="48"/>
  <c r="AQ116" i="48"/>
  <c r="AP117" i="48"/>
  <c r="AQ641" i="48"/>
  <c r="AP642" i="48"/>
  <c r="AQ141" i="48"/>
  <c r="AP142" i="48"/>
  <c r="AP842" i="48"/>
  <c r="AQ841" i="48"/>
  <c r="AP692" i="48"/>
  <c r="AQ691" i="48"/>
  <c r="AP1092" i="48"/>
  <c r="AQ1091" i="48"/>
  <c r="AQ1291" i="48"/>
  <c r="AP1292" i="48"/>
  <c r="AQ791" i="48"/>
  <c r="AP792" i="48"/>
  <c r="AQ816" i="48"/>
  <c r="AP817" i="48"/>
  <c r="AP442" i="48"/>
  <c r="AQ441" i="48"/>
  <c r="AQ91" i="48"/>
  <c r="AP92" i="48"/>
  <c r="AQ466" i="48"/>
  <c r="AP467" i="48"/>
  <c r="AP1192" i="48"/>
  <c r="AQ1191" i="48"/>
  <c r="AQ716" i="48"/>
  <c r="AP717" i="48"/>
  <c r="AQ966" i="48"/>
  <c r="AP967" i="48"/>
  <c r="AQ241" i="48"/>
  <c r="AP242" i="48"/>
  <c r="AQ866" i="48" l="1"/>
  <c r="AP892" i="48"/>
  <c r="AP893" i="48" s="1"/>
  <c r="AQ941" i="48"/>
  <c r="AP1041" i="48"/>
  <c r="AP1042" i="48" s="1"/>
  <c r="AQ1042" i="48" s="1"/>
  <c r="AP317" i="48"/>
  <c r="AQ317" i="48" s="1"/>
  <c r="AQ65" i="48"/>
  <c r="AP66" i="48"/>
  <c r="AP341" i="48"/>
  <c r="AQ340" i="48"/>
  <c r="AP366" i="48"/>
  <c r="AQ365" i="48"/>
  <c r="AQ265" i="48"/>
  <c r="AP266" i="48"/>
  <c r="AP1166" i="48"/>
  <c r="AQ1165" i="48"/>
  <c r="AP1117" i="48"/>
  <c r="AQ1117" i="48" s="1"/>
  <c r="AQ615" i="48"/>
  <c r="AP616" i="48"/>
  <c r="AP491" i="48"/>
  <c r="AQ490" i="48"/>
  <c r="AQ215" i="48"/>
  <c r="AP216" i="48"/>
  <c r="AP1016" i="48"/>
  <c r="AQ1015" i="48"/>
  <c r="AQ565" i="48"/>
  <c r="AP566" i="48"/>
  <c r="AQ1315" i="48"/>
  <c r="AP1316" i="48"/>
  <c r="AQ915" i="48"/>
  <c r="AP916" i="48"/>
  <c r="AQ765" i="48"/>
  <c r="AP766" i="48"/>
  <c r="AQ540" i="48"/>
  <c r="AP541" i="48"/>
  <c r="AP1066" i="48"/>
  <c r="AQ1065" i="48"/>
  <c r="AP591" i="48"/>
  <c r="AQ590" i="48"/>
  <c r="AQ290" i="48"/>
  <c r="AP291" i="48"/>
  <c r="AQ1215" i="48"/>
  <c r="AP1216" i="48"/>
  <c r="AP166" i="48"/>
  <c r="AQ165" i="48"/>
  <c r="AQ1240" i="48"/>
  <c r="AP1241" i="48"/>
  <c r="AQ990" i="48"/>
  <c r="AP991" i="48"/>
  <c r="AP191" i="48"/>
  <c r="AQ190" i="48"/>
  <c r="AQ1192" i="48"/>
  <c r="AP1193" i="48"/>
  <c r="AQ692" i="48"/>
  <c r="AP693" i="48"/>
  <c r="AP393" i="48"/>
  <c r="AQ392" i="48"/>
  <c r="AQ967" i="48"/>
  <c r="AP968" i="48"/>
  <c r="AQ792" i="48"/>
  <c r="AP793" i="48"/>
  <c r="AP118" i="48"/>
  <c r="AQ117" i="48"/>
  <c r="AQ1267" i="48"/>
  <c r="AP1268" i="48"/>
  <c r="AP443" i="48"/>
  <c r="AQ442" i="48"/>
  <c r="AQ1092" i="48"/>
  <c r="AP1093" i="48"/>
  <c r="AP843" i="48"/>
  <c r="AQ842" i="48"/>
  <c r="AP1343" i="48"/>
  <c r="AQ1342" i="48"/>
  <c r="AQ942" i="48"/>
  <c r="AP943" i="48"/>
  <c r="AP743" i="48"/>
  <c r="AQ742" i="48"/>
  <c r="AQ717" i="48"/>
  <c r="AP718" i="48"/>
  <c r="AQ467" i="48"/>
  <c r="AP468" i="48"/>
  <c r="AP93" i="48"/>
  <c r="AQ92" i="48"/>
  <c r="AP818" i="48"/>
  <c r="AQ817" i="48"/>
  <c r="AQ1292" i="48"/>
  <c r="AP1293" i="48"/>
  <c r="AP143" i="48"/>
  <c r="AQ142" i="48"/>
  <c r="AQ642" i="48"/>
  <c r="AP643" i="48"/>
  <c r="AP518" i="48"/>
  <c r="AQ517" i="48"/>
  <c r="AQ1142" i="48"/>
  <c r="AP1143" i="48"/>
  <c r="AQ867" i="48"/>
  <c r="AP868" i="48"/>
  <c r="AQ417" i="48"/>
  <c r="AP418" i="48"/>
  <c r="AQ242" i="48"/>
  <c r="AP243" i="48"/>
  <c r="CI653" i="48"/>
  <c r="AQ892" i="48" l="1"/>
  <c r="AP1043" i="48"/>
  <c r="AQ1043" i="48" s="1"/>
  <c r="AQ1041" i="48"/>
  <c r="W654" i="48"/>
  <c r="AD654" i="48" s="1"/>
  <c r="CI677" i="48"/>
  <c r="CI661" i="48"/>
  <c r="CI671" i="48"/>
  <c r="CI674" i="48"/>
  <c r="CI658" i="48"/>
  <c r="CI664" i="48"/>
  <c r="CI667" i="48"/>
  <c r="CI673" i="48"/>
  <c r="CI657" i="48"/>
  <c r="CI663" i="48"/>
  <c r="CI670" i="48"/>
  <c r="CI654" i="48"/>
  <c r="W655" i="48" s="1"/>
  <c r="CI660" i="48"/>
  <c r="CK10" i="48" s="1"/>
  <c r="CI665" i="48"/>
  <c r="CI655" i="48"/>
  <c r="CI668" i="48"/>
  <c r="CI669" i="48"/>
  <c r="CI672" i="48"/>
  <c r="CI659" i="48"/>
  <c r="CI666" i="48"/>
  <c r="CI676" i="48"/>
  <c r="CI656" i="48"/>
  <c r="CI675" i="48"/>
  <c r="CI662" i="48"/>
  <c r="AP318" i="48"/>
  <c r="AP319" i="48" s="1"/>
  <c r="AP67" i="48"/>
  <c r="AQ66" i="48"/>
  <c r="AQ341" i="48"/>
  <c r="AP342" i="48"/>
  <c r="AQ366" i="48"/>
  <c r="AP367" i="48"/>
  <c r="AP1118" i="48"/>
  <c r="AQ1118" i="48" s="1"/>
  <c r="AQ1166" i="48"/>
  <c r="AP1167" i="48"/>
  <c r="AQ266" i="48"/>
  <c r="AP267" i="48"/>
  <c r="AQ616" i="48"/>
  <c r="AP617" i="48"/>
  <c r="AP217" i="48"/>
  <c r="AQ216" i="48"/>
  <c r="AQ191" i="48"/>
  <c r="AP192" i="48"/>
  <c r="AP592" i="48"/>
  <c r="AQ591" i="48"/>
  <c r="AP1217" i="48"/>
  <c r="AQ1216" i="48"/>
  <c r="AP542" i="48"/>
  <c r="AQ541" i="48"/>
  <c r="AQ916" i="48"/>
  <c r="AP917" i="48"/>
  <c r="AP992" i="48"/>
  <c r="AQ991" i="48"/>
  <c r="AQ291" i="48"/>
  <c r="AP292" i="48"/>
  <c r="AP767" i="48"/>
  <c r="AQ766" i="48"/>
  <c r="AQ1316" i="48"/>
  <c r="AP1317" i="48"/>
  <c r="AQ1241" i="48"/>
  <c r="AP1242" i="48"/>
  <c r="AQ566" i="48"/>
  <c r="AP567" i="48"/>
  <c r="AP167" i="48"/>
  <c r="AQ166" i="48"/>
  <c r="AQ1066" i="48"/>
  <c r="AP1067" i="48"/>
  <c r="AQ1016" i="48"/>
  <c r="AP1017" i="48"/>
  <c r="AQ491" i="48"/>
  <c r="AP492" i="48"/>
  <c r="AQ143" i="48"/>
  <c r="AP144" i="48"/>
  <c r="AQ93" i="48"/>
  <c r="AP94" i="48"/>
  <c r="AQ843" i="48"/>
  <c r="AP844" i="48"/>
  <c r="AQ443" i="48"/>
  <c r="AP444" i="48"/>
  <c r="AQ1268" i="48"/>
  <c r="AP1269" i="48"/>
  <c r="AP694" i="48"/>
  <c r="AQ693" i="48"/>
  <c r="AP1194" i="48"/>
  <c r="AQ1193" i="48"/>
  <c r="AQ868" i="48"/>
  <c r="AP869" i="48"/>
  <c r="AQ418" i="48"/>
  <c r="AP419" i="48"/>
  <c r="AQ643" i="48"/>
  <c r="AP644" i="48"/>
  <c r="AQ1293" i="48"/>
  <c r="AP1294" i="48"/>
  <c r="AQ468" i="48"/>
  <c r="AP469" i="48"/>
  <c r="AP1094" i="48"/>
  <c r="AQ1093" i="48"/>
  <c r="AP119" i="48"/>
  <c r="AQ118" i="48"/>
  <c r="AQ1143" i="48"/>
  <c r="AP1144" i="48"/>
  <c r="AQ518" i="48"/>
  <c r="AP519" i="48"/>
  <c r="AQ818" i="48"/>
  <c r="AP819" i="48"/>
  <c r="AQ743" i="48"/>
  <c r="AP744" i="48"/>
  <c r="AP1344" i="48"/>
  <c r="AQ1343" i="48"/>
  <c r="AP794" i="48"/>
  <c r="AQ793" i="48"/>
  <c r="AP894" i="48"/>
  <c r="AQ893" i="48"/>
  <c r="AQ968" i="48"/>
  <c r="AP969" i="48"/>
  <c r="AQ718" i="48"/>
  <c r="AP719" i="48"/>
  <c r="AQ943" i="48"/>
  <c r="AP944" i="48"/>
  <c r="AQ393" i="48"/>
  <c r="AP394" i="48"/>
  <c r="AP244" i="48"/>
  <c r="AQ243" i="48"/>
  <c r="AD653" i="48"/>
  <c r="AP1044" i="48" l="1"/>
  <c r="CJ654" i="48"/>
  <c r="CJ677" i="48"/>
  <c r="CL677" i="48"/>
  <c r="AQ318" i="48"/>
  <c r="AP1119" i="48"/>
  <c r="AP1120" i="48" s="1"/>
  <c r="AP68" i="48"/>
  <c r="AQ67" i="48"/>
  <c r="AQ342" i="48"/>
  <c r="AP343" i="48"/>
  <c r="AP368" i="48"/>
  <c r="AQ367" i="48"/>
  <c r="AQ267" i="48"/>
  <c r="AP268" i="48"/>
  <c r="AP1168" i="48"/>
  <c r="AQ1167" i="48"/>
  <c r="AP618" i="48"/>
  <c r="AQ617" i="48"/>
  <c r="AP1218" i="48"/>
  <c r="AQ1217" i="48"/>
  <c r="AQ492" i="48"/>
  <c r="AP493" i="48"/>
  <c r="AP1068" i="48"/>
  <c r="AQ1067" i="48"/>
  <c r="AQ567" i="48"/>
  <c r="AP568" i="48"/>
  <c r="AQ1317" i="48"/>
  <c r="AP1318" i="48"/>
  <c r="AP293" i="48"/>
  <c r="AQ292" i="48"/>
  <c r="AQ917" i="48"/>
  <c r="AP918" i="48"/>
  <c r="AP193" i="48"/>
  <c r="AQ192" i="48"/>
  <c r="AQ1017" i="48"/>
  <c r="AP1018" i="48"/>
  <c r="AQ1242" i="48"/>
  <c r="AP1243" i="48"/>
  <c r="AQ167" i="48"/>
  <c r="AP168" i="48"/>
  <c r="AQ767" i="48"/>
  <c r="AP768" i="48"/>
  <c r="AQ992" i="48"/>
  <c r="AP993" i="48"/>
  <c r="AP543" i="48"/>
  <c r="AQ542" i="48"/>
  <c r="AQ592" i="48"/>
  <c r="AP593" i="48"/>
  <c r="AP218" i="48"/>
  <c r="AQ217" i="48"/>
  <c r="CK15" i="48"/>
  <c r="AQ394" i="48"/>
  <c r="AP395" i="48"/>
  <c r="AP1045" i="48"/>
  <c r="AQ1044" i="48"/>
  <c r="AQ944" i="48"/>
  <c r="AP945" i="48"/>
  <c r="AP820" i="48"/>
  <c r="AQ819" i="48"/>
  <c r="AP1145" i="48"/>
  <c r="AQ1144" i="48"/>
  <c r="AQ469" i="48"/>
  <c r="AP470" i="48"/>
  <c r="AQ644" i="48"/>
  <c r="AP645" i="48"/>
  <c r="AQ419" i="48"/>
  <c r="AP420" i="48"/>
  <c r="AP1270" i="48"/>
  <c r="AQ1269" i="48"/>
  <c r="AQ844" i="48"/>
  <c r="AP845" i="48"/>
  <c r="AP95" i="48"/>
  <c r="AQ94" i="48"/>
  <c r="AP145" i="48"/>
  <c r="AQ144" i="48"/>
  <c r="AP895" i="48"/>
  <c r="AQ894" i="48"/>
  <c r="AQ1344" i="48"/>
  <c r="AP1345" i="48"/>
  <c r="AQ119" i="48"/>
  <c r="AP120" i="48"/>
  <c r="AP1095" i="48"/>
  <c r="AQ1094" i="48"/>
  <c r="AP1195" i="48"/>
  <c r="AQ1194" i="48"/>
  <c r="AP720" i="48"/>
  <c r="AQ719" i="48"/>
  <c r="AP970" i="48"/>
  <c r="AQ969" i="48"/>
  <c r="AQ744" i="48"/>
  <c r="AP745" i="48"/>
  <c r="AQ519" i="48"/>
  <c r="AP520" i="48"/>
  <c r="AP320" i="48"/>
  <c r="AQ319" i="48"/>
  <c r="AP1295" i="48"/>
  <c r="AQ1294" i="48"/>
  <c r="AQ869" i="48"/>
  <c r="AP870" i="48"/>
  <c r="AQ444" i="48"/>
  <c r="AP445" i="48"/>
  <c r="AP795" i="48"/>
  <c r="AQ794" i="48"/>
  <c r="AP695" i="48"/>
  <c r="AQ694" i="48"/>
  <c r="AQ244" i="48"/>
  <c r="AP245" i="48"/>
  <c r="CK26" i="48"/>
  <c r="CL676" i="48"/>
  <c r="CK13" i="48"/>
  <c r="CK24" i="48"/>
  <c r="CK19" i="48"/>
  <c r="CK16" i="48"/>
  <c r="CK20" i="48"/>
  <c r="CK21" i="48"/>
  <c r="CK12" i="48"/>
  <c r="CK17" i="48"/>
  <c r="CK22" i="48"/>
  <c r="CK18" i="48"/>
  <c r="CK23" i="48"/>
  <c r="CK25" i="48"/>
  <c r="CK11" i="48"/>
  <c r="CJ659" i="48"/>
  <c r="CK9" i="48"/>
  <c r="CK14" i="48"/>
  <c r="CJ665" i="48"/>
  <c r="CJ668" i="48"/>
  <c r="CJ658" i="48"/>
  <c r="CJ673" i="48"/>
  <c r="CJ663" i="48"/>
  <c r="CJ672" i="48"/>
  <c r="CJ674" i="48"/>
  <c r="CJ669" i="48"/>
  <c r="CJ666" i="48"/>
  <c r="CJ660" i="48"/>
  <c r="CJ656" i="48"/>
  <c r="CJ670" i="48"/>
  <c r="CJ671" i="48"/>
  <c r="CJ662" i="48"/>
  <c r="CJ675" i="48"/>
  <c r="CJ661" i="48"/>
  <c r="CJ667" i="48"/>
  <c r="CJ657" i="48"/>
  <c r="CJ664" i="48"/>
  <c r="CJ655" i="48"/>
  <c r="CL655" i="48"/>
  <c r="AD655" i="48"/>
  <c r="CL664" i="48"/>
  <c r="CL657" i="48"/>
  <c r="CL669" i="48"/>
  <c r="CL667" i="48"/>
  <c r="CL672" i="48"/>
  <c r="CL675" i="48"/>
  <c r="CL674" i="48"/>
  <c r="CL662" i="48"/>
  <c r="CL668" i="48"/>
  <c r="CL661" i="48"/>
  <c r="CL658" i="48"/>
  <c r="CL671" i="48"/>
  <c r="CL660" i="48"/>
  <c r="CL659" i="48"/>
  <c r="CL670" i="48"/>
  <c r="CL673" i="48"/>
  <c r="CL666" i="48"/>
  <c r="CL665" i="48"/>
  <c r="CL656" i="48"/>
  <c r="CL663" i="48"/>
  <c r="CL654" i="48"/>
  <c r="AQ1119" i="48" l="1"/>
  <c r="CM677" i="48"/>
  <c r="CQ677" i="48" s="1"/>
  <c r="CZ677" i="48" s="1"/>
  <c r="AQ68" i="48"/>
  <c r="AP69" i="48"/>
  <c r="AP344" i="48"/>
  <c r="AQ343" i="48"/>
  <c r="AP369" i="48"/>
  <c r="AQ368" i="48"/>
  <c r="AQ1168" i="48"/>
  <c r="AP1169" i="48"/>
  <c r="AQ268" i="48"/>
  <c r="AP269" i="48"/>
  <c r="AQ618" i="48"/>
  <c r="AP619" i="48"/>
  <c r="AQ768" i="48"/>
  <c r="AP769" i="48"/>
  <c r="AP569" i="48"/>
  <c r="AQ568" i="48"/>
  <c r="AP219" i="48"/>
  <c r="AQ218" i="48"/>
  <c r="AQ193" i="48"/>
  <c r="AP194" i="48"/>
  <c r="AP294" i="48"/>
  <c r="AQ293" i="48"/>
  <c r="AP1244" i="48"/>
  <c r="AQ1243" i="48"/>
  <c r="AP494" i="48"/>
  <c r="AQ493" i="48"/>
  <c r="AP544" i="48"/>
  <c r="AQ543" i="48"/>
  <c r="AP594" i="48"/>
  <c r="AQ593" i="48"/>
  <c r="AP994" i="48"/>
  <c r="AQ993" i="48"/>
  <c r="AP169" i="48"/>
  <c r="AQ168" i="48"/>
  <c r="AQ1018" i="48"/>
  <c r="AP1019" i="48"/>
  <c r="AQ918" i="48"/>
  <c r="AP919" i="48"/>
  <c r="AQ1318" i="48"/>
  <c r="AP1319" i="48"/>
  <c r="AQ1068" i="48"/>
  <c r="AP1069" i="48"/>
  <c r="AP1219" i="48"/>
  <c r="AQ1218" i="48"/>
  <c r="AQ445" i="48"/>
  <c r="AP446" i="48"/>
  <c r="AP871" i="48"/>
  <c r="AQ870" i="48"/>
  <c r="AP521" i="48"/>
  <c r="AQ520" i="48"/>
  <c r="AQ1345" i="48"/>
  <c r="AP1346" i="48"/>
  <c r="AQ845" i="48"/>
  <c r="AP846" i="48"/>
  <c r="AQ645" i="48"/>
  <c r="AP646" i="48"/>
  <c r="AP471" i="48"/>
  <c r="AQ470" i="48"/>
  <c r="AP1121" i="48"/>
  <c r="AQ1120" i="48"/>
  <c r="AQ795" i="48"/>
  <c r="AP796" i="48"/>
  <c r="AP321" i="48"/>
  <c r="AQ320" i="48"/>
  <c r="AQ1095" i="48"/>
  <c r="AP1096" i="48"/>
  <c r="AP146" i="48"/>
  <c r="AQ145" i="48"/>
  <c r="AQ1145" i="48"/>
  <c r="AP1146" i="48"/>
  <c r="AQ1045" i="48"/>
  <c r="AP1046" i="48"/>
  <c r="AQ745" i="48"/>
  <c r="AP746" i="48"/>
  <c r="AQ120" i="48"/>
  <c r="AP121" i="48"/>
  <c r="AP421" i="48"/>
  <c r="AQ420" i="48"/>
  <c r="AQ945" i="48"/>
  <c r="AP946" i="48"/>
  <c r="AQ395" i="48"/>
  <c r="AP396" i="48"/>
  <c r="AQ695" i="48"/>
  <c r="AP696" i="48"/>
  <c r="AQ1295" i="48"/>
  <c r="AP1296" i="48"/>
  <c r="AP971" i="48"/>
  <c r="AQ970" i="48"/>
  <c r="AP721" i="48"/>
  <c r="AQ720" i="48"/>
  <c r="AQ1195" i="48"/>
  <c r="AP1196" i="48"/>
  <c r="AQ895" i="48"/>
  <c r="AP896" i="48"/>
  <c r="AP96" i="48"/>
  <c r="AQ95" i="48"/>
  <c r="AP1271" i="48"/>
  <c r="AQ1270" i="48"/>
  <c r="AP821" i="48"/>
  <c r="AQ820" i="48"/>
  <c r="AQ245" i="48"/>
  <c r="AP246" i="48"/>
  <c r="CM663" i="48"/>
  <c r="CQ663" i="48" s="1"/>
  <c r="CM673" i="48"/>
  <c r="CQ673" i="48" s="1"/>
  <c r="CM671" i="48"/>
  <c r="CQ671" i="48" s="1"/>
  <c r="CM662" i="48"/>
  <c r="CQ662" i="48" s="1"/>
  <c r="CM667" i="48"/>
  <c r="CQ667" i="48" s="1"/>
  <c r="CM660" i="48"/>
  <c r="CQ660" i="48" s="1"/>
  <c r="CM672" i="48"/>
  <c r="CQ672" i="48" s="1"/>
  <c r="CM676" i="48"/>
  <c r="CQ676" i="48" s="1"/>
  <c r="CZ676" i="48" s="1"/>
  <c r="W676" i="48" s="1"/>
  <c r="CM656" i="48"/>
  <c r="CQ656" i="48" s="1"/>
  <c r="CM670" i="48"/>
  <c r="CQ670" i="48" s="1"/>
  <c r="CM658" i="48"/>
  <c r="CQ658" i="48" s="1"/>
  <c r="CM674" i="48"/>
  <c r="CQ674" i="48" s="1"/>
  <c r="CM669" i="48"/>
  <c r="CQ669" i="48" s="1"/>
  <c r="CM665" i="48"/>
  <c r="CQ665" i="48" s="1"/>
  <c r="CM659" i="48"/>
  <c r="CQ659" i="48" s="1"/>
  <c r="CM661" i="48"/>
  <c r="CQ661" i="48" s="1"/>
  <c r="CM675" i="48"/>
  <c r="CQ675" i="48" s="1"/>
  <c r="CM657" i="48"/>
  <c r="CQ657" i="48" s="1"/>
  <c r="CM666" i="48"/>
  <c r="CQ666" i="48" s="1"/>
  <c r="CM668" i="48"/>
  <c r="CQ668" i="48" s="1"/>
  <c r="CM664" i="48"/>
  <c r="CQ664" i="48" s="1"/>
  <c r="CK3" i="48"/>
  <c r="DB677" i="48" l="1"/>
  <c r="W677" i="48"/>
  <c r="AD677" i="48" s="1"/>
  <c r="CZ657" i="48"/>
  <c r="W657" i="48" s="1"/>
  <c r="CZ665" i="48"/>
  <c r="W665" i="48" s="1"/>
  <c r="CZ670" i="48"/>
  <c r="W670" i="48" s="1"/>
  <c r="CZ660" i="48"/>
  <c r="W660" i="48" s="1"/>
  <c r="CZ673" i="48"/>
  <c r="W673" i="48" s="1"/>
  <c r="CZ661" i="48"/>
  <c r="W661" i="48" s="1"/>
  <c r="CZ664" i="48"/>
  <c r="W664" i="48" s="1"/>
  <c r="CZ675" i="48"/>
  <c r="W675" i="48" s="1"/>
  <c r="CZ669" i="48"/>
  <c r="W669" i="48" s="1"/>
  <c r="CZ656" i="48"/>
  <c r="CZ667" i="48"/>
  <c r="W667" i="48" s="1"/>
  <c r="CZ663" i="48"/>
  <c r="W663" i="48" s="1"/>
  <c r="CZ662" i="48"/>
  <c r="CZ668" i="48"/>
  <c r="CZ674" i="48"/>
  <c r="CZ666" i="48"/>
  <c r="CZ659" i="48"/>
  <c r="W659" i="48" s="1"/>
  <c r="CZ658" i="48"/>
  <c r="CZ672" i="48"/>
  <c r="W672" i="48" s="1"/>
  <c r="CZ671" i="48"/>
  <c r="AQ69" i="48"/>
  <c r="AP70" i="48"/>
  <c r="AP345" i="48"/>
  <c r="AQ344" i="48"/>
  <c r="AP370" i="48"/>
  <c r="AQ369" i="48"/>
  <c r="AQ269" i="48"/>
  <c r="AP270" i="48"/>
  <c r="AP1170" i="48"/>
  <c r="AQ1169" i="48"/>
  <c r="AP620" i="48"/>
  <c r="AQ619" i="48"/>
  <c r="AP1320" i="48"/>
  <c r="AQ1319" i="48"/>
  <c r="AQ1019" i="48"/>
  <c r="AP1020" i="48"/>
  <c r="AP195" i="48"/>
  <c r="AQ194" i="48"/>
  <c r="AP1220" i="48"/>
  <c r="AQ1219" i="48"/>
  <c r="AP995" i="48"/>
  <c r="AQ994" i="48"/>
  <c r="AQ544" i="48"/>
  <c r="AP545" i="48"/>
  <c r="AP1245" i="48"/>
  <c r="AQ1244" i="48"/>
  <c r="AQ569" i="48"/>
  <c r="AP570" i="48"/>
  <c r="AP1070" i="48"/>
  <c r="AQ1069" i="48"/>
  <c r="AP920" i="48"/>
  <c r="AQ919" i="48"/>
  <c r="AP770" i="48"/>
  <c r="AQ769" i="48"/>
  <c r="AP170" i="48"/>
  <c r="AQ169" i="48"/>
  <c r="AQ594" i="48"/>
  <c r="AP595" i="48"/>
  <c r="AP495" i="48"/>
  <c r="AQ494" i="48"/>
  <c r="AP295" i="48"/>
  <c r="AQ294" i="48"/>
  <c r="AP220" i="48"/>
  <c r="AQ219" i="48"/>
  <c r="AP1197" i="48"/>
  <c r="AQ1196" i="48"/>
  <c r="AP1297" i="48"/>
  <c r="AQ1296" i="48"/>
  <c r="AP697" i="48"/>
  <c r="AQ696" i="48"/>
  <c r="AQ396" i="48"/>
  <c r="AP397" i="48"/>
  <c r="AP747" i="48"/>
  <c r="AQ746" i="48"/>
  <c r="AP1047" i="48"/>
  <c r="AQ1046" i="48"/>
  <c r="AP1097" i="48"/>
  <c r="AQ1096" i="48"/>
  <c r="AQ646" i="48"/>
  <c r="AP647" i="48"/>
  <c r="AP1347" i="48"/>
  <c r="AQ1346" i="48"/>
  <c r="AQ96" i="48"/>
  <c r="AP97" i="48"/>
  <c r="AP722" i="48"/>
  <c r="AQ721" i="48"/>
  <c r="AP422" i="48"/>
  <c r="AQ421" i="48"/>
  <c r="AP322" i="48"/>
  <c r="AQ321" i="48"/>
  <c r="AP1122" i="48"/>
  <c r="AQ1121" i="48"/>
  <c r="AP522" i="48"/>
  <c r="AQ521" i="48"/>
  <c r="AP872" i="48"/>
  <c r="AQ871" i="48"/>
  <c r="AP897" i="48"/>
  <c r="AQ896" i="48"/>
  <c r="AP947" i="48"/>
  <c r="AQ946" i="48"/>
  <c r="AQ121" i="48"/>
  <c r="AP122" i="48"/>
  <c r="AP1147" i="48"/>
  <c r="AQ1146" i="48"/>
  <c r="AP797" i="48"/>
  <c r="AQ796" i="48"/>
  <c r="AP847" i="48"/>
  <c r="AQ846" i="48"/>
  <c r="AQ446" i="48"/>
  <c r="AP447" i="48"/>
  <c r="AQ821" i="48"/>
  <c r="AP822" i="48"/>
  <c r="AQ1271" i="48"/>
  <c r="AP1272" i="48"/>
  <c r="AP972" i="48"/>
  <c r="AQ971" i="48"/>
  <c r="AQ146" i="48"/>
  <c r="AP147" i="48"/>
  <c r="AP472" i="48"/>
  <c r="AQ471" i="48"/>
  <c r="AQ246" i="48"/>
  <c r="AP247" i="48"/>
  <c r="CK4" i="48"/>
  <c r="AJ677" i="48" l="1"/>
  <c r="BA27" i="48"/>
  <c r="AI27" i="48" s="1"/>
  <c r="AN677" i="48"/>
  <c r="AL677" i="48"/>
  <c r="AM677" i="48"/>
  <c r="AF27" i="48"/>
  <c r="AH27" i="48" s="1"/>
  <c r="DB662" i="48"/>
  <c r="W662" i="48"/>
  <c r="AD662" i="48" s="1"/>
  <c r="BA12" i="48" s="1"/>
  <c r="AI12" i="48" s="1"/>
  <c r="W671" i="48"/>
  <c r="AD671" i="48" s="1"/>
  <c r="BA21" i="48" s="1"/>
  <c r="AI21" i="48" s="1"/>
  <c r="DB666" i="48"/>
  <c r="W666" i="48"/>
  <c r="AD666" i="48" s="1"/>
  <c r="BA16" i="48" s="1"/>
  <c r="AI16" i="48" s="1"/>
  <c r="W674" i="48"/>
  <c r="AD674" i="48" s="1"/>
  <c r="BA24" i="48" s="1"/>
  <c r="AI24" i="48" s="1"/>
  <c r="DB658" i="48"/>
  <c r="W658" i="48"/>
  <c r="AD658" i="48" s="1"/>
  <c r="AF33" i="48" s="1"/>
  <c r="W668" i="48"/>
  <c r="AD668" i="48" s="1"/>
  <c r="BA18" i="48" s="1"/>
  <c r="AI18" i="48" s="1"/>
  <c r="W656" i="48"/>
  <c r="AD656" i="48" s="1"/>
  <c r="DB659" i="48"/>
  <c r="DB661" i="48"/>
  <c r="DB672" i="48"/>
  <c r="DB663" i="48"/>
  <c r="DB667" i="48"/>
  <c r="DB664" i="48"/>
  <c r="AD672" i="48"/>
  <c r="BA22" i="48" s="1"/>
  <c r="AI22" i="48" s="1"/>
  <c r="DB669" i="48"/>
  <c r="DB675" i="48"/>
  <c r="DB660" i="48"/>
  <c r="DB665" i="48"/>
  <c r="DB674" i="48"/>
  <c r="AD663" i="48"/>
  <c r="BA13" i="48" s="1"/>
  <c r="AI13" i="48" s="1"/>
  <c r="AD675" i="48"/>
  <c r="AD661" i="48"/>
  <c r="BA11" i="48" s="1"/>
  <c r="AI11" i="48" s="1"/>
  <c r="AD665" i="48"/>
  <c r="BA15" i="48" s="1"/>
  <c r="AI15" i="48" s="1"/>
  <c r="DB673" i="48"/>
  <c r="DB670" i="48"/>
  <c r="DB657" i="48"/>
  <c r="DB671" i="48"/>
  <c r="DB668" i="48"/>
  <c r="DB676" i="48"/>
  <c r="AD667" i="48"/>
  <c r="BA17" i="48" s="1"/>
  <c r="AI17" i="48" s="1"/>
  <c r="AD669" i="48"/>
  <c r="AD664" i="48"/>
  <c r="BA14" i="48" s="1"/>
  <c r="AI14" i="48" s="1"/>
  <c r="AD673" i="48"/>
  <c r="BA23" i="48" s="1"/>
  <c r="AI23" i="48" s="1"/>
  <c r="AD670" i="48"/>
  <c r="BA20" i="48" s="1"/>
  <c r="AI20" i="48" s="1"/>
  <c r="AD657" i="48"/>
  <c r="AQ70" i="48"/>
  <c r="AP71" i="48"/>
  <c r="AQ345" i="48"/>
  <c r="AP346" i="48"/>
  <c r="AP371" i="48"/>
  <c r="AQ370" i="48"/>
  <c r="AP1171" i="48"/>
  <c r="AQ1170" i="48"/>
  <c r="AP271" i="48"/>
  <c r="AQ270" i="48"/>
  <c r="AP621" i="48"/>
  <c r="AQ620" i="48"/>
  <c r="AP571" i="48"/>
  <c r="AQ570" i="48"/>
  <c r="AQ545" i="48"/>
  <c r="AP546" i="48"/>
  <c r="AP1021" i="48"/>
  <c r="AQ1020" i="48"/>
  <c r="AP221" i="48"/>
  <c r="AQ220" i="48"/>
  <c r="AQ495" i="48"/>
  <c r="AP496" i="48"/>
  <c r="AQ170" i="48"/>
  <c r="AP171" i="48"/>
  <c r="AP921" i="48"/>
  <c r="AQ920" i="48"/>
  <c r="AP1221" i="48"/>
  <c r="AQ1220" i="48"/>
  <c r="AQ595" i="48"/>
  <c r="AP596" i="48"/>
  <c r="AQ295" i="48"/>
  <c r="AP296" i="48"/>
  <c r="AP771" i="48"/>
  <c r="AQ770" i="48"/>
  <c r="AP1071" i="48"/>
  <c r="AQ1070" i="48"/>
  <c r="AQ1245" i="48"/>
  <c r="AP1246" i="48"/>
  <c r="AQ995" i="48"/>
  <c r="AP996" i="48"/>
  <c r="AP196" i="48"/>
  <c r="AQ195" i="48"/>
  <c r="AP1321" i="48"/>
  <c r="AQ1320" i="48"/>
  <c r="AQ147" i="48"/>
  <c r="AP148" i="48"/>
  <c r="AQ822" i="48"/>
  <c r="AP823" i="48"/>
  <c r="AP448" i="48"/>
  <c r="AQ447" i="48"/>
  <c r="AP398" i="48"/>
  <c r="AQ397" i="48"/>
  <c r="AQ472" i="48"/>
  <c r="AP473" i="48"/>
  <c r="AQ797" i="48"/>
  <c r="AP798" i="48"/>
  <c r="AP1148" i="48"/>
  <c r="AQ1147" i="48"/>
  <c r="AQ947" i="48"/>
  <c r="AP948" i="48"/>
  <c r="AQ522" i="48"/>
  <c r="AP523" i="48"/>
  <c r="AQ1122" i="48"/>
  <c r="AP1123" i="48"/>
  <c r="AQ722" i="48"/>
  <c r="AP723" i="48"/>
  <c r="AQ1347" i="48"/>
  <c r="AP1348" i="48"/>
  <c r="AP748" i="48"/>
  <c r="AQ747" i="48"/>
  <c r="AP1198" i="48"/>
  <c r="AQ1197" i="48"/>
  <c r="AQ1272" i="48"/>
  <c r="AP1273" i="48"/>
  <c r="AP123" i="48"/>
  <c r="AQ122" i="48"/>
  <c r="AQ97" i="48"/>
  <c r="AP98" i="48"/>
  <c r="AP648" i="48"/>
  <c r="AQ647" i="48"/>
  <c r="AQ972" i="48"/>
  <c r="AP973" i="48"/>
  <c r="AP848" i="48"/>
  <c r="AQ847" i="48"/>
  <c r="AP898" i="48"/>
  <c r="AQ897" i="48"/>
  <c r="AQ872" i="48"/>
  <c r="AP873" i="48"/>
  <c r="AQ322" i="48"/>
  <c r="AP323" i="48"/>
  <c r="AQ422" i="48"/>
  <c r="AP423" i="48"/>
  <c r="AP1098" i="48"/>
  <c r="AQ1097" i="48"/>
  <c r="AP1048" i="48"/>
  <c r="AQ1047" i="48"/>
  <c r="AQ697" i="48"/>
  <c r="AP698" i="48"/>
  <c r="AP1298" i="48"/>
  <c r="AQ1297" i="48"/>
  <c r="AQ247" i="48"/>
  <c r="AP248" i="48"/>
  <c r="AJ670" i="48" l="1"/>
  <c r="AM672" i="48"/>
  <c r="AN661" i="48"/>
  <c r="AL667" i="48"/>
  <c r="AN669" i="48"/>
  <c r="BA19" i="48"/>
  <c r="AI19" i="48" s="1"/>
  <c r="AL675" i="48"/>
  <c r="BA25" i="48"/>
  <c r="AI25" i="48" s="1"/>
  <c r="AN673" i="48"/>
  <c r="AF23" i="48"/>
  <c r="AH23" i="48" s="1"/>
  <c r="AM675" i="48"/>
  <c r="AF25" i="48"/>
  <c r="AH25" i="48" s="1"/>
  <c r="AM666" i="48"/>
  <c r="AF16" i="48"/>
  <c r="AF24" i="48"/>
  <c r="AH24" i="48" s="1"/>
  <c r="AM662" i="48"/>
  <c r="AF12" i="48"/>
  <c r="AH12" i="48" s="1"/>
  <c r="AJ675" i="48"/>
  <c r="AM664" i="48"/>
  <c r="AF14" i="48"/>
  <c r="AH14" i="48" s="1"/>
  <c r="AM663" i="48"/>
  <c r="AF13" i="48"/>
  <c r="AF18" i="48"/>
  <c r="AR277" i="48"/>
  <c r="AR427" i="48"/>
  <c r="AA427" i="48" s="1"/>
  <c r="AR452" i="48"/>
  <c r="AA452" i="48" s="1"/>
  <c r="AR127" i="48"/>
  <c r="AA127" i="48" s="1"/>
  <c r="AR327" i="48"/>
  <c r="AA327" i="48" s="1"/>
  <c r="AR477" i="48"/>
  <c r="AA477" i="48" s="1"/>
  <c r="AR727" i="48"/>
  <c r="AA727" i="48" s="1"/>
  <c r="AR252" i="48"/>
  <c r="AA252" i="48" s="1"/>
  <c r="AR702" i="48"/>
  <c r="AA702" i="48" s="1"/>
  <c r="AR802" i="48"/>
  <c r="AA802" i="48" s="1"/>
  <c r="AR402" i="48"/>
  <c r="AA402" i="48" s="1"/>
  <c r="AR527" i="48"/>
  <c r="AA527" i="48" s="1"/>
  <c r="AR227" i="48"/>
  <c r="AA227" i="48" s="1"/>
  <c r="AR827" i="48"/>
  <c r="AA827" i="48" s="1"/>
  <c r="AR627" i="48"/>
  <c r="AA627" i="48" s="1"/>
  <c r="AR102" i="48"/>
  <c r="AA102" i="48" s="1"/>
  <c r="AR1127" i="48"/>
  <c r="AA1127" i="48" s="1"/>
  <c r="AR177" i="48"/>
  <c r="AA177" i="48" s="1"/>
  <c r="AR202" i="48"/>
  <c r="AA202" i="48" s="1"/>
  <c r="AR652" i="48"/>
  <c r="AA652" i="48" s="1"/>
  <c r="AR577" i="48"/>
  <c r="AA577" i="48" s="1"/>
  <c r="AR602" i="48"/>
  <c r="AA602" i="48" s="1"/>
  <c r="AR77" i="48"/>
  <c r="AA77" i="48" s="1"/>
  <c r="AR377" i="48"/>
  <c r="AA377" i="48" s="1"/>
  <c r="AR352" i="48"/>
  <c r="AA352" i="48" s="1"/>
  <c r="AR552" i="48"/>
  <c r="AA552" i="48" s="1"/>
  <c r="AR52" i="48"/>
  <c r="AA52" i="48" s="1"/>
  <c r="AR27" i="48"/>
  <c r="AA27" i="48" s="1"/>
  <c r="AR302" i="48"/>
  <c r="AA302" i="48" s="1"/>
  <c r="AR152" i="48"/>
  <c r="AA152" i="48" s="1"/>
  <c r="AR502" i="48"/>
  <c r="AA502" i="48" s="1"/>
  <c r="AR1152" i="48"/>
  <c r="AR977" i="48"/>
  <c r="AA977" i="48" s="1"/>
  <c r="AR852" i="48"/>
  <c r="AA852" i="48" s="1"/>
  <c r="AR952" i="48"/>
  <c r="AA952" i="48" s="1"/>
  <c r="AR1002" i="48"/>
  <c r="AA1002" i="48" s="1"/>
  <c r="AR1027" i="48"/>
  <c r="AA1027" i="48" s="1"/>
  <c r="AR1077" i="48"/>
  <c r="AA1077" i="48" s="1"/>
  <c r="AR777" i="48"/>
  <c r="AA777" i="48" s="1"/>
  <c r="AR877" i="48"/>
  <c r="AA877" i="48" s="1"/>
  <c r="AR927" i="48"/>
  <c r="AA927" i="48" s="1"/>
  <c r="AR1102" i="48"/>
  <c r="AA1102" i="48" s="1"/>
  <c r="AR1052" i="48"/>
  <c r="AA1052" i="48" s="1"/>
  <c r="AR902" i="48"/>
  <c r="AA902" i="48" s="1"/>
  <c r="AR677" i="48"/>
  <c r="AA677" i="48" s="1"/>
  <c r="AJ669" i="48"/>
  <c r="AF19" i="48"/>
  <c r="AL665" i="48"/>
  <c r="AF15" i="48"/>
  <c r="AH15" i="48" s="1"/>
  <c r="AN665" i="48"/>
  <c r="AL673" i="48"/>
  <c r="AM670" i="48"/>
  <c r="AF20" i="48"/>
  <c r="AH20" i="48" s="1"/>
  <c r="AJ667" i="48"/>
  <c r="AF17" i="48"/>
  <c r="AH17" i="48" s="1"/>
  <c r="AM661" i="48"/>
  <c r="AF11" i="48"/>
  <c r="AN672" i="48"/>
  <c r="AF22" i="48"/>
  <c r="AF21" i="48"/>
  <c r="AH21" i="48" s="1"/>
  <c r="AM674" i="48"/>
  <c r="AJ674" i="48"/>
  <c r="AL674" i="48"/>
  <c r="AE674" i="48"/>
  <c r="AM671" i="48"/>
  <c r="AJ671" i="48"/>
  <c r="AL671" i="48"/>
  <c r="AJ668" i="48"/>
  <c r="AM668" i="48"/>
  <c r="AE662" i="48"/>
  <c r="AN674" i="48"/>
  <c r="AJ662" i="48"/>
  <c r="AM673" i="48"/>
  <c r="AJ661" i="48"/>
  <c r="AJ673" i="48"/>
  <c r="AN662" i="48"/>
  <c r="AL662" i="48"/>
  <c r="AM667" i="48"/>
  <c r="AE663" i="48"/>
  <c r="AL661" i="48"/>
  <c r="AE672" i="48"/>
  <c r="AJ672" i="48"/>
  <c r="AN670" i="48"/>
  <c r="AN675" i="48"/>
  <c r="AL672" i="48"/>
  <c r="AE671" i="48"/>
  <c r="AL668" i="48"/>
  <c r="AE673" i="48"/>
  <c r="AN671" i="48"/>
  <c r="AN668" i="48"/>
  <c r="AE668" i="48"/>
  <c r="AL669" i="48"/>
  <c r="AE675" i="48"/>
  <c r="AM669" i="48"/>
  <c r="AL664" i="48"/>
  <c r="AE664" i="48"/>
  <c r="AN664" i="48"/>
  <c r="AL663" i="48"/>
  <c r="AE665" i="48"/>
  <c r="AE667" i="48"/>
  <c r="AE669" i="48"/>
  <c r="AJ665" i="48"/>
  <c r="AE666" i="48"/>
  <c r="AJ664" i="48"/>
  <c r="AJ663" i="48"/>
  <c r="AN663" i="48"/>
  <c r="AM665" i="48"/>
  <c r="AJ666" i="48"/>
  <c r="AN667" i="48"/>
  <c r="AL666" i="48"/>
  <c r="AN666" i="48"/>
  <c r="AE670" i="48"/>
  <c r="AL670" i="48"/>
  <c r="AD659" i="48"/>
  <c r="AD660" i="48"/>
  <c r="BA10" i="48" s="1"/>
  <c r="AI10" i="48" s="1"/>
  <c r="AP72" i="48"/>
  <c r="AQ71" i="48"/>
  <c r="AP347" i="48"/>
  <c r="AQ346" i="48"/>
  <c r="AQ371" i="48"/>
  <c r="AP372" i="48"/>
  <c r="AP272" i="48"/>
  <c r="AQ271" i="48"/>
  <c r="AP1172" i="48"/>
  <c r="AQ1171" i="48"/>
  <c r="AP622" i="48"/>
  <c r="AQ621" i="48"/>
  <c r="AQ196" i="48"/>
  <c r="AP197" i="48"/>
  <c r="AP772" i="48"/>
  <c r="AQ771" i="48"/>
  <c r="AP922" i="48"/>
  <c r="AQ921" i="48"/>
  <c r="AP572" i="48"/>
  <c r="AQ571" i="48"/>
  <c r="AP997" i="48"/>
  <c r="AQ996" i="48"/>
  <c r="AQ296" i="48"/>
  <c r="AP297" i="48"/>
  <c r="AQ171" i="48"/>
  <c r="AP172" i="48"/>
  <c r="AQ546" i="48"/>
  <c r="AP547" i="48"/>
  <c r="AQ1246" i="48"/>
  <c r="AP1247" i="48"/>
  <c r="AP597" i="48"/>
  <c r="AQ596" i="48"/>
  <c r="AQ496" i="48"/>
  <c r="AP497" i="48"/>
  <c r="AP1022" i="48"/>
  <c r="AQ1021" i="48"/>
  <c r="AP1322" i="48"/>
  <c r="AQ1321" i="48"/>
  <c r="AP1072" i="48"/>
  <c r="AQ1071" i="48"/>
  <c r="AP1222" i="48"/>
  <c r="AQ1221" i="48"/>
  <c r="AQ221" i="48"/>
  <c r="AP222" i="48"/>
  <c r="AQ1298" i="48"/>
  <c r="AP1299" i="48"/>
  <c r="AQ1098" i="48"/>
  <c r="AP1099" i="48"/>
  <c r="AQ848" i="48"/>
  <c r="AP849" i="48"/>
  <c r="AQ648" i="48"/>
  <c r="AP649" i="48"/>
  <c r="AP124" i="48"/>
  <c r="AQ123" i="48"/>
  <c r="AP724" i="48"/>
  <c r="AQ723" i="48"/>
  <c r="AQ1123" i="48"/>
  <c r="AP1124" i="48"/>
  <c r="AQ473" i="48"/>
  <c r="AP474" i="48"/>
  <c r="AQ698" i="48"/>
  <c r="AP699" i="48"/>
  <c r="AQ423" i="48"/>
  <c r="AP424" i="48"/>
  <c r="AP974" i="48"/>
  <c r="AQ973" i="48"/>
  <c r="AP99" i="48"/>
  <c r="AQ98" i="48"/>
  <c r="AQ1198" i="48"/>
  <c r="AP1199" i="48"/>
  <c r="AQ1148" i="48"/>
  <c r="AP1149" i="48"/>
  <c r="AQ448" i="48"/>
  <c r="AP449" i="48"/>
  <c r="AQ1048" i="48"/>
  <c r="AP1049" i="48"/>
  <c r="AQ898" i="48"/>
  <c r="AP899" i="48"/>
  <c r="AP1349" i="48"/>
  <c r="AQ1348" i="48"/>
  <c r="AQ523" i="48"/>
  <c r="AP524" i="48"/>
  <c r="AQ948" i="48"/>
  <c r="AP949" i="48"/>
  <c r="AQ798" i="48"/>
  <c r="AP799" i="48"/>
  <c r="AP824" i="48"/>
  <c r="AQ823" i="48"/>
  <c r="AQ148" i="48"/>
  <c r="AP149" i="48"/>
  <c r="AP324" i="48"/>
  <c r="AQ323" i="48"/>
  <c r="AQ873" i="48"/>
  <c r="AP874" i="48"/>
  <c r="AP1274" i="48"/>
  <c r="AQ1273" i="48"/>
  <c r="AQ748" i="48"/>
  <c r="AP749" i="48"/>
  <c r="AP399" i="48"/>
  <c r="AQ398" i="48"/>
  <c r="AQ248" i="48"/>
  <c r="AP249" i="48"/>
  <c r="AN659" i="48" l="1"/>
  <c r="BA9" i="48"/>
  <c r="AI9" i="48" s="1"/>
  <c r="AR11" i="48"/>
  <c r="AH11" i="48"/>
  <c r="AR668" i="48"/>
  <c r="AH18" i="48"/>
  <c r="AR672" i="48"/>
  <c r="AH22" i="48"/>
  <c r="AR669" i="48"/>
  <c r="M669" i="48" s="1"/>
  <c r="AH19" i="48"/>
  <c r="AR663" i="48"/>
  <c r="AH13" i="48"/>
  <c r="AR666" i="48"/>
  <c r="AA666" i="48" s="1"/>
  <c r="AH16" i="48"/>
  <c r="AO671" i="48"/>
  <c r="AO673" i="48"/>
  <c r="AO665" i="48"/>
  <c r="AO672" i="48"/>
  <c r="AO674" i="48"/>
  <c r="AO669" i="48"/>
  <c r="AA669" i="48"/>
  <c r="AR145" i="48"/>
  <c r="AR420" i="48"/>
  <c r="AR970" i="48"/>
  <c r="AR20" i="48"/>
  <c r="AR1095" i="48"/>
  <c r="AR595" i="48"/>
  <c r="AR1295" i="48"/>
  <c r="AR795" i="48"/>
  <c r="AR245" i="48"/>
  <c r="AR770" i="48"/>
  <c r="AR1120" i="48"/>
  <c r="AR45" i="48"/>
  <c r="AR895" i="48"/>
  <c r="AR1270" i="48"/>
  <c r="AR120" i="48"/>
  <c r="AR220" i="48"/>
  <c r="AR720" i="48"/>
  <c r="AR370" i="48"/>
  <c r="AR870" i="48"/>
  <c r="AR1220" i="48"/>
  <c r="AR645" i="48"/>
  <c r="AR995" i="48"/>
  <c r="AR270" i="48"/>
  <c r="AR470" i="48"/>
  <c r="AR545" i="48"/>
  <c r="AR820" i="48"/>
  <c r="AR1070" i="48"/>
  <c r="AR70" i="48"/>
  <c r="AR695" i="48"/>
  <c r="AR195" i="48"/>
  <c r="AR1145" i="48"/>
  <c r="M1145" i="48" s="1"/>
  <c r="AR395" i="48"/>
  <c r="AR495" i="48"/>
  <c r="AR945" i="48"/>
  <c r="AR95" i="48"/>
  <c r="AR620" i="48"/>
  <c r="AR1345" i="48"/>
  <c r="AR1195" i="48"/>
  <c r="AR345" i="48"/>
  <c r="AR445" i="48"/>
  <c r="AR570" i="48"/>
  <c r="AR295" i="48"/>
  <c r="AR320" i="48"/>
  <c r="AR520" i="48"/>
  <c r="AR920" i="48"/>
  <c r="AR1045" i="48"/>
  <c r="AR1320" i="48"/>
  <c r="AR170" i="48"/>
  <c r="AR1246" i="48"/>
  <c r="AR845" i="48"/>
  <c r="AR1020" i="48"/>
  <c r="AR421" i="48"/>
  <c r="AR1321" i="48"/>
  <c r="AR146" i="48"/>
  <c r="AR1296" i="48"/>
  <c r="AR1021" i="48"/>
  <c r="AR371" i="48"/>
  <c r="AR971" i="48"/>
  <c r="AR71" i="48"/>
  <c r="AR21" i="48"/>
  <c r="AR571" i="48"/>
  <c r="AR46" i="48"/>
  <c r="AR1271" i="48"/>
  <c r="AR1346" i="48"/>
  <c r="AR1121" i="48"/>
  <c r="AR321" i="48"/>
  <c r="AR346" i="48"/>
  <c r="AR946" i="48"/>
  <c r="AR896" i="48"/>
  <c r="AR396" i="48"/>
  <c r="AR1247" i="48"/>
  <c r="AR296" i="48"/>
  <c r="AR496" i="48"/>
  <c r="AR1096" i="48"/>
  <c r="AR921" i="48"/>
  <c r="AR1196" i="48"/>
  <c r="AR121" i="48"/>
  <c r="AR196" i="48"/>
  <c r="AR96" i="48"/>
  <c r="AR171" i="48"/>
  <c r="AR871" i="48"/>
  <c r="AR1046" i="48"/>
  <c r="AR646" i="48"/>
  <c r="AR246" i="48"/>
  <c r="AR721" i="48"/>
  <c r="AR471" i="48"/>
  <c r="AR546" i="48"/>
  <c r="AR821" i="48"/>
  <c r="AR221" i="48"/>
  <c r="AR696" i="48"/>
  <c r="AR771" i="48"/>
  <c r="AR796" i="48"/>
  <c r="AR846" i="48"/>
  <c r="AR996" i="48"/>
  <c r="AR1071" i="48"/>
  <c r="AR1146" i="48"/>
  <c r="M1146" i="48" s="1"/>
  <c r="AR1221" i="48"/>
  <c r="AR621" i="48"/>
  <c r="AR271" i="48"/>
  <c r="AR446" i="48"/>
  <c r="AR521" i="48"/>
  <c r="AR596" i="48"/>
  <c r="AR1217" i="48"/>
  <c r="AR342" i="48"/>
  <c r="AR917" i="48"/>
  <c r="AR17" i="48"/>
  <c r="AR1317" i="48"/>
  <c r="AR42" i="48"/>
  <c r="AR142" i="48"/>
  <c r="AR1117" i="48"/>
  <c r="AR242" i="48"/>
  <c r="AR392" i="48"/>
  <c r="AR967" i="48"/>
  <c r="AR117" i="48"/>
  <c r="AR167" i="48"/>
  <c r="AR217" i="48"/>
  <c r="AR717" i="48"/>
  <c r="AR1067" i="48"/>
  <c r="AR192" i="48"/>
  <c r="AR442" i="48"/>
  <c r="AR817" i="48"/>
  <c r="AR842" i="48"/>
  <c r="AR1292" i="48"/>
  <c r="AR567" i="48"/>
  <c r="AR642" i="48"/>
  <c r="AR517" i="48"/>
  <c r="AR617" i="48"/>
  <c r="AR692" i="48"/>
  <c r="AR542" i="48"/>
  <c r="AR767" i="48"/>
  <c r="AR1092" i="48"/>
  <c r="AR1017" i="48"/>
  <c r="AR467" i="48"/>
  <c r="AR592" i="48"/>
  <c r="AR867" i="48"/>
  <c r="AR892" i="48"/>
  <c r="AR1042" i="48"/>
  <c r="AR492" i="48"/>
  <c r="AR267" i="48"/>
  <c r="AR367" i="48"/>
  <c r="AR417" i="48"/>
  <c r="AR792" i="48"/>
  <c r="AR942" i="48"/>
  <c r="AR992" i="48"/>
  <c r="AR1243" i="48"/>
  <c r="AR1267" i="48"/>
  <c r="AR1342" i="48"/>
  <c r="AR317" i="48"/>
  <c r="AR1142" i="48"/>
  <c r="M1142" i="48" s="1"/>
  <c r="AR1192" i="48"/>
  <c r="AR92" i="48"/>
  <c r="AR67" i="48"/>
  <c r="AR292" i="48"/>
  <c r="AR670" i="48"/>
  <c r="AR415" i="48"/>
  <c r="AR240" i="48"/>
  <c r="AR365" i="48"/>
  <c r="AR915" i="48"/>
  <c r="AR1315" i="48"/>
  <c r="AR140" i="48"/>
  <c r="AR1265" i="48"/>
  <c r="AR1015" i="48"/>
  <c r="AR15" i="48"/>
  <c r="AR115" i="48"/>
  <c r="AR1090" i="48"/>
  <c r="AR390" i="48"/>
  <c r="AR190" i="48"/>
  <c r="AR1040" i="48"/>
  <c r="AR90" i="48"/>
  <c r="AR1190" i="48"/>
  <c r="AR1290" i="48"/>
  <c r="AR1215" i="48"/>
  <c r="AR1340" i="48"/>
  <c r="AR165" i="48"/>
  <c r="AR690" i="48"/>
  <c r="AR540" i="48"/>
  <c r="AR515" i="48"/>
  <c r="AR965" i="48"/>
  <c r="AR340" i="48"/>
  <c r="AR1065" i="48"/>
  <c r="AR1241" i="48"/>
  <c r="AR565" i="48"/>
  <c r="AR640" i="48"/>
  <c r="AR1115" i="48"/>
  <c r="AR65" i="48"/>
  <c r="AR865" i="48"/>
  <c r="AR890" i="48"/>
  <c r="AR1140" i="48"/>
  <c r="M1140" i="48" s="1"/>
  <c r="AR40" i="48"/>
  <c r="AR290" i="48"/>
  <c r="AR790" i="48"/>
  <c r="AR215" i="48"/>
  <c r="AR265" i="48"/>
  <c r="AR765" i="48"/>
  <c r="AR315" i="48"/>
  <c r="AR815" i="48"/>
  <c r="AR440" i="48"/>
  <c r="AR590" i="48"/>
  <c r="AR715" i="48"/>
  <c r="AR940" i="48"/>
  <c r="AR990" i="48"/>
  <c r="AR465" i="48"/>
  <c r="AR840" i="48"/>
  <c r="AR490" i="48"/>
  <c r="AR615" i="48"/>
  <c r="AR418" i="48"/>
  <c r="AR143" i="48"/>
  <c r="AR1318" i="48"/>
  <c r="AR1293" i="48"/>
  <c r="AR893" i="48"/>
  <c r="AR18" i="48"/>
  <c r="AR1118" i="48"/>
  <c r="AR193" i="48"/>
  <c r="AR918" i="48"/>
  <c r="AR1193" i="48"/>
  <c r="AR868" i="48"/>
  <c r="AR1093" i="48"/>
  <c r="AR593" i="48"/>
  <c r="AR1268" i="48"/>
  <c r="AR343" i="48"/>
  <c r="AR243" i="48"/>
  <c r="AR268" i="48"/>
  <c r="AR818" i="48"/>
  <c r="AR843" i="48"/>
  <c r="AR993" i="48"/>
  <c r="AR318" i="48"/>
  <c r="AR968" i="48"/>
  <c r="AR1043" i="48"/>
  <c r="AR568" i="48"/>
  <c r="AR643" i="48"/>
  <c r="AR493" i="48"/>
  <c r="AR168" i="48"/>
  <c r="AR218" i="48"/>
  <c r="AR1343" i="48"/>
  <c r="AR43" i="48"/>
  <c r="AR68" i="48"/>
  <c r="AR468" i="48"/>
  <c r="AR793" i="48"/>
  <c r="AR1018" i="48"/>
  <c r="AR768" i="48"/>
  <c r="AR1244" i="48"/>
  <c r="AR118" i="48"/>
  <c r="AR693" i="48"/>
  <c r="AR718" i="48"/>
  <c r="AR293" i="48"/>
  <c r="AR368" i="48"/>
  <c r="AR93" i="48"/>
  <c r="AR443" i="48"/>
  <c r="AR393" i="48"/>
  <c r="AR943" i="48"/>
  <c r="AR1143" i="48"/>
  <c r="M1143" i="48" s="1"/>
  <c r="AR518" i="48"/>
  <c r="AR1218" i="48"/>
  <c r="AR1068" i="48"/>
  <c r="AR543" i="48"/>
  <c r="AR618" i="48"/>
  <c r="AR24" i="48"/>
  <c r="AR1099" i="48"/>
  <c r="AR649" i="48"/>
  <c r="AR899" i="48"/>
  <c r="AR1124" i="48"/>
  <c r="AR149" i="48"/>
  <c r="AR124" i="48"/>
  <c r="AR174" i="48"/>
  <c r="AR1074" i="48"/>
  <c r="AR1149" i="48"/>
  <c r="M1149" i="48" s="1"/>
  <c r="AR74" i="48"/>
  <c r="AR99" i="48"/>
  <c r="AR299" i="48"/>
  <c r="AR324" i="48"/>
  <c r="AR374" i="48"/>
  <c r="AR424" i="48"/>
  <c r="AR574" i="48"/>
  <c r="AR699" i="48"/>
  <c r="AR974" i="48"/>
  <c r="AR399" i="48"/>
  <c r="AR249" i="48"/>
  <c r="AR499" i="48"/>
  <c r="AR874" i="48"/>
  <c r="AR1049" i="48"/>
  <c r="AR1224" i="48"/>
  <c r="AR274" i="48"/>
  <c r="AR349" i="48"/>
  <c r="AR949" i="48"/>
  <c r="AR1299" i="48"/>
  <c r="AR199" i="48"/>
  <c r="AR1199" i="48"/>
  <c r="AR1324" i="48"/>
  <c r="AR599" i="48"/>
  <c r="AR1024" i="48"/>
  <c r="AR224" i="48"/>
  <c r="AR849" i="48"/>
  <c r="AR1349" i="48"/>
  <c r="AR1250" i="48"/>
  <c r="AR824" i="48"/>
  <c r="AR624" i="48"/>
  <c r="AR774" i="48"/>
  <c r="AR999" i="48"/>
  <c r="AR49" i="48"/>
  <c r="AR549" i="48"/>
  <c r="AR449" i="48"/>
  <c r="AR1274" i="48"/>
  <c r="AR524" i="48"/>
  <c r="AR474" i="48"/>
  <c r="AR724" i="48"/>
  <c r="AR799" i="48"/>
  <c r="AR924" i="48"/>
  <c r="AR1273" i="48"/>
  <c r="AR373" i="48"/>
  <c r="AR573" i="48"/>
  <c r="AR1073" i="48"/>
  <c r="AR523" i="48"/>
  <c r="AR48" i="48"/>
  <c r="AR698" i="48"/>
  <c r="AR1223" i="48"/>
  <c r="AR248" i="48"/>
  <c r="AR773" i="48"/>
  <c r="AR848" i="48"/>
  <c r="AR123" i="48"/>
  <c r="AR23" i="48"/>
  <c r="AR348" i="48"/>
  <c r="AR948" i="48"/>
  <c r="AR173" i="48"/>
  <c r="AR1148" i="48"/>
  <c r="M1148" i="48" s="1"/>
  <c r="AR798" i="48"/>
  <c r="AR1298" i="48"/>
  <c r="AR148" i="48"/>
  <c r="AR973" i="48"/>
  <c r="AR1123" i="48"/>
  <c r="AR448" i="48"/>
  <c r="AR423" i="48"/>
  <c r="AR1023" i="48"/>
  <c r="AR323" i="48"/>
  <c r="AR473" i="48"/>
  <c r="AR73" i="48"/>
  <c r="AR723" i="48"/>
  <c r="AR1249" i="48"/>
  <c r="AR548" i="48"/>
  <c r="AR998" i="48"/>
  <c r="AR273" i="48"/>
  <c r="AR623" i="48"/>
  <c r="AR1098" i="48"/>
  <c r="AR598" i="48"/>
  <c r="AR923" i="48"/>
  <c r="AR298" i="48"/>
  <c r="AR898" i="48"/>
  <c r="AR1198" i="48"/>
  <c r="AR198" i="48"/>
  <c r="AR398" i="48"/>
  <c r="AR498" i="48"/>
  <c r="AR873" i="48"/>
  <c r="AR1048" i="48"/>
  <c r="AR1323" i="48"/>
  <c r="AR648" i="48"/>
  <c r="AR223" i="48"/>
  <c r="AR1348" i="48"/>
  <c r="AR98" i="48"/>
  <c r="AR823" i="48"/>
  <c r="AR594" i="48"/>
  <c r="AR1344" i="48"/>
  <c r="AR794" i="48"/>
  <c r="AR144" i="48"/>
  <c r="AR619" i="48"/>
  <c r="AR19" i="48"/>
  <c r="AR394" i="48"/>
  <c r="AR444" i="48"/>
  <c r="AR1294" i="48"/>
  <c r="AR1319" i="48"/>
  <c r="AR719" i="48"/>
  <c r="AR44" i="48"/>
  <c r="AR1119" i="48"/>
  <c r="AR1019" i="48"/>
  <c r="AR294" i="48"/>
  <c r="AR819" i="48"/>
  <c r="AR419" i="48"/>
  <c r="AR1069" i="48"/>
  <c r="AR69" i="48"/>
  <c r="AR694" i="48"/>
  <c r="AR769" i="48"/>
  <c r="AR1245" i="48"/>
  <c r="AR1269" i="48"/>
  <c r="AR494" i="48"/>
  <c r="AR644" i="48"/>
  <c r="AR869" i="48"/>
  <c r="AR969" i="48"/>
  <c r="AR94" i="48"/>
  <c r="AR269" i="48"/>
  <c r="AR844" i="48"/>
  <c r="AR944" i="48"/>
  <c r="AR1144" i="48"/>
  <c r="M1144" i="48" s="1"/>
  <c r="AR1219" i="48"/>
  <c r="AR169" i="48"/>
  <c r="AR194" i="48"/>
  <c r="AR219" i="48"/>
  <c r="AR1044" i="48"/>
  <c r="AR244" i="48"/>
  <c r="AR319" i="48"/>
  <c r="AR519" i="48"/>
  <c r="AR119" i="48"/>
  <c r="AR1094" i="48"/>
  <c r="AR344" i="48"/>
  <c r="AR469" i="48"/>
  <c r="AR544" i="48"/>
  <c r="AR369" i="48"/>
  <c r="AR994" i="48"/>
  <c r="AR1194" i="48"/>
  <c r="AR919" i="48"/>
  <c r="AR569" i="48"/>
  <c r="AR894" i="48"/>
  <c r="AA663" i="48"/>
  <c r="M663" i="48"/>
  <c r="AN660" i="48"/>
  <c r="AF10" i="48"/>
  <c r="AR671" i="48"/>
  <c r="AR411" i="48"/>
  <c r="AR136" i="48"/>
  <c r="AR1061" i="48"/>
  <c r="AR236" i="48"/>
  <c r="AR1261" i="48"/>
  <c r="AR561" i="48"/>
  <c r="AR1186" i="48"/>
  <c r="AR336" i="48"/>
  <c r="AR636" i="48"/>
  <c r="AR386" i="48"/>
  <c r="AR436" i="48"/>
  <c r="AR511" i="48"/>
  <c r="AR861" i="48"/>
  <c r="AR886" i="48"/>
  <c r="AR311" i="48"/>
  <c r="AR361" i="48"/>
  <c r="AR986" i="48"/>
  <c r="AR1211" i="48"/>
  <c r="AR611" i="48"/>
  <c r="AR1036" i="48"/>
  <c r="AR1136" i="48"/>
  <c r="M1136" i="48" s="1"/>
  <c r="AR61" i="48"/>
  <c r="AR111" i="48"/>
  <c r="AR786" i="48"/>
  <c r="AR461" i="48"/>
  <c r="AR536" i="48"/>
  <c r="AR586" i="48"/>
  <c r="AR686" i="48"/>
  <c r="AR811" i="48"/>
  <c r="AR836" i="48"/>
  <c r="AR911" i="48"/>
  <c r="AR1237" i="48"/>
  <c r="AR36" i="48"/>
  <c r="AR261" i="48"/>
  <c r="AR1086" i="48"/>
  <c r="AR1286" i="48"/>
  <c r="AR1311" i="48"/>
  <c r="AR86" i="48"/>
  <c r="AR161" i="48"/>
  <c r="AR1111" i="48"/>
  <c r="AR761" i="48"/>
  <c r="AR711" i="48"/>
  <c r="AR936" i="48"/>
  <c r="AR1011" i="48"/>
  <c r="AR186" i="48"/>
  <c r="AR961" i="48"/>
  <c r="AR1336" i="48"/>
  <c r="AR486" i="48"/>
  <c r="AR211" i="48"/>
  <c r="AR286" i="48"/>
  <c r="AR667" i="48"/>
  <c r="AR665" i="48"/>
  <c r="AA668" i="48"/>
  <c r="M668" i="48"/>
  <c r="AR614" i="48"/>
  <c r="AR239" i="48"/>
  <c r="AR1014" i="48"/>
  <c r="AR839" i="48"/>
  <c r="AR914" i="48"/>
  <c r="AR1089" i="48"/>
  <c r="AR1114" i="48"/>
  <c r="AR139" i="48"/>
  <c r="AR64" i="48"/>
  <c r="AR989" i="48"/>
  <c r="AR364" i="48"/>
  <c r="AR889" i="48"/>
  <c r="AR14" i="48"/>
  <c r="AR1240" i="48"/>
  <c r="AR289" i="48"/>
  <c r="AR514" i="48"/>
  <c r="AR539" i="48"/>
  <c r="AR589" i="48"/>
  <c r="AR764" i="48"/>
  <c r="AR814" i="48"/>
  <c r="AR339" i="48"/>
  <c r="AR939" i="48"/>
  <c r="AR1289" i="48"/>
  <c r="AR164" i="48"/>
  <c r="AR114" i="48"/>
  <c r="AR464" i="48"/>
  <c r="AR39" i="48"/>
  <c r="AR439" i="48"/>
  <c r="AR714" i="48"/>
  <c r="AR1189" i="48"/>
  <c r="AR1339" i="48"/>
  <c r="AR189" i="48"/>
  <c r="AR564" i="48"/>
  <c r="AR639" i="48"/>
  <c r="AR689" i="48"/>
  <c r="AR89" i="48"/>
  <c r="AR314" i="48"/>
  <c r="AR389" i="48"/>
  <c r="AR489" i="48"/>
  <c r="AR214" i="48"/>
  <c r="AR864" i="48"/>
  <c r="AR1039" i="48"/>
  <c r="AR1214" i="48"/>
  <c r="AR264" i="48"/>
  <c r="AR789" i="48"/>
  <c r="AR1264" i="48"/>
  <c r="AR964" i="48"/>
  <c r="AR1314" i="48"/>
  <c r="AR1064" i="48"/>
  <c r="AR1139" i="48"/>
  <c r="M1139" i="48" s="1"/>
  <c r="AR414" i="48"/>
  <c r="AR137" i="48"/>
  <c r="AR962" i="48"/>
  <c r="AR887" i="48"/>
  <c r="AR62" i="48"/>
  <c r="AR587" i="48"/>
  <c r="AR487" i="48"/>
  <c r="AR112" i="48"/>
  <c r="AR912" i="48"/>
  <c r="AR12" i="48"/>
  <c r="AR1087" i="48"/>
  <c r="AR612" i="48"/>
  <c r="AR337" i="48"/>
  <c r="AR37" i="48"/>
  <c r="AR1287" i="48"/>
  <c r="AR562" i="48"/>
  <c r="AR1112" i="48"/>
  <c r="AR212" i="48"/>
  <c r="AR937" i="48"/>
  <c r="AR237" i="48"/>
  <c r="AR412" i="48"/>
  <c r="AR712" i="48"/>
  <c r="AR987" i="48"/>
  <c r="AR787" i="48"/>
  <c r="AR1137" i="48"/>
  <c r="M1137" i="48" s="1"/>
  <c r="AR537" i="48"/>
  <c r="AR637" i="48"/>
  <c r="AR387" i="48"/>
  <c r="AR1187" i="48"/>
  <c r="AR1012" i="48"/>
  <c r="AR1037" i="48"/>
  <c r="AR1312" i="48"/>
  <c r="AR362" i="48"/>
  <c r="AR312" i="48"/>
  <c r="AR862" i="48"/>
  <c r="AR1212" i="48"/>
  <c r="AR1238" i="48"/>
  <c r="AR1062" i="48"/>
  <c r="AR1337" i="48"/>
  <c r="AR1262" i="48"/>
  <c r="AR512" i="48"/>
  <c r="AR837" i="48"/>
  <c r="AR262" i="48"/>
  <c r="AR437" i="48"/>
  <c r="AR462" i="48"/>
  <c r="AR812" i="48"/>
  <c r="AR162" i="48"/>
  <c r="AR87" i="48"/>
  <c r="AR287" i="48"/>
  <c r="AR762" i="48"/>
  <c r="AR687" i="48"/>
  <c r="AR187" i="48"/>
  <c r="AR674" i="48"/>
  <c r="AR425" i="48"/>
  <c r="AR350" i="48"/>
  <c r="AR1025" i="48"/>
  <c r="AR200" i="48"/>
  <c r="AR150" i="48"/>
  <c r="AR125" i="48"/>
  <c r="AR50" i="48"/>
  <c r="AR1100" i="48"/>
  <c r="AR1200" i="48"/>
  <c r="AR1325" i="48"/>
  <c r="AR1125" i="48"/>
  <c r="AR400" i="48"/>
  <c r="AR575" i="48"/>
  <c r="AR275" i="48"/>
  <c r="AR1275" i="48"/>
  <c r="AR450" i="48"/>
  <c r="AR375" i="48"/>
  <c r="AR1350" i="48"/>
  <c r="AR175" i="48"/>
  <c r="AR300" i="48"/>
  <c r="AR700" i="48"/>
  <c r="AR800" i="48"/>
  <c r="AR1150" i="48"/>
  <c r="M1150" i="48" s="1"/>
  <c r="AR1075" i="48"/>
  <c r="AR550" i="48"/>
  <c r="AR1300" i="48"/>
  <c r="AR725" i="48"/>
  <c r="AR900" i="48"/>
  <c r="AR1000" i="48"/>
  <c r="AR500" i="48"/>
  <c r="AR475" i="48"/>
  <c r="AR925" i="48"/>
  <c r="AR950" i="48"/>
  <c r="AR75" i="48"/>
  <c r="AR100" i="48"/>
  <c r="AR525" i="48"/>
  <c r="AR825" i="48"/>
  <c r="AR1225" i="48"/>
  <c r="AR250" i="48"/>
  <c r="AR325" i="48"/>
  <c r="AR650" i="48"/>
  <c r="AR25" i="48"/>
  <c r="AR225" i="48"/>
  <c r="AR1050" i="48"/>
  <c r="AR975" i="48"/>
  <c r="AR850" i="48"/>
  <c r="AR600" i="48"/>
  <c r="AR625" i="48"/>
  <c r="AR775" i="48"/>
  <c r="AR875" i="48"/>
  <c r="AR673" i="48"/>
  <c r="AA672" i="48"/>
  <c r="M672" i="48"/>
  <c r="AO664" i="48"/>
  <c r="AR147" i="48"/>
  <c r="AR597" i="48"/>
  <c r="AR897" i="48"/>
  <c r="AR122" i="48"/>
  <c r="AR172" i="48"/>
  <c r="AR1122" i="48"/>
  <c r="AR1272" i="48"/>
  <c r="AR197" i="48"/>
  <c r="AR22" i="48"/>
  <c r="AR472" i="48"/>
  <c r="AR797" i="48"/>
  <c r="AR1022" i="48"/>
  <c r="AR72" i="48"/>
  <c r="AR947" i="48"/>
  <c r="AR1147" i="48"/>
  <c r="M1147" i="48" s="1"/>
  <c r="AR1347" i="48"/>
  <c r="AR272" i="48"/>
  <c r="AR97" i="48"/>
  <c r="AR572" i="48"/>
  <c r="AR622" i="48"/>
  <c r="AR972" i="48"/>
  <c r="AR1222" i="48"/>
  <c r="AR297" i="48"/>
  <c r="AR422" i="48"/>
  <c r="AR1248" i="48"/>
  <c r="AR1322" i="48"/>
  <c r="AR497" i="48"/>
  <c r="AR772" i="48"/>
  <c r="AR372" i="48"/>
  <c r="AR697" i="48"/>
  <c r="AR997" i="48"/>
  <c r="AR1197" i="48"/>
  <c r="AR222" i="48"/>
  <c r="AR722" i="48"/>
  <c r="AR1097" i="48"/>
  <c r="AR1297" i="48"/>
  <c r="AR47" i="48"/>
  <c r="AR397" i="48"/>
  <c r="AR447" i="48"/>
  <c r="AR547" i="48"/>
  <c r="AR822" i="48"/>
  <c r="AR1047" i="48"/>
  <c r="AR322" i="48"/>
  <c r="AR1072" i="48"/>
  <c r="AR647" i="48"/>
  <c r="AR522" i="48"/>
  <c r="AR347" i="48"/>
  <c r="AR922" i="48"/>
  <c r="AR247" i="48"/>
  <c r="AR847" i="48"/>
  <c r="AR872" i="48"/>
  <c r="AR661" i="48"/>
  <c r="AA277" i="48"/>
  <c r="AR488" i="48"/>
  <c r="AR1113" i="48"/>
  <c r="AR1188" i="48"/>
  <c r="AR138" i="48"/>
  <c r="AR238" i="48"/>
  <c r="AR1088" i="48"/>
  <c r="AR1288" i="48"/>
  <c r="AR1263" i="48"/>
  <c r="AR13" i="48"/>
  <c r="AR363" i="48"/>
  <c r="AR563" i="48"/>
  <c r="AR538" i="48"/>
  <c r="AR713" i="48"/>
  <c r="AR913" i="48"/>
  <c r="AR988" i="48"/>
  <c r="AR1038" i="48"/>
  <c r="AR1063" i="48"/>
  <c r="AR1313" i="48"/>
  <c r="AR1239" i="48"/>
  <c r="AR688" i="48"/>
  <c r="AR863" i="48"/>
  <c r="AR838" i="48"/>
  <c r="AR1138" i="48"/>
  <c r="M1138" i="48" s="1"/>
  <c r="AR63" i="48"/>
  <c r="AR163" i="48"/>
  <c r="AR438" i="48"/>
  <c r="AR513" i="48"/>
  <c r="AR588" i="48"/>
  <c r="AR1338" i="48"/>
  <c r="AR613" i="48"/>
  <c r="AR88" i="48"/>
  <c r="AR313" i="48"/>
  <c r="AR638" i="48"/>
  <c r="AR38" i="48"/>
  <c r="AR763" i="48"/>
  <c r="AR788" i="48"/>
  <c r="AR338" i="48"/>
  <c r="AR288" i="48"/>
  <c r="AR113" i="48"/>
  <c r="AR888" i="48"/>
  <c r="AR938" i="48"/>
  <c r="AR1013" i="48"/>
  <c r="AR388" i="48"/>
  <c r="AR413" i="48"/>
  <c r="AR463" i="48"/>
  <c r="AR813" i="48"/>
  <c r="AR188" i="48"/>
  <c r="AR263" i="48"/>
  <c r="AR963" i="48"/>
  <c r="AR1213" i="48"/>
  <c r="AR213" i="48"/>
  <c r="AR664" i="48"/>
  <c r="AR662" i="48"/>
  <c r="AR1116" i="48"/>
  <c r="AR1191" i="48"/>
  <c r="AR1091" i="48"/>
  <c r="AR1242" i="48"/>
  <c r="AR966" i="48"/>
  <c r="AR491" i="48"/>
  <c r="AR141" i="48"/>
  <c r="AR16" i="48"/>
  <c r="AR1291" i="48"/>
  <c r="AR816" i="48"/>
  <c r="AR91" i="48"/>
  <c r="AR241" i="48"/>
  <c r="AR791" i="48"/>
  <c r="AR66" i="48"/>
  <c r="AR466" i="48"/>
  <c r="AR766" i="48"/>
  <c r="AR941" i="48"/>
  <c r="AR1016" i="48"/>
  <c r="AR166" i="48"/>
  <c r="AR316" i="48"/>
  <c r="AR991" i="48"/>
  <c r="AR1066" i="48"/>
  <c r="AR266" i="48"/>
  <c r="AR441" i="48"/>
  <c r="AR891" i="48"/>
  <c r="AR616" i="48"/>
  <c r="AR1266" i="48"/>
  <c r="AR116" i="48"/>
  <c r="AR191" i="48"/>
  <c r="AR291" i="48"/>
  <c r="AR541" i="48"/>
  <c r="AR366" i="48"/>
  <c r="AR841" i="48"/>
  <c r="AR866" i="48"/>
  <c r="AR916" i="48"/>
  <c r="AR1341" i="48"/>
  <c r="AR216" i="48"/>
  <c r="AR41" i="48"/>
  <c r="AR516" i="48"/>
  <c r="AR591" i="48"/>
  <c r="AR691" i="48"/>
  <c r="AR341" i="48"/>
  <c r="AR391" i="48"/>
  <c r="AR1141" i="48"/>
  <c r="M1141" i="48" s="1"/>
  <c r="AR1216" i="48"/>
  <c r="AR566" i="48"/>
  <c r="AR641" i="48"/>
  <c r="AR416" i="48"/>
  <c r="AR1041" i="48"/>
  <c r="AR716" i="48"/>
  <c r="AR1316" i="48"/>
  <c r="AR675" i="48"/>
  <c r="AO675" i="48"/>
  <c r="AO662" i="48"/>
  <c r="AO668" i="48"/>
  <c r="AO663" i="48"/>
  <c r="AO670" i="48"/>
  <c r="AO666" i="48"/>
  <c r="AO667" i="48"/>
  <c r="AM659" i="48"/>
  <c r="AL659" i="48"/>
  <c r="AM660" i="48"/>
  <c r="AL660" i="48"/>
  <c r="AE660" i="48"/>
  <c r="AE661" i="48"/>
  <c r="AP73" i="48"/>
  <c r="AQ72" i="48"/>
  <c r="AQ347" i="48"/>
  <c r="AP348" i="48"/>
  <c r="AQ372" i="48"/>
  <c r="AP373" i="48"/>
  <c r="AQ1172" i="48"/>
  <c r="AP1173" i="48"/>
  <c r="AQ272" i="48"/>
  <c r="AP273" i="48"/>
  <c r="AP623" i="48"/>
  <c r="AQ622" i="48"/>
  <c r="AQ222" i="48"/>
  <c r="AP223" i="48"/>
  <c r="AP548" i="48"/>
  <c r="AQ547" i="48"/>
  <c r="AP298" i="48"/>
  <c r="AQ297" i="48"/>
  <c r="AQ1072" i="48"/>
  <c r="AP1073" i="48"/>
  <c r="AQ1022" i="48"/>
  <c r="AP1023" i="48"/>
  <c r="AQ597" i="48"/>
  <c r="AP598" i="48"/>
  <c r="AQ572" i="48"/>
  <c r="AP573" i="48"/>
  <c r="AP773" i="48"/>
  <c r="AQ772" i="48"/>
  <c r="AP498" i="48"/>
  <c r="AQ497" i="48"/>
  <c r="AQ1247" i="48"/>
  <c r="AP1248" i="48"/>
  <c r="AP173" i="48"/>
  <c r="AQ172" i="48"/>
  <c r="AQ197" i="48"/>
  <c r="AP198" i="48"/>
  <c r="AQ1222" i="48"/>
  <c r="AP1223" i="48"/>
  <c r="AP1323" i="48"/>
  <c r="AQ1322" i="48"/>
  <c r="AP998" i="48"/>
  <c r="AQ997" i="48"/>
  <c r="AQ922" i="48"/>
  <c r="AP923" i="48"/>
  <c r="AP400" i="48"/>
  <c r="AQ399" i="48"/>
  <c r="AP875" i="48"/>
  <c r="AQ874" i="48"/>
  <c r="AP150" i="48"/>
  <c r="AQ149" i="48"/>
  <c r="AQ1349" i="48"/>
  <c r="AP1350" i="48"/>
  <c r="AP975" i="48"/>
  <c r="AQ974" i="48"/>
  <c r="AP1125" i="48"/>
  <c r="AQ1124" i="48"/>
  <c r="AQ1299" i="48"/>
  <c r="AP1300" i="48"/>
  <c r="AQ949" i="48"/>
  <c r="AP950" i="48"/>
  <c r="AQ1049" i="48"/>
  <c r="AP1050" i="48"/>
  <c r="AQ449" i="48"/>
  <c r="AP450" i="48"/>
  <c r="AP425" i="48"/>
  <c r="AQ424" i="48"/>
  <c r="AQ1149" i="48"/>
  <c r="AP1150" i="48"/>
  <c r="AQ1199" i="48"/>
  <c r="AP1200" i="48"/>
  <c r="AP100" i="48"/>
  <c r="AQ99" i="48"/>
  <c r="AP475" i="48"/>
  <c r="AQ474" i="48"/>
  <c r="AP125" i="48"/>
  <c r="AQ124" i="48"/>
  <c r="AP850" i="48"/>
  <c r="AQ849" i="48"/>
  <c r="AQ1099" i="48"/>
  <c r="AP1100" i="48"/>
  <c r="AP750" i="48"/>
  <c r="AQ749" i="48"/>
  <c r="AP1275" i="48"/>
  <c r="AQ1274" i="48"/>
  <c r="AP325" i="48"/>
  <c r="AQ324" i="48"/>
  <c r="AP825" i="48"/>
  <c r="AQ824" i="48"/>
  <c r="AP800" i="48"/>
  <c r="AQ799" i="48"/>
  <c r="AP525" i="48"/>
  <c r="AQ524" i="48"/>
  <c r="AP900" i="48"/>
  <c r="AQ899" i="48"/>
  <c r="AP700" i="48"/>
  <c r="AQ699" i="48"/>
  <c r="AP725" i="48"/>
  <c r="AQ724" i="48"/>
  <c r="AQ649" i="48"/>
  <c r="AP650" i="48"/>
  <c r="AQ249" i="48"/>
  <c r="AP250" i="48"/>
  <c r="M666" i="48" l="1"/>
  <c r="Q1393" i="48"/>
  <c r="AH10" i="48"/>
  <c r="AA566" i="48"/>
  <c r="M566" i="48"/>
  <c r="AA866" i="48"/>
  <c r="M866" i="48"/>
  <c r="AA616" i="48"/>
  <c r="M616" i="48"/>
  <c r="AA66" i="48"/>
  <c r="M66" i="48"/>
  <c r="AA491" i="48"/>
  <c r="M491" i="48"/>
  <c r="AA188" i="48"/>
  <c r="M188" i="48"/>
  <c r="AA1239" i="48"/>
  <c r="M1239" i="48"/>
  <c r="AA1288" i="48"/>
  <c r="M1288" i="48"/>
  <c r="AA247" i="48"/>
  <c r="M247" i="48"/>
  <c r="AA822" i="48"/>
  <c r="M822" i="48"/>
  <c r="AA372" i="48"/>
  <c r="M372" i="48"/>
  <c r="AA272" i="48"/>
  <c r="M272" i="48"/>
  <c r="AA22" i="48"/>
  <c r="T22" i="48"/>
  <c r="M22" i="48"/>
  <c r="AA600" i="48"/>
  <c r="M600" i="48"/>
  <c r="AA250" i="48"/>
  <c r="M250" i="48"/>
  <c r="AA725" i="48"/>
  <c r="M725" i="48"/>
  <c r="AA1275" i="48"/>
  <c r="M1275" i="48"/>
  <c r="AA187" i="48"/>
  <c r="M187" i="48"/>
  <c r="AA437" i="48"/>
  <c r="M437" i="48"/>
  <c r="AA1312" i="48"/>
  <c r="M1312" i="48"/>
  <c r="AA787" i="48"/>
  <c r="M787" i="48"/>
  <c r="AA562" i="48"/>
  <c r="M562" i="48"/>
  <c r="AA112" i="48"/>
  <c r="M112" i="48"/>
  <c r="AA1264" i="48"/>
  <c r="M1264" i="48"/>
  <c r="AA639" i="48"/>
  <c r="M639" i="48"/>
  <c r="AA464" i="48"/>
  <c r="M464" i="48"/>
  <c r="AA989" i="48"/>
  <c r="M989" i="48"/>
  <c r="AA665" i="48"/>
  <c r="M665" i="48"/>
  <c r="AA1111" i="48"/>
  <c r="M1111" i="48"/>
  <c r="AA1237" i="48"/>
  <c r="M1237" i="48"/>
  <c r="AA1036" i="48"/>
  <c r="M1036" i="48"/>
  <c r="AA336" i="48"/>
  <c r="M336" i="48"/>
  <c r="AA1261" i="48"/>
  <c r="M1261" i="48"/>
  <c r="AA919" i="48"/>
  <c r="M919" i="48"/>
  <c r="AA1044" i="48"/>
  <c r="M1044" i="48"/>
  <c r="AA769" i="48"/>
  <c r="M769" i="48"/>
  <c r="AA1294" i="48"/>
  <c r="M1294" i="48"/>
  <c r="AA873" i="48"/>
  <c r="M873" i="48"/>
  <c r="AA998" i="48"/>
  <c r="M998" i="48"/>
  <c r="AA423" i="48"/>
  <c r="M423" i="48"/>
  <c r="AA123" i="48"/>
  <c r="M123" i="48"/>
  <c r="AA924" i="48"/>
  <c r="M924" i="48"/>
  <c r="AA224" i="48"/>
  <c r="M224" i="48"/>
  <c r="AA874" i="48"/>
  <c r="M874" i="48"/>
  <c r="AA1018" i="48"/>
  <c r="M1018" i="48"/>
  <c r="AA818" i="48"/>
  <c r="M818" i="48"/>
  <c r="AA18" i="48"/>
  <c r="T18" i="48"/>
  <c r="M18" i="48"/>
  <c r="AA315" i="48"/>
  <c r="M315" i="48"/>
  <c r="AA640" i="48"/>
  <c r="M640" i="48"/>
  <c r="AA690" i="48"/>
  <c r="M690" i="48"/>
  <c r="AA190" i="48"/>
  <c r="M190" i="48"/>
  <c r="AA1315" i="48"/>
  <c r="M1315" i="48"/>
  <c r="AA92" i="48"/>
  <c r="M92" i="48"/>
  <c r="AA1342" i="48"/>
  <c r="M1342" i="48"/>
  <c r="AA942" i="48"/>
  <c r="M942" i="48"/>
  <c r="AA867" i="48"/>
  <c r="M867" i="48"/>
  <c r="AA1092" i="48"/>
  <c r="M1092" i="48"/>
  <c r="AA617" i="48"/>
  <c r="M617" i="48"/>
  <c r="AA1292" i="48"/>
  <c r="M1292" i="48"/>
  <c r="AA192" i="48"/>
  <c r="M192" i="48"/>
  <c r="AA167" i="48"/>
  <c r="M167" i="48"/>
  <c r="AA242" i="48"/>
  <c r="M242" i="48"/>
  <c r="AA1317" i="48"/>
  <c r="M1317" i="48"/>
  <c r="AA1217" i="48"/>
  <c r="M1217" i="48"/>
  <c r="AA271" i="48"/>
  <c r="M271" i="48"/>
  <c r="AA1071" i="48"/>
  <c r="M1071" i="48"/>
  <c r="AA771" i="48"/>
  <c r="M771" i="48"/>
  <c r="AA546" i="48"/>
  <c r="M546" i="48"/>
  <c r="AA646" i="48"/>
  <c r="M646" i="48"/>
  <c r="AA96" i="48"/>
  <c r="M96" i="48"/>
  <c r="AA921" i="48"/>
  <c r="M921" i="48"/>
  <c r="AA1247" i="48"/>
  <c r="M1247" i="48"/>
  <c r="AA346" i="48"/>
  <c r="M346" i="48"/>
  <c r="AA1271" i="48"/>
  <c r="M1271" i="48"/>
  <c r="AA71" i="48"/>
  <c r="M71" i="48"/>
  <c r="AA1045" i="48"/>
  <c r="M1045" i="48"/>
  <c r="AA295" i="48"/>
  <c r="M295" i="48"/>
  <c r="AA1195" i="48"/>
  <c r="M1195" i="48"/>
  <c r="AA945" i="48"/>
  <c r="M945" i="48"/>
  <c r="AA195" i="48"/>
  <c r="M195" i="48"/>
  <c r="AA820" i="48"/>
  <c r="M820" i="48"/>
  <c r="AA995" i="48"/>
  <c r="M995" i="48"/>
  <c r="AA370" i="48"/>
  <c r="M370" i="48"/>
  <c r="AA1270" i="48"/>
  <c r="M1270" i="48"/>
  <c r="AA770" i="48"/>
  <c r="M770" i="48"/>
  <c r="AA595" i="48"/>
  <c r="M595" i="48"/>
  <c r="AA420" i="48"/>
  <c r="M420" i="48"/>
  <c r="AA1041" i="48"/>
  <c r="M1041" i="48"/>
  <c r="AA1216" i="48"/>
  <c r="M1216" i="48"/>
  <c r="AA691" i="48"/>
  <c r="M691" i="48"/>
  <c r="AA216" i="48"/>
  <c r="M216" i="48"/>
  <c r="AA841" i="48"/>
  <c r="M841" i="48"/>
  <c r="AA191" i="48"/>
  <c r="M191" i="48"/>
  <c r="AA891" i="48"/>
  <c r="M891" i="48"/>
  <c r="AA991" i="48"/>
  <c r="M991" i="48"/>
  <c r="AA941" i="48"/>
  <c r="M941" i="48"/>
  <c r="AA791" i="48"/>
  <c r="M791" i="48"/>
  <c r="AA1291" i="48"/>
  <c r="M1291" i="48"/>
  <c r="AA966" i="48"/>
  <c r="M966" i="48"/>
  <c r="AA1116" i="48"/>
  <c r="M1116" i="48"/>
  <c r="AA1213" i="48"/>
  <c r="M1213" i="48"/>
  <c r="AA813" i="48"/>
  <c r="M813" i="48"/>
  <c r="AA1013" i="48"/>
  <c r="M1013" i="48"/>
  <c r="AA288" i="48"/>
  <c r="M288" i="48"/>
  <c r="AA38" i="48"/>
  <c r="AA613" i="48"/>
  <c r="M613" i="48"/>
  <c r="AA438" i="48"/>
  <c r="M438" i="48"/>
  <c r="AA838" i="48"/>
  <c r="M838" i="48"/>
  <c r="AA1313" i="48"/>
  <c r="M1313" i="48"/>
  <c r="AA913" i="48"/>
  <c r="M913" i="48"/>
  <c r="AA363" i="48"/>
  <c r="M363" i="48"/>
  <c r="AA1088" i="48"/>
  <c r="M1088" i="48"/>
  <c r="AA1113" i="48"/>
  <c r="M1113" i="48"/>
  <c r="AA661" i="48"/>
  <c r="M661" i="48"/>
  <c r="AA922" i="48"/>
  <c r="M922" i="48"/>
  <c r="AA1072" i="48"/>
  <c r="M1072" i="48"/>
  <c r="AA547" i="48"/>
  <c r="M547" i="48"/>
  <c r="AA1297" i="48"/>
  <c r="M1297" i="48"/>
  <c r="AA1197" i="48"/>
  <c r="M1197" i="48"/>
  <c r="AA772" i="48"/>
  <c r="M772" i="48"/>
  <c r="AA422" i="48"/>
  <c r="M422" i="48"/>
  <c r="AA622" i="48"/>
  <c r="M622" i="48"/>
  <c r="AA1347" i="48"/>
  <c r="M1347" i="48"/>
  <c r="AA1022" i="48"/>
  <c r="M1022" i="48"/>
  <c r="AA197" i="48"/>
  <c r="M197" i="48"/>
  <c r="AA122" i="48"/>
  <c r="M122" i="48"/>
  <c r="AA875" i="48"/>
  <c r="M875" i="48"/>
  <c r="AA850" i="48"/>
  <c r="M850" i="48"/>
  <c r="AA25" i="48"/>
  <c r="T25" i="48"/>
  <c r="M25" i="48"/>
  <c r="AA1225" i="48"/>
  <c r="M1225" i="48"/>
  <c r="AA75" i="48"/>
  <c r="M75" i="48"/>
  <c r="AA500" i="48"/>
  <c r="M500" i="48"/>
  <c r="AA1300" i="48"/>
  <c r="M1300" i="48"/>
  <c r="AA800" i="48"/>
  <c r="M800" i="48"/>
  <c r="AA1350" i="48"/>
  <c r="M1350" i="48"/>
  <c r="AA275" i="48"/>
  <c r="M275" i="48"/>
  <c r="AA1325" i="48"/>
  <c r="M1325" i="48"/>
  <c r="AA125" i="48"/>
  <c r="M125" i="48"/>
  <c r="AA350" i="48"/>
  <c r="M350" i="48"/>
  <c r="AA687" i="48"/>
  <c r="M687" i="48"/>
  <c r="AA162" i="48"/>
  <c r="M162" i="48"/>
  <c r="AA262" i="48"/>
  <c r="M262" i="48"/>
  <c r="AA1337" i="48"/>
  <c r="M1337" i="48"/>
  <c r="AA862" i="48"/>
  <c r="M862" i="48"/>
  <c r="AA1037" i="48"/>
  <c r="M1037" i="48"/>
  <c r="AA637" i="48"/>
  <c r="M637" i="48"/>
  <c r="AA987" i="48"/>
  <c r="M987" i="48"/>
  <c r="AA937" i="48"/>
  <c r="M937" i="48"/>
  <c r="AA1287" i="48"/>
  <c r="M1287" i="48"/>
  <c r="AA1087" i="48"/>
  <c r="M1087" i="48"/>
  <c r="AA487" i="48"/>
  <c r="M487" i="48"/>
  <c r="AA962" i="48"/>
  <c r="M962" i="48"/>
  <c r="AA1064" i="48"/>
  <c r="M1064" i="48"/>
  <c r="AA789" i="48"/>
  <c r="M789" i="48"/>
  <c r="AA864" i="48"/>
  <c r="M864" i="48"/>
  <c r="AA314" i="48"/>
  <c r="M314" i="48"/>
  <c r="AA564" i="48"/>
  <c r="M564" i="48"/>
  <c r="AA714" i="48"/>
  <c r="M714" i="48"/>
  <c r="AA114" i="48"/>
  <c r="M114" i="48"/>
  <c r="AA339" i="48"/>
  <c r="M339" i="48"/>
  <c r="AA539" i="48"/>
  <c r="M539" i="48"/>
  <c r="AA14" i="48"/>
  <c r="T14" i="48"/>
  <c r="M14" i="48"/>
  <c r="AA64" i="48"/>
  <c r="M64" i="48"/>
  <c r="AA914" i="48"/>
  <c r="M914" i="48"/>
  <c r="AA614" i="48"/>
  <c r="M614" i="48"/>
  <c r="AA667" i="48"/>
  <c r="M667" i="48"/>
  <c r="AA1336" i="48"/>
  <c r="M1336" i="48"/>
  <c r="AA936" i="48"/>
  <c r="M936" i="48"/>
  <c r="AA161" i="48"/>
  <c r="M161" i="48"/>
  <c r="AA1086" i="48"/>
  <c r="M1086" i="48"/>
  <c r="AA911" i="48"/>
  <c r="M911" i="48"/>
  <c r="AA586" i="48"/>
  <c r="M586" i="48"/>
  <c r="AA111" i="48"/>
  <c r="M111" i="48"/>
  <c r="AA611" i="48"/>
  <c r="M611" i="48"/>
  <c r="AA311" i="48"/>
  <c r="M311" i="48"/>
  <c r="AA436" i="48"/>
  <c r="M436" i="48"/>
  <c r="AA1186" i="48"/>
  <c r="M1186" i="48"/>
  <c r="AA236" i="48"/>
  <c r="M236" i="48"/>
  <c r="AA671" i="48"/>
  <c r="M671" i="48"/>
  <c r="AA1194" i="48"/>
  <c r="M1194" i="48"/>
  <c r="AA469" i="48"/>
  <c r="M469" i="48"/>
  <c r="AA519" i="48"/>
  <c r="M519" i="48"/>
  <c r="AA219" i="48"/>
  <c r="M219" i="48"/>
  <c r="AA94" i="48"/>
  <c r="M94" i="48"/>
  <c r="AA494" i="48"/>
  <c r="M494" i="48"/>
  <c r="AA694" i="48"/>
  <c r="M694" i="48"/>
  <c r="AA819" i="48"/>
  <c r="M819" i="48"/>
  <c r="AA44" i="48"/>
  <c r="AA444" i="48"/>
  <c r="M444" i="48"/>
  <c r="AA144" i="48"/>
  <c r="M144" i="48"/>
  <c r="AA823" i="48"/>
  <c r="M823" i="48"/>
  <c r="AA648" i="48"/>
  <c r="M648" i="48"/>
  <c r="AA498" i="48"/>
  <c r="M498" i="48"/>
  <c r="AA898" i="48"/>
  <c r="M898" i="48"/>
  <c r="AA1098" i="48"/>
  <c r="M1098" i="48"/>
  <c r="AA548" i="48"/>
  <c r="M548" i="48"/>
  <c r="AA473" i="48"/>
  <c r="M473" i="48"/>
  <c r="AA448" i="48"/>
  <c r="M448" i="48"/>
  <c r="AA1298" i="48"/>
  <c r="M1298" i="48"/>
  <c r="AA948" i="48"/>
  <c r="M948" i="48"/>
  <c r="AA848" i="48"/>
  <c r="M848" i="48"/>
  <c r="AA698" i="48"/>
  <c r="M698" i="48"/>
  <c r="AA573" i="48"/>
  <c r="M573" i="48"/>
  <c r="AA799" i="48"/>
  <c r="M799" i="48"/>
  <c r="AA1274" i="48"/>
  <c r="M1274" i="48"/>
  <c r="AA999" i="48"/>
  <c r="M999" i="48"/>
  <c r="AA1250" i="48"/>
  <c r="M1250" i="48"/>
  <c r="AA1024" i="48"/>
  <c r="M1024" i="48"/>
  <c r="AA199" i="48"/>
  <c r="M199" i="48"/>
  <c r="AA274" i="48"/>
  <c r="M274" i="48"/>
  <c r="AA499" i="48"/>
  <c r="M499" i="48"/>
  <c r="AA699" i="48"/>
  <c r="M699" i="48"/>
  <c r="AA324" i="48"/>
  <c r="M324" i="48"/>
  <c r="AA149" i="48"/>
  <c r="M149" i="48"/>
  <c r="AA1099" i="48"/>
  <c r="M1099" i="48"/>
  <c r="AA1068" i="48"/>
  <c r="M1068" i="48"/>
  <c r="AA943" i="48"/>
  <c r="M943" i="48"/>
  <c r="AA368" i="48"/>
  <c r="M368" i="48"/>
  <c r="AA118" i="48"/>
  <c r="M118" i="48"/>
  <c r="AA793" i="48"/>
  <c r="M793" i="48"/>
  <c r="AA1343" i="48"/>
  <c r="M1343" i="48"/>
  <c r="AA643" i="48"/>
  <c r="M643" i="48"/>
  <c r="AA318" i="48"/>
  <c r="M318" i="48"/>
  <c r="AA268" i="48"/>
  <c r="M268" i="48"/>
  <c r="AA593" i="48"/>
  <c r="M593" i="48"/>
  <c r="AA918" i="48"/>
  <c r="M918" i="48"/>
  <c r="AA893" i="48"/>
  <c r="M893" i="48"/>
  <c r="AA418" i="48"/>
  <c r="M418" i="48"/>
  <c r="AA465" i="48"/>
  <c r="M465" i="48"/>
  <c r="AA590" i="48"/>
  <c r="M590" i="48"/>
  <c r="AA765" i="48"/>
  <c r="M765" i="48"/>
  <c r="AA290" i="48"/>
  <c r="M290" i="48"/>
  <c r="AA865" i="48"/>
  <c r="M865" i="48"/>
  <c r="AA565" i="48"/>
  <c r="M565" i="48"/>
  <c r="AA965" i="48"/>
  <c r="M965" i="48"/>
  <c r="AA165" i="48"/>
  <c r="M165" i="48"/>
  <c r="AA1190" i="48"/>
  <c r="M1190" i="48"/>
  <c r="AA390" i="48"/>
  <c r="M390" i="48"/>
  <c r="AA1015" i="48"/>
  <c r="M1015" i="48"/>
  <c r="AA915" i="48"/>
  <c r="M915" i="48"/>
  <c r="AA670" i="48"/>
  <c r="M670" i="48"/>
  <c r="AA1192" i="48"/>
  <c r="M1192" i="48"/>
  <c r="AA1267" i="48"/>
  <c r="M1267" i="48"/>
  <c r="AA792" i="48"/>
  <c r="M792" i="48"/>
  <c r="AA492" i="48"/>
  <c r="M492" i="48"/>
  <c r="AA592" i="48"/>
  <c r="M592" i="48"/>
  <c r="AA767" i="48"/>
  <c r="M767" i="48"/>
  <c r="AA517" i="48"/>
  <c r="M517" i="48"/>
  <c r="AA842" i="48"/>
  <c r="M842" i="48"/>
  <c r="AA1067" i="48"/>
  <c r="M1067" i="48"/>
  <c r="AA117" i="48"/>
  <c r="M117" i="48"/>
  <c r="AA1117" i="48"/>
  <c r="M1117" i="48"/>
  <c r="AA17" i="48"/>
  <c r="T17" i="48"/>
  <c r="M17" i="48"/>
  <c r="AA596" i="48"/>
  <c r="M596" i="48"/>
  <c r="AA621" i="48"/>
  <c r="M621" i="48"/>
  <c r="AA996" i="48"/>
  <c r="M996" i="48"/>
  <c r="AA696" i="48"/>
  <c r="M696" i="48"/>
  <c r="AA471" i="48"/>
  <c r="M471" i="48"/>
  <c r="AA1046" i="48"/>
  <c r="M1046" i="48"/>
  <c r="AA196" i="48"/>
  <c r="M196" i="48"/>
  <c r="AA1096" i="48"/>
  <c r="M1096" i="48"/>
  <c r="AA396" i="48"/>
  <c r="M396" i="48"/>
  <c r="AA321" i="48"/>
  <c r="M321" i="48"/>
  <c r="AA46" i="48"/>
  <c r="AA971" i="48"/>
  <c r="M971" i="48"/>
  <c r="AA146" i="48"/>
  <c r="M146" i="48"/>
  <c r="AA1246" i="48"/>
  <c r="M1246" i="48"/>
  <c r="AA920" i="48"/>
  <c r="M920" i="48"/>
  <c r="AA570" i="48"/>
  <c r="M570" i="48"/>
  <c r="AA1345" i="48"/>
  <c r="M1345" i="48"/>
  <c r="AA495" i="48"/>
  <c r="M495" i="48"/>
  <c r="AA695" i="48"/>
  <c r="M695" i="48"/>
  <c r="AA545" i="48"/>
  <c r="M545" i="48"/>
  <c r="AA645" i="48"/>
  <c r="M645" i="48"/>
  <c r="AA720" i="48"/>
  <c r="M720" i="48"/>
  <c r="AA895" i="48"/>
  <c r="M895" i="48"/>
  <c r="AA245" i="48"/>
  <c r="M245" i="48"/>
  <c r="AA1095" i="48"/>
  <c r="M1095" i="48"/>
  <c r="AA145" i="48"/>
  <c r="M145" i="48"/>
  <c r="AA41" i="48"/>
  <c r="AA1066" i="48"/>
  <c r="M1066" i="48"/>
  <c r="AA816" i="48"/>
  <c r="M816" i="48"/>
  <c r="AA213" i="48"/>
  <c r="M213" i="48"/>
  <c r="AA113" i="48"/>
  <c r="M113" i="48"/>
  <c r="AA513" i="48"/>
  <c r="M513" i="48"/>
  <c r="AA563" i="48"/>
  <c r="M563" i="48"/>
  <c r="AA1188" i="48"/>
  <c r="M1188" i="48"/>
  <c r="AA647" i="48"/>
  <c r="M647" i="48"/>
  <c r="AA1248" i="48"/>
  <c r="M1248" i="48"/>
  <c r="AA147" i="48"/>
  <c r="M147" i="48"/>
  <c r="AA1125" i="48"/>
  <c r="M1125" i="48"/>
  <c r="AA1025" i="48"/>
  <c r="M1025" i="48"/>
  <c r="AA1262" i="48"/>
  <c r="M1262" i="48"/>
  <c r="AA387" i="48"/>
  <c r="M387" i="48"/>
  <c r="AA1039" i="48"/>
  <c r="M1039" i="48"/>
  <c r="AA1189" i="48"/>
  <c r="M1189" i="48"/>
  <c r="AA589" i="48"/>
  <c r="M589" i="48"/>
  <c r="AA1089" i="48"/>
  <c r="M1089" i="48"/>
  <c r="AA486" i="48"/>
  <c r="M486" i="48"/>
  <c r="AA1286" i="48"/>
  <c r="M1286" i="48"/>
  <c r="AA786" i="48"/>
  <c r="M786" i="48"/>
  <c r="AA511" i="48"/>
  <c r="M511" i="48"/>
  <c r="AA411" i="48"/>
  <c r="M411" i="48"/>
  <c r="AA119" i="48"/>
  <c r="M119" i="48"/>
  <c r="AA269" i="48"/>
  <c r="M269" i="48"/>
  <c r="AA419" i="48"/>
  <c r="M419" i="48"/>
  <c r="AA594" i="48"/>
  <c r="M594" i="48"/>
  <c r="AA598" i="48"/>
  <c r="M598" i="48"/>
  <c r="AA148" i="48"/>
  <c r="M148" i="48"/>
  <c r="AA1223" i="48"/>
  <c r="M1223" i="48"/>
  <c r="AA49" i="48"/>
  <c r="AA1199" i="48"/>
  <c r="M1199" i="48"/>
  <c r="AA374" i="48"/>
  <c r="M374" i="48"/>
  <c r="AA124" i="48"/>
  <c r="M124" i="48"/>
  <c r="AA543" i="48"/>
  <c r="M543" i="48"/>
  <c r="AA693" i="48"/>
  <c r="M693" i="48"/>
  <c r="AA493" i="48"/>
  <c r="M493" i="48"/>
  <c r="AA1268" i="48"/>
  <c r="M1268" i="48"/>
  <c r="AA840" i="48"/>
  <c r="M840" i="48"/>
  <c r="AA890" i="48"/>
  <c r="M890" i="48"/>
  <c r="AA415" i="48"/>
  <c r="M415" i="48"/>
  <c r="AA1296" i="48"/>
  <c r="M1296" i="48"/>
  <c r="AA675" i="48"/>
  <c r="M675" i="48"/>
  <c r="AA416" i="48"/>
  <c r="M416" i="48"/>
  <c r="AA1341" i="48"/>
  <c r="M1341" i="48"/>
  <c r="AA116" i="48"/>
  <c r="M116" i="48"/>
  <c r="AA766" i="48"/>
  <c r="M766" i="48"/>
  <c r="AA1242" i="48"/>
  <c r="M1242" i="48"/>
  <c r="AA963" i="48"/>
  <c r="M963" i="48"/>
  <c r="AA938" i="48"/>
  <c r="M938" i="48"/>
  <c r="AA638" i="48"/>
  <c r="M638" i="48"/>
  <c r="AA163" i="48"/>
  <c r="M163" i="48"/>
  <c r="AA1063" i="48"/>
  <c r="M1063" i="48"/>
  <c r="AA238" i="48"/>
  <c r="M238" i="48"/>
  <c r="AA322" i="48"/>
  <c r="M322" i="48"/>
  <c r="AA1097" i="48"/>
  <c r="M1097" i="48"/>
  <c r="AA297" i="48"/>
  <c r="M297" i="48"/>
  <c r="AA797" i="48"/>
  <c r="M797" i="48"/>
  <c r="AA1272" i="48"/>
  <c r="M1272" i="48"/>
  <c r="AA775" i="48"/>
  <c r="M775" i="48"/>
  <c r="AA975" i="48"/>
  <c r="M975" i="48"/>
  <c r="AA650" i="48"/>
  <c r="M650" i="48"/>
  <c r="AA825" i="48"/>
  <c r="M825" i="48"/>
  <c r="AA950" i="48"/>
  <c r="M950" i="48"/>
  <c r="AA1000" i="48"/>
  <c r="M1000" i="48"/>
  <c r="AA550" i="48"/>
  <c r="M550" i="48"/>
  <c r="AA700" i="48"/>
  <c r="M700" i="48"/>
  <c r="AA375" i="48"/>
  <c r="M375" i="48"/>
  <c r="AA575" i="48"/>
  <c r="M575" i="48"/>
  <c r="AA1200" i="48"/>
  <c r="M1200" i="48"/>
  <c r="AA150" i="48"/>
  <c r="M150" i="48"/>
  <c r="AA425" i="48"/>
  <c r="M425" i="48"/>
  <c r="AA762" i="48"/>
  <c r="M762" i="48"/>
  <c r="AA812" i="48"/>
  <c r="M812" i="48"/>
  <c r="AA837" i="48"/>
  <c r="M837" i="48"/>
  <c r="AA1062" i="48"/>
  <c r="M1062" i="48"/>
  <c r="AA312" i="48"/>
  <c r="M312" i="48"/>
  <c r="AA1012" i="48"/>
  <c r="M1012" i="48"/>
  <c r="AA537" i="48"/>
  <c r="M537" i="48"/>
  <c r="AA712" i="48"/>
  <c r="M712" i="48"/>
  <c r="AA212" i="48"/>
  <c r="M212" i="48"/>
  <c r="AA37" i="48"/>
  <c r="AA12" i="48"/>
  <c r="T12" i="48"/>
  <c r="M12" i="48"/>
  <c r="AA587" i="48"/>
  <c r="M587" i="48"/>
  <c r="AA137" i="48"/>
  <c r="M137" i="48"/>
  <c r="AA1314" i="48"/>
  <c r="M1314" i="48"/>
  <c r="AA264" i="48"/>
  <c r="M264" i="48"/>
  <c r="AA214" i="48"/>
  <c r="M214" i="48"/>
  <c r="AA89" i="48"/>
  <c r="M89" i="48"/>
  <c r="AA189" i="48"/>
  <c r="M189" i="48"/>
  <c r="AA439" i="48"/>
  <c r="M439" i="48"/>
  <c r="AA164" i="48"/>
  <c r="M164" i="48"/>
  <c r="AA814" i="48"/>
  <c r="M814" i="48"/>
  <c r="AA514" i="48"/>
  <c r="M514" i="48"/>
  <c r="AA889" i="48"/>
  <c r="M889" i="48"/>
  <c r="AA139" i="48"/>
  <c r="M139" i="48"/>
  <c r="AA839" i="48"/>
  <c r="M839" i="48"/>
  <c r="AA286" i="48"/>
  <c r="M286" i="48"/>
  <c r="AA961" i="48"/>
  <c r="M961" i="48"/>
  <c r="AA711" i="48"/>
  <c r="M711" i="48"/>
  <c r="AA86" i="48"/>
  <c r="M86" i="48"/>
  <c r="AA261" i="48"/>
  <c r="M261" i="48"/>
  <c r="AA836" i="48"/>
  <c r="M836" i="48"/>
  <c r="AA536" i="48"/>
  <c r="M536" i="48"/>
  <c r="AA61" i="48"/>
  <c r="M61" i="48"/>
  <c r="AA1211" i="48"/>
  <c r="M1211" i="48"/>
  <c r="AA886" i="48"/>
  <c r="M886" i="48"/>
  <c r="AA386" i="48"/>
  <c r="M386" i="48"/>
  <c r="AA11" i="48"/>
  <c r="T11" i="48"/>
  <c r="M11" i="48"/>
  <c r="AA1061" i="48"/>
  <c r="M1061" i="48"/>
  <c r="AA894" i="48"/>
  <c r="M894" i="48"/>
  <c r="AA994" i="48"/>
  <c r="M994" i="48"/>
  <c r="AA344" i="48"/>
  <c r="M344" i="48"/>
  <c r="AA319" i="48"/>
  <c r="M319" i="48"/>
  <c r="AA194" i="48"/>
  <c r="M194" i="48"/>
  <c r="AA944" i="48"/>
  <c r="M944" i="48"/>
  <c r="AA969" i="48"/>
  <c r="M969" i="48"/>
  <c r="AA1269" i="48"/>
  <c r="M1269" i="48"/>
  <c r="AA69" i="48"/>
  <c r="M69" i="48"/>
  <c r="AA294" i="48"/>
  <c r="M294" i="48"/>
  <c r="AA719" i="48"/>
  <c r="M719" i="48"/>
  <c r="AA394" i="48"/>
  <c r="M394" i="48"/>
  <c r="AA794" i="48"/>
  <c r="M794" i="48"/>
  <c r="AA98" i="48"/>
  <c r="M98" i="48"/>
  <c r="AA1323" i="48"/>
  <c r="M1323" i="48"/>
  <c r="AA398" i="48"/>
  <c r="M398" i="48"/>
  <c r="AA298" i="48"/>
  <c r="M298" i="48"/>
  <c r="AA623" i="48"/>
  <c r="M623" i="48"/>
  <c r="AA1249" i="48"/>
  <c r="M1249" i="48"/>
  <c r="AA323" i="48"/>
  <c r="M323" i="48"/>
  <c r="AA1123" i="48"/>
  <c r="M1123" i="48"/>
  <c r="AA798" i="48"/>
  <c r="M798" i="48"/>
  <c r="AA348" i="48"/>
  <c r="M348" i="48"/>
  <c r="AA773" i="48"/>
  <c r="M773" i="48"/>
  <c r="AA48" i="48"/>
  <c r="AA373" i="48"/>
  <c r="M373" i="48"/>
  <c r="AA724" i="48"/>
  <c r="M724" i="48"/>
  <c r="AA449" i="48"/>
  <c r="M449" i="48"/>
  <c r="AA774" i="48"/>
  <c r="M774" i="48"/>
  <c r="AA1349" i="48"/>
  <c r="M1349" i="48"/>
  <c r="AA599" i="48"/>
  <c r="M599" i="48"/>
  <c r="AA1299" i="48"/>
  <c r="M1299" i="48"/>
  <c r="AA1224" i="48"/>
  <c r="M1224" i="48"/>
  <c r="AA249" i="48"/>
  <c r="M249" i="48"/>
  <c r="AA574" i="48"/>
  <c r="M574" i="48"/>
  <c r="AA299" i="48"/>
  <c r="M299" i="48"/>
  <c r="AA1074" i="48"/>
  <c r="M1074" i="48"/>
  <c r="AA1124" i="48"/>
  <c r="M1124" i="48"/>
  <c r="AA24" i="48"/>
  <c r="T24" i="48"/>
  <c r="M24" i="48"/>
  <c r="AA1218" i="48"/>
  <c r="M1218" i="48"/>
  <c r="AA393" i="48"/>
  <c r="M393" i="48"/>
  <c r="AA293" i="48"/>
  <c r="M293" i="48"/>
  <c r="AA1244" i="48"/>
  <c r="M1244" i="48"/>
  <c r="AA468" i="48"/>
  <c r="M468" i="48"/>
  <c r="AA218" i="48"/>
  <c r="M218" i="48"/>
  <c r="AA568" i="48"/>
  <c r="M568" i="48"/>
  <c r="AA993" i="48"/>
  <c r="M993" i="48"/>
  <c r="AA243" i="48"/>
  <c r="M243" i="48"/>
  <c r="AA1093" i="48"/>
  <c r="M1093" i="48"/>
  <c r="AA193" i="48"/>
  <c r="M193" i="48"/>
  <c r="AA1293" i="48"/>
  <c r="M1293" i="48"/>
  <c r="AA615" i="48"/>
  <c r="M615" i="48"/>
  <c r="AA990" i="48"/>
  <c r="M990" i="48"/>
  <c r="AA440" i="48"/>
  <c r="M440" i="48"/>
  <c r="AA265" i="48"/>
  <c r="M265" i="48"/>
  <c r="AA40" i="48"/>
  <c r="AA65" i="48"/>
  <c r="M65" i="48"/>
  <c r="AA1241" i="48"/>
  <c r="M1241" i="48"/>
  <c r="AA515" i="48"/>
  <c r="M515" i="48"/>
  <c r="AA1340" i="48"/>
  <c r="M1340" i="48"/>
  <c r="AA90" i="48"/>
  <c r="M90" i="48"/>
  <c r="AA1090" i="48"/>
  <c r="M1090" i="48"/>
  <c r="AA1265" i="48"/>
  <c r="M1265" i="48"/>
  <c r="AA365" i="48"/>
  <c r="M365" i="48"/>
  <c r="AA292" i="48"/>
  <c r="M292" i="48"/>
  <c r="AA1243" i="48"/>
  <c r="M1243" i="48"/>
  <c r="AA417" i="48"/>
  <c r="M417" i="48"/>
  <c r="AA1042" i="48"/>
  <c r="M1042" i="48"/>
  <c r="AA467" i="48"/>
  <c r="M467" i="48"/>
  <c r="AA542" i="48"/>
  <c r="M542" i="48"/>
  <c r="AA642" i="48"/>
  <c r="M642" i="48"/>
  <c r="AA817" i="48"/>
  <c r="M817" i="48"/>
  <c r="AA717" i="48"/>
  <c r="M717" i="48"/>
  <c r="AA967" i="48"/>
  <c r="M967" i="48"/>
  <c r="AA142" i="48"/>
  <c r="M142" i="48"/>
  <c r="AA917" i="48"/>
  <c r="M917" i="48"/>
  <c r="AA521" i="48"/>
  <c r="M521" i="48"/>
  <c r="AA1221" i="48"/>
  <c r="M1221" i="48"/>
  <c r="AA846" i="48"/>
  <c r="M846" i="48"/>
  <c r="AA221" i="48"/>
  <c r="M221" i="48"/>
  <c r="AA721" i="48"/>
  <c r="M721" i="48"/>
  <c r="AA871" i="48"/>
  <c r="M871" i="48"/>
  <c r="AA121" i="48"/>
  <c r="M121" i="48"/>
  <c r="AA496" i="48"/>
  <c r="M496" i="48"/>
  <c r="AA896" i="48"/>
  <c r="M896" i="48"/>
  <c r="AA1121" i="48"/>
  <c r="M1121" i="48"/>
  <c r="AA571" i="48"/>
  <c r="M571" i="48"/>
  <c r="AA371" i="48"/>
  <c r="M371" i="48"/>
  <c r="AA1321" i="48"/>
  <c r="M1321" i="48"/>
  <c r="AA170" i="48"/>
  <c r="M170" i="48"/>
  <c r="AA520" i="48"/>
  <c r="M520" i="48"/>
  <c r="AA445" i="48"/>
  <c r="M445" i="48"/>
  <c r="AA620" i="48"/>
  <c r="M620" i="48"/>
  <c r="AA395" i="48"/>
  <c r="M395" i="48"/>
  <c r="AA70" i="48"/>
  <c r="M70" i="48"/>
  <c r="AA470" i="48"/>
  <c r="M470" i="48"/>
  <c r="AA1220" i="48"/>
  <c r="M1220" i="48"/>
  <c r="AA220" i="48"/>
  <c r="M220" i="48"/>
  <c r="AA45" i="48"/>
  <c r="AA795" i="48"/>
  <c r="M795" i="48"/>
  <c r="AA20" i="48"/>
  <c r="T20" i="48"/>
  <c r="M20" i="48"/>
  <c r="AA716" i="48"/>
  <c r="M716" i="48"/>
  <c r="AA341" i="48"/>
  <c r="M341" i="48"/>
  <c r="AA291" i="48"/>
  <c r="M291" i="48"/>
  <c r="AA1016" i="48"/>
  <c r="M1016" i="48"/>
  <c r="AA1191" i="48"/>
  <c r="M1191" i="48"/>
  <c r="AA388" i="48"/>
  <c r="M388" i="48"/>
  <c r="AA763" i="48"/>
  <c r="M763" i="48"/>
  <c r="AA88" i="48"/>
  <c r="M88" i="48"/>
  <c r="AA988" i="48"/>
  <c r="M988" i="48"/>
  <c r="AA47" i="48"/>
  <c r="AA222" i="48"/>
  <c r="M222" i="48"/>
  <c r="AA972" i="48"/>
  <c r="M972" i="48"/>
  <c r="AA72" i="48"/>
  <c r="M72" i="48"/>
  <c r="AA172" i="48"/>
  <c r="M172" i="48"/>
  <c r="AA673" i="48"/>
  <c r="M673" i="48"/>
  <c r="AA225" i="48"/>
  <c r="M225" i="48"/>
  <c r="AA100" i="48"/>
  <c r="M100" i="48"/>
  <c r="AA475" i="48"/>
  <c r="M475" i="48"/>
  <c r="AA175" i="48"/>
  <c r="M175" i="48"/>
  <c r="AA50" i="48"/>
  <c r="AA87" i="48"/>
  <c r="M87" i="48"/>
  <c r="AA1212" i="48"/>
  <c r="M1212" i="48"/>
  <c r="AA237" i="48"/>
  <c r="M237" i="48"/>
  <c r="AA612" i="48"/>
  <c r="M612" i="48"/>
  <c r="AA887" i="48"/>
  <c r="M887" i="48"/>
  <c r="AA389" i="48"/>
  <c r="M389" i="48"/>
  <c r="AA939" i="48"/>
  <c r="M939" i="48"/>
  <c r="AA1240" i="48"/>
  <c r="M1240" i="48"/>
  <c r="AA239" i="48"/>
  <c r="M239" i="48"/>
  <c r="AA1011" i="48"/>
  <c r="M1011" i="48"/>
  <c r="AA686" i="48"/>
  <c r="M686" i="48"/>
  <c r="AA361" i="48"/>
  <c r="M361" i="48"/>
  <c r="AA544" i="48"/>
  <c r="M544" i="48"/>
  <c r="AA1219" i="48"/>
  <c r="M1219" i="48"/>
  <c r="AA644" i="48"/>
  <c r="M644" i="48"/>
  <c r="AA1119" i="48"/>
  <c r="M1119" i="48"/>
  <c r="AA619" i="48"/>
  <c r="M619" i="48"/>
  <c r="AA223" i="48"/>
  <c r="M223" i="48"/>
  <c r="AA1198" i="48"/>
  <c r="M1198" i="48"/>
  <c r="AA73" i="48"/>
  <c r="M73" i="48"/>
  <c r="AA173" i="48"/>
  <c r="M173" i="48"/>
  <c r="AA1073" i="48"/>
  <c r="M1073" i="48"/>
  <c r="AA524" i="48"/>
  <c r="M524" i="48"/>
  <c r="AA824" i="48"/>
  <c r="M824" i="48"/>
  <c r="AA349" i="48"/>
  <c r="M349" i="48"/>
  <c r="AA974" i="48"/>
  <c r="M974" i="48"/>
  <c r="AA74" i="48"/>
  <c r="M74" i="48"/>
  <c r="AA649" i="48"/>
  <c r="M649" i="48"/>
  <c r="AA93" i="48"/>
  <c r="M93" i="48"/>
  <c r="AA43" i="48"/>
  <c r="AA968" i="48"/>
  <c r="M968" i="48"/>
  <c r="AA1193" i="48"/>
  <c r="M1193" i="48"/>
  <c r="AA143" i="48"/>
  <c r="M143" i="48"/>
  <c r="AA715" i="48"/>
  <c r="M715" i="48"/>
  <c r="AA790" i="48"/>
  <c r="M790" i="48"/>
  <c r="AA340" i="48"/>
  <c r="M340" i="48"/>
  <c r="AA1290" i="48"/>
  <c r="M1290" i="48"/>
  <c r="AA15" i="48"/>
  <c r="T15" i="48"/>
  <c r="M15" i="48"/>
  <c r="AA267" i="48"/>
  <c r="M267" i="48"/>
  <c r="AA845" i="48"/>
  <c r="M845" i="48"/>
  <c r="AA591" i="48"/>
  <c r="M591" i="48"/>
  <c r="AA366" i="48"/>
  <c r="M366" i="48"/>
  <c r="AA441" i="48"/>
  <c r="M441" i="48"/>
  <c r="AA316" i="48"/>
  <c r="M316" i="48"/>
  <c r="AA241" i="48"/>
  <c r="M241" i="48"/>
  <c r="AA16" i="48"/>
  <c r="T16" i="48"/>
  <c r="M16" i="48"/>
  <c r="AA662" i="48"/>
  <c r="M662" i="48"/>
  <c r="AA463" i="48"/>
  <c r="M463" i="48"/>
  <c r="AA338" i="48"/>
  <c r="M338" i="48"/>
  <c r="AA1338" i="48"/>
  <c r="M1338" i="48"/>
  <c r="AA863" i="48"/>
  <c r="M863" i="48"/>
  <c r="AA713" i="48"/>
  <c r="M713" i="48"/>
  <c r="AA13" i="48"/>
  <c r="T13" i="48"/>
  <c r="M13" i="48"/>
  <c r="AA488" i="48"/>
  <c r="M488" i="48"/>
  <c r="AA872" i="48"/>
  <c r="M872" i="48"/>
  <c r="AA347" i="48"/>
  <c r="M347" i="48"/>
  <c r="AA447" i="48"/>
  <c r="M447" i="48"/>
  <c r="AA997" i="48"/>
  <c r="M997" i="48"/>
  <c r="AA497" i="48"/>
  <c r="M497" i="48"/>
  <c r="AA572" i="48"/>
  <c r="M572" i="48"/>
  <c r="AA897" i="48"/>
  <c r="M897" i="48"/>
  <c r="AA1316" i="48"/>
  <c r="M1316" i="48"/>
  <c r="AA641" i="48"/>
  <c r="M641" i="48"/>
  <c r="AA391" i="48"/>
  <c r="M391" i="48"/>
  <c r="AA516" i="48"/>
  <c r="M516" i="48"/>
  <c r="AA916" i="48"/>
  <c r="M916" i="48"/>
  <c r="AA541" i="48"/>
  <c r="M541" i="48"/>
  <c r="AA1266" i="48"/>
  <c r="M1266" i="48"/>
  <c r="AA266" i="48"/>
  <c r="M266" i="48"/>
  <c r="AA166" i="48"/>
  <c r="M166" i="48"/>
  <c r="AA466" i="48"/>
  <c r="M466" i="48"/>
  <c r="AA91" i="48"/>
  <c r="M91" i="48"/>
  <c r="AA141" i="48"/>
  <c r="M141" i="48"/>
  <c r="AA1091" i="48"/>
  <c r="M1091" i="48"/>
  <c r="AA664" i="48"/>
  <c r="M664" i="48"/>
  <c r="AA263" i="48"/>
  <c r="M263" i="48"/>
  <c r="AA413" i="48"/>
  <c r="M413" i="48"/>
  <c r="AA888" i="48"/>
  <c r="M888" i="48"/>
  <c r="AA788" i="48"/>
  <c r="M788" i="48"/>
  <c r="AA313" i="48"/>
  <c r="M313" i="48"/>
  <c r="AA588" i="48"/>
  <c r="M588" i="48"/>
  <c r="AA63" i="48"/>
  <c r="M63" i="48"/>
  <c r="AA688" i="48"/>
  <c r="M688" i="48"/>
  <c r="AA1038" i="48"/>
  <c r="M1038" i="48"/>
  <c r="AA538" i="48"/>
  <c r="M538" i="48"/>
  <c r="AA1263" i="48"/>
  <c r="M1263" i="48"/>
  <c r="AA138" i="48"/>
  <c r="M138" i="48"/>
  <c r="AA847" i="48"/>
  <c r="M847" i="48"/>
  <c r="AA522" i="48"/>
  <c r="M522" i="48"/>
  <c r="AA1047" i="48"/>
  <c r="M1047" i="48"/>
  <c r="AA397" i="48"/>
  <c r="M397" i="48"/>
  <c r="AA722" i="48"/>
  <c r="M722" i="48"/>
  <c r="AA697" i="48"/>
  <c r="M697" i="48"/>
  <c r="AA1322" i="48"/>
  <c r="M1322" i="48"/>
  <c r="AA1222" i="48"/>
  <c r="M1222" i="48"/>
  <c r="AA97" i="48"/>
  <c r="M97" i="48"/>
  <c r="AA947" i="48"/>
  <c r="M947" i="48"/>
  <c r="AA472" i="48"/>
  <c r="M472" i="48"/>
  <c r="AA1122" i="48"/>
  <c r="M1122" i="48"/>
  <c r="AA597" i="48"/>
  <c r="M597" i="48"/>
  <c r="AA625" i="48"/>
  <c r="M625" i="48"/>
  <c r="AA1050" i="48"/>
  <c r="M1050" i="48"/>
  <c r="AA325" i="48"/>
  <c r="M325" i="48"/>
  <c r="AA525" i="48"/>
  <c r="M525" i="48"/>
  <c r="AA925" i="48"/>
  <c r="M925" i="48"/>
  <c r="AA900" i="48"/>
  <c r="M900" i="48"/>
  <c r="AA1075" i="48"/>
  <c r="M1075" i="48"/>
  <c r="AA300" i="48"/>
  <c r="M300" i="48"/>
  <c r="AA450" i="48"/>
  <c r="M450" i="48"/>
  <c r="AA400" i="48"/>
  <c r="M400" i="48"/>
  <c r="AA1100" i="48"/>
  <c r="M1100" i="48"/>
  <c r="AA200" i="48"/>
  <c r="M200" i="48"/>
  <c r="AA674" i="48"/>
  <c r="M674" i="48"/>
  <c r="AA287" i="48"/>
  <c r="M287" i="48"/>
  <c r="AA462" i="48"/>
  <c r="M462" i="48"/>
  <c r="AA512" i="48"/>
  <c r="M512" i="48"/>
  <c r="AA1238" i="48"/>
  <c r="M1238" i="48"/>
  <c r="AA362" i="48"/>
  <c r="M362" i="48"/>
  <c r="AA1187" i="48"/>
  <c r="M1187" i="48"/>
  <c r="AA412" i="48"/>
  <c r="M412" i="48"/>
  <c r="AA1112" i="48"/>
  <c r="M1112" i="48"/>
  <c r="AA337" i="48"/>
  <c r="M337" i="48"/>
  <c r="AA912" i="48"/>
  <c r="M912" i="48"/>
  <c r="AA62" i="48"/>
  <c r="M62" i="48"/>
  <c r="AA414" i="48"/>
  <c r="M414" i="48"/>
  <c r="AA964" i="48"/>
  <c r="M964" i="48"/>
  <c r="AA1214" i="48"/>
  <c r="M1214" i="48"/>
  <c r="AA489" i="48"/>
  <c r="M489" i="48"/>
  <c r="AA689" i="48"/>
  <c r="M689" i="48"/>
  <c r="AA1339" i="48"/>
  <c r="M1339" i="48"/>
  <c r="AA39" i="48"/>
  <c r="AA1289" i="48"/>
  <c r="M1289" i="48"/>
  <c r="AA764" i="48"/>
  <c r="M764" i="48"/>
  <c r="AA289" i="48"/>
  <c r="M289" i="48"/>
  <c r="AA364" i="48"/>
  <c r="M364" i="48"/>
  <c r="AA1114" i="48"/>
  <c r="M1114" i="48"/>
  <c r="AA1014" i="48"/>
  <c r="M1014" i="48"/>
  <c r="AA211" i="48"/>
  <c r="M211" i="48"/>
  <c r="AA186" i="48"/>
  <c r="M186" i="48"/>
  <c r="AA761" i="48"/>
  <c r="M761" i="48"/>
  <c r="AA1311" i="48"/>
  <c r="M1311" i="48"/>
  <c r="AA36" i="48"/>
  <c r="AA811" i="48"/>
  <c r="M811" i="48"/>
  <c r="AA461" i="48"/>
  <c r="M461" i="48"/>
  <c r="AA986" i="48"/>
  <c r="M986" i="48"/>
  <c r="AA861" i="48"/>
  <c r="M861" i="48"/>
  <c r="AA636" i="48"/>
  <c r="M636" i="48"/>
  <c r="AA561" i="48"/>
  <c r="M561" i="48"/>
  <c r="AA136" i="48"/>
  <c r="M136" i="48"/>
  <c r="AA569" i="48"/>
  <c r="M569" i="48"/>
  <c r="AA369" i="48"/>
  <c r="M369" i="48"/>
  <c r="AA1094" i="48"/>
  <c r="M1094" i="48"/>
  <c r="AA244" i="48"/>
  <c r="M244" i="48"/>
  <c r="AA169" i="48"/>
  <c r="M169" i="48"/>
  <c r="AA844" i="48"/>
  <c r="M844" i="48"/>
  <c r="AA869" i="48"/>
  <c r="M869" i="48"/>
  <c r="AA1245" i="48"/>
  <c r="M1245" i="48"/>
  <c r="AA1069" i="48"/>
  <c r="M1069" i="48"/>
  <c r="AA1019" i="48"/>
  <c r="M1019" i="48"/>
  <c r="AA1319" i="48"/>
  <c r="M1319" i="48"/>
  <c r="AA19" i="48"/>
  <c r="T19" i="48"/>
  <c r="M19" i="48"/>
  <c r="AA1344" i="48"/>
  <c r="M1344" i="48"/>
  <c r="AA1348" i="48"/>
  <c r="M1348" i="48"/>
  <c r="AA1048" i="48"/>
  <c r="M1048" i="48"/>
  <c r="AA198" i="48"/>
  <c r="M198" i="48"/>
  <c r="AA923" i="48"/>
  <c r="M923" i="48"/>
  <c r="AA273" i="48"/>
  <c r="M273" i="48"/>
  <c r="AA723" i="48"/>
  <c r="M723" i="48"/>
  <c r="AA1023" i="48"/>
  <c r="M1023" i="48"/>
  <c r="AA973" i="48"/>
  <c r="M973" i="48"/>
  <c r="AA23" i="48"/>
  <c r="T23" i="48"/>
  <c r="M23" i="48"/>
  <c r="AA248" i="48"/>
  <c r="M248" i="48"/>
  <c r="AA523" i="48"/>
  <c r="M523" i="48"/>
  <c r="AA1273" i="48"/>
  <c r="M1273" i="48"/>
  <c r="AA474" i="48"/>
  <c r="M474" i="48"/>
  <c r="AA549" i="48"/>
  <c r="M549" i="48"/>
  <c r="AA624" i="48"/>
  <c r="M624" i="48"/>
  <c r="AA849" i="48"/>
  <c r="M849" i="48"/>
  <c r="AA1324" i="48"/>
  <c r="M1324" i="48"/>
  <c r="AA949" i="48"/>
  <c r="M949" i="48"/>
  <c r="AA1049" i="48"/>
  <c r="M1049" i="48"/>
  <c r="AA399" i="48"/>
  <c r="M399" i="48"/>
  <c r="AA424" i="48"/>
  <c r="M424" i="48"/>
  <c r="AA99" i="48"/>
  <c r="M99" i="48"/>
  <c r="AA174" i="48"/>
  <c r="M174" i="48"/>
  <c r="AA899" i="48"/>
  <c r="M899" i="48"/>
  <c r="AA618" i="48"/>
  <c r="M618" i="48"/>
  <c r="AA518" i="48"/>
  <c r="M518" i="48"/>
  <c r="AA443" i="48"/>
  <c r="M443" i="48"/>
  <c r="AA718" i="48"/>
  <c r="M718" i="48"/>
  <c r="AA768" i="48"/>
  <c r="M768" i="48"/>
  <c r="AA68" i="48"/>
  <c r="M68" i="48"/>
  <c r="AA168" i="48"/>
  <c r="M168" i="48"/>
  <c r="AA1043" i="48"/>
  <c r="M1043" i="48"/>
  <c r="AA843" i="48"/>
  <c r="M843" i="48"/>
  <c r="AA343" i="48"/>
  <c r="M343" i="48"/>
  <c r="AA868" i="48"/>
  <c r="M868" i="48"/>
  <c r="AA1118" i="48"/>
  <c r="M1118" i="48"/>
  <c r="AA1318" i="48"/>
  <c r="M1318" i="48"/>
  <c r="AA490" i="48"/>
  <c r="M490" i="48"/>
  <c r="AA940" i="48"/>
  <c r="M940" i="48"/>
  <c r="AA815" i="48"/>
  <c r="M815" i="48"/>
  <c r="AA215" i="48"/>
  <c r="M215" i="48"/>
  <c r="AA1115" i="48"/>
  <c r="M1115" i="48"/>
  <c r="AA1065" i="48"/>
  <c r="M1065" i="48"/>
  <c r="AA540" i="48"/>
  <c r="M540" i="48"/>
  <c r="AA1215" i="48"/>
  <c r="M1215" i="48"/>
  <c r="AA1040" i="48"/>
  <c r="M1040" i="48"/>
  <c r="AA115" i="48"/>
  <c r="M115" i="48"/>
  <c r="AA140" i="48"/>
  <c r="M140" i="48"/>
  <c r="AA240" i="48"/>
  <c r="M240" i="48"/>
  <c r="AA67" i="48"/>
  <c r="M67" i="48"/>
  <c r="AA317" i="48"/>
  <c r="M317" i="48"/>
  <c r="AA992" i="48"/>
  <c r="M992" i="48"/>
  <c r="AA367" i="48"/>
  <c r="M367" i="48"/>
  <c r="AA892" i="48"/>
  <c r="M892" i="48"/>
  <c r="AA1017" i="48"/>
  <c r="M1017" i="48"/>
  <c r="AA692" i="48"/>
  <c r="M692" i="48"/>
  <c r="AA567" i="48"/>
  <c r="M567" i="48"/>
  <c r="AA442" i="48"/>
  <c r="M442" i="48"/>
  <c r="AA217" i="48"/>
  <c r="M217" i="48"/>
  <c r="AA392" i="48"/>
  <c r="M392" i="48"/>
  <c r="AA42" i="48"/>
  <c r="AA342" i="48"/>
  <c r="M342" i="48"/>
  <c r="AA446" i="48"/>
  <c r="M446" i="48"/>
  <c r="AA796" i="48"/>
  <c r="M796" i="48"/>
  <c r="AA821" i="48"/>
  <c r="M821" i="48"/>
  <c r="AA246" i="48"/>
  <c r="M246" i="48"/>
  <c r="AA171" i="48"/>
  <c r="M171" i="48"/>
  <c r="AA1196" i="48"/>
  <c r="M1196" i="48"/>
  <c r="AA296" i="48"/>
  <c r="M296" i="48"/>
  <c r="AA946" i="48"/>
  <c r="M946" i="48"/>
  <c r="AA1346" i="48"/>
  <c r="M1346" i="48"/>
  <c r="AA21" i="48"/>
  <c r="T21" i="48"/>
  <c r="M21" i="48"/>
  <c r="AA1021" i="48"/>
  <c r="M1021" i="48"/>
  <c r="AA421" i="48"/>
  <c r="M421" i="48"/>
  <c r="AA1020" i="48"/>
  <c r="M1020" i="48"/>
  <c r="AA1320" i="48"/>
  <c r="M1320" i="48"/>
  <c r="AA320" i="48"/>
  <c r="M320" i="48"/>
  <c r="AA345" i="48"/>
  <c r="M345" i="48"/>
  <c r="AA95" i="48"/>
  <c r="M95" i="48"/>
  <c r="AA1070" i="48"/>
  <c r="M1070" i="48"/>
  <c r="AA270" i="48"/>
  <c r="M270" i="48"/>
  <c r="AA870" i="48"/>
  <c r="M870" i="48"/>
  <c r="AA120" i="48"/>
  <c r="M120" i="48"/>
  <c r="AA1120" i="48"/>
  <c r="M1120" i="48"/>
  <c r="AA1295" i="48"/>
  <c r="M1295" i="48"/>
  <c r="AA970" i="48"/>
  <c r="M970" i="48"/>
  <c r="AO660" i="48"/>
  <c r="AO661" i="48"/>
  <c r="AP661" i="48" s="1"/>
  <c r="AQ73" i="48"/>
  <c r="AP74" i="48"/>
  <c r="AP349" i="48"/>
  <c r="AQ348" i="48"/>
  <c r="AP374" i="48"/>
  <c r="AQ373" i="48"/>
  <c r="AQ273" i="48"/>
  <c r="AP274" i="48"/>
  <c r="AQ1173" i="48"/>
  <c r="AP1174" i="48"/>
  <c r="AP624" i="48"/>
  <c r="AQ623" i="48"/>
  <c r="AP924" i="48"/>
  <c r="AQ923" i="48"/>
  <c r="AP1074" i="48"/>
  <c r="AQ1073" i="48"/>
  <c r="AQ1323" i="48"/>
  <c r="AP1324" i="48"/>
  <c r="AP774" i="48"/>
  <c r="AQ773" i="48"/>
  <c r="AP549" i="48"/>
  <c r="AQ548" i="48"/>
  <c r="AQ598" i="48"/>
  <c r="AP599" i="48"/>
  <c r="AQ1223" i="48"/>
  <c r="AP1224" i="48"/>
  <c r="AQ573" i="48"/>
  <c r="AP574" i="48"/>
  <c r="AQ1023" i="48"/>
  <c r="AP1024" i="48"/>
  <c r="AP224" i="48"/>
  <c r="AQ223" i="48"/>
  <c r="AP199" i="48"/>
  <c r="AQ198" i="48"/>
  <c r="AP1249" i="48"/>
  <c r="AQ1248" i="48"/>
  <c r="AQ998" i="48"/>
  <c r="AP999" i="48"/>
  <c r="AP174" i="48"/>
  <c r="AQ173" i="48"/>
  <c r="AQ498" i="48"/>
  <c r="AP499" i="48"/>
  <c r="AQ298" i="48"/>
  <c r="AP299" i="48"/>
  <c r="AQ650" i="48"/>
  <c r="AQ1150" i="48"/>
  <c r="AQ1050" i="48"/>
  <c r="AQ950" i="48"/>
  <c r="AQ1300" i="48"/>
  <c r="AQ1350" i="48"/>
  <c r="AQ525" i="48"/>
  <c r="AQ325" i="48"/>
  <c r="AQ750" i="48"/>
  <c r="AQ850" i="48"/>
  <c r="AQ425" i="48"/>
  <c r="AQ1125" i="48"/>
  <c r="AQ975" i="48"/>
  <c r="AQ875" i="48"/>
  <c r="AQ400" i="48"/>
  <c r="AQ1100" i="48"/>
  <c r="AQ1200" i="48"/>
  <c r="AQ450" i="48"/>
  <c r="AQ725" i="48"/>
  <c r="AQ700" i="48"/>
  <c r="AQ900" i="48"/>
  <c r="AQ800" i="48"/>
  <c r="AQ825" i="48"/>
  <c r="AQ1275" i="48"/>
  <c r="AQ125" i="48"/>
  <c r="AQ475" i="48"/>
  <c r="AQ100" i="48"/>
  <c r="AQ150" i="48"/>
  <c r="AQ250" i="48"/>
  <c r="O1349" i="48" l="1"/>
  <c r="O1345" i="48"/>
  <c r="O1342" i="48"/>
  <c r="O1212" i="48"/>
  <c r="O1343" i="48"/>
  <c r="O1287" i="48"/>
  <c r="O1325" i="48"/>
  <c r="O1348" i="48"/>
  <c r="O1262" i="48"/>
  <c r="O1341" i="48"/>
  <c r="O1340" i="48"/>
  <c r="O1320" i="48"/>
  <c r="O1339" i="48"/>
  <c r="O1344" i="48"/>
  <c r="O1338" i="48"/>
  <c r="O1336" i="48"/>
  <c r="N1336" i="48" s="1"/>
  <c r="O1337" i="48"/>
  <c r="O1350" i="48"/>
  <c r="O1346" i="48"/>
  <c r="O1347" i="48"/>
  <c r="O1311" i="48"/>
  <c r="N1311" i="48" s="1"/>
  <c r="O1324" i="48"/>
  <c r="O1317" i="48"/>
  <c r="O1187" i="48"/>
  <c r="O1238" i="48"/>
  <c r="O1222" i="48"/>
  <c r="O1221" i="48"/>
  <c r="O1243" i="48"/>
  <c r="O1266" i="48"/>
  <c r="O1316" i="48"/>
  <c r="O1250" i="48"/>
  <c r="O1200" i="48"/>
  <c r="O1216" i="48"/>
  <c r="O1240" i="48"/>
  <c r="O1272" i="48"/>
  <c r="O1319" i="48"/>
  <c r="O1314" i="48"/>
  <c r="O1267" i="48"/>
  <c r="O1290" i="48"/>
  <c r="O1224" i="48"/>
  <c r="O1249" i="48"/>
  <c r="O1323" i="48"/>
  <c r="O1194" i="48"/>
  <c r="O1273" i="48"/>
  <c r="O1289" i="48"/>
  <c r="O1198" i="48"/>
  <c r="O1241" i="48"/>
  <c r="O1218" i="48"/>
  <c r="O1274" i="48"/>
  <c r="O1298" i="48"/>
  <c r="O1225" i="48"/>
  <c r="O1292" i="48"/>
  <c r="O1237" i="48"/>
  <c r="O1264" i="48"/>
  <c r="O1312" i="48"/>
  <c r="O1313" i="48"/>
  <c r="O1239" i="48"/>
  <c r="O1245" i="48"/>
  <c r="O1322" i="48"/>
  <c r="O1191" i="48"/>
  <c r="O1220" i="48"/>
  <c r="O1321" i="48"/>
  <c r="O1299" i="48"/>
  <c r="O1269" i="48"/>
  <c r="O1192" i="48"/>
  <c r="O1186" i="48"/>
  <c r="N1186" i="48" s="1"/>
  <c r="O1197" i="48"/>
  <c r="O1297" i="48"/>
  <c r="O1291" i="48"/>
  <c r="O1270" i="48"/>
  <c r="O1195" i="48"/>
  <c r="O1288" i="48"/>
  <c r="O1190" i="48"/>
  <c r="O1213" i="48"/>
  <c r="O1215" i="48"/>
  <c r="O1295" i="48"/>
  <c r="O1196" i="48"/>
  <c r="O1318" i="48"/>
  <c r="O1214" i="48"/>
  <c r="O1263" i="48"/>
  <c r="O1193" i="48"/>
  <c r="O1219" i="48"/>
  <c r="O1265" i="48"/>
  <c r="O1293" i="48"/>
  <c r="O1244" i="48"/>
  <c r="O1211" i="48"/>
  <c r="N1211" i="48" s="1"/>
  <c r="N1212" i="48" s="1"/>
  <c r="O1242" i="48"/>
  <c r="O1296" i="48"/>
  <c r="O1268" i="48"/>
  <c r="O1199" i="48"/>
  <c r="O1223" i="48"/>
  <c r="O1286" i="48"/>
  <c r="N1286" i="48" s="1"/>
  <c r="N1287" i="48" s="1"/>
  <c r="O1189" i="48"/>
  <c r="O1248" i="48"/>
  <c r="O1188" i="48"/>
  <c r="O1246" i="48"/>
  <c r="O1300" i="48"/>
  <c r="O1271" i="48"/>
  <c r="O1247" i="48"/>
  <c r="O1217" i="48"/>
  <c r="O1315" i="48"/>
  <c r="O1294" i="48"/>
  <c r="O1261" i="48"/>
  <c r="N1261" i="48" s="1"/>
  <c r="N1262" i="48" s="1"/>
  <c r="O1236" i="48"/>
  <c r="N1236" i="48" s="1"/>
  <c r="N1237" i="48" s="1"/>
  <c r="N1238" i="48" s="1"/>
  <c r="N1239" i="48" s="1"/>
  <c r="O1275" i="48"/>
  <c r="AQ661" i="48"/>
  <c r="AP662" i="48"/>
  <c r="AP75" i="48"/>
  <c r="AQ75" i="48" s="1"/>
  <c r="AQ74" i="48"/>
  <c r="AQ349" i="48"/>
  <c r="AP350" i="48"/>
  <c r="AQ350" i="48" s="1"/>
  <c r="AQ374" i="48"/>
  <c r="AP375" i="48"/>
  <c r="AQ375" i="48" s="1"/>
  <c r="AP275" i="48"/>
  <c r="AQ274" i="48"/>
  <c r="AP1175" i="48"/>
  <c r="AQ1175" i="48" s="1"/>
  <c r="AQ1174" i="48"/>
  <c r="AQ624" i="48"/>
  <c r="AP625" i="48"/>
  <c r="AQ625" i="48" s="1"/>
  <c r="AQ299" i="48"/>
  <c r="AP300" i="48"/>
  <c r="AQ300" i="48" s="1"/>
  <c r="AQ599" i="48"/>
  <c r="AP600" i="48"/>
  <c r="AQ600" i="48" s="1"/>
  <c r="AP175" i="48"/>
  <c r="AQ175" i="48" s="1"/>
  <c r="AQ174" i="48"/>
  <c r="AP575" i="48"/>
  <c r="AQ575" i="48" s="1"/>
  <c r="AQ574" i="48"/>
  <c r="AP1250" i="48"/>
  <c r="AQ1250" i="48" s="1"/>
  <c r="AQ1249" i="48"/>
  <c r="AQ774" i="48"/>
  <c r="AP775" i="48"/>
  <c r="AQ775" i="48" s="1"/>
  <c r="AQ499" i="48"/>
  <c r="AP500" i="48"/>
  <c r="AQ500" i="48" s="1"/>
  <c r="AP1000" i="48"/>
  <c r="AQ1000" i="48" s="1"/>
  <c r="AQ999" i="48"/>
  <c r="AQ1024" i="48"/>
  <c r="AP1025" i="48"/>
  <c r="AQ1025" i="48" s="1"/>
  <c r="AP1225" i="48"/>
  <c r="AQ1225" i="48" s="1"/>
  <c r="AQ1224" i="48"/>
  <c r="AP1325" i="48"/>
  <c r="AQ1325" i="48" s="1"/>
  <c r="AQ1324" i="48"/>
  <c r="AQ224" i="48"/>
  <c r="AP225" i="48"/>
  <c r="AQ225" i="48" s="1"/>
  <c r="AQ1074" i="48"/>
  <c r="AP1075" i="48"/>
  <c r="AQ1075" i="48" s="1"/>
  <c r="AP200" i="48"/>
  <c r="AQ200" i="48" s="1"/>
  <c r="AQ199" i="48"/>
  <c r="AQ549" i="48"/>
  <c r="AP550" i="48"/>
  <c r="AQ550" i="48" s="1"/>
  <c r="AP925" i="48"/>
  <c r="AQ925" i="48" s="1"/>
  <c r="AQ924" i="48"/>
  <c r="N1337" i="48" l="1"/>
  <c r="N1338" i="48" s="1"/>
  <c r="N1339" i="48" s="1"/>
  <c r="N1340" i="48" s="1"/>
  <c r="N1341" i="48" s="1"/>
  <c r="N1342" i="48" s="1"/>
  <c r="N1343" i="48" s="1"/>
  <c r="N1344" i="48" s="1"/>
  <c r="N1345" i="48" s="1"/>
  <c r="N1346" i="48" s="1"/>
  <c r="N1347" i="48" s="1"/>
  <c r="N1348" i="48" s="1"/>
  <c r="N1349" i="48" s="1"/>
  <c r="N1350" i="48" s="1"/>
  <c r="N1312" i="48"/>
  <c r="N1313" i="48" s="1"/>
  <c r="N1314" i="48" s="1"/>
  <c r="N1315" i="48" s="1"/>
  <c r="N1316" i="48" s="1"/>
  <c r="N1317" i="48" s="1"/>
  <c r="N1318" i="48" s="1"/>
  <c r="N1319" i="48" s="1"/>
  <c r="N1320" i="48" s="1"/>
  <c r="N1321" i="48" s="1"/>
  <c r="N1322" i="48" s="1"/>
  <c r="N1323" i="48" s="1"/>
  <c r="N1324" i="48" s="1"/>
  <c r="N1325" i="48" s="1"/>
  <c r="N1263" i="48"/>
  <c r="N1288" i="48"/>
  <c r="N1289" i="48" s="1"/>
  <c r="N1290" i="48" s="1"/>
  <c r="N1291" i="48" s="1"/>
  <c r="N1292" i="48" s="1"/>
  <c r="N1293" i="48" s="1"/>
  <c r="N1294" i="48" s="1"/>
  <c r="N1295" i="48" s="1"/>
  <c r="N1296" i="48" s="1"/>
  <c r="N1297" i="48" s="1"/>
  <c r="N1298" i="48" s="1"/>
  <c r="N1299" i="48" s="1"/>
  <c r="N1300" i="48" s="1"/>
  <c r="N1240" i="48"/>
  <c r="N1241" i="48" s="1"/>
  <c r="N1242" i="48" s="1"/>
  <c r="N1243" i="48" s="1"/>
  <c r="N1244" i="48" s="1"/>
  <c r="N1245" i="48" s="1"/>
  <c r="N1246" i="48" s="1"/>
  <c r="N1247" i="48" s="1"/>
  <c r="N1248" i="48" s="1"/>
  <c r="N1249" i="48" s="1"/>
  <c r="N1250" i="48" s="1"/>
  <c r="N1264" i="48"/>
  <c r="N1265" i="48" s="1"/>
  <c r="N1266" i="48" s="1"/>
  <c r="N1267" i="48" s="1"/>
  <c r="N1268" i="48" s="1"/>
  <c r="N1269" i="48" s="1"/>
  <c r="N1270" i="48" s="1"/>
  <c r="N1271" i="48" s="1"/>
  <c r="N1272" i="48" s="1"/>
  <c r="N1273" i="48" s="1"/>
  <c r="N1274" i="48" s="1"/>
  <c r="N1275" i="48" s="1"/>
  <c r="N1187" i="48"/>
  <c r="N1188" i="48" s="1"/>
  <c r="N1189" i="48" s="1"/>
  <c r="N1190" i="48" s="1"/>
  <c r="N1191" i="48" s="1"/>
  <c r="N1192" i="48" s="1"/>
  <c r="N1193" i="48" s="1"/>
  <c r="N1194" i="48" s="1"/>
  <c r="N1195" i="48" s="1"/>
  <c r="N1196" i="48" s="1"/>
  <c r="N1197" i="48" s="1"/>
  <c r="N1198" i="48" s="1"/>
  <c r="N1199" i="48" s="1"/>
  <c r="N1200" i="48" s="1"/>
  <c r="N1213" i="48"/>
  <c r="N1214" i="48" s="1"/>
  <c r="N1215" i="48" s="1"/>
  <c r="N1216" i="48" s="1"/>
  <c r="N1217" i="48" s="1"/>
  <c r="N1218" i="48" s="1"/>
  <c r="N1219" i="48" s="1"/>
  <c r="N1220" i="48" s="1"/>
  <c r="N1221" i="48" s="1"/>
  <c r="N1222" i="48" s="1"/>
  <c r="N1223" i="48" s="1"/>
  <c r="N1224" i="48" s="1"/>
  <c r="N1225" i="48" s="1"/>
  <c r="AQ662" i="48"/>
  <c r="AP663" i="48"/>
  <c r="AQ275" i="48"/>
  <c r="AQ663" i="48" l="1"/>
  <c r="AP664" i="48"/>
  <c r="AQ253" i="48"/>
  <c r="AP665" i="48" l="1"/>
  <c r="AQ664" i="48"/>
  <c r="K776" i="48"/>
  <c r="R776" i="48"/>
  <c r="J926" i="48"/>
  <c r="K951" i="48"/>
  <c r="K476" i="48"/>
  <c r="J1051" i="48"/>
  <c r="K501" i="48"/>
  <c r="K626" i="48"/>
  <c r="K526" i="48"/>
  <c r="K426" i="48"/>
  <c r="J151" i="48"/>
  <c r="J76" i="48"/>
  <c r="L951" i="48" l="1"/>
  <c r="L952" i="48"/>
  <c r="M952" i="48" s="1"/>
  <c r="S776" i="48"/>
  <c r="S777" i="48"/>
  <c r="T777" i="48" s="1"/>
  <c r="L776" i="48"/>
  <c r="L777" i="48"/>
  <c r="M777" i="48" s="1"/>
  <c r="L626" i="48"/>
  <c r="L627" i="48"/>
  <c r="M627" i="48" s="1"/>
  <c r="L526" i="48"/>
  <c r="L527" i="48"/>
  <c r="M527" i="48" s="1"/>
  <c r="L501" i="48"/>
  <c r="L502" i="48"/>
  <c r="M502" i="48" s="1"/>
  <c r="L476" i="48"/>
  <c r="L477" i="48"/>
  <c r="M477" i="48" s="1"/>
  <c r="L426" i="48"/>
  <c r="L427" i="48"/>
  <c r="M427" i="48" s="1"/>
  <c r="AQ665" i="48"/>
  <c r="AP666" i="48"/>
  <c r="AD776" i="48"/>
  <c r="K701" i="48"/>
  <c r="K976" i="48"/>
  <c r="K326" i="48"/>
  <c r="K1151" i="48"/>
  <c r="K1351" i="48"/>
  <c r="K676" i="48"/>
  <c r="K876" i="48"/>
  <c r="K1276" i="48"/>
  <c r="K301" i="48"/>
  <c r="K726" i="48"/>
  <c r="K376" i="48"/>
  <c r="K901" i="48"/>
  <c r="K251" i="48"/>
  <c r="K351" i="48"/>
  <c r="K751" i="48"/>
  <c r="K1251" i="48"/>
  <c r="K801" i="48"/>
  <c r="K1101" i="48"/>
  <c r="K26" i="48"/>
  <c r="K926" i="48"/>
  <c r="K226" i="48"/>
  <c r="K551" i="48"/>
  <c r="K1001" i="48"/>
  <c r="K126" i="48"/>
  <c r="K576" i="48"/>
  <c r="K1301" i="48"/>
  <c r="K1026" i="48"/>
  <c r="K1226" i="48"/>
  <c r="K401" i="48"/>
  <c r="K826" i="48"/>
  <c r="K1076" i="48"/>
  <c r="K101" i="48"/>
  <c r="K76" i="48"/>
  <c r="K601" i="48"/>
  <c r="K151" i="48"/>
  <c r="K851" i="48"/>
  <c r="K1126" i="48"/>
  <c r="K1326" i="48"/>
  <c r="K176" i="48"/>
  <c r="K1051" i="48"/>
  <c r="K201" i="48"/>
  <c r="K651" i="48"/>
  <c r="K451" i="48"/>
  <c r="K1201" i="48"/>
  <c r="K1176" i="48"/>
  <c r="R1001" i="48"/>
  <c r="AD451" i="48"/>
  <c r="R176" i="48"/>
  <c r="R1026" i="48"/>
  <c r="AD601" i="48"/>
  <c r="R901" i="48"/>
  <c r="R251" i="48"/>
  <c r="Q1051" i="48"/>
  <c r="R1051" i="48" s="1"/>
  <c r="Q926" i="48"/>
  <c r="R76" i="48"/>
  <c r="Q126" i="48"/>
  <c r="AD126" i="48" s="1"/>
  <c r="AJ126" i="48" s="1"/>
  <c r="AJ128" i="48" s="1"/>
  <c r="R976" i="48"/>
  <c r="R651" i="48"/>
  <c r="R801" i="48"/>
  <c r="Q726" i="48"/>
  <c r="R726" i="48" s="1"/>
  <c r="AD1176" i="48"/>
  <c r="AE1177" i="48" s="1"/>
  <c r="R226" i="48"/>
  <c r="AD401" i="48"/>
  <c r="R576" i="48"/>
  <c r="R151" i="48"/>
  <c r="R851" i="48"/>
  <c r="L27" i="48" l="1"/>
  <c r="K28" i="48"/>
  <c r="AE602" i="48"/>
  <c r="AE777" i="48"/>
  <c r="AE402" i="48"/>
  <c r="AE127" i="48"/>
  <c r="AE452" i="48"/>
  <c r="R351" i="48"/>
  <c r="S352" i="48" s="1"/>
  <c r="T352" i="48" s="1"/>
  <c r="AD351" i="48"/>
  <c r="AJ351" i="48" s="1"/>
  <c r="AJ353" i="48" s="1"/>
  <c r="L1351" i="48"/>
  <c r="L1352" i="48"/>
  <c r="L1326" i="48"/>
  <c r="L1327" i="48"/>
  <c r="L1301" i="48"/>
  <c r="L1302" i="48"/>
  <c r="L1276" i="48"/>
  <c r="L1277" i="48"/>
  <c r="L1251" i="48"/>
  <c r="L1252" i="48"/>
  <c r="L1226" i="48"/>
  <c r="L1227" i="48"/>
  <c r="L1201" i="48"/>
  <c r="L1202" i="48"/>
  <c r="L1176" i="48"/>
  <c r="L1177" i="48"/>
  <c r="L1151" i="48"/>
  <c r="L1152" i="48"/>
  <c r="M1152" i="48" s="1"/>
  <c r="L1126" i="48"/>
  <c r="L1127" i="48"/>
  <c r="M1127" i="48" s="1"/>
  <c r="L1101" i="48"/>
  <c r="L1102" i="48"/>
  <c r="M1102" i="48" s="1"/>
  <c r="L1076" i="48"/>
  <c r="L1077" i="48"/>
  <c r="M1077" i="48" s="1"/>
  <c r="S1051" i="48"/>
  <c r="S1052" i="48"/>
  <c r="T1052" i="48" s="1"/>
  <c r="L1051" i="48"/>
  <c r="L1052" i="48"/>
  <c r="M1052" i="48" s="1"/>
  <c r="L1026" i="48"/>
  <c r="L1027" i="48"/>
  <c r="M1027" i="48" s="1"/>
  <c r="S1026" i="48"/>
  <c r="S1027" i="48"/>
  <c r="T1027" i="48" s="1"/>
  <c r="L1001" i="48"/>
  <c r="L1002" i="48"/>
  <c r="M1002" i="48" s="1"/>
  <c r="S1001" i="48"/>
  <c r="S1002" i="48"/>
  <c r="T1002" i="48" s="1"/>
  <c r="L976" i="48"/>
  <c r="L977" i="48"/>
  <c r="M977" i="48" s="1"/>
  <c r="S976" i="48"/>
  <c r="S977" i="48"/>
  <c r="T977" i="48" s="1"/>
  <c r="L926" i="48"/>
  <c r="L927" i="48"/>
  <c r="M927" i="48" s="1"/>
  <c r="L901" i="48"/>
  <c r="L902" i="48"/>
  <c r="M902" i="48" s="1"/>
  <c r="S901" i="48"/>
  <c r="S902" i="48"/>
  <c r="T902" i="48" s="1"/>
  <c r="L876" i="48"/>
  <c r="L877" i="48"/>
  <c r="M877" i="48" s="1"/>
  <c r="L851" i="48"/>
  <c r="L852" i="48"/>
  <c r="M852" i="48" s="1"/>
  <c r="S851" i="48"/>
  <c r="S852" i="48"/>
  <c r="T852" i="48" s="1"/>
  <c r="L826" i="48"/>
  <c r="L827" i="48"/>
  <c r="M827" i="48" s="1"/>
  <c r="S801" i="48"/>
  <c r="S802" i="48"/>
  <c r="T802" i="48" s="1"/>
  <c r="L801" i="48"/>
  <c r="L802" i="48"/>
  <c r="M802" i="48" s="1"/>
  <c r="L751" i="48"/>
  <c r="L752" i="48"/>
  <c r="M752" i="48" s="1"/>
  <c r="S726" i="48"/>
  <c r="S727" i="48"/>
  <c r="T727" i="48" s="1"/>
  <c r="L726" i="48"/>
  <c r="L727" i="48"/>
  <c r="M727" i="48" s="1"/>
  <c r="L701" i="48"/>
  <c r="L702" i="48"/>
  <c r="M702" i="48" s="1"/>
  <c r="L676" i="48"/>
  <c r="L677" i="48"/>
  <c r="M677" i="48" s="1"/>
  <c r="S651" i="48"/>
  <c r="S652" i="48"/>
  <c r="T652" i="48" s="1"/>
  <c r="L651" i="48"/>
  <c r="L652" i="48"/>
  <c r="M652" i="48" s="1"/>
  <c r="L601" i="48"/>
  <c r="L602" i="48"/>
  <c r="M602" i="48" s="1"/>
  <c r="S576" i="48"/>
  <c r="S577" i="48"/>
  <c r="T577" i="48" s="1"/>
  <c r="L576" i="48"/>
  <c r="L577" i="48"/>
  <c r="M577" i="48" s="1"/>
  <c r="L551" i="48"/>
  <c r="L552" i="48"/>
  <c r="M552" i="48" s="1"/>
  <c r="L451" i="48"/>
  <c r="L452" i="48"/>
  <c r="M452" i="48" s="1"/>
  <c r="L401" i="48"/>
  <c r="L402" i="48"/>
  <c r="M402" i="48" s="1"/>
  <c r="L376" i="48"/>
  <c r="L377" i="48"/>
  <c r="M377" i="48" s="1"/>
  <c r="S351" i="48"/>
  <c r="L351" i="48"/>
  <c r="L352" i="48"/>
  <c r="M352" i="48" s="1"/>
  <c r="L326" i="48"/>
  <c r="L327" i="48"/>
  <c r="M327" i="48" s="1"/>
  <c r="L301" i="48"/>
  <c r="L302" i="48"/>
  <c r="M302" i="48" s="1"/>
  <c r="S251" i="48"/>
  <c r="S252" i="48"/>
  <c r="T252" i="48" s="1"/>
  <c r="L251" i="48"/>
  <c r="L252" i="48"/>
  <c r="M252" i="48" s="1"/>
  <c r="S226" i="48"/>
  <c r="S227" i="48"/>
  <c r="T227" i="48" s="1"/>
  <c r="L226" i="48"/>
  <c r="L227" i="48"/>
  <c r="L201" i="48"/>
  <c r="L202" i="48"/>
  <c r="L176" i="48"/>
  <c r="L177" i="48"/>
  <c r="S176" i="48"/>
  <c r="S177" i="48"/>
  <c r="T177" i="48" s="1"/>
  <c r="S151" i="48"/>
  <c r="S152" i="48"/>
  <c r="T152" i="48" s="1"/>
  <c r="L151" i="48"/>
  <c r="L152" i="48"/>
  <c r="L126" i="48"/>
  <c r="L127" i="48"/>
  <c r="L101" i="48"/>
  <c r="L102" i="48"/>
  <c r="S76" i="48"/>
  <c r="S77" i="48"/>
  <c r="T77" i="48" s="1"/>
  <c r="L76" i="48"/>
  <c r="L77" i="48"/>
  <c r="AQ666" i="48"/>
  <c r="AP667" i="48"/>
  <c r="AD26" i="48"/>
  <c r="AE601" i="48"/>
  <c r="AE1176" i="48"/>
  <c r="AE126" i="48"/>
  <c r="AE451" i="48"/>
  <c r="AE401" i="48"/>
  <c r="AL776" i="48"/>
  <c r="AE776" i="48"/>
  <c r="AJ776" i="48"/>
  <c r="AJ778" i="48" s="1"/>
  <c r="AN776" i="48"/>
  <c r="AM776" i="48"/>
  <c r="AD1051" i="48"/>
  <c r="AD1026" i="48"/>
  <c r="AJ401" i="48"/>
  <c r="AN401" i="48"/>
  <c r="AL401" i="48"/>
  <c r="AN601" i="48"/>
  <c r="AJ601" i="48"/>
  <c r="AJ603" i="48" s="1"/>
  <c r="AL601" i="48"/>
  <c r="AD476" i="48"/>
  <c r="R476" i="48"/>
  <c r="AD951" i="48"/>
  <c r="R951" i="48"/>
  <c r="AD226" i="48"/>
  <c r="AJ226" i="48" s="1"/>
  <c r="AJ228" i="48" s="1"/>
  <c r="R1176" i="48"/>
  <c r="AM1176" i="48"/>
  <c r="AD526" i="48"/>
  <c r="AJ526" i="48" s="1"/>
  <c r="AJ528" i="48" s="1"/>
  <c r="R526" i="48"/>
  <c r="R376" i="48"/>
  <c r="AD901" i="48"/>
  <c r="R1351" i="48"/>
  <c r="AD701" i="48"/>
  <c r="R701" i="48"/>
  <c r="AN1176" i="48"/>
  <c r="AJ1176" i="48"/>
  <c r="AJ1178" i="48" s="1"/>
  <c r="AN451" i="48"/>
  <c r="AJ451" i="48"/>
  <c r="AJ453" i="48" s="1"/>
  <c r="AN126" i="48"/>
  <c r="AD626" i="48"/>
  <c r="R626" i="48"/>
  <c r="R1151" i="48"/>
  <c r="AD1301" i="48"/>
  <c r="R1301" i="48"/>
  <c r="AD501" i="48"/>
  <c r="R501" i="48"/>
  <c r="R926" i="48"/>
  <c r="R26" i="48"/>
  <c r="S27" i="48" s="1"/>
  <c r="T27" i="48" s="1"/>
  <c r="AD851" i="48"/>
  <c r="AD301" i="48"/>
  <c r="AJ301" i="48" s="1"/>
  <c r="AJ303" i="48" s="1"/>
  <c r="R301" i="48"/>
  <c r="R601" i="48"/>
  <c r="AM601" i="48"/>
  <c r="AD1326" i="48"/>
  <c r="R1326" i="48"/>
  <c r="AD1201" i="48"/>
  <c r="R1201" i="48"/>
  <c r="AD426" i="48"/>
  <c r="R426" i="48"/>
  <c r="AD826" i="48"/>
  <c r="R826" i="48"/>
  <c r="AD101" i="48"/>
  <c r="R101" i="48"/>
  <c r="AD876" i="48"/>
  <c r="R876" i="48"/>
  <c r="AD651" i="48"/>
  <c r="AD176" i="48"/>
  <c r="AD1001" i="48"/>
  <c r="AD926" i="48"/>
  <c r="AD1351" i="48"/>
  <c r="AD976" i="48"/>
  <c r="R676" i="48"/>
  <c r="AD326" i="48"/>
  <c r="AJ326" i="48" s="1"/>
  <c r="AJ328" i="48" s="1"/>
  <c r="R326" i="48"/>
  <c r="AD201" i="48"/>
  <c r="AJ201" i="48" s="1"/>
  <c r="AJ203" i="48" s="1"/>
  <c r="R201" i="48"/>
  <c r="AD1076" i="48"/>
  <c r="R1076" i="48"/>
  <c r="AD51" i="48"/>
  <c r="R51" i="48"/>
  <c r="AD1251" i="48"/>
  <c r="R1251" i="48"/>
  <c r="AD801" i="48"/>
  <c r="AD376" i="48"/>
  <c r="AD751" i="48"/>
  <c r="AE752" i="48" s="1"/>
  <c r="R751" i="48"/>
  <c r="AD1126" i="48"/>
  <c r="R1126" i="48"/>
  <c r="R126" i="48"/>
  <c r="AM126" i="48"/>
  <c r="AD1276" i="48"/>
  <c r="R1276" i="48"/>
  <c r="R451" i="48"/>
  <c r="AM451" i="48"/>
  <c r="AD1226" i="48"/>
  <c r="R1226" i="48"/>
  <c r="AD151" i="48"/>
  <c r="AD576" i="48"/>
  <c r="AD551" i="48"/>
  <c r="R551" i="48"/>
  <c r="AD251" i="48"/>
  <c r="AJ251" i="48" s="1"/>
  <c r="AJ253" i="48" s="1"/>
  <c r="AD1151" i="48"/>
  <c r="R401" i="48"/>
  <c r="AM401" i="48"/>
  <c r="AD76" i="48"/>
  <c r="AD1101" i="48"/>
  <c r="R1101" i="48"/>
  <c r="AL1176" i="48"/>
  <c r="AL451" i="48"/>
  <c r="AL126" i="48"/>
  <c r="L26" i="48"/>
  <c r="AD726" i="48"/>
  <c r="AD676" i="48"/>
  <c r="M227" i="48" l="1"/>
  <c r="M202" i="48"/>
  <c r="M177" i="48"/>
  <c r="M152" i="48"/>
  <c r="M127" i="48"/>
  <c r="M102" i="48"/>
  <c r="M77" i="48"/>
  <c r="M27" i="48"/>
  <c r="BA26" i="48"/>
  <c r="AI26" i="48" s="1"/>
  <c r="BE34" i="48"/>
  <c r="AJ403" i="48"/>
  <c r="AE1227" i="48"/>
  <c r="AE52" i="48"/>
  <c r="AE177" i="48"/>
  <c r="AE902" i="48"/>
  <c r="AE1102" i="48"/>
  <c r="AE1152" i="48"/>
  <c r="AE577" i="48"/>
  <c r="AE1352" i="48"/>
  <c r="AE652" i="48"/>
  <c r="AE102" i="48"/>
  <c r="AE427" i="48"/>
  <c r="AE1327" i="48"/>
  <c r="AE302" i="48"/>
  <c r="AE1027" i="48"/>
  <c r="AJ26" i="48"/>
  <c r="AJ28" i="48" s="1"/>
  <c r="AF26" i="48"/>
  <c r="AE27" i="48"/>
  <c r="AE552" i="48"/>
  <c r="AE1127" i="48"/>
  <c r="AE977" i="48"/>
  <c r="AE677" i="48"/>
  <c r="AE77" i="48"/>
  <c r="AE152" i="48"/>
  <c r="AR1251" i="48"/>
  <c r="AA1251" i="48" s="1"/>
  <c r="AE1252" i="48"/>
  <c r="AE927" i="48"/>
  <c r="AE502" i="48"/>
  <c r="AE227" i="48"/>
  <c r="AE1052" i="48"/>
  <c r="AN351" i="48"/>
  <c r="AE351" i="48"/>
  <c r="AE352" i="48"/>
  <c r="AL351" i="48"/>
  <c r="AM351" i="48"/>
  <c r="AE1277" i="48"/>
  <c r="AE802" i="48"/>
  <c r="AE202" i="48"/>
  <c r="AE1302" i="48"/>
  <c r="AE952" i="48"/>
  <c r="AE252" i="48"/>
  <c r="AE1077" i="48"/>
  <c r="AE327" i="48"/>
  <c r="AE852" i="48"/>
  <c r="AE702" i="48"/>
  <c r="AE477" i="48"/>
  <c r="AE727" i="48"/>
  <c r="AE377" i="48"/>
  <c r="AE1002" i="48"/>
  <c r="AE877" i="48"/>
  <c r="AE827" i="48"/>
  <c r="AE1202" i="48"/>
  <c r="AE627" i="48"/>
  <c r="AE527" i="48"/>
  <c r="S1351" i="48"/>
  <c r="S1352" i="48"/>
  <c r="S1326" i="48"/>
  <c r="S1327" i="48"/>
  <c r="S1301" i="48"/>
  <c r="S1302" i="48"/>
  <c r="S1276" i="48"/>
  <c r="S1277" i="48"/>
  <c r="S1251" i="48"/>
  <c r="S1252" i="48"/>
  <c r="S1226" i="48"/>
  <c r="S1227" i="48"/>
  <c r="S1201" i="48"/>
  <c r="S1202" i="48"/>
  <c r="S1176" i="48"/>
  <c r="AO1176" i="48" s="1"/>
  <c r="AP1176" i="48" s="1"/>
  <c r="AQ1176" i="48" s="1"/>
  <c r="AQ1153" i="48" s="1"/>
  <c r="S1177" i="48"/>
  <c r="S1151" i="48"/>
  <c r="S1152" i="48"/>
  <c r="T1152" i="48" s="1"/>
  <c r="S1126" i="48"/>
  <c r="S1127" i="48"/>
  <c r="T1127" i="48" s="1"/>
  <c r="S1101" i="48"/>
  <c r="S1102" i="48"/>
  <c r="T1102" i="48" s="1"/>
  <c r="S1076" i="48"/>
  <c r="S1077" i="48"/>
  <c r="T1077" i="48" s="1"/>
  <c r="S951" i="48"/>
  <c r="S952" i="48"/>
  <c r="T952" i="48" s="1"/>
  <c r="S926" i="48"/>
  <c r="S927" i="48"/>
  <c r="T927" i="48" s="1"/>
  <c r="S876" i="48"/>
  <c r="S877" i="48"/>
  <c r="T877" i="48" s="1"/>
  <c r="S826" i="48"/>
  <c r="S827" i="48"/>
  <c r="T827" i="48" s="1"/>
  <c r="S751" i="48"/>
  <c r="S752" i="48"/>
  <c r="T752" i="48" s="1"/>
  <c r="S701" i="48"/>
  <c r="S702" i="48"/>
  <c r="T702" i="48" s="1"/>
  <c r="S676" i="48"/>
  <c r="S677" i="48"/>
  <c r="T677" i="48" s="1"/>
  <c r="S626" i="48"/>
  <c r="S627" i="48"/>
  <c r="T627" i="48" s="1"/>
  <c r="S601" i="48"/>
  <c r="AO601" i="48" s="1"/>
  <c r="AP601" i="48" s="1"/>
  <c r="AQ601" i="48" s="1"/>
  <c r="AQ578" i="48" s="1"/>
  <c r="S602" i="48"/>
  <c r="T602" i="48" s="1"/>
  <c r="S551" i="48"/>
  <c r="S552" i="48"/>
  <c r="T552" i="48" s="1"/>
  <c r="S526" i="48"/>
  <c r="S527" i="48"/>
  <c r="T527" i="48" s="1"/>
  <c r="S501" i="48"/>
  <c r="S502" i="48"/>
  <c r="T502" i="48" s="1"/>
  <c r="S476" i="48"/>
  <c r="S477" i="48"/>
  <c r="T477" i="48" s="1"/>
  <c r="S451" i="48"/>
  <c r="AO451" i="48" s="1"/>
  <c r="AP451" i="48" s="1"/>
  <c r="AQ451" i="48" s="1"/>
  <c r="AQ428" i="48" s="1"/>
  <c r="S452" i="48"/>
  <c r="T452" i="48" s="1"/>
  <c r="S426" i="48"/>
  <c r="S427" i="48"/>
  <c r="T427" i="48" s="1"/>
  <c r="S401" i="48"/>
  <c r="AO401" i="48" s="1"/>
  <c r="AP401" i="48" s="1"/>
  <c r="AQ401" i="48" s="1"/>
  <c r="AQ378" i="48" s="1"/>
  <c r="S402" i="48"/>
  <c r="T402" i="48" s="1"/>
  <c r="S376" i="48"/>
  <c r="S377" i="48"/>
  <c r="T377" i="48" s="1"/>
  <c r="S326" i="48"/>
  <c r="S327" i="48"/>
  <c r="T327" i="48" s="1"/>
  <c r="S301" i="48"/>
  <c r="S302" i="48"/>
  <c r="T302" i="48" s="1"/>
  <c r="S201" i="48"/>
  <c r="S202" i="48"/>
  <c r="T202" i="48" s="1"/>
  <c r="S126" i="48"/>
  <c r="AO126" i="48" s="1"/>
  <c r="AP126" i="48" s="1"/>
  <c r="AQ126" i="48" s="1"/>
  <c r="AQ103" i="48" s="1"/>
  <c r="S127" i="48"/>
  <c r="T127" i="48" s="1"/>
  <c r="S101" i="48"/>
  <c r="S102" i="48"/>
  <c r="T102" i="48" s="1"/>
  <c r="S51" i="48"/>
  <c r="S52" i="48"/>
  <c r="T52" i="48" s="1"/>
  <c r="AP668" i="48"/>
  <c r="AQ667" i="48"/>
  <c r="AN26" i="48"/>
  <c r="AN7" i="48" s="1"/>
  <c r="AL26" i="48"/>
  <c r="AM26" i="48"/>
  <c r="AM7" i="48" s="1"/>
  <c r="AE26" i="48"/>
  <c r="AE576" i="48"/>
  <c r="AE701" i="48"/>
  <c r="AM1051" i="48"/>
  <c r="AE676" i="48"/>
  <c r="AE151" i="48"/>
  <c r="AE1076" i="48"/>
  <c r="AE651" i="48"/>
  <c r="AE726" i="48"/>
  <c r="AE76" i="48"/>
  <c r="AE251" i="48"/>
  <c r="AE851" i="48"/>
  <c r="AE901" i="48"/>
  <c r="AE951" i="48"/>
  <c r="AE176" i="48"/>
  <c r="AE226" i="48"/>
  <c r="AE526" i="48"/>
  <c r="AE1226" i="48"/>
  <c r="AE801" i="48"/>
  <c r="AE976" i="48"/>
  <c r="AE1001" i="48"/>
  <c r="AE826" i="48"/>
  <c r="AO776" i="48"/>
  <c r="AP776" i="48" s="1"/>
  <c r="AQ776" i="48" s="1"/>
  <c r="AQ753" i="48" s="1"/>
  <c r="AJ1026" i="48"/>
  <c r="AJ1028" i="48" s="1"/>
  <c r="AE1026" i="48"/>
  <c r="AL1026" i="48"/>
  <c r="AM1101" i="48"/>
  <c r="AE1101" i="48"/>
  <c r="AM1151" i="48"/>
  <c r="AE1151" i="48"/>
  <c r="AM751" i="48"/>
  <c r="AE751" i="48"/>
  <c r="AM1251" i="48"/>
  <c r="AE1251" i="48"/>
  <c r="AM326" i="48"/>
  <c r="AE326" i="48"/>
  <c r="AM101" i="48"/>
  <c r="AE101" i="48"/>
  <c r="AM426" i="48"/>
  <c r="AE426" i="48"/>
  <c r="AM1326" i="48"/>
  <c r="AE1326" i="48"/>
  <c r="AM301" i="48"/>
  <c r="AE301" i="48"/>
  <c r="AM1301" i="48"/>
  <c r="AE1301" i="48"/>
  <c r="AN1026" i="48"/>
  <c r="AM476" i="48"/>
  <c r="AE476" i="48"/>
  <c r="AL1051" i="48"/>
  <c r="AE1051" i="48"/>
  <c r="AM626" i="48"/>
  <c r="AE626" i="48"/>
  <c r="AM376" i="48"/>
  <c r="AE376" i="48"/>
  <c r="AM926" i="48"/>
  <c r="AE926" i="48"/>
  <c r="AM1351" i="48"/>
  <c r="AE1351" i="48"/>
  <c r="AM551" i="48"/>
  <c r="AE551" i="48"/>
  <c r="AM1276" i="48"/>
  <c r="AE1276" i="48"/>
  <c r="AM1126" i="48"/>
  <c r="AE1126" i="48"/>
  <c r="AE51" i="48"/>
  <c r="AM201" i="48"/>
  <c r="AE201" i="48"/>
  <c r="AM876" i="48"/>
  <c r="AE876" i="48"/>
  <c r="AM1201" i="48"/>
  <c r="AE1201" i="48"/>
  <c r="AM501" i="48"/>
  <c r="AE501" i="48"/>
  <c r="AJ1051" i="48"/>
  <c r="AJ1053" i="48" s="1"/>
  <c r="AN1051" i="48"/>
  <c r="AM1026" i="48"/>
  <c r="AM51" i="48"/>
  <c r="AL526" i="48"/>
  <c r="AN526" i="48"/>
  <c r="AL951" i="48"/>
  <c r="AJ951" i="48"/>
  <c r="AN951" i="48"/>
  <c r="AN676" i="48"/>
  <c r="AJ676" i="48"/>
  <c r="AJ678" i="48" s="1"/>
  <c r="AL676" i="48"/>
  <c r="AM801" i="48"/>
  <c r="AN801" i="48"/>
  <c r="AJ801" i="48"/>
  <c r="AJ803" i="48" s="1"/>
  <c r="AL801" i="48"/>
  <c r="AM676" i="48"/>
  <c r="AM851" i="48"/>
  <c r="AN851" i="48"/>
  <c r="AJ851" i="48"/>
  <c r="AL851" i="48"/>
  <c r="AJ701" i="48"/>
  <c r="AJ703" i="48" s="1"/>
  <c r="AN701" i="48"/>
  <c r="AL701" i="48"/>
  <c r="AJ76" i="48"/>
  <c r="AJ78" i="48" s="1"/>
  <c r="AN76" i="48"/>
  <c r="AL76" i="48"/>
  <c r="AM976" i="48"/>
  <c r="AJ976" i="48"/>
  <c r="AJ978" i="48" s="1"/>
  <c r="AN976" i="48"/>
  <c r="AL976" i="48"/>
  <c r="AJ1326" i="48"/>
  <c r="AJ1328" i="48" s="1"/>
  <c r="AN1326" i="48"/>
  <c r="AL1326" i="48"/>
  <c r="S26" i="48"/>
  <c r="AJ1301" i="48"/>
  <c r="AJ1303" i="48" s="1"/>
  <c r="AN1301" i="48"/>
  <c r="AL1301" i="48"/>
  <c r="AJ1226" i="48"/>
  <c r="AJ1228" i="48" s="1"/>
  <c r="AN1226" i="48"/>
  <c r="AL1226" i="48"/>
  <c r="AN1076" i="48"/>
  <c r="AJ1076" i="48"/>
  <c r="AL1076" i="48"/>
  <c r="AN826" i="48"/>
  <c r="AJ826" i="48"/>
  <c r="AJ828" i="48" s="1"/>
  <c r="AL826" i="48"/>
  <c r="AJ1126" i="48"/>
  <c r="AJ1128" i="48" s="1"/>
  <c r="AN1126" i="48"/>
  <c r="AL1126" i="48"/>
  <c r="AN1251" i="48"/>
  <c r="AJ1251" i="48"/>
  <c r="AJ1253" i="48" s="1"/>
  <c r="AL1251" i="48"/>
  <c r="AN1351" i="48"/>
  <c r="AJ1351" i="48"/>
  <c r="AJ1353" i="48" s="1"/>
  <c r="AL1351" i="48"/>
  <c r="AN876" i="48"/>
  <c r="AJ876" i="48"/>
  <c r="AJ878" i="48" s="1"/>
  <c r="AL876" i="48"/>
  <c r="AM901" i="48"/>
  <c r="AN901" i="48"/>
  <c r="AJ901" i="48"/>
  <c r="AJ903" i="48" s="1"/>
  <c r="AL901" i="48"/>
  <c r="AM226" i="48"/>
  <c r="AN226" i="48"/>
  <c r="AL226" i="48"/>
  <c r="AM651" i="48"/>
  <c r="AN651" i="48"/>
  <c r="AJ651" i="48"/>
  <c r="AJ653" i="48" s="1"/>
  <c r="AL651" i="48"/>
  <c r="AJ1151" i="48"/>
  <c r="AJ1153" i="48" s="1"/>
  <c r="AN1151" i="48"/>
  <c r="AL1151" i="48"/>
  <c r="AJ551" i="48"/>
  <c r="AJ553" i="48" s="1"/>
  <c r="AN551" i="48"/>
  <c r="AL551" i="48"/>
  <c r="AN201" i="48"/>
  <c r="AL201" i="48"/>
  <c r="AL426" i="48"/>
  <c r="AN426" i="48"/>
  <c r="AJ426" i="48"/>
  <c r="AJ428" i="48" s="1"/>
  <c r="AL476" i="48"/>
  <c r="AJ476" i="48"/>
  <c r="AJ478" i="48" s="1"/>
  <c r="AN476" i="48"/>
  <c r="AM576" i="48"/>
  <c r="AJ576" i="48"/>
  <c r="AJ578" i="48" s="1"/>
  <c r="AN576" i="48"/>
  <c r="AL576" i="48"/>
  <c r="AN1101" i="48"/>
  <c r="AJ1101" i="48"/>
  <c r="AJ1103" i="48" s="1"/>
  <c r="AL1101" i="48"/>
  <c r="AM151" i="48"/>
  <c r="AN151" i="48"/>
  <c r="AJ151" i="48"/>
  <c r="AJ153" i="48" s="1"/>
  <c r="AL151" i="48"/>
  <c r="AJ1276" i="48"/>
  <c r="AJ1278" i="48" s="1"/>
  <c r="AN1276" i="48"/>
  <c r="AL1276" i="48"/>
  <c r="AN751" i="48"/>
  <c r="AJ751" i="48"/>
  <c r="AJ753" i="48" s="1"/>
  <c r="AL751" i="48"/>
  <c r="AL51" i="48"/>
  <c r="AJ51" i="48"/>
  <c r="AJ53" i="48" s="1"/>
  <c r="AN51" i="48"/>
  <c r="AM1001" i="48"/>
  <c r="AN1001" i="48"/>
  <c r="AJ1001" i="48"/>
  <c r="AJ1003" i="48" s="1"/>
  <c r="AL1001" i="48"/>
  <c r="AJ101" i="48"/>
  <c r="AJ103" i="48" s="1"/>
  <c r="AN101" i="48"/>
  <c r="AL101" i="48"/>
  <c r="AM526" i="48"/>
  <c r="AM726" i="48"/>
  <c r="AJ726" i="48"/>
  <c r="AJ728" i="48" s="1"/>
  <c r="AN726" i="48"/>
  <c r="AL726" i="48"/>
  <c r="AM251" i="48"/>
  <c r="AN251" i="48"/>
  <c r="AL251" i="48"/>
  <c r="AN926" i="48"/>
  <c r="AJ926" i="48"/>
  <c r="AJ928" i="48" s="1"/>
  <c r="AL926" i="48"/>
  <c r="AM76" i="48"/>
  <c r="AM1226" i="48"/>
  <c r="AN376" i="48"/>
  <c r="AJ376" i="48"/>
  <c r="AJ378" i="48" s="1"/>
  <c r="AL376" i="48"/>
  <c r="AM1076" i="48"/>
  <c r="AN326" i="48"/>
  <c r="AL326" i="48"/>
  <c r="AM176" i="48"/>
  <c r="AN176" i="48"/>
  <c r="AJ176" i="48"/>
  <c r="AJ178" i="48" s="1"/>
  <c r="AL176" i="48"/>
  <c r="AM826" i="48"/>
  <c r="AN1201" i="48"/>
  <c r="AJ1201" i="48"/>
  <c r="AJ1203" i="48" s="1"/>
  <c r="AL1201" i="48"/>
  <c r="AN301" i="48"/>
  <c r="AL301" i="48"/>
  <c r="AL501" i="48"/>
  <c r="AN501" i="48"/>
  <c r="AJ501" i="48"/>
  <c r="AJ503" i="48" s="1"/>
  <c r="AL626" i="48"/>
  <c r="AJ626" i="48"/>
  <c r="AJ628" i="48" s="1"/>
  <c r="AN626" i="48"/>
  <c r="AM701" i="48"/>
  <c r="AM951" i="48"/>
  <c r="AR1126" i="48" l="1"/>
  <c r="M1126" i="48" s="1"/>
  <c r="AH26" i="48"/>
  <c r="BE31" i="48"/>
  <c r="AJ1078" i="48"/>
  <c r="BE32" i="48"/>
  <c r="AJ853" i="48"/>
  <c r="BD33" i="48"/>
  <c r="BE33" i="48" s="1"/>
  <c r="AJ952" i="48"/>
  <c r="BE35" i="48"/>
  <c r="AR251" i="48"/>
  <c r="AA251" i="48" s="1"/>
  <c r="AR826" i="48"/>
  <c r="AA826" i="48" s="1"/>
  <c r="AR926" i="48"/>
  <c r="AA926" i="48" s="1"/>
  <c r="AR426" i="48"/>
  <c r="AA426" i="48" s="1"/>
  <c r="AR626" i="48"/>
  <c r="AA626" i="48" s="1"/>
  <c r="AR1301" i="48"/>
  <c r="AA1301" i="48" s="1"/>
  <c r="AR351" i="48"/>
  <c r="AA351" i="48" s="1"/>
  <c r="AR226" i="48"/>
  <c r="AA226" i="48" s="1"/>
  <c r="AR176" i="48"/>
  <c r="AA176" i="48" s="1"/>
  <c r="AR1001" i="48"/>
  <c r="AA1001" i="48" s="1"/>
  <c r="AR326" i="48"/>
  <c r="AA326" i="48" s="1"/>
  <c r="AR726" i="48"/>
  <c r="AA726" i="48" s="1"/>
  <c r="AR701" i="48"/>
  <c r="AA701" i="48" s="1"/>
  <c r="AR801" i="48"/>
  <c r="AA801" i="48" s="1"/>
  <c r="AR301" i="48"/>
  <c r="AR1101" i="48"/>
  <c r="AA1101" i="48" s="1"/>
  <c r="AR526" i="48"/>
  <c r="M526" i="48" s="1"/>
  <c r="AR1201" i="48"/>
  <c r="AR876" i="48"/>
  <c r="AA876" i="48" s="1"/>
  <c r="AR376" i="48"/>
  <c r="AA376" i="48" s="1"/>
  <c r="AR576" i="48"/>
  <c r="AR151" i="48"/>
  <c r="AA151" i="48" s="1"/>
  <c r="AR676" i="48"/>
  <c r="Q1409" i="48"/>
  <c r="AR476" i="48"/>
  <c r="AA476" i="48" s="1"/>
  <c r="AR851" i="48"/>
  <c r="AA851" i="48" s="1"/>
  <c r="AR1076" i="48"/>
  <c r="AR951" i="48"/>
  <c r="AA951" i="48" s="1"/>
  <c r="AR201" i="48"/>
  <c r="AA201" i="48" s="1"/>
  <c r="AR1276" i="48"/>
  <c r="AA1276" i="48" s="1"/>
  <c r="AR1051" i="48"/>
  <c r="AR501" i="48"/>
  <c r="AA501" i="48" s="1"/>
  <c r="AR76" i="48"/>
  <c r="AR651" i="48"/>
  <c r="AA651" i="48" s="1"/>
  <c r="AR1226" i="48"/>
  <c r="AA1226" i="48" s="1"/>
  <c r="AA1126" i="48"/>
  <c r="M826" i="48"/>
  <c r="AR1177" i="48"/>
  <c r="AR1252" i="48"/>
  <c r="T1252" i="48" s="1"/>
  <c r="AR1202" i="48"/>
  <c r="T1202" i="48" s="1"/>
  <c r="AR1352" i="48"/>
  <c r="T1352" i="48" s="1"/>
  <c r="AR1277" i="48"/>
  <c r="AR276" i="48"/>
  <c r="AR1302" i="48"/>
  <c r="AR1227" i="48"/>
  <c r="T1227" i="48" s="1"/>
  <c r="AR1327" i="48"/>
  <c r="AG27" i="48"/>
  <c r="AR601" i="48"/>
  <c r="AR126" i="48"/>
  <c r="AR401" i="48"/>
  <c r="AR776" i="48"/>
  <c r="AR451" i="48"/>
  <c r="AR1026" i="48"/>
  <c r="AR1326" i="48"/>
  <c r="AR101" i="48"/>
  <c r="AR1351" i="48"/>
  <c r="AR1151" i="48"/>
  <c r="M1151" i="48" s="1"/>
  <c r="AR901" i="48"/>
  <c r="AR51" i="48"/>
  <c r="AU27" i="48"/>
  <c r="AL7" i="48"/>
  <c r="AR976" i="48"/>
  <c r="AR551" i="48"/>
  <c r="M1251" i="48"/>
  <c r="AR26" i="48"/>
  <c r="AQ668" i="48"/>
  <c r="AP669" i="48"/>
  <c r="BE30" i="48"/>
  <c r="AU26" i="48"/>
  <c r="AO201" i="48"/>
  <c r="AP201" i="48" s="1"/>
  <c r="AQ201" i="48" s="1"/>
  <c r="AQ178" i="48" s="1"/>
  <c r="AO176" i="48"/>
  <c r="AP176" i="48" s="1"/>
  <c r="AQ176" i="48" s="1"/>
  <c r="AQ153" i="48" s="1"/>
  <c r="AO1201" i="48"/>
  <c r="AP1201" i="48" s="1"/>
  <c r="AQ1201" i="48" s="1"/>
  <c r="AQ1178" i="48" s="1"/>
  <c r="AO626" i="48"/>
  <c r="AP626" i="48" s="1"/>
  <c r="AQ626" i="48" s="1"/>
  <c r="AQ603" i="48" s="1"/>
  <c r="AO926" i="48"/>
  <c r="AP926" i="48" s="1"/>
  <c r="AQ926" i="48" s="1"/>
  <c r="AQ903" i="48" s="1"/>
  <c r="AO1001" i="48"/>
  <c r="AP1001" i="48" s="1"/>
  <c r="AQ1001" i="48" s="1"/>
  <c r="AQ978" i="48" s="1"/>
  <c r="AO576" i="48"/>
  <c r="AP576" i="48" s="1"/>
  <c r="AQ576" i="48" s="1"/>
  <c r="AQ553" i="48" s="1"/>
  <c r="AO1151" i="48"/>
  <c r="AP1151" i="48" s="1"/>
  <c r="AQ1151" i="48" s="1"/>
  <c r="AQ1128" i="48" s="1"/>
  <c r="AO651" i="48"/>
  <c r="AP651" i="48" s="1"/>
  <c r="AQ651" i="48" s="1"/>
  <c r="AQ628" i="48" s="1"/>
  <c r="AO1251" i="48"/>
  <c r="AP1251" i="48" s="1"/>
  <c r="AQ1251" i="48" s="1"/>
  <c r="AQ1228" i="48" s="1"/>
  <c r="AO1301" i="48"/>
  <c r="AP1301" i="48" s="1"/>
  <c r="AQ1301" i="48" s="1"/>
  <c r="AQ1278" i="48" s="1"/>
  <c r="AO976" i="48"/>
  <c r="AP976" i="48" s="1"/>
  <c r="AQ976" i="48" s="1"/>
  <c r="AQ953" i="48" s="1"/>
  <c r="AO76" i="48"/>
  <c r="AP76" i="48" s="1"/>
  <c r="AQ76" i="48" s="1"/>
  <c r="AQ53" i="48" s="1"/>
  <c r="AO951" i="48"/>
  <c r="AP951" i="48" s="1"/>
  <c r="AQ951" i="48" s="1"/>
  <c r="AQ928" i="48" s="1"/>
  <c r="AO101" i="48"/>
  <c r="AP101" i="48" s="1"/>
  <c r="AQ101" i="48" s="1"/>
  <c r="AQ78" i="48" s="1"/>
  <c r="AO151" i="48"/>
  <c r="AP151" i="48" s="1"/>
  <c r="AQ151" i="48" s="1"/>
  <c r="AQ128" i="48" s="1"/>
  <c r="AO1101" i="48"/>
  <c r="AP1101" i="48" s="1"/>
  <c r="AQ1101" i="48" s="1"/>
  <c r="AQ1078" i="48" s="1"/>
  <c r="AO426" i="48"/>
  <c r="AP426" i="48" s="1"/>
  <c r="AQ426" i="48" s="1"/>
  <c r="AQ403" i="48" s="1"/>
  <c r="AO551" i="48"/>
  <c r="AP551" i="48" s="1"/>
  <c r="AQ551" i="48" s="1"/>
  <c r="AQ528" i="48" s="1"/>
  <c r="AO1351" i="48"/>
  <c r="AP1351" i="48" s="1"/>
  <c r="AQ1351" i="48" s="1"/>
  <c r="AQ1328" i="48" s="1"/>
  <c r="AO1226" i="48"/>
  <c r="AP1226" i="48" s="1"/>
  <c r="AQ1226" i="48" s="1"/>
  <c r="AQ1203" i="48" s="1"/>
  <c r="AO1326" i="48"/>
  <c r="AP1326" i="48" s="1"/>
  <c r="AQ1326" i="48" s="1"/>
  <c r="AQ1303" i="48" s="1"/>
  <c r="AO326" i="48"/>
  <c r="AP326" i="48" s="1"/>
  <c r="AQ326" i="48" s="1"/>
  <c r="AQ303" i="48" s="1"/>
  <c r="AO376" i="48"/>
  <c r="AP376" i="48" s="1"/>
  <c r="AQ376" i="48" s="1"/>
  <c r="AQ353" i="48" s="1"/>
  <c r="AO726" i="48"/>
  <c r="AP726" i="48" s="1"/>
  <c r="AQ726" i="48" s="1"/>
  <c r="AQ703" i="48" s="1"/>
  <c r="AO1276" i="48"/>
  <c r="AP1276" i="48" s="1"/>
  <c r="AQ1276" i="48" s="1"/>
  <c r="AQ1253" i="48" s="1"/>
  <c r="AO476" i="48"/>
  <c r="AP476" i="48" s="1"/>
  <c r="AQ476" i="48" s="1"/>
  <c r="AQ453" i="48" s="1"/>
  <c r="AO351" i="48"/>
  <c r="AP351" i="48" s="1"/>
  <c r="AQ351" i="48" s="1"/>
  <c r="AQ328" i="48" s="1"/>
  <c r="AO901" i="48"/>
  <c r="AP901" i="48" s="1"/>
  <c r="AQ901" i="48" s="1"/>
  <c r="AQ878" i="48" s="1"/>
  <c r="AO876" i="48"/>
  <c r="AP876" i="48" s="1"/>
  <c r="AQ876" i="48" s="1"/>
  <c r="AQ853" i="48" s="1"/>
  <c r="AO1076" i="48"/>
  <c r="AP1076" i="48" s="1"/>
  <c r="AQ1076" i="48" s="1"/>
  <c r="AQ1053" i="48" s="1"/>
  <c r="AO851" i="48"/>
  <c r="AP851" i="48" s="1"/>
  <c r="AQ851" i="48" s="1"/>
  <c r="AQ828" i="48" s="1"/>
  <c r="AO501" i="48"/>
  <c r="AP501" i="48" s="1"/>
  <c r="AQ501" i="48" s="1"/>
  <c r="AQ478" i="48" s="1"/>
  <c r="AO301" i="48"/>
  <c r="AP301" i="48" s="1"/>
  <c r="AQ301" i="48" s="1"/>
  <c r="AQ278" i="48" s="1"/>
  <c r="AO751" i="48"/>
  <c r="AP751" i="48" s="1"/>
  <c r="AQ751" i="48" s="1"/>
  <c r="AQ728" i="48" s="1"/>
  <c r="AO1126" i="48"/>
  <c r="AP1126" i="48" s="1"/>
  <c r="AQ1126" i="48" s="1"/>
  <c r="AQ1103" i="48" s="1"/>
  <c r="AO826" i="48"/>
  <c r="AP826" i="48" s="1"/>
  <c r="AQ826" i="48" s="1"/>
  <c r="AQ803" i="48" s="1"/>
  <c r="AO701" i="48"/>
  <c r="AP701" i="48" s="1"/>
  <c r="AQ701" i="48" s="1"/>
  <c r="AQ678" i="48" s="1"/>
  <c r="AO801" i="48"/>
  <c r="AP801" i="48" s="1"/>
  <c r="AQ801" i="48" s="1"/>
  <c r="AQ778" i="48" s="1"/>
  <c r="AO676" i="48"/>
  <c r="AO526" i="48"/>
  <c r="AP526" i="48" s="1"/>
  <c r="AQ526" i="48" s="1"/>
  <c r="AQ503" i="48" s="1"/>
  <c r="AO1051" i="48"/>
  <c r="AP1051" i="48" s="1"/>
  <c r="AQ1051" i="48" s="1"/>
  <c r="AQ1028" i="48" s="1"/>
  <c r="AO1026" i="48"/>
  <c r="AP1026" i="48" s="1"/>
  <c r="AQ1026" i="48" s="1"/>
  <c r="AQ1003" i="48" s="1"/>
  <c r="AO226" i="48"/>
  <c r="AP226" i="48" s="1"/>
  <c r="AQ226" i="48" s="1"/>
  <c r="AQ203" i="48" s="1"/>
  <c r="AO251" i="48"/>
  <c r="AP251" i="48" s="1"/>
  <c r="AQ251" i="48" s="1"/>
  <c r="AQ228" i="48" s="1"/>
  <c r="AU3" i="48" l="1"/>
  <c r="BD26" i="48"/>
  <c r="BE26" i="48" s="1"/>
  <c r="M251" i="48"/>
  <c r="M1301" i="48"/>
  <c r="M1001" i="48"/>
  <c r="M701" i="48"/>
  <c r="M801" i="48"/>
  <c r="M351" i="48"/>
  <c r="M926" i="48"/>
  <c r="M626" i="48"/>
  <c r="M176" i="48"/>
  <c r="AA526" i="48"/>
  <c r="M651" i="48"/>
  <c r="M951" i="48"/>
  <c r="M501" i="48"/>
  <c r="M326" i="48"/>
  <c r="M426" i="48"/>
  <c r="M726" i="48"/>
  <c r="M226" i="48"/>
  <c r="M1101" i="48"/>
  <c r="M1226" i="48"/>
  <c r="M376" i="48"/>
  <c r="M876" i="48"/>
  <c r="M851" i="48"/>
  <c r="M1276" i="48"/>
  <c r="M476" i="48"/>
  <c r="M151" i="48"/>
  <c r="M201" i="48"/>
  <c r="AA576" i="48"/>
  <c r="M576" i="48"/>
  <c r="AA76" i="48"/>
  <c r="M76" i="48"/>
  <c r="AA1051" i="48"/>
  <c r="M1051" i="48"/>
  <c r="AA1076" i="48"/>
  <c r="M1076" i="48"/>
  <c r="AA1201" i="48"/>
  <c r="M1201" i="48"/>
  <c r="AA676" i="48"/>
  <c r="M676" i="48"/>
  <c r="AA301" i="48"/>
  <c r="M301" i="48"/>
  <c r="AA1326" i="48"/>
  <c r="M1326" i="48"/>
  <c r="AA1177" i="48"/>
  <c r="AS1177" i="48"/>
  <c r="M1177" i="48"/>
  <c r="AA976" i="48"/>
  <c r="M976" i="48"/>
  <c r="AA1026" i="48"/>
  <c r="M1026" i="48"/>
  <c r="AA126" i="48"/>
  <c r="M126" i="48"/>
  <c r="AA1227" i="48"/>
  <c r="M1227" i="48"/>
  <c r="AA1352" i="48"/>
  <c r="M1352" i="48"/>
  <c r="T1177" i="48"/>
  <c r="AA1327" i="48"/>
  <c r="M1327" i="48"/>
  <c r="AA1351" i="48"/>
  <c r="M1351" i="48"/>
  <c r="AA451" i="48"/>
  <c r="M451" i="48"/>
  <c r="AA601" i="48"/>
  <c r="M601" i="48"/>
  <c r="AA1302" i="48"/>
  <c r="M1302" i="48"/>
  <c r="AA1202" i="48"/>
  <c r="M1202" i="48"/>
  <c r="T1327" i="48"/>
  <c r="T1302" i="48"/>
  <c r="AA551" i="48"/>
  <c r="M551" i="48"/>
  <c r="AA901" i="48"/>
  <c r="M901" i="48"/>
  <c r="AA401" i="48"/>
  <c r="M401" i="48"/>
  <c r="AA1277" i="48"/>
  <c r="M1277" i="48"/>
  <c r="AA26" i="48"/>
  <c r="M26" i="48"/>
  <c r="T26" i="48"/>
  <c r="AA51" i="48"/>
  <c r="AA101" i="48"/>
  <c r="M101" i="48"/>
  <c r="AA776" i="48"/>
  <c r="M776" i="48"/>
  <c r="AA276" i="48"/>
  <c r="AA1252" i="48"/>
  <c r="M1252" i="48"/>
  <c r="T1277" i="48"/>
  <c r="AQ669" i="48"/>
  <c r="AP670" i="48"/>
  <c r="AT26" i="48"/>
  <c r="AT27" i="48" s="1"/>
  <c r="O1351" i="48" l="1"/>
  <c r="N1351" i="48" s="1"/>
  <c r="O1352" i="48"/>
  <c r="O1252" i="48"/>
  <c r="O1277" i="48"/>
  <c r="O1327" i="48"/>
  <c r="O1326" i="48"/>
  <c r="N1326" i="48" s="1"/>
  <c r="O1226" i="48"/>
  <c r="N1226" i="48" s="1"/>
  <c r="O1302" i="48"/>
  <c r="O1276" i="48"/>
  <c r="N1276" i="48" s="1"/>
  <c r="O1177" i="48"/>
  <c r="O627" i="48"/>
  <c r="O352" i="48"/>
  <c r="O927" i="48"/>
  <c r="O852" i="48"/>
  <c r="O102" i="48"/>
  <c r="O402" i="48"/>
  <c r="O727" i="48"/>
  <c r="O1052" i="48"/>
  <c r="O1002" i="48"/>
  <c r="O677" i="48"/>
  <c r="O902" i="48"/>
  <c r="O802" i="48"/>
  <c r="O952" i="48"/>
  <c r="O577" i="48"/>
  <c r="O1027" i="48"/>
  <c r="O977" i="48"/>
  <c r="O152" i="48"/>
  <c r="O552" i="48"/>
  <c r="O752" i="48"/>
  <c r="O1077" i="48"/>
  <c r="O502" i="48"/>
  <c r="O127" i="48"/>
  <c r="O452" i="48"/>
  <c r="O1152" i="48"/>
  <c r="O327" i="48"/>
  <c r="O302" i="48"/>
  <c r="O777" i="48"/>
  <c r="O702" i="48"/>
  <c r="O477" i="48"/>
  <c r="O177" i="48"/>
  <c r="O1102" i="48"/>
  <c r="O202" i="48"/>
  <c r="O652" i="48"/>
  <c r="O877" i="48"/>
  <c r="O1127" i="48"/>
  <c r="O527" i="48"/>
  <c r="O227" i="48"/>
  <c r="O602" i="48"/>
  <c r="O252" i="48"/>
  <c r="O827" i="48"/>
  <c r="O377" i="48"/>
  <c r="O77" i="48"/>
  <c r="O427" i="48"/>
  <c r="O1251" i="48"/>
  <c r="N1251" i="48" s="1"/>
  <c r="O1201" i="48"/>
  <c r="N1201" i="48" s="1"/>
  <c r="V27" i="48"/>
  <c r="O1301" i="48"/>
  <c r="N1301" i="48" s="1"/>
  <c r="O1202" i="48"/>
  <c r="O1227" i="48"/>
  <c r="AC27" i="48"/>
  <c r="AP671" i="48"/>
  <c r="AQ670" i="48"/>
  <c r="N1352" i="48" l="1"/>
  <c r="N1227" i="48"/>
  <c r="N1277" i="48"/>
  <c r="N1252" i="48"/>
  <c r="N1302" i="48"/>
  <c r="N1327" i="48"/>
  <c r="N1202" i="48"/>
  <c r="AP672" i="48"/>
  <c r="AQ671" i="48"/>
  <c r="AP673" i="48" l="1"/>
  <c r="AQ672" i="48"/>
  <c r="Q1394" i="48"/>
  <c r="AP674" i="48" l="1"/>
  <c r="AQ673" i="48"/>
  <c r="AG11" i="48"/>
  <c r="AR736" i="48"/>
  <c r="AR1161" i="48"/>
  <c r="AA1136" i="48"/>
  <c r="H1459" i="48"/>
  <c r="J1459" i="48"/>
  <c r="Q1401" i="48"/>
  <c r="I1459" i="48"/>
  <c r="AA736" i="48" l="1"/>
  <c r="M736" i="48"/>
  <c r="AA1161" i="48"/>
  <c r="M1161" i="48"/>
  <c r="AP675" i="48"/>
  <c r="AQ674" i="48"/>
  <c r="T1272" i="48"/>
  <c r="Q1405" i="48"/>
  <c r="Q1397" i="48"/>
  <c r="K1459" i="48"/>
  <c r="T261" i="48"/>
  <c r="T1336" i="48"/>
  <c r="T561" i="48"/>
  <c r="T761" i="48"/>
  <c r="T886" i="48"/>
  <c r="T111" i="48"/>
  <c r="T1086" i="48"/>
  <c r="T1011" i="48"/>
  <c r="T461" i="48"/>
  <c r="T1186" i="48"/>
  <c r="T1161" i="48"/>
  <c r="T286" i="48"/>
  <c r="T1286" i="48"/>
  <c r="T186" i="48"/>
  <c r="T686" i="48"/>
  <c r="T386" i="48"/>
  <c r="T636" i="48"/>
  <c r="T786" i="48"/>
  <c r="T411" i="48"/>
  <c r="T36" i="48"/>
  <c r="T211" i="48"/>
  <c r="T1111" i="48"/>
  <c r="T361" i="48"/>
  <c r="T161" i="48"/>
  <c r="T611" i="48"/>
  <c r="T836" i="48"/>
  <c r="T661" i="48"/>
  <c r="T86" i="48"/>
  <c r="T336" i="48"/>
  <c r="T486" i="48"/>
  <c r="T1211" i="48"/>
  <c r="T811" i="48"/>
  <c r="T861" i="48"/>
  <c r="T961" i="48"/>
  <c r="T1236" i="48"/>
  <c r="T1136" i="48"/>
  <c r="T586" i="48"/>
  <c r="T1261" i="48"/>
  <c r="T511" i="48"/>
  <c r="T736" i="48"/>
  <c r="T986" i="48"/>
  <c r="T1061" i="48"/>
  <c r="T911" i="48"/>
  <c r="T136" i="48"/>
  <c r="T536" i="48"/>
  <c r="T711" i="48"/>
  <c r="T1036" i="48"/>
  <c r="T936" i="48"/>
  <c r="T236" i="48"/>
  <c r="T311" i="48"/>
  <c r="T1311" i="48"/>
  <c r="T61" i="48"/>
  <c r="T436" i="48"/>
  <c r="H1474" i="48"/>
  <c r="H1470" i="48"/>
  <c r="H1462" i="48"/>
  <c r="H1466" i="48"/>
  <c r="H1473" i="48"/>
  <c r="J1473" i="48"/>
  <c r="Q1404" i="48"/>
  <c r="J1469" i="48"/>
  <c r="H1469" i="48"/>
  <c r="J1465" i="48"/>
  <c r="H1465" i="48"/>
  <c r="Q1396" i="48"/>
  <c r="J1461" i="48"/>
  <c r="H1461" i="48"/>
  <c r="AR751" i="48"/>
  <c r="AR1176" i="48"/>
  <c r="AR743" i="48"/>
  <c r="AR1168" i="48"/>
  <c r="AR747" i="48"/>
  <c r="AR1172" i="48"/>
  <c r="J1474" i="48"/>
  <c r="J1470" i="48"/>
  <c r="J1466" i="48"/>
  <c r="J1462" i="48"/>
  <c r="AR739" i="48"/>
  <c r="AR1164" i="48"/>
  <c r="I1474" i="48"/>
  <c r="I1473" i="48"/>
  <c r="I1470" i="48"/>
  <c r="I1469" i="48"/>
  <c r="I1466" i="48"/>
  <c r="I1465" i="48"/>
  <c r="I1462" i="48"/>
  <c r="I1461" i="48"/>
  <c r="S1409" i="48"/>
  <c r="S1405" i="48"/>
  <c r="S1401" i="48"/>
  <c r="S1397" i="48"/>
  <c r="AC11" i="48" l="1"/>
  <c r="AB11" i="48" s="1"/>
  <c r="AA1168" i="48"/>
  <c r="M1168" i="48"/>
  <c r="O1161" i="48"/>
  <c r="N1161" i="48" s="1"/>
  <c r="O1136" i="48"/>
  <c r="N1136" i="48" s="1"/>
  <c r="O1061" i="48"/>
  <c r="N1061" i="48" s="1"/>
  <c r="O1011" i="48"/>
  <c r="N1011" i="48" s="1"/>
  <c r="O761" i="48"/>
  <c r="N761" i="48" s="1"/>
  <c r="O836" i="48"/>
  <c r="N836" i="48" s="1"/>
  <c r="O986" i="48"/>
  <c r="N986" i="48" s="1"/>
  <c r="O811" i="48"/>
  <c r="N811" i="48" s="1"/>
  <c r="O1036" i="48"/>
  <c r="N1036" i="48" s="1"/>
  <c r="O911" i="48"/>
  <c r="N911" i="48" s="1"/>
  <c r="O786" i="48"/>
  <c r="N786" i="48" s="1"/>
  <c r="O936" i="48"/>
  <c r="N936" i="48" s="1"/>
  <c r="O1111" i="48"/>
  <c r="N1111" i="48" s="1"/>
  <c r="O861" i="48"/>
  <c r="N861" i="48" s="1"/>
  <c r="O1086" i="48"/>
  <c r="N1086" i="48" s="1"/>
  <c r="O886" i="48"/>
  <c r="N886" i="48" s="1"/>
  <c r="O961" i="48"/>
  <c r="N961" i="48" s="1"/>
  <c r="AA1172" i="48"/>
  <c r="M1172" i="48"/>
  <c r="AA743" i="48"/>
  <c r="M743" i="48"/>
  <c r="AA1164" i="48"/>
  <c r="M1164" i="48"/>
  <c r="AA747" i="48"/>
  <c r="M747" i="48"/>
  <c r="O736" i="48"/>
  <c r="N736" i="48" s="1"/>
  <c r="O61" i="48"/>
  <c r="N61" i="48" s="1"/>
  <c r="O336" i="48"/>
  <c r="N336" i="48" s="1"/>
  <c r="O236" i="48"/>
  <c r="N236" i="48" s="1"/>
  <c r="O636" i="48"/>
  <c r="N636" i="48" s="1"/>
  <c r="O161" i="48"/>
  <c r="N161" i="48" s="1"/>
  <c r="O536" i="48"/>
  <c r="N536" i="48" s="1"/>
  <c r="O486" i="48"/>
  <c r="N486" i="48" s="1"/>
  <c r="O411" i="48"/>
  <c r="N411" i="48" s="1"/>
  <c r="O586" i="48"/>
  <c r="N586" i="48" s="1"/>
  <c r="O686" i="48"/>
  <c r="N686" i="48" s="1"/>
  <c r="O311" i="48"/>
  <c r="N311" i="48" s="1"/>
  <c r="O561" i="48"/>
  <c r="N561" i="48" s="1"/>
  <c r="O611" i="48"/>
  <c r="N611" i="48" s="1"/>
  <c r="O261" i="48"/>
  <c r="N261" i="48" s="1"/>
  <c r="O661" i="48"/>
  <c r="N661" i="48" s="1"/>
  <c r="O186" i="48"/>
  <c r="N186" i="48" s="1"/>
  <c r="O286" i="48"/>
  <c r="N286" i="48" s="1"/>
  <c r="O511" i="48"/>
  <c r="N511" i="48" s="1"/>
  <c r="O436" i="48"/>
  <c r="N436" i="48" s="1"/>
  <c r="O211" i="48"/>
  <c r="N211" i="48" s="1"/>
  <c r="O86" i="48"/>
  <c r="N86" i="48" s="1"/>
  <c r="O361" i="48"/>
  <c r="N361" i="48" s="1"/>
  <c r="O111" i="48"/>
  <c r="N111" i="48" s="1"/>
  <c r="O386" i="48"/>
  <c r="N386" i="48" s="1"/>
  <c r="O711" i="48"/>
  <c r="N711" i="48" s="1"/>
  <c r="O461" i="48"/>
  <c r="N461" i="48" s="1"/>
  <c r="O136" i="48"/>
  <c r="N136" i="48" s="1"/>
  <c r="AA751" i="48"/>
  <c r="M751" i="48"/>
  <c r="AA739" i="48"/>
  <c r="M739" i="48"/>
  <c r="AA1176" i="48"/>
  <c r="M1176" i="48"/>
  <c r="AQ675" i="48"/>
  <c r="AP676" i="48"/>
  <c r="AQ676" i="48" s="1"/>
  <c r="T1214" i="48"/>
  <c r="AS1272" i="48"/>
  <c r="AS1214" i="48"/>
  <c r="K1462" i="48"/>
  <c r="AG22" i="48"/>
  <c r="K1469" i="48"/>
  <c r="K1470" i="48"/>
  <c r="AG18" i="48"/>
  <c r="Q1400" i="48"/>
  <c r="O1459" i="48"/>
  <c r="I1479" i="48" s="1"/>
  <c r="J1479" i="48" s="1"/>
  <c r="K1479" i="48" s="1"/>
  <c r="AG26" i="48"/>
  <c r="Q1408" i="48"/>
  <c r="T1314" i="48"/>
  <c r="T1114" i="48"/>
  <c r="T164" i="48"/>
  <c r="T639" i="48"/>
  <c r="T139" i="48"/>
  <c r="T514" i="48"/>
  <c r="T314" i="48"/>
  <c r="T214" i="48"/>
  <c r="T1268" i="48"/>
  <c r="T1122" i="48"/>
  <c r="T1022" i="48"/>
  <c r="T922" i="48"/>
  <c r="T797" i="48"/>
  <c r="T697" i="48"/>
  <c r="T597" i="48"/>
  <c r="T122" i="48"/>
  <c r="T47" i="48"/>
  <c r="T447" i="48"/>
  <c r="T347" i="48"/>
  <c r="T247" i="48"/>
  <c r="T1218" i="48"/>
  <c r="T943" i="48"/>
  <c r="T843" i="48"/>
  <c r="T1118" i="48"/>
  <c r="T1018" i="48"/>
  <c r="T818" i="48"/>
  <c r="T718" i="48"/>
  <c r="T618" i="48"/>
  <c r="T168" i="48"/>
  <c r="T93" i="48"/>
  <c r="T493" i="48"/>
  <c r="T393" i="48"/>
  <c r="T293" i="48"/>
  <c r="K1465" i="48"/>
  <c r="T1039" i="48"/>
  <c r="T1339" i="48"/>
  <c r="T72" i="48"/>
  <c r="T1014" i="48"/>
  <c r="T914" i="48"/>
  <c r="T739" i="48"/>
  <c r="T539" i="48"/>
  <c r="T414" i="48"/>
  <c r="T1293" i="48"/>
  <c r="T1318" i="48"/>
  <c r="T1343" i="48"/>
  <c r="T1222" i="48"/>
  <c r="T1189" i="48"/>
  <c r="T1089" i="48"/>
  <c r="T989" i="48"/>
  <c r="T889" i="48"/>
  <c r="T814" i="48"/>
  <c r="T714" i="48"/>
  <c r="T614" i="48"/>
  <c r="T64" i="48"/>
  <c r="T89" i="48"/>
  <c r="T489" i="48"/>
  <c r="T389" i="48"/>
  <c r="T289" i="48"/>
  <c r="T822" i="48"/>
  <c r="K1474" i="48"/>
  <c r="T1197" i="48"/>
  <c r="T1097" i="48"/>
  <c r="T997" i="48"/>
  <c r="T897" i="48"/>
  <c r="T772" i="48"/>
  <c r="T672" i="48"/>
  <c r="T572" i="48"/>
  <c r="T522" i="48"/>
  <c r="T422" i="48"/>
  <c r="T322" i="48"/>
  <c r="T222" i="48"/>
  <c r="T1239" i="48"/>
  <c r="T918" i="48"/>
  <c r="T1193" i="48"/>
  <c r="T1093" i="48"/>
  <c r="T993" i="48"/>
  <c r="T793" i="48"/>
  <c r="T693" i="48"/>
  <c r="T593" i="48"/>
  <c r="T68" i="48"/>
  <c r="T43" i="48"/>
  <c r="T468" i="48"/>
  <c r="T368" i="48"/>
  <c r="T268" i="48"/>
  <c r="K1461" i="48"/>
  <c r="K1473" i="48"/>
  <c r="T1264" i="48"/>
  <c r="T1139" i="48"/>
  <c r="AA1139" i="48"/>
  <c r="T939" i="48"/>
  <c r="T839" i="48"/>
  <c r="T764" i="48"/>
  <c r="T664" i="48"/>
  <c r="T564" i="48"/>
  <c r="T189" i="48"/>
  <c r="T439" i="48"/>
  <c r="T339" i="48"/>
  <c r="T239" i="48"/>
  <c r="K1466" i="48"/>
  <c r="T1247" i="48"/>
  <c r="T1147" i="48"/>
  <c r="AA1147" i="48"/>
  <c r="T1047" i="48"/>
  <c r="T947" i="48"/>
  <c r="T847" i="48"/>
  <c r="T722" i="48"/>
  <c r="T622" i="48"/>
  <c r="T172" i="48"/>
  <c r="T97" i="48"/>
  <c r="T472" i="48"/>
  <c r="T372" i="48"/>
  <c r="T272" i="48"/>
  <c r="T1289" i="48"/>
  <c r="T868" i="48"/>
  <c r="T1143" i="48"/>
  <c r="AA1143" i="48"/>
  <c r="T1043" i="48"/>
  <c r="T118" i="48"/>
  <c r="T743" i="48"/>
  <c r="T643" i="48"/>
  <c r="T543" i="48"/>
  <c r="T143" i="48"/>
  <c r="T518" i="48"/>
  <c r="T418" i="48"/>
  <c r="T318" i="48"/>
  <c r="T218" i="48"/>
  <c r="T1297" i="48"/>
  <c r="T1322" i="48"/>
  <c r="T1347" i="48"/>
  <c r="T1243" i="48"/>
  <c r="T1164" i="48"/>
  <c r="T1064" i="48"/>
  <c r="T964" i="48"/>
  <c r="T864" i="48"/>
  <c r="T789" i="48"/>
  <c r="T689" i="48"/>
  <c r="T589" i="48"/>
  <c r="T114" i="48"/>
  <c r="T39" i="48"/>
  <c r="T464" i="48"/>
  <c r="T364" i="48"/>
  <c r="T264" i="48"/>
  <c r="T1172" i="48"/>
  <c r="T1072" i="48"/>
  <c r="T972" i="48"/>
  <c r="T872" i="48"/>
  <c r="T747" i="48"/>
  <c r="T647" i="48"/>
  <c r="T547" i="48"/>
  <c r="T147" i="48"/>
  <c r="T497" i="48"/>
  <c r="T397" i="48"/>
  <c r="T297" i="48"/>
  <c r="T197" i="48"/>
  <c r="T893" i="48"/>
  <c r="T1168" i="48"/>
  <c r="T1068" i="48"/>
  <c r="T968" i="48"/>
  <c r="T768" i="48"/>
  <c r="T668" i="48"/>
  <c r="T568" i="48"/>
  <c r="T193" i="48"/>
  <c r="T443" i="48"/>
  <c r="T343" i="48"/>
  <c r="T243" i="48"/>
  <c r="V11" i="48"/>
  <c r="U11" i="48" s="1"/>
  <c r="T1351" i="48"/>
  <c r="T926" i="48"/>
  <c r="T826" i="48"/>
  <c r="T1126" i="48"/>
  <c r="T1026" i="48"/>
  <c r="T801" i="48"/>
  <c r="T701" i="48"/>
  <c r="T601" i="48"/>
  <c r="T126" i="48"/>
  <c r="T101" i="48"/>
  <c r="T476" i="48"/>
  <c r="T376" i="48"/>
  <c r="T276" i="48"/>
  <c r="T1326" i="48"/>
  <c r="T1276" i="48"/>
  <c r="T901" i="48"/>
  <c r="T1201" i="48"/>
  <c r="T1101" i="48"/>
  <c r="T1001" i="48"/>
  <c r="T776" i="48"/>
  <c r="T676" i="48"/>
  <c r="T576" i="48"/>
  <c r="T176" i="48"/>
  <c r="T51" i="48"/>
  <c r="T451" i="48"/>
  <c r="T351" i="48"/>
  <c r="T251" i="48"/>
  <c r="T1301" i="48"/>
  <c r="T1251" i="48"/>
  <c r="T876" i="48"/>
  <c r="T1176" i="48"/>
  <c r="T1076" i="48"/>
  <c r="T976" i="48"/>
  <c r="T751" i="48"/>
  <c r="T651" i="48"/>
  <c r="T551" i="48"/>
  <c r="T76" i="48"/>
  <c r="T426" i="48"/>
  <c r="T326" i="48"/>
  <c r="T226" i="48"/>
  <c r="T1226" i="48"/>
  <c r="T851" i="48"/>
  <c r="T1151" i="48"/>
  <c r="AA1151" i="48"/>
  <c r="T1051" i="48"/>
  <c r="T951" i="48"/>
  <c r="T726" i="48"/>
  <c r="T626" i="48"/>
  <c r="T526" i="48"/>
  <c r="T151" i="48"/>
  <c r="T501" i="48"/>
  <c r="T401" i="48"/>
  <c r="T301" i="48"/>
  <c r="T201" i="48"/>
  <c r="AS1139" i="48"/>
  <c r="AS664" i="48"/>
  <c r="AS1339" i="48"/>
  <c r="AS1114" i="48"/>
  <c r="AS914" i="48"/>
  <c r="AS739" i="48"/>
  <c r="AS139" i="48"/>
  <c r="AS414" i="48"/>
  <c r="AS214" i="48"/>
  <c r="AS1268" i="48"/>
  <c r="AS1293" i="48"/>
  <c r="AS1343" i="48"/>
  <c r="AS1222" i="48"/>
  <c r="AS1089" i="48"/>
  <c r="AS989" i="48"/>
  <c r="AS814" i="48"/>
  <c r="AS714" i="48"/>
  <c r="AS614" i="48"/>
  <c r="AS64" i="48"/>
  <c r="AS89" i="48"/>
  <c r="AS489" i="48"/>
  <c r="AS389" i="48"/>
  <c r="AS289" i="48"/>
  <c r="AS822" i="48"/>
  <c r="AS1197" i="48"/>
  <c r="AS1097" i="48"/>
  <c r="AS997" i="48"/>
  <c r="AS897" i="48"/>
  <c r="AS772" i="48"/>
  <c r="AS672" i="48"/>
  <c r="AS572" i="48"/>
  <c r="AS522" i="48"/>
  <c r="AS422" i="48"/>
  <c r="AS322" i="48"/>
  <c r="AS222" i="48"/>
  <c r="AS1251" i="48"/>
  <c r="AS893" i="48"/>
  <c r="AS1168" i="48"/>
  <c r="AS1068" i="48"/>
  <c r="AS968" i="48"/>
  <c r="AS768" i="48"/>
  <c r="AS668" i="48"/>
  <c r="AS568" i="48"/>
  <c r="AS193" i="48"/>
  <c r="AS443" i="48"/>
  <c r="AS343" i="48"/>
  <c r="AS243" i="48"/>
  <c r="AS876" i="48"/>
  <c r="AS1176" i="48"/>
  <c r="AS1076" i="48"/>
  <c r="AS976" i="48"/>
  <c r="AS751" i="48"/>
  <c r="AS651" i="48"/>
  <c r="AS551" i="48"/>
  <c r="AS76" i="48"/>
  <c r="AS426" i="48"/>
  <c r="AS326" i="48"/>
  <c r="AS226" i="48"/>
  <c r="AS1351" i="48"/>
  <c r="AS939" i="48"/>
  <c r="AS764" i="48"/>
  <c r="AS1314" i="48"/>
  <c r="AS1276" i="48"/>
  <c r="AS1014" i="48"/>
  <c r="AS164" i="48"/>
  <c r="AS539" i="48"/>
  <c r="AS514" i="48"/>
  <c r="AS1022" i="48"/>
  <c r="AS1318" i="48"/>
  <c r="AS1189" i="48"/>
  <c r="AS889" i="48"/>
  <c r="AS1297" i="48"/>
  <c r="AS1322" i="48"/>
  <c r="AS1347" i="48"/>
  <c r="AS1243" i="48"/>
  <c r="AS1164" i="48"/>
  <c r="AS1064" i="48"/>
  <c r="AS964" i="48"/>
  <c r="AS864" i="48"/>
  <c r="AS789" i="48"/>
  <c r="AS689" i="48"/>
  <c r="AS589" i="48"/>
  <c r="AS114" i="48"/>
  <c r="AS464" i="48"/>
  <c r="AS364" i="48"/>
  <c r="AS264" i="48"/>
  <c r="AS1226" i="48"/>
  <c r="AS1172" i="48"/>
  <c r="AS1072" i="48"/>
  <c r="AS972" i="48"/>
  <c r="AS872" i="48"/>
  <c r="AS747" i="48"/>
  <c r="AS647" i="48"/>
  <c r="AS547" i="48"/>
  <c r="AS147" i="48"/>
  <c r="AS497" i="48"/>
  <c r="AS397" i="48"/>
  <c r="AS297" i="48"/>
  <c r="AS197" i="48"/>
  <c r="AS1289" i="48"/>
  <c r="AS868" i="48"/>
  <c r="AS1143" i="48"/>
  <c r="AS1043" i="48"/>
  <c r="AS118" i="48"/>
  <c r="AS743" i="48"/>
  <c r="AS643" i="48"/>
  <c r="AS543" i="48"/>
  <c r="AS143" i="48"/>
  <c r="AS518" i="48"/>
  <c r="AS418" i="48"/>
  <c r="AS318" i="48"/>
  <c r="AS218" i="48"/>
  <c r="AS851" i="48"/>
  <c r="AS1151" i="48"/>
  <c r="AS1051" i="48"/>
  <c r="AS951" i="48"/>
  <c r="AS726" i="48"/>
  <c r="AS626" i="48"/>
  <c r="AS526" i="48"/>
  <c r="AS151" i="48"/>
  <c r="AS501" i="48"/>
  <c r="AS401" i="48"/>
  <c r="AS301" i="48"/>
  <c r="AS201" i="48"/>
  <c r="AS1301" i="48"/>
  <c r="AS1039" i="48"/>
  <c r="AS839" i="48"/>
  <c r="AS564" i="48"/>
  <c r="AS189" i="48"/>
  <c r="AS439" i="48"/>
  <c r="AS339" i="48"/>
  <c r="AS239" i="48"/>
  <c r="AS1247" i="48"/>
  <c r="AS1147" i="48"/>
  <c r="AS1047" i="48"/>
  <c r="AS947" i="48"/>
  <c r="AS847" i="48"/>
  <c r="AS722" i="48"/>
  <c r="AS622" i="48"/>
  <c r="AS172" i="48"/>
  <c r="AS97" i="48"/>
  <c r="AS472" i="48"/>
  <c r="AS372" i="48"/>
  <c r="AS272" i="48"/>
  <c r="AS1218" i="48"/>
  <c r="AS943" i="48"/>
  <c r="AS843" i="48"/>
  <c r="AS1118" i="48"/>
  <c r="AS1018" i="48"/>
  <c r="AS818" i="48"/>
  <c r="AS718" i="48"/>
  <c r="AS618" i="48"/>
  <c r="AS168" i="48"/>
  <c r="AS93" i="48"/>
  <c r="AS493" i="48"/>
  <c r="AS393" i="48"/>
  <c r="AS293" i="48"/>
  <c r="AS926" i="48"/>
  <c r="AS826" i="48"/>
  <c r="AS1126" i="48"/>
  <c r="AS1026" i="48"/>
  <c r="AS801" i="48"/>
  <c r="AS701" i="48"/>
  <c r="AS601" i="48"/>
  <c r="AS126" i="48"/>
  <c r="AS101" i="48"/>
  <c r="AS476" i="48"/>
  <c r="AS376" i="48"/>
  <c r="AS1326" i="48"/>
  <c r="AS1264" i="48"/>
  <c r="AS72" i="48"/>
  <c r="AS639" i="48"/>
  <c r="AS314" i="48"/>
  <c r="AS1122" i="48"/>
  <c r="AS922" i="48"/>
  <c r="AS797" i="48"/>
  <c r="AS697" i="48"/>
  <c r="AS597" i="48"/>
  <c r="AS122" i="48"/>
  <c r="AS447" i="48"/>
  <c r="AS347" i="48"/>
  <c r="AS247" i="48"/>
  <c r="AS1239" i="48"/>
  <c r="AS918" i="48"/>
  <c r="AS1193" i="48"/>
  <c r="AS1093" i="48"/>
  <c r="AS993" i="48"/>
  <c r="AS793" i="48"/>
  <c r="AS693" i="48"/>
  <c r="AS593" i="48"/>
  <c r="AS68" i="48"/>
  <c r="AS468" i="48"/>
  <c r="AS368" i="48"/>
  <c r="AS268" i="48"/>
  <c r="AS901" i="48"/>
  <c r="AS1201" i="48"/>
  <c r="AS1101" i="48"/>
  <c r="AS1001" i="48"/>
  <c r="AS776" i="48"/>
  <c r="AS676" i="48"/>
  <c r="AS576" i="48"/>
  <c r="AS176" i="48"/>
  <c r="AS451" i="48"/>
  <c r="AS351" i="48"/>
  <c r="AS251" i="48"/>
  <c r="AR738" i="48"/>
  <c r="AR1163" i="48"/>
  <c r="AR750" i="48"/>
  <c r="AR1175" i="48"/>
  <c r="Q1395" i="48"/>
  <c r="I1460" i="48"/>
  <c r="H1460" i="48"/>
  <c r="J1460" i="48"/>
  <c r="S1395" i="48"/>
  <c r="Q1398" i="48"/>
  <c r="I1463" i="48"/>
  <c r="J1463" i="48"/>
  <c r="H1463" i="48"/>
  <c r="S1398" i="48"/>
  <c r="Q1407" i="48"/>
  <c r="I1472" i="48"/>
  <c r="J1472" i="48"/>
  <c r="H1472" i="48"/>
  <c r="S1407" i="48"/>
  <c r="AR746" i="48"/>
  <c r="AR1171" i="48"/>
  <c r="AG14" i="48"/>
  <c r="Q1399" i="48"/>
  <c r="I1464" i="48"/>
  <c r="H1464" i="48"/>
  <c r="J1464" i="48"/>
  <c r="S1399" i="48"/>
  <c r="I1467" i="48"/>
  <c r="J1467" i="48"/>
  <c r="S1402" i="48"/>
  <c r="H1467" i="48"/>
  <c r="Q1402" i="48"/>
  <c r="S1408" i="48"/>
  <c r="AR742" i="48"/>
  <c r="AR1167" i="48"/>
  <c r="I1468" i="48"/>
  <c r="H1468" i="48"/>
  <c r="J1468" i="48"/>
  <c r="S1403" i="48"/>
  <c r="Q1406" i="48"/>
  <c r="I1471" i="48"/>
  <c r="S1406" i="48"/>
  <c r="J1471" i="48"/>
  <c r="H1471" i="48"/>
  <c r="S1396" i="48"/>
  <c r="S1400" i="48"/>
  <c r="S1404" i="48"/>
  <c r="O1462" i="48" l="1"/>
  <c r="AA1171" i="48"/>
  <c r="M1171" i="48"/>
  <c r="O1176" i="48"/>
  <c r="O1076" i="48"/>
  <c r="O1051" i="48"/>
  <c r="O1101" i="48"/>
  <c r="O1126" i="48"/>
  <c r="O951" i="48"/>
  <c r="O876" i="48"/>
  <c r="O1151" i="48"/>
  <c r="O1001" i="48"/>
  <c r="O926" i="48"/>
  <c r="O801" i="48"/>
  <c r="O851" i="48"/>
  <c r="O826" i="48"/>
  <c r="O776" i="48"/>
  <c r="O1026" i="48"/>
  <c r="O901" i="48"/>
  <c r="O976" i="48"/>
  <c r="O726" i="48"/>
  <c r="O751" i="48"/>
  <c r="O176" i="48"/>
  <c r="O676" i="48"/>
  <c r="O651" i="48"/>
  <c r="O451" i="48"/>
  <c r="O351" i="48"/>
  <c r="O701" i="48"/>
  <c r="O626" i="48"/>
  <c r="O151" i="48"/>
  <c r="O226" i="48"/>
  <c r="O326" i="48"/>
  <c r="O101" i="48"/>
  <c r="O376" i="48"/>
  <c r="O201" i="48"/>
  <c r="O576" i="48"/>
  <c r="O401" i="48"/>
  <c r="O76" i="48"/>
  <c r="O126" i="48"/>
  <c r="O426" i="48"/>
  <c r="O251" i="48"/>
  <c r="O526" i="48"/>
  <c r="O476" i="48"/>
  <c r="O501" i="48"/>
  <c r="O601" i="48"/>
  <c r="O301" i="48"/>
  <c r="O551" i="48"/>
  <c r="O747" i="48"/>
  <c r="O397" i="48"/>
  <c r="O272" i="48"/>
  <c r="O422" i="48"/>
  <c r="O472" i="48"/>
  <c r="O222" i="48"/>
  <c r="O172" i="48"/>
  <c r="O522" i="48"/>
  <c r="O147" i="48"/>
  <c r="O547" i="48"/>
  <c r="O372" i="48"/>
  <c r="O647" i="48"/>
  <c r="O122" i="48"/>
  <c r="O572" i="48"/>
  <c r="O622" i="48"/>
  <c r="O197" i="48"/>
  <c r="O97" i="48"/>
  <c r="O497" i="48"/>
  <c r="O297" i="48"/>
  <c r="O722" i="48"/>
  <c r="O672" i="48"/>
  <c r="O247" i="48"/>
  <c r="O447" i="48"/>
  <c r="O322" i="48"/>
  <c r="O597" i="48"/>
  <c r="O72" i="48"/>
  <c r="O697" i="48"/>
  <c r="O347" i="48"/>
  <c r="O718" i="48"/>
  <c r="O743" i="48"/>
  <c r="O668" i="48"/>
  <c r="O118" i="48"/>
  <c r="O468" i="48"/>
  <c r="O518" i="48"/>
  <c r="O243" i="48"/>
  <c r="O143" i="48"/>
  <c r="O693" i="48"/>
  <c r="O168" i="48"/>
  <c r="O93" i="48"/>
  <c r="O193" i="48"/>
  <c r="O293" i="48"/>
  <c r="O318" i="48"/>
  <c r="O418" i="48"/>
  <c r="O268" i="48"/>
  <c r="O343" i="48"/>
  <c r="O393" i="48"/>
  <c r="O493" i="48"/>
  <c r="O643" i="48"/>
  <c r="O568" i="48"/>
  <c r="O543" i="48"/>
  <c r="O618" i="48"/>
  <c r="O368" i="48"/>
  <c r="O593" i="48"/>
  <c r="O68" i="48"/>
  <c r="O443" i="48"/>
  <c r="O218" i="48"/>
  <c r="AA1167" i="48"/>
  <c r="M1167" i="48"/>
  <c r="AA1163" i="48"/>
  <c r="M1163" i="48"/>
  <c r="O1168" i="48"/>
  <c r="O1143" i="48"/>
  <c r="O968" i="48"/>
  <c r="O793" i="48"/>
  <c r="O993" i="48"/>
  <c r="O1118" i="48"/>
  <c r="O1043" i="48"/>
  <c r="O943" i="48"/>
  <c r="O893" i="48"/>
  <c r="O868" i="48"/>
  <c r="O768" i="48"/>
  <c r="O1093" i="48"/>
  <c r="O818" i="48"/>
  <c r="O918" i="48"/>
  <c r="O1068" i="48"/>
  <c r="O1018" i="48"/>
  <c r="O843" i="48"/>
  <c r="AA750" i="48"/>
  <c r="M750" i="48"/>
  <c r="AA746" i="48"/>
  <c r="M746" i="48"/>
  <c r="AA742" i="48"/>
  <c r="M742" i="48"/>
  <c r="AA1175" i="48"/>
  <c r="M1175" i="48"/>
  <c r="AA738" i="48"/>
  <c r="M738" i="48"/>
  <c r="O564" i="48"/>
  <c r="O739" i="48"/>
  <c r="O589" i="48"/>
  <c r="O339" i="48"/>
  <c r="O439" i="48"/>
  <c r="O189" i="48"/>
  <c r="O289" i="48"/>
  <c r="O689" i="48"/>
  <c r="O389" i="48"/>
  <c r="O639" i="48"/>
  <c r="O364" i="48"/>
  <c r="O714" i="48"/>
  <c r="O139" i="48"/>
  <c r="O89" i="48"/>
  <c r="O539" i="48"/>
  <c r="O489" i="48"/>
  <c r="O664" i="48"/>
  <c r="O314" i="48"/>
  <c r="O164" i="48"/>
  <c r="O239" i="48"/>
  <c r="O264" i="48"/>
  <c r="O614" i="48"/>
  <c r="O414" i="48"/>
  <c r="O114" i="48"/>
  <c r="O464" i="48"/>
  <c r="O214" i="48"/>
  <c r="O64" i="48"/>
  <c r="O514" i="48"/>
  <c r="O1039" i="48"/>
  <c r="O1164" i="48"/>
  <c r="O1139" i="48"/>
  <c r="O1014" i="48"/>
  <c r="O939" i="48"/>
  <c r="O1064" i="48"/>
  <c r="O1089" i="48"/>
  <c r="O839" i="48"/>
  <c r="O814" i="48"/>
  <c r="O989" i="48"/>
  <c r="O889" i="48"/>
  <c r="O764" i="48"/>
  <c r="O1114" i="48"/>
  <c r="O964" i="48"/>
  <c r="O789" i="48"/>
  <c r="O914" i="48"/>
  <c r="O864" i="48"/>
  <c r="O1097" i="48"/>
  <c r="O1172" i="48"/>
  <c r="O1147" i="48"/>
  <c r="O1072" i="48"/>
  <c r="O872" i="48"/>
  <c r="O847" i="48"/>
  <c r="O772" i="48"/>
  <c r="O822" i="48"/>
  <c r="O897" i="48"/>
  <c r="O972" i="48"/>
  <c r="O797" i="48"/>
  <c r="O922" i="48"/>
  <c r="O1022" i="48"/>
  <c r="O1122" i="48"/>
  <c r="O997" i="48"/>
  <c r="O947" i="48"/>
  <c r="O1047" i="48"/>
  <c r="AQ653" i="48"/>
  <c r="O1470" i="48"/>
  <c r="V18" i="48"/>
  <c r="K1463" i="48"/>
  <c r="O1463" i="48" s="1"/>
  <c r="K1460" i="48"/>
  <c r="O1461" i="48" s="1"/>
  <c r="O1474" i="48"/>
  <c r="AC18" i="48"/>
  <c r="V14" i="48"/>
  <c r="V22" i="48"/>
  <c r="AG21" i="48"/>
  <c r="Q1403" i="48"/>
  <c r="K1468" i="48"/>
  <c r="O1469" i="48" s="1"/>
  <c r="O1466" i="48"/>
  <c r="V26" i="48"/>
  <c r="T1167" i="48"/>
  <c r="T1067" i="48"/>
  <c r="T442" i="48"/>
  <c r="T642" i="48"/>
  <c r="T542" i="48"/>
  <c r="T367" i="48"/>
  <c r="T167" i="48"/>
  <c r="T1021" i="48"/>
  <c r="T621" i="48"/>
  <c r="T188" i="48"/>
  <c r="T1342" i="48"/>
  <c r="T1042" i="48"/>
  <c r="T717" i="48"/>
  <c r="T342" i="48"/>
  <c r="T1096" i="48"/>
  <c r="T696" i="48"/>
  <c r="T371" i="48"/>
  <c r="T271" i="48"/>
  <c r="T146" i="48"/>
  <c r="T1325" i="48"/>
  <c r="T1225" i="48"/>
  <c r="T1125" i="48"/>
  <c r="T1025" i="48"/>
  <c r="T400" i="48"/>
  <c r="T850" i="48"/>
  <c r="T200" i="48"/>
  <c r="T225" i="48"/>
  <c r="T750" i="48"/>
  <c r="T650" i="48"/>
  <c r="T550" i="48"/>
  <c r="T425" i="48"/>
  <c r="T125" i="48"/>
  <c r="T1263" i="48"/>
  <c r="T1163" i="48"/>
  <c r="T1063" i="48"/>
  <c r="T963" i="48"/>
  <c r="T863" i="48"/>
  <c r="T88" i="48"/>
  <c r="T738" i="48"/>
  <c r="T638" i="48"/>
  <c r="T538" i="48"/>
  <c r="T113" i="48"/>
  <c r="T438" i="48"/>
  <c r="T338" i="48"/>
  <c r="T238" i="48"/>
  <c r="AC14" i="48"/>
  <c r="AC22" i="48"/>
  <c r="T1267" i="48"/>
  <c r="T967" i="48"/>
  <c r="T867" i="48"/>
  <c r="T742" i="48"/>
  <c r="T267" i="48"/>
  <c r="T67" i="48"/>
  <c r="T1221" i="48"/>
  <c r="T71" i="48"/>
  <c r="T721" i="48"/>
  <c r="T396" i="48"/>
  <c r="T196" i="48"/>
  <c r="T1350" i="48"/>
  <c r="T1150" i="48"/>
  <c r="AA1150" i="48"/>
  <c r="T950" i="48"/>
  <c r="T250" i="48"/>
  <c r="T275" i="48"/>
  <c r="T575" i="48"/>
  <c r="T150" i="48"/>
  <c r="T1188" i="48"/>
  <c r="T988" i="48"/>
  <c r="T763" i="48"/>
  <c r="T563" i="48"/>
  <c r="T463" i="48"/>
  <c r="T263" i="48"/>
  <c r="AC26" i="48"/>
  <c r="T1242" i="48"/>
  <c r="T1142" i="48"/>
  <c r="AA1142" i="48"/>
  <c r="T942" i="48"/>
  <c r="T842" i="48"/>
  <c r="T817" i="48"/>
  <c r="T617" i="48"/>
  <c r="T517" i="48"/>
  <c r="T242" i="48"/>
  <c r="T142" i="48"/>
  <c r="T42" i="48"/>
  <c r="T1296" i="48"/>
  <c r="T896" i="48"/>
  <c r="T796" i="48"/>
  <c r="T471" i="48"/>
  <c r="T1317" i="48"/>
  <c r="T1217" i="48"/>
  <c r="T1117" i="48"/>
  <c r="T1017" i="48"/>
  <c r="T917" i="48"/>
  <c r="T492" i="48"/>
  <c r="T792" i="48"/>
  <c r="T692" i="48"/>
  <c r="T592" i="48"/>
  <c r="T467" i="48"/>
  <c r="T317" i="48"/>
  <c r="T217" i="48"/>
  <c r="T117" i="48"/>
  <c r="K1464" i="48"/>
  <c r="O1465" i="48" s="1"/>
  <c r="T1271" i="48"/>
  <c r="T1171" i="48"/>
  <c r="T1071" i="48"/>
  <c r="T971" i="48"/>
  <c r="T871" i="48"/>
  <c r="T496" i="48"/>
  <c r="T771" i="48"/>
  <c r="T671" i="48"/>
  <c r="T571" i="48"/>
  <c r="T446" i="48"/>
  <c r="T346" i="48"/>
  <c r="T246" i="48"/>
  <c r="T96" i="48"/>
  <c r="T1300" i="48"/>
  <c r="T1200" i="48"/>
  <c r="T1100" i="48"/>
  <c r="T1000" i="48"/>
  <c r="T925" i="48"/>
  <c r="T350" i="48"/>
  <c r="T450" i="48"/>
  <c r="T825" i="48"/>
  <c r="T725" i="48"/>
  <c r="T625" i="48"/>
  <c r="T525" i="48"/>
  <c r="T375" i="48"/>
  <c r="T100" i="48"/>
  <c r="T1338" i="48"/>
  <c r="T1238" i="48"/>
  <c r="T1138" i="48"/>
  <c r="AA1138" i="48"/>
  <c r="T1038" i="48"/>
  <c r="T938" i="48"/>
  <c r="T838" i="48"/>
  <c r="T813" i="48"/>
  <c r="T713" i="48"/>
  <c r="T613" i="48"/>
  <c r="T138" i="48"/>
  <c r="T63" i="48"/>
  <c r="T413" i="48"/>
  <c r="T313" i="48"/>
  <c r="T213" i="48"/>
  <c r="T1321" i="48"/>
  <c r="T1121" i="48"/>
  <c r="T921" i="48"/>
  <c r="T821" i="48"/>
  <c r="T121" i="48"/>
  <c r="T296" i="48"/>
  <c r="T1250" i="48"/>
  <c r="T1050" i="48"/>
  <c r="T875" i="48"/>
  <c r="T775" i="48"/>
  <c r="T675" i="48"/>
  <c r="T475" i="48"/>
  <c r="T50" i="48"/>
  <c r="T1288" i="48"/>
  <c r="T1088" i="48"/>
  <c r="T888" i="48"/>
  <c r="T663" i="48"/>
  <c r="T163" i="48"/>
  <c r="T363" i="48"/>
  <c r="T1196" i="48"/>
  <c r="T996" i="48"/>
  <c r="T521" i="48"/>
  <c r="T596" i="48"/>
  <c r="K1471" i="48"/>
  <c r="O1471" i="48" s="1"/>
  <c r="T1292" i="48"/>
  <c r="T1192" i="48"/>
  <c r="T1092" i="48"/>
  <c r="T992" i="48"/>
  <c r="T892" i="48"/>
  <c r="T392" i="48"/>
  <c r="T767" i="48"/>
  <c r="T667" i="48"/>
  <c r="T567" i="48"/>
  <c r="T417" i="48"/>
  <c r="T292" i="48"/>
  <c r="T192" i="48"/>
  <c r="T92" i="48"/>
  <c r="K1467" i="48"/>
  <c r="T1346" i="48"/>
  <c r="T1246" i="48"/>
  <c r="T1146" i="48"/>
  <c r="AA1146" i="48"/>
  <c r="T1046" i="48"/>
  <c r="T946" i="48"/>
  <c r="T846" i="48"/>
  <c r="T171" i="48"/>
  <c r="T746" i="48"/>
  <c r="T646" i="48"/>
  <c r="T546" i="48"/>
  <c r="T421" i="48"/>
  <c r="T321" i="48"/>
  <c r="T221" i="48"/>
  <c r="T46" i="48"/>
  <c r="K1472" i="48"/>
  <c r="O1473" i="48" s="1"/>
  <c r="T1275" i="48"/>
  <c r="T1175" i="48"/>
  <c r="T1075" i="48"/>
  <c r="T975" i="48"/>
  <c r="T900" i="48"/>
  <c r="T300" i="48"/>
  <c r="T325" i="48"/>
  <c r="T800" i="48"/>
  <c r="T700" i="48"/>
  <c r="T600" i="48"/>
  <c r="T500" i="48"/>
  <c r="T175" i="48"/>
  <c r="T75" i="48"/>
  <c r="T1313" i="48"/>
  <c r="T1213" i="48"/>
  <c r="T1113" i="48"/>
  <c r="T1013" i="48"/>
  <c r="T913" i="48"/>
  <c r="T513" i="48"/>
  <c r="T788" i="48"/>
  <c r="T688" i="48"/>
  <c r="T588" i="48"/>
  <c r="T38" i="48"/>
  <c r="T488" i="48"/>
  <c r="T388" i="48"/>
  <c r="T288" i="48"/>
  <c r="AS1292" i="48"/>
  <c r="AS1092" i="48"/>
  <c r="AS392" i="48"/>
  <c r="AS667" i="48"/>
  <c r="AS292" i="48"/>
  <c r="AS1246" i="48"/>
  <c r="AS1046" i="48"/>
  <c r="AS171" i="48"/>
  <c r="AS546" i="48"/>
  <c r="AS321" i="48"/>
  <c r="AS975" i="48"/>
  <c r="AS1221" i="48"/>
  <c r="AS1021" i="48"/>
  <c r="AS71" i="48"/>
  <c r="AS721" i="48"/>
  <c r="AS121" i="48"/>
  <c r="AS296" i="48"/>
  <c r="AS1250" i="48"/>
  <c r="AS950" i="48"/>
  <c r="AS275" i="48"/>
  <c r="AS675" i="48"/>
  <c r="AS475" i="48"/>
  <c r="AS1188" i="48"/>
  <c r="AS988" i="48"/>
  <c r="AS188" i="48"/>
  <c r="AS663" i="48"/>
  <c r="AS163" i="48"/>
  <c r="AS363" i="48"/>
  <c r="AS1342" i="48"/>
  <c r="AS1242" i="48"/>
  <c r="AS1142" i="48"/>
  <c r="AS1042" i="48"/>
  <c r="AS942" i="48"/>
  <c r="AS842" i="48"/>
  <c r="AS817" i="48"/>
  <c r="AS717" i="48"/>
  <c r="AS617" i="48"/>
  <c r="AS517" i="48"/>
  <c r="AS342" i="48"/>
  <c r="AS242" i="48"/>
  <c r="AS142" i="48"/>
  <c r="AS1296" i="48"/>
  <c r="AS1196" i="48"/>
  <c r="AS1096" i="48"/>
  <c r="AS996" i="48"/>
  <c r="AS896" i="48"/>
  <c r="AS521" i="48"/>
  <c r="AS796" i="48"/>
  <c r="AS696" i="48"/>
  <c r="AS596" i="48"/>
  <c r="AS471" i="48"/>
  <c r="AS371" i="48"/>
  <c r="AS271" i="48"/>
  <c r="AS146" i="48"/>
  <c r="AS1325" i="48"/>
  <c r="AS1225" i="48"/>
  <c r="AS1125" i="48"/>
  <c r="AS1025" i="48"/>
  <c r="AS400" i="48"/>
  <c r="AS850" i="48"/>
  <c r="AS200" i="48"/>
  <c r="AS225" i="48"/>
  <c r="AS750" i="48"/>
  <c r="AS650" i="48"/>
  <c r="AS550" i="48"/>
  <c r="AS425" i="48"/>
  <c r="AS125" i="48"/>
  <c r="AS1263" i="48"/>
  <c r="AS1163" i="48"/>
  <c r="AS1063" i="48"/>
  <c r="AS963" i="48"/>
  <c r="AS863" i="48"/>
  <c r="AS88" i="48"/>
  <c r="AS738" i="48"/>
  <c r="AS638" i="48"/>
  <c r="AS538" i="48"/>
  <c r="AS113" i="48"/>
  <c r="AS438" i="48"/>
  <c r="AS338" i="48"/>
  <c r="AS238" i="48"/>
  <c r="AS1192" i="48"/>
  <c r="AS892" i="48"/>
  <c r="AS767" i="48"/>
  <c r="AS417" i="48"/>
  <c r="AS192" i="48"/>
  <c r="AS1346" i="48"/>
  <c r="AS946" i="48"/>
  <c r="AS846" i="48"/>
  <c r="AS646" i="48"/>
  <c r="AS421" i="48"/>
  <c r="AS221" i="48"/>
  <c r="AS1175" i="48"/>
  <c r="AS300" i="48"/>
  <c r="AS700" i="48"/>
  <c r="AS175" i="48"/>
  <c r="AS1213" i="48"/>
  <c r="AS1013" i="48"/>
  <c r="AS788" i="48"/>
  <c r="AS588" i="48"/>
  <c r="AS388" i="48"/>
  <c r="AS1267" i="48"/>
  <c r="AS1167" i="48"/>
  <c r="AS1067" i="48"/>
  <c r="AS967" i="48"/>
  <c r="AS867" i="48"/>
  <c r="AS442" i="48"/>
  <c r="AS642" i="48"/>
  <c r="AS542" i="48"/>
  <c r="AS367" i="48"/>
  <c r="AS267" i="48"/>
  <c r="AS167" i="48"/>
  <c r="AS67" i="48"/>
  <c r="AS1321" i="48"/>
  <c r="AS1121" i="48"/>
  <c r="AS921" i="48"/>
  <c r="AS821" i="48"/>
  <c r="AS621" i="48"/>
  <c r="AS396" i="48"/>
  <c r="AS196" i="48"/>
  <c r="AS1350" i="48"/>
  <c r="AS1050" i="48"/>
  <c r="AS875" i="48"/>
  <c r="AS250" i="48"/>
  <c r="AS775" i="48"/>
  <c r="AS575" i="48"/>
  <c r="AS150" i="48"/>
  <c r="AS1288" i="48"/>
  <c r="AS1088" i="48"/>
  <c r="AS888" i="48"/>
  <c r="AS763" i="48"/>
  <c r="AS563" i="48"/>
  <c r="AS463" i="48"/>
  <c r="AS263" i="48"/>
  <c r="AS1317" i="48"/>
  <c r="AS1217" i="48"/>
  <c r="AS1117" i="48"/>
  <c r="AS1017" i="48"/>
  <c r="AS917" i="48"/>
  <c r="AS492" i="48"/>
  <c r="AS792" i="48"/>
  <c r="AS692" i="48"/>
  <c r="AS592" i="48"/>
  <c r="AS467" i="48"/>
  <c r="AS317" i="48"/>
  <c r="AS217" i="48"/>
  <c r="AS117" i="48"/>
  <c r="AS1271" i="48"/>
  <c r="AS1171" i="48"/>
  <c r="AS1071" i="48"/>
  <c r="AS971" i="48"/>
  <c r="AS871" i="48"/>
  <c r="AS496" i="48"/>
  <c r="AS771" i="48"/>
  <c r="AS671" i="48"/>
  <c r="AS571" i="48"/>
  <c r="AS446" i="48"/>
  <c r="AS346" i="48"/>
  <c r="AS246" i="48"/>
  <c r="AS96" i="48"/>
  <c r="AS1300" i="48"/>
  <c r="AS1200" i="48"/>
  <c r="AS1100" i="48"/>
  <c r="AS1000" i="48"/>
  <c r="AS925" i="48"/>
  <c r="AS350" i="48"/>
  <c r="AS450" i="48"/>
  <c r="AS825" i="48"/>
  <c r="AS725" i="48"/>
  <c r="AS625" i="48"/>
  <c r="AS525" i="48"/>
  <c r="AS375" i="48"/>
  <c r="AS100" i="48"/>
  <c r="AS1338" i="48"/>
  <c r="AS1238" i="48"/>
  <c r="AS1138" i="48"/>
  <c r="AS1038" i="48"/>
  <c r="AS938" i="48"/>
  <c r="AS838" i="48"/>
  <c r="AS813" i="48"/>
  <c r="AS713" i="48"/>
  <c r="AS613" i="48"/>
  <c r="AS138" i="48"/>
  <c r="AS63" i="48"/>
  <c r="AS413" i="48"/>
  <c r="AS313" i="48"/>
  <c r="AS213" i="48"/>
  <c r="AS992" i="48"/>
  <c r="AS567" i="48"/>
  <c r="AS92" i="48"/>
  <c r="AS1146" i="48"/>
  <c r="AS746" i="48"/>
  <c r="AS1275" i="48"/>
  <c r="AS900" i="48"/>
  <c r="AS800" i="48"/>
  <c r="AS500" i="48"/>
  <c r="AS1313" i="48"/>
  <c r="AS913" i="48"/>
  <c r="AS688" i="48"/>
  <c r="AS488" i="48"/>
  <c r="AS288" i="48"/>
  <c r="AS1075" i="48"/>
  <c r="AS325" i="48"/>
  <c r="AS600" i="48"/>
  <c r="AS75" i="48"/>
  <c r="AS1113" i="48"/>
  <c r="AS513" i="48"/>
  <c r="AS742" i="48"/>
  <c r="AS1150" i="48"/>
  <c r="AG16" i="48"/>
  <c r="AR1166" i="48"/>
  <c r="AR741" i="48"/>
  <c r="AG12" i="48"/>
  <c r="AS86" i="48"/>
  <c r="AS136" i="48"/>
  <c r="AS186" i="48"/>
  <c r="AS211" i="48"/>
  <c r="AS236" i="48"/>
  <c r="AS261" i="48"/>
  <c r="AS286" i="48"/>
  <c r="AS311" i="48"/>
  <c r="AS336" i="48"/>
  <c r="AS361" i="48"/>
  <c r="AS511" i="48"/>
  <c r="AS61" i="48"/>
  <c r="AS161" i="48"/>
  <c r="AS411" i="48"/>
  <c r="AS461" i="48"/>
  <c r="AS536" i="48"/>
  <c r="AS561" i="48"/>
  <c r="AS586" i="48"/>
  <c r="AS611" i="48"/>
  <c r="AS636" i="48"/>
  <c r="AS661" i="48"/>
  <c r="AS686" i="48"/>
  <c r="AS711" i="48"/>
  <c r="AS736" i="48"/>
  <c r="AS761" i="48"/>
  <c r="AS786" i="48"/>
  <c r="AS811" i="48"/>
  <c r="AS111" i="48"/>
  <c r="AS436" i="48"/>
  <c r="AS386" i="48"/>
  <c r="AR1162" i="48"/>
  <c r="AS486" i="48"/>
  <c r="AR737" i="48"/>
  <c r="AS961" i="48"/>
  <c r="AS986" i="48"/>
  <c r="AS1011" i="48"/>
  <c r="AS1036" i="48"/>
  <c r="AS1061" i="48"/>
  <c r="AS1086" i="48"/>
  <c r="AS1111" i="48"/>
  <c r="AS1136" i="48"/>
  <c r="AS1161" i="48"/>
  <c r="AS1186" i="48"/>
  <c r="AS1211" i="48"/>
  <c r="AS1236" i="48"/>
  <c r="AS1261" i="48"/>
  <c r="AS1286" i="48"/>
  <c r="AS861" i="48"/>
  <c r="AS911" i="48"/>
  <c r="AS836" i="48"/>
  <c r="AS886" i="48"/>
  <c r="AS936" i="48"/>
  <c r="AS1311" i="48"/>
  <c r="AS1336" i="48"/>
  <c r="AG23" i="48"/>
  <c r="AR748" i="48"/>
  <c r="AR1173" i="48"/>
  <c r="AG19" i="48"/>
  <c r="AR744" i="48"/>
  <c r="AR1169" i="48"/>
  <c r="AG24" i="48"/>
  <c r="AR1174" i="48"/>
  <c r="AR749" i="48"/>
  <c r="AG13" i="48"/>
  <c r="AG20" i="48"/>
  <c r="AR1170" i="48"/>
  <c r="AR745" i="48"/>
  <c r="AG17" i="48"/>
  <c r="AG15" i="48"/>
  <c r="AR740" i="48"/>
  <c r="AR1165" i="48"/>
  <c r="AG25" i="48"/>
  <c r="AG3" i="48" l="1"/>
  <c r="AA1165" i="48"/>
  <c r="M1165" i="48"/>
  <c r="AA740" i="48"/>
  <c r="M740" i="48"/>
  <c r="AA745" i="48"/>
  <c r="M745" i="48"/>
  <c r="AA1162" i="48"/>
  <c r="M1162" i="48"/>
  <c r="AA1166" i="48"/>
  <c r="M1166" i="48"/>
  <c r="AA741" i="48"/>
  <c r="M741" i="48"/>
  <c r="O1175" i="48"/>
  <c r="O1150" i="48"/>
  <c r="O900" i="48"/>
  <c r="O850" i="48"/>
  <c r="O825" i="48"/>
  <c r="O975" i="48"/>
  <c r="O950" i="48"/>
  <c r="O775" i="48"/>
  <c r="O1125" i="48"/>
  <c r="O1000" i="48"/>
  <c r="O925" i="48"/>
  <c r="O800" i="48"/>
  <c r="O1050" i="48"/>
  <c r="O1100" i="48"/>
  <c r="O1025" i="48"/>
  <c r="O875" i="48"/>
  <c r="O1075" i="48"/>
  <c r="O746" i="48"/>
  <c r="O296" i="48"/>
  <c r="O646" i="48"/>
  <c r="O371" i="48"/>
  <c r="O421" i="48"/>
  <c r="O571" i="48"/>
  <c r="O321" i="48"/>
  <c r="O621" i="48"/>
  <c r="O546" i="48"/>
  <c r="O246" i="48"/>
  <c r="O146" i="48"/>
  <c r="O171" i="48"/>
  <c r="O396" i="48"/>
  <c r="O596" i="48"/>
  <c r="O71" i="48"/>
  <c r="O446" i="48"/>
  <c r="O521" i="48"/>
  <c r="O721" i="48"/>
  <c r="O696" i="48"/>
  <c r="O196" i="48"/>
  <c r="O346" i="48"/>
  <c r="O271" i="48"/>
  <c r="O221" i="48"/>
  <c r="O121" i="48"/>
  <c r="O496" i="48"/>
  <c r="O471" i="48"/>
  <c r="O671" i="48"/>
  <c r="O96" i="48"/>
  <c r="AA1173" i="48"/>
  <c r="M1173" i="48"/>
  <c r="O438" i="48"/>
  <c r="O538" i="48"/>
  <c r="O288" i="48"/>
  <c r="O63" i="48"/>
  <c r="O488" i="48"/>
  <c r="O663" i="48"/>
  <c r="O163" i="48"/>
  <c r="O313" i="48"/>
  <c r="O513" i="48"/>
  <c r="O463" i="48"/>
  <c r="O688" i="48"/>
  <c r="O413" i="48"/>
  <c r="O638" i="48"/>
  <c r="O713" i="48"/>
  <c r="O263" i="48"/>
  <c r="O238" i="48"/>
  <c r="O588" i="48"/>
  <c r="O563" i="48"/>
  <c r="O338" i="48"/>
  <c r="O388" i="48"/>
  <c r="O213" i="48"/>
  <c r="O188" i="48"/>
  <c r="O88" i="48"/>
  <c r="O363" i="48"/>
  <c r="O138" i="48"/>
  <c r="O738" i="48"/>
  <c r="O113" i="48"/>
  <c r="O613" i="48"/>
  <c r="O742" i="48"/>
  <c r="O542" i="48"/>
  <c r="O117" i="48"/>
  <c r="O467" i="48"/>
  <c r="O717" i="48"/>
  <c r="O692" i="48"/>
  <c r="O192" i="48"/>
  <c r="O92" i="48"/>
  <c r="O417" i="48"/>
  <c r="O67" i="48"/>
  <c r="O317" i="48"/>
  <c r="O292" i="48"/>
  <c r="O617" i="48"/>
  <c r="O642" i="48"/>
  <c r="O592" i="48"/>
  <c r="O492" i="48"/>
  <c r="O342" i="48"/>
  <c r="O667" i="48"/>
  <c r="O217" i="48"/>
  <c r="O142" i="48"/>
  <c r="O517" i="48"/>
  <c r="O267" i="48"/>
  <c r="O442" i="48"/>
  <c r="O167" i="48"/>
  <c r="O367" i="48"/>
  <c r="O392" i="48"/>
  <c r="O567" i="48"/>
  <c r="O242" i="48"/>
  <c r="O750" i="48"/>
  <c r="O425" i="48"/>
  <c r="O650" i="48"/>
  <c r="O675" i="48"/>
  <c r="O275" i="48"/>
  <c r="O725" i="48"/>
  <c r="O475" i="48"/>
  <c r="O175" i="48"/>
  <c r="O325" i="48"/>
  <c r="O75" i="48"/>
  <c r="O250" i="48"/>
  <c r="O500" i="48"/>
  <c r="O450" i="48"/>
  <c r="O375" i="48"/>
  <c r="O575" i="48"/>
  <c r="O600" i="48"/>
  <c r="O200" i="48"/>
  <c r="O525" i="48"/>
  <c r="O100" i="48"/>
  <c r="O625" i="48"/>
  <c r="O150" i="48"/>
  <c r="O225" i="48"/>
  <c r="O550" i="48"/>
  <c r="O400" i="48"/>
  <c r="O700" i="48"/>
  <c r="O350" i="48"/>
  <c r="O125" i="48"/>
  <c r="O300" i="48"/>
  <c r="O1167" i="48"/>
  <c r="O1142" i="48"/>
  <c r="O992" i="48"/>
  <c r="O1117" i="48"/>
  <c r="O917" i="48"/>
  <c r="O1017" i="48"/>
  <c r="O967" i="48"/>
  <c r="O842" i="48"/>
  <c r="O1092" i="48"/>
  <c r="O767" i="48"/>
  <c r="O1067" i="48"/>
  <c r="O792" i="48"/>
  <c r="O817" i="48"/>
  <c r="O942" i="48"/>
  <c r="O1042" i="48"/>
  <c r="O867" i="48"/>
  <c r="O892" i="48"/>
  <c r="O1138" i="48"/>
  <c r="O788" i="48"/>
  <c r="O1063" i="48"/>
  <c r="O1088" i="48"/>
  <c r="O1163" i="48"/>
  <c r="O938" i="48"/>
  <c r="O1013" i="48"/>
  <c r="O863" i="48"/>
  <c r="O988" i="48"/>
  <c r="O913" i="48"/>
  <c r="O813" i="48"/>
  <c r="O1113" i="48"/>
  <c r="O963" i="48"/>
  <c r="O763" i="48"/>
  <c r="O838" i="48"/>
  <c r="O888" i="48"/>
  <c r="O1038" i="48"/>
  <c r="AA1170" i="48"/>
  <c r="M1170" i="48"/>
  <c r="AA749" i="48"/>
  <c r="M749" i="48"/>
  <c r="AA1169" i="48"/>
  <c r="M1169" i="48"/>
  <c r="AA1174" i="48"/>
  <c r="M1174" i="48"/>
  <c r="AA744" i="48"/>
  <c r="M744" i="48"/>
  <c r="AA748" i="48"/>
  <c r="M748" i="48"/>
  <c r="AA737" i="48"/>
  <c r="M737" i="48"/>
  <c r="O1171" i="48"/>
  <c r="O1146" i="48"/>
  <c r="O996" i="48"/>
  <c r="O846" i="48"/>
  <c r="O1096" i="48"/>
  <c r="O921" i="48"/>
  <c r="O771" i="48"/>
  <c r="O1121" i="48"/>
  <c r="O896" i="48"/>
  <c r="O1071" i="48"/>
  <c r="O971" i="48"/>
  <c r="O1021" i="48"/>
  <c r="O821" i="48"/>
  <c r="O796" i="48"/>
  <c r="O1046" i="48"/>
  <c r="O871" i="48"/>
  <c r="O946" i="48"/>
  <c r="O1460" i="48"/>
  <c r="I1480" i="48" s="1"/>
  <c r="J1480" i="48" s="1"/>
  <c r="K1480" i="48" s="1"/>
  <c r="O1472" i="48"/>
  <c r="O1468" i="48"/>
  <c r="O1467" i="48"/>
  <c r="O1464" i="48"/>
  <c r="T1090" i="48"/>
  <c r="T915" i="48"/>
  <c r="T740" i="48"/>
  <c r="T40" i="48"/>
  <c r="T895" i="48"/>
  <c r="T595" i="48"/>
  <c r="T470" i="48"/>
  <c r="T70" i="48"/>
  <c r="T99" i="48"/>
  <c r="T773" i="48"/>
  <c r="T1287" i="48"/>
  <c r="T587" i="48"/>
  <c r="T962" i="48"/>
  <c r="T437" i="48"/>
  <c r="T137" i="48"/>
  <c r="T1291" i="48"/>
  <c r="T1041" i="48"/>
  <c r="T266" i="48"/>
  <c r="T965" i="48"/>
  <c r="T190" i="48"/>
  <c r="T670" i="48"/>
  <c r="T245" i="48"/>
  <c r="T849" i="48"/>
  <c r="T799" i="48"/>
  <c r="T1249" i="48"/>
  <c r="T774" i="48"/>
  <c r="T574" i="48"/>
  <c r="T549" i="48"/>
  <c r="T1149" i="48"/>
  <c r="AA1149" i="48"/>
  <c r="T1049" i="48"/>
  <c r="T949" i="48"/>
  <c r="T174" i="48"/>
  <c r="T524" i="48"/>
  <c r="T424" i="48"/>
  <c r="T324" i="48"/>
  <c r="T224" i="48"/>
  <c r="T869" i="48"/>
  <c r="T919" i="48"/>
  <c r="T1194" i="48"/>
  <c r="T1094" i="48"/>
  <c r="T994" i="48"/>
  <c r="T94" i="48"/>
  <c r="T794" i="48"/>
  <c r="T694" i="48"/>
  <c r="T594" i="48"/>
  <c r="T494" i="48"/>
  <c r="T44" i="48"/>
  <c r="T269" i="48"/>
  <c r="T119" i="48"/>
  <c r="T1273" i="48"/>
  <c r="T1173" i="48"/>
  <c r="T1073" i="48"/>
  <c r="T973" i="48"/>
  <c r="T873" i="48"/>
  <c r="T498" i="48"/>
  <c r="T148" i="48"/>
  <c r="T748" i="48"/>
  <c r="T648" i="48"/>
  <c r="T548" i="48"/>
  <c r="T323" i="48"/>
  <c r="T223" i="48"/>
  <c r="T123" i="48"/>
  <c r="T1262" i="48"/>
  <c r="T862" i="48"/>
  <c r="T762" i="48"/>
  <c r="T662" i="48"/>
  <c r="T1137" i="48"/>
  <c r="AA1137" i="48"/>
  <c r="T1037" i="48"/>
  <c r="T512" i="48"/>
  <c r="T412" i="48"/>
  <c r="T312" i="48"/>
  <c r="T212" i="48"/>
  <c r="T112" i="48"/>
  <c r="T916" i="48"/>
  <c r="T691" i="48"/>
  <c r="T1266" i="48"/>
  <c r="T1316" i="48"/>
  <c r="T816" i="48"/>
  <c r="T616" i="48"/>
  <c r="T1116" i="48"/>
  <c r="T1016" i="48"/>
  <c r="T541" i="48"/>
  <c r="T191" i="48"/>
  <c r="T66" i="48"/>
  <c r="T441" i="48"/>
  <c r="T341" i="48"/>
  <c r="T241" i="48"/>
  <c r="AC21" i="48"/>
  <c r="AC25" i="48"/>
  <c r="T1290" i="48"/>
  <c r="T990" i="48"/>
  <c r="T265" i="48"/>
  <c r="T465" i="48"/>
  <c r="T540" i="48"/>
  <c r="T390" i="48"/>
  <c r="T1320" i="48"/>
  <c r="T695" i="48"/>
  <c r="T970" i="48"/>
  <c r="T370" i="48"/>
  <c r="T170" i="48"/>
  <c r="T899" i="48"/>
  <c r="T874" i="48"/>
  <c r="T1174" i="48"/>
  <c r="T974" i="48"/>
  <c r="T1294" i="48"/>
  <c r="T1219" i="48"/>
  <c r="T1019" i="48"/>
  <c r="T819" i="48"/>
  <c r="T619" i="48"/>
  <c r="T144" i="48"/>
  <c r="T294" i="48"/>
  <c r="T169" i="48"/>
  <c r="T1298" i="48"/>
  <c r="T1098" i="48"/>
  <c r="T523" i="48"/>
  <c r="T673" i="48"/>
  <c r="T348" i="48"/>
  <c r="T248" i="48"/>
  <c r="T787" i="48"/>
  <c r="T1062" i="48"/>
  <c r="T337" i="48"/>
  <c r="T37" i="48"/>
  <c r="T741" i="48"/>
  <c r="T841" i="48"/>
  <c r="T1141" i="48"/>
  <c r="AA1141" i="48"/>
  <c r="T366" i="48"/>
  <c r="T1265" i="48"/>
  <c r="T1065" i="48"/>
  <c r="T890" i="48"/>
  <c r="T815" i="48"/>
  <c r="T715" i="48"/>
  <c r="T115" i="48"/>
  <c r="T1295" i="48"/>
  <c r="T770" i="48"/>
  <c r="T1145" i="48"/>
  <c r="AA1145" i="48"/>
  <c r="T345" i="48"/>
  <c r="T45" i="48"/>
  <c r="T240" i="48"/>
  <c r="T1240" i="48"/>
  <c r="T1140" i="48"/>
  <c r="AA1140" i="48"/>
  <c r="T1040" i="48"/>
  <c r="T290" i="48"/>
  <c r="T865" i="48"/>
  <c r="T365" i="48"/>
  <c r="T65" i="48"/>
  <c r="T790" i="48"/>
  <c r="T690" i="48"/>
  <c r="T590" i="48"/>
  <c r="T490" i="48"/>
  <c r="T140" i="48"/>
  <c r="T1220" i="48"/>
  <c r="T945" i="48"/>
  <c r="T845" i="48"/>
  <c r="T745" i="48"/>
  <c r="T645" i="48"/>
  <c r="T545" i="48"/>
  <c r="T1120" i="48"/>
  <c r="T1020" i="48"/>
  <c r="T520" i="48"/>
  <c r="T420" i="48"/>
  <c r="T320" i="48"/>
  <c r="T220" i="48"/>
  <c r="T120" i="48"/>
  <c r="T749" i="48"/>
  <c r="T699" i="48"/>
  <c r="T1224" i="48"/>
  <c r="T724" i="48"/>
  <c r="T1349" i="48"/>
  <c r="T49" i="48"/>
  <c r="T1124" i="48"/>
  <c r="T1024" i="48"/>
  <c r="T824" i="48"/>
  <c r="T124" i="48"/>
  <c r="T499" i="48"/>
  <c r="T399" i="48"/>
  <c r="T299" i="48"/>
  <c r="T199" i="48"/>
  <c r="T1344" i="48"/>
  <c r="T944" i="48"/>
  <c r="T1269" i="48"/>
  <c r="T1169" i="48"/>
  <c r="T1069" i="48"/>
  <c r="T969" i="48"/>
  <c r="T419" i="48"/>
  <c r="T769" i="48"/>
  <c r="T669" i="48"/>
  <c r="T569" i="48"/>
  <c r="T444" i="48"/>
  <c r="T344" i="48"/>
  <c r="T244" i="48"/>
  <c r="T69" i="48"/>
  <c r="T1348" i="48"/>
  <c r="T1248" i="48"/>
  <c r="T1148" i="48"/>
  <c r="AA1148" i="48"/>
  <c r="T1048" i="48"/>
  <c r="T948" i="48"/>
  <c r="T848" i="48"/>
  <c r="T48" i="48"/>
  <c r="T823" i="48"/>
  <c r="T723" i="48"/>
  <c r="T623" i="48"/>
  <c r="T448" i="48"/>
  <c r="T298" i="48"/>
  <c r="T198" i="48"/>
  <c r="T73" i="48"/>
  <c r="T1237" i="48"/>
  <c r="T937" i="48"/>
  <c r="T837" i="48"/>
  <c r="T737" i="48"/>
  <c r="T637" i="48"/>
  <c r="T1212" i="48"/>
  <c r="T1112" i="48"/>
  <c r="T1012" i="48"/>
  <c r="T487" i="48"/>
  <c r="T387" i="48"/>
  <c r="T287" i="48"/>
  <c r="T187" i="48"/>
  <c r="T87" i="48"/>
  <c r="T866" i="48"/>
  <c r="T641" i="48"/>
  <c r="T1241" i="48"/>
  <c r="T941" i="48"/>
  <c r="T766" i="48"/>
  <c r="T1191" i="48"/>
  <c r="T1091" i="48"/>
  <c r="T991" i="48"/>
  <c r="T141" i="48"/>
  <c r="T91" i="48"/>
  <c r="T516" i="48"/>
  <c r="T416" i="48"/>
  <c r="T316" i="48"/>
  <c r="T216" i="48"/>
  <c r="AC13" i="48"/>
  <c r="V21" i="48"/>
  <c r="V25" i="48"/>
  <c r="AC17" i="48"/>
  <c r="T1340" i="48"/>
  <c r="T1190" i="48"/>
  <c r="T340" i="48"/>
  <c r="T640" i="48"/>
  <c r="T1270" i="48"/>
  <c r="T795" i="48"/>
  <c r="T1170" i="48"/>
  <c r="T1070" i="48"/>
  <c r="T270" i="48"/>
  <c r="T1274" i="48"/>
  <c r="T624" i="48"/>
  <c r="T1299" i="48"/>
  <c r="T1074" i="48"/>
  <c r="T449" i="48"/>
  <c r="T349" i="48"/>
  <c r="T249" i="48"/>
  <c r="T844" i="48"/>
  <c r="T1119" i="48"/>
  <c r="T369" i="48"/>
  <c r="T719" i="48"/>
  <c r="T519" i="48"/>
  <c r="T1198" i="48"/>
  <c r="T998" i="48"/>
  <c r="T898" i="48"/>
  <c r="T373" i="48"/>
  <c r="T573" i="48"/>
  <c r="T173" i="48"/>
  <c r="T537" i="48"/>
  <c r="T1312" i="48"/>
  <c r="T887" i="48"/>
  <c r="T687" i="48"/>
  <c r="T1162" i="48"/>
  <c r="T237" i="48"/>
  <c r="T1341" i="48"/>
  <c r="T666" i="48"/>
  <c r="T566" i="48"/>
  <c r="T116" i="48"/>
  <c r="T466" i="48"/>
  <c r="T1315" i="48"/>
  <c r="T1165" i="48"/>
  <c r="T415" i="48"/>
  <c r="T215" i="48"/>
  <c r="T615" i="48"/>
  <c r="T1245" i="48"/>
  <c r="T870" i="48"/>
  <c r="T570" i="48"/>
  <c r="T1045" i="48"/>
  <c r="T445" i="48"/>
  <c r="T145" i="48"/>
  <c r="T165" i="48"/>
  <c r="T1215" i="48"/>
  <c r="T1115" i="48"/>
  <c r="T1015" i="48"/>
  <c r="T940" i="48"/>
  <c r="T840" i="48"/>
  <c r="T315" i="48"/>
  <c r="T515" i="48"/>
  <c r="T765" i="48"/>
  <c r="T665" i="48"/>
  <c r="T565" i="48"/>
  <c r="T440" i="48"/>
  <c r="T90" i="48"/>
  <c r="T1345" i="48"/>
  <c r="T920" i="48"/>
  <c r="T820" i="48"/>
  <c r="T720" i="48"/>
  <c r="T620" i="48"/>
  <c r="T1195" i="48"/>
  <c r="T1095" i="48"/>
  <c r="T995" i="48"/>
  <c r="T495" i="48"/>
  <c r="T395" i="48"/>
  <c r="T295" i="48"/>
  <c r="T195" i="48"/>
  <c r="T95" i="48"/>
  <c r="T649" i="48"/>
  <c r="T599" i="48"/>
  <c r="T924" i="48"/>
  <c r="T674" i="48"/>
  <c r="T1324" i="48"/>
  <c r="T1199" i="48"/>
  <c r="T1099" i="48"/>
  <c r="T999" i="48"/>
  <c r="T149" i="48"/>
  <c r="T74" i="48"/>
  <c r="T474" i="48"/>
  <c r="T374" i="48"/>
  <c r="T274" i="48"/>
  <c r="T1319" i="48"/>
  <c r="T894" i="48"/>
  <c r="T1244" i="48"/>
  <c r="T1144" i="48"/>
  <c r="AA1144" i="48"/>
  <c r="T1044" i="48"/>
  <c r="T469" i="48"/>
  <c r="T194" i="48"/>
  <c r="T744" i="48"/>
  <c r="T644" i="48"/>
  <c r="T544" i="48"/>
  <c r="T394" i="48"/>
  <c r="T319" i="48"/>
  <c r="T219" i="48"/>
  <c r="T1323" i="48"/>
  <c r="T1223" i="48"/>
  <c r="T1123" i="48"/>
  <c r="T1023" i="48"/>
  <c r="T923" i="48"/>
  <c r="T423" i="48"/>
  <c r="T473" i="48"/>
  <c r="T798" i="48"/>
  <c r="T698" i="48"/>
  <c r="T598" i="48"/>
  <c r="T398" i="48"/>
  <c r="T273" i="48"/>
  <c r="T98" i="48"/>
  <c r="T1337" i="48"/>
  <c r="T562" i="48"/>
  <c r="T912" i="48"/>
  <c r="T812" i="48"/>
  <c r="T712" i="48"/>
  <c r="T612" i="48"/>
  <c r="T1187" i="48"/>
  <c r="T1087" i="48"/>
  <c r="T987" i="48"/>
  <c r="T462" i="48"/>
  <c r="T362" i="48"/>
  <c r="T262" i="48"/>
  <c r="T162" i="48"/>
  <c r="T62" i="48"/>
  <c r="T791" i="48"/>
  <c r="T591" i="48"/>
  <c r="T1216" i="48"/>
  <c r="T891" i="48"/>
  <c r="T716" i="48"/>
  <c r="T1166" i="48"/>
  <c r="T1066" i="48"/>
  <c r="T966" i="48"/>
  <c r="T41" i="48"/>
  <c r="T166" i="48"/>
  <c r="T491" i="48"/>
  <c r="T391" i="48"/>
  <c r="T291" i="48"/>
  <c r="V13" i="48"/>
  <c r="V17" i="48"/>
  <c r="AS1240" i="48"/>
  <c r="AS365" i="48"/>
  <c r="AS590" i="48"/>
  <c r="AS945" i="48"/>
  <c r="AS545" i="48"/>
  <c r="AS1020" i="48"/>
  <c r="AS320" i="48"/>
  <c r="AS120" i="48"/>
  <c r="AS749" i="48"/>
  <c r="AS1349" i="48"/>
  <c r="AS824" i="48"/>
  <c r="AS399" i="48"/>
  <c r="AS944" i="48"/>
  <c r="AS969" i="48"/>
  <c r="AS344" i="48"/>
  <c r="AS1248" i="48"/>
  <c r="AS198" i="48"/>
  <c r="AS1215" i="48"/>
  <c r="AS1015" i="48"/>
  <c r="AS840" i="48"/>
  <c r="AS515" i="48"/>
  <c r="AS665" i="48"/>
  <c r="AS440" i="48"/>
  <c r="AS920" i="48"/>
  <c r="AS720" i="48"/>
  <c r="AS1095" i="48"/>
  <c r="AS395" i="48"/>
  <c r="AS195" i="48"/>
  <c r="AS95" i="48"/>
  <c r="AS649" i="48"/>
  <c r="AS924" i="48"/>
  <c r="AS1199" i="48"/>
  <c r="AS999" i="48"/>
  <c r="AS74" i="48"/>
  <c r="AS274" i="48"/>
  <c r="AS1319" i="48"/>
  <c r="AS1244" i="48"/>
  <c r="AS1044" i="48"/>
  <c r="AS469" i="48"/>
  <c r="AS744" i="48"/>
  <c r="AS544" i="48"/>
  <c r="AS319" i="48"/>
  <c r="AS1223" i="48"/>
  <c r="AS923" i="48"/>
  <c r="AS473" i="48"/>
  <c r="AS698" i="48"/>
  <c r="AS273" i="48"/>
  <c r="AS562" i="48"/>
  <c r="AS812" i="48"/>
  <c r="AS612" i="48"/>
  <c r="AS1087" i="48"/>
  <c r="AS362" i="48"/>
  <c r="AS162" i="48"/>
  <c r="AS1216" i="48"/>
  <c r="AS1166" i="48"/>
  <c r="AS966" i="48"/>
  <c r="AS491" i="48"/>
  <c r="AS291" i="48"/>
  <c r="AS1340" i="48"/>
  <c r="AS1290" i="48"/>
  <c r="AS1190" i="48"/>
  <c r="AS1090" i="48"/>
  <c r="AS990" i="48"/>
  <c r="AS915" i="48"/>
  <c r="AS340" i="48"/>
  <c r="AS265" i="48"/>
  <c r="AS465" i="48"/>
  <c r="AS740" i="48"/>
  <c r="AS640" i="48"/>
  <c r="AS540" i="48"/>
  <c r="AS390" i="48"/>
  <c r="AS1270" i="48"/>
  <c r="AS1320" i="48"/>
  <c r="AS895" i="48"/>
  <c r="AS795" i="48"/>
  <c r="AS695" i="48"/>
  <c r="AS595" i="48"/>
  <c r="AS1170" i="48"/>
  <c r="AS1070" i="48"/>
  <c r="AS970" i="48"/>
  <c r="AS470" i="48"/>
  <c r="AS370" i="48"/>
  <c r="AS270" i="48"/>
  <c r="AS170" i="48"/>
  <c r="AS70" i="48"/>
  <c r="AS899" i="48"/>
  <c r="AS1274" i="48"/>
  <c r="AS874" i="48"/>
  <c r="AS624" i="48"/>
  <c r="AS1299" i="48"/>
  <c r="AS1174" i="48"/>
  <c r="AS1074" i="48"/>
  <c r="AS974" i="48"/>
  <c r="AS99" i="48"/>
  <c r="AS449" i="48"/>
  <c r="AS349" i="48"/>
  <c r="AS249" i="48"/>
  <c r="AS1294" i="48"/>
  <c r="AS844" i="48"/>
  <c r="AS1219" i="48"/>
  <c r="AS1119" i="48"/>
  <c r="AS1019" i="48"/>
  <c r="AS369" i="48"/>
  <c r="AS819" i="48"/>
  <c r="AS719" i="48"/>
  <c r="AS619" i="48"/>
  <c r="AS519" i="48"/>
  <c r="AS144" i="48"/>
  <c r="AS294" i="48"/>
  <c r="AS169" i="48"/>
  <c r="AS1298" i="48"/>
  <c r="AS1198" i="48"/>
  <c r="AS1098" i="48"/>
  <c r="AS998" i="48"/>
  <c r="AS898" i="48"/>
  <c r="AS523" i="48"/>
  <c r="AS373" i="48"/>
  <c r="AS773" i="48"/>
  <c r="AS673" i="48"/>
  <c r="AS573" i="48"/>
  <c r="AS348" i="48"/>
  <c r="AS248" i="48"/>
  <c r="AS173" i="48"/>
  <c r="AS537" i="48"/>
  <c r="AS1287" i="48"/>
  <c r="AS1312" i="48"/>
  <c r="AS887" i="48"/>
  <c r="AS787" i="48"/>
  <c r="AS687" i="48"/>
  <c r="AS587" i="48"/>
  <c r="AS1162" i="48"/>
  <c r="AS1062" i="48"/>
  <c r="AS962" i="48"/>
  <c r="AS437" i="48"/>
  <c r="AS337" i="48"/>
  <c r="AS237" i="48"/>
  <c r="AS137" i="48"/>
  <c r="AS741" i="48"/>
  <c r="AS1291" i="48"/>
  <c r="AS1341" i="48"/>
  <c r="AS841" i="48"/>
  <c r="AS666" i="48"/>
  <c r="AS1141" i="48"/>
  <c r="AS1041" i="48"/>
  <c r="AS566" i="48"/>
  <c r="AS116" i="48"/>
  <c r="AS466" i="48"/>
  <c r="AS366" i="48"/>
  <c r="AS266" i="48"/>
  <c r="AS1140" i="48"/>
  <c r="AS865" i="48"/>
  <c r="AS690" i="48"/>
  <c r="AS490" i="48"/>
  <c r="AS1220" i="48"/>
  <c r="AS645" i="48"/>
  <c r="AS1120" i="48"/>
  <c r="AS420" i="48"/>
  <c r="AS724" i="48"/>
  <c r="AS1024" i="48"/>
  <c r="AS499" i="48"/>
  <c r="AS199" i="48"/>
  <c r="AS1269" i="48"/>
  <c r="AS769" i="48"/>
  <c r="AS444" i="48"/>
  <c r="AS1348" i="48"/>
  <c r="AS73" i="48"/>
  <c r="AS165" i="48"/>
  <c r="AS1115" i="48"/>
  <c r="AS940" i="48"/>
  <c r="AS315" i="48"/>
  <c r="AS765" i="48"/>
  <c r="AS565" i="48"/>
  <c r="AS90" i="48"/>
  <c r="AS1345" i="48"/>
  <c r="AS820" i="48"/>
  <c r="AS1195" i="48"/>
  <c r="AS995" i="48"/>
  <c r="AS495" i="48"/>
  <c r="AS295" i="48"/>
  <c r="AS599" i="48"/>
  <c r="AS674" i="48"/>
  <c r="AS1324" i="48"/>
  <c r="AS1099" i="48"/>
  <c r="AS149" i="48"/>
  <c r="AS374" i="48"/>
  <c r="AS894" i="48"/>
  <c r="AS1144" i="48"/>
  <c r="AS194" i="48"/>
  <c r="AS644" i="48"/>
  <c r="AS394" i="48"/>
  <c r="AS219" i="48"/>
  <c r="AS1323" i="48"/>
  <c r="AS1123" i="48"/>
  <c r="AS423" i="48"/>
  <c r="AS798" i="48"/>
  <c r="AS598" i="48"/>
  <c r="AS398" i="48"/>
  <c r="AS98" i="48"/>
  <c r="AS1337" i="48"/>
  <c r="AS912" i="48"/>
  <c r="AS712" i="48"/>
  <c r="AS1187" i="48"/>
  <c r="AS987" i="48"/>
  <c r="AS462" i="48"/>
  <c r="AS262" i="48"/>
  <c r="AS62" i="48"/>
  <c r="AS791" i="48"/>
  <c r="AS591" i="48"/>
  <c r="AS891" i="48"/>
  <c r="AS1066" i="48"/>
  <c r="AS166" i="48"/>
  <c r="AS391" i="48"/>
  <c r="AS1315" i="48"/>
  <c r="AS1265" i="48"/>
  <c r="AS1165" i="48"/>
  <c r="AS1065" i="48"/>
  <c r="AS965" i="48"/>
  <c r="AS890" i="48"/>
  <c r="AS415" i="48"/>
  <c r="AS215" i="48"/>
  <c r="AS815" i="48"/>
  <c r="AS715" i="48"/>
  <c r="AS615" i="48"/>
  <c r="AS115" i="48"/>
  <c r="AS190" i="48"/>
  <c r="AS1245" i="48"/>
  <c r="AS1295" i="48"/>
  <c r="AS870" i="48"/>
  <c r="AS770" i="48"/>
  <c r="AS670" i="48"/>
  <c r="AS570" i="48"/>
  <c r="AS1145" i="48"/>
  <c r="AS1045" i="48"/>
  <c r="AS445" i="48"/>
  <c r="AS345" i="48"/>
  <c r="AS245" i="48"/>
  <c r="AS145" i="48"/>
  <c r="AS849" i="48"/>
  <c r="AS799" i="48"/>
  <c r="AS1249" i="48"/>
  <c r="AS774" i="48"/>
  <c r="AS574" i="48"/>
  <c r="AS549" i="48"/>
  <c r="AS1149" i="48"/>
  <c r="AS1049" i="48"/>
  <c r="AS949" i="48"/>
  <c r="AS174" i="48"/>
  <c r="AS524" i="48"/>
  <c r="AS424" i="48"/>
  <c r="AS324" i="48"/>
  <c r="AS224" i="48"/>
  <c r="AS869" i="48"/>
  <c r="AS919" i="48"/>
  <c r="AS1194" i="48"/>
  <c r="AS1094" i="48"/>
  <c r="AS994" i="48"/>
  <c r="AS94" i="48"/>
  <c r="AS794" i="48"/>
  <c r="AS694" i="48"/>
  <c r="AS594" i="48"/>
  <c r="AS494" i="48"/>
  <c r="AS269" i="48"/>
  <c r="AS119" i="48"/>
  <c r="AS1273" i="48"/>
  <c r="AS1173" i="48"/>
  <c r="AS1073" i="48"/>
  <c r="AS973" i="48"/>
  <c r="AS873" i="48"/>
  <c r="AS498" i="48"/>
  <c r="AS148" i="48"/>
  <c r="AS748" i="48"/>
  <c r="AS648" i="48"/>
  <c r="AS548" i="48"/>
  <c r="AS323" i="48"/>
  <c r="AS223" i="48"/>
  <c r="AS123" i="48"/>
  <c r="AS1262" i="48"/>
  <c r="AS862" i="48"/>
  <c r="AS762" i="48"/>
  <c r="AS662" i="48"/>
  <c r="AS1137" i="48"/>
  <c r="AS1037" i="48"/>
  <c r="AS512" i="48"/>
  <c r="AS412" i="48"/>
  <c r="AS312" i="48"/>
  <c r="AS212" i="48"/>
  <c r="AS112" i="48"/>
  <c r="AS916" i="48"/>
  <c r="AS691" i="48"/>
  <c r="AS1266" i="48"/>
  <c r="AS1316" i="48"/>
  <c r="AS816" i="48"/>
  <c r="AS616" i="48"/>
  <c r="AS1116" i="48"/>
  <c r="AS1016" i="48"/>
  <c r="AS541" i="48"/>
  <c r="AS191" i="48"/>
  <c r="AS66" i="48"/>
  <c r="AS441" i="48"/>
  <c r="AS341" i="48"/>
  <c r="AS241" i="48"/>
  <c r="AS240" i="48"/>
  <c r="AS290" i="48"/>
  <c r="AS790" i="48"/>
  <c r="AS745" i="48"/>
  <c r="AS520" i="48"/>
  <c r="AS220" i="48"/>
  <c r="AS1224" i="48"/>
  <c r="AS1124" i="48"/>
  <c r="AS299" i="48"/>
  <c r="AS1169" i="48"/>
  <c r="AS669" i="48"/>
  <c r="AS244" i="48"/>
  <c r="AS69" i="48"/>
  <c r="AS1148" i="48"/>
  <c r="AS1048" i="48"/>
  <c r="AS848" i="48"/>
  <c r="AS823" i="48"/>
  <c r="AS723" i="48"/>
  <c r="AS623" i="48"/>
  <c r="AS448" i="48"/>
  <c r="AS298" i="48"/>
  <c r="AS1237" i="48"/>
  <c r="AS937" i="48"/>
  <c r="AS837" i="48"/>
  <c r="AS737" i="48"/>
  <c r="AS637" i="48"/>
  <c r="AS1212" i="48"/>
  <c r="AS1112" i="48"/>
  <c r="AS1012" i="48"/>
  <c r="AS487" i="48"/>
  <c r="AS387" i="48"/>
  <c r="AS287" i="48"/>
  <c r="AS187" i="48"/>
  <c r="AS87" i="48"/>
  <c r="AS866" i="48"/>
  <c r="AS641" i="48"/>
  <c r="AS1241" i="48"/>
  <c r="AS941" i="48"/>
  <c r="AS766" i="48"/>
  <c r="AS1191" i="48"/>
  <c r="AS1091" i="48"/>
  <c r="AS991" i="48"/>
  <c r="AS141" i="48"/>
  <c r="AS91" i="48"/>
  <c r="AS516" i="48"/>
  <c r="AS416" i="48"/>
  <c r="AS316" i="48"/>
  <c r="AS216" i="48"/>
  <c r="AS1040" i="48"/>
  <c r="AS65" i="48"/>
  <c r="AS140" i="48"/>
  <c r="AS845" i="48"/>
  <c r="AS699" i="48"/>
  <c r="AS124" i="48"/>
  <c r="AS1344" i="48"/>
  <c r="AS1069" i="48"/>
  <c r="AS419" i="48"/>
  <c r="AS569" i="48"/>
  <c r="AS948" i="48"/>
  <c r="AS620" i="48"/>
  <c r="AS474" i="48"/>
  <c r="AS1023" i="48"/>
  <c r="AS716" i="48"/>
  <c r="I1481" i="48" l="1"/>
  <c r="O737" i="48"/>
  <c r="N737" i="48" s="1"/>
  <c r="N738" i="48" s="1"/>
  <c r="N739" i="48" s="1"/>
  <c r="O462" i="48"/>
  <c r="N462" i="48" s="1"/>
  <c r="N463" i="48" s="1"/>
  <c r="N464" i="48" s="1"/>
  <c r="O387" i="48"/>
  <c r="N387" i="48" s="1"/>
  <c r="N388" i="48" s="1"/>
  <c r="N389" i="48" s="1"/>
  <c r="O62" i="48"/>
  <c r="N62" i="48" s="1"/>
  <c r="N63" i="48" s="1"/>
  <c r="N64" i="48" s="1"/>
  <c r="O712" i="48"/>
  <c r="N712" i="48" s="1"/>
  <c r="N713" i="48" s="1"/>
  <c r="N714" i="48" s="1"/>
  <c r="O287" i="48"/>
  <c r="N287" i="48" s="1"/>
  <c r="N288" i="48" s="1"/>
  <c r="N289" i="48" s="1"/>
  <c r="O212" i="48"/>
  <c r="N212" i="48" s="1"/>
  <c r="N213" i="48" s="1"/>
  <c r="N214" i="48" s="1"/>
  <c r="O537" i="48"/>
  <c r="N537" i="48" s="1"/>
  <c r="N538" i="48" s="1"/>
  <c r="N539" i="48" s="1"/>
  <c r="O487" i="48"/>
  <c r="N487" i="48" s="1"/>
  <c r="N488" i="48" s="1"/>
  <c r="N489" i="48" s="1"/>
  <c r="O637" i="48"/>
  <c r="N637" i="48" s="1"/>
  <c r="N638" i="48" s="1"/>
  <c r="N639" i="48" s="1"/>
  <c r="O187" i="48"/>
  <c r="N187" i="48" s="1"/>
  <c r="N188" i="48" s="1"/>
  <c r="N189" i="48" s="1"/>
  <c r="O437" i="48"/>
  <c r="N437" i="48" s="1"/>
  <c r="N438" i="48" s="1"/>
  <c r="N439" i="48" s="1"/>
  <c r="O337" i="48"/>
  <c r="N337" i="48" s="1"/>
  <c r="N338" i="48" s="1"/>
  <c r="N339" i="48" s="1"/>
  <c r="O262" i="48"/>
  <c r="N262" i="48" s="1"/>
  <c r="N263" i="48" s="1"/>
  <c r="N264" i="48" s="1"/>
  <c r="O562" i="48"/>
  <c r="N562" i="48" s="1"/>
  <c r="N563" i="48" s="1"/>
  <c r="N564" i="48" s="1"/>
  <c r="O587" i="48"/>
  <c r="N587" i="48" s="1"/>
  <c r="N588" i="48" s="1"/>
  <c r="N589" i="48" s="1"/>
  <c r="O162" i="48"/>
  <c r="N162" i="48" s="1"/>
  <c r="N163" i="48" s="1"/>
  <c r="N164" i="48" s="1"/>
  <c r="O112" i="48"/>
  <c r="N112" i="48" s="1"/>
  <c r="N113" i="48" s="1"/>
  <c r="N114" i="48" s="1"/>
  <c r="O412" i="48"/>
  <c r="N412" i="48" s="1"/>
  <c r="N413" i="48" s="1"/>
  <c r="N414" i="48" s="1"/>
  <c r="O687" i="48"/>
  <c r="N687" i="48" s="1"/>
  <c r="N688" i="48" s="1"/>
  <c r="N689" i="48" s="1"/>
  <c r="O362" i="48"/>
  <c r="N362" i="48" s="1"/>
  <c r="N363" i="48" s="1"/>
  <c r="N364" i="48" s="1"/>
  <c r="O237" i="48"/>
  <c r="N237" i="48" s="1"/>
  <c r="N238" i="48" s="1"/>
  <c r="N239" i="48" s="1"/>
  <c r="O312" i="48"/>
  <c r="N312" i="48" s="1"/>
  <c r="N313" i="48" s="1"/>
  <c r="N314" i="48" s="1"/>
  <c r="O512" i="48"/>
  <c r="N512" i="48" s="1"/>
  <c r="N513" i="48" s="1"/>
  <c r="N514" i="48" s="1"/>
  <c r="O662" i="48"/>
  <c r="N662" i="48" s="1"/>
  <c r="N663" i="48" s="1"/>
  <c r="N664" i="48" s="1"/>
  <c r="O87" i="48"/>
  <c r="N87" i="48" s="1"/>
  <c r="N88" i="48" s="1"/>
  <c r="N89" i="48" s="1"/>
  <c r="O137" i="48"/>
  <c r="N137" i="48" s="1"/>
  <c r="N138" i="48" s="1"/>
  <c r="N139" i="48" s="1"/>
  <c r="O612" i="48"/>
  <c r="N612" i="48" s="1"/>
  <c r="N613" i="48" s="1"/>
  <c r="N614" i="48" s="1"/>
  <c r="O744" i="48"/>
  <c r="O669" i="48"/>
  <c r="O644" i="48"/>
  <c r="O269" i="48"/>
  <c r="O719" i="48"/>
  <c r="O144" i="48"/>
  <c r="O419" i="48"/>
  <c r="O494" i="48"/>
  <c r="O569" i="48"/>
  <c r="O194" i="48"/>
  <c r="O544" i="48"/>
  <c r="O444" i="48"/>
  <c r="O244" i="48"/>
  <c r="O219" i="48"/>
  <c r="O69" i="48"/>
  <c r="O294" i="48"/>
  <c r="O94" i="48"/>
  <c r="O169" i="48"/>
  <c r="O369" i="48"/>
  <c r="O394" i="48"/>
  <c r="O319" i="48"/>
  <c r="O469" i="48"/>
  <c r="O344" i="48"/>
  <c r="O119" i="48"/>
  <c r="O694" i="48"/>
  <c r="O619" i="48"/>
  <c r="O594" i="48"/>
  <c r="O519" i="48"/>
  <c r="O740" i="48"/>
  <c r="O140" i="48"/>
  <c r="O490" i="48"/>
  <c r="O615" i="48"/>
  <c r="O190" i="48"/>
  <c r="O465" i="48"/>
  <c r="O240" i="48"/>
  <c r="O390" i="48"/>
  <c r="O590" i="48"/>
  <c r="O340" i="48"/>
  <c r="O515" i="48"/>
  <c r="O690" i="48"/>
  <c r="O715" i="48"/>
  <c r="O415" i="48"/>
  <c r="O640" i="48"/>
  <c r="O165" i="48"/>
  <c r="O65" i="48"/>
  <c r="O315" i="48"/>
  <c r="O290" i="48"/>
  <c r="O665" i="48"/>
  <c r="O565" i="48"/>
  <c r="O540" i="48"/>
  <c r="O115" i="48"/>
  <c r="O265" i="48"/>
  <c r="O365" i="48"/>
  <c r="O440" i="48"/>
  <c r="O215" i="48"/>
  <c r="O90" i="48"/>
  <c r="O1169" i="48"/>
  <c r="O1144" i="48"/>
  <c r="O894" i="48"/>
  <c r="O844" i="48"/>
  <c r="O1094" i="48"/>
  <c r="O919" i="48"/>
  <c r="O794" i="48"/>
  <c r="O944" i="48"/>
  <c r="O869" i="48"/>
  <c r="O969" i="48"/>
  <c r="O819" i="48"/>
  <c r="O769" i="48"/>
  <c r="O1069" i="48"/>
  <c r="O1019" i="48"/>
  <c r="O1119" i="48"/>
  <c r="O1044" i="48"/>
  <c r="O994" i="48"/>
  <c r="O1170" i="48"/>
  <c r="O1145" i="48"/>
  <c r="O820" i="48"/>
  <c r="O970" i="48"/>
  <c r="O845" i="48"/>
  <c r="O895" i="48"/>
  <c r="O945" i="48"/>
  <c r="O1120" i="48"/>
  <c r="O795" i="48"/>
  <c r="O870" i="48"/>
  <c r="O1095" i="48"/>
  <c r="O920" i="48"/>
  <c r="O1045" i="48"/>
  <c r="O1020" i="48"/>
  <c r="O770" i="48"/>
  <c r="O1070" i="48"/>
  <c r="O995" i="48"/>
  <c r="O1162" i="48"/>
  <c r="N1162" i="48" s="1"/>
  <c r="N1163" i="48" s="1"/>
  <c r="N1164" i="48" s="1"/>
  <c r="O1137" i="48"/>
  <c r="N1137" i="48" s="1"/>
  <c r="N1138" i="48" s="1"/>
  <c r="N1139" i="48" s="1"/>
  <c r="O962" i="48"/>
  <c r="N962" i="48" s="1"/>
  <c r="N963" i="48" s="1"/>
  <c r="N964" i="48" s="1"/>
  <c r="O862" i="48"/>
  <c r="N862" i="48" s="1"/>
  <c r="N863" i="48" s="1"/>
  <c r="N864" i="48" s="1"/>
  <c r="O1112" i="48"/>
  <c r="N1112" i="48" s="1"/>
  <c r="N1113" i="48" s="1"/>
  <c r="N1114" i="48" s="1"/>
  <c r="O762" i="48"/>
  <c r="N762" i="48" s="1"/>
  <c r="N763" i="48" s="1"/>
  <c r="N764" i="48" s="1"/>
  <c r="O1037" i="48"/>
  <c r="N1037" i="48" s="1"/>
  <c r="N1038" i="48" s="1"/>
  <c r="N1039" i="48" s="1"/>
  <c r="O1012" i="48"/>
  <c r="N1012" i="48" s="1"/>
  <c r="N1013" i="48" s="1"/>
  <c r="N1014" i="48" s="1"/>
  <c r="O1087" i="48"/>
  <c r="N1087" i="48" s="1"/>
  <c r="N1088" i="48" s="1"/>
  <c r="N1089" i="48" s="1"/>
  <c r="O887" i="48"/>
  <c r="N887" i="48" s="1"/>
  <c r="N888" i="48" s="1"/>
  <c r="N889" i="48" s="1"/>
  <c r="O912" i="48"/>
  <c r="N912" i="48" s="1"/>
  <c r="N913" i="48" s="1"/>
  <c r="N914" i="48" s="1"/>
  <c r="O1062" i="48"/>
  <c r="N1062" i="48" s="1"/>
  <c r="N1063" i="48" s="1"/>
  <c r="N1064" i="48" s="1"/>
  <c r="O937" i="48"/>
  <c r="N937" i="48" s="1"/>
  <c r="N938" i="48" s="1"/>
  <c r="N939" i="48" s="1"/>
  <c r="O787" i="48"/>
  <c r="N787" i="48" s="1"/>
  <c r="N788" i="48" s="1"/>
  <c r="N789" i="48" s="1"/>
  <c r="O812" i="48"/>
  <c r="N812" i="48" s="1"/>
  <c r="N813" i="48" s="1"/>
  <c r="N814" i="48" s="1"/>
  <c r="O837" i="48"/>
  <c r="N837" i="48" s="1"/>
  <c r="N838" i="48" s="1"/>
  <c r="N839" i="48" s="1"/>
  <c r="O987" i="48"/>
  <c r="N987" i="48" s="1"/>
  <c r="N988" i="48" s="1"/>
  <c r="N989" i="48" s="1"/>
  <c r="O748" i="48"/>
  <c r="O423" i="48"/>
  <c r="O398" i="48"/>
  <c r="O523" i="48"/>
  <c r="O73" i="48"/>
  <c r="O598" i="48"/>
  <c r="O448" i="48"/>
  <c r="O223" i="48"/>
  <c r="O548" i="48"/>
  <c r="O273" i="48"/>
  <c r="O173" i="48"/>
  <c r="O473" i="48"/>
  <c r="O98" i="48"/>
  <c r="O348" i="48"/>
  <c r="O623" i="48"/>
  <c r="O298" i="48"/>
  <c r="O123" i="48"/>
  <c r="O198" i="48"/>
  <c r="O148" i="48"/>
  <c r="O573" i="48"/>
  <c r="O673" i="48"/>
  <c r="O323" i="48"/>
  <c r="O723" i="48"/>
  <c r="O698" i="48"/>
  <c r="O248" i="48"/>
  <c r="O498" i="48"/>
  <c r="O373" i="48"/>
  <c r="O648" i="48"/>
  <c r="O1174" i="48"/>
  <c r="O1149" i="48"/>
  <c r="O899" i="48"/>
  <c r="O849" i="48"/>
  <c r="O1099" i="48"/>
  <c r="O999" i="48"/>
  <c r="O1049" i="48"/>
  <c r="O974" i="48"/>
  <c r="O799" i="48"/>
  <c r="O874" i="48"/>
  <c r="O774" i="48"/>
  <c r="O1124" i="48"/>
  <c r="O824" i="48"/>
  <c r="O1074" i="48"/>
  <c r="O949" i="48"/>
  <c r="O924" i="48"/>
  <c r="O1024" i="48"/>
  <c r="O1173" i="48"/>
  <c r="O1148" i="48"/>
  <c r="O1023" i="48"/>
  <c r="O823" i="48"/>
  <c r="O773" i="48"/>
  <c r="O1048" i="48"/>
  <c r="O998" i="48"/>
  <c r="O973" i="48"/>
  <c r="O848" i="48"/>
  <c r="O873" i="48"/>
  <c r="O798" i="48"/>
  <c r="O1073" i="48"/>
  <c r="O948" i="48"/>
  <c r="O1098" i="48"/>
  <c r="O1123" i="48"/>
  <c r="O898" i="48"/>
  <c r="O923" i="48"/>
  <c r="O1166" i="48"/>
  <c r="O1141" i="48"/>
  <c r="O1016" i="48"/>
  <c r="O816" i="48"/>
  <c r="O941" i="48"/>
  <c r="O1041" i="48"/>
  <c r="O966" i="48"/>
  <c r="O1091" i="48"/>
  <c r="O866" i="48"/>
  <c r="O766" i="48"/>
  <c r="O891" i="48"/>
  <c r="O991" i="48"/>
  <c r="O1066" i="48"/>
  <c r="O791" i="48"/>
  <c r="O1116" i="48"/>
  <c r="O841" i="48"/>
  <c r="O916" i="48"/>
  <c r="O745" i="48"/>
  <c r="O645" i="48"/>
  <c r="O70" i="48"/>
  <c r="O195" i="48"/>
  <c r="O395" i="48"/>
  <c r="O420" i="48"/>
  <c r="O145" i="48"/>
  <c r="O495" i="48"/>
  <c r="O570" i="48"/>
  <c r="O345" i="48"/>
  <c r="O95" i="48"/>
  <c r="O470" i="48"/>
  <c r="O695" i="48"/>
  <c r="O320" i="48"/>
  <c r="O620" i="48"/>
  <c r="O595" i="48"/>
  <c r="O170" i="48"/>
  <c r="O370" i="48"/>
  <c r="O120" i="48"/>
  <c r="O245" i="48"/>
  <c r="O545" i="48"/>
  <c r="O445" i="48"/>
  <c r="O295" i="48"/>
  <c r="O670" i="48"/>
  <c r="O520" i="48"/>
  <c r="O270" i="48"/>
  <c r="O720" i="48"/>
  <c r="O220" i="48"/>
  <c r="O1165" i="48"/>
  <c r="O1140" i="48"/>
  <c r="O965" i="48"/>
  <c r="O1090" i="48"/>
  <c r="O940" i="48"/>
  <c r="O790" i="48"/>
  <c r="O865" i="48"/>
  <c r="O1115" i="48"/>
  <c r="O765" i="48"/>
  <c r="O1040" i="48"/>
  <c r="O1065" i="48"/>
  <c r="O990" i="48"/>
  <c r="O840" i="48"/>
  <c r="O890" i="48"/>
  <c r="O1015" i="48"/>
  <c r="O815" i="48"/>
  <c r="O915" i="48"/>
  <c r="O741" i="48"/>
  <c r="O666" i="48"/>
  <c r="O466" i="48"/>
  <c r="O641" i="48"/>
  <c r="O566" i="48"/>
  <c r="O291" i="48"/>
  <c r="O391" i="48"/>
  <c r="O416" i="48"/>
  <c r="O91" i="48"/>
  <c r="O266" i="48"/>
  <c r="O316" i="48"/>
  <c r="O716" i="48"/>
  <c r="O241" i="48"/>
  <c r="O591" i="48"/>
  <c r="O66" i="48"/>
  <c r="O541" i="48"/>
  <c r="O366" i="48"/>
  <c r="O491" i="48"/>
  <c r="O341" i="48"/>
  <c r="O191" i="48"/>
  <c r="O166" i="48"/>
  <c r="O441" i="48"/>
  <c r="O141" i="48"/>
  <c r="O516" i="48"/>
  <c r="O616" i="48"/>
  <c r="O691" i="48"/>
  <c r="O216" i="48"/>
  <c r="O116" i="48"/>
  <c r="O749" i="48"/>
  <c r="O524" i="48"/>
  <c r="O199" i="48"/>
  <c r="O249" i="48"/>
  <c r="O149" i="48"/>
  <c r="O724" i="48"/>
  <c r="O424" i="48"/>
  <c r="O649" i="48"/>
  <c r="O124" i="48"/>
  <c r="O699" i="48"/>
  <c r="O99" i="48"/>
  <c r="O549" i="48"/>
  <c r="O374" i="48"/>
  <c r="O674" i="48"/>
  <c r="O574" i="48"/>
  <c r="O349" i="48"/>
  <c r="O299" i="48"/>
  <c r="O174" i="48"/>
  <c r="O399" i="48"/>
  <c r="O74" i="48"/>
  <c r="O324" i="48"/>
  <c r="O449" i="48"/>
  <c r="O624" i="48"/>
  <c r="O274" i="48"/>
  <c r="O224" i="48"/>
  <c r="O499" i="48"/>
  <c r="O599" i="48"/>
  <c r="O474" i="48"/>
  <c r="V24" i="48"/>
  <c r="V20" i="48"/>
  <c r="V15" i="48"/>
  <c r="V16" i="48"/>
  <c r="AC15" i="48"/>
  <c r="AC23" i="48"/>
  <c r="AC12" i="48"/>
  <c r="AC19" i="48"/>
  <c r="AC24" i="48"/>
  <c r="AC20" i="48"/>
  <c r="AC16" i="48"/>
  <c r="V23" i="48"/>
  <c r="V12" i="48"/>
  <c r="V19" i="48"/>
  <c r="I1482" i="48"/>
  <c r="J1481" i="48"/>
  <c r="K1481" i="48" s="1"/>
  <c r="AC3" i="48" l="1"/>
  <c r="N765" i="48"/>
  <c r="N766" i="48" s="1"/>
  <c r="N767" i="48" s="1"/>
  <c r="N768" i="48" s="1"/>
  <c r="N769" i="48" s="1"/>
  <c r="N770" i="48" s="1"/>
  <c r="N771" i="48" s="1"/>
  <c r="N772" i="48" s="1"/>
  <c r="N773" i="48" s="1"/>
  <c r="N774" i="48" s="1"/>
  <c r="N775" i="48" s="1"/>
  <c r="N776" i="48" s="1"/>
  <c r="N777" i="48" s="1"/>
  <c r="N190" i="48"/>
  <c r="N191" i="48" s="1"/>
  <c r="N192" i="48" s="1"/>
  <c r="N193" i="48" s="1"/>
  <c r="N194" i="48" s="1"/>
  <c r="N195" i="48" s="1"/>
  <c r="N196" i="48" s="1"/>
  <c r="N197" i="48" s="1"/>
  <c r="N198" i="48" s="1"/>
  <c r="N199" i="48" s="1"/>
  <c r="N200" i="48" s="1"/>
  <c r="N201" i="48" s="1"/>
  <c r="N202" i="48" s="1"/>
  <c r="N215" i="48"/>
  <c r="N216" i="48" s="1"/>
  <c r="N217" i="48" s="1"/>
  <c r="N218" i="48" s="1"/>
  <c r="N219" i="48" s="1"/>
  <c r="N220" i="48" s="1"/>
  <c r="N221" i="48" s="1"/>
  <c r="N222" i="48" s="1"/>
  <c r="N223" i="48" s="1"/>
  <c r="N224" i="48" s="1"/>
  <c r="N225" i="48" s="1"/>
  <c r="N226" i="48" s="1"/>
  <c r="N227" i="48" s="1"/>
  <c r="N65" i="48"/>
  <c r="N66" i="48" s="1"/>
  <c r="N67" i="48" s="1"/>
  <c r="N68" i="48" s="1"/>
  <c r="N69" i="48" s="1"/>
  <c r="N70" i="48" s="1"/>
  <c r="N71" i="48" s="1"/>
  <c r="N72" i="48" s="1"/>
  <c r="N73" i="48" s="1"/>
  <c r="N74" i="48" s="1"/>
  <c r="N75" i="48" s="1"/>
  <c r="N76" i="48" s="1"/>
  <c r="N77" i="48" s="1"/>
  <c r="N890" i="48"/>
  <c r="N891" i="48" s="1"/>
  <c r="N892" i="48" s="1"/>
  <c r="N893" i="48" s="1"/>
  <c r="N894" i="48" s="1"/>
  <c r="N895" i="48" s="1"/>
  <c r="N896" i="48" s="1"/>
  <c r="N897" i="48" s="1"/>
  <c r="N898" i="48" s="1"/>
  <c r="N899" i="48" s="1"/>
  <c r="N900" i="48" s="1"/>
  <c r="N901" i="48" s="1"/>
  <c r="N902" i="48" s="1"/>
  <c r="N415" i="48"/>
  <c r="N416" i="48" s="1"/>
  <c r="N417" i="48" s="1"/>
  <c r="N418" i="48" s="1"/>
  <c r="N419" i="48" s="1"/>
  <c r="N420" i="48" s="1"/>
  <c r="N421" i="48" s="1"/>
  <c r="N422" i="48" s="1"/>
  <c r="N423" i="48" s="1"/>
  <c r="N424" i="48" s="1"/>
  <c r="N425" i="48" s="1"/>
  <c r="N426" i="48" s="1"/>
  <c r="N427" i="48" s="1"/>
  <c r="N565" i="48"/>
  <c r="N566" i="48" s="1"/>
  <c r="N567" i="48" s="1"/>
  <c r="N568" i="48" s="1"/>
  <c r="N569" i="48" s="1"/>
  <c r="N570" i="48" s="1"/>
  <c r="N571" i="48" s="1"/>
  <c r="N572" i="48" s="1"/>
  <c r="N573" i="48" s="1"/>
  <c r="N574" i="48" s="1"/>
  <c r="N575" i="48" s="1"/>
  <c r="N576" i="48" s="1"/>
  <c r="N577" i="48" s="1"/>
  <c r="N990" i="48"/>
  <c r="N991" i="48" s="1"/>
  <c r="N992" i="48" s="1"/>
  <c r="N993" i="48" s="1"/>
  <c r="N994" i="48" s="1"/>
  <c r="N995" i="48" s="1"/>
  <c r="N996" i="48" s="1"/>
  <c r="N997" i="48" s="1"/>
  <c r="N998" i="48" s="1"/>
  <c r="N999" i="48" s="1"/>
  <c r="N1000" i="48" s="1"/>
  <c r="N1001" i="48" s="1"/>
  <c r="N1002" i="48" s="1"/>
  <c r="N940" i="48"/>
  <c r="N941" i="48" s="1"/>
  <c r="N942" i="48" s="1"/>
  <c r="N943" i="48" s="1"/>
  <c r="N944" i="48" s="1"/>
  <c r="N945" i="48" s="1"/>
  <c r="N946" i="48" s="1"/>
  <c r="N947" i="48" s="1"/>
  <c r="N948" i="48" s="1"/>
  <c r="N949" i="48" s="1"/>
  <c r="N950" i="48" s="1"/>
  <c r="N951" i="48" s="1"/>
  <c r="N952" i="48" s="1"/>
  <c r="N1090" i="48"/>
  <c r="N1091" i="48" s="1"/>
  <c r="N1092" i="48" s="1"/>
  <c r="N1093" i="48" s="1"/>
  <c r="N1094" i="48" s="1"/>
  <c r="N1095" i="48" s="1"/>
  <c r="N1096" i="48" s="1"/>
  <c r="N1097" i="48" s="1"/>
  <c r="N1098" i="48" s="1"/>
  <c r="N1099" i="48" s="1"/>
  <c r="N1100" i="48" s="1"/>
  <c r="N1101" i="48" s="1"/>
  <c r="N1102" i="48" s="1"/>
  <c r="N1115" i="48"/>
  <c r="N1116" i="48" s="1"/>
  <c r="N1117" i="48" s="1"/>
  <c r="N1118" i="48" s="1"/>
  <c r="N1119" i="48" s="1"/>
  <c r="N1120" i="48" s="1"/>
  <c r="N1121" i="48" s="1"/>
  <c r="N1122" i="48" s="1"/>
  <c r="N1123" i="48" s="1"/>
  <c r="N1124" i="48" s="1"/>
  <c r="N1125" i="48" s="1"/>
  <c r="N1126" i="48" s="1"/>
  <c r="N1127" i="48" s="1"/>
  <c r="N1165" i="48"/>
  <c r="N1166" i="48" s="1"/>
  <c r="N1167" i="48" s="1"/>
  <c r="N1168" i="48" s="1"/>
  <c r="N1169" i="48" s="1"/>
  <c r="N1170" i="48" s="1"/>
  <c r="N1171" i="48" s="1"/>
  <c r="N1172" i="48" s="1"/>
  <c r="N1173" i="48" s="1"/>
  <c r="N1174" i="48" s="1"/>
  <c r="N1175" i="48" s="1"/>
  <c r="N1176" i="48" s="1"/>
  <c r="N1177" i="48" s="1"/>
  <c r="N90" i="48"/>
  <c r="N91" i="48" s="1"/>
  <c r="N92" i="48" s="1"/>
  <c r="N93" i="48" s="1"/>
  <c r="N94" i="48" s="1"/>
  <c r="N95" i="48" s="1"/>
  <c r="N96" i="48" s="1"/>
  <c r="N97" i="48" s="1"/>
  <c r="N98" i="48" s="1"/>
  <c r="N99" i="48" s="1"/>
  <c r="N100" i="48" s="1"/>
  <c r="N101" i="48" s="1"/>
  <c r="N102" i="48" s="1"/>
  <c r="N240" i="48"/>
  <c r="N241" i="48" s="1"/>
  <c r="N242" i="48" s="1"/>
  <c r="N243" i="48" s="1"/>
  <c r="N244" i="48" s="1"/>
  <c r="N245" i="48" s="1"/>
  <c r="N246" i="48" s="1"/>
  <c r="N247" i="48" s="1"/>
  <c r="N248" i="48" s="1"/>
  <c r="N249" i="48" s="1"/>
  <c r="N250" i="48" s="1"/>
  <c r="N251" i="48" s="1"/>
  <c r="N252" i="48" s="1"/>
  <c r="N115" i="48"/>
  <c r="N116" i="48" s="1"/>
  <c r="N117" i="48" s="1"/>
  <c r="N118" i="48" s="1"/>
  <c r="N119" i="48" s="1"/>
  <c r="N120" i="48" s="1"/>
  <c r="N121" i="48" s="1"/>
  <c r="N122" i="48" s="1"/>
  <c r="N123" i="48" s="1"/>
  <c r="N124" i="48" s="1"/>
  <c r="N125" i="48" s="1"/>
  <c r="N126" i="48" s="1"/>
  <c r="N127" i="48" s="1"/>
  <c r="N265" i="48"/>
  <c r="N266" i="48" s="1"/>
  <c r="N267" i="48" s="1"/>
  <c r="N268" i="48" s="1"/>
  <c r="N269" i="48" s="1"/>
  <c r="N270" i="48" s="1"/>
  <c r="N271" i="48" s="1"/>
  <c r="N272" i="48" s="1"/>
  <c r="N273" i="48" s="1"/>
  <c r="N274" i="48" s="1"/>
  <c r="N275" i="48" s="1"/>
  <c r="N640" i="48"/>
  <c r="N641" i="48" s="1"/>
  <c r="N642" i="48" s="1"/>
  <c r="N643" i="48" s="1"/>
  <c r="N644" i="48" s="1"/>
  <c r="N645" i="48" s="1"/>
  <c r="N646" i="48" s="1"/>
  <c r="N647" i="48" s="1"/>
  <c r="N648" i="48" s="1"/>
  <c r="N649" i="48" s="1"/>
  <c r="N650" i="48" s="1"/>
  <c r="N651" i="48" s="1"/>
  <c r="N652" i="48" s="1"/>
  <c r="N390" i="48"/>
  <c r="N391" i="48" s="1"/>
  <c r="N392" i="48" s="1"/>
  <c r="N393" i="48" s="1"/>
  <c r="N394" i="48" s="1"/>
  <c r="N395" i="48" s="1"/>
  <c r="N396" i="48" s="1"/>
  <c r="N397" i="48" s="1"/>
  <c r="N398" i="48" s="1"/>
  <c r="N399" i="48" s="1"/>
  <c r="N400" i="48" s="1"/>
  <c r="N401" i="48" s="1"/>
  <c r="N402" i="48" s="1"/>
  <c r="N790" i="48"/>
  <c r="N791" i="48" s="1"/>
  <c r="N792" i="48" s="1"/>
  <c r="N793" i="48" s="1"/>
  <c r="N794" i="48" s="1"/>
  <c r="N795" i="48" s="1"/>
  <c r="N796" i="48" s="1"/>
  <c r="N797" i="48" s="1"/>
  <c r="N798" i="48" s="1"/>
  <c r="N799" i="48" s="1"/>
  <c r="N800" i="48" s="1"/>
  <c r="N801" i="48" s="1"/>
  <c r="N802" i="48" s="1"/>
  <c r="N1140" i="48"/>
  <c r="N1141" i="48" s="1"/>
  <c r="N1142" i="48" s="1"/>
  <c r="N1143" i="48" s="1"/>
  <c r="N1144" i="48" s="1"/>
  <c r="N1145" i="48" s="1"/>
  <c r="N1146" i="48" s="1"/>
  <c r="N1147" i="48" s="1"/>
  <c r="N1148" i="48" s="1"/>
  <c r="N1149" i="48" s="1"/>
  <c r="N1150" i="48" s="1"/>
  <c r="N1151" i="48" s="1"/>
  <c r="N1152" i="48" s="1"/>
  <c r="N140" i="48"/>
  <c r="N141" i="48" s="1"/>
  <c r="N142" i="48" s="1"/>
  <c r="N143" i="48" s="1"/>
  <c r="N144" i="48" s="1"/>
  <c r="N145" i="48" s="1"/>
  <c r="N146" i="48" s="1"/>
  <c r="N147" i="48" s="1"/>
  <c r="N148" i="48" s="1"/>
  <c r="N149" i="48" s="1"/>
  <c r="N150" i="48" s="1"/>
  <c r="N151" i="48" s="1"/>
  <c r="N152" i="48" s="1"/>
  <c r="AB12" i="48"/>
  <c r="AB13" i="48" s="1"/>
  <c r="AB14" i="48" s="1"/>
  <c r="AB15" i="48" s="1"/>
  <c r="AB16" i="48" s="1"/>
  <c r="AB17" i="48" s="1"/>
  <c r="AB18" i="48" s="1"/>
  <c r="AB19" i="48" s="1"/>
  <c r="AB20" i="48" s="1"/>
  <c r="AB21" i="48" s="1"/>
  <c r="AB22" i="48" s="1"/>
  <c r="AB23" i="48" s="1"/>
  <c r="AB24" i="48" s="1"/>
  <c r="AB25" i="48" s="1"/>
  <c r="AB26" i="48" s="1"/>
  <c r="AB27" i="48" s="1"/>
  <c r="N840" i="48"/>
  <c r="N841" i="48" s="1"/>
  <c r="N842" i="48" s="1"/>
  <c r="N843" i="48" s="1"/>
  <c r="N844" i="48" s="1"/>
  <c r="N845" i="48" s="1"/>
  <c r="N846" i="48" s="1"/>
  <c r="N847" i="48" s="1"/>
  <c r="N848" i="48" s="1"/>
  <c r="N849" i="48" s="1"/>
  <c r="N850" i="48" s="1"/>
  <c r="N851" i="48" s="1"/>
  <c r="N852" i="48" s="1"/>
  <c r="N1065" i="48"/>
  <c r="N1066" i="48" s="1"/>
  <c r="N1067" i="48" s="1"/>
  <c r="N1068" i="48" s="1"/>
  <c r="N1069" i="48" s="1"/>
  <c r="N1070" i="48" s="1"/>
  <c r="N1071" i="48" s="1"/>
  <c r="N1072" i="48" s="1"/>
  <c r="N1073" i="48" s="1"/>
  <c r="N1074" i="48" s="1"/>
  <c r="N1075" i="48" s="1"/>
  <c r="N1076" i="48" s="1"/>
  <c r="N1077" i="48" s="1"/>
  <c r="N1015" i="48"/>
  <c r="N1016" i="48" s="1"/>
  <c r="N1017" i="48" s="1"/>
  <c r="N1018" i="48" s="1"/>
  <c r="N1019" i="48" s="1"/>
  <c r="N1020" i="48" s="1"/>
  <c r="N1021" i="48" s="1"/>
  <c r="N1022" i="48" s="1"/>
  <c r="N1023" i="48" s="1"/>
  <c r="N1024" i="48" s="1"/>
  <c r="N1025" i="48" s="1"/>
  <c r="N1026" i="48" s="1"/>
  <c r="N1027" i="48" s="1"/>
  <c r="N865" i="48"/>
  <c r="N866" i="48" s="1"/>
  <c r="N867" i="48" s="1"/>
  <c r="N868" i="48" s="1"/>
  <c r="N869" i="48" s="1"/>
  <c r="N870" i="48" s="1"/>
  <c r="N871" i="48" s="1"/>
  <c r="N872" i="48" s="1"/>
  <c r="N873" i="48" s="1"/>
  <c r="N874" i="48" s="1"/>
  <c r="N875" i="48" s="1"/>
  <c r="N876" i="48" s="1"/>
  <c r="N877" i="48" s="1"/>
  <c r="N665" i="48"/>
  <c r="N666" i="48" s="1"/>
  <c r="N667" i="48" s="1"/>
  <c r="N668" i="48" s="1"/>
  <c r="N669" i="48" s="1"/>
  <c r="N670" i="48" s="1"/>
  <c r="N671" i="48" s="1"/>
  <c r="N672" i="48" s="1"/>
  <c r="N673" i="48" s="1"/>
  <c r="N674" i="48" s="1"/>
  <c r="N675" i="48" s="1"/>
  <c r="N676" i="48" s="1"/>
  <c r="N677" i="48" s="1"/>
  <c r="N365" i="48"/>
  <c r="N366" i="48" s="1"/>
  <c r="N367" i="48" s="1"/>
  <c r="N368" i="48" s="1"/>
  <c r="N369" i="48" s="1"/>
  <c r="N370" i="48" s="1"/>
  <c r="N371" i="48" s="1"/>
  <c r="N372" i="48" s="1"/>
  <c r="N373" i="48" s="1"/>
  <c r="N374" i="48" s="1"/>
  <c r="N375" i="48" s="1"/>
  <c r="N376" i="48" s="1"/>
  <c r="N377" i="48" s="1"/>
  <c r="N165" i="48"/>
  <c r="N166" i="48" s="1"/>
  <c r="N167" i="48" s="1"/>
  <c r="N168" i="48" s="1"/>
  <c r="N169" i="48" s="1"/>
  <c r="N170" i="48" s="1"/>
  <c r="N171" i="48" s="1"/>
  <c r="N172" i="48" s="1"/>
  <c r="N173" i="48" s="1"/>
  <c r="N174" i="48" s="1"/>
  <c r="N175" i="48" s="1"/>
  <c r="N176" i="48" s="1"/>
  <c r="N177" i="48" s="1"/>
  <c r="N340" i="48"/>
  <c r="N341" i="48" s="1"/>
  <c r="N342" i="48" s="1"/>
  <c r="N343" i="48" s="1"/>
  <c r="N344" i="48" s="1"/>
  <c r="N345" i="48" s="1"/>
  <c r="N346" i="48" s="1"/>
  <c r="N347" i="48" s="1"/>
  <c r="N348" i="48" s="1"/>
  <c r="N349" i="48" s="1"/>
  <c r="N350" i="48" s="1"/>
  <c r="N351" i="48" s="1"/>
  <c r="N352" i="48" s="1"/>
  <c r="N490" i="48"/>
  <c r="N491" i="48" s="1"/>
  <c r="N492" i="48" s="1"/>
  <c r="N493" i="48" s="1"/>
  <c r="N494" i="48" s="1"/>
  <c r="N495" i="48" s="1"/>
  <c r="N496" i="48" s="1"/>
  <c r="N497" i="48" s="1"/>
  <c r="N498" i="48" s="1"/>
  <c r="N499" i="48" s="1"/>
  <c r="N500" i="48" s="1"/>
  <c r="N501" i="48" s="1"/>
  <c r="N502" i="48" s="1"/>
  <c r="N290" i="48"/>
  <c r="N291" i="48" s="1"/>
  <c r="N292" i="48" s="1"/>
  <c r="N293" i="48" s="1"/>
  <c r="N294" i="48" s="1"/>
  <c r="N295" i="48" s="1"/>
  <c r="N296" i="48" s="1"/>
  <c r="N297" i="48" s="1"/>
  <c r="N298" i="48" s="1"/>
  <c r="N299" i="48" s="1"/>
  <c r="N300" i="48" s="1"/>
  <c r="N301" i="48" s="1"/>
  <c r="N302" i="48" s="1"/>
  <c r="N465" i="48"/>
  <c r="N466" i="48" s="1"/>
  <c r="N467" i="48" s="1"/>
  <c r="N468" i="48" s="1"/>
  <c r="N469" i="48" s="1"/>
  <c r="N470" i="48" s="1"/>
  <c r="N471" i="48" s="1"/>
  <c r="N472" i="48" s="1"/>
  <c r="N473" i="48" s="1"/>
  <c r="N474" i="48" s="1"/>
  <c r="N475" i="48" s="1"/>
  <c r="N476" i="48" s="1"/>
  <c r="N477" i="48" s="1"/>
  <c r="N315" i="48"/>
  <c r="N316" i="48" s="1"/>
  <c r="N317" i="48" s="1"/>
  <c r="N318" i="48" s="1"/>
  <c r="N319" i="48" s="1"/>
  <c r="N320" i="48" s="1"/>
  <c r="N321" i="48" s="1"/>
  <c r="N322" i="48" s="1"/>
  <c r="N323" i="48" s="1"/>
  <c r="N324" i="48" s="1"/>
  <c r="N325" i="48" s="1"/>
  <c r="N326" i="48" s="1"/>
  <c r="N327" i="48" s="1"/>
  <c r="V3" i="48"/>
  <c r="N815" i="48"/>
  <c r="N816" i="48" s="1"/>
  <c r="N817" i="48" s="1"/>
  <c r="N818" i="48" s="1"/>
  <c r="N819" i="48" s="1"/>
  <c r="N820" i="48" s="1"/>
  <c r="N821" i="48" s="1"/>
  <c r="N822" i="48" s="1"/>
  <c r="N823" i="48" s="1"/>
  <c r="N824" i="48" s="1"/>
  <c r="N825" i="48" s="1"/>
  <c r="N826" i="48" s="1"/>
  <c r="N827" i="48" s="1"/>
  <c r="N915" i="48"/>
  <c r="N916" i="48" s="1"/>
  <c r="N917" i="48" s="1"/>
  <c r="N918" i="48" s="1"/>
  <c r="N919" i="48" s="1"/>
  <c r="N920" i="48" s="1"/>
  <c r="N921" i="48" s="1"/>
  <c r="N922" i="48" s="1"/>
  <c r="N923" i="48" s="1"/>
  <c r="N924" i="48" s="1"/>
  <c r="N925" i="48" s="1"/>
  <c r="N926" i="48" s="1"/>
  <c r="N927" i="48" s="1"/>
  <c r="N1040" i="48"/>
  <c r="N1041" i="48" s="1"/>
  <c r="N1042" i="48" s="1"/>
  <c r="N1043" i="48" s="1"/>
  <c r="N1044" i="48" s="1"/>
  <c r="N1045" i="48" s="1"/>
  <c r="N1046" i="48" s="1"/>
  <c r="N1047" i="48" s="1"/>
  <c r="N1048" i="48" s="1"/>
  <c r="N1049" i="48" s="1"/>
  <c r="N1050" i="48" s="1"/>
  <c r="N1051" i="48" s="1"/>
  <c r="N1052" i="48" s="1"/>
  <c r="N965" i="48"/>
  <c r="N966" i="48" s="1"/>
  <c r="N967" i="48" s="1"/>
  <c r="N968" i="48" s="1"/>
  <c r="N969" i="48" s="1"/>
  <c r="N970" i="48" s="1"/>
  <c r="N971" i="48" s="1"/>
  <c r="N972" i="48" s="1"/>
  <c r="N973" i="48" s="1"/>
  <c r="N974" i="48" s="1"/>
  <c r="N975" i="48" s="1"/>
  <c r="N976" i="48" s="1"/>
  <c r="N977" i="48" s="1"/>
  <c r="N615" i="48"/>
  <c r="N616" i="48" s="1"/>
  <c r="N617" i="48" s="1"/>
  <c r="N618" i="48" s="1"/>
  <c r="N619" i="48" s="1"/>
  <c r="N620" i="48" s="1"/>
  <c r="N621" i="48" s="1"/>
  <c r="N622" i="48" s="1"/>
  <c r="N623" i="48" s="1"/>
  <c r="N624" i="48" s="1"/>
  <c r="N625" i="48" s="1"/>
  <c r="N626" i="48" s="1"/>
  <c r="N627" i="48" s="1"/>
  <c r="N515" i="48"/>
  <c r="N516" i="48" s="1"/>
  <c r="N517" i="48" s="1"/>
  <c r="N518" i="48" s="1"/>
  <c r="N519" i="48" s="1"/>
  <c r="N520" i="48" s="1"/>
  <c r="N521" i="48" s="1"/>
  <c r="N522" i="48" s="1"/>
  <c r="N523" i="48" s="1"/>
  <c r="N524" i="48" s="1"/>
  <c r="N525" i="48" s="1"/>
  <c r="N526" i="48" s="1"/>
  <c r="N527" i="48" s="1"/>
  <c r="N690" i="48"/>
  <c r="N691" i="48" s="1"/>
  <c r="N692" i="48" s="1"/>
  <c r="N693" i="48" s="1"/>
  <c r="N694" i="48" s="1"/>
  <c r="N695" i="48" s="1"/>
  <c r="N696" i="48" s="1"/>
  <c r="N697" i="48" s="1"/>
  <c r="N698" i="48" s="1"/>
  <c r="N699" i="48" s="1"/>
  <c r="N700" i="48" s="1"/>
  <c r="N701" i="48" s="1"/>
  <c r="N702" i="48" s="1"/>
  <c r="N590" i="48"/>
  <c r="N591" i="48" s="1"/>
  <c r="N592" i="48" s="1"/>
  <c r="N593" i="48" s="1"/>
  <c r="N594" i="48" s="1"/>
  <c r="N595" i="48" s="1"/>
  <c r="N596" i="48" s="1"/>
  <c r="N597" i="48" s="1"/>
  <c r="N598" i="48" s="1"/>
  <c r="N599" i="48" s="1"/>
  <c r="N600" i="48" s="1"/>
  <c r="N601" i="48" s="1"/>
  <c r="N602" i="48" s="1"/>
  <c r="N440" i="48"/>
  <c r="N441" i="48" s="1"/>
  <c r="N442" i="48" s="1"/>
  <c r="N443" i="48" s="1"/>
  <c r="N444" i="48" s="1"/>
  <c r="N445" i="48" s="1"/>
  <c r="N446" i="48" s="1"/>
  <c r="N447" i="48" s="1"/>
  <c r="N448" i="48" s="1"/>
  <c r="N449" i="48" s="1"/>
  <c r="N450" i="48" s="1"/>
  <c r="N451" i="48" s="1"/>
  <c r="N452" i="48" s="1"/>
  <c r="N540" i="48"/>
  <c r="N541" i="48" s="1"/>
  <c r="N542" i="48" s="1"/>
  <c r="N543" i="48" s="1"/>
  <c r="N544" i="48" s="1"/>
  <c r="N545" i="48" s="1"/>
  <c r="N546" i="48" s="1"/>
  <c r="N547" i="48" s="1"/>
  <c r="N548" i="48" s="1"/>
  <c r="N549" i="48" s="1"/>
  <c r="N550" i="48" s="1"/>
  <c r="N551" i="48" s="1"/>
  <c r="N552" i="48" s="1"/>
  <c r="N715" i="48"/>
  <c r="N716" i="48" s="1"/>
  <c r="N717" i="48" s="1"/>
  <c r="N718" i="48" s="1"/>
  <c r="N719" i="48" s="1"/>
  <c r="N720" i="48" s="1"/>
  <c r="N721" i="48" s="1"/>
  <c r="N722" i="48" s="1"/>
  <c r="N723" i="48" s="1"/>
  <c r="N724" i="48" s="1"/>
  <c r="N725" i="48" s="1"/>
  <c r="N726" i="48" s="1"/>
  <c r="N727" i="48" s="1"/>
  <c r="N740" i="48"/>
  <c r="N741" i="48" s="1"/>
  <c r="N742" i="48" s="1"/>
  <c r="N743" i="48" s="1"/>
  <c r="N744" i="48" s="1"/>
  <c r="N745" i="48" s="1"/>
  <c r="N746" i="48" s="1"/>
  <c r="N747" i="48" s="1"/>
  <c r="N748" i="48" s="1"/>
  <c r="N749" i="48" s="1"/>
  <c r="N750" i="48" s="1"/>
  <c r="N751" i="48" s="1"/>
  <c r="N752" i="48" s="1"/>
  <c r="U12" i="48"/>
  <c r="U13" i="48" s="1"/>
  <c r="U14" i="48" s="1"/>
  <c r="U15" i="48" s="1"/>
  <c r="U16" i="48" s="1"/>
  <c r="U17" i="48" s="1"/>
  <c r="U18" i="48" s="1"/>
  <c r="U19" i="48" s="1"/>
  <c r="U20" i="48" s="1"/>
  <c r="U21" i="48" s="1"/>
  <c r="U22" i="48" s="1"/>
  <c r="U23" i="48" s="1"/>
  <c r="U24" i="48" s="1"/>
  <c r="U25" i="48" s="1"/>
  <c r="U26" i="48" s="1"/>
  <c r="U27" i="48" s="1"/>
  <c r="I1483" i="48"/>
  <c r="J1482" i="48"/>
  <c r="K1482" i="48" s="1"/>
  <c r="J1483" i="48" l="1"/>
  <c r="K1483" i="48" s="1"/>
  <c r="I1484" i="48"/>
  <c r="I1485" i="48" l="1"/>
  <c r="J1484" i="48"/>
  <c r="K1484" i="48" s="1"/>
  <c r="I1486" i="48" l="1"/>
  <c r="J1485" i="48"/>
  <c r="K1485" i="48" s="1"/>
  <c r="I1487" i="48" l="1"/>
  <c r="J1486" i="48"/>
  <c r="K1486" i="48" s="1"/>
  <c r="J1487" i="48" l="1"/>
  <c r="K1487" i="48" s="1"/>
  <c r="I1488" i="48"/>
  <c r="I1489" i="48" l="1"/>
  <c r="J1488" i="48"/>
  <c r="K1488" i="48" s="1"/>
  <c r="I1490" i="48" l="1"/>
  <c r="J1489" i="48"/>
  <c r="K1489" i="48" s="1"/>
  <c r="I1491" i="48" l="1"/>
  <c r="J1490" i="48"/>
  <c r="K1490" i="48" s="1"/>
  <c r="J1491" i="48" l="1"/>
  <c r="K1491" i="48" s="1"/>
  <c r="I1492" i="48"/>
  <c r="I1493" i="48" l="1"/>
  <c r="J1492" i="48"/>
  <c r="K1492" i="48" s="1"/>
  <c r="I1494" i="48" l="1"/>
  <c r="J1494" i="48" s="1"/>
  <c r="K1494" i="48" s="1"/>
  <c r="J1493" i="48"/>
  <c r="K1493" i="48" s="1"/>
  <c r="DG48" i="48" l="1"/>
  <c r="K48" i="48"/>
  <c r="DG46" i="48"/>
  <c r="K46" i="48"/>
  <c r="DG52" i="48"/>
  <c r="K52" i="48"/>
  <c r="DG43" i="48"/>
  <c r="K43" i="48"/>
  <c r="DG42" i="48"/>
  <c r="DG40" i="48"/>
  <c r="K40" i="48"/>
  <c r="DG38" i="48"/>
  <c r="K38" i="48"/>
  <c r="DG44" i="48"/>
  <c r="K44" i="48"/>
  <c r="K35" i="48"/>
  <c r="DG50" i="48"/>
  <c r="DG47" i="48"/>
  <c r="K47" i="48"/>
  <c r="DG45" i="48"/>
  <c r="K45" i="48"/>
  <c r="DG36" i="48"/>
  <c r="K36" i="48"/>
  <c r="K50" i="48"/>
  <c r="DG39" i="48"/>
  <c r="K39" i="48"/>
  <c r="DG37" i="48"/>
  <c r="K37" i="48"/>
  <c r="DG51" i="48"/>
  <c r="K51" i="48"/>
  <c r="K42" i="48"/>
  <c r="L36" i="48" l="1"/>
  <c r="L51" i="48"/>
  <c r="L37" i="48"/>
  <c r="L44" i="48"/>
  <c r="L43" i="48"/>
  <c r="L39" i="48"/>
  <c r="L47" i="48"/>
  <c r="L48" i="48"/>
  <c r="L38" i="48"/>
  <c r="L52" i="48"/>
  <c r="DG49" i="48"/>
  <c r="K49" i="48"/>
  <c r="L40" i="48"/>
  <c r="L46" i="48"/>
  <c r="L45" i="48"/>
  <c r="DG41" i="48"/>
  <c r="K41" i="48"/>
  <c r="L49" i="48" l="1"/>
  <c r="L41" i="48"/>
  <c r="M48" i="48"/>
  <c r="AO47" i="48"/>
  <c r="M43" i="48"/>
  <c r="AO39" i="48"/>
  <c r="M52" i="48"/>
  <c r="AO44" i="48"/>
  <c r="AO37" i="48"/>
  <c r="AO51" i="48"/>
  <c r="AO36" i="48"/>
  <c r="AP36" i="48" s="1"/>
  <c r="AQ36" i="48" s="1"/>
  <c r="AS36" i="48" s="1"/>
  <c r="M36" i="48"/>
  <c r="M37" i="48"/>
  <c r="AO43" i="48"/>
  <c r="M51" i="48"/>
  <c r="M39" i="48"/>
  <c r="M47" i="48"/>
  <c r="AO48" i="48"/>
  <c r="M44" i="48"/>
  <c r="L50" i="48"/>
  <c r="L42" i="48"/>
  <c r="K34" i="48"/>
  <c r="DG34" i="48"/>
  <c r="DG35" i="48"/>
  <c r="AO45" i="48"/>
  <c r="M45" i="48"/>
  <c r="AO41" i="48"/>
  <c r="M41" i="48"/>
  <c r="AO46" i="48"/>
  <c r="M46" i="48"/>
  <c r="AO40" i="48"/>
  <c r="M40" i="48"/>
  <c r="AO38" i="48"/>
  <c r="M38" i="48"/>
  <c r="M49" i="48" l="1"/>
  <c r="AO49" i="48"/>
  <c r="O52" i="48"/>
  <c r="O23" i="48"/>
  <c r="AO23" i="48" s="1"/>
  <c r="O11" i="48"/>
  <c r="N11" i="48" s="1"/>
  <c r="O48" i="48"/>
  <c r="O43" i="48"/>
  <c r="O18" i="48"/>
  <c r="AO18" i="48" s="1"/>
  <c r="O27" i="48"/>
  <c r="AO27" i="48" s="1"/>
  <c r="AP37" i="48"/>
  <c r="AQ37" i="48" s="1"/>
  <c r="AS37" i="48" s="1"/>
  <c r="AO42" i="48"/>
  <c r="M50" i="48"/>
  <c r="O36" i="48"/>
  <c r="N36" i="48" s="1"/>
  <c r="O12" i="48"/>
  <c r="AO12" i="48" s="1"/>
  <c r="O37" i="48"/>
  <c r="O19" i="48"/>
  <c r="AO19" i="48" s="1"/>
  <c r="O22" i="48"/>
  <c r="AO22" i="48" s="1"/>
  <c r="O39" i="48"/>
  <c r="O26" i="48"/>
  <c r="AO26" i="48" s="1"/>
  <c r="O51" i="48"/>
  <c r="O47" i="48"/>
  <c r="O44" i="48"/>
  <c r="O14" i="48"/>
  <c r="AO14" i="48" s="1"/>
  <c r="AO50" i="48"/>
  <c r="L35" i="48"/>
  <c r="M42" i="48"/>
  <c r="P28" i="48" s="1"/>
  <c r="O41" i="48"/>
  <c r="O16" i="48"/>
  <c r="AO16" i="48" s="1"/>
  <c r="O50" i="48"/>
  <c r="O45" i="48"/>
  <c r="O20" i="48"/>
  <c r="AO20" i="48" s="1"/>
  <c r="O38" i="48"/>
  <c r="O13" i="48"/>
  <c r="AO13" i="48" s="1"/>
  <c r="O15" i="48"/>
  <c r="AO15" i="48" s="1"/>
  <c r="O40" i="48"/>
  <c r="O46" i="48"/>
  <c r="O21" i="48"/>
  <c r="AO21" i="48" s="1"/>
  <c r="O24" i="48" l="1"/>
  <c r="AO24" i="48" s="1"/>
  <c r="O49" i="48"/>
  <c r="AO11" i="48"/>
  <c r="AP11" i="48" s="1"/>
  <c r="AQ11" i="48" s="1"/>
  <c r="AS11" i="48" s="1"/>
  <c r="O25" i="48"/>
  <c r="AO25" i="48" s="1"/>
  <c r="AP38" i="48"/>
  <c r="N37" i="48"/>
  <c r="N38" i="48" s="1"/>
  <c r="N39" i="48" s="1"/>
  <c r="N40" i="48" s="1"/>
  <c r="N41" i="48" s="1"/>
  <c r="N12" i="48"/>
  <c r="N13" i="48" s="1"/>
  <c r="P45" i="48"/>
  <c r="P42" i="48"/>
  <c r="P37" i="48"/>
  <c r="P49" i="48"/>
  <c r="P43" i="48"/>
  <c r="P41" i="48"/>
  <c r="P46" i="48"/>
  <c r="P36" i="48"/>
  <c r="P39" i="48"/>
  <c r="P48" i="48"/>
  <c r="P50" i="48"/>
  <c r="P40" i="48"/>
  <c r="P52" i="48"/>
  <c r="P44" i="48"/>
  <c r="P47" i="48"/>
  <c r="P51" i="48"/>
  <c r="P38" i="48"/>
  <c r="O42" i="48"/>
  <c r="P11" i="48"/>
  <c r="P20" i="48"/>
  <c r="P13" i="48"/>
  <c r="P21" i="48"/>
  <c r="P16" i="48"/>
  <c r="P24" i="48"/>
  <c r="P17" i="48"/>
  <c r="P27" i="48"/>
  <c r="P12" i="48"/>
  <c r="P25" i="48"/>
  <c r="P14" i="48"/>
  <c r="P18" i="48"/>
  <c r="P22" i="48"/>
  <c r="P26" i="48"/>
  <c r="P15" i="48"/>
  <c r="P19" i="48"/>
  <c r="P23" i="48"/>
  <c r="AO35" i="48"/>
  <c r="O17" i="48"/>
  <c r="AO17" i="48" s="1"/>
  <c r="AP12" i="48"/>
  <c r="AP13" i="48" s="1"/>
  <c r="AQ38" i="48"/>
  <c r="AS38" i="48" s="1"/>
  <c r="AP39" i="48"/>
  <c r="N42" i="48" l="1"/>
  <c r="N43" i="48" s="1"/>
  <c r="N44" i="48" s="1"/>
  <c r="N45" i="48" s="1"/>
  <c r="N46" i="48" s="1"/>
  <c r="N47" i="48" s="1"/>
  <c r="N48" i="48" s="1"/>
  <c r="N49" i="48" s="1"/>
  <c r="N50" i="48" s="1"/>
  <c r="N51" i="48" s="1"/>
  <c r="N52" i="48" s="1"/>
  <c r="AQ12" i="48"/>
  <c r="AS12" i="48" s="1"/>
  <c r="O3" i="48"/>
  <c r="N14" i="48"/>
  <c r="N15" i="48" s="1"/>
  <c r="N16" i="48" s="1"/>
  <c r="N17" i="48" s="1"/>
  <c r="N18" i="48" s="1"/>
  <c r="N19" i="48" s="1"/>
  <c r="N20" i="48" s="1"/>
  <c r="N21" i="48" s="1"/>
  <c r="N22" i="48" s="1"/>
  <c r="N23" i="48" s="1"/>
  <c r="N24" i="48" s="1"/>
  <c r="N25" i="48" s="1"/>
  <c r="N26" i="48" s="1"/>
  <c r="N27" i="48" s="1"/>
  <c r="AP14" i="48"/>
  <c r="AQ13" i="48"/>
  <c r="AS13" i="48" s="1"/>
  <c r="AP40" i="48"/>
  <c r="AQ39" i="48"/>
  <c r="AS39" i="48" s="1"/>
  <c r="AP15" i="48" l="1"/>
  <c r="AQ14" i="48"/>
  <c r="AS14" i="48" s="1"/>
  <c r="AQ40" i="48"/>
  <c r="AS40" i="48" s="1"/>
  <c r="AP41" i="48"/>
  <c r="AP42" i="48" l="1"/>
  <c r="AQ41" i="48"/>
  <c r="AS41" i="48" s="1"/>
  <c r="AP16" i="48"/>
  <c r="AQ15" i="48"/>
  <c r="AS15" i="48" s="1"/>
  <c r="AP17" i="48" l="1"/>
  <c r="AQ16" i="48"/>
  <c r="AS16" i="48" s="1"/>
  <c r="AP43" i="48"/>
  <c r="AQ42" i="48"/>
  <c r="AS42" i="48" s="1"/>
  <c r="AQ43" i="48" l="1"/>
  <c r="AS43" i="48" s="1"/>
  <c r="AP44" i="48"/>
  <c r="AP18" i="48"/>
  <c r="AQ17" i="48"/>
  <c r="AS17" i="48" s="1"/>
  <c r="AP19" i="48" l="1"/>
  <c r="AQ18" i="48"/>
  <c r="AS18" i="48" s="1"/>
  <c r="AP45" i="48"/>
  <c r="AQ44" i="48"/>
  <c r="AS44" i="48" s="1"/>
  <c r="AQ19" i="48" l="1"/>
  <c r="AS19" i="48" s="1"/>
  <c r="AP20" i="48"/>
  <c r="AQ45" i="48"/>
  <c r="AS45" i="48" s="1"/>
  <c r="AP46" i="48"/>
  <c r="AP47" i="48" l="1"/>
  <c r="AQ46" i="48"/>
  <c r="AS46" i="48" s="1"/>
  <c r="AQ20" i="48"/>
  <c r="AS20" i="48" s="1"/>
  <c r="AP21" i="48"/>
  <c r="AP48" i="48" l="1"/>
  <c r="AQ47" i="48"/>
  <c r="AS47" i="48" s="1"/>
  <c r="AQ21" i="48"/>
  <c r="AS21" i="48" s="1"/>
  <c r="AP22" i="48"/>
  <c r="AP23" i="48" l="1"/>
  <c r="AQ22" i="48"/>
  <c r="AS22" i="48" s="1"/>
  <c r="AP49" i="48"/>
  <c r="AQ48" i="48"/>
  <c r="AS48" i="48" s="1"/>
  <c r="AP50" i="48" l="1"/>
  <c r="AQ49" i="48"/>
  <c r="AS49" i="48" s="1"/>
  <c r="AP24" i="48"/>
  <c r="AQ23" i="48"/>
  <c r="AS23" i="48" s="1"/>
  <c r="AQ24" i="48" l="1"/>
  <c r="AS24" i="48" s="1"/>
  <c r="AP25" i="48"/>
  <c r="AQ50" i="48"/>
  <c r="AS50" i="48" s="1"/>
  <c r="AP51" i="48"/>
  <c r="AQ51" i="48" s="1"/>
  <c r="AS51" i="48" s="1"/>
  <c r="AQ25" i="48" l="1"/>
  <c r="AS25" i="48" s="1"/>
  <c r="AP26" i="48"/>
  <c r="AQ26" i="48" l="1"/>
  <c r="AS26" i="48" s="1"/>
  <c r="AP27" i="48"/>
  <c r="AQ27" i="48" s="1"/>
  <c r="AQ3" i="48" l="1"/>
  <c r="BE6" i="48" s="1"/>
  <c r="BF6" i="48" s="1"/>
  <c r="DG9" i="48" l="1"/>
</calcChain>
</file>

<file path=xl/sharedStrings.xml><?xml version="1.0" encoding="utf-8"?>
<sst xmlns="http://schemas.openxmlformats.org/spreadsheetml/2006/main" count="11412" uniqueCount="596">
  <si>
    <t>Company Name</t>
  </si>
  <si>
    <t>SNL Institution Key</t>
  </si>
  <si>
    <t>State</t>
  </si>
  <si>
    <t>NE</t>
  </si>
  <si>
    <t>Year</t>
  </si>
  <si>
    <t>Cost Labor</t>
  </si>
  <si>
    <t>Real Labor</t>
  </si>
  <si>
    <t>% Real Labor</t>
  </si>
  <si>
    <t>Wtd %ChL</t>
  </si>
  <si>
    <t>Industry Labor Input</t>
  </si>
  <si>
    <t>% Ch. Industry Labor Input</t>
  </si>
  <si>
    <t>Cost Materials</t>
  </si>
  <si>
    <t>Real Materials</t>
  </si>
  <si>
    <t>% Real Materials</t>
  </si>
  <si>
    <t>Wtd %ChM</t>
  </si>
  <si>
    <t>Industry Non-Labor OM Input</t>
  </si>
  <si>
    <t>% Ch. Industry NonL OM Input</t>
  </si>
  <si>
    <t>Cost
Capital  Input</t>
  </si>
  <si>
    <t>% Change Cost Capital Input</t>
  </si>
  <si>
    <t>Capital Input Quantity</t>
  </si>
  <si>
    <t>% Change Capital Input Quantity</t>
  </si>
  <si>
    <t>Industry Capital Input</t>
  </si>
  <si>
    <t>% Ch. Industry Capital Input</t>
  </si>
  <si>
    <t>Company Total Costs</t>
  </si>
  <si>
    <t>%Ch  Co. TC</t>
  </si>
  <si>
    <t>Industry TC</t>
  </si>
  <si>
    <t>Industry  % Ch TC</t>
  </si>
  <si>
    <t>Industry   UC</t>
  </si>
  <si>
    <t>NE UC</t>
  </si>
  <si>
    <t>Co. UC</t>
  </si>
  <si>
    <t>US Customer wts</t>
  </si>
  <si>
    <t xml:space="preserve">L Cost Share </t>
  </si>
  <si>
    <t xml:space="preserve">M Cost Share </t>
  </si>
  <si>
    <t xml:space="preserve">K Cost Share </t>
  </si>
  <si>
    <t>Input Q Index</t>
  </si>
  <si>
    <t>%Ch Input Q Index</t>
  </si>
  <si>
    <t>Cost share</t>
  </si>
  <si>
    <t>Wtdshare</t>
  </si>
  <si>
    <t>Industry Input Price Index</t>
  </si>
  <si>
    <t>% Ch Industry Input Price Index</t>
  </si>
  <si>
    <t>Company Total Customers</t>
  </si>
  <si>
    <t>%Ch Company Output</t>
  </si>
  <si>
    <t>US Customers     Output</t>
  </si>
  <si>
    <t>% Change  Output</t>
  </si>
  <si>
    <t>NE Customers</t>
  </si>
  <si>
    <t>NE Costs</t>
  </si>
  <si>
    <t>Gross Dx Plant 1998</t>
  </si>
  <si>
    <t>Gross General Plant 1998</t>
  </si>
  <si>
    <t>Dx Plant Additions (1999 - 2020)</t>
  </si>
  <si>
    <t>General Plant Additions (1999 - 2020)</t>
  </si>
  <si>
    <t>Gen. Plant Allocator</t>
  </si>
  <si>
    <t>Allocatd Gen Additions</t>
  </si>
  <si>
    <t xml:space="preserve">AccumDep Distribution </t>
  </si>
  <si>
    <t>AccumDep General</t>
  </si>
  <si>
    <t>TWA 1998</t>
  </si>
  <si>
    <t>Gross Dx Plant</t>
  </si>
  <si>
    <t>Gross General Plant</t>
  </si>
  <si>
    <t>Net Plant</t>
  </si>
  <si>
    <t xml:space="preserve"> Total Gas Plant 1998</t>
  </si>
  <si>
    <t>AD 1998</t>
  </si>
  <si>
    <t>Net Gas Plant 1998</t>
  </si>
  <si>
    <t>1998 Net Plant/TWA</t>
  </si>
  <si>
    <t>Additions</t>
  </si>
  <si>
    <t>Additions deflated by HW</t>
  </si>
  <si>
    <t>Efficiency Depreciation Hyperbolic</t>
  </si>
  <si>
    <t>Capital Stock Hyperbolic</t>
  </si>
  <si>
    <t>%Change Capital Stock Hyperbolic</t>
  </si>
  <si>
    <t>MFTP  Quant</t>
  </si>
  <si>
    <t>Annual Deprec.</t>
  </si>
  <si>
    <t>Smoothed Deprec.</t>
  </si>
  <si>
    <t>RoR</t>
  </si>
  <si>
    <t>Infl</t>
  </si>
  <si>
    <t>Real ROR</t>
  </si>
  <si>
    <t>R-D</t>
  </si>
  <si>
    <t>DeltaHW</t>
  </si>
  <si>
    <t>1-uz</t>
  </si>
  <si>
    <t>Computation of Average Z</t>
  </si>
  <si>
    <t>Corporate Tax Rate</t>
  </si>
  <si>
    <t>z-value</t>
  </si>
  <si>
    <t>K Service Price</t>
  </si>
  <si>
    <t>%Ch K Service Price</t>
  </si>
  <si>
    <t>Cost of Capital</t>
  </si>
  <si>
    <t>Inflation Rate</t>
  </si>
  <si>
    <t>HW</t>
  </si>
  <si>
    <t>ECI</t>
  </si>
  <si>
    <t>% Ch ECI</t>
  </si>
  <si>
    <t>GDPPI</t>
  </si>
  <si>
    <t>% Ch GDPPI</t>
  </si>
  <si>
    <t>PPI</t>
  </si>
  <si>
    <t>Product</t>
  </si>
  <si>
    <t>Company weights</t>
  </si>
  <si>
    <t>Hyper</t>
  </si>
  <si>
    <t>OHS</t>
  </si>
  <si>
    <t>SL</t>
  </si>
  <si>
    <t>Geo1</t>
  </si>
  <si>
    <t>Geo2</t>
  </si>
  <si>
    <t>Avg real RoR</t>
  </si>
  <si>
    <t>Average z</t>
  </si>
  <si>
    <t>ATLANTA GAS LIGHT COMPANY</t>
  </si>
  <si>
    <t>GA</t>
  </si>
  <si>
    <t>1998 Y</t>
  </si>
  <si>
    <t>2006-22</t>
  </si>
  <si>
    <t>HW Year</t>
  </si>
  <si>
    <t>HW index</t>
  </si>
  <si>
    <t>HW weight</t>
  </si>
  <si>
    <t>Wtd value</t>
  </si>
  <si>
    <t>1999 Y</t>
  </si>
  <si>
    <t>2000 Y</t>
  </si>
  <si>
    <t>%Output</t>
  </si>
  <si>
    <t>%Input</t>
  </si>
  <si>
    <t>%TFP</t>
  </si>
  <si>
    <t>2001 Y</t>
  </si>
  <si>
    <t>2006-2022</t>
  </si>
  <si>
    <t>2002 Y</t>
  </si>
  <si>
    <t>2003 Y</t>
  </si>
  <si>
    <t>2004 Y</t>
  </si>
  <si>
    <t>2005 Y</t>
  </si>
  <si>
    <t>2006 Y</t>
  </si>
  <si>
    <t>2007 Y</t>
  </si>
  <si>
    <t>2020-2022 Cost Benchmarking</t>
  </si>
  <si>
    <t>2008 Y</t>
  </si>
  <si>
    <t>EGI</t>
  </si>
  <si>
    <t>US</t>
  </si>
  <si>
    <t>% Diff US</t>
  </si>
  <si>
    <t>% Diff NE</t>
  </si>
  <si>
    <t>2009 Y</t>
  </si>
  <si>
    <t>2010 Y</t>
  </si>
  <si>
    <t>2011 Y</t>
  </si>
  <si>
    <t>2012 Y</t>
  </si>
  <si>
    <t>2013 Y</t>
  </si>
  <si>
    <t>2014 Y</t>
  </si>
  <si>
    <t>2020-2022 Avg</t>
  </si>
  <si>
    <t>2015 Y</t>
  </si>
  <si>
    <t>2016 Y</t>
  </si>
  <si>
    <t xml:space="preserve">Peer Comparisons, 2020-2022 Avg.  </t>
  </si>
  <si>
    <t>2017 Y</t>
  </si>
  <si>
    <t>2018 Y</t>
  </si>
  <si>
    <t>Company</t>
  </si>
  <si>
    <t>2020-2022 Avg. Unit Cost</t>
  </si>
  <si>
    <t>% Difference</t>
  </si>
  <si>
    <t>2019 Y</t>
  </si>
  <si>
    <t>2020 Y</t>
  </si>
  <si>
    <t>2021 Y</t>
  </si>
  <si>
    <t>Peer Avg.</t>
  </si>
  <si>
    <t>2022Y</t>
  </si>
  <si>
    <t>AVISTA CORPORATION</t>
  </si>
  <si>
    <t>WA</t>
  </si>
  <si>
    <t>ConEd</t>
  </si>
  <si>
    <t>PGL&amp;Coke</t>
  </si>
  <si>
    <t>SoCalGas</t>
  </si>
  <si>
    <t>PG&amp;E</t>
  </si>
  <si>
    <t>PSE&amp;G</t>
  </si>
  <si>
    <t>Consumers Engergy</t>
  </si>
  <si>
    <t>AGL</t>
  </si>
  <si>
    <t>BALTIMORE GAS AND ELECTRIC COMPANY</t>
  </si>
  <si>
    <t>MD</t>
  </si>
  <si>
    <t>Input growth rates</t>
  </si>
  <si>
    <t>Weighted by input's cost share</t>
  </si>
  <si>
    <t>Input weights</t>
  </si>
  <si>
    <t>Output</t>
  </si>
  <si>
    <t>Input</t>
  </si>
  <si>
    <t>TFP</t>
  </si>
  <si>
    <t>BERKSHIRE GAS COMPANY</t>
  </si>
  <si>
    <t>The Berkshire Gas Company</t>
  </si>
  <si>
    <t>MA</t>
  </si>
  <si>
    <t>BLACK HILLS ENERGY ARKANSAS, INC.</t>
  </si>
  <si>
    <t>AR</t>
  </si>
  <si>
    <t>BLUEFIELD GAS COMPANY</t>
  </si>
  <si>
    <t>WV</t>
  </si>
  <si>
    <t>BOSTON GAS COMPANY</t>
  </si>
  <si>
    <t>BROOKLYN UNION GAS COMPANY</t>
  </si>
  <si>
    <t>NY</t>
  </si>
  <si>
    <t>CASCADE NATURAL GAS CORPORATION</t>
  </si>
  <si>
    <t>CENTRAL HUDSON GAS &amp; ELECTRIC CORPORATION</t>
  </si>
  <si>
    <t>COLONIAL GAS COMPANY</t>
  </si>
  <si>
    <t>NA</t>
  </si>
  <si>
    <t>COLUMBIA GAS OF KENTUCKY, INCORPORATED</t>
  </si>
  <si>
    <t>OH</t>
  </si>
  <si>
    <t>COLUMBIA GAS OF MARYLAND, INCORPORATED</t>
  </si>
  <si>
    <t>PA</t>
  </si>
  <si>
    <t>CONNECTICUT NATURAL GAS CORPORATION</t>
  </si>
  <si>
    <t>CT</t>
  </si>
  <si>
    <t>CONSOLIDATED EDISON COMPANY OF NEW YORK, INC.</t>
  </si>
  <si>
    <t>CONSUMERS ENERGY COMPANY</t>
  </si>
  <si>
    <t>MI</t>
  </si>
  <si>
    <t>CORNING NATURAL GAS CORPORATION</t>
  </si>
  <si>
    <t>DELTA NATURAL GAS COMPANY, INC.</t>
  </si>
  <si>
    <t>KY</t>
  </si>
  <si>
    <t>DTE GAS COMPANY</t>
  </si>
  <si>
    <t>DUKE ENERGY OHIO, INC.</t>
  </si>
  <si>
    <t>LOUISVILLE GAS AND ELECTRIC COMPANY</t>
  </si>
  <si>
    <t>MADISON GAS AND ELECTRIC COMPANY</t>
  </si>
  <si>
    <t>WI</t>
  </si>
  <si>
    <t>MOUNTAINEER GAS COMPANY</t>
  </si>
  <si>
    <t>NATIONAL FUEL GAS DISTRIBUTION CORPORATION</t>
  </si>
  <si>
    <t>NEW JERSEY NATURAL GAS COMPANY</t>
  </si>
  <si>
    <t>NJ</t>
  </si>
  <si>
    <t>NEW YORK STATE ELECTRIC &amp; GAS CORPORATION</t>
  </si>
  <si>
    <t>NIAGARA MOHAWK POWER CORPORATION</t>
  </si>
  <si>
    <t>NORTH SHORE GAS COMPANY</t>
  </si>
  <si>
    <t>IL</t>
  </si>
  <si>
    <t>NORTHERN ILLINOIS GAS COMPANY</t>
  </si>
  <si>
    <t>NORTHERN INDIANA PUBLIC SERVICE COMPANY</t>
  </si>
  <si>
    <t>IN</t>
  </si>
  <si>
    <t>NORTHERN STATES POWER COMPANY - WI</t>
  </si>
  <si>
    <t>Northern States Power Company</t>
  </si>
  <si>
    <t>OHIO GAS COMPANY</t>
  </si>
  <si>
    <t>ORANGE AND ROCKLAND UTILITIES, INC.</t>
  </si>
  <si>
    <t>PACIFIC GAS AND ELECTRIC COMPANY</t>
  </si>
  <si>
    <t>CA</t>
  </si>
  <si>
    <t>PEOPLES GAS LIGHT AND COKE COMPANY</t>
  </si>
  <si>
    <t>The Peoples Gas Light and Coke Company</t>
  </si>
  <si>
    <t>PEOPLES GAS SYSTEM</t>
  </si>
  <si>
    <t>FL</t>
  </si>
  <si>
    <t>PUBLIC SERVICE COMPANY OF NORTH CAROLINA, INCORPORATED</t>
  </si>
  <si>
    <t>NC</t>
  </si>
  <si>
    <t>PUBLIC SERVICE ELECTRIC AND GAS COMPANY</t>
  </si>
  <si>
    <t>PUGET SOUND ENERGY, INC.</t>
  </si>
  <si>
    <t>QUESTAR GAS COMPANY</t>
  </si>
  <si>
    <t>UT</t>
  </si>
  <si>
    <t>ROCHESTER GAS AND ELECTRIC CORPORATION</t>
  </si>
  <si>
    <t>Rochester Gas and Electric Co</t>
  </si>
  <si>
    <t>SOUTH JERSEY GAS COMPANY</t>
  </si>
  <si>
    <t>SOUTHERN CALIFORNIA GAS COMPANY</t>
  </si>
  <si>
    <t>SOUTHERN CONNECTICUT GAS COMPANY</t>
  </si>
  <si>
    <t>The Southern Connecticut Gas Company</t>
  </si>
  <si>
    <t>SOUTHERN INDIANA GAS AND ELECTRIC COMPANY</t>
  </si>
  <si>
    <t>TX</t>
  </si>
  <si>
    <t>ST. JOE NATURAL GAS CO, INC.</t>
  </si>
  <si>
    <t>ST. LAWRENCE GAS COMPANY, INC.</t>
  </si>
  <si>
    <t>SUPERIOR WATER, LIGHT AND POWER COMPANY</t>
  </si>
  <si>
    <t>THE EAST OHIO GAS COMPANY</t>
  </si>
  <si>
    <t>VIRGINIA NATURAL GAS, INC.</t>
  </si>
  <si>
    <t>VA</t>
  </si>
  <si>
    <t>WASHINGTON GAS LIGHT COMPANY</t>
  </si>
  <si>
    <t>DC</t>
  </si>
  <si>
    <t>WISCONSIN GAS LLC</t>
  </si>
  <si>
    <t>WISCONSIN POWER AND LIGHT COMPANY</t>
  </si>
  <si>
    <t>YANKEE GAS SERVICES COMPANY</t>
  </si>
  <si>
    <t>Yankee Gas Services Company</t>
  </si>
  <si>
    <t>x</t>
  </si>
  <si>
    <t>BoGas</t>
  </si>
  <si>
    <t>Colonial</t>
  </si>
  <si>
    <t>Combined</t>
  </si>
  <si>
    <t>Real</t>
  </si>
  <si>
    <t>Consolisted BoGas and Colonial Gas</t>
  </si>
  <si>
    <t>Cappadds</t>
  </si>
  <si>
    <t>K Stock</t>
  </si>
  <si>
    <t>% Change K</t>
  </si>
  <si>
    <t>BoGas Labor</t>
  </si>
  <si>
    <t>Combined Labor</t>
  </si>
  <si>
    <t>$</t>
  </si>
  <si>
    <t>BoGas NonL OM</t>
  </si>
  <si>
    <t>% Change</t>
  </si>
  <si>
    <t>K Costs</t>
  </si>
  <si>
    <t>TC Share</t>
  </si>
  <si>
    <t>TC</t>
  </si>
  <si>
    <t>%Ch TC</t>
  </si>
  <si>
    <t>Share L</t>
  </si>
  <si>
    <t>Share NonLOM</t>
  </si>
  <si>
    <t>Share K</t>
  </si>
  <si>
    <t>Colonial  Labor</t>
  </si>
  <si>
    <t>% Ch. Input Q Index</t>
  </si>
  <si>
    <t>Colonial  NonL OM</t>
  </si>
  <si>
    <t>Combined NonL OM</t>
  </si>
  <si>
    <t>%Ch L</t>
  </si>
  <si>
    <t>% Ch M</t>
  </si>
  <si>
    <t>%ChK</t>
  </si>
  <si>
    <t>% Input Q</t>
  </si>
  <si>
    <t xml:space="preserve">Wtd % Ch Input Q </t>
  </si>
  <si>
    <t>LABOR EXPENDITURES
($000)</t>
  </si>
  <si>
    <t>IDENTIFIER</t>
  </si>
  <si>
    <t>Sample Company Name</t>
  </si>
  <si>
    <t>SNL Company Name</t>
  </si>
  <si>
    <t>ARKANSAS OKLAHOMA GAS CORP.</t>
  </si>
  <si>
    <t>Northeast</t>
  </si>
  <si>
    <t>BAY STATE GAS COMPANY</t>
  </si>
  <si>
    <t>Eversource Gas Company of Massachusetts</t>
  </si>
  <si>
    <t>CHATTANOOGA GAS COMPANY</t>
  </si>
  <si>
    <t>CITIZENS GAS FUEL COMPANY</t>
  </si>
  <si>
    <t>COLUMBIA GAS OF OHIO, INC.</t>
  </si>
  <si>
    <t>COLUMBIA GAS OF PENNSYLVANIA, INC.</t>
  </si>
  <si>
    <t>COLUMBIA GAS OF VIRGINIA, INCORPORATED</t>
  </si>
  <si>
    <t>DUKE ENERGY KENTUCKY, INC.</t>
  </si>
  <si>
    <t>FILLMORE GAS COMPANY, INC.</t>
  </si>
  <si>
    <t>Fillmore Gas Company, Inc.</t>
  </si>
  <si>
    <t>HOPE GAS, INC.</t>
  </si>
  <si>
    <t>ILLINOIS GAS COMPANY</t>
  </si>
  <si>
    <t>INDIANA GAS COMPANY, INC.</t>
  </si>
  <si>
    <t>KANSAS GAS SERVICE COMPANY, INC.</t>
  </si>
  <si>
    <t>LIBERTY UTILITIES (ENERGYNORTH NATURAL GAS) CORP.</t>
  </si>
  <si>
    <t>MIDWEST NATURAL GAS CORPORATION</t>
  </si>
  <si>
    <t>MIDWEST NATURAL GAS, INC.</t>
  </si>
  <si>
    <t>NORTHWEST NATURAL HOLDING COMPANY</t>
  </si>
  <si>
    <t>NSTAR GAS COMPANY</t>
  </si>
  <si>
    <t>OHIO VALLEY GAS CORPORATION</t>
  </si>
  <si>
    <t>OKLAHOMA NATURAL GAS COMPANY</t>
  </si>
  <si>
    <t>PECO ENERGY CO.</t>
  </si>
  <si>
    <t>PECO Energy Company</t>
  </si>
  <si>
    <t>PHILADELPHIA GAS WORKS CO.</t>
  </si>
  <si>
    <t>PIKE COUNTY LIGHT AND POWER COMPANY</t>
  </si>
  <si>
    <t>PIKE NATURAL GAS CO</t>
  </si>
  <si>
    <t>SAN DIEGO GAS &amp; ELECTRIC COMPANY</t>
  </si>
  <si>
    <t>SIERRA PACIFIC POWER COMPANY</t>
  </si>
  <si>
    <t>SPIRE MISSISSIPPI INC.</t>
  </si>
  <si>
    <t>SPIRE MISSOURI INC.</t>
  </si>
  <si>
    <t>UGI PENN NATURAL GAS, INC.</t>
  </si>
  <si>
    <t>VERMONT GAS SYSTEMS, INC.</t>
  </si>
  <si>
    <t>WYOMING GAS COMPANY</t>
  </si>
  <si>
    <t>Wyoming Gas Company</t>
  </si>
  <si>
    <t>Multiplied (O&amp;M Expenditures - Labor Expenditures) by 1,000 to get real values before dividing by non-labor O&amp;M input price</t>
  </si>
  <si>
    <t>NON-LABOR Expenditures
($000)</t>
  </si>
  <si>
    <t>Total Natural Gas Customer_x000D_
(actual)</t>
  </si>
  <si>
    <t>TOTAL_NAT_GAS_CUSTOMER</t>
  </si>
  <si>
    <t>Distribution Plant-Gas_x000D_
($000)</t>
  </si>
  <si>
    <t>DIST_PLANT_GAS</t>
  </si>
  <si>
    <t>1997 Y</t>
  </si>
  <si>
    <t>1996 Y</t>
  </si>
  <si>
    <t>1995 Y</t>
  </si>
  <si>
    <t>Accum Depr: Distribution Plant_x000D_
($000)</t>
  </si>
  <si>
    <t>ACCUM_DEPR_DIST_PLANT</t>
  </si>
  <si>
    <t>General Plant-Gas_x000D_
($000)</t>
  </si>
  <si>
    <t>GENERAL_PLANT_GAS</t>
  </si>
  <si>
    <t>Accum Depr: General Plant_x000D_
($000)</t>
  </si>
  <si>
    <t>ACCUM_DEPR_GENERAL_PLANT</t>
  </si>
  <si>
    <t>Distribution Plt-Gas-Additions_x000D_
($000)</t>
  </si>
  <si>
    <t>General Plant-Gas-Additions_x000D_
2020 Y_x000D_
($000)</t>
  </si>
  <si>
    <t>General Plant-Gas-Additions_x000D_
2019 Y_x000D_
($000)</t>
  </si>
  <si>
    <t>General Plant-Gas-Additions_x000D_
2018 Y_x000D_
($000)</t>
  </si>
  <si>
    <t>General Plant-Gas-Additions_x000D_
2017 Y_x000D_
($000)</t>
  </si>
  <si>
    <t>General Plant-Gas-Additions_x000D_
2016 Y_x000D_
($000)</t>
  </si>
  <si>
    <t>General Plant-Gas-Additions_x000D_
2015 Y_x000D_
($000)</t>
  </si>
  <si>
    <t>General Plant-Gas-Additions_x000D_
2014 Y_x000D_
($000)</t>
  </si>
  <si>
    <t>General Plant-Gas-Additions_x000D_
2013 Y_x000D_
($000)</t>
  </si>
  <si>
    <t>General Plant-Gas-Additions_x000D_
2012 Y_x000D_
($000)</t>
  </si>
  <si>
    <t>General Plant-Gas-Additions_x000D_
2011 Y_x000D_
($000)</t>
  </si>
  <si>
    <t>General Plant-Gas-Additions_x000D_
2010 Y_x000D_
($000)</t>
  </si>
  <si>
    <t>General Plant-Gas-Additions_x000D_
2009 Y_x000D_
($000)</t>
  </si>
  <si>
    <t>General Plant-Gas-Additions_x000D_
2008 Y_x000D_
($000)</t>
  </si>
  <si>
    <t>General Plant-Gas-Additions_x000D_
2007 Y_x000D_
($000)</t>
  </si>
  <si>
    <t>General Plant-Gas-Additions_x000D_
2006 Y_x000D_
($000)</t>
  </si>
  <si>
    <t>General Plant-Gas-Additions_x000D_
2005 Y_x000D_
($000)</t>
  </si>
  <si>
    <t>General Plant-Gas-Additions_x000D_
2004 Y_x000D_
($000)</t>
  </si>
  <si>
    <t>General Plant-Gas-Additions_x000D_
2003 Y_x000D_
($000)</t>
  </si>
  <si>
    <t>General Plant-Gas-Additions_x000D_
2002 Y_x000D_
($000)</t>
  </si>
  <si>
    <t>General Plant-Gas-Additions_x000D_
2001 Y_x000D_
($000)</t>
  </si>
  <si>
    <t>General Plant-Gas-Additions_x000D_
2000 Y_x000D_
($000)</t>
  </si>
  <si>
    <t>General Plant-Gas-Additions_x000D_
1999 Y_x000D_
($000)</t>
  </si>
  <si>
    <t>General Plant-Gas-Additions_x000D_
1998 Y_x000D_
($000)</t>
  </si>
  <si>
    <t>General Plant-Gas-Additions_x000D_
1997 Y_x000D_
($000)</t>
  </si>
  <si>
    <t>General Plant-Gas-Additions_x000D_
1996 Y_x000D_
($000)</t>
  </si>
  <si>
    <t>General Plant-Gas-Additions_x000D_
1995 Y_x000D_
($000)</t>
  </si>
  <si>
    <t>DIST_PLANT_GAS_ADD</t>
  </si>
  <si>
    <t>GENERAL_PLANT_GAS_ADD</t>
  </si>
  <si>
    <t>General Plant-Gas-Additions_x000D_
($000)</t>
  </si>
  <si>
    <t>Total End User Natural Gas Customers_x000D_
(actual)</t>
  </si>
  <si>
    <t>TOTAL_END_USER_NAT_GAS_CUSTOMER</t>
  </si>
  <si>
    <t>PPI-Construction Materials</t>
  </si>
  <si>
    <t>Triangularized PPI</t>
  </si>
  <si>
    <t>Table 1.1.4. Price Indexes for Gross Domestic Product</t>
  </si>
  <si>
    <t>[Index numbers, 2012=100]</t>
  </si>
  <si>
    <t>Annual data from 1929 to 2021</t>
  </si>
  <si>
    <t>Bureau of Economic Analysis</t>
  </si>
  <si>
    <t>Data published June 29, 2022</t>
  </si>
  <si>
    <t>File created Jun 28 2022  1:25PM</t>
  </si>
  <si>
    <t>Line</t>
  </si>
  <si>
    <t>1</t>
  </si>
  <si>
    <t xml:space="preserve">    Gross domestic product</t>
  </si>
  <si>
    <t>A191RG</t>
  </si>
  <si>
    <t>2</t>
  </si>
  <si>
    <t>Personal consumption expenditures</t>
  </si>
  <si>
    <t>DPCERG</t>
  </si>
  <si>
    <t>3</t>
  </si>
  <si>
    <t xml:space="preserve">  Goods</t>
  </si>
  <si>
    <t>DGDSRG</t>
  </si>
  <si>
    <t>4</t>
  </si>
  <si>
    <t xml:space="preserve">    Durable goods</t>
  </si>
  <si>
    <t>DDURRG</t>
  </si>
  <si>
    <t>5</t>
  </si>
  <si>
    <t xml:space="preserve">    Nondurable goods</t>
  </si>
  <si>
    <t>DNDGRG</t>
  </si>
  <si>
    <t>6</t>
  </si>
  <si>
    <t xml:space="preserve">  Services</t>
  </si>
  <si>
    <t>DSERRG</t>
  </si>
  <si>
    <t>7</t>
  </si>
  <si>
    <t>Gross private domestic investment</t>
  </si>
  <si>
    <t>B006RG</t>
  </si>
  <si>
    <t>8</t>
  </si>
  <si>
    <t xml:space="preserve">  Fixed investment</t>
  </si>
  <si>
    <t>B007RG</t>
  </si>
  <si>
    <t>9</t>
  </si>
  <si>
    <t xml:space="preserve">    Nonresidential</t>
  </si>
  <si>
    <t>B008RG</t>
  </si>
  <si>
    <t>10</t>
  </si>
  <si>
    <t xml:space="preserve">      Structures</t>
  </si>
  <si>
    <t>B009RG</t>
  </si>
  <si>
    <t>11</t>
  </si>
  <si>
    <t xml:space="preserve">      Equipment</t>
  </si>
  <si>
    <t>Y033RG</t>
  </si>
  <si>
    <t>12</t>
  </si>
  <si>
    <t xml:space="preserve">      Intellectual property products</t>
  </si>
  <si>
    <t>Y001RG</t>
  </si>
  <si>
    <t>13</t>
  </si>
  <si>
    <t xml:space="preserve">    Residential</t>
  </si>
  <si>
    <t>B011RG</t>
  </si>
  <si>
    <t>14</t>
  </si>
  <si>
    <t xml:space="preserve">  Change in private inventories</t>
  </si>
  <si>
    <t>ZZZZZZ</t>
  </si>
  <si>
    <t>.....</t>
  </si>
  <si>
    <t>15</t>
  </si>
  <si>
    <t>Net exports of goods and services</t>
  </si>
  <si>
    <t>16</t>
  </si>
  <si>
    <t xml:space="preserve">  Exports</t>
  </si>
  <si>
    <t>B020RG</t>
  </si>
  <si>
    <t>17</t>
  </si>
  <si>
    <t xml:space="preserve">    Goods</t>
  </si>
  <si>
    <t>B253RG</t>
  </si>
  <si>
    <t>18</t>
  </si>
  <si>
    <t xml:space="preserve">    Services</t>
  </si>
  <si>
    <t>B646RG</t>
  </si>
  <si>
    <t>19</t>
  </si>
  <si>
    <t xml:space="preserve">  Imports</t>
  </si>
  <si>
    <t>B021RG</t>
  </si>
  <si>
    <t>20</t>
  </si>
  <si>
    <t>B255RG</t>
  </si>
  <si>
    <t>21</t>
  </si>
  <si>
    <t>B656RG</t>
  </si>
  <si>
    <t>22</t>
  </si>
  <si>
    <t>Government consumption expenditures and gross investment</t>
  </si>
  <si>
    <t>B822RG</t>
  </si>
  <si>
    <t>23</t>
  </si>
  <si>
    <t xml:space="preserve">  Federal</t>
  </si>
  <si>
    <t>B823RG</t>
  </si>
  <si>
    <t>24</t>
  </si>
  <si>
    <t xml:space="preserve">    National defense</t>
  </si>
  <si>
    <t>B824RG</t>
  </si>
  <si>
    <t>25</t>
  </si>
  <si>
    <t xml:space="preserve">    Nondefense</t>
  </si>
  <si>
    <t>B825RG</t>
  </si>
  <si>
    <t>26</t>
  </si>
  <si>
    <t xml:space="preserve">  State and local</t>
  </si>
  <si>
    <t>B829RG</t>
  </si>
  <si>
    <t>Employment Cost Index (NAICS)</t>
  </si>
  <si>
    <t>Original Data Value</t>
  </si>
  <si>
    <t>Series Id:</t>
  </si>
  <si>
    <t>CIU2010000000000I</t>
  </si>
  <si>
    <t>Not seasonally adjusted</t>
  </si>
  <si>
    <t>Series Title:</t>
  </si>
  <si>
    <t>Total compensation for Private industry workers in All industries and occupations, Index</t>
  </si>
  <si>
    <t>Ownership:</t>
  </si>
  <si>
    <t>Private industry workers</t>
  </si>
  <si>
    <t>Component:</t>
  </si>
  <si>
    <t>Total compensation</t>
  </si>
  <si>
    <t>Occupation:</t>
  </si>
  <si>
    <t>All workers</t>
  </si>
  <si>
    <t>Industry:</t>
  </si>
  <si>
    <t>Subcategory:</t>
  </si>
  <si>
    <t>Area:</t>
  </si>
  <si>
    <t>United States (National)</t>
  </si>
  <si>
    <t>Periodicity:</t>
  </si>
  <si>
    <t>Index number</t>
  </si>
  <si>
    <t>Years:</t>
  </si>
  <si>
    <t>2001 to 2022</t>
  </si>
  <si>
    <t>Period</t>
  </si>
  <si>
    <t>Estimate Value</t>
  </si>
  <si>
    <t>Standard Error</t>
  </si>
  <si>
    <t>Total Compensation</t>
  </si>
  <si>
    <t>Qtr1</t>
  </si>
  <si>
    <t/>
  </si>
  <si>
    <t>Qtr2</t>
  </si>
  <si>
    <t>Qtr3</t>
  </si>
  <si>
    <t>Qtr4</t>
  </si>
  <si>
    <t>ALFRED Graph Observations</t>
  </si>
  <si>
    <t>Archival Federal Reserve Economic Data</t>
  </si>
  <si>
    <t>Link: https://alfred.stlouisfed.org</t>
  </si>
  <si>
    <t>Help: https://alfred.stlouisfed.org/help</t>
  </si>
  <si>
    <t>Economic Research Division</t>
  </si>
  <si>
    <t>Federal Reserve Bank of St. Louis</t>
  </si>
  <si>
    <t>AAA_20160705</t>
  </si>
  <si>
    <t>Moody's Seasoned Aaa Corporate Bond Yield© Vintage: 2016-07-05, Percent, Monthly, Not Seasonally Adjusted</t>
  </si>
  <si>
    <t>AAA_20160801</t>
  </si>
  <si>
    <t>Moody's Seasoned Aaa Corporate Bond Yield© Vintage: 2016-08-01, Percent, Monthly, Not Seasonally Adjusted</t>
  </si>
  <si>
    <t>Frequency: Monthly</t>
  </si>
  <si>
    <t>observation_date</t>
  </si>
  <si>
    <t>AAA</t>
  </si>
  <si>
    <t>Average</t>
  </si>
  <si>
    <t>Moved to start at 2021</t>
  </si>
  <si>
    <t>Region</t>
  </si>
  <si>
    <t>Triangularized Weighted Average</t>
  </si>
  <si>
    <t>Distribution Plant - Weighted Average</t>
  </si>
  <si>
    <t>N Atlantic</t>
  </si>
  <si>
    <t>S Atlantic</t>
  </si>
  <si>
    <t xml:space="preserve">   Dx Plant - Structures &amp; Improvements</t>
  </si>
  <si>
    <t>N central</t>
  </si>
  <si>
    <t xml:space="preserve">   Mains, Cast Iron</t>
  </si>
  <si>
    <t xml:space="preserve">   Mains, Steel</t>
  </si>
  <si>
    <t>S Central</t>
  </si>
  <si>
    <t xml:space="preserve">   Mains, Plastic</t>
  </si>
  <si>
    <t xml:space="preserve">   Dx Plant - Compressor Station Equipment</t>
  </si>
  <si>
    <t>Plateau</t>
  </si>
  <si>
    <t xml:space="preserve">   Dx Plant - Meas. &amp; Reg. Sta. Equipment</t>
  </si>
  <si>
    <t xml:space="preserve">   Meas. &amp; Reg. Sta. Equipment-City Gt.</t>
  </si>
  <si>
    <t>Pacific</t>
  </si>
  <si>
    <t xml:space="preserve">   Services, Steel</t>
  </si>
  <si>
    <t xml:space="preserve">   Services, Plastic</t>
  </si>
  <si>
    <t>Avg</t>
  </si>
  <si>
    <t xml:space="preserve">   Meters</t>
  </si>
  <si>
    <t>HW Dx Avg</t>
  </si>
  <si>
    <t>COMPANY_NAME</t>
  </si>
  <si>
    <t>SNL_INSTN_KEY</t>
  </si>
  <si>
    <t>STATE</t>
  </si>
  <si>
    <t>Arkansas Oklahoma Gas Corp.</t>
  </si>
  <si>
    <t>Atlanta Gas Light Company</t>
  </si>
  <si>
    <t>Avista Corporation</t>
  </si>
  <si>
    <t>Baltimore Gas and Electric Company</t>
  </si>
  <si>
    <t>Black Hills Energy Arkansas, Inc.</t>
  </si>
  <si>
    <t>Bluefield Gas Company</t>
  </si>
  <si>
    <t>Boston Gas Company</t>
  </si>
  <si>
    <t>Brooklyn Union Gas Company</t>
  </si>
  <si>
    <t>Cascade Natural Gas Corporation</t>
  </si>
  <si>
    <t>Central Hudson Gas &amp; Electric Corporation</t>
  </si>
  <si>
    <t>Chattanooga Gas Company</t>
  </si>
  <si>
    <t>TN</t>
  </si>
  <si>
    <t>Citizens Gas Fuel Company</t>
  </si>
  <si>
    <t>Colonial Gas Company</t>
  </si>
  <si>
    <t>Columbia Gas of Kentucky, Incorporated</t>
  </si>
  <si>
    <t>Columbia Gas of Maryland, Incorporated</t>
  </si>
  <si>
    <t>Columbia Gas of Ohio, Inc.</t>
  </si>
  <si>
    <t>Columbia Gas of Pennsylvania, Inc.</t>
  </si>
  <si>
    <t>Columbia Gas of Virginia, Incorporated</t>
  </si>
  <si>
    <t>Connecticut Natural Gas Corporation</t>
  </si>
  <si>
    <t>Consolidated Edison Company of New York, Inc.</t>
  </si>
  <si>
    <t>Consumers Energy Company</t>
  </si>
  <si>
    <t>Corning Natural Gas Corporation</t>
  </si>
  <si>
    <t>Delta Natural Gas Company, Inc.</t>
  </si>
  <si>
    <t>DTE Gas Company</t>
  </si>
  <si>
    <t>Duke Energy Kentucky, Inc.</t>
  </si>
  <si>
    <t>Duke Energy Ohio, Inc.</t>
  </si>
  <si>
    <t>Hope Gas, Inc.</t>
  </si>
  <si>
    <t>Illinois Gas Company</t>
  </si>
  <si>
    <t>Indiana Gas Company, Inc.</t>
  </si>
  <si>
    <t>Kansas Gas Service Company, Inc.</t>
  </si>
  <si>
    <t>KS</t>
  </si>
  <si>
    <t>Liberty Utilities (EnergyNorth Natural Gas) Corp.</t>
  </si>
  <si>
    <t>NH</t>
  </si>
  <si>
    <t>Louisville Gas and Electric Company</t>
  </si>
  <si>
    <t>Madison Gas and Electric Company</t>
  </si>
  <si>
    <t>Midwest Natural Gas Corporation</t>
  </si>
  <si>
    <t>Midwest Natural Gas, Inc.</t>
  </si>
  <si>
    <t>Mountaineer Gas Company</t>
  </si>
  <si>
    <t>National Fuel Gas Distribution Corporation</t>
  </si>
  <si>
    <t>New Jersey Natural Gas Company</t>
  </si>
  <si>
    <t>New York State Electric &amp; Gas Corporation</t>
  </si>
  <si>
    <t>Niagara Mohawk Power Corporation</t>
  </si>
  <si>
    <t>North Shore Gas Company</t>
  </si>
  <si>
    <t>Northern Illinois Gas Company</t>
  </si>
  <si>
    <t>Northern Indiana Public Service Company</t>
  </si>
  <si>
    <t>Northwest Natural Holding Company</t>
  </si>
  <si>
    <t>OR</t>
  </si>
  <si>
    <t>NSTAR Gas Company</t>
  </si>
  <si>
    <t>Ohio Gas Company</t>
  </si>
  <si>
    <t>Ohio Valley Gas Corporation</t>
  </si>
  <si>
    <t>Oklahoma Natural Gas Company</t>
  </si>
  <si>
    <t>OK</t>
  </si>
  <si>
    <t>Orange and Rockland Utilities, Inc.</t>
  </si>
  <si>
    <t>Pacific Gas and Electric Company</t>
  </si>
  <si>
    <t>Peoples Gas System</t>
  </si>
  <si>
    <t>Philadelphia Gas Works Co.</t>
  </si>
  <si>
    <t>Pike County Light and Power Company</t>
  </si>
  <si>
    <t>Pike Natural Gas Co</t>
  </si>
  <si>
    <t>Public Service Company of North Carolina, Incorporated</t>
  </si>
  <si>
    <t>Public Service Electric and Gas Company</t>
  </si>
  <si>
    <t>Puget Sound Energy, Inc.</t>
  </si>
  <si>
    <t>Questar Gas Company</t>
  </si>
  <si>
    <t>San Diego Gas &amp; Electric Company</t>
  </si>
  <si>
    <t>Sierra Pacific Power Company</t>
  </si>
  <si>
    <t>NV</t>
  </si>
  <si>
    <t>South Jersey Gas Company</t>
  </si>
  <si>
    <t>Southern California Gas Company</t>
  </si>
  <si>
    <t>Southern Indiana Gas and Electric Company</t>
  </si>
  <si>
    <t>Spire Mississippi Inc.</t>
  </si>
  <si>
    <t>MS</t>
  </si>
  <si>
    <t>Spire Missouri Inc.</t>
  </si>
  <si>
    <t>MO</t>
  </si>
  <si>
    <t>St. Joe Natural Gas Co, Inc.</t>
  </si>
  <si>
    <t>St. Lawrence Gas Company, Inc.</t>
  </si>
  <si>
    <t>Superior Water, Light and Power Company</t>
  </si>
  <si>
    <t>The East Ohio Gas Company</t>
  </si>
  <si>
    <t>UGI Penn Natural Gas, Inc.</t>
  </si>
  <si>
    <t>Vermont Gas Systems, Inc.</t>
  </si>
  <si>
    <t>VT</t>
  </si>
  <si>
    <t>Virginia Natural Gas, Inc.</t>
  </si>
  <si>
    <t>Washington Gas Light Company</t>
  </si>
  <si>
    <t>Wisconsin Gas LLC</t>
  </si>
  <si>
    <t>Wisconsin Power and Light Company</t>
  </si>
  <si>
    <t>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</si>
</sst>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#,##0;\(#,##0\)"/>
    <numFmt numFmtId="166" formatCode="0.0"/>
    <numFmt numFmtId="167" formatCode="#,##0.000"/>
    <numFmt numFmtId="168" formatCode="#0.0"/>
    <numFmt numFmtId="169" formatCode="#,##0.0000_);\(#,##0.0000\)"/>
    <numFmt numFmtId="170" formatCode="_(* #,##0.0000_);_(* \(#,##0.0000\);_(* &quot;-&quot;??_);_(@_)"/>
    <numFmt numFmtId="171" formatCode="yyyy\-mm\-dd"/>
    <numFmt numFmtId="172" formatCode="_(* #,##0.000_);_(* \(#,##0.000\);_(* &quot;-&quot;??_);_(@_)"/>
    <numFmt numFmtId="173" formatCode="_(* #,##0.000000_);_(* \(#,##0.000000\);_(* &quot;-&quot;??_);_(@_)"/>
    <numFmt numFmtId="174" formatCode="0.0%"/>
    <numFmt numFmtId="175" formatCode="0.000"/>
    <numFmt numFmtId="176" formatCode="#,##0.0_);\(#,##0.0\)"/>
    <numFmt numFmtId="177" formatCode="0.0000"/>
    <numFmt numFmtId="178" formatCode="0_);\(0\)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 val="singleAccounting"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FF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0.14999847407452621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/>
      <bottom style="thick">
        <color auto="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250">
    <xf numFmtId="0" fontId="0" fillId="0" borderId="0" xfId="0"/>
    <xf numFmtId="0" fontId="4" fillId="0" borderId="0" xfId="2"/>
    <xf numFmtId="0" fontId="4" fillId="0" borderId="0" xfId="2" applyAlignment="1">
      <alignment horizontal="left" wrapText="1"/>
    </xf>
    <xf numFmtId="0" fontId="5" fillId="0" borderId="0" xfId="2" applyFont="1"/>
    <xf numFmtId="0" fontId="5" fillId="0" borderId="0" xfId="2" applyFont="1" applyAlignment="1">
      <alignment horizontal="left" wrapText="1"/>
    </xf>
    <xf numFmtId="0" fontId="5" fillId="0" borderId="0" xfId="2" applyFont="1" applyAlignment="1">
      <alignment horizontal="left"/>
    </xf>
    <xf numFmtId="0" fontId="4" fillId="0" borderId="0" xfId="2" applyAlignment="1">
      <alignment horizontal="left" vertical="top"/>
    </xf>
    <xf numFmtId="49" fontId="4" fillId="0" borderId="0" xfId="2" applyNumberFormat="1" applyAlignment="1">
      <alignment horizontal="left" vertical="top"/>
    </xf>
    <xf numFmtId="164" fontId="4" fillId="0" borderId="0" xfId="1" applyNumberFormat="1" applyFont="1" applyAlignment="1">
      <alignment horizontal="right" vertical="top"/>
    </xf>
    <xf numFmtId="0" fontId="4" fillId="0" borderId="0" xfId="2" applyAlignment="1">
      <alignment horizontal="right" wrapText="1"/>
    </xf>
    <xf numFmtId="0" fontId="5" fillId="0" borderId="0" xfId="2" applyFont="1" applyAlignment="1">
      <alignment horizontal="right" wrapText="1"/>
    </xf>
    <xf numFmtId="164" fontId="0" fillId="0" borderId="0" xfId="1" applyNumberFormat="1" applyFont="1" applyFill="1" applyBorder="1"/>
    <xf numFmtId="0" fontId="2" fillId="3" borderId="2" xfId="0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center" vertical="center" wrapText="1"/>
    </xf>
    <xf numFmtId="164" fontId="2" fillId="3" borderId="2" xfId="1" applyNumberFormat="1" applyFont="1" applyFill="1" applyBorder="1" applyAlignment="1">
      <alignment horizontal="center" vertical="center" wrapText="1"/>
    </xf>
    <xf numFmtId="43" fontId="2" fillId="3" borderId="2" xfId="1" applyFont="1" applyFill="1" applyBorder="1" applyAlignment="1">
      <alignment horizontal="center" vertical="center" wrapText="1"/>
    </xf>
    <xf numFmtId="43" fontId="0" fillId="0" borderId="0" xfId="0" applyNumberFormat="1"/>
    <xf numFmtId="0" fontId="4" fillId="0" borderId="0" xfId="2" applyAlignment="1">
      <alignment horizontal="right" vertical="top"/>
    </xf>
    <xf numFmtId="165" fontId="4" fillId="0" borderId="0" xfId="2" applyNumberFormat="1" applyAlignment="1">
      <alignment horizontal="right" vertical="top"/>
    </xf>
    <xf numFmtId="164" fontId="4" fillId="0" borderId="0" xfId="3" applyNumberFormat="1" applyFont="1" applyAlignment="1">
      <alignment horizontal="right" vertical="top"/>
    </xf>
    <xf numFmtId="0" fontId="4" fillId="0" borderId="0" xfId="0" applyFont="1"/>
    <xf numFmtId="166" fontId="0" fillId="0" borderId="0" xfId="0" applyNumberFormat="1"/>
    <xf numFmtId="167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6" fillId="0" borderId="0" xfId="4"/>
    <xf numFmtId="0" fontId="8" fillId="0" borderId="0" xfId="4" applyFont="1" applyAlignment="1">
      <alignment horizontal="left" vertical="top" wrapText="1"/>
    </xf>
    <xf numFmtId="0" fontId="8" fillId="0" borderId="3" xfId="4" applyFont="1" applyBorder="1" applyAlignment="1">
      <alignment horizontal="left" wrapText="1"/>
    </xf>
    <xf numFmtId="0" fontId="8" fillId="0" borderId="3" xfId="4" applyFont="1" applyBorder="1" applyAlignment="1">
      <alignment horizontal="right" wrapText="1"/>
    </xf>
    <xf numFmtId="0" fontId="10" fillId="0" borderId="0" xfId="4" applyFont="1"/>
    <xf numFmtId="0" fontId="8" fillId="0" borderId="0" xfId="4" applyFont="1" applyAlignment="1">
      <alignment horizontal="left"/>
    </xf>
    <xf numFmtId="168" fontId="9" fillId="0" borderId="0" xfId="4" applyNumberFormat="1" applyFont="1" applyAlignment="1">
      <alignment horizontal="right"/>
    </xf>
    <xf numFmtId="43" fontId="0" fillId="0" borderId="0" xfId="1" applyFont="1"/>
    <xf numFmtId="164" fontId="0" fillId="0" borderId="0" xfId="1" applyNumberFormat="1" applyFont="1"/>
    <xf numFmtId="10" fontId="0" fillId="0" borderId="0" xfId="0" applyNumberFormat="1"/>
    <xf numFmtId="0" fontId="0" fillId="0" borderId="0" xfId="0" applyAlignment="1">
      <alignment wrapText="1"/>
    </xf>
    <xf numFmtId="1" fontId="0" fillId="0" borderId="0" xfId="1" applyNumberFormat="1" applyFont="1"/>
    <xf numFmtId="1" fontId="0" fillId="0" borderId="0" xfId="1" applyNumberFormat="1" applyFont="1" applyAlignment="1">
      <alignment horizontal="right" indent="1"/>
    </xf>
    <xf numFmtId="164" fontId="2" fillId="4" borderId="2" xfId="1" applyNumberFormat="1" applyFont="1" applyFill="1" applyBorder="1" applyAlignment="1">
      <alignment horizontal="center" vertical="center" wrapText="1"/>
    </xf>
    <xf numFmtId="2" fontId="0" fillId="0" borderId="0" xfId="0" applyNumberFormat="1"/>
    <xf numFmtId="169" fontId="0" fillId="0" borderId="0" xfId="1" applyNumberFormat="1" applyFont="1"/>
    <xf numFmtId="10" fontId="0" fillId="0" borderId="0" xfId="1" applyNumberFormat="1" applyFont="1"/>
    <xf numFmtId="0" fontId="0" fillId="0" borderId="0" xfId="0" applyAlignment="1">
      <alignment horizontal="center"/>
    </xf>
    <xf numFmtId="0" fontId="0" fillId="0" borderId="2" xfId="0" applyBorder="1"/>
    <xf numFmtId="171" fontId="0" fillId="0" borderId="0" xfId="0" applyNumberFormat="1"/>
    <xf numFmtId="0" fontId="0" fillId="0" borderId="0" xfId="0" applyAlignment="1">
      <alignment horizontal="right"/>
    </xf>
    <xf numFmtId="170" fontId="0" fillId="0" borderId="0" xfId="0" applyNumberFormat="1"/>
    <xf numFmtId="43" fontId="4" fillId="0" borderId="0" xfId="1" applyFont="1"/>
    <xf numFmtId="10" fontId="0" fillId="0" borderId="0" xfId="5" applyNumberFormat="1" applyFont="1" applyAlignment="1">
      <alignment horizontal="right"/>
    </xf>
    <xf numFmtId="43" fontId="2" fillId="3" borderId="0" xfId="1" applyFont="1" applyFill="1" applyBorder="1" applyAlignment="1">
      <alignment horizontal="center" vertical="center" wrapText="1"/>
    </xf>
    <xf numFmtId="10" fontId="2" fillId="3" borderId="0" xfId="1" applyNumberFormat="1" applyFont="1" applyFill="1" applyBorder="1" applyAlignment="1">
      <alignment horizontal="center" vertical="center" wrapText="1"/>
    </xf>
    <xf numFmtId="2" fontId="0" fillId="0" borderId="0" xfId="1" applyNumberFormat="1" applyFont="1" applyFill="1" applyBorder="1"/>
    <xf numFmtId="164" fontId="2" fillId="5" borderId="4" xfId="1" applyNumberFormat="1" applyFont="1" applyFill="1" applyBorder="1" applyAlignment="1">
      <alignment wrapText="1"/>
    </xf>
    <xf numFmtId="164" fontId="2" fillId="5" borderId="1" xfId="1" applyNumberFormat="1" applyFont="1" applyFill="1" applyBorder="1" applyAlignment="1">
      <alignment wrapText="1"/>
    </xf>
    <xf numFmtId="164" fontId="2" fillId="5" borderId="5" xfId="1" applyNumberFormat="1" applyFont="1" applyFill="1" applyBorder="1" applyAlignment="1">
      <alignment wrapText="1"/>
    </xf>
    <xf numFmtId="164" fontId="2" fillId="5" borderId="2" xfId="1" applyNumberFormat="1" applyFont="1" applyFill="1" applyBorder="1" applyAlignment="1">
      <alignment horizontal="center" wrapText="1"/>
    </xf>
    <xf numFmtId="0" fontId="0" fillId="2" borderId="0" xfId="0" applyFill="1"/>
    <xf numFmtId="164" fontId="2" fillId="3" borderId="0" xfId="1" applyNumberFormat="1" applyFont="1" applyFill="1" applyBorder="1" applyAlignment="1">
      <alignment horizontal="center" vertical="center" wrapText="1"/>
    </xf>
    <xf numFmtId="164" fontId="2" fillId="4" borderId="0" xfId="1" applyNumberFormat="1" applyFont="1" applyFill="1" applyBorder="1" applyAlignment="1">
      <alignment horizontal="center" vertical="center" wrapText="1"/>
    </xf>
    <xf numFmtId="164" fontId="2" fillId="5" borderId="0" xfId="1" applyNumberFormat="1" applyFont="1" applyFill="1" applyBorder="1" applyAlignment="1">
      <alignment wrapText="1"/>
    </xf>
    <xf numFmtId="164" fontId="11" fillId="0" borderId="0" xfId="1" applyNumberFormat="1" applyFont="1" applyFill="1" applyBorder="1"/>
    <xf numFmtId="164" fontId="11" fillId="0" borderId="2" xfId="1" applyNumberFormat="1" applyFont="1" applyFill="1" applyBorder="1"/>
    <xf numFmtId="164" fontId="11" fillId="0" borderId="0" xfId="1" applyNumberFormat="1" applyFont="1"/>
    <xf numFmtId="2" fontId="11" fillId="0" borderId="0" xfId="1" applyNumberFormat="1" applyFont="1" applyFill="1" applyBorder="1"/>
    <xf numFmtId="3" fontId="11" fillId="0" borderId="0" xfId="1" applyNumberFormat="1" applyFont="1" applyFill="1" applyBorder="1"/>
    <xf numFmtId="2" fontId="11" fillId="0" borderId="0" xfId="0" applyNumberFormat="1" applyFont="1"/>
    <xf numFmtId="1" fontId="11" fillId="0" borderId="0" xfId="1" applyNumberFormat="1" applyFont="1"/>
    <xf numFmtId="0" fontId="11" fillId="0" borderId="0" xfId="0" applyFont="1"/>
    <xf numFmtId="169" fontId="11" fillId="0" borderId="0" xfId="1" applyNumberFormat="1" applyFont="1"/>
    <xf numFmtId="10" fontId="11" fillId="0" borderId="0" xfId="1" applyNumberFormat="1" applyFont="1"/>
    <xf numFmtId="10" fontId="11" fillId="0" borderId="0" xfId="0" applyNumberFormat="1" applyFont="1"/>
    <xf numFmtId="43" fontId="11" fillId="0" borderId="0" xfId="0" applyNumberFormat="1" applyFont="1"/>
    <xf numFmtId="175" fontId="11" fillId="0" borderId="0" xfId="0" applyNumberFormat="1" applyFont="1"/>
    <xf numFmtId="43" fontId="11" fillId="0" borderId="0" xfId="1" applyFont="1"/>
    <xf numFmtId="172" fontId="11" fillId="0" borderId="0" xfId="1" applyNumberFormat="1" applyFont="1"/>
    <xf numFmtId="173" fontId="11" fillId="0" borderId="0" xfId="1" applyNumberFormat="1" applyFont="1"/>
    <xf numFmtId="174" fontId="11" fillId="0" borderId="0" xfId="5" applyNumberFormat="1" applyFont="1"/>
    <xf numFmtId="10" fontId="11" fillId="0" borderId="2" xfId="1" applyNumberFormat="1" applyFont="1" applyFill="1" applyBorder="1"/>
    <xf numFmtId="164" fontId="11" fillId="0" borderId="0" xfId="1" applyNumberFormat="1" applyFont="1" applyFill="1"/>
    <xf numFmtId="10" fontId="11" fillId="0" borderId="0" xfId="1" applyNumberFormat="1" applyFont="1" applyFill="1" applyBorder="1"/>
    <xf numFmtId="174" fontId="11" fillId="0" borderId="0" xfId="1" applyNumberFormat="1" applyFont="1" applyFill="1" applyBorder="1"/>
    <xf numFmtId="174" fontId="11" fillId="0" borderId="0" xfId="0" applyNumberFormat="1" applyFont="1"/>
    <xf numFmtId="0" fontId="11" fillId="0" borderId="0" xfId="0" applyFont="1" applyAlignment="1">
      <alignment vertical="center"/>
    </xf>
    <xf numFmtId="2" fontId="11" fillId="0" borderId="0" xfId="1" applyNumberFormat="1" applyFont="1" applyFill="1" applyBorder="1" applyAlignment="1">
      <alignment vertical="center"/>
    </xf>
    <xf numFmtId="0" fontId="11" fillId="0" borderId="0" xfId="0" applyFont="1" applyAlignment="1">
      <alignment horizontal="center" vertical="top"/>
    </xf>
    <xf numFmtId="2" fontId="11" fillId="0" borderId="0" xfId="1" applyNumberFormat="1" applyFont="1" applyFill="1" applyBorder="1" applyAlignment="1">
      <alignment horizontal="center" vertical="top"/>
    </xf>
    <xf numFmtId="2" fontId="11" fillId="0" borderId="0" xfId="1" applyNumberFormat="1" applyFont="1" applyFill="1" applyBorder="1" applyAlignment="1">
      <alignment horizontal="center"/>
    </xf>
    <xf numFmtId="164" fontId="2" fillId="6" borderId="2" xfId="1" applyNumberFormat="1" applyFont="1" applyFill="1" applyBorder="1" applyAlignment="1">
      <alignment horizontal="center" vertical="center" wrapText="1"/>
    </xf>
    <xf numFmtId="164" fontId="2" fillId="6" borderId="0" xfId="1" applyNumberFormat="1" applyFont="1" applyFill="1" applyBorder="1" applyAlignment="1">
      <alignment horizontal="center" vertical="center" wrapText="1"/>
    </xf>
    <xf numFmtId="43" fontId="2" fillId="6" borderId="0" xfId="1" applyFont="1" applyFill="1" applyBorder="1" applyAlignment="1">
      <alignment horizontal="center" vertical="center" wrapText="1"/>
    </xf>
    <xf numFmtId="164" fontId="2" fillId="7" borderId="0" xfId="1" applyNumberFormat="1" applyFont="1" applyFill="1" applyBorder="1" applyAlignment="1">
      <alignment horizontal="center" vertical="center" wrapText="1"/>
    </xf>
    <xf numFmtId="1" fontId="11" fillId="0" borderId="0" xfId="1" applyNumberFormat="1" applyFont="1" applyFill="1" applyBorder="1"/>
    <xf numFmtId="1" fontId="11" fillId="0" borderId="0" xfId="0" applyNumberFormat="1" applyFont="1"/>
    <xf numFmtId="164" fontId="11" fillId="2" borderId="2" xfId="1" applyNumberFormat="1" applyFont="1" applyFill="1" applyBorder="1"/>
    <xf numFmtId="0" fontId="0" fillId="3" borderId="0" xfId="0" applyFill="1"/>
    <xf numFmtId="1" fontId="11" fillId="0" borderId="0" xfId="1" applyNumberFormat="1" applyFont="1" applyFill="1"/>
    <xf numFmtId="169" fontId="11" fillId="0" borderId="0" xfId="1" applyNumberFormat="1" applyFont="1" applyFill="1"/>
    <xf numFmtId="10" fontId="11" fillId="0" borderId="0" xfId="1" applyNumberFormat="1" applyFont="1" applyFill="1"/>
    <xf numFmtId="1" fontId="11" fillId="0" borderId="0" xfId="1" applyNumberFormat="1" applyFont="1" applyFill="1" applyAlignment="1">
      <alignment horizontal="right" indent="1"/>
    </xf>
    <xf numFmtId="1" fontId="0" fillId="0" borderId="0" xfId="1" applyNumberFormat="1" applyFont="1" applyFill="1"/>
    <xf numFmtId="164" fontId="0" fillId="0" borderId="0" xfId="1" applyNumberFormat="1" applyFont="1" applyFill="1"/>
    <xf numFmtId="169" fontId="0" fillId="0" borderId="0" xfId="1" applyNumberFormat="1" applyFont="1" applyFill="1"/>
    <xf numFmtId="10" fontId="0" fillId="0" borderId="0" xfId="1" applyNumberFormat="1" applyFont="1" applyFill="1"/>
    <xf numFmtId="2" fontId="11" fillId="0" borderId="0" xfId="1" applyNumberFormat="1" applyFont="1"/>
    <xf numFmtId="164" fontId="15" fillId="3" borderId="0" xfId="1" applyNumberFormat="1" applyFont="1" applyFill="1" applyBorder="1" applyAlignment="1">
      <alignment horizontal="center" vertical="center" wrapText="1"/>
    </xf>
    <xf numFmtId="174" fontId="11" fillId="0" borderId="0" xfId="1" applyNumberFormat="1" applyFont="1"/>
    <xf numFmtId="39" fontId="11" fillId="0" borderId="0" xfId="1" applyNumberFormat="1" applyFont="1"/>
    <xf numFmtId="174" fontId="11" fillId="0" borderId="2" xfId="1" applyNumberFormat="1" applyFont="1" applyFill="1" applyBorder="1"/>
    <xf numFmtId="176" fontId="11" fillId="0" borderId="2" xfId="1" applyNumberFormat="1" applyFont="1" applyFill="1" applyBorder="1"/>
    <xf numFmtId="166" fontId="11" fillId="0" borderId="0" xfId="1" applyNumberFormat="1" applyFont="1" applyFill="1" applyBorder="1"/>
    <xf numFmtId="1" fontId="0" fillId="0" borderId="0" xfId="0" applyNumberFormat="1"/>
    <xf numFmtId="164" fontId="16" fillId="8" borderId="2" xfId="1" applyNumberFormat="1" applyFont="1" applyFill="1" applyBorder="1"/>
    <xf numFmtId="43" fontId="11" fillId="0" borderId="0" xfId="1" applyFont="1" applyFill="1"/>
    <xf numFmtId="43" fontId="0" fillId="0" borderId="0" xfId="1" applyFont="1" applyFill="1"/>
    <xf numFmtId="164" fontId="17" fillId="0" borderId="0" xfId="1" applyNumberFormat="1" applyFont="1" applyFill="1"/>
    <xf numFmtId="10" fontId="17" fillId="0" borderId="0" xfId="1" applyNumberFormat="1" applyFont="1" applyFill="1"/>
    <xf numFmtId="174" fontId="17" fillId="0" borderId="0" xfId="1" applyNumberFormat="1" applyFont="1" applyFill="1" applyBorder="1"/>
    <xf numFmtId="1" fontId="17" fillId="0" borderId="0" xfId="1" applyNumberFormat="1" applyFont="1" applyFill="1"/>
    <xf numFmtId="170" fontId="2" fillId="3" borderId="2" xfId="1" applyNumberFormat="1" applyFont="1" applyFill="1" applyBorder="1" applyAlignment="1">
      <alignment horizontal="center" vertical="center" wrapText="1"/>
    </xf>
    <xf numFmtId="170" fontId="2" fillId="3" borderId="0" xfId="1" applyNumberFormat="1" applyFont="1" applyFill="1" applyBorder="1" applyAlignment="1">
      <alignment horizontal="center" vertical="center" wrapText="1"/>
    </xf>
    <xf numFmtId="170" fontId="11" fillId="0" borderId="0" xfId="0" applyNumberFormat="1" applyFont="1"/>
    <xf numFmtId="177" fontId="11" fillId="0" borderId="0" xfId="0" applyNumberFormat="1" applyFont="1"/>
    <xf numFmtId="178" fontId="11" fillId="0" borderId="0" xfId="1" applyNumberFormat="1" applyFont="1" applyFill="1" applyBorder="1"/>
    <xf numFmtId="41" fontId="11" fillId="0" borderId="0" xfId="0" applyNumberFormat="1" applyFont="1"/>
    <xf numFmtId="0" fontId="11" fillId="0" borderId="0" xfId="0" applyFont="1" applyAlignment="1">
      <alignment horizontal="center" wrapText="1"/>
    </xf>
    <xf numFmtId="0" fontId="18" fillId="0" borderId="0" xfId="0" applyFont="1"/>
    <xf numFmtId="1" fontId="3" fillId="0" borderId="0" xfId="0" applyNumberFormat="1" applyFont="1"/>
    <xf numFmtId="1" fontId="19" fillId="0" borderId="0" xfId="0" applyNumberFormat="1" applyFont="1"/>
    <xf numFmtId="0" fontId="19" fillId="0" borderId="0" xfId="0" applyFont="1"/>
    <xf numFmtId="1" fontId="19" fillId="0" borderId="0" xfId="0" applyNumberFormat="1" applyFont="1" applyAlignment="1">
      <alignment horizontal="center"/>
    </xf>
    <xf numFmtId="37" fontId="11" fillId="0" borderId="0" xfId="0" applyNumberFormat="1" applyFont="1"/>
    <xf numFmtId="43" fontId="2" fillId="7" borderId="0" xfId="1" applyFont="1" applyFill="1" applyBorder="1" applyAlignment="1">
      <alignment horizontal="center" vertical="center" wrapText="1"/>
    </xf>
    <xf numFmtId="1" fontId="11" fillId="0" borderId="0" xfId="1" applyNumberFormat="1" applyFont="1" applyFill="1" applyBorder="1" applyAlignment="1">
      <alignment wrapText="1"/>
    </xf>
    <xf numFmtId="3" fontId="11" fillId="0" borderId="0" xfId="1" applyNumberFormat="1" applyFont="1"/>
    <xf numFmtId="164" fontId="2" fillId="9" borderId="2" xfId="1" applyNumberFormat="1" applyFont="1" applyFill="1" applyBorder="1" applyAlignment="1">
      <alignment horizontal="center" vertical="center" wrapText="1"/>
    </xf>
    <xf numFmtId="43" fontId="2" fillId="9" borderId="2" xfId="1" applyFont="1" applyFill="1" applyBorder="1" applyAlignment="1">
      <alignment horizontal="center" vertical="center" wrapText="1"/>
    </xf>
    <xf numFmtId="43" fontId="2" fillId="9" borderId="0" xfId="1" applyFont="1" applyFill="1" applyBorder="1" applyAlignment="1">
      <alignment horizontal="center" vertical="center" wrapText="1"/>
    </xf>
    <xf numFmtId="10" fontId="2" fillId="9" borderId="0" xfId="1" applyNumberFormat="1" applyFont="1" applyFill="1" applyBorder="1" applyAlignment="1">
      <alignment horizontal="center" vertical="center" wrapText="1"/>
    </xf>
    <xf numFmtId="164" fontId="11" fillId="0" borderId="0" xfId="1" applyNumberFormat="1" applyFont="1" applyFill="1" applyBorder="1" applyAlignment="1">
      <alignment wrapText="1"/>
    </xf>
    <xf numFmtId="174" fontId="11" fillId="0" borderId="0" xfId="0" applyNumberFormat="1" applyFont="1" applyAlignment="1">
      <alignment wrapText="1"/>
    </xf>
    <xf numFmtId="1" fontId="19" fillId="0" borderId="0" xfId="0" applyNumberFormat="1" applyFont="1" applyAlignment="1">
      <alignment wrapText="1"/>
    </xf>
    <xf numFmtId="166" fontId="11" fillId="0" borderId="0" xfId="0" applyNumberFormat="1" applyFont="1"/>
    <xf numFmtId="43" fontId="20" fillId="0" borderId="0" xfId="0" applyNumberFormat="1" applyFont="1"/>
    <xf numFmtId="178" fontId="11" fillId="0" borderId="0" xfId="0" applyNumberFormat="1" applyFont="1"/>
    <xf numFmtId="10" fontId="11" fillId="0" borderId="0" xfId="1" applyNumberFormat="1" applyFont="1" applyFill="1" applyAlignment="1">
      <alignment horizontal="center"/>
    </xf>
    <xf numFmtId="166" fontId="11" fillId="0" borderId="0" xfId="1" applyNumberFormat="1" applyFont="1" applyFill="1"/>
    <xf numFmtId="166" fontId="11" fillId="0" borderId="0" xfId="1" applyNumberFormat="1" applyFont="1"/>
    <xf numFmtId="164" fontId="21" fillId="0" borderId="0" xfId="1" applyNumberFormat="1" applyFont="1" applyFill="1" applyBorder="1" applyAlignment="1">
      <alignment horizontal="center" wrapText="1"/>
    </xf>
    <xf numFmtId="166" fontId="11" fillId="0" borderId="0" xfId="1" applyNumberFormat="1" applyFont="1" applyFill="1" applyBorder="1" applyAlignment="1"/>
    <xf numFmtId="174" fontId="11" fillId="0" borderId="0" xfId="1" applyNumberFormat="1" applyFont="1" applyFill="1" applyBorder="1" applyAlignment="1">
      <alignment horizontal="center"/>
    </xf>
    <xf numFmtId="1" fontId="11" fillId="6" borderId="0" xfId="1" applyNumberFormat="1" applyFont="1" applyFill="1" applyBorder="1" applyAlignment="1">
      <alignment wrapText="1"/>
    </xf>
    <xf numFmtId="10" fontId="11" fillId="6" borderId="0" xfId="1" applyNumberFormat="1" applyFont="1" applyFill="1" applyBorder="1"/>
    <xf numFmtId="10" fontId="11" fillId="6" borderId="0" xfId="0" applyNumberFormat="1" applyFont="1" applyFill="1"/>
    <xf numFmtId="2" fontId="11" fillId="0" borderId="2" xfId="1" applyNumberFormat="1" applyFont="1" applyFill="1" applyBorder="1"/>
    <xf numFmtId="2" fontId="18" fillId="0" borderId="0" xfId="0" applyNumberFormat="1" applyFont="1"/>
    <xf numFmtId="2" fontId="11" fillId="0" borderId="0" xfId="0" applyNumberFormat="1" applyFont="1" applyAlignment="1">
      <alignment horizontal="center" wrapText="1"/>
    </xf>
    <xf numFmtId="2" fontId="19" fillId="0" borderId="0" xfId="0" applyNumberFormat="1" applyFont="1"/>
    <xf numFmtId="2" fontId="19" fillId="0" borderId="0" xfId="0" applyNumberFormat="1" applyFont="1" applyAlignment="1">
      <alignment horizontal="center"/>
    </xf>
    <xf numFmtId="10" fontId="11" fillId="6" borderId="2" xfId="1" applyNumberFormat="1" applyFont="1" applyFill="1" applyBorder="1"/>
    <xf numFmtId="174" fontId="0" fillId="0" borderId="0" xfId="0" applyNumberFormat="1"/>
    <xf numFmtId="164" fontId="17" fillId="0" borderId="2" xfId="1" applyNumberFormat="1" applyFont="1" applyFill="1" applyBorder="1"/>
    <xf numFmtId="0" fontId="22" fillId="0" borderId="0" xfId="0" applyFont="1"/>
    <xf numFmtId="0" fontId="22" fillId="0" borderId="2" xfId="0" applyFont="1" applyBorder="1"/>
    <xf numFmtId="164" fontId="22" fillId="0" borderId="0" xfId="1" applyNumberFormat="1" applyFont="1" applyFill="1" applyBorder="1"/>
    <xf numFmtId="164" fontId="17" fillId="0" borderId="0" xfId="1" applyNumberFormat="1" applyFont="1" applyFill="1" applyBorder="1"/>
    <xf numFmtId="10" fontId="17" fillId="0" borderId="2" xfId="5" applyNumberFormat="1" applyFont="1" applyFill="1" applyBorder="1"/>
    <xf numFmtId="10" fontId="17" fillId="0" borderId="2" xfId="1" applyNumberFormat="1" applyFont="1" applyFill="1" applyBorder="1"/>
    <xf numFmtId="2" fontId="17" fillId="0" borderId="0" xfId="1" applyNumberFormat="1" applyFont="1" applyFill="1" applyBorder="1"/>
    <xf numFmtId="1" fontId="17" fillId="0" borderId="0" xfId="1" applyNumberFormat="1" applyFont="1" applyFill="1" applyBorder="1"/>
    <xf numFmtId="10" fontId="17" fillId="0" borderId="0" xfId="1" applyNumberFormat="1" applyFont="1" applyFill="1" applyBorder="1"/>
    <xf numFmtId="10" fontId="17" fillId="0" borderId="0" xfId="0" applyNumberFormat="1" applyFont="1"/>
    <xf numFmtId="2" fontId="17" fillId="0" borderId="0" xfId="0" applyNumberFormat="1" applyFont="1"/>
    <xf numFmtId="178" fontId="17" fillId="0" borderId="0" xfId="0" applyNumberFormat="1" applyFont="1"/>
    <xf numFmtId="166" fontId="17" fillId="0" borderId="0" xfId="1" applyNumberFormat="1" applyFont="1" applyFill="1"/>
    <xf numFmtId="166" fontId="17" fillId="0" borderId="0" xfId="1" applyNumberFormat="1" applyFont="1" applyFill="1" applyBorder="1" applyAlignment="1"/>
    <xf numFmtId="166" fontId="17" fillId="0" borderId="0" xfId="1" applyNumberFormat="1" applyFont="1" applyFill="1" applyBorder="1"/>
    <xf numFmtId="0" fontId="17" fillId="0" borderId="0" xfId="0" applyFont="1"/>
    <xf numFmtId="174" fontId="17" fillId="0" borderId="0" xfId="1" applyNumberFormat="1" applyFont="1" applyFill="1"/>
    <xf numFmtId="39" fontId="17" fillId="0" borderId="0" xfId="1" applyNumberFormat="1" applyFont="1" applyFill="1"/>
    <xf numFmtId="169" fontId="17" fillId="0" borderId="0" xfId="1" applyNumberFormat="1" applyFont="1" applyFill="1"/>
    <xf numFmtId="170" fontId="17" fillId="0" borderId="0" xfId="0" applyNumberFormat="1" applyFont="1"/>
    <xf numFmtId="175" fontId="17" fillId="0" borderId="0" xfId="0" applyNumberFormat="1" applyFont="1"/>
    <xf numFmtId="43" fontId="17" fillId="0" borderId="0" xfId="1" applyFont="1" applyFill="1"/>
    <xf numFmtId="43" fontId="17" fillId="0" borderId="0" xfId="0" applyNumberFormat="1" applyFont="1"/>
    <xf numFmtId="172" fontId="17" fillId="0" borderId="0" xfId="1" applyNumberFormat="1" applyFont="1" applyFill="1"/>
    <xf numFmtId="10" fontId="22" fillId="0" borderId="0" xfId="0" applyNumberFormat="1" applyFont="1"/>
    <xf numFmtId="43" fontId="22" fillId="0" borderId="0" xfId="0" applyNumberFormat="1" applyFont="1"/>
    <xf numFmtId="166" fontId="17" fillId="0" borderId="0" xfId="1" applyNumberFormat="1" applyFont="1" applyFill="1" applyAlignment="1"/>
    <xf numFmtId="176" fontId="17" fillId="0" borderId="2" xfId="1" applyNumberFormat="1" applyFont="1" applyFill="1" applyBorder="1"/>
    <xf numFmtId="2" fontId="17" fillId="0" borderId="0" xfId="1" applyNumberFormat="1" applyFont="1" applyFill="1" applyBorder="1" applyAlignment="1">
      <alignment wrapText="1"/>
    </xf>
    <xf numFmtId="0" fontId="22" fillId="0" borderId="0" xfId="0" applyFont="1" applyAlignment="1">
      <alignment horizontal="center"/>
    </xf>
    <xf numFmtId="10" fontId="22" fillId="0" borderId="0" xfId="0" applyNumberFormat="1" applyFont="1" applyAlignment="1">
      <alignment horizontal="center"/>
    </xf>
    <xf numFmtId="1" fontId="17" fillId="0" borderId="0" xfId="0" applyNumberFormat="1" applyFont="1"/>
    <xf numFmtId="174" fontId="17" fillId="0" borderId="0" xfId="0" applyNumberFormat="1" applyFont="1"/>
    <xf numFmtId="2" fontId="22" fillId="0" borderId="0" xfId="0" applyNumberFormat="1" applyFont="1"/>
    <xf numFmtId="2" fontId="17" fillId="0" borderId="0" xfId="1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10" fontId="17" fillId="0" borderId="0" xfId="0" applyNumberFormat="1" applyFont="1" applyAlignment="1">
      <alignment horizontal="center"/>
    </xf>
    <xf numFmtId="164" fontId="4" fillId="0" borderId="0" xfId="1" applyNumberFormat="1" applyFont="1" applyFill="1" applyAlignment="1">
      <alignment horizontal="right" vertical="top"/>
    </xf>
    <xf numFmtId="0" fontId="22" fillId="0" borderId="0" xfId="0" applyFont="1" applyAlignment="1">
      <alignment horizontal="right" wrapText="1"/>
    </xf>
    <xf numFmtId="164" fontId="22" fillId="0" borderId="0" xfId="3" applyNumberFormat="1" applyFont="1" applyFill="1" applyAlignment="1">
      <alignment horizontal="right" vertical="top"/>
    </xf>
    <xf numFmtId="0" fontId="12" fillId="0" borderId="0" xfId="2" applyFont="1"/>
    <xf numFmtId="0" fontId="13" fillId="0" borderId="0" xfId="2" applyFont="1"/>
    <xf numFmtId="0" fontId="13" fillId="0" borderId="0" xfId="2" applyFont="1" applyAlignment="1">
      <alignment horizontal="left" wrapText="1"/>
    </xf>
    <xf numFmtId="0" fontId="14" fillId="0" borderId="0" xfId="2" applyFont="1" applyAlignment="1">
      <alignment horizontal="left" wrapText="1"/>
    </xf>
    <xf numFmtId="0" fontId="14" fillId="0" borderId="0" xfId="2" applyFont="1" applyAlignment="1">
      <alignment horizontal="left"/>
    </xf>
    <xf numFmtId="0" fontId="13" fillId="0" borderId="0" xfId="2" applyFont="1" applyAlignment="1">
      <alignment horizontal="left" vertical="top"/>
    </xf>
    <xf numFmtId="49" fontId="13" fillId="0" borderId="0" xfId="2" applyNumberFormat="1" applyFont="1" applyAlignment="1">
      <alignment horizontal="left" vertical="top"/>
    </xf>
    <xf numFmtId="0" fontId="23" fillId="0" borderId="0" xfId="0" applyFont="1" applyAlignment="1">
      <alignment horizontal="right" wrapText="1"/>
    </xf>
    <xf numFmtId="0" fontId="17" fillId="0" borderId="0" xfId="0" applyFont="1" applyAlignment="1">
      <alignment horizontal="right" wrapText="1"/>
    </xf>
    <xf numFmtId="164" fontId="23" fillId="0" borderId="0" xfId="3" applyNumberFormat="1" applyFont="1" applyFill="1" applyAlignment="1">
      <alignment horizontal="right" vertical="top"/>
    </xf>
    <xf numFmtId="164" fontId="17" fillId="0" borderId="0" xfId="3" applyNumberFormat="1" applyFont="1" applyFill="1" applyAlignment="1">
      <alignment horizontal="right" vertical="top"/>
    </xf>
    <xf numFmtId="10" fontId="23" fillId="0" borderId="0" xfId="3" applyNumberFormat="1" applyFont="1" applyFill="1" applyAlignment="1">
      <alignment horizontal="right" vertical="top"/>
    </xf>
    <xf numFmtId="10" fontId="17" fillId="0" borderId="0" xfId="3" applyNumberFormat="1" applyFont="1" applyFill="1" applyAlignment="1">
      <alignment horizontal="right" vertical="top"/>
    </xf>
    <xf numFmtId="0" fontId="23" fillId="0" borderId="0" xfId="0" applyFont="1"/>
    <xf numFmtId="10" fontId="22" fillId="0" borderId="0" xfId="3" applyNumberFormat="1" applyFont="1" applyFill="1" applyAlignment="1">
      <alignment horizontal="right" vertical="top"/>
    </xf>
    <xf numFmtId="164" fontId="17" fillId="2" borderId="0" xfId="1" applyNumberFormat="1" applyFont="1" applyFill="1" applyBorder="1"/>
    <xf numFmtId="172" fontId="11" fillId="0" borderId="0" xfId="1" applyNumberFormat="1" applyFont="1" applyFill="1"/>
    <xf numFmtId="164" fontId="2" fillId="0" borderId="0" xfId="1" applyNumberFormat="1" applyFont="1" applyFill="1" applyBorder="1" applyAlignment="1">
      <alignment horizontal="center" vertical="center" wrapText="1"/>
    </xf>
    <xf numFmtId="10" fontId="17" fillId="2" borderId="0" xfId="0" applyNumberFormat="1" applyFont="1" applyFill="1"/>
    <xf numFmtId="164" fontId="24" fillId="0" borderId="2" xfId="1" applyNumberFormat="1" applyFont="1" applyFill="1" applyBorder="1" applyAlignment="1">
      <alignment horizontal="center" vertical="center" wrapText="1"/>
    </xf>
    <xf numFmtId="43" fontId="17" fillId="2" borderId="0" xfId="0" applyNumberFormat="1" applyFont="1" applyFill="1"/>
    <xf numFmtId="43" fontId="3" fillId="6" borderId="0" xfId="1" applyFont="1" applyFill="1" applyBorder="1" applyAlignment="1">
      <alignment horizontal="center" vertical="center" wrapText="1"/>
    </xf>
    <xf numFmtId="10" fontId="25" fillId="10" borderId="0" xfId="0" applyNumberFormat="1" applyFont="1" applyFill="1"/>
    <xf numFmtId="175" fontId="25" fillId="10" borderId="0" xfId="0" applyNumberFormat="1" applyFont="1" applyFill="1"/>
    <xf numFmtId="0" fontId="25" fillId="10" borderId="0" xfId="0" applyFont="1" applyFill="1"/>
    <xf numFmtId="2" fontId="25" fillId="10" borderId="0" xfId="0" applyNumberFormat="1" applyFont="1" applyFill="1"/>
    <xf numFmtId="164" fontId="2" fillId="0" borderId="2" xfId="1" applyNumberFormat="1" applyFont="1" applyFill="1" applyBorder="1" applyAlignment="1">
      <alignment horizontal="center" vertical="center" wrapText="1"/>
    </xf>
    <xf numFmtId="164" fontId="24" fillId="4" borderId="0" xfId="1" applyNumberFormat="1" applyFont="1" applyFill="1" applyBorder="1" applyAlignment="1">
      <alignment horizontal="center" vertical="center" wrapText="1"/>
    </xf>
    <xf numFmtId="10" fontId="11" fillId="6" borderId="0" xfId="1" applyNumberFormat="1" applyFont="1" applyFill="1" applyAlignment="1">
      <alignment horizontal="center"/>
    </xf>
    <xf numFmtId="10" fontId="0" fillId="0" borderId="0" xfId="1" applyNumberFormat="1" applyFont="1" applyFill="1" applyBorder="1"/>
    <xf numFmtId="41" fontId="11" fillId="0" borderId="0" xfId="1" applyNumberFormat="1" applyFont="1"/>
    <xf numFmtId="175" fontId="11" fillId="0" borderId="0" xfId="1" applyNumberFormat="1" applyFont="1"/>
    <xf numFmtId="175" fontId="17" fillId="0" borderId="0" xfId="1" applyNumberFormat="1" applyFont="1" applyFill="1"/>
    <xf numFmtId="175" fontId="17" fillId="0" borderId="0" xfId="0" applyNumberFormat="1" applyFont="1" applyAlignment="1">
      <alignment horizontal="center"/>
    </xf>
    <xf numFmtId="175" fontId="11" fillId="0" borderId="0" xfId="0" applyNumberFormat="1" applyFont="1" applyAlignment="1">
      <alignment horizontal="center" vertical="top"/>
    </xf>
    <xf numFmtId="175" fontId="11" fillId="0" borderId="0" xfId="0" applyNumberFormat="1" applyFont="1" applyAlignment="1">
      <alignment vertical="center"/>
    </xf>
    <xf numFmtId="175" fontId="0" fillId="0" borderId="0" xfId="0" applyNumberFormat="1"/>
    <xf numFmtId="164" fontId="15" fillId="3" borderId="2" xfId="1" applyNumberFormat="1" applyFont="1" applyFill="1" applyBorder="1" applyAlignment="1">
      <alignment horizontal="center" vertical="center" wrapText="1"/>
    </xf>
    <xf numFmtId="164" fontId="17" fillId="2" borderId="0" xfId="1" applyNumberFormat="1" applyFont="1" applyFill="1"/>
    <xf numFmtId="164" fontId="2" fillId="11" borderId="0" xfId="1" applyNumberFormat="1" applyFont="1" applyFill="1" applyBorder="1" applyAlignment="1">
      <alignment horizontal="center" vertical="center" wrapText="1"/>
    </xf>
    <xf numFmtId="43" fontId="2" fillId="12" borderId="0" xfId="1" applyFont="1" applyFill="1" applyBorder="1" applyAlignment="1">
      <alignment horizontal="center" vertical="center" wrapText="1"/>
    </xf>
    <xf numFmtId="164" fontId="2" fillId="12" borderId="2" xfId="1" applyNumberFormat="1" applyFont="1" applyFill="1" applyBorder="1" applyAlignment="1">
      <alignment horizontal="center" vertical="center" wrapText="1"/>
    </xf>
    <xf numFmtId="164" fontId="11" fillId="2" borderId="0" xfId="1" applyNumberFormat="1" applyFont="1" applyFill="1" applyBorder="1"/>
    <xf numFmtId="43" fontId="22" fillId="0" borderId="0" xfId="1" applyFont="1"/>
    <xf numFmtId="2" fontId="11" fillId="6" borderId="0" xfId="1" applyNumberFormat="1" applyFont="1" applyFill="1" applyBorder="1" applyAlignment="1">
      <alignment horizontal="center"/>
    </xf>
    <xf numFmtId="0" fontId="9" fillId="0" borderId="0" xfId="4" applyFont="1" applyAlignment="1">
      <alignment horizontal="left" vertical="top" wrapText="1"/>
    </xf>
    <xf numFmtId="0" fontId="7" fillId="0" borderId="0" xfId="4" applyFont="1" applyAlignment="1">
      <alignment horizontal="left"/>
    </xf>
    <xf numFmtId="0" fontId="8" fillId="0" borderId="0" xfId="4" applyFont="1" applyAlignment="1">
      <alignment horizontal="left" vertical="top" wrapText="1"/>
    </xf>
    <xf numFmtId="0" fontId="9" fillId="0" borderId="0" xfId="4" applyFont="1" applyAlignment="1">
      <alignment horizontal="left"/>
    </xf>
    <xf numFmtId="0" fontId="6" fillId="0" borderId="0" xfId="4" applyAlignment="1"/>
  </cellXfs>
  <cellStyles count="6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  <cellStyle name="Normal 4" xfId="4" xr:uid="{00000000-0005-0000-0000-000004000000}"/>
    <cellStyle name="Percent" xfId="5" builtinId="5"/>
  </cellStyles>
  <dxfs count="9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114300</xdr:colOff>
      <xdr:row>50</xdr:row>
      <xdr:rowOff>171450</xdr:rowOff>
    </xdr:to>
    <xdr:sp macro="" textlink="">
      <xdr:nvSpPr>
        <xdr:cNvPr id="2" name="AutoShape 83">
          <a:extLst>
            <a:ext uri="{FF2B5EF4-FFF2-40B4-BE49-F238E27FC236}">
              <a16:creationId xmlns:a16="http://schemas.microsoft.com/office/drawing/2014/main" id="{6DCC4CE2-FD10-48EE-91E9-B3B34AED93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0A201-7D32-48FE-AC54-0BDB528950DD}">
  <sheetPr>
    <tabColor rgb="FF00B050"/>
  </sheetPr>
  <dimension ref="A1:EH1948"/>
  <sheetViews>
    <sheetView tabSelected="1" topLeftCell="AD1" zoomScale="65" zoomScaleNormal="65" workbookViewId="0">
      <pane ySplit="1" topLeftCell="A2" activePane="bottomLeft" state="frozen"/>
      <selection pane="bottomLeft" activeCell="AP3" sqref="AP3"/>
      <selection activeCell="D1" sqref="D1"/>
    </sheetView>
  </sheetViews>
  <sheetFormatPr defaultRowHeight="14.45"/>
  <cols>
    <col min="1" max="1" width="9.140625" customWidth="1"/>
    <col min="2" max="2" width="46.5703125" customWidth="1"/>
    <col min="3" max="3" width="18" customWidth="1"/>
    <col min="4" max="4" width="9.42578125" customWidth="1"/>
    <col min="5" max="6" width="6.140625" style="41" customWidth="1"/>
    <col min="7" max="7" width="14.7109375" customWidth="1"/>
    <col min="8" max="8" width="1.42578125" style="11" customWidth="1"/>
    <col min="9" max="9" width="16.28515625" style="11" customWidth="1"/>
    <col min="10" max="11" width="16.7109375" customWidth="1"/>
    <col min="12" max="16" width="14.7109375" customWidth="1"/>
    <col min="17" max="19" width="16.7109375" customWidth="1"/>
    <col min="20" max="20" width="10.7109375" customWidth="1"/>
    <col min="21" max="21" width="16.7109375" customWidth="1"/>
    <col min="22" max="22" width="12.7109375" customWidth="1"/>
    <col min="23" max="25" width="16.7109375" style="16" customWidth="1"/>
    <col min="26" max="29" width="15.7109375" style="16" customWidth="1"/>
    <col min="30" max="31" width="16.7109375" style="16" customWidth="1"/>
    <col min="32" max="32" width="20.7109375" style="16" customWidth="1"/>
    <col min="33" max="37" width="14.7109375" style="16" customWidth="1"/>
    <col min="38" max="45" width="12.7109375" style="16" customWidth="1"/>
    <col min="46" max="46" width="16.7109375" style="16" customWidth="1"/>
    <col min="47" max="47" width="12.7109375" style="16" customWidth="1"/>
    <col min="48" max="49" width="16.7109375" style="16" customWidth="1"/>
    <col min="50" max="53" width="20.7109375" style="16" customWidth="1"/>
    <col min="54" max="56" width="18.7109375" style="11" customWidth="1"/>
    <col min="57" max="57" width="20.7109375" style="11" customWidth="1"/>
    <col min="58" max="58" width="16.7109375" style="11" customWidth="1"/>
    <col min="59" max="60" width="12.7109375" style="11" customWidth="1"/>
    <col min="61" max="63" width="16.7109375" customWidth="1"/>
    <col min="64" max="64" width="13.7109375" customWidth="1"/>
    <col min="65" max="65" width="14" customWidth="1"/>
    <col min="66" max="66" width="18.140625" customWidth="1"/>
    <col min="67" max="67" width="15.7109375" customWidth="1"/>
    <col min="68" max="68" width="16.7109375" customWidth="1"/>
    <col min="69" max="73" width="14.7109375" customWidth="1"/>
    <col min="74" max="74" width="13.7109375" customWidth="1"/>
    <col min="75" max="75" width="18.7109375" customWidth="1"/>
    <col min="76" max="78" width="16.7109375" customWidth="1"/>
    <col min="79" max="79" width="14.140625" customWidth="1"/>
    <col min="80" max="82" width="16.7109375" customWidth="1"/>
    <col min="83" max="83" width="14.140625" customWidth="1"/>
    <col min="84" max="84" width="15.85546875" style="32" customWidth="1"/>
    <col min="85" max="85" width="14.140625" style="32" customWidth="1"/>
    <col min="86" max="88" width="14.140625" customWidth="1"/>
    <col min="89" max="89" width="16.7109375" customWidth="1"/>
    <col min="90" max="96" width="14.140625" customWidth="1"/>
    <col min="97" max="97" width="14.140625" style="45" customWidth="1"/>
    <col min="98" max="99" width="14.140625" customWidth="1"/>
    <col min="100" max="100" width="15.7109375" customWidth="1"/>
    <col min="101" max="108" width="14.140625" customWidth="1"/>
    <col min="109" max="109" width="14.140625" style="31" customWidth="1"/>
    <col min="110" max="113" width="14.140625" customWidth="1"/>
    <col min="114" max="133" width="9.140625" customWidth="1"/>
  </cols>
  <sheetData>
    <row r="1" spans="1:138" ht="63">
      <c r="B1" s="12" t="s">
        <v>0</v>
      </c>
      <c r="C1" s="12" t="s">
        <v>1</v>
      </c>
      <c r="D1" s="12" t="s">
        <v>2</v>
      </c>
      <c r="E1" s="12" t="s">
        <v>3</v>
      </c>
      <c r="F1" s="12"/>
      <c r="G1" s="12" t="s">
        <v>4</v>
      </c>
      <c r="H1" s="13"/>
      <c r="I1" s="13"/>
      <c r="J1" s="226" t="s">
        <v>5</v>
      </c>
      <c r="K1" s="133" t="s">
        <v>6</v>
      </c>
      <c r="L1" s="133" t="s">
        <v>7</v>
      </c>
      <c r="M1" s="241" t="s">
        <v>8</v>
      </c>
      <c r="N1" s="86" t="s">
        <v>9</v>
      </c>
      <c r="O1" s="86" t="s">
        <v>10</v>
      </c>
      <c r="P1" s="86"/>
      <c r="Q1" s="133" t="s">
        <v>11</v>
      </c>
      <c r="R1" s="133" t="s">
        <v>12</v>
      </c>
      <c r="S1" s="133" t="s">
        <v>13</v>
      </c>
      <c r="T1" s="241" t="s">
        <v>14</v>
      </c>
      <c r="U1" s="86" t="s">
        <v>15</v>
      </c>
      <c r="V1" s="86" t="s">
        <v>16</v>
      </c>
      <c r="W1" s="134" t="s">
        <v>17</v>
      </c>
      <c r="X1" s="135" t="s">
        <v>18</v>
      </c>
      <c r="Y1" s="135" t="s">
        <v>19</v>
      </c>
      <c r="Z1" s="135" t="s">
        <v>20</v>
      </c>
      <c r="AA1" s="86"/>
      <c r="AB1" s="86" t="s">
        <v>21</v>
      </c>
      <c r="AC1" s="86" t="s">
        <v>22</v>
      </c>
      <c r="AD1" s="48" t="s">
        <v>23</v>
      </c>
      <c r="AE1" s="48" t="s">
        <v>24</v>
      </c>
      <c r="AF1" s="86" t="s">
        <v>25</v>
      </c>
      <c r="AG1" s="86" t="s">
        <v>26</v>
      </c>
      <c r="AH1" s="87" t="s">
        <v>27</v>
      </c>
      <c r="AI1" s="239" t="s">
        <v>28</v>
      </c>
      <c r="AJ1" s="89" t="s">
        <v>29</v>
      </c>
      <c r="AK1" s="89" t="s">
        <v>30</v>
      </c>
      <c r="AL1" s="48" t="s">
        <v>31</v>
      </c>
      <c r="AM1" s="48" t="s">
        <v>32</v>
      </c>
      <c r="AN1" s="48" t="s">
        <v>33</v>
      </c>
      <c r="AO1" s="130"/>
      <c r="AP1" s="221" t="s">
        <v>34</v>
      </c>
      <c r="AQ1" s="221" t="s">
        <v>35</v>
      </c>
      <c r="AR1" s="240" t="s">
        <v>36</v>
      </c>
      <c r="AS1" s="240" t="s">
        <v>37</v>
      </c>
      <c r="AT1" s="88" t="s">
        <v>38</v>
      </c>
      <c r="AU1" s="88" t="s">
        <v>39</v>
      </c>
      <c r="AV1" s="14" t="s">
        <v>40</v>
      </c>
      <c r="AW1" s="56" t="s">
        <v>41</v>
      </c>
      <c r="AX1" s="86" t="s">
        <v>42</v>
      </c>
      <c r="AY1" s="87" t="s">
        <v>43</v>
      </c>
      <c r="AZ1" s="239" t="s">
        <v>44</v>
      </c>
      <c r="BA1" s="239" t="s">
        <v>45</v>
      </c>
      <c r="BB1" s="49"/>
      <c r="BC1" s="49"/>
      <c r="BD1" s="49"/>
      <c r="BE1" s="49"/>
      <c r="BF1" s="49"/>
      <c r="BG1" s="49"/>
      <c r="BH1" s="49"/>
      <c r="BI1" s="14" t="s">
        <v>46</v>
      </c>
      <c r="BJ1" s="14" t="s">
        <v>47</v>
      </c>
      <c r="BK1" s="14" t="s">
        <v>48</v>
      </c>
      <c r="BL1" s="14" t="s">
        <v>49</v>
      </c>
      <c r="BM1" s="237" t="s">
        <v>50</v>
      </c>
      <c r="BN1" s="14" t="s">
        <v>51</v>
      </c>
      <c r="BO1" s="14" t="s">
        <v>52</v>
      </c>
      <c r="BP1" s="14" t="s">
        <v>53</v>
      </c>
      <c r="BQ1" s="14"/>
      <c r="BR1" s="14"/>
      <c r="BS1" s="14"/>
      <c r="BT1" s="14"/>
      <c r="BU1" s="14"/>
      <c r="BV1" s="14" t="s">
        <v>54</v>
      </c>
      <c r="BW1" s="14" t="s">
        <v>55</v>
      </c>
      <c r="BX1" s="14" t="s">
        <v>56</v>
      </c>
      <c r="BY1" s="14" t="s">
        <v>57</v>
      </c>
      <c r="BZ1" s="14"/>
      <c r="CA1" s="14"/>
      <c r="CB1" s="37" t="s">
        <v>58</v>
      </c>
      <c r="CC1" s="37" t="s">
        <v>59</v>
      </c>
      <c r="CD1" s="37" t="s">
        <v>60</v>
      </c>
      <c r="CE1" s="37" t="s">
        <v>61</v>
      </c>
      <c r="CF1" s="37" t="s">
        <v>62</v>
      </c>
      <c r="CG1" s="37" t="s">
        <v>63</v>
      </c>
      <c r="CH1" s="37" t="s">
        <v>64</v>
      </c>
      <c r="CI1" s="37" t="s">
        <v>65</v>
      </c>
      <c r="CJ1" s="37" t="s">
        <v>66</v>
      </c>
      <c r="CK1" s="37" t="s">
        <v>67</v>
      </c>
      <c r="CL1" s="37" t="s">
        <v>68</v>
      </c>
      <c r="CM1" s="37" t="s">
        <v>69</v>
      </c>
      <c r="CN1" s="37" t="s">
        <v>70</v>
      </c>
      <c r="CO1" s="37" t="s">
        <v>71</v>
      </c>
      <c r="CP1" s="219" t="s">
        <v>72</v>
      </c>
      <c r="CQ1" s="37" t="s">
        <v>73</v>
      </c>
      <c r="CR1" s="37" t="s">
        <v>74</v>
      </c>
      <c r="CS1" s="117" t="s">
        <v>75</v>
      </c>
      <c r="CT1" s="51"/>
      <c r="CU1" s="52"/>
      <c r="CV1" s="53" t="s">
        <v>76</v>
      </c>
      <c r="CW1" s="54"/>
      <c r="CX1" s="14" t="s">
        <v>77</v>
      </c>
      <c r="CY1" s="14" t="s">
        <v>78</v>
      </c>
      <c r="CZ1" s="14" t="s">
        <v>79</v>
      </c>
      <c r="DA1" s="14"/>
      <c r="DB1" s="14" t="s">
        <v>80</v>
      </c>
      <c r="DC1" s="14" t="s">
        <v>81</v>
      </c>
      <c r="DD1" s="14" t="s">
        <v>82</v>
      </c>
      <c r="DE1" s="15" t="s">
        <v>83</v>
      </c>
      <c r="DF1" s="14" t="s">
        <v>84</v>
      </c>
      <c r="DG1" s="14" t="s">
        <v>85</v>
      </c>
      <c r="DH1" s="14" t="s">
        <v>86</v>
      </c>
      <c r="DI1" s="14" t="s">
        <v>87</v>
      </c>
      <c r="DJ1" t="s">
        <v>88</v>
      </c>
      <c r="DK1" t="s">
        <v>89</v>
      </c>
      <c r="DN1" s="34" t="s">
        <v>90</v>
      </c>
      <c r="DO1" t="s">
        <v>91</v>
      </c>
      <c r="DQ1" t="s">
        <v>92</v>
      </c>
      <c r="DS1" t="s">
        <v>93</v>
      </c>
      <c r="DU1" t="s">
        <v>94</v>
      </c>
      <c r="DW1" t="s">
        <v>95</v>
      </c>
    </row>
    <row r="2" spans="1:138" ht="21">
      <c r="B2" s="12"/>
      <c r="C2" s="12"/>
      <c r="D2" s="12"/>
      <c r="E2" s="12"/>
      <c r="F2" s="12"/>
      <c r="G2" s="12"/>
      <c r="H2" s="13"/>
      <c r="I2" s="13"/>
      <c r="J2" s="226"/>
      <c r="K2" s="133"/>
      <c r="L2" s="133"/>
      <c r="M2" s="241"/>
      <c r="N2" s="86"/>
      <c r="O2" s="86"/>
      <c r="P2" s="86"/>
      <c r="Q2" s="133"/>
      <c r="R2" s="133"/>
      <c r="S2" s="133"/>
      <c r="T2" s="241"/>
      <c r="U2" s="86"/>
      <c r="V2" s="86"/>
      <c r="W2" s="134"/>
      <c r="X2" s="135"/>
      <c r="Y2" s="135"/>
      <c r="Z2" s="136"/>
      <c r="AA2" s="86"/>
      <c r="AB2" s="86"/>
      <c r="AC2" s="86"/>
      <c r="AD2" s="48"/>
      <c r="AE2" s="48"/>
      <c r="AF2" s="87"/>
      <c r="AG2" s="87"/>
      <c r="AH2" s="87"/>
      <c r="AI2" s="239"/>
      <c r="AJ2" s="89"/>
      <c r="AK2" s="89"/>
      <c r="AL2" s="48"/>
      <c r="AM2" s="48"/>
      <c r="AN2" s="48"/>
      <c r="AO2" s="130"/>
      <c r="AP2" s="221"/>
      <c r="AQ2" s="221"/>
      <c r="AR2" s="240"/>
      <c r="AS2" s="240"/>
      <c r="AT2" s="88"/>
      <c r="AU2" s="88"/>
      <c r="AV2" s="56"/>
      <c r="AW2" s="56"/>
      <c r="AX2" s="87"/>
      <c r="AY2" s="87"/>
      <c r="BB2" s="49"/>
      <c r="BC2" s="49"/>
      <c r="BD2" s="49"/>
      <c r="BE2" s="49"/>
      <c r="BF2" s="49"/>
      <c r="BG2" s="49"/>
      <c r="BH2" s="49"/>
      <c r="BI2" s="56"/>
      <c r="BJ2" s="56"/>
      <c r="BK2" s="56"/>
      <c r="BL2" s="56"/>
      <c r="BM2" s="56"/>
      <c r="BN2" s="56"/>
      <c r="BO2" s="56"/>
      <c r="BP2" s="56"/>
      <c r="BQ2" s="56"/>
      <c r="BR2" s="103"/>
      <c r="BS2" s="56"/>
      <c r="BT2" s="56"/>
      <c r="BU2" s="56"/>
      <c r="BV2" s="56"/>
      <c r="BW2" s="56"/>
      <c r="BX2" s="56"/>
      <c r="BY2" s="56"/>
      <c r="BZ2" s="56"/>
      <c r="CA2" s="56"/>
      <c r="CB2" s="57"/>
      <c r="CC2" s="57"/>
      <c r="CD2" s="57"/>
      <c r="CE2" s="57"/>
      <c r="CF2" s="227"/>
      <c r="CG2" s="57"/>
      <c r="CH2" s="57"/>
      <c r="CI2" s="57"/>
      <c r="CJ2" s="57"/>
      <c r="CK2" s="57"/>
      <c r="CL2" s="57"/>
      <c r="CM2" s="57"/>
      <c r="CN2" s="217"/>
      <c r="CO2" s="222" t="s">
        <v>96</v>
      </c>
      <c r="CP2" s="223">
        <f>AVERAGE(CP3:CP25)</f>
        <v>3.0901941608533625E-2</v>
      </c>
      <c r="CQ2" s="57"/>
      <c r="CR2" s="57"/>
      <c r="CS2" s="118"/>
      <c r="CT2" s="58"/>
      <c r="CU2" s="58"/>
      <c r="CV2" s="224" t="s">
        <v>97</v>
      </c>
      <c r="CW2" s="225">
        <f>AVERAGE(CW3:CW25)</f>
        <v>0.36856592602487503</v>
      </c>
      <c r="CX2" s="56"/>
      <c r="CY2" s="56"/>
      <c r="CZ2" s="56"/>
      <c r="DA2" s="56"/>
      <c r="DB2" s="56"/>
      <c r="DC2" s="56"/>
      <c r="DD2" s="56"/>
      <c r="DE2" s="48"/>
      <c r="DF2" s="56"/>
      <c r="DG2" s="56"/>
      <c r="DH2" s="56"/>
      <c r="DI2" s="93"/>
      <c r="DN2" s="34"/>
    </row>
    <row r="3" spans="1:138" ht="21">
      <c r="A3" t="s">
        <v>98</v>
      </c>
      <c r="B3" s="42" t="s">
        <v>98</v>
      </c>
      <c r="C3" s="42">
        <v>4054707</v>
      </c>
      <c r="D3" s="42" t="s">
        <v>99</v>
      </c>
      <c r="E3" s="42"/>
      <c r="F3" s="42"/>
      <c r="G3" s="42" t="s">
        <v>100</v>
      </c>
      <c r="H3" s="11">
        <v>1998</v>
      </c>
      <c r="I3" s="59"/>
      <c r="J3" s="60"/>
      <c r="K3" s="60"/>
      <c r="L3" s="60"/>
      <c r="M3" s="60"/>
      <c r="N3" s="149" t="s">
        <v>101</v>
      </c>
      <c r="O3" s="157">
        <f>AVERAGE(O12:O27)</f>
        <v>9.0941838825876337E-3</v>
      </c>
      <c r="P3" s="157"/>
      <c r="Q3" s="106"/>
      <c r="R3" s="106"/>
      <c r="S3" s="106"/>
      <c r="T3" s="60"/>
      <c r="U3" s="149" t="s">
        <v>101</v>
      </c>
      <c r="V3" s="157">
        <f>AVERAGE(V12:V27)</f>
        <v>9.7144665117140008E-3</v>
      </c>
      <c r="W3" s="106"/>
      <c r="X3" s="79"/>
      <c r="Y3" s="90">
        <v>5608.1853457347206</v>
      </c>
      <c r="Z3" s="78"/>
      <c r="AA3" s="166"/>
      <c r="AB3" s="149" t="s">
        <v>101</v>
      </c>
      <c r="AC3" s="157">
        <f>AVERAGE(AC12:AC27)</f>
        <v>3.2527052710391323E-2</v>
      </c>
      <c r="AD3" s="59"/>
      <c r="AE3" s="59"/>
      <c r="AF3" s="149" t="s">
        <v>101</v>
      </c>
      <c r="AG3" s="150">
        <f>AVERAGE(AG12:AG27)</f>
        <v>4.4588446150760644E-2</v>
      </c>
      <c r="AH3" s="150"/>
      <c r="AI3" s="78"/>
      <c r="AJ3" s="90"/>
      <c r="AK3" s="78"/>
      <c r="AL3" s="79"/>
      <c r="AM3" s="79"/>
      <c r="AN3" s="79"/>
      <c r="AO3" s="79"/>
      <c r="AP3" s="149" t="s">
        <v>101</v>
      </c>
      <c r="AQ3" s="150">
        <f>AVERAGE(AQ12:AQ27)</f>
        <v>2.1973884890672469E-2</v>
      </c>
      <c r="AR3" s="79"/>
      <c r="AS3" s="79"/>
      <c r="AT3" s="78"/>
      <c r="AU3" s="150">
        <f>AVERAGE(AU12:AU27)</f>
        <v>2.623048481946616E-2</v>
      </c>
      <c r="AV3" s="77">
        <f>IFERROR(INDEX('Total Customers'!$F$7:$AB$91,MATCH($C3,'Total Customers'!$D$7:$D$91,0),MATCH($G3,'Total Customers'!$F$5:$AB$5,0)),"NA")</f>
        <v>1467712</v>
      </c>
      <c r="AW3" s="68"/>
      <c r="AX3" s="149" t="s">
        <v>101</v>
      </c>
      <c r="AY3" s="228">
        <f>AVERAGE(AY12:AY27)</f>
        <v>6.7790709726071943E-3</v>
      </c>
      <c r="BC3" s="87"/>
      <c r="BD3" s="87"/>
      <c r="BE3" s="87"/>
      <c r="BF3" s="87"/>
      <c r="BH3" s="62"/>
      <c r="BI3" s="61">
        <f>INDEX('Gross Dx Plant'!$E$7:$AD$91,MATCH($C3,'Gross Dx Plant'!$D$7:$D$91,0),MATCH(Calculation!$G3,'Gross Dx Plant'!$E$5:$AD$5,0))</f>
        <v>1551165</v>
      </c>
      <c r="BJ3" s="61">
        <f>INDEX('Gross Gen Plant'!$E$7:$AD$91,MATCH($C3,'Gross Gen Plant'!$D$7:$D$91,0),MATCH(Calculation!$G3,'Gross Gen Plant'!$E$5:$AD$5,0))</f>
        <v>161605</v>
      </c>
      <c r="BK3" s="61">
        <f>INDEX('Dist. Plant Gas Additions'!$F$7:$AE$91,MATCH($C3,'Dist. Plant Gas Additions'!$D$7:$D$91,0),MATCH(Calculation!$G3,'Dist. Plant Gas Additions'!$F$5:$AE$5,0))</f>
        <v>84798</v>
      </c>
      <c r="BL3" s="61">
        <f>INDEX('Gen. Plant Additions'!$F$7:$AE$91,MATCH($C3,'Gen. Plant Additions'!$D$7:$D$91,0),MATCH(Calculation!$G3,'Gen. Plant Additions'!$F$5:$AE$5,0))</f>
        <v>5414</v>
      </c>
      <c r="BM3" s="231">
        <f>+(BW3/(BW3+BX3))</f>
        <v>0.90564699288287398</v>
      </c>
      <c r="BN3" s="61">
        <f>+BM3*BL3</f>
        <v>4903.1728194678799</v>
      </c>
      <c r="BO3" s="61">
        <f>INDEX('Dist Plant Depreciation'!$E$7:$AD$94,MATCH($C3,'Dist Plant Depreciation'!$D$7:$D$94,0),MATCH(Calculation!$G3,'Dist Plant Depreciation'!$E$5:$AD$5,0))</f>
        <v>540916.46882823494</v>
      </c>
      <c r="BP3" s="61"/>
      <c r="BQ3" s="61" t="s">
        <v>102</v>
      </c>
      <c r="BR3" s="66"/>
      <c r="BS3" s="61" t="s">
        <v>103</v>
      </c>
      <c r="BT3" s="61" t="s">
        <v>104</v>
      </c>
      <c r="BU3" s="61" t="s">
        <v>105</v>
      </c>
      <c r="BV3" s="64">
        <f>+BU76</f>
        <v>201.71943868802228</v>
      </c>
      <c r="BW3" s="61">
        <f>INDEX('Gross Dx Plant'!$E$7:$AD$91,MATCH($C3,'Gross Dx Plant'!$D$7:$D$91,0),MATCH(Calculation!$G3,'Gross Dx Plant'!$E$5:$AD$5,0))</f>
        <v>1551165</v>
      </c>
      <c r="BX3" s="61">
        <f>INDEX('Gross Gen Plant'!$E$7:$AD$91,MATCH($C3,'Gross Gen Plant'!$D$7:$D$91,0),MATCH(Calculation!$G3,'Gross Gen Plant'!$E$5:$AD$5,0))</f>
        <v>161605</v>
      </c>
      <c r="BY3" s="61"/>
      <c r="BZ3" s="61"/>
      <c r="CA3" s="65">
        <v>1998</v>
      </c>
      <c r="CB3" s="61">
        <f>BI3+BJ3</f>
        <v>1712770</v>
      </c>
      <c r="CC3" s="61">
        <f>540916+40574</f>
        <v>581490</v>
      </c>
      <c r="CD3" s="61">
        <f>+CB3-CC3</f>
        <v>1131280</v>
      </c>
      <c r="CE3" s="61">
        <f>CD3/$BV$3</f>
        <v>5608.1853457347206</v>
      </c>
      <c r="CF3" s="66"/>
      <c r="CG3" s="66"/>
      <c r="CH3" s="67">
        <v>1</v>
      </c>
      <c r="CI3" s="61">
        <f>+CE3</f>
        <v>5608.1853457347206</v>
      </c>
      <c r="CJ3" s="68"/>
      <c r="CK3" s="61">
        <f>SUM(CK9:CK25)</f>
        <v>3619173.443394124</v>
      </c>
      <c r="CL3" s="69"/>
      <c r="CM3" s="69"/>
      <c r="CN3" s="96" t="e">
        <f>VLOOKUP($H3,RoR!$E:$F,2,FALSE)</f>
        <v>#N/A</v>
      </c>
      <c r="CO3" s="69">
        <v>1.1028127770464469E-2</v>
      </c>
      <c r="CP3" s="69"/>
      <c r="CQ3" s="69"/>
      <c r="CR3" s="69"/>
      <c r="CS3" s="119"/>
      <c r="CT3" s="70"/>
      <c r="CU3" s="71"/>
      <c r="CV3" s="71"/>
      <c r="CW3" s="71"/>
      <c r="CX3" s="72">
        <f>INDEX('State Tax Lookup'!$D$7:$Z$91,MATCH(Calculation!$C3,'State Tax Lookup'!$B$7:$B$91,0),MATCH($H3,'State Tax Lookup'!$D$6:$Z$6,0))</f>
        <v>0.35</v>
      </c>
      <c r="CY3" s="111">
        <v>0.37</v>
      </c>
      <c r="CZ3" s="66"/>
      <c r="DA3" s="66"/>
      <c r="DB3" s="69"/>
      <c r="DC3" s="72" t="e">
        <f>VLOOKUP($H3,RoR!$E:$F,2,FALSE)</f>
        <v>#N/A</v>
      </c>
      <c r="DD3" s="73">
        <f>HLOOKUP($H3,'GDP-PI'!$D$8:$CQ$11,3,FALSE)</f>
        <v>1.1028127770464469E-2</v>
      </c>
      <c r="DE3" s="72">
        <f>VLOOKUP(H3,'HW Dx Data'!$E:$F,2,FALSE)</f>
        <v>329.24564746449528</v>
      </c>
      <c r="DF3" s="66"/>
      <c r="DG3" s="69"/>
      <c r="DH3" s="66">
        <f>HLOOKUP(H3,'GDP-PI'!$8:$9,2,FALSE)</f>
        <v>75.266999999999996</v>
      </c>
      <c r="DJ3">
        <v>23.516666666666666</v>
      </c>
      <c r="DN3" s="33">
        <v>2.5640776638641321E-2</v>
      </c>
      <c r="DO3" s="33">
        <v>2.8899999999999999E-2</v>
      </c>
      <c r="DP3" s="33">
        <f t="shared" ref="DP3:DP36" si="0">+DO3*DN3</f>
        <v>7.410184448567341E-4</v>
      </c>
      <c r="DQ3" s="33">
        <v>2.1399999999999999E-2</v>
      </c>
      <c r="DR3" s="33">
        <f t="shared" ref="DR3:DR36" si="1">+DN3*DQ3</f>
        <v>5.4871262006692427E-4</v>
      </c>
      <c r="DS3" s="33">
        <v>1.8200000000000001E-2</v>
      </c>
      <c r="DT3" s="33">
        <f t="shared" ref="DT3:DT36" si="2">+DN3*DS3</f>
        <v>4.6666213482327208E-4</v>
      </c>
      <c r="DU3" s="33">
        <v>1.2800000000000001E-2</v>
      </c>
      <c r="DV3" s="33">
        <f t="shared" ref="DV3:DV36" si="3">+DN3*DU3</f>
        <v>3.2820194097460891E-4</v>
      </c>
      <c r="DW3" s="33">
        <v>7.0000000000000001E-3</v>
      </c>
      <c r="DX3" s="33">
        <f t="shared" ref="DX3:DX36" si="4">+DN3*DW3</f>
        <v>1.7948543647048926E-4</v>
      </c>
      <c r="EB3">
        <v>1998</v>
      </c>
    </row>
    <row r="4" spans="1:138" ht="21">
      <c r="A4" t="s">
        <v>98</v>
      </c>
      <c r="B4" s="42" t="s">
        <v>98</v>
      </c>
      <c r="C4" s="42">
        <v>4054707</v>
      </c>
      <c r="D4" s="42" t="s">
        <v>99</v>
      </c>
      <c r="E4" s="42"/>
      <c r="F4" s="42"/>
      <c r="G4" s="42" t="s">
        <v>106</v>
      </c>
      <c r="H4" s="11">
        <v>1999</v>
      </c>
      <c r="I4" s="59"/>
      <c r="J4" s="60"/>
      <c r="K4" s="60"/>
      <c r="L4" s="60"/>
      <c r="M4" s="60"/>
      <c r="N4" s="152"/>
      <c r="O4" s="60"/>
      <c r="P4" s="60"/>
      <c r="Q4" s="107"/>
      <c r="R4" s="107"/>
      <c r="S4" s="107"/>
      <c r="T4" s="60"/>
      <c r="U4" s="107"/>
      <c r="V4" s="107"/>
      <c r="W4" s="60">
        <f t="shared" ref="W4:W26" si="5">+CI3*CZ4</f>
        <v>0</v>
      </c>
      <c r="X4" s="59"/>
      <c r="Y4" s="90">
        <v>5915.2843074017901</v>
      </c>
      <c r="Z4" s="78">
        <v>5.3312362345904502E-2</v>
      </c>
      <c r="AA4" s="78"/>
      <c r="AB4" s="78"/>
      <c r="AC4" s="78"/>
      <c r="AD4" s="59"/>
      <c r="AE4" s="78"/>
      <c r="AF4" s="90"/>
      <c r="AG4" s="78"/>
      <c r="AH4" s="78"/>
      <c r="AI4" s="78"/>
      <c r="AJ4" s="90"/>
      <c r="AK4" s="78"/>
      <c r="AL4" s="79"/>
      <c r="AM4" s="79"/>
      <c r="AN4" s="79"/>
      <c r="AO4" s="79"/>
      <c r="AP4" s="79"/>
      <c r="AQ4" s="78"/>
      <c r="AR4" s="79"/>
      <c r="AS4" s="79"/>
      <c r="AU4" s="78"/>
      <c r="AV4" s="77">
        <f>IFERROR(INDEX('Total Customers'!$F$7:$AB$91,MATCH($C4,'Total Customers'!$D$7:$D$91,0),MATCH($G4,'Total Customers'!$F$5:$AB$5,0)),"NA")</f>
        <v>1638195</v>
      </c>
      <c r="AW4" s="68">
        <f t="shared" ref="AW4:AW67" si="6">LN(AV4/AV3)</f>
        <v>0.10989030030495012</v>
      </c>
      <c r="AY4" s="70"/>
      <c r="BC4" s="16"/>
      <c r="BD4" s="16"/>
      <c r="BE4" s="16"/>
      <c r="BF4" s="16"/>
      <c r="BH4" s="62"/>
      <c r="BI4" s="61"/>
      <c r="BJ4" s="61"/>
      <c r="BK4" s="61">
        <f>INDEX('Dist. Plant Gas Additions'!$F$7:$AE$91,MATCH($C4,'Dist. Plant Gas Additions'!$D$7:$D$91,0),MATCH(Calculation!$G4,'Dist. Plant Gas Additions'!$F$5:$AE$5,0))</f>
        <v>109283</v>
      </c>
      <c r="BL4" s="61">
        <f>INDEX('Gen. Plant Additions'!$F$7:$AE$91,MATCH($C4,'Gen. Plant Additions'!$D$7:$D$91,0),MATCH(Calculation!$G4,'Gen. Plant Additions'!$F$5:$AE$5,0))</f>
        <v>3051</v>
      </c>
      <c r="BM4" s="231">
        <f t="shared" ref="BM4:BM25" si="7">+(BW4/(BW4+BX4))</f>
        <v>0.90918610350984141</v>
      </c>
      <c r="BN4" s="61">
        <f t="shared" ref="BN4:BN67" si="8">+BM4*BL4</f>
        <v>2773.9268018085263</v>
      </c>
      <c r="BO4" s="61">
        <f>INDEX('Dist Plant Depreciation'!$E$7:$AD$94,MATCH($C4,'Dist Plant Depreciation'!$D$7:$D$94,0),MATCH(Calculation!$G4,'Dist Plant Depreciation'!$E$5:$AD$5,0))</f>
        <v>566664.09274445893</v>
      </c>
      <c r="BP4" s="61"/>
      <c r="BQ4" s="66">
        <v>1930</v>
      </c>
      <c r="BR4" s="66"/>
      <c r="BS4" s="64">
        <v>18.779104489505663</v>
      </c>
      <c r="BT4" s="104"/>
      <c r="BU4" s="61"/>
      <c r="BV4" s="61"/>
      <c r="BW4" s="61">
        <f>INDEX('Gross Dx Plant'!$E$7:$AD$91,MATCH($C4,'Gross Dx Plant'!$D$7:$D$91,0),MATCH(Calculation!$G4,'Gross Dx Plant'!$E$5:$AD$5,0))</f>
        <v>1674869</v>
      </c>
      <c r="BX4" s="61">
        <f>INDEX('Gross Gen Plant'!$E$7:$AD$91,MATCH($C4,'Gross Gen Plant'!$D$7:$D$91,0),MATCH(Calculation!$G4,'Gross Gen Plant'!$E$5:$AD$5,0))</f>
        <v>167294</v>
      </c>
      <c r="BY4" s="61"/>
      <c r="BZ4" s="61"/>
      <c r="CA4" s="65">
        <v>1999</v>
      </c>
      <c r="CB4" s="61"/>
      <c r="CC4" s="61"/>
      <c r="CD4" s="61"/>
      <c r="CE4" s="66"/>
      <c r="CF4" s="77">
        <f t="shared" ref="CF4:CF26" si="9">+BL4+BK4</f>
        <v>112334</v>
      </c>
      <c r="CG4" s="61">
        <f t="shared" ref="CG4:CG26" si="10">+CF4/$DE4</f>
        <v>335.00038129759014</v>
      </c>
      <c r="CH4" s="67">
        <v>0.99502487562189057</v>
      </c>
      <c r="CI4" s="61">
        <f>+CI3*CH4+CG4</f>
        <v>5915.2843074017901</v>
      </c>
      <c r="CJ4" s="68">
        <f t="shared" ref="CJ4:CJ27" si="11">LN(CI4/CI3)</f>
        <v>5.3312362345904502E-2</v>
      </c>
      <c r="CK4" s="102">
        <f>LN(CK3)</f>
        <v>15.101756227176455</v>
      </c>
      <c r="CL4" s="69">
        <f t="shared" ref="CL4:CL26" si="12">+(CI3-CI4+CG4)/CI3</f>
        <v>4.9751243781093902E-3</v>
      </c>
      <c r="CM4" s="69"/>
      <c r="CN4" s="96">
        <f>VLOOKUP($H4,RoR!$E:$F,2,FALSE)</f>
        <v>7.0416666666666669E-2</v>
      </c>
      <c r="CO4" s="69">
        <v>1.4335631817396832E-2</v>
      </c>
      <c r="CP4" s="69">
        <f>+CN4-CO4</f>
        <v>5.6081034849269837E-2</v>
      </c>
      <c r="CQ4" s="69"/>
      <c r="CR4" s="69"/>
      <c r="CS4" s="119">
        <f t="shared" ref="CS4:CS27" si="13">1-CX4*CY4</f>
        <v>0.87050000000000005</v>
      </c>
      <c r="CT4" s="71">
        <f t="shared" ref="CT4:CT24" si="14">2/(DC4*39)</f>
        <v>0.72826581702321336</v>
      </c>
      <c r="CU4" s="71">
        <f t="shared" ref="CU4:CU26" si="15">+(DC4*40-(1+DC4))/(DC4*40)</f>
        <v>0.61997041420118348</v>
      </c>
      <c r="CV4" s="71">
        <f t="shared" ref="CV4:CV24" si="16">+(1-(1/(1+DC4)^40))</f>
        <v>0.93425155319585029</v>
      </c>
      <c r="CW4" s="71">
        <f t="shared" ref="CW4:CW24" si="17">+CV4*CU4*CT4</f>
        <v>0.42181762214141483</v>
      </c>
      <c r="CX4" s="72">
        <f>INDEX('State Tax Lookup'!$D$7:$Z$91,MATCH(Calculation!$C4,'State Tax Lookup'!$B$7:$B$91,0),MATCH($H4,'State Tax Lookup'!$D$6:$Z$6,0))</f>
        <v>0.35</v>
      </c>
      <c r="CY4" s="72">
        <v>0.37</v>
      </c>
      <c r="CZ4" s="70"/>
      <c r="DA4" s="70"/>
      <c r="DB4" s="69"/>
      <c r="DC4" s="72">
        <f>VLOOKUP($H4,RoR!$E:$F,2,FALSE)</f>
        <v>7.0416666666666669E-2</v>
      </c>
      <c r="DD4" s="73">
        <f>HLOOKUP($H4,'GDP-PI'!$D$8:$CQ$11,3,FALSE)</f>
        <v>1.4335631817396832E-2</v>
      </c>
      <c r="DE4" s="72">
        <f>VLOOKUP(H4,'HW Dx Data'!$E:$F,2,FALSE)</f>
        <v>335.32499146683239</v>
      </c>
      <c r="DF4" s="66"/>
      <c r="DG4" s="69"/>
      <c r="DH4" s="66">
        <f>HLOOKUP(H4,'GDP-PI'!$8:$9,2,FALSE)</f>
        <v>76.346000000000004</v>
      </c>
      <c r="DJ4">
        <v>26.033333333333335</v>
      </c>
      <c r="DK4">
        <v>1.9632981397687283E-2</v>
      </c>
      <c r="DN4" s="33">
        <v>9.3649579827502199E-3</v>
      </c>
      <c r="DO4" s="33">
        <v>4.3200000000000002E-2</v>
      </c>
      <c r="DP4" s="33">
        <f t="shared" si="0"/>
        <v>4.0456618485480949E-4</v>
      </c>
      <c r="DQ4" s="33">
        <v>3.7400000000000003E-2</v>
      </c>
      <c r="DR4" s="33">
        <f t="shared" si="1"/>
        <v>3.5024942855485823E-4</v>
      </c>
      <c r="DS4" s="33">
        <v>3.4799999999999998E-2</v>
      </c>
      <c r="DT4" s="33">
        <f t="shared" si="2"/>
        <v>3.2590053779970761E-4</v>
      </c>
      <c r="DU4" s="33">
        <v>3.09E-2</v>
      </c>
      <c r="DV4" s="33">
        <f t="shared" si="3"/>
        <v>2.8937720166698178E-4</v>
      </c>
      <c r="DW4" s="33">
        <v>2.6700000000000002E-2</v>
      </c>
      <c r="DX4" s="33">
        <f t="shared" si="4"/>
        <v>2.5004437813943089E-4</v>
      </c>
      <c r="EB4">
        <f>+EB3+1</f>
        <v>1999</v>
      </c>
    </row>
    <row r="5" spans="1:138" ht="21">
      <c r="A5" t="s">
        <v>98</v>
      </c>
      <c r="B5" s="42" t="s">
        <v>98</v>
      </c>
      <c r="C5" s="42">
        <v>4054707</v>
      </c>
      <c r="D5" s="42" t="s">
        <v>99</v>
      </c>
      <c r="E5" s="42"/>
      <c r="F5" s="42"/>
      <c r="G5" s="42" t="s">
        <v>107</v>
      </c>
      <c r="H5" s="11">
        <v>2000</v>
      </c>
      <c r="I5" s="59"/>
      <c r="J5" s="60"/>
      <c r="K5" s="60"/>
      <c r="L5" s="60"/>
      <c r="M5" s="60"/>
      <c r="N5" s="152"/>
      <c r="O5" s="60"/>
      <c r="P5" s="60"/>
      <c r="Q5" s="60"/>
      <c r="R5" s="60"/>
      <c r="S5" s="60"/>
      <c r="T5" s="60"/>
      <c r="U5" s="60"/>
      <c r="V5" s="60"/>
      <c r="W5" s="60">
        <f t="shared" si="5"/>
        <v>0</v>
      </c>
      <c r="X5" s="59"/>
      <c r="Y5" s="90">
        <v>6239.9357374617239</v>
      </c>
      <c r="Z5" s="78">
        <v>5.3430322074559021E-2</v>
      </c>
      <c r="AA5" s="78"/>
      <c r="AB5" s="78"/>
      <c r="AC5" s="78"/>
      <c r="AD5" s="59"/>
      <c r="AE5" s="78"/>
      <c r="AF5" s="59"/>
      <c r="AG5" s="59"/>
      <c r="AH5" s="59"/>
      <c r="AI5" s="59"/>
      <c r="AJ5" s="90"/>
      <c r="AK5" s="78"/>
      <c r="AL5" s="79"/>
      <c r="AM5" s="79"/>
      <c r="AN5" s="79"/>
      <c r="AO5" s="79"/>
      <c r="AP5" s="79"/>
      <c r="AQ5" s="78"/>
      <c r="AR5" s="79"/>
      <c r="AS5" s="79"/>
      <c r="AT5" s="79"/>
      <c r="AU5" s="79"/>
      <c r="AV5" s="77">
        <f>IFERROR(INDEX('Total Customers'!$F$7:$AB$91,MATCH($C5,'Total Customers'!$D$7:$D$91,0),MATCH($G5,'Total Customers'!$F$5:$AB$5,0)),"NA")</f>
        <v>1478549</v>
      </c>
      <c r="AW5" s="68">
        <f t="shared" si="6"/>
        <v>-0.10253382450543234</v>
      </c>
      <c r="AX5" s="132">
        <f t="shared" ref="AX5:AX9" si="18">+AV5+AV30+AV55+AV80+AV105+AV130+AV155+AV180+AV205+AV230+AV255+AV280+AV305+AV330+AV355+AV380+AV405+AV430+AV455+AV480+AV505+AV530+AV555+AV580+AV605+AV630+AV655+AV680+AV705+AV730+AV756+AV780+AV805+AV830+AV855+AV880+AV905+AV930+AV955+AV980+AV1005+AV1030+AV1055+AV1080+AV1105+AV1130+AV1155+AV1180+AV1205+AV1230+AV1255+AV1280+AV1305+AV1330</f>
        <v>32142052</v>
      </c>
      <c r="AY5" s="70"/>
      <c r="BC5" s="16"/>
      <c r="BD5" s="141" t="s">
        <v>108</v>
      </c>
      <c r="BE5" s="141" t="s">
        <v>109</v>
      </c>
      <c r="BF5" s="141" t="s">
        <v>110</v>
      </c>
      <c r="BH5" s="85"/>
      <c r="BI5" s="61"/>
      <c r="BJ5" s="61"/>
      <c r="BK5" s="61">
        <f>INDEX('Dist. Plant Gas Additions'!$F$7:$AE$91,MATCH($C5,'Dist. Plant Gas Additions'!$D$7:$D$91,0),MATCH(Calculation!$G5,'Dist. Plant Gas Additions'!$F$5:$AE$5,0))</f>
        <v>96835</v>
      </c>
      <c r="BL5" s="61">
        <f>INDEX('Gen. Plant Additions'!$F$7:$AE$91,MATCH($C5,'Gen. Plant Additions'!$D$7:$D$91,0),MATCH(Calculation!$G5,'Gen. Plant Additions'!$F$5:$AE$5,0))</f>
        <v>26207</v>
      </c>
      <c r="BM5" s="231">
        <f t="shared" si="7"/>
        <v>0.91059661788067647</v>
      </c>
      <c r="BN5" s="61">
        <f t="shared" si="8"/>
        <v>23864.005564798888</v>
      </c>
      <c r="BO5" s="61">
        <f>INDEX('Dist Plant Depreciation'!$E$7:$AD$94,MATCH($C5,'Dist Plant Depreciation'!$D$7:$D$94,0),MATCH(Calculation!$G5,'Dist Plant Depreciation'!$E$5:$AD$5,0))</f>
        <v>593637.30355909525</v>
      </c>
      <c r="BP5" s="61"/>
      <c r="BQ5" s="66">
        <v>1931</v>
      </c>
      <c r="BR5" s="66"/>
      <c r="BS5" s="64">
        <v>18.346320052377738</v>
      </c>
      <c r="BT5" s="104"/>
      <c r="BU5" s="61"/>
      <c r="BV5" s="61"/>
      <c r="BW5" s="61">
        <f>INDEX('Gross Dx Plant'!$E$7:$AD$91,MATCH($C5,'Gross Dx Plant'!$D$7:$D$91,0),MATCH(Calculation!$G5,'Gross Dx Plant'!$E$5:$AD$5,0))</f>
        <v>1743696</v>
      </c>
      <c r="BX5" s="61">
        <f>INDEX('Gross Gen Plant'!$E$7:$AD$91,MATCH($C5,'Gross Gen Plant'!$D$7:$D$91,0),MATCH(Calculation!$G5,'Gross Gen Plant'!$E$5:$AD$5,0))</f>
        <v>171198</v>
      </c>
      <c r="BY5" s="61"/>
      <c r="BZ5" s="61"/>
      <c r="CA5" s="65">
        <v>2000</v>
      </c>
      <c r="CB5" s="61"/>
      <c r="CC5" s="61"/>
      <c r="CD5" s="61"/>
      <c r="CE5" s="66"/>
      <c r="CF5" s="77">
        <f t="shared" si="9"/>
        <v>123042</v>
      </c>
      <c r="CG5" s="61">
        <f t="shared" si="10"/>
        <v>355.06501581868548</v>
      </c>
      <c r="CH5" s="67">
        <v>0.98989898989898994</v>
      </c>
      <c r="CI5" s="61">
        <f>+CI3*CH5+CG4*CH4+CG5</f>
        <v>6239.9357374617239</v>
      </c>
      <c r="CJ5" s="68">
        <f t="shared" si="11"/>
        <v>5.3430322074559021E-2</v>
      </c>
      <c r="CK5" s="68"/>
      <c r="CL5" s="69">
        <f t="shared" si="12"/>
        <v>5.1415256103067124E-3</v>
      </c>
      <c r="CM5" s="69"/>
      <c r="CN5" s="96">
        <f>VLOOKUP($H5,RoR!$E:$F,2,FALSE)</f>
        <v>7.6225000000000001E-2</v>
      </c>
      <c r="CO5" s="69">
        <v>2.2568307442433211E-2</v>
      </c>
      <c r="CP5" s="69">
        <f t="shared" ref="CP5:CP25" si="19">+CN5-CO5</f>
        <v>5.365669255756679E-2</v>
      </c>
      <c r="CQ5" s="69"/>
      <c r="CR5" s="69"/>
      <c r="CS5" s="119">
        <f t="shared" si="13"/>
        <v>0.87050000000000005</v>
      </c>
      <c r="CT5" s="71">
        <f t="shared" si="14"/>
        <v>0.67277207323124022</v>
      </c>
      <c r="CU5" s="71">
        <f t="shared" si="15"/>
        <v>0.6470236142997704</v>
      </c>
      <c r="CV5" s="71">
        <f t="shared" si="16"/>
        <v>0.94704866037543145</v>
      </c>
      <c r="CW5" s="71">
        <f t="shared" si="17"/>
        <v>0.41224973107878493</v>
      </c>
      <c r="CX5" s="72">
        <f>INDEX('State Tax Lookup'!$D$7:$Z$91,MATCH(Calculation!$C5,'State Tax Lookup'!$B$7:$B$91,0),MATCH($H5,'State Tax Lookup'!$D$6:$Z$6,0))</f>
        <v>0.35</v>
      </c>
      <c r="CY5" s="72">
        <v>0.37</v>
      </c>
      <c r="CZ5" s="70"/>
      <c r="DA5" s="70"/>
      <c r="DB5" s="69"/>
      <c r="DC5" s="111">
        <f>VLOOKUP($H5,RoR!$E:$F,2,FALSE)</f>
        <v>7.6225000000000001E-2</v>
      </c>
      <c r="DD5" s="216">
        <f>HLOOKUP($H5,'GDP-PI'!$D$8:$CQ$11,3,FALSE)</f>
        <v>2.2568307442433211E-2</v>
      </c>
      <c r="DE5" s="111">
        <f>VLOOKUP(H5,'HW Dx Data'!$E:$F,2,FALSE)</f>
        <v>346.53371782150339</v>
      </c>
      <c r="DF5" s="66"/>
      <c r="DG5" s="69"/>
      <c r="DH5" s="66">
        <f>HLOOKUP(H5,'GDP-PI'!$8:$9,2,FALSE)</f>
        <v>78.069000000000003</v>
      </c>
      <c r="DJ5">
        <v>25.524999999999999</v>
      </c>
      <c r="DK5">
        <v>3.8499245852187031E-2</v>
      </c>
      <c r="DN5" s="33">
        <v>2.2656063207879284E-2</v>
      </c>
      <c r="DO5" s="33">
        <v>3.9199999999999999E-2</v>
      </c>
      <c r="DP5" s="33">
        <f t="shared" si="0"/>
        <v>8.8811767774886789E-4</v>
      </c>
      <c r="DQ5" s="33">
        <v>3.3599999999999998E-2</v>
      </c>
      <c r="DR5" s="33">
        <f t="shared" si="1"/>
        <v>7.6124372378474393E-4</v>
      </c>
      <c r="DS5" s="33">
        <v>3.1E-2</v>
      </c>
      <c r="DT5" s="33">
        <f t="shared" si="2"/>
        <v>7.023379594442578E-4</v>
      </c>
      <c r="DU5" s="33">
        <v>2.7400000000000001E-2</v>
      </c>
      <c r="DV5" s="33">
        <f t="shared" si="3"/>
        <v>6.207761318958924E-4</v>
      </c>
      <c r="DW5" s="33">
        <v>2.3400000000000001E-2</v>
      </c>
      <c r="DX5" s="33">
        <f t="shared" si="4"/>
        <v>5.301518790643753E-4</v>
      </c>
      <c r="EB5">
        <f t="shared" ref="EB5:EB52" si="20">+EB4+1</f>
        <v>2000</v>
      </c>
    </row>
    <row r="6" spans="1:138" ht="21">
      <c r="A6" t="s">
        <v>98</v>
      </c>
      <c r="B6" s="42" t="s">
        <v>98</v>
      </c>
      <c r="C6" s="42">
        <v>4054707</v>
      </c>
      <c r="D6" s="42" t="s">
        <v>99</v>
      </c>
      <c r="E6" s="42"/>
      <c r="F6" s="42"/>
      <c r="G6" s="42" t="s">
        <v>111</v>
      </c>
      <c r="H6" s="11">
        <v>2001</v>
      </c>
      <c r="I6" s="59"/>
      <c r="J6" s="60"/>
      <c r="K6" s="60"/>
      <c r="L6" s="60"/>
      <c r="M6" s="60"/>
      <c r="N6" s="76"/>
      <c r="O6" s="60"/>
      <c r="P6" s="60"/>
      <c r="Q6" s="60"/>
      <c r="R6" s="60"/>
      <c r="S6" s="60"/>
      <c r="T6" s="60"/>
      <c r="U6" s="60"/>
      <c r="V6" s="60"/>
      <c r="W6" s="60">
        <f t="shared" si="5"/>
        <v>76167.026238265404</v>
      </c>
      <c r="X6" s="59"/>
      <c r="Y6" s="90">
        <v>6477.0174648424127</v>
      </c>
      <c r="Z6" s="78">
        <v>3.7290252792618349E-2</v>
      </c>
      <c r="AA6" s="78"/>
      <c r="AB6" s="78"/>
      <c r="AC6" s="78"/>
      <c r="AD6" s="59"/>
      <c r="AE6" s="78"/>
      <c r="AF6" s="78"/>
      <c r="AG6" s="78"/>
      <c r="AH6" s="78"/>
      <c r="AI6" s="78"/>
      <c r="AJ6" s="90"/>
      <c r="AK6" s="78"/>
      <c r="AL6" s="79"/>
      <c r="AM6" s="79"/>
      <c r="AN6" s="79"/>
      <c r="AO6" s="79"/>
      <c r="AP6" s="79"/>
      <c r="AQ6" s="78"/>
      <c r="AR6" s="79"/>
      <c r="AS6" s="79"/>
      <c r="AT6" s="79"/>
      <c r="AU6" s="79"/>
      <c r="AV6" s="77">
        <f>IFERROR(INDEX('Total Customers'!$F$7:$AB$91,MATCH($C6,'Total Customers'!$D$7:$D$91,0),MATCH($G6,'Total Customers'!$F$5:$AB$5,0)),"NA")</f>
        <v>1533343</v>
      </c>
      <c r="AW6" s="68">
        <f t="shared" si="6"/>
        <v>3.6389117696005835E-2</v>
      </c>
      <c r="AX6" s="132">
        <f t="shared" si="18"/>
        <v>32759727</v>
      </c>
      <c r="AY6" s="68">
        <f>LN(AX6/AX5)</f>
        <v>1.9034721670323575E-2</v>
      </c>
      <c r="AZ6" s="61"/>
      <c r="BA6" s="61"/>
      <c r="BC6" s="149" t="s">
        <v>112</v>
      </c>
      <c r="BD6" s="150">
        <f>+AY3</f>
        <v>6.7790709726071943E-3</v>
      </c>
      <c r="BE6" s="151">
        <f>+AQ3</f>
        <v>2.1973884890672469E-2</v>
      </c>
      <c r="BF6" s="150">
        <f>+BD6-BE6</f>
        <v>-1.5194813918065275E-2</v>
      </c>
      <c r="BH6" s="62"/>
      <c r="BI6" s="61"/>
      <c r="BJ6" s="61"/>
      <c r="BK6" s="61">
        <f>INDEX('Dist. Plant Gas Additions'!$F$7:$AE$91,MATCH($C6,'Dist. Plant Gas Additions'!$D$7:$D$91,0),MATCH(Calculation!$G6,'Dist. Plant Gas Additions'!$F$5:$AE$5,0))</f>
        <v>92757</v>
      </c>
      <c r="BL6" s="61">
        <f>INDEX('Gen. Plant Additions'!$F$7:$AE$91,MATCH($C6,'Gen. Plant Additions'!$D$7:$D$91,0),MATCH(Calculation!$G6,'Gen. Plant Additions'!$F$5:$AE$5,0))</f>
        <v>2119</v>
      </c>
      <c r="BM6" s="231">
        <f t="shared" si="7"/>
        <v>0.92165150134653528</v>
      </c>
      <c r="BN6" s="61">
        <f t="shared" si="8"/>
        <v>1952.9795313533082</v>
      </c>
      <c r="BO6" s="61">
        <f>INDEX('Dist Plant Depreciation'!$E$7:$AD$94,MATCH($C6,'Dist Plant Depreciation'!$D$7:$D$94,0),MATCH(Calculation!$G6,'Dist Plant Depreciation'!$E$5:$AD$5,0))</f>
        <v>621894.43920850824</v>
      </c>
      <c r="BP6" s="61"/>
      <c r="BQ6" s="66">
        <v>1932</v>
      </c>
      <c r="BR6" s="66"/>
      <c r="BS6" s="64">
        <v>17.456370860424776</v>
      </c>
      <c r="BT6" s="104"/>
      <c r="BU6" s="61"/>
      <c r="BV6" s="61"/>
      <c r="BW6" s="61">
        <f>INDEX('Gross Dx Plant'!$E$7:$AD$91,MATCH($C6,'Gross Dx Plant'!$D$7:$D$91,0),MATCH(Calculation!$G6,'Gross Dx Plant'!$E$5:$AD$5,0))</f>
        <v>1828881</v>
      </c>
      <c r="BX6" s="61">
        <f>INDEX('Gross Gen Plant'!$E$7:$AD$91,MATCH($C6,'Gross Gen Plant'!$D$7:$D$91,0),MATCH(Calculation!$G6,'Gross Gen Plant'!$E$5:$AD$5,0))</f>
        <v>155471</v>
      </c>
      <c r="BY6" s="61"/>
      <c r="BZ6" s="61"/>
      <c r="CA6" s="65">
        <v>2001</v>
      </c>
      <c r="CB6" s="61"/>
      <c r="CC6" s="61"/>
      <c r="CD6" s="61"/>
      <c r="CE6" s="66"/>
      <c r="CF6" s="77">
        <f t="shared" si="9"/>
        <v>94876</v>
      </c>
      <c r="CG6" s="61">
        <f t="shared" si="10"/>
        <v>268.43033877651027</v>
      </c>
      <c r="CH6" s="67">
        <v>0.98461538461538467</v>
      </c>
      <c r="CI6" s="61">
        <f>+CI3*CH6+CG4*CH5+CG5*CH3+CG6</f>
        <v>6477.0174648424127</v>
      </c>
      <c r="CJ6" s="68">
        <f t="shared" si="11"/>
        <v>3.7290252792618349E-2</v>
      </c>
      <c r="CK6" s="68"/>
      <c r="CL6" s="69">
        <f t="shared" si="12"/>
        <v>5.0238676670368151E-3</v>
      </c>
      <c r="CM6" s="69">
        <f>+(CL6+CL5+CL4)/3</f>
        <v>5.0468392184843062E-3</v>
      </c>
      <c r="CN6" s="96">
        <f>VLOOKUP($H6,RoR!$E:$F,2,FALSE)</f>
        <v>7.0824999999999999E-2</v>
      </c>
      <c r="CO6" s="69">
        <v>2.2454495382290052E-2</v>
      </c>
      <c r="CP6" s="69">
        <f t="shared" si="19"/>
        <v>4.8370504617709947E-2</v>
      </c>
      <c r="CQ6" s="69">
        <f>+$CP$2-CM6</f>
        <v>2.5855102390049317E-2</v>
      </c>
      <c r="CR6" s="69">
        <f>+((DE4/DE3-1)+(DE5/DE4-1)+(DE6/DE5-1))/3</f>
        <v>2.3947275901631187E-2</v>
      </c>
      <c r="CS6" s="119">
        <f t="shared" si="13"/>
        <v>0.87050000000000005</v>
      </c>
      <c r="CT6" s="71">
        <f t="shared" si="14"/>
        <v>0.72406708481540816</v>
      </c>
      <c r="CU6" s="71">
        <f t="shared" si="15"/>
        <v>0.62201729615248857</v>
      </c>
      <c r="CV6" s="71">
        <f t="shared" si="16"/>
        <v>0.9352469954311422</v>
      </c>
      <c r="CW6" s="71">
        <f t="shared" si="17"/>
        <v>0.42121864641655071</v>
      </c>
      <c r="CX6" s="72">
        <f>INDEX('State Tax Lookup'!$D$7:$Z$91,MATCH(Calculation!$C6,'State Tax Lookup'!$B$7:$B$91,0),MATCH($H6,'State Tax Lookup'!$D$6:$Z$6,0))</f>
        <v>0.35</v>
      </c>
      <c r="CY6" s="72">
        <v>0.37</v>
      </c>
      <c r="CZ6" s="70">
        <f t="shared" ref="CZ6:CZ27" si="21">+(DE6*CQ6-CR6)*CS6/(1-CX6)</f>
        <v>12.206379912054762</v>
      </c>
      <c r="DA6" s="70"/>
      <c r="DB6" s="69"/>
      <c r="DC6" s="111">
        <f>VLOOKUP($H6,RoR!$E:$F,2,FALSE)</f>
        <v>7.0824999999999999E-2</v>
      </c>
      <c r="DD6" s="216">
        <f>HLOOKUP($H6,'GDP-PI'!$D$8:$CQ$11,3,FALSE)</f>
        <v>2.2454495382290052E-2</v>
      </c>
      <c r="DE6" s="111">
        <f>VLOOKUP(H6,'HW Dx Data'!$E:$F,2,FALSE)</f>
        <v>353.44738017483138</v>
      </c>
      <c r="DF6" s="66"/>
      <c r="DG6" s="69"/>
      <c r="DH6" s="66">
        <f>HLOOKUP(H6,'GDP-PI'!$8:$9,2,FALSE)</f>
        <v>79.822000000000003</v>
      </c>
      <c r="DJ6">
        <v>27.391666666666666</v>
      </c>
      <c r="DK6">
        <v>6.1972096530920062E-2</v>
      </c>
      <c r="DN6" s="33">
        <v>3.4390332219296701E-3</v>
      </c>
      <c r="DO6" s="33">
        <v>2.7E-2</v>
      </c>
      <c r="DP6" s="33">
        <f t="shared" si="0"/>
        <v>9.2853896992101093E-5</v>
      </c>
      <c r="DQ6" s="33">
        <v>2.01E-2</v>
      </c>
      <c r="DR6" s="33">
        <f t="shared" si="1"/>
        <v>6.9124567760786367E-5</v>
      </c>
      <c r="DS6" s="33">
        <v>1.6899999999999998E-2</v>
      </c>
      <c r="DT6" s="33">
        <f t="shared" si="2"/>
        <v>5.8119661450611423E-5</v>
      </c>
      <c r="DU6" s="33">
        <v>1.2200000000000001E-2</v>
      </c>
      <c r="DV6" s="33">
        <f t="shared" si="3"/>
        <v>4.195620530754198E-5</v>
      </c>
      <c r="DW6" s="33">
        <v>7.1000000000000004E-3</v>
      </c>
      <c r="DX6" s="33">
        <f t="shared" si="4"/>
        <v>2.4417135875700658E-5</v>
      </c>
      <c r="EB6">
        <f t="shared" si="20"/>
        <v>2001</v>
      </c>
    </row>
    <row r="7" spans="1:138" ht="21">
      <c r="A7" t="s">
        <v>98</v>
      </c>
      <c r="B7" s="42" t="s">
        <v>98</v>
      </c>
      <c r="C7" s="42">
        <v>4054707</v>
      </c>
      <c r="D7" s="42" t="s">
        <v>99</v>
      </c>
      <c r="E7" s="42"/>
      <c r="F7" s="42"/>
      <c r="G7" s="42" t="s">
        <v>113</v>
      </c>
      <c r="H7" s="11">
        <v>2002</v>
      </c>
      <c r="I7" s="59"/>
      <c r="J7" s="60"/>
      <c r="K7" s="60"/>
      <c r="L7" s="60"/>
      <c r="M7" s="60"/>
      <c r="N7" s="152"/>
      <c r="O7" s="60"/>
      <c r="P7" s="60"/>
      <c r="Q7" s="60"/>
      <c r="R7" s="60"/>
      <c r="S7" s="60"/>
      <c r="T7" s="60"/>
      <c r="U7" s="60"/>
      <c r="V7" s="60"/>
      <c r="W7" s="60">
        <f t="shared" si="5"/>
        <v>80010.969672730935</v>
      </c>
      <c r="X7" s="59"/>
      <c r="Y7" s="90">
        <v>6702.2378984315137</v>
      </c>
      <c r="Z7" s="78">
        <v>3.4181348680475739E-2</v>
      </c>
      <c r="AA7" s="78"/>
      <c r="AB7" s="78"/>
      <c r="AC7" s="78"/>
      <c r="AD7" s="59"/>
      <c r="AE7" s="78"/>
      <c r="AF7" s="59"/>
      <c r="AG7" s="59"/>
      <c r="AH7" s="59"/>
      <c r="AI7" s="59"/>
      <c r="AJ7" s="90"/>
      <c r="AK7" s="78"/>
      <c r="AL7" s="79">
        <f t="shared" ref="AL7:AM7" si="22">AVERAGE(AL12:AL27)</f>
        <v>0.19130084939459299</v>
      </c>
      <c r="AM7" s="79">
        <f t="shared" si="22"/>
        <v>0.27618107780240486</v>
      </c>
      <c r="AN7" s="79">
        <f>AVERAGE(AN12:AN27)</f>
        <v>0.53251807280300212</v>
      </c>
      <c r="AO7" s="79"/>
      <c r="AP7" s="79"/>
      <c r="AQ7" s="78"/>
      <c r="AR7" s="79"/>
      <c r="AS7" s="79"/>
      <c r="AT7" s="79"/>
      <c r="AU7" s="79"/>
      <c r="AV7" s="77">
        <f>IFERROR(INDEX('Total Customers'!$F$7:$AB$91,MATCH($C7,'Total Customers'!$D$7:$D$91,0),MATCH($G7,'Total Customers'!$F$5:$AB$5,0)),"NA")</f>
        <v>1519499</v>
      </c>
      <c r="AW7" s="68">
        <f t="shared" si="6"/>
        <v>-9.0696438916200196E-3</v>
      </c>
      <c r="AX7" s="132">
        <f t="shared" si="18"/>
        <v>33101015</v>
      </c>
      <c r="AY7" s="68">
        <f>LN(AX7/AX6)</f>
        <v>1.0364020948621372E-2</v>
      </c>
      <c r="AZ7" s="61"/>
      <c r="BA7" s="61"/>
      <c r="BD7" s="229"/>
      <c r="BE7" s="229"/>
      <c r="BF7" s="229"/>
      <c r="BH7" s="108"/>
      <c r="BI7" s="61"/>
      <c r="BJ7" s="61"/>
      <c r="BK7" s="61">
        <f>INDEX('Dist. Plant Gas Additions'!$F$7:$AE$91,MATCH($C7,'Dist. Plant Gas Additions'!$D$7:$D$91,0),MATCH(Calculation!$G7,'Dist. Plant Gas Additions'!$F$5:$AE$5,0))</f>
        <v>96943</v>
      </c>
      <c r="BL7" s="61">
        <f>INDEX('Gen. Plant Additions'!$F$7:$AE$91,MATCH($C7,'Gen. Plant Additions'!$D$7:$D$91,0),MATCH(Calculation!$G7,'Gen. Plant Additions'!$F$5:$AE$5,0))</f>
        <v>-2100</v>
      </c>
      <c r="BM7" s="231">
        <f t="shared" si="7"/>
        <v>0.92718414837139662</v>
      </c>
      <c r="BN7" s="61">
        <f t="shared" si="8"/>
        <v>-1947.0867115799329</v>
      </c>
      <c r="BO7" s="61">
        <f>INDEX('Dist Plant Depreciation'!$E$7:$AD$94,MATCH($C7,'Dist Plant Depreciation'!$D$7:$D$94,0),MATCH(Calculation!$G7,'Dist Plant Depreciation'!$E$5:$AD$5,0))</f>
        <v>651496.61451483332</v>
      </c>
      <c r="BP7" s="61"/>
      <c r="BQ7" s="66">
        <v>1933</v>
      </c>
      <c r="BR7" s="66"/>
      <c r="BS7" s="64">
        <v>16.974635455849079</v>
      </c>
      <c r="BT7" s="104"/>
      <c r="BU7" s="61"/>
      <c r="BV7" s="61"/>
      <c r="BW7" s="61">
        <f>INDEX('Gross Dx Plant'!$E$7:$AD$91,MATCH($C7,'Gross Dx Plant'!$D$7:$D$91,0),MATCH(Calculation!$G7,'Gross Dx Plant'!$E$5:$AD$5,0))</f>
        <v>1941213</v>
      </c>
      <c r="BX7" s="61">
        <f>INDEX('Gross Gen Plant'!$E$7:$AD$91,MATCH($C7,'Gross Gen Plant'!$D$7:$D$91,0),MATCH(Calculation!$G7,'Gross Gen Plant'!$E$5:$AD$5,0))</f>
        <v>152452</v>
      </c>
      <c r="BY7" s="61"/>
      <c r="BZ7" s="61"/>
      <c r="CA7" s="65">
        <v>2002</v>
      </c>
      <c r="CB7" s="61"/>
      <c r="CC7" s="61"/>
      <c r="CD7" s="74"/>
      <c r="CE7" s="66"/>
      <c r="CF7" s="77">
        <f t="shared" si="9"/>
        <v>94843</v>
      </c>
      <c r="CG7" s="61">
        <f t="shared" si="10"/>
        <v>262.46985316034863</v>
      </c>
      <c r="CH7" s="67">
        <v>0.97916666666666663</v>
      </c>
      <c r="CI7" s="61">
        <f>+CI3*CH7+CG4*CH6+CG5*CH5+CG6*CH4+CG7</f>
        <v>6702.2378984315137</v>
      </c>
      <c r="CJ7" s="68">
        <f t="shared" si="11"/>
        <v>3.4181348680475739E-2</v>
      </c>
      <c r="CK7" s="68"/>
      <c r="CL7" s="69">
        <f t="shared" si="12"/>
        <v>5.7510142242844595E-3</v>
      </c>
      <c r="CM7" s="69">
        <f t="shared" ref="CM7:CM26" si="23">+(CL7+CL6+CL5)/3</f>
        <v>5.305469167209329E-3</v>
      </c>
      <c r="CN7" s="96">
        <f>VLOOKUP($H7,RoR!$E:$F,2,FALSE)</f>
        <v>6.4916666666666664E-2</v>
      </c>
      <c r="CO7" s="69">
        <v>1.5246423291824351E-2</v>
      </c>
      <c r="CP7" s="69">
        <f t="shared" si="19"/>
        <v>4.9670243374842313E-2</v>
      </c>
      <c r="CQ7" s="69">
        <f t="shared" ref="CQ7:CQ25" si="24">+$CP$2-CM7</f>
        <v>2.5596472441324295E-2</v>
      </c>
      <c r="CR7" s="69">
        <f t="shared" ref="CR7:CR24" si="25">+((DE5/DE4-1)+(DE6/DE5-1)+(DE7/DE6-1))/3</f>
        <v>2.5243621214759093E-2</v>
      </c>
      <c r="CS7" s="119">
        <f t="shared" si="13"/>
        <v>0.87050000000000005</v>
      </c>
      <c r="CT7" s="71">
        <f t="shared" si="14"/>
        <v>0.78996741384417901</v>
      </c>
      <c r="CU7" s="71">
        <f t="shared" si="15"/>
        <v>0.58989088575096271</v>
      </c>
      <c r="CV7" s="71">
        <f t="shared" si="16"/>
        <v>0.91920675783645744</v>
      </c>
      <c r="CW7" s="71">
        <f t="shared" si="17"/>
        <v>0.42834536472275586</v>
      </c>
      <c r="CX7" s="72">
        <f>INDEX('State Tax Lookup'!$D$7:$Z$91,MATCH(Calculation!$C7,'State Tax Lookup'!$B$7:$B$91,0),MATCH($H7,'State Tax Lookup'!$D$6:$Z$6,0))</f>
        <v>0.35</v>
      </c>
      <c r="CY7" s="72">
        <v>0.37</v>
      </c>
      <c r="CZ7" s="70">
        <f t="shared" si="21"/>
        <v>12.353057577354798</v>
      </c>
      <c r="DA7" s="70"/>
      <c r="DB7" s="69">
        <f>LN(CZ7/CZ6)</f>
        <v>1.1944850882680937E-2</v>
      </c>
      <c r="DC7" s="111">
        <f>VLOOKUP($H7,RoR!$E:$F,2,FALSE)</f>
        <v>6.4916666666666664E-2</v>
      </c>
      <c r="DD7" s="216">
        <f>HLOOKUP($H7,'GDP-PI'!$D$8:$CQ$11,3,FALSE)</f>
        <v>1.5246423291824351E-2</v>
      </c>
      <c r="DE7" s="111">
        <f>VLOOKUP(H7,'HW Dx Data'!$E:$F,2,FALSE)</f>
        <v>361.34816573413599</v>
      </c>
      <c r="DF7" s="66"/>
      <c r="DG7" s="69"/>
      <c r="DH7" s="66">
        <f>HLOOKUP(H7,'GDP-PI'!$8:$9,2,FALSE)</f>
        <v>81.039000000000001</v>
      </c>
      <c r="DI7" s="69">
        <f>LN(DH7/DH6)</f>
        <v>1.513136459537477E-2</v>
      </c>
      <c r="DJ7">
        <v>29.916666666666668</v>
      </c>
      <c r="DK7">
        <v>9.0246354952237318E-2</v>
      </c>
      <c r="DN7" s="33">
        <v>8.1307452597312275E-5</v>
      </c>
      <c r="DO7" s="33">
        <v>2.5399999999999999E-2</v>
      </c>
      <c r="DP7" s="33">
        <f t="shared" si="0"/>
        <v>2.0652092959717315E-6</v>
      </c>
      <c r="DQ7" s="33">
        <v>1.7000000000000001E-2</v>
      </c>
      <c r="DR7" s="33">
        <f t="shared" si="1"/>
        <v>1.3822266941543088E-6</v>
      </c>
      <c r="DS7" s="33">
        <v>1.3599999999999999E-2</v>
      </c>
      <c r="DT7" s="33">
        <f t="shared" si="2"/>
        <v>1.1057813553234468E-6</v>
      </c>
      <c r="DU7" s="33">
        <v>7.4000000000000003E-3</v>
      </c>
      <c r="DV7" s="33">
        <f t="shared" si="3"/>
        <v>6.0167514922011089E-7</v>
      </c>
      <c r="DW7" s="33">
        <v>6.9999999999999999E-4</v>
      </c>
      <c r="DX7" s="33">
        <f t="shared" si="4"/>
        <v>5.6915216818118591E-8</v>
      </c>
      <c r="EB7">
        <f t="shared" si="20"/>
        <v>2002</v>
      </c>
    </row>
    <row r="8" spans="1:138" ht="21">
      <c r="A8" t="s">
        <v>98</v>
      </c>
      <c r="B8" s="42" t="s">
        <v>98</v>
      </c>
      <c r="C8" s="42">
        <v>4054707</v>
      </c>
      <c r="D8" s="42" t="s">
        <v>99</v>
      </c>
      <c r="E8" s="42"/>
      <c r="F8" s="42"/>
      <c r="G8" s="42" t="s">
        <v>114</v>
      </c>
      <c r="H8" s="11">
        <v>2003</v>
      </c>
      <c r="I8" s="59"/>
      <c r="J8" s="60"/>
      <c r="K8" s="60"/>
      <c r="L8" s="76"/>
      <c r="M8" s="76"/>
      <c r="N8" s="152"/>
      <c r="O8" s="76"/>
      <c r="P8" s="76"/>
      <c r="Q8" s="60"/>
      <c r="R8" s="60"/>
      <c r="S8" s="60"/>
      <c r="T8" s="76"/>
      <c r="U8" s="60"/>
      <c r="V8" s="60"/>
      <c r="W8" s="60">
        <f t="shared" si="5"/>
        <v>84070.591010295146</v>
      </c>
      <c r="X8" s="59"/>
      <c r="Y8" s="90">
        <v>6890.4771690257439</v>
      </c>
      <c r="Z8" s="78">
        <v>2.7698852611096007E-2</v>
      </c>
      <c r="AA8" s="78"/>
      <c r="AB8" s="78"/>
      <c r="AC8" s="78"/>
      <c r="AD8" s="59"/>
      <c r="AE8" s="78"/>
      <c r="AF8" s="59"/>
      <c r="AG8" s="59"/>
      <c r="AH8" s="59"/>
      <c r="AI8" s="59"/>
      <c r="AJ8" s="90"/>
      <c r="AK8" s="78"/>
      <c r="AL8" s="79"/>
      <c r="AM8" s="79"/>
      <c r="AN8" s="79"/>
      <c r="AO8" s="79"/>
      <c r="AP8" s="79"/>
      <c r="AQ8" s="78"/>
      <c r="AR8" s="79"/>
      <c r="AS8" s="79"/>
      <c r="AT8" s="79"/>
      <c r="AU8" s="79"/>
      <c r="AV8" s="77">
        <f>IFERROR(INDEX('Total Customers'!$F$7:$AB$91,MATCH($C8,'Total Customers'!$D$7:$D$91,0),MATCH($G8,'Total Customers'!$F$5:$AB$5,0)),"NA")</f>
        <v>1527668</v>
      </c>
      <c r="AW8" s="68">
        <f t="shared" si="6"/>
        <v>5.3617143859715994E-3</v>
      </c>
      <c r="AX8" s="132">
        <f t="shared" si="18"/>
        <v>33430818</v>
      </c>
      <c r="AY8" s="68">
        <f t="shared" ref="AY8:AY10" si="26">LN(AX8/AX7)</f>
        <v>9.9142226069954369E-3</v>
      </c>
      <c r="AZ8" s="61"/>
      <c r="BA8" s="61"/>
      <c r="BF8" s="229"/>
      <c r="BH8" s="108"/>
      <c r="BI8" s="61"/>
      <c r="BJ8" s="61"/>
      <c r="BK8" s="61">
        <f>INDEX('Dist. Plant Gas Additions'!$F$7:$AE$91,MATCH($C8,'Dist. Plant Gas Additions'!$D$7:$D$91,0),MATCH(Calculation!$G8,'Dist. Plant Gas Additions'!$F$5:$AE$5,0))</f>
        <v>79948</v>
      </c>
      <c r="BL8" s="61">
        <f>INDEX('Gen. Plant Additions'!$F$7:$AE$91,MATCH($C8,'Gen. Plant Additions'!$D$7:$D$91,0),MATCH(Calculation!$G8,'Gen. Plant Additions'!$F$5:$AE$5,0))</f>
        <v>3554</v>
      </c>
      <c r="BM8" s="231">
        <f t="shared" si="7"/>
        <v>0.94135348367243399</v>
      </c>
      <c r="BN8" s="61">
        <f t="shared" si="8"/>
        <v>3345.5702809718305</v>
      </c>
      <c r="BO8" s="61">
        <f>INDEX('Dist Plant Depreciation'!$E$7:$AD$94,MATCH($C8,'Dist Plant Depreciation'!$D$7:$D$94,0),MATCH(Calculation!$G8,'Dist Plant Depreciation'!$E$5:$AD$5,0))</f>
        <v>682507.85336573946</v>
      </c>
      <c r="BP8" s="61"/>
      <c r="BQ8" s="66">
        <v>1934</v>
      </c>
      <c r="BR8" s="66"/>
      <c r="BS8" s="64">
        <v>17.42070759427811</v>
      </c>
      <c r="BT8" s="104"/>
      <c r="BU8" s="61"/>
      <c r="BV8" s="61"/>
      <c r="BW8" s="61">
        <f>INDEX('Gross Dx Plant'!$E$7:$AD$91,MATCH($C8,'Gross Dx Plant'!$D$7:$D$91,0),MATCH(Calculation!$G8,'Gross Dx Plant'!$E$5:$AD$5,0))</f>
        <v>2005820</v>
      </c>
      <c r="BX8" s="61">
        <f>INDEX('Gross Gen Plant'!$E$7:$AD$91,MATCH($C8,'Gross Gen Plant'!$D$7:$D$91,0),MATCH(Calculation!$G8,'Gross Gen Plant'!$E$5:$AD$5,0))</f>
        <v>124963</v>
      </c>
      <c r="BY8" s="61"/>
      <c r="BZ8" s="61"/>
      <c r="CA8" s="65">
        <v>2003</v>
      </c>
      <c r="CB8" s="61"/>
      <c r="CC8" s="61"/>
      <c r="CD8" s="61"/>
      <c r="CE8" s="66"/>
      <c r="CF8" s="77">
        <f t="shared" si="9"/>
        <v>83502</v>
      </c>
      <c r="CG8" s="61">
        <f t="shared" si="10"/>
        <v>226.14987696763825</v>
      </c>
      <c r="CH8" s="67">
        <v>0.97354497354497349</v>
      </c>
      <c r="CI8" s="61">
        <f>+CI3*CH8+CG4*CH7+CG5*CH6+CG6*CH5+CG7*CH4+CG8</f>
        <v>6890.4771690257439</v>
      </c>
      <c r="CJ8" s="68">
        <f t="shared" si="11"/>
        <v>2.7698852611096007E-2</v>
      </c>
      <c r="CK8" s="68"/>
      <c r="CL8" s="69">
        <f t="shared" si="12"/>
        <v>5.6564101346327968E-3</v>
      </c>
      <c r="CM8" s="69">
        <f t="shared" si="23"/>
        <v>5.4770973419846908E-3</v>
      </c>
      <c r="CN8" s="96">
        <f>VLOOKUP($H8,RoR!$E:$F,2,FALSE)</f>
        <v>5.6666666666666671E-2</v>
      </c>
      <c r="CO8" s="69">
        <v>1.8855119140166909E-2</v>
      </c>
      <c r="CP8" s="69">
        <f t="shared" si="19"/>
        <v>3.7811547526499761E-2</v>
      </c>
      <c r="CQ8" s="69">
        <f t="shared" si="24"/>
        <v>2.5424844266548934E-2</v>
      </c>
      <c r="CR8" s="69">
        <f t="shared" si="25"/>
        <v>2.1375012817671957E-2</v>
      </c>
      <c r="CS8" s="119">
        <f t="shared" si="13"/>
        <v>0.87050000000000005</v>
      </c>
      <c r="CT8" s="71">
        <f t="shared" si="14"/>
        <v>0.90497737556561086</v>
      </c>
      <c r="CU8" s="71">
        <f t="shared" si="15"/>
        <v>0.5338235294117647</v>
      </c>
      <c r="CV8" s="71">
        <f t="shared" si="16"/>
        <v>0.88972433127405692</v>
      </c>
      <c r="CW8" s="71">
        <f t="shared" si="17"/>
        <v>0.42982423775949252</v>
      </c>
      <c r="CX8" s="72">
        <f>INDEX('State Tax Lookup'!$D$7:$Z$91,MATCH(Calculation!$C8,'State Tax Lookup'!$B$7:$B$91,0),MATCH($H8,'State Tax Lookup'!$D$6:$Z$6,0))</f>
        <v>0.35</v>
      </c>
      <c r="CY8" s="72">
        <v>0.37</v>
      </c>
      <c r="CZ8" s="70">
        <f t="shared" si="21"/>
        <v>12.543659637920298</v>
      </c>
      <c r="DA8" s="70"/>
      <c r="DB8" s="69">
        <f t="shared" ref="DB8:DB27" si="27">LN(CZ8/CZ7)</f>
        <v>1.5311720237745421E-2</v>
      </c>
      <c r="DC8" s="111">
        <f>VLOOKUP($H8,RoR!$E:$F,2,FALSE)</f>
        <v>5.6666666666666671E-2</v>
      </c>
      <c r="DD8" s="216">
        <f>HLOOKUP($H8,'GDP-PI'!$D$8:$CQ$11,3,FALSE)</f>
        <v>1.8855119140166909E-2</v>
      </c>
      <c r="DE8" s="111">
        <f>VLOOKUP(H8,'HW Dx Data'!$E:$F,2,FALSE)</f>
        <v>369.23301095560191</v>
      </c>
      <c r="DF8" s="72">
        <f>VLOOKUP(G8,EG$8:EH$27,2,FALSE)</f>
        <v>89.25</v>
      </c>
      <c r="DG8" s="69"/>
      <c r="DH8" s="66">
        <f>HLOOKUP(H8,'GDP-PI'!$8:$9,2,FALSE)</f>
        <v>82.566999999999993</v>
      </c>
      <c r="DI8" s="69">
        <f t="shared" ref="DG8:DI27" si="28">LN(DH8/DH7)</f>
        <v>1.8679564681853753E-2</v>
      </c>
      <c r="DJ8">
        <v>29.574999999999999</v>
      </c>
      <c r="DK8">
        <v>0.11151960784313725</v>
      </c>
      <c r="DN8" s="33">
        <v>5.2482057898802836E-2</v>
      </c>
      <c r="DO8" s="33">
        <v>3.73E-2</v>
      </c>
      <c r="DP8" s="33">
        <f t="shared" si="0"/>
        <v>1.9575807596253457E-3</v>
      </c>
      <c r="DQ8" s="33">
        <v>3.1099999999999999E-2</v>
      </c>
      <c r="DR8" s="33">
        <f t="shared" si="1"/>
        <v>1.6321920006527682E-3</v>
      </c>
      <c r="DS8" s="33">
        <v>2.8299999999999999E-2</v>
      </c>
      <c r="DT8" s="33">
        <f t="shared" si="2"/>
        <v>1.4852422385361202E-3</v>
      </c>
      <c r="DU8" s="33">
        <v>2.41E-2</v>
      </c>
      <c r="DV8" s="33">
        <f t="shared" si="3"/>
        <v>1.2648175953611483E-3</v>
      </c>
      <c r="DW8" s="33">
        <v>1.9599999999999999E-2</v>
      </c>
      <c r="DX8" s="33">
        <f t="shared" si="4"/>
        <v>1.0286483348165355E-3</v>
      </c>
      <c r="EB8">
        <f t="shared" si="20"/>
        <v>2003</v>
      </c>
      <c r="EG8" s="42" t="s">
        <v>114</v>
      </c>
      <c r="EH8" s="31">
        <v>89.25</v>
      </c>
    </row>
    <row r="9" spans="1:138" ht="21">
      <c r="A9" t="s">
        <v>98</v>
      </c>
      <c r="B9" s="42" t="s">
        <v>98</v>
      </c>
      <c r="C9" s="42">
        <v>4054707</v>
      </c>
      <c r="D9" s="42" t="s">
        <v>99</v>
      </c>
      <c r="E9" s="42"/>
      <c r="F9" s="42"/>
      <c r="G9" s="42" t="s">
        <v>115</v>
      </c>
      <c r="H9" s="11">
        <v>2004</v>
      </c>
      <c r="I9" s="59"/>
      <c r="J9" s="60">
        <f>IFERROR(INDEX('Labor Expenditures'!$F$7:$X$91,MATCH($C9,'Labor Expenditures'!$D$7:$D$91,0),MATCH($G9,'Labor Expenditures'!$F$5:$X$5,0)),"NA")</f>
        <v>71776.325745732305</v>
      </c>
      <c r="K9" s="60">
        <f>+J9/DF9</f>
        <v>760.74537091396189</v>
      </c>
      <c r="L9" s="76"/>
      <c r="M9" s="76"/>
      <c r="N9" s="152"/>
      <c r="O9" s="76"/>
      <c r="P9" s="76"/>
      <c r="Q9" s="60">
        <f>IFERROR(INDEX('Non-Labor Expenditures'!$F$7:$AB$91,MATCH($C9,'Non-Labor Expenditures'!$D$7:$D$91,0),MATCH($G9,'Non-Labor Expenditures'!$F$5:$AB$5,0)),"NA")</f>
        <v>103945.52564825716</v>
      </c>
      <c r="R9" s="60">
        <v>0</v>
      </c>
      <c r="S9" s="60"/>
      <c r="T9" s="76"/>
      <c r="U9" s="60"/>
      <c r="V9" s="60"/>
      <c r="W9" s="60">
        <f t="shared" si="5"/>
        <v>95780.627588589021</v>
      </c>
      <c r="X9" s="59"/>
      <c r="Y9" s="90">
        <v>7072.9298540189948</v>
      </c>
      <c r="Z9" s="78">
        <v>2.6134462646072037E-2</v>
      </c>
      <c r="AA9" s="78"/>
      <c r="AB9" s="78"/>
      <c r="AC9" s="78"/>
      <c r="AD9" s="59">
        <f t="shared" ref="AD9:AD27" si="29">+J9+Q9+W9</f>
        <v>271502.4789825785</v>
      </c>
      <c r="AE9" s="78"/>
      <c r="AF9" s="59"/>
      <c r="AG9" s="59"/>
      <c r="AH9" s="59"/>
      <c r="AI9" s="90">
        <f>+(BA9*1000)/AZ9</f>
        <v>280.94648942322328</v>
      </c>
      <c r="AJ9" s="90"/>
      <c r="AK9" s="78"/>
      <c r="AL9" s="79">
        <f t="shared" ref="AL9:AL27" si="30">+J9/AD9</f>
        <v>0.26436711007098385</v>
      </c>
      <c r="AM9" s="79">
        <f t="shared" ref="AM9:AM27" si="31">+Q9/AD9</f>
        <v>0.38285295234791217</v>
      </c>
      <c r="AN9" s="79">
        <f t="shared" ref="AN9:AN27" si="32">+W9/AD9</f>
        <v>0.35277993758110393</v>
      </c>
      <c r="AO9" s="79"/>
      <c r="AP9" s="79"/>
      <c r="AQ9" s="78"/>
      <c r="AR9" s="79"/>
      <c r="AS9" s="79"/>
      <c r="AT9" s="62"/>
      <c r="AU9" s="79"/>
      <c r="AV9" s="77">
        <f>IFERROR(INDEX('Total Customers'!$F$7:$AB$91,MATCH($C9,'Total Customers'!$D$7:$D$91,0),MATCH($G9,'Total Customers'!$F$5:$AB$5,0)),"NA")</f>
        <v>1532615</v>
      </c>
      <c r="AW9" s="68">
        <f t="shared" si="6"/>
        <v>3.2330371466000938E-3</v>
      </c>
      <c r="AX9" s="132">
        <f t="shared" si="18"/>
        <v>33771156</v>
      </c>
      <c r="AY9" s="68">
        <f t="shared" si="26"/>
        <v>1.0128896205638893E-2</v>
      </c>
      <c r="AZ9" s="77">
        <f t="shared" ref="AZ9:AZ24" si="33">+AV84+AV159+AV184+AV234+AV259+AV334+AV359+AV409+AV584+AV609+AV634+AV659+AV809+AV934+AV1009+AV1034+AV1084+AV1159+1383</f>
        <v>7944994</v>
      </c>
      <c r="BA9" s="77">
        <f t="shared" ref="BA9:BA27" si="34">+AD84+AD159+AD184+AD234+AD259+AD334+AD359+AD409+AD584+AD609+AD634+AD659+AD809+AD934+AD1009+AD1034+AD1084+AD1159+AD1334</f>
        <v>2232118.1727885725</v>
      </c>
      <c r="BH9" s="108"/>
      <c r="BI9" s="61"/>
      <c r="BJ9" s="61"/>
      <c r="BK9" s="61">
        <f>INDEX('Dist. Plant Gas Additions'!$F$7:$AE$91,MATCH($C9,'Dist. Plant Gas Additions'!$D$7:$D$91,0),MATCH(Calculation!$G9,'Dist. Plant Gas Additions'!$F$5:$AE$5,0))</f>
        <v>89428</v>
      </c>
      <c r="BL9" s="61">
        <f>INDEX('Gen. Plant Additions'!$F$7:$AE$91,MATCH($C9,'Gen. Plant Additions'!$D$7:$D$91,0),MATCH(Calculation!$G9,'Gen. Plant Additions'!$F$5:$AE$5,0))</f>
        <v>2969</v>
      </c>
      <c r="BM9" s="231">
        <f t="shared" si="7"/>
        <v>0.94774990256667224</v>
      </c>
      <c r="BN9" s="61">
        <f t="shared" si="8"/>
        <v>2813.8694607204498</v>
      </c>
      <c r="BO9" s="61">
        <f>INDEX('Dist Plant Depreciation'!$E$7:$AD$94,MATCH($C9,'Dist Plant Depreciation'!$D$7:$D$94,0),MATCH(Calculation!$G9,'Dist Plant Depreciation'!$E$5:$AD$5,0))</f>
        <v>714995.22718594875</v>
      </c>
      <c r="BP9" s="61"/>
      <c r="BQ9" s="66">
        <v>1935</v>
      </c>
      <c r="BR9" s="66"/>
      <c r="BS9" s="64">
        <v>17.500869601009402</v>
      </c>
      <c r="BT9" s="104"/>
      <c r="BU9" s="61"/>
      <c r="BV9" s="61"/>
      <c r="BW9" s="61">
        <f>INDEX('Gross Dx Plant'!$E$7:$AD$91,MATCH($C9,'Gross Dx Plant'!$D$7:$D$91,0),MATCH(Calculation!$G9,'Gross Dx Plant'!$E$5:$AD$5,0))</f>
        <v>2127817</v>
      </c>
      <c r="BX9" s="61">
        <f>INDEX('Gross Gen Plant'!$E$7:$AD$91,MATCH($C9,'Gross Gen Plant'!$D$7:$D$91,0),MATCH(Calculation!$G9,'Gross Gen Plant'!$E$5:$AD$5,0))</f>
        <v>117308</v>
      </c>
      <c r="BY9" s="61"/>
      <c r="BZ9" s="61"/>
      <c r="CA9" s="65">
        <v>2004</v>
      </c>
      <c r="CB9" s="61"/>
      <c r="CC9" s="61"/>
      <c r="CD9" s="61"/>
      <c r="CE9" s="66"/>
      <c r="CF9" s="77">
        <f t="shared" si="9"/>
        <v>92397</v>
      </c>
      <c r="CG9" s="61">
        <f t="shared" si="10"/>
        <v>222.70391066747843</v>
      </c>
      <c r="CH9" s="67">
        <v>0.967741935483871</v>
      </c>
      <c r="CI9" s="61">
        <f>+CI3*CH9+CG4*CH8+CG5*CH7+CG6*CH6+CG7*CH5+CG8*CH4+CG9</f>
        <v>7072.9298540189948</v>
      </c>
      <c r="CJ9" s="68">
        <f t="shared" si="11"/>
        <v>2.6134462646072037E-2</v>
      </c>
      <c r="CK9" s="61">
        <f t="shared" ref="CK9:CK26" si="35">+CI9+CI34+CI59+CI84+CI109+CI134+CI159+CI184+CI209+CI234+CI259+CI284+CI309+CI334+CI359+CI384+CI409+CI434+CI459+CI484+CI509+CI534+CI559+CI584+CI609+CI634+CI659+CI684+CI709+CI734+CI759+CI784+CI809+CI834+CI859+CI884+CI909+CI934+CI959+CI984+CI1009+CI1034+CI1059+CI1084+CI1109+CI1134+CI1159+CI1184+CI1209+CI1234+CI1259+CI1284+CI1309+CI1334</f>
        <v>163622.77082599662</v>
      </c>
      <c r="CL9" s="69">
        <f t="shared" si="12"/>
        <v>5.8415730415835292E-3</v>
      </c>
      <c r="CM9" s="69">
        <f t="shared" si="23"/>
        <v>5.7496658001669294E-3</v>
      </c>
      <c r="CN9" s="96">
        <f>VLOOKUP($H9,RoR!$E:$F,2,FALSE)</f>
        <v>5.6283333333333331E-2</v>
      </c>
      <c r="CO9" s="69">
        <v>2.6778252812867276E-2</v>
      </c>
      <c r="CP9" s="69">
        <f t="shared" si="19"/>
        <v>2.9505080520466055E-2</v>
      </c>
      <c r="CQ9" s="69">
        <f t="shared" si="24"/>
        <v>2.5152275808366695E-2</v>
      </c>
      <c r="CR9" s="69">
        <f t="shared" si="25"/>
        <v>5.5940039414565046E-2</v>
      </c>
      <c r="CS9" s="119">
        <f t="shared" si="13"/>
        <v>0.87050000000000005</v>
      </c>
      <c r="CT9" s="71">
        <f t="shared" si="14"/>
        <v>0.91114097628755619</v>
      </c>
      <c r="CU9" s="71">
        <f t="shared" si="15"/>
        <v>0.53081877405981637</v>
      </c>
      <c r="CV9" s="71">
        <f t="shared" si="16"/>
        <v>0.88811215519385678</v>
      </c>
      <c r="CW9" s="71">
        <f t="shared" si="17"/>
        <v>0.42953609753547711</v>
      </c>
      <c r="CX9" s="72">
        <f>INDEX('State Tax Lookup'!$D$7:$Z$91,MATCH(Calculation!$C9,'State Tax Lookup'!$B$7:$B$91,0),MATCH($H9,'State Tax Lookup'!$D$6:$Z$6,0))</f>
        <v>0.35</v>
      </c>
      <c r="CY9" s="72">
        <v>0.37</v>
      </c>
      <c r="CZ9" s="70">
        <f t="shared" si="21"/>
        <v>13.900434649017436</v>
      </c>
      <c r="DA9" s="70"/>
      <c r="DB9" s="69">
        <f t="shared" si="27"/>
        <v>0.10270477957791918</v>
      </c>
      <c r="DC9" s="111">
        <f>VLOOKUP($H9,RoR!$E:$F,2,FALSE)</f>
        <v>5.6283333333333331E-2</v>
      </c>
      <c r="DD9" s="216">
        <f>HLOOKUP($H9,'GDP-PI'!$D$8:$CQ$11,3,FALSE)</f>
        <v>2.6778252812867276E-2</v>
      </c>
      <c r="DE9" s="111">
        <f>VLOOKUP(H9,'HW Dx Data'!$E:$F,2,FALSE)</f>
        <v>414.88719135228365</v>
      </c>
      <c r="DF9" s="72">
        <f t="shared" ref="DF9:DF27" si="36">VLOOKUP(G9,EG$8:EH$27,2,FALSE)</f>
        <v>94.35</v>
      </c>
      <c r="DG9" s="69">
        <f t="shared" si="28"/>
        <v>5.5569851154810786E-2</v>
      </c>
      <c r="DH9" s="66">
        <f>HLOOKUP(H9,'GDP-PI'!$8:$9,2,FALSE)</f>
        <v>84.778000000000006</v>
      </c>
      <c r="DI9" s="69">
        <f t="shared" si="28"/>
        <v>2.6425990216022755E-2</v>
      </c>
      <c r="DJ9">
        <v>29.983333333333334</v>
      </c>
      <c r="DK9">
        <v>0.13567119155354451</v>
      </c>
      <c r="DN9" s="33">
        <v>7.3928096917723254E-3</v>
      </c>
      <c r="DO9" s="33">
        <v>2.86E-2</v>
      </c>
      <c r="DP9" s="33">
        <f t="shared" si="0"/>
        <v>2.1143435718468852E-4</v>
      </c>
      <c r="DQ9" s="33">
        <v>2.1600000000000001E-2</v>
      </c>
      <c r="DR9" s="33">
        <f t="shared" si="1"/>
        <v>1.5968468934228223E-4</v>
      </c>
      <c r="DS9" s="33">
        <v>1.84E-2</v>
      </c>
      <c r="DT9" s="33">
        <f t="shared" si="2"/>
        <v>1.3602769832861078E-4</v>
      </c>
      <c r="DU9" s="33">
        <v>1.3599999999999999E-2</v>
      </c>
      <c r="DV9" s="33">
        <f t="shared" si="3"/>
        <v>1.0054221180810362E-4</v>
      </c>
      <c r="DW9" s="33">
        <v>8.3000000000000001E-3</v>
      </c>
      <c r="DX9" s="33">
        <f t="shared" si="4"/>
        <v>6.1360320441710298E-5</v>
      </c>
      <c r="EB9">
        <f t="shared" si="20"/>
        <v>2004</v>
      </c>
      <c r="EG9" s="42" t="s">
        <v>115</v>
      </c>
      <c r="EH9" s="31">
        <v>94.35</v>
      </c>
    </row>
    <row r="10" spans="1:138" ht="21">
      <c r="A10" t="s">
        <v>98</v>
      </c>
      <c r="B10" s="42" t="s">
        <v>98</v>
      </c>
      <c r="C10" s="42">
        <v>4054707</v>
      </c>
      <c r="D10" s="42" t="s">
        <v>99</v>
      </c>
      <c r="E10" s="42"/>
      <c r="F10" s="42"/>
      <c r="G10" s="42" t="s">
        <v>116</v>
      </c>
      <c r="H10" s="11">
        <v>2005</v>
      </c>
      <c r="I10" s="59"/>
      <c r="J10" s="60">
        <f>IFERROR(INDEX('Labor Expenditures'!$F$7:$X$91,MATCH($C10,'Labor Expenditures'!$D$7:$D$91,0),MATCH($G10,'Labor Expenditures'!$F$5:$X$5,0)),"NA")</f>
        <v>69488.661869120464</v>
      </c>
      <c r="K10" s="60">
        <f t="shared" ref="K10:K27" si="37">+J10/DF10</f>
        <v>700.31405259884571</v>
      </c>
      <c r="L10" s="76">
        <f t="shared" ref="L10:L26" si="38">LN(K10/K9)</f>
        <v>-8.2769822859315445E-2</v>
      </c>
      <c r="M10" s="76"/>
      <c r="N10" s="62">
        <v>100</v>
      </c>
      <c r="O10" s="77"/>
      <c r="P10" s="77"/>
      <c r="Q10" s="60">
        <f>IFERROR(INDEX('Non-Labor Expenditures'!$F$7:$AB$91,MATCH($C10,'Non-Labor Expenditures'!$D$7:$D$91,0),MATCH($G10,'Non-Labor Expenditures'!$F$5:$AB$5,0)),"NA")</f>
        <v>100632.56107824939</v>
      </c>
      <c r="R10" s="60">
        <f t="shared" ref="R10:R27" si="39">+Q10/DH10</f>
        <v>1151.3100904761563</v>
      </c>
      <c r="S10" s="76"/>
      <c r="T10" s="76"/>
      <c r="U10" s="62">
        <v>100</v>
      </c>
      <c r="V10" s="61">
        <f t="shared" ref="V10:V26" si="40">+T10+T35+T60+T85+T110+T135+T160+T185+T210+T235+T260+T285+T310+T335+T360+T385+T410+T435+T460+T485+T510+T535+T560+T585+T610+T635+T660+T685+T710+T735+T760+T785+T810+T835+T860+T885+T910+T935+T960+T985+T1010+T1035+T1060+T1085+T1110+T1135+T1160+T1185+T1210+T1235+T1260+T1285+T1310+T1335</f>
        <v>0</v>
      </c>
      <c r="W10" s="60">
        <f t="shared" si="5"/>
        <v>110498.04995369684</v>
      </c>
      <c r="X10" s="59"/>
      <c r="Y10" s="90">
        <v>7375.7075519474301</v>
      </c>
      <c r="Z10" s="78">
        <v>4.1917036296246747E-2</v>
      </c>
      <c r="AA10" s="78"/>
      <c r="AB10" s="62">
        <v>100</v>
      </c>
      <c r="AC10" s="61">
        <f t="shared" ref="AC10:AC27" si="41">+AA10+AA35+AA60+AA85+AA110+AA135+AA160+AA185+AA210+AA235+AA260+AA285+AA310+AA335+AA360+AA385+AA410+AA435+AA460+AA485+AA510+AA535+AA560+AA585+AA610+AA635+AA660+AA685+AA710+AA735+AA760+AA785+AA810+AA835+AA860+AA885+AA910+AA935+AA960+AA985+AA1010+AA1035+AA1060+AA1085+AA1110+AA1135+AA1160+AA1185+AA1210+AA1235+AA1260+AA1285+AA1310+AA1335</f>
        <v>0</v>
      </c>
      <c r="AD10" s="59">
        <f t="shared" si="29"/>
        <v>280619.2729010667</v>
      </c>
      <c r="AE10" s="78">
        <f>LN(AD10/AD9)</f>
        <v>3.302757989469899E-2</v>
      </c>
      <c r="AF10" s="113">
        <f t="shared" ref="AF10:AF26" si="42">+AD10+AD35+AD60+AD85+AD110+AD135+AD160+AD185+AD210+AD235+AD260+AD285+AD310+AD335+AD360+AD385+AD410+AD435+AD460+AD485+AD510+AD535+AD560+AD585+AD610+AD635+AD660+AD685+AD710+AD735+AD760+AD785+AD810+AD835+AD860+AD885+AD910+AD935+AD960+AD985+AD1010+AD1035+AD1060+AD1085+AD1110+AD1135+AD1160+AD1185+AD1210+AD1235+AD1260+AD1285+AD1310+AD1335</f>
        <v>8035388.9976665089</v>
      </c>
      <c r="AG10" s="61"/>
      <c r="AH10" s="61">
        <f t="shared" ref="AH10:AH27" si="43">+AF10*1000/AX10</f>
        <v>234.30783560564021</v>
      </c>
      <c r="AI10" s="90">
        <f t="shared" ref="AI10:AI27" si="44">+(BA10*1000)/AZ10</f>
        <v>319.20248793402601</v>
      </c>
      <c r="AJ10" s="65"/>
      <c r="AK10" s="68"/>
      <c r="AL10" s="79">
        <f t="shared" si="30"/>
        <v>0.24762612043977084</v>
      </c>
      <c r="AM10" s="79">
        <f t="shared" si="31"/>
        <v>0.35860887257635987</v>
      </c>
      <c r="AN10" s="79">
        <f t="shared" si="32"/>
        <v>0.39376500698386924</v>
      </c>
      <c r="AO10" s="79"/>
      <c r="AP10" s="62">
        <v>100</v>
      </c>
      <c r="AQ10" s="78"/>
      <c r="AS10" s="79"/>
      <c r="AT10" s="62">
        <v>100</v>
      </c>
      <c r="AU10" s="78"/>
      <c r="AV10" s="77">
        <f>IFERROR(INDEX('Total Customers'!$F$7:$AB$91,MATCH($C10,'Total Customers'!$D$7:$D$91,0),MATCH($G10,'Total Customers'!$F$5:$AB$5,0)),"NA")</f>
        <v>1546746</v>
      </c>
      <c r="AW10" s="68">
        <f t="shared" si="6"/>
        <v>9.1779425622112217E-3</v>
      </c>
      <c r="AX10" s="132">
        <f t="shared" ref="AX10:AX27" si="45">+AV10+AV35+AV60+AV85+AV110+AV135+AV160+AV185+AV210+AV235+AV260+AV285+AV310+AV335+AV360+AV385+AV410+AV435+AV460+AV485+AV510+AV535+AV560+AV585+AV610+AV635+AV660+AV685+AV710+AV735+AV761+AV785+AV810+AV835+AV860+AV885+AV910+AV935+AV960+AV985+AV1010+AV1035+AV1060+AV1085+AV1110+AV1135+AV1160+AV1185+AV1210+AV1235+AV1260+AV1285+AV1310+AV1335</f>
        <v>34294154</v>
      </c>
      <c r="AY10" s="68">
        <f t="shared" si="26"/>
        <v>1.5367836949950975E-2</v>
      </c>
      <c r="AZ10" s="77">
        <f t="shared" si="33"/>
        <v>7937779</v>
      </c>
      <c r="BA10" s="77">
        <f t="shared" si="34"/>
        <v>2533758.8054704652</v>
      </c>
      <c r="BH10" s="108"/>
      <c r="BI10" s="61"/>
      <c r="BJ10" s="61"/>
      <c r="BK10" s="61">
        <f>INDEX('Dist. Plant Gas Additions'!$F$7:$AE$91,MATCH($C10,'Dist. Plant Gas Additions'!$D$7:$D$91,0),MATCH(Calculation!$G10,'Dist. Plant Gas Additions'!$F$5:$AE$5,0))</f>
        <v>156227</v>
      </c>
      <c r="BL10" s="61">
        <f>INDEX('Gen. Plant Additions'!$F$7:$AE$91,MATCH($C10,'Gen. Plant Additions'!$D$7:$D$91,0),MATCH(Calculation!$G10,'Gen. Plant Additions'!$F$5:$AE$5,0))</f>
        <v>5858</v>
      </c>
      <c r="BM10" s="231">
        <f t="shared" si="7"/>
        <v>0.94969603390959711</v>
      </c>
      <c r="BN10" s="61">
        <f t="shared" si="8"/>
        <v>5563.3193666424195</v>
      </c>
      <c r="BO10" s="61">
        <f>INDEX('Dist Plant Depreciation'!$E$7:$AD$94,MATCH($C10,'Dist Plant Depreciation'!$D$7:$D$94,0),MATCH(Calculation!$G10,'Dist Plant Depreciation'!$E$5:$AD$5,0))</f>
        <v>749029</v>
      </c>
      <c r="BP10" s="61">
        <f>INDEX('Gen. Plant Depreciation'!$E$7:$AD$94,MATCH($C10,'Gen. Plant Depreciation'!$D$7:$D$94,0),MATCH(Calculation!$G10,'Gen. Plant Depreciation'!$E$5:$AD$5,0))</f>
        <v>40574</v>
      </c>
      <c r="BQ10" s="66">
        <v>1936</v>
      </c>
      <c r="BR10" s="66"/>
      <c r="BS10" s="64">
        <v>17.821529898624249</v>
      </c>
      <c r="BT10" s="104"/>
      <c r="BU10" s="61"/>
      <c r="BV10" s="61"/>
      <c r="BW10" s="61">
        <f>INDEX('Gross Dx Plant'!$E$7:$AD$91,MATCH($C10,'Gross Dx Plant'!$D$7:$D$91,0),MATCH(Calculation!$G10,'Gross Dx Plant'!$E$5:$AD$5,0))</f>
        <v>2235159</v>
      </c>
      <c r="BX10" s="61">
        <f>INDEX('Gross Gen Plant'!$E$7:$AD$91,MATCH($C10,'Gross Gen Plant'!$D$7:$D$91,0),MATCH(Calculation!$G10,'Gross Gen Plant'!$E$5:$AD$5,0))</f>
        <v>118393</v>
      </c>
      <c r="BY10" s="61">
        <f t="shared" ref="BY10:BY71" si="46">IF(OR(BO10="NA",BP10="NA"),"NA",(SUM(BW10:BX10)-SUM(BO10:BP10)))</f>
        <v>1563949</v>
      </c>
      <c r="BZ10" s="61"/>
      <c r="CA10" s="65">
        <v>2005</v>
      </c>
      <c r="CB10" s="61"/>
      <c r="CC10" s="61"/>
      <c r="CD10" s="61"/>
      <c r="CE10" s="66"/>
      <c r="CF10" s="77">
        <f t="shared" si="9"/>
        <v>162085</v>
      </c>
      <c r="CG10" s="61">
        <f t="shared" si="10"/>
        <v>345.44591706585766</v>
      </c>
      <c r="CH10" s="67">
        <v>0.96174863387978138</v>
      </c>
      <c r="CI10" s="61">
        <f>+CI3*CH10+CG4*CH9+CG5*CH8+CG6*CH7+CG7*CH6+CG8*CH5+CG9*CH4+CG10</f>
        <v>7375.7075519474301</v>
      </c>
      <c r="CJ10" s="68">
        <f t="shared" si="11"/>
        <v>4.1917036296246747E-2</v>
      </c>
      <c r="CK10" s="61">
        <f t="shared" si="35"/>
        <v>168651.77333176209</v>
      </c>
      <c r="CL10" s="69">
        <f t="shared" si="12"/>
        <v>6.0326088365173398E-3</v>
      </c>
      <c r="CM10" s="69">
        <f t="shared" si="23"/>
        <v>5.843530670911222E-3</v>
      </c>
      <c r="CN10" s="96">
        <f>VLOOKUP($H10,RoR!$E:$F,2,FALSE)</f>
        <v>5.2350000000000001E-2</v>
      </c>
      <c r="CO10" s="69">
        <v>3.1010403642454332E-2</v>
      </c>
      <c r="CP10" s="69">
        <f t="shared" si="19"/>
        <v>2.1339596357545669E-2</v>
      </c>
      <c r="CQ10" s="69">
        <f t="shared" si="24"/>
        <v>2.5058410937622403E-2</v>
      </c>
      <c r="CR10" s="69">
        <f t="shared" si="25"/>
        <v>9.2129610649277341E-2</v>
      </c>
      <c r="CS10" s="119">
        <f t="shared" si="13"/>
        <v>0.87050000000000005</v>
      </c>
      <c r="CT10" s="71">
        <f t="shared" si="14"/>
        <v>0.97959983346802826</v>
      </c>
      <c r="CU10" s="71">
        <f t="shared" si="15"/>
        <v>0.49744508118433622</v>
      </c>
      <c r="CV10" s="71">
        <f t="shared" si="16"/>
        <v>0.87010519444335932</v>
      </c>
      <c r="CW10" s="71">
        <f t="shared" si="17"/>
        <v>0.42399975420741998</v>
      </c>
      <c r="CX10" s="72">
        <f>INDEX('State Tax Lookup'!$D$7:$Z$91,MATCH(Calculation!$C10,'State Tax Lookup'!$B$7:$B$91,0),MATCH($H10,'State Tax Lookup'!$D$6:$Z$6,0))</f>
        <v>0.35</v>
      </c>
      <c r="CY10" s="72">
        <v>0.37</v>
      </c>
      <c r="CZ10" s="70">
        <f t="shared" si="21"/>
        <v>15.622670128830617</v>
      </c>
      <c r="DA10" s="70"/>
      <c r="DB10" s="69">
        <f t="shared" si="27"/>
        <v>0.11680296338811828</v>
      </c>
      <c r="DC10" s="111">
        <f>VLOOKUP($H10,RoR!$E:$F,2,FALSE)</f>
        <v>5.2350000000000001E-2</v>
      </c>
      <c r="DD10" s="216">
        <f>HLOOKUP($H10,'GDP-PI'!$D$8:$CQ$11,3,FALSE)</f>
        <v>3.1010403642454332E-2</v>
      </c>
      <c r="DE10" s="111">
        <f>VLOOKUP(H10,'HW Dx Data'!$E:$F,2,FALSE)</f>
        <v>469.20514034936258</v>
      </c>
      <c r="DF10" s="72">
        <f t="shared" si="36"/>
        <v>99.224999999999994</v>
      </c>
      <c r="DG10" s="69">
        <f t="shared" si="28"/>
        <v>5.0378726854569796E-2</v>
      </c>
      <c r="DH10" s="66">
        <f>HLOOKUP(H10,'GDP-PI'!$8:$9,2,FALSE)</f>
        <v>87.406999999999996</v>
      </c>
      <c r="DI10" s="69">
        <f t="shared" si="28"/>
        <v>3.0539295810733648E-2</v>
      </c>
      <c r="DJ10">
        <v>30.041666666666668</v>
      </c>
      <c r="DK10">
        <v>0.15859100050276523</v>
      </c>
      <c r="DN10" s="33">
        <v>4.4391290945732563E-3</v>
      </c>
      <c r="DO10" s="33">
        <v>4.9099999999999998E-2</v>
      </c>
      <c r="DP10" s="33">
        <f t="shared" si="0"/>
        <v>2.1796123854354686E-4</v>
      </c>
      <c r="DQ10" s="33">
        <v>4.3999999999999997E-2</v>
      </c>
      <c r="DR10" s="33">
        <f t="shared" si="1"/>
        <v>1.9532168016122328E-4</v>
      </c>
      <c r="DS10" s="33">
        <v>4.1700000000000001E-2</v>
      </c>
      <c r="DT10" s="33">
        <f t="shared" si="2"/>
        <v>1.8511168324370479E-4</v>
      </c>
      <c r="DU10" s="33">
        <v>3.8399999999999997E-2</v>
      </c>
      <c r="DV10" s="33">
        <f t="shared" si="3"/>
        <v>1.7046255723161303E-4</v>
      </c>
      <c r="DW10" s="33">
        <v>3.49E-2</v>
      </c>
      <c r="DX10" s="33">
        <f t="shared" si="4"/>
        <v>1.5492560540060664E-4</v>
      </c>
      <c r="EB10">
        <f t="shared" si="20"/>
        <v>2005</v>
      </c>
      <c r="EG10" s="42" t="s">
        <v>116</v>
      </c>
      <c r="EH10" s="31">
        <v>99.224999999999994</v>
      </c>
    </row>
    <row r="11" spans="1:138" ht="21">
      <c r="A11" t="s">
        <v>98</v>
      </c>
      <c r="B11" s="42" t="s">
        <v>98</v>
      </c>
      <c r="C11" s="42">
        <v>4054707</v>
      </c>
      <c r="D11" s="42" t="s">
        <v>99</v>
      </c>
      <c r="E11" s="42"/>
      <c r="F11" s="42"/>
      <c r="G11" s="42" t="s">
        <v>117</v>
      </c>
      <c r="H11" s="11">
        <v>2006</v>
      </c>
      <c r="I11" s="59"/>
      <c r="J11" s="60">
        <f>IFERROR(INDEX('Labor Expenditures'!$F$7:$X$91,MATCH($C11,'Labor Expenditures'!$D$7:$D$91,0),MATCH($G11,'Labor Expenditures'!$F$5:$X$5,0)),"NA")</f>
        <v>65146.641191404371</v>
      </c>
      <c r="K11" s="60">
        <f t="shared" si="37"/>
        <v>595.49032167645669</v>
      </c>
      <c r="L11" s="76">
        <f t="shared" si="38"/>
        <v>-0.1621437447706035</v>
      </c>
      <c r="M11" s="76">
        <f t="shared" ref="M11:M27" si="47">+L11*$AR11</f>
        <v>-5.540847315916711E-3</v>
      </c>
      <c r="N11" s="62">
        <f>+N10*EXP(O11)</f>
        <v>89.619984390819084</v>
      </c>
      <c r="O11" s="96">
        <f>+M11+M36+M61+M86+M111+M136+M161+M186+M211+M236+M261+M286+M311+M336+M361+M386+M411+M436+M461+M486+M511+M536+M561+M586+M611+M636+M661+M686+M711+M736+M761+M786+M811+M836+M861+M886+M911+M936+M961+M986+M1011+M1036+M1061+M1086+M1111+M1136+M1161+M1186+M1211+M1236+M1261+M1286+M1311+M1336</f>
        <v>-0.10959185080084059</v>
      </c>
      <c r="P11" s="96">
        <f ca="1">SUMIF(G$11:M$1352,$G11,M$11:M$1352)</f>
        <v>-0.10959185080084059</v>
      </c>
      <c r="Q11" s="60">
        <f>IFERROR(INDEX('Non-Labor Expenditures'!$F$7:$AB$91,MATCH($C11,'Non-Labor Expenditures'!$D$7:$D$91,0),MATCH($G11,'Non-Labor Expenditures'!$F$5:$AB$5,0)),"NA")</f>
        <v>94344.504159319738</v>
      </c>
      <c r="R11" s="60">
        <f t="shared" si="39"/>
        <v>1047.411063784441</v>
      </c>
      <c r="S11" s="76">
        <f t="shared" ref="S11:S26" si="48">LN(R11/R10)</f>
        <v>-9.4579037177305952E-2</v>
      </c>
      <c r="T11" s="76">
        <f t="shared" ref="T11:T27" si="49">+S11*$AR11</f>
        <v>-3.2319964302494134E-3</v>
      </c>
      <c r="U11" s="62">
        <f>+U10*EXP(V11)</f>
        <v>95.830222251087079</v>
      </c>
      <c r="V11" s="68">
        <f t="shared" si="40"/>
        <v>-4.2592078412663117E-2</v>
      </c>
      <c r="W11" s="92">
        <f t="shared" si="5"/>
        <v>112508.6905397645</v>
      </c>
      <c r="X11" s="76">
        <f>LN(W11/W10)</f>
        <v>1.8032594579024494E-2</v>
      </c>
      <c r="Y11" s="90">
        <v>7546.2287197094793</v>
      </c>
      <c r="Z11" s="78">
        <v>2.28560942712259E-2</v>
      </c>
      <c r="AA11" s="76">
        <f t="shared" ref="AA11:AA27" si="50">+Z11*$AR11</f>
        <v>7.8104849973849517E-4</v>
      </c>
      <c r="AB11" s="62">
        <f>+AB10*EXP(AC11)</f>
        <v>103.20009770414056</v>
      </c>
      <c r="AC11" s="68">
        <f>+AA11+AA36+AA61+AA86+AA111+AA136+AA161+AA186+AA211+AA236+AA261+AA286+AA311+AA336+AA361+AA386+AA411+AA436+AA461+AA486+AA511+AA536+AA561+AA586+AA611+AA636+AA661+AA686+AA711+AA736+AA761+AA786+AA811+AA836+AA861+AA886+AA911+AA936+AA961+AA986+AA1011+AA1036+AA1061+AA1086+AA1111+AA1136+AA1161+AA1186+AA1211+AA1236+AA1261+AA1286+AA1311+AA1336</f>
        <v>3.1499613804470791E-2</v>
      </c>
      <c r="AD11" s="242">
        <f t="shared" si="29"/>
        <v>271999.83589048858</v>
      </c>
      <c r="AE11" s="78">
        <f t="shared" ref="AE11:AE27" si="51">LN(AD11/AD10)</f>
        <v>-3.1197386965878152E-2</v>
      </c>
      <c r="AF11" s="238">
        <f t="shared" si="42"/>
        <v>7959625.9296989385</v>
      </c>
      <c r="AG11" s="68">
        <f t="shared" ref="AG11:AG27" si="52">LN(AF11/AF10)</f>
        <v>-9.4734059238414346E-3</v>
      </c>
      <c r="AH11" s="61">
        <f t="shared" si="43"/>
        <v>229.50672936701517</v>
      </c>
      <c r="AI11" s="90">
        <f t="shared" si="44"/>
        <v>310.98261022351159</v>
      </c>
      <c r="AJ11" s="65">
        <f t="shared" ref="AJ11:AJ27" si="53">+(AD11*1000)/AV11</f>
        <v>182.11278806845073</v>
      </c>
      <c r="AK11" s="68">
        <f>+AV11/$AX$11</f>
        <v>4.3065645844266774E-2</v>
      </c>
      <c r="AL11" s="79">
        <f t="shared" si="30"/>
        <v>0.23950985476930006</v>
      </c>
      <c r="AM11" s="79">
        <f t="shared" si="31"/>
        <v>0.34685500397619473</v>
      </c>
      <c r="AN11" s="79">
        <f t="shared" si="32"/>
        <v>0.41363514125450529</v>
      </c>
      <c r="AO11" s="79">
        <f t="shared" ref="AO11:AO27" si="54">+(((AL11+AL10)/2)*O11+((AM10+AM11)/2)*V11+((AN10+AN11)/2)*AC11)</f>
        <v>-2.9000256503540461E-2</v>
      </c>
      <c r="AP11" s="62">
        <f>+AP10*EXP(AO11)</f>
        <v>97.141621529487438</v>
      </c>
      <c r="AQ11" s="78">
        <f>LN(AP11/AP10)</f>
        <v>-2.9000256503540413E-2</v>
      </c>
      <c r="AR11" s="69">
        <f>+AD11/$AF$11</f>
        <v>3.4172439545884108E-2</v>
      </c>
      <c r="AS11" s="69">
        <f>+AR11*AQ11</f>
        <v>-9.9100951218236721E-4</v>
      </c>
      <c r="AT11" s="62">
        <f>+AT10*EXP(AU11)</f>
        <v>102.50454459275625</v>
      </c>
      <c r="AU11" s="78">
        <f t="shared" ref="AU11:AU27" si="55">+(((AL10+AL11)/2)*DG11+((AM10+AM11)/2)*DI11+((AN10+AN11)/2)*DB11)</f>
        <v>2.4736949097798867E-2</v>
      </c>
      <c r="AV11" s="77">
        <f>IFERROR(INDEX('Total Customers'!$F$7:$AB$91,MATCH($C11,'Total Customers'!$D$7:$D$91,0),MATCH($G11,'Total Customers'!$F$5:$AB$5,0)),"NA")</f>
        <v>1493579</v>
      </c>
      <c r="AW11" s="68">
        <f t="shared" si="6"/>
        <v>-3.4978116200810601E-2</v>
      </c>
      <c r="AX11" s="132">
        <f t="shared" si="45"/>
        <v>34681449</v>
      </c>
      <c r="AY11" s="68">
        <f>LN(AX11/AX10)</f>
        <v>1.123003071839797E-2</v>
      </c>
      <c r="AZ11" s="77">
        <f t="shared" si="33"/>
        <v>8064642</v>
      </c>
      <c r="BA11" s="77">
        <f t="shared" si="34"/>
        <v>2507963.4196781609</v>
      </c>
      <c r="BB11" s="63"/>
      <c r="BC11" s="63"/>
      <c r="BD11" s="63"/>
      <c r="BE11" s="63"/>
      <c r="BF11" s="63"/>
      <c r="BG11" s="62"/>
      <c r="BH11" s="79"/>
      <c r="BI11" s="61"/>
      <c r="BJ11" s="61"/>
      <c r="BK11" s="61">
        <f>INDEX('Dist. Plant Gas Additions'!$F$7:$AE$91,MATCH($C11,'Dist. Plant Gas Additions'!$D$7:$D$91,0),MATCH(Calculation!$G11,'Dist. Plant Gas Additions'!$F$5:$AE$5,0))</f>
        <v>70711</v>
      </c>
      <c r="BL11" s="61">
        <f>INDEX('Gen. Plant Additions'!$F$7:$AE$91,MATCH($C11,'Gen. Plant Additions'!$D$7:$D$91,0),MATCH(Calculation!$G11,'Gen. Plant Additions'!$F$5:$AE$5,0))</f>
        <v>29029</v>
      </c>
      <c r="BM11" s="231">
        <f t="shared" si="7"/>
        <v>0.94984879708903935</v>
      </c>
      <c r="BN11" s="61">
        <f t="shared" si="8"/>
        <v>27573.160730697724</v>
      </c>
      <c r="BO11" s="61">
        <f>INDEX('Dist Plant Depreciation'!$E$7:$AD$94,MATCH($C11,'Dist Plant Depreciation'!$D$7:$D$94,0),MATCH(Calculation!$G11,'Dist Plant Depreciation'!$E$5:$AD$5,0))</f>
        <v>793295</v>
      </c>
      <c r="BP11" s="61">
        <f>INDEX('Gen. Plant Depreciation'!$E$7:$AD$94,MATCH($C11,'Gen. Plant Depreciation'!$D$7:$D$94,0),MATCH(Calculation!$G11,'Gen. Plant Depreciation'!$E$5:$AD$5,0))</f>
        <v>27865</v>
      </c>
      <c r="BQ11" s="66">
        <v>1937</v>
      </c>
      <c r="BR11" s="66"/>
      <c r="BS11" s="64">
        <v>19.009623255912896</v>
      </c>
      <c r="BT11" s="104"/>
      <c r="BU11" s="61"/>
      <c r="BV11" s="61"/>
      <c r="BW11" s="61">
        <f>INDEX('Gross Dx Plant'!$E$7:$AD$91,MATCH($C11,'Gross Dx Plant'!$D$7:$D$91,0),MATCH(Calculation!$G11,'Gross Dx Plant'!$E$5:$AD$5,0))</f>
        <v>2299507</v>
      </c>
      <c r="BX11" s="61">
        <f>INDEX('Gross Gen Plant'!$E$7:$AD$91,MATCH($C11,'Gross Gen Plant'!$D$7:$D$91,0),MATCH(Calculation!$G11,'Gross Gen Plant'!$E$5:$AD$5,0))</f>
        <v>121412</v>
      </c>
      <c r="BY11" s="61">
        <f t="shared" si="46"/>
        <v>1599759</v>
      </c>
      <c r="BZ11" s="68"/>
      <c r="CA11" s="65">
        <v>2006</v>
      </c>
      <c r="CB11" s="61"/>
      <c r="CC11" s="61"/>
      <c r="CD11" s="61"/>
      <c r="CE11" s="66"/>
      <c r="CF11" s="77">
        <f t="shared" si="9"/>
        <v>99740</v>
      </c>
      <c r="CG11" s="61">
        <f t="shared" si="10"/>
        <v>216.31554806185909</v>
      </c>
      <c r="CH11" s="67">
        <v>0.9555555555555556</v>
      </c>
      <c r="CI11" s="61">
        <f>+CI3*CH11+CG4*CH10+CG5*CH9+CG6*CH8+CG7*CH7+CG8*CH6+CG9*CH5+CG10*CH4+CG11</f>
        <v>7546.2287197094793</v>
      </c>
      <c r="CJ11" s="68">
        <f t="shared" si="11"/>
        <v>2.28560942712259E-2</v>
      </c>
      <c r="CK11" s="61">
        <f t="shared" si="35"/>
        <v>174041.40103242392</v>
      </c>
      <c r="CL11" s="69">
        <f t="shared" si="12"/>
        <v>6.2088118295469492E-3</v>
      </c>
      <c r="CM11" s="69">
        <f t="shared" si="23"/>
        <v>6.0276645692159403E-3</v>
      </c>
      <c r="CN11" s="96">
        <f>VLOOKUP($H11,RoR!$E:$F,2,FALSE)</f>
        <v>5.5874999999999994E-2</v>
      </c>
      <c r="CO11" s="69">
        <v>3.0512430354548314E-2</v>
      </c>
      <c r="CP11" s="69">
        <f t="shared" si="19"/>
        <v>2.536256964545168E-2</v>
      </c>
      <c r="CQ11" s="69">
        <f t="shared" si="24"/>
        <v>2.4874277039317685E-2</v>
      </c>
      <c r="CR11" s="69">
        <f t="shared" si="25"/>
        <v>7.9087823893859641E-2</v>
      </c>
      <c r="CS11" s="119">
        <f t="shared" si="13"/>
        <v>0.87050000000000005</v>
      </c>
      <c r="CT11" s="71">
        <f t="shared" si="14"/>
        <v>0.91779957551769631</v>
      </c>
      <c r="CU11" s="71">
        <f t="shared" si="15"/>
        <v>0.52757270693512304</v>
      </c>
      <c r="CV11" s="71">
        <f t="shared" si="16"/>
        <v>0.88636824549024895</v>
      </c>
      <c r="CW11" s="71">
        <f t="shared" si="17"/>
        <v>0.42918482841932087</v>
      </c>
      <c r="CX11" s="72">
        <f>INDEX('State Tax Lookup'!$D$7:$Z$91,MATCH(Calculation!$C11,'State Tax Lookup'!$B$7:$B$91,0),MATCH($H11,'State Tax Lookup'!$D$6:$Z$6,0))</f>
        <v>0.35</v>
      </c>
      <c r="CY11" s="72">
        <v>0.37</v>
      </c>
      <c r="CZ11" s="70">
        <f t="shared" si="21"/>
        <v>15.253952213717923</v>
      </c>
      <c r="DA11" s="70">
        <v>14.788696346247992</v>
      </c>
      <c r="DB11" s="69">
        <f t="shared" si="27"/>
        <v>-2.3884441717222253E-2</v>
      </c>
      <c r="DC11" s="111">
        <f>VLOOKUP($H11,RoR!$E:$F,2,FALSE)</f>
        <v>5.5874999999999994E-2</v>
      </c>
      <c r="DD11" s="216">
        <f>HLOOKUP($H11,'GDP-PI'!$D$8:$CQ$11,3,FALSE)</f>
        <v>3.0512430354548314E-2</v>
      </c>
      <c r="DE11" s="111">
        <f>VLOOKUP(H11,'HW Dx Data'!$E:$F,2,FALSE)</f>
        <v>461.08567272971823</v>
      </c>
      <c r="DF11" s="72">
        <f t="shared" si="36"/>
        <v>109.4</v>
      </c>
      <c r="DG11" s="69">
        <f t="shared" si="28"/>
        <v>9.7620891318751846E-2</v>
      </c>
      <c r="DH11" s="66">
        <f>HLOOKUP(H11,'GDP-PI'!$8:$9,2,FALSE)</f>
        <v>90.073999999999998</v>
      </c>
      <c r="DI11" s="69">
        <f t="shared" si="28"/>
        <v>3.005618372545445E-2</v>
      </c>
      <c r="DJ11">
        <v>31.383333333333333</v>
      </c>
      <c r="DK11">
        <v>0.18934137757667169</v>
      </c>
      <c r="DN11" s="33">
        <v>4.2856778722666529E-3</v>
      </c>
      <c r="DO11" s="33">
        <v>3.32E-2</v>
      </c>
      <c r="DP11" s="33">
        <f t="shared" si="0"/>
        <v>1.4228450535925288E-4</v>
      </c>
      <c r="DQ11" s="33">
        <v>2.6800000000000001E-2</v>
      </c>
      <c r="DR11" s="33">
        <f t="shared" si="1"/>
        <v>1.148561669767463E-4</v>
      </c>
      <c r="DS11" s="33">
        <v>2.3900000000000001E-2</v>
      </c>
      <c r="DT11" s="33">
        <f t="shared" si="2"/>
        <v>1.0242770114717301E-4</v>
      </c>
      <c r="DU11" s="33">
        <v>1.95E-2</v>
      </c>
      <c r="DV11" s="33">
        <f t="shared" si="3"/>
        <v>8.357071850919973E-5</v>
      </c>
      <c r="DW11" s="33">
        <v>1.4800000000000001E-2</v>
      </c>
      <c r="DX11" s="33">
        <f t="shared" si="4"/>
        <v>6.3428032509546463E-5</v>
      </c>
      <c r="EB11">
        <f t="shared" si="20"/>
        <v>2006</v>
      </c>
      <c r="EG11" s="42" t="s">
        <v>117</v>
      </c>
      <c r="EH11" s="31">
        <v>109.4</v>
      </c>
    </row>
    <row r="12" spans="1:138" ht="21">
      <c r="A12" t="s">
        <v>98</v>
      </c>
      <c r="B12" s="42" t="s">
        <v>98</v>
      </c>
      <c r="C12" s="42">
        <v>4054707</v>
      </c>
      <c r="D12" s="42" t="s">
        <v>99</v>
      </c>
      <c r="E12" s="42"/>
      <c r="F12" s="42"/>
      <c r="G12" s="42" t="s">
        <v>118</v>
      </c>
      <c r="H12" s="11">
        <v>2007</v>
      </c>
      <c r="I12" s="59"/>
      <c r="J12" s="60">
        <f>IFERROR(INDEX('Labor Expenditures'!$F$7:$X$91,MATCH($C12,'Labor Expenditures'!$D$7:$D$91,0),MATCH($G12,'Labor Expenditures'!$F$5:$X$5,0)),"NA")</f>
        <v>56282.414463482943</v>
      </c>
      <c r="K12" s="60">
        <f t="shared" si="37"/>
        <v>538.45888030120011</v>
      </c>
      <c r="L12" s="76">
        <f t="shared" si="38"/>
        <v>-0.10067400225055699</v>
      </c>
      <c r="M12" s="76">
        <f t="shared" si="47"/>
        <v>-3.1296493885210417E-3</v>
      </c>
      <c r="N12" s="62">
        <f t="shared" ref="N12:N25" si="56">+N11*EXP(O12)</f>
        <v>96.581344594121191</v>
      </c>
      <c r="O12" s="96">
        <f t="shared" ref="O12:O27" si="57">+M12+M37+M62+M87+M112+M137+M162+M187+M212+M237+M262+M287+M312+M337+M362+M387+M412+M437+M462+M487+M512+M537+M562+M587+M612+M637+M662+M687+M712+M737+M762+M787+M812+M837+M862+M887+M912+M937+M962+M987+M1012+M1037+M1062+M1087+M1112+M1137+M1162+M1187+M1212+M1237+M1262+M1287+M1312+M1337</f>
        <v>7.4807267237452554E-2</v>
      </c>
      <c r="P12" s="96">
        <f t="shared" ref="P12:P28" ca="1" si="58">SUMIF(G$11:M$1352,$G12,M$11:M$1352)</f>
        <v>7.4807267237452554E-2</v>
      </c>
      <c r="Q12" s="60">
        <f>IFERROR(INDEX('Non-Labor Expenditures'!$F$7:$AB$91,MATCH($C12,'Non-Labor Expenditures'!$D$7:$D$91,0),MATCH($G12,'Non-Labor Expenditures'!$F$5:$AB$5,0)),"NA")</f>
        <v>81507.448248110624</v>
      </c>
      <c r="R12" s="60">
        <f t="shared" si="39"/>
        <v>881.18065523698476</v>
      </c>
      <c r="S12" s="76">
        <f t="shared" si="48"/>
        <v>-0.17281408294584727</v>
      </c>
      <c r="T12" s="76">
        <f t="shared" si="49"/>
        <v>-5.3722656984793032E-3</v>
      </c>
      <c r="U12" s="62">
        <f t="shared" ref="U12:U26" si="59">+U11*EXP(V12)</f>
        <v>96.083249146807319</v>
      </c>
      <c r="V12" s="68">
        <f t="shared" si="40"/>
        <v>2.6368867228424553E-3</v>
      </c>
      <c r="W12" s="60">
        <f t="shared" si="5"/>
        <v>123581.47020098798</v>
      </c>
      <c r="X12" s="76">
        <f t="shared" ref="X12:X26" si="60">LN(W12/W11)</f>
        <v>9.3870148413851953E-2</v>
      </c>
      <c r="Y12" s="90">
        <v>7762.2375222269548</v>
      </c>
      <c r="Z12" s="78">
        <v>2.8222701983817405E-2</v>
      </c>
      <c r="AA12" s="76">
        <f t="shared" si="50"/>
        <v>8.7735820600672552E-4</v>
      </c>
      <c r="AB12" s="62">
        <f t="shared" ref="AB12:AB27" si="61">+AB11*EXP(AC12)</f>
        <v>106.05907793655517</v>
      </c>
      <c r="AC12" s="68">
        <f t="shared" si="41"/>
        <v>2.7326478087900487E-2</v>
      </c>
      <c r="AD12" s="59">
        <f t="shared" si="29"/>
        <v>261371.33291258157</v>
      </c>
      <c r="AE12" s="78">
        <f t="shared" si="51"/>
        <v>-3.9859335286987568E-2</v>
      </c>
      <c r="AF12" s="113">
        <f t="shared" si="42"/>
        <v>8407746.3291525524</v>
      </c>
      <c r="AG12" s="68">
        <f t="shared" si="52"/>
        <v>5.4771457946976798E-2</v>
      </c>
      <c r="AH12" s="61">
        <f t="shared" si="43"/>
        <v>240.60251368969028</v>
      </c>
      <c r="AI12" s="90">
        <f t="shared" si="44"/>
        <v>331.72214414828801</v>
      </c>
      <c r="AJ12" s="65">
        <f t="shared" si="53"/>
        <v>167.6877233301928</v>
      </c>
      <c r="AK12" s="68">
        <f>+AV12/$AX$12</f>
        <v>4.460435302799301E-2</v>
      </c>
      <c r="AL12" s="79">
        <f t="shared" si="30"/>
        <v>0.21533507074514249</v>
      </c>
      <c r="AM12" s="79">
        <f t="shared" si="31"/>
        <v>0.31184540148238699</v>
      </c>
      <c r="AN12" s="79">
        <f t="shared" si="32"/>
        <v>0.47281952777247049</v>
      </c>
      <c r="AO12" s="79">
        <f t="shared" si="54"/>
        <v>2.9993154168562755E-2</v>
      </c>
      <c r="AP12" s="62">
        <f>+AP11*EXP(AO12)</f>
        <v>100.099339075109</v>
      </c>
      <c r="AQ12" s="78">
        <f>LN(AP12/AP11)</f>
        <v>2.9993154168562724E-2</v>
      </c>
      <c r="AR12" s="69">
        <f>+AD12/$AF$12</f>
        <v>3.1086967027813047E-2</v>
      </c>
      <c r="AS12" s="69">
        <f>+AR12*AQ12</f>
        <v>9.3239619469822287E-4</v>
      </c>
      <c r="AT12" s="62">
        <f t="shared" ref="AT12:AT26" si="62">+AT11*EXP(AU12)</f>
        <v>105.61090034141206</v>
      </c>
      <c r="AU12" s="78">
        <f t="shared" si="55"/>
        <v>2.9854453789189373E-2</v>
      </c>
      <c r="AV12" s="77">
        <f>IFERROR(INDEX('Total Customers'!$F$7:$AB$91,MATCH($C12,'Total Customers'!$D$7:$D$91,0),MATCH($G12,'Total Customers'!$F$5:$AB$5,0)),"NA")</f>
        <v>1558679</v>
      </c>
      <c r="AW12" s="68">
        <f t="shared" si="6"/>
        <v>4.2663414499097788E-2</v>
      </c>
      <c r="AX12" s="132">
        <f t="shared" si="45"/>
        <v>34944549</v>
      </c>
      <c r="AY12" s="68">
        <f t="shared" ref="AY12:AY27" si="63">LN(AX12/AX11)</f>
        <v>7.5575578042563303E-3</v>
      </c>
      <c r="AZ12" s="77">
        <f t="shared" si="33"/>
        <v>8001755</v>
      </c>
      <c r="BA12" s="77">
        <f t="shared" si="34"/>
        <v>2654359.3255492845</v>
      </c>
      <c r="BB12" s="244" t="s">
        <v>119</v>
      </c>
      <c r="BC12" s="244"/>
      <c r="BD12" s="244"/>
      <c r="BE12" s="244"/>
      <c r="BF12" s="244"/>
      <c r="BG12" s="244"/>
      <c r="BH12" s="62"/>
      <c r="BI12" s="61"/>
      <c r="BJ12" s="61"/>
      <c r="BK12" s="61">
        <f>INDEX('Dist. Plant Gas Additions'!$F$7:$AE$91,MATCH($C12,'Dist. Plant Gas Additions'!$D$7:$D$91,0),MATCH(Calculation!$G12,'Dist. Plant Gas Additions'!$F$5:$AE$5,0))</f>
        <v>90558</v>
      </c>
      <c r="BL12" s="61">
        <f>INDEX('Gen. Plant Additions'!$F$7:$AE$91,MATCH($C12,'Gen. Plant Additions'!$D$7:$D$91,0),MATCH(Calculation!$G12,'Gen. Plant Additions'!$F$5:$AE$5,0))</f>
        <v>41124</v>
      </c>
      <c r="BM12" s="231">
        <f t="shared" si="7"/>
        <v>0.94574901445993043</v>
      </c>
      <c r="BN12" s="61">
        <f t="shared" si="8"/>
        <v>38892.982470650182</v>
      </c>
      <c r="BO12" s="61">
        <f>INDEX('Dist Plant Depreciation'!$E$7:$AD$94,MATCH($C12,'Dist Plant Depreciation'!$D$7:$D$94,0),MATCH(Calculation!$G12,'Dist Plant Depreciation'!$E$5:$AD$5,0))</f>
        <v>818382</v>
      </c>
      <c r="BP12" s="61">
        <f>INDEX('Gen. Plant Depreciation'!$E$7:$AD$94,MATCH($C12,'Gen. Plant Depreciation'!$D$7:$D$94,0),MATCH(Calculation!$G12,'Gen. Plant Depreciation'!$E$5:$AD$5,0))</f>
        <v>59329</v>
      </c>
      <c r="BQ12" s="66">
        <v>1938</v>
      </c>
      <c r="BR12" s="66"/>
      <c r="BS12" s="64">
        <v>19.287868472244185</v>
      </c>
      <c r="BT12" s="104"/>
      <c r="BU12" s="61"/>
      <c r="BV12" s="61"/>
      <c r="BW12" s="61">
        <f>INDEX('Gross Dx Plant'!$E$7:$AD$91,MATCH($C12,'Gross Dx Plant'!$D$7:$D$91,0),MATCH(Calculation!$G12,'Gross Dx Plant'!$E$5:$AD$5,0))</f>
        <v>2360198</v>
      </c>
      <c r="BX12" s="61">
        <f>INDEX('Gross Gen Plant'!$E$7:$AD$91,MATCH($C12,'Gross Gen Plant'!$D$7:$D$91,0),MATCH(Calculation!$G12,'Gross Gen Plant'!$E$5:$AD$5,0))</f>
        <v>135388</v>
      </c>
      <c r="BY12" s="61">
        <f t="shared" si="46"/>
        <v>1617875</v>
      </c>
      <c r="BZ12" s="61"/>
      <c r="CA12" s="65">
        <v>2007</v>
      </c>
      <c r="CB12" s="61"/>
      <c r="CC12" s="61"/>
      <c r="CD12" s="61"/>
      <c r="CE12" s="66"/>
      <c r="CF12" s="77">
        <f t="shared" si="9"/>
        <v>131682</v>
      </c>
      <c r="CG12" s="61">
        <f t="shared" si="10"/>
        <v>264.40983849048365</v>
      </c>
      <c r="CH12" s="67">
        <v>0.94915254237288138</v>
      </c>
      <c r="CI12" s="61">
        <f>+CI3*CH12+CG4*CH11+CG5*CH10+CG6*CH9+CG7*CH8+CG8*CH7+CG9*CH6+CG10*CH5+CG11*CH4+CG12</f>
        <v>7762.2375222269548</v>
      </c>
      <c r="CJ12" s="68">
        <f t="shared" si="11"/>
        <v>2.8222701983817405E-2</v>
      </c>
      <c r="CK12" s="61">
        <f t="shared" si="35"/>
        <v>178953.83764859758</v>
      </c>
      <c r="CL12" s="69">
        <f t="shared" si="12"/>
        <v>6.4139370499853524E-3</v>
      </c>
      <c r="CM12" s="69">
        <f t="shared" si="23"/>
        <v>6.2184525720165472E-3</v>
      </c>
      <c r="CN12" s="96">
        <f>VLOOKUP($H12,RoR!$E:$F,2,FALSE)</f>
        <v>5.5558333333333321E-2</v>
      </c>
      <c r="CO12" s="69">
        <v>2.691120634145272E-2</v>
      </c>
      <c r="CP12" s="69">
        <f t="shared" si="19"/>
        <v>2.86471269918806E-2</v>
      </c>
      <c r="CQ12" s="69">
        <f t="shared" si="24"/>
        <v>2.4683489036517077E-2</v>
      </c>
      <c r="CR12" s="69">
        <f t="shared" si="25"/>
        <v>6.4575155250632399E-2</v>
      </c>
      <c r="CS12" s="119">
        <f t="shared" si="13"/>
        <v>0.87050000000000005</v>
      </c>
      <c r="CT12" s="71">
        <f t="shared" si="14"/>
        <v>0.92303077153834634</v>
      </c>
      <c r="CU12" s="71">
        <f t="shared" si="15"/>
        <v>0.52502249887505614</v>
      </c>
      <c r="CV12" s="71">
        <f t="shared" si="16"/>
        <v>0.88499666072084604</v>
      </c>
      <c r="CW12" s="71">
        <f t="shared" si="17"/>
        <v>0.42887993290280618</v>
      </c>
      <c r="CX12" s="72">
        <f>INDEX('State Tax Lookup'!$D$7:$Z$91,MATCH(Calculation!$C12,'State Tax Lookup'!$B$7:$B$91,0),MATCH($H12,'State Tax Lookup'!$D$6:$Z$6,0))</f>
        <v>0.35</v>
      </c>
      <c r="CY12" s="72">
        <v>0.37</v>
      </c>
      <c r="CZ12" s="70">
        <f t="shared" si="21"/>
        <v>16.376586874210954</v>
      </c>
      <c r="DA12" s="70">
        <v>16.108943221861779</v>
      </c>
      <c r="DB12" s="69">
        <f t="shared" si="27"/>
        <v>7.1014054142626001E-2</v>
      </c>
      <c r="DC12" s="111">
        <f>VLOOKUP($H12,RoR!$E:$F,2,FALSE)</f>
        <v>5.5558333333333321E-2</v>
      </c>
      <c r="DD12" s="216">
        <f>HLOOKUP($H12,'GDP-PI'!$D$8:$CQ$11,3,FALSE)</f>
        <v>2.691120634145272E-2</v>
      </c>
      <c r="DE12" s="111">
        <f>VLOOKUP(H12,'HW Dx Data'!$E:$F,2,FALSE)</f>
        <v>498.0223154772637</v>
      </c>
      <c r="DF12" s="72">
        <f t="shared" si="36"/>
        <v>104.52499999999999</v>
      </c>
      <c r="DG12" s="69">
        <f t="shared" si="28"/>
        <v>-4.5584612745252218E-2</v>
      </c>
      <c r="DH12" s="66">
        <f>HLOOKUP(H12,'GDP-PI'!$8:$9,2,FALSE)</f>
        <v>92.498000000000005</v>
      </c>
      <c r="DI12" s="69">
        <f t="shared" si="28"/>
        <v>2.6555467950038037E-2</v>
      </c>
      <c r="DJ12">
        <v>32.674999999999997</v>
      </c>
      <c r="DK12">
        <v>0.2217760180995475</v>
      </c>
      <c r="DN12" s="33">
        <v>1.0258771601337193E-2</v>
      </c>
      <c r="DO12" s="33">
        <v>4.2500000000000003E-2</v>
      </c>
      <c r="DP12" s="33">
        <f t="shared" si="0"/>
        <v>4.3599779305683074E-4</v>
      </c>
      <c r="DQ12" s="33">
        <v>3.6600000000000001E-2</v>
      </c>
      <c r="DR12" s="33">
        <f t="shared" si="1"/>
        <v>3.7547104060894128E-4</v>
      </c>
      <c r="DS12" s="33">
        <v>3.4099999999999998E-2</v>
      </c>
      <c r="DT12" s="33">
        <f t="shared" si="2"/>
        <v>3.4982411160559829E-4</v>
      </c>
      <c r="DU12" s="33">
        <v>0.03</v>
      </c>
      <c r="DV12" s="33">
        <f t="shared" si="3"/>
        <v>3.0776314804011577E-4</v>
      </c>
      <c r="DW12" s="33">
        <v>2.5700000000000001E-2</v>
      </c>
      <c r="DX12" s="33">
        <f t="shared" si="4"/>
        <v>2.6365043015436589E-4</v>
      </c>
      <c r="EB12">
        <f t="shared" si="20"/>
        <v>2007</v>
      </c>
      <c r="EG12" s="42" t="s">
        <v>118</v>
      </c>
      <c r="EH12" s="31">
        <v>104.52499999999999</v>
      </c>
    </row>
    <row r="13" spans="1:138" ht="21">
      <c r="A13" t="s">
        <v>98</v>
      </c>
      <c r="B13" s="42" t="s">
        <v>98</v>
      </c>
      <c r="C13" s="42">
        <v>4054707</v>
      </c>
      <c r="D13" s="42" t="s">
        <v>99</v>
      </c>
      <c r="E13" s="42"/>
      <c r="F13" s="42"/>
      <c r="G13" s="42" t="s">
        <v>120</v>
      </c>
      <c r="H13" s="11">
        <v>2008</v>
      </c>
      <c r="I13" s="59"/>
      <c r="J13" s="60">
        <f>IFERROR(INDEX('Labor Expenditures'!$F$7:$X$91,MATCH($C13,'Labor Expenditures'!$D$7:$D$91,0),MATCH($G13,'Labor Expenditures'!$F$5:$X$5,0)),"NA")</f>
        <v>54610.978620473994</v>
      </c>
      <c r="K13" s="60">
        <f t="shared" si="37"/>
        <v>506.1258444900277</v>
      </c>
      <c r="L13" s="76">
        <f t="shared" si="38"/>
        <v>-6.192579108887486E-2</v>
      </c>
      <c r="M13" s="76">
        <f t="shared" si="47"/>
        <v>-1.9155519096815676E-3</v>
      </c>
      <c r="N13" s="62">
        <f t="shared" si="56"/>
        <v>95.2684276046392</v>
      </c>
      <c r="O13" s="96">
        <f t="shared" si="57"/>
        <v>-1.3687141464458001E-2</v>
      </c>
      <c r="P13" s="96">
        <f t="shared" ca="1" si="58"/>
        <v>-1.3687141464458001E-2</v>
      </c>
      <c r="Q13" s="60">
        <f>IFERROR(INDEX('Non-Labor Expenditures'!$F$7:$AB$91,MATCH($C13,'Non-Labor Expenditures'!$D$7:$D$91,0),MATCH($G13,'Non-Labor Expenditures'!$F$5:$AB$5,0)),"NA")</f>
        <v>79086.896966280299</v>
      </c>
      <c r="R13" s="60">
        <f t="shared" si="39"/>
        <v>838.99364514852232</v>
      </c>
      <c r="S13" s="76">
        <f t="shared" si="48"/>
        <v>-4.9059529815446749E-2</v>
      </c>
      <c r="T13" s="76">
        <f t="shared" si="49"/>
        <v>-1.5175595559398819E-3</v>
      </c>
      <c r="U13" s="62">
        <f t="shared" si="59"/>
        <v>96.005034233991751</v>
      </c>
      <c r="V13" s="68">
        <f t="shared" si="40"/>
        <v>-8.1436426794573367E-4</v>
      </c>
      <c r="W13" s="60">
        <f t="shared" si="5"/>
        <v>144358.57825759717</v>
      </c>
      <c r="X13" s="76">
        <f t="shared" si="60"/>
        <v>0.15539971481932466</v>
      </c>
      <c r="Y13" s="90">
        <v>7952.4143960019819</v>
      </c>
      <c r="Z13" s="78">
        <v>2.4204947043607452E-2</v>
      </c>
      <c r="AA13" s="76">
        <f t="shared" si="50"/>
        <v>7.4873217956279324E-4</v>
      </c>
      <c r="AB13" s="62">
        <f t="shared" si="61"/>
        <v>109.04792463615036</v>
      </c>
      <c r="AC13" s="68">
        <f t="shared" si="41"/>
        <v>2.7791183280716499E-2</v>
      </c>
      <c r="AD13" s="59">
        <f t="shared" si="29"/>
        <v>278056.45384435146</v>
      </c>
      <c r="AE13" s="78">
        <f t="shared" si="51"/>
        <v>6.1882036791958403E-2</v>
      </c>
      <c r="AF13" s="113">
        <f t="shared" si="42"/>
        <v>8988984.2111044992</v>
      </c>
      <c r="AG13" s="68">
        <f t="shared" si="52"/>
        <v>6.6846388178590108E-2</v>
      </c>
      <c r="AH13" s="61">
        <f t="shared" si="43"/>
        <v>255.86033226562429</v>
      </c>
      <c r="AI13" s="90">
        <f t="shared" si="44"/>
        <v>361.78076036839582</v>
      </c>
      <c r="AJ13" s="65">
        <f t="shared" si="53"/>
        <v>178.55837213793177</v>
      </c>
      <c r="AK13" s="68">
        <f>+AV13/$AX$13</f>
        <v>4.432462844041881E-2</v>
      </c>
      <c r="AL13" s="79">
        <f t="shared" si="30"/>
        <v>0.19640248541414454</v>
      </c>
      <c r="AM13" s="79">
        <f t="shared" si="31"/>
        <v>0.28442748180393262</v>
      </c>
      <c r="AN13" s="79">
        <f t="shared" si="32"/>
        <v>0.51917003278192286</v>
      </c>
      <c r="AO13" s="79">
        <f t="shared" si="54"/>
        <v>1.0723735091224412E-2</v>
      </c>
      <c r="AP13" s="62">
        <f t="shared" ref="AP13:AP26" si="64">+AP12*EXP(AO13)</f>
        <v>101.17855413604465</v>
      </c>
      <c r="AQ13" s="78">
        <f t="shared" ref="AQ13:AQ26" si="65">LN(AP13/AP12)</f>
        <v>1.0723735091224347E-2</v>
      </c>
      <c r="AR13" s="69">
        <f>+AD13/$AF$13</f>
        <v>3.0933022832641727E-2</v>
      </c>
      <c r="AS13" s="69">
        <f t="shared" ref="AS13:AS26" si="66">+AR13*AQ13</f>
        <v>3.3171754242804403E-4</v>
      </c>
      <c r="AT13" s="62">
        <f t="shared" si="62"/>
        <v>113.86589540245241</v>
      </c>
      <c r="AU13" s="78">
        <f t="shared" si="55"/>
        <v>7.5259810950619732E-2</v>
      </c>
      <c r="AV13" s="77">
        <f>IFERROR(INDEX('Total Customers'!$F$7:$AB$91,MATCH($C13,'Total Customers'!$D$7:$D$91,0),MATCH($G13,'Total Customers'!$F$5:$AB$5,0)),"NA")</f>
        <v>1557230</v>
      </c>
      <c r="AW13" s="68">
        <f t="shared" si="6"/>
        <v>-9.3006573969363262E-4</v>
      </c>
      <c r="AX13" s="132">
        <f t="shared" si="45"/>
        <v>35132387</v>
      </c>
      <c r="AY13" s="68">
        <f t="shared" si="63"/>
        <v>5.3609207418405091E-3</v>
      </c>
      <c r="AZ13" s="77">
        <f t="shared" si="33"/>
        <v>8055968</v>
      </c>
      <c r="BA13" s="77">
        <f t="shared" si="34"/>
        <v>2914494.228543465</v>
      </c>
      <c r="BB13" s="70"/>
      <c r="BC13" s="143" t="s">
        <v>121</v>
      </c>
      <c r="BD13" s="85" t="s">
        <v>122</v>
      </c>
      <c r="BE13" s="143" t="s">
        <v>3</v>
      </c>
      <c r="BF13" s="85" t="s">
        <v>123</v>
      </c>
      <c r="BG13" s="85" t="s">
        <v>124</v>
      </c>
      <c r="BH13" s="62"/>
      <c r="BI13" s="61"/>
      <c r="BJ13" s="61"/>
      <c r="BK13" s="61">
        <f>INDEX('Dist. Plant Gas Additions'!$F$7:$AE$91,MATCH($C13,'Dist. Plant Gas Additions'!$D$7:$D$91,0),MATCH(Calculation!$G13,'Dist. Plant Gas Additions'!$F$5:$AE$5,0))</f>
        <v>125734</v>
      </c>
      <c r="BL13" s="61">
        <f>INDEX('Gen. Plant Additions'!$F$7:$AE$91,MATCH($C13,'Gen. Plant Additions'!$D$7:$D$91,0),MATCH(Calculation!$G13,'Gen. Plant Additions'!$F$5:$AE$5,0))</f>
        <v>11912</v>
      </c>
      <c r="BM13" s="231">
        <f t="shared" si="7"/>
        <v>0.94256643127898254</v>
      </c>
      <c r="BN13" s="61">
        <f t="shared" si="8"/>
        <v>11227.85132939524</v>
      </c>
      <c r="BO13" s="61">
        <f>INDEX('Dist Plant Depreciation'!$E$7:$AD$94,MATCH($C13,'Dist Plant Depreciation'!$D$7:$D$94,0),MATCH(Calculation!$G13,'Dist Plant Depreciation'!$E$5:$AD$5,0))</f>
        <v>839359</v>
      </c>
      <c r="BP13" s="61">
        <f>INDEX('Gen. Plant Depreciation'!$E$7:$AD$94,MATCH($C13,'Gen. Plant Depreciation'!$D$7:$D$94,0),MATCH(Calculation!$G13,'Gen. Plant Depreciation'!$E$5:$AD$5,0))</f>
        <v>28752</v>
      </c>
      <c r="BQ13" s="66">
        <v>1939</v>
      </c>
      <c r="BR13" s="66"/>
      <c r="BS13" s="64">
        <v>19.424989046754188</v>
      </c>
      <c r="BT13" s="104"/>
      <c r="BU13" s="61"/>
      <c r="BV13" s="61"/>
      <c r="BW13" s="61">
        <f>INDEX('Gross Dx Plant'!$E$7:$AD$91,MATCH($C13,'Gross Dx Plant'!$D$7:$D$91,0),MATCH(Calculation!$G13,'Gross Dx Plant'!$E$5:$AD$5,0))</f>
        <v>2449306</v>
      </c>
      <c r="BX13" s="61">
        <f>INDEX('Gross Gen Plant'!$E$7:$AD$91,MATCH($C13,'Gross Gen Plant'!$D$7:$D$91,0),MATCH(Calculation!$G13,'Gross Gen Plant'!$E$5:$AD$5,0))</f>
        <v>149244</v>
      </c>
      <c r="BY13" s="61">
        <f t="shared" si="46"/>
        <v>1730439</v>
      </c>
      <c r="BZ13" s="61"/>
      <c r="CA13" s="65">
        <v>2008</v>
      </c>
      <c r="CB13" s="61"/>
      <c r="CC13" s="61"/>
      <c r="CD13" s="61"/>
      <c r="CE13" s="66"/>
      <c r="CF13" s="77">
        <f t="shared" si="9"/>
        <v>137646</v>
      </c>
      <c r="CG13" s="61">
        <f t="shared" si="10"/>
        <v>241.53454999822043</v>
      </c>
      <c r="CH13" s="67">
        <v>0.94252873563218387</v>
      </c>
      <c r="CI13" s="61">
        <f>+CI3*CH13+CG4*CH12+CG5*CH11+CG6*CH10+CG7*CH9+CG8*CH8+CG9*CH7+CG10*CH6+CG11*CH5+CG12*CH4+CG13</f>
        <v>7952.4143960019819</v>
      </c>
      <c r="CJ13" s="68">
        <f t="shared" si="11"/>
        <v>2.4204947043607452E-2</v>
      </c>
      <c r="CK13" s="61">
        <f t="shared" si="35"/>
        <v>184035.38619242675</v>
      </c>
      <c r="CL13" s="69">
        <f t="shared" si="12"/>
        <v>6.6163494837837627E-3</v>
      </c>
      <c r="CM13" s="69">
        <f t="shared" si="23"/>
        <v>6.4130327877720212E-3</v>
      </c>
      <c r="CN13" s="96">
        <f>VLOOKUP($H13,RoR!$E:$F,2,FALSE)</f>
        <v>5.6316666666666668E-2</v>
      </c>
      <c r="CO13" s="69">
        <v>1.9092304698479889E-2</v>
      </c>
      <c r="CP13" s="69">
        <f t="shared" si="19"/>
        <v>3.7224361968186778E-2</v>
      </c>
      <c r="CQ13" s="69">
        <f t="shared" si="24"/>
        <v>2.4488908820761605E-2</v>
      </c>
      <c r="CR13" s="69">
        <f t="shared" si="25"/>
        <v>6.9030581091053131E-2</v>
      </c>
      <c r="CS13" s="119">
        <f t="shared" si="13"/>
        <v>0.87050000000000005</v>
      </c>
      <c r="CT13" s="71">
        <f t="shared" si="14"/>
        <v>0.91060168006009956</v>
      </c>
      <c r="CU13" s="71">
        <f t="shared" si="15"/>
        <v>0.53108168097070152</v>
      </c>
      <c r="CV13" s="71">
        <f t="shared" si="16"/>
        <v>0.88825329850328805</v>
      </c>
      <c r="CW13" s="71">
        <f t="shared" si="17"/>
        <v>0.4295627335323573</v>
      </c>
      <c r="CX13" s="72">
        <f>INDEX('State Tax Lookup'!$D$7:$Z$91,MATCH(Calculation!$C13,'State Tax Lookup'!$B$7:$B$91,0),MATCH($H13,'State Tax Lookup'!$D$6:$Z$6,0))</f>
        <v>0.35</v>
      </c>
      <c r="CY13" s="72">
        <v>0.37</v>
      </c>
      <c r="CZ13" s="70">
        <f t="shared" si="21"/>
        <v>18.597547143363023</v>
      </c>
      <c r="DA13" s="70">
        <v>18.300102035478151</v>
      </c>
      <c r="DB13" s="69">
        <f t="shared" si="27"/>
        <v>0.12717701283550725</v>
      </c>
      <c r="DC13" s="111">
        <f>VLOOKUP($H13,RoR!$E:$F,2,FALSE)</f>
        <v>5.6316666666666668E-2</v>
      </c>
      <c r="DD13" s="216">
        <f>HLOOKUP($H13,'GDP-PI'!$D$8:$CQ$11,3,FALSE)</f>
        <v>1.9092304698479889E-2</v>
      </c>
      <c r="DE13" s="111">
        <f>VLOOKUP(H13,'HW Dx Data'!$E:$F,2,FALSE)</f>
        <v>569.88120333515076</v>
      </c>
      <c r="DF13" s="72">
        <f t="shared" si="36"/>
        <v>107.9</v>
      </c>
      <c r="DG13" s="69">
        <f t="shared" si="28"/>
        <v>3.1778595021460486E-2</v>
      </c>
      <c r="DH13" s="66">
        <f>HLOOKUP(H13,'GDP-PI'!$8:$9,2,FALSE)</f>
        <v>94.263999999999996</v>
      </c>
      <c r="DI13" s="69">
        <f t="shared" si="28"/>
        <v>1.8912333748032254E-2</v>
      </c>
      <c r="DJ13">
        <v>32.658333333333331</v>
      </c>
      <c r="DK13">
        <v>0.24629210658622422</v>
      </c>
      <c r="DN13" s="33">
        <v>7.8947970301827992E-3</v>
      </c>
      <c r="DO13" s="33">
        <v>2.4799999999999999E-2</v>
      </c>
      <c r="DP13" s="33">
        <f t="shared" si="0"/>
        <v>1.9579096634853341E-4</v>
      </c>
      <c r="DQ13" s="33">
        <v>1.72E-2</v>
      </c>
      <c r="DR13" s="33">
        <f t="shared" si="1"/>
        <v>1.3579050891914416E-4</v>
      </c>
      <c r="DS13" s="33">
        <v>1.38E-2</v>
      </c>
      <c r="DT13" s="33">
        <f t="shared" si="2"/>
        <v>1.0894819901652262E-4</v>
      </c>
      <c r="DU13" s="33">
        <v>8.3000000000000001E-3</v>
      </c>
      <c r="DV13" s="33">
        <f t="shared" si="3"/>
        <v>6.5526815350517228E-5</v>
      </c>
      <c r="DW13" s="33">
        <v>2.3999999999999998E-3</v>
      </c>
      <c r="DX13" s="33">
        <f t="shared" si="4"/>
        <v>1.8947512872438715E-5</v>
      </c>
      <c r="EB13">
        <f t="shared" si="20"/>
        <v>2008</v>
      </c>
      <c r="EG13" s="42" t="s">
        <v>120</v>
      </c>
      <c r="EH13" s="31">
        <v>107.9</v>
      </c>
    </row>
    <row r="14" spans="1:138" ht="21">
      <c r="A14" t="s">
        <v>98</v>
      </c>
      <c r="B14" s="42" t="s">
        <v>98</v>
      </c>
      <c r="C14" s="42">
        <v>4054707</v>
      </c>
      <c r="D14" s="42" t="s">
        <v>99</v>
      </c>
      <c r="E14" s="42"/>
      <c r="F14" s="42"/>
      <c r="G14" s="42" t="s">
        <v>125</v>
      </c>
      <c r="H14" s="11">
        <v>2009</v>
      </c>
      <c r="I14" s="59"/>
      <c r="J14" s="60">
        <f>IFERROR(INDEX('Labor Expenditures'!$F$7:$X$91,MATCH($C14,'Labor Expenditures'!$D$7:$D$91,0),MATCH($G14,'Labor Expenditures'!$F$5:$X$5,0)),"NA")</f>
        <v>59435.214788812809</v>
      </c>
      <c r="K14" s="60">
        <f t="shared" si="37"/>
        <v>535.81442225659509</v>
      </c>
      <c r="L14" s="76">
        <f t="shared" si="38"/>
        <v>5.7002531095763753E-2</v>
      </c>
      <c r="M14" s="76">
        <f t="shared" si="47"/>
        <v>1.7467619615187163E-3</v>
      </c>
      <c r="N14" s="62">
        <f t="shared" si="56"/>
        <v>100.17399340671868</v>
      </c>
      <c r="O14" s="96">
        <f t="shared" si="57"/>
        <v>5.021014716327412E-2</v>
      </c>
      <c r="P14" s="96">
        <f t="shared" ca="1" si="58"/>
        <v>5.021014716327412E-2</v>
      </c>
      <c r="Q14" s="60">
        <f>IFERROR(INDEX('Non-Labor Expenditures'!$F$7:$AB$91,MATCH($C14,'Non-Labor Expenditures'!$D$7:$D$91,0),MATCH($G14,'Non-Labor Expenditures'!$F$5:$AB$5,0)),"NA")</f>
        <v>86073.291981061731</v>
      </c>
      <c r="R14" s="60">
        <f t="shared" si="39"/>
        <v>906.04418973948918</v>
      </c>
      <c r="S14" s="76">
        <f t="shared" si="48"/>
        <v>7.6884947278337903E-2</v>
      </c>
      <c r="T14" s="76">
        <f t="shared" si="49"/>
        <v>2.3560304908838221E-3</v>
      </c>
      <c r="U14" s="62">
        <f t="shared" si="59"/>
        <v>102.97633710866729</v>
      </c>
      <c r="V14" s="68">
        <f t="shared" si="40"/>
        <v>7.0098594996712338E-2</v>
      </c>
      <c r="W14" s="60">
        <f t="shared" si="5"/>
        <v>141794.55927725323</v>
      </c>
      <c r="X14" s="76">
        <f t="shared" si="60"/>
        <v>-1.7921086764266462E-2</v>
      </c>
      <c r="Y14" s="90">
        <v>8245.8869175046984</v>
      </c>
      <c r="Z14" s="78">
        <v>3.6238940402753154E-2</v>
      </c>
      <c r="AA14" s="76">
        <f t="shared" si="50"/>
        <v>1.1104910852980925E-3</v>
      </c>
      <c r="AB14" s="62">
        <f t="shared" si="61"/>
        <v>111.96552820055335</v>
      </c>
      <c r="AC14" s="68">
        <f t="shared" si="41"/>
        <v>2.6403578835091514E-2</v>
      </c>
      <c r="AD14" s="59">
        <f t="shared" si="29"/>
        <v>287303.06604712777</v>
      </c>
      <c r="AE14" s="78">
        <f t="shared" si="51"/>
        <v>3.2713473407009148E-2</v>
      </c>
      <c r="AF14" s="113">
        <f t="shared" si="42"/>
        <v>9375634.6411509551</v>
      </c>
      <c r="AG14" s="68">
        <f t="shared" si="52"/>
        <v>4.2114413500167064E-2</v>
      </c>
      <c r="AH14" s="61">
        <f t="shared" si="43"/>
        <v>266.52566564084083</v>
      </c>
      <c r="AI14" s="90">
        <f t="shared" si="44"/>
        <v>372.98805343400784</v>
      </c>
      <c r="AJ14" s="65">
        <f t="shared" si="53"/>
        <v>189.6854385114294</v>
      </c>
      <c r="AK14" s="68">
        <f>+AV14/$AX$14</f>
        <v>4.3057085506732623E-2</v>
      </c>
      <c r="AL14" s="79">
        <f t="shared" si="30"/>
        <v>0.20687288724953373</v>
      </c>
      <c r="AM14" s="79">
        <f t="shared" si="31"/>
        <v>0.29959057926288435</v>
      </c>
      <c r="AN14" s="79">
        <f t="shared" si="32"/>
        <v>0.49353653348758192</v>
      </c>
      <c r="AO14" s="79">
        <f t="shared" si="54"/>
        <v>4.3963219500783607E-2</v>
      </c>
      <c r="AP14" s="62">
        <f t="shared" si="64"/>
        <v>105.72591504184234</v>
      </c>
      <c r="AQ14" s="78">
        <f t="shared" si="65"/>
        <v>4.3963219500783662E-2</v>
      </c>
      <c r="AR14" s="69">
        <f>+AD14/$AF$14</f>
        <v>3.0643585959089632E-2</v>
      </c>
      <c r="AS14" s="69">
        <f t="shared" si="66"/>
        <v>1.3471906958105898E-3</v>
      </c>
      <c r="AT14" s="62">
        <f t="shared" si="62"/>
        <v>112.34044486706887</v>
      </c>
      <c r="AU14" s="78">
        <f t="shared" si="55"/>
        <v>-1.3487452723299535E-2</v>
      </c>
      <c r="AV14" s="77">
        <f>IFERROR(INDEX('Total Customers'!$F$7:$AB$91,MATCH($C14,'Total Customers'!$D$7:$D$91,0),MATCH($G14,'Total Customers'!$F$5:$AB$5,0)),"NA")</f>
        <v>1514629</v>
      </c>
      <c r="AW14" s="68">
        <f t="shared" si="6"/>
        <v>-2.773807743286856E-2</v>
      </c>
      <c r="AX14" s="132">
        <f t="shared" si="45"/>
        <v>35177230</v>
      </c>
      <c r="AY14" s="68">
        <f t="shared" si="63"/>
        <v>1.2755866976324999E-3</v>
      </c>
      <c r="AZ14" s="77">
        <f t="shared" si="33"/>
        <v>8147214</v>
      </c>
      <c r="BA14" s="77">
        <f t="shared" si="34"/>
        <v>3038813.4907702967</v>
      </c>
      <c r="BB14" s="16"/>
      <c r="BC14" s="96"/>
      <c r="BD14" s="62"/>
      <c r="BE14" s="70"/>
      <c r="BF14" s="59"/>
      <c r="BG14" s="62"/>
      <c r="BH14" s="62"/>
      <c r="BI14" s="61"/>
      <c r="BJ14" s="61"/>
      <c r="BK14" s="61">
        <f>INDEX('Dist. Plant Gas Additions'!$F$7:$AE$91,MATCH($C14,'Dist. Plant Gas Additions'!$D$7:$D$91,0),MATCH(Calculation!$G14,'Dist. Plant Gas Additions'!$F$5:$AE$5,0))</f>
        <v>175450</v>
      </c>
      <c r="BL14" s="61">
        <f>INDEX('Gen. Plant Additions'!$F$7:$AE$91,MATCH($C14,'Gen. Plant Additions'!$D$7:$D$91,0),MATCH(Calculation!$G14,'Gen. Plant Additions'!$F$5:$AE$5,0))</f>
        <v>16166</v>
      </c>
      <c r="BM14" s="231">
        <f t="shared" si="7"/>
        <v>0.94379495769293442</v>
      </c>
      <c r="BN14" s="61">
        <f t="shared" si="8"/>
        <v>15257.389286063977</v>
      </c>
      <c r="BO14" s="61">
        <f>INDEX('Dist Plant Depreciation'!$E$7:$AD$94,MATCH($C14,'Dist Plant Depreciation'!$D$7:$D$94,0),MATCH(Calculation!$G14,'Dist Plant Depreciation'!$E$5:$AD$5,0))</f>
        <v>878304</v>
      </c>
      <c r="BP14" s="61">
        <f>INDEX('Gen. Plant Depreciation'!$E$7:$AD$94,MATCH($C14,'Gen. Plant Depreciation'!$D$7:$D$94,0),MATCH(Calculation!$G14,'Gen. Plant Depreciation'!$E$5:$AD$5,0))</f>
        <v>54558</v>
      </c>
      <c r="BQ14" s="66">
        <v>1940</v>
      </c>
      <c r="BR14" s="66"/>
      <c r="BS14" s="64">
        <v>20.173223881565029</v>
      </c>
      <c r="BT14" s="104"/>
      <c r="BU14" s="61"/>
      <c r="BV14" s="61"/>
      <c r="BW14" s="61">
        <f>INDEX('Gross Dx Plant'!$E$7:$AD$91,MATCH($C14,'Gross Dx Plant'!$D$7:$D$91,0),MATCH(Calculation!$G14,'Gross Dx Plant'!$E$5:$AD$5,0))</f>
        <v>2612180</v>
      </c>
      <c r="BX14" s="61">
        <f>INDEX('Gross Gen Plant'!$E$7:$AD$91,MATCH($C14,'Gross Gen Plant'!$D$7:$D$91,0),MATCH(Calculation!$G14,'Gross Gen Plant'!$E$5:$AD$5,0))</f>
        <v>155561</v>
      </c>
      <c r="BY14" s="61">
        <f t="shared" si="46"/>
        <v>1834879</v>
      </c>
      <c r="BZ14" s="61"/>
      <c r="CA14" s="65">
        <v>2009</v>
      </c>
      <c r="CB14" s="61"/>
      <c r="CC14" s="61"/>
      <c r="CD14" s="61"/>
      <c r="CE14" s="66"/>
      <c r="CF14" s="77">
        <f t="shared" si="9"/>
        <v>191616</v>
      </c>
      <c r="CG14" s="61">
        <f t="shared" si="10"/>
        <v>347.79790634799008</v>
      </c>
      <c r="CH14" s="67">
        <v>0.93567251461988299</v>
      </c>
      <c r="CI14" s="61">
        <f>+CI3*CH14+CG4*CH13+CG5*CH12+CG6*CH11+CG7*CH10+CG8*CH9+CG9*CH8+CG10*CH7+CG11*CH6+CG12*CH5+CG13*CH4+CG14</f>
        <v>8245.8869175046984</v>
      </c>
      <c r="CJ14" s="68">
        <f t="shared" si="11"/>
        <v>3.6238940402753154E-2</v>
      </c>
      <c r="CK14" s="61">
        <f t="shared" si="35"/>
        <v>189004.65360771559</v>
      </c>
      <c r="CL14" s="69">
        <f t="shared" si="12"/>
        <v>6.8313070899053314E-3</v>
      </c>
      <c r="CM14" s="69">
        <f t="shared" si="23"/>
        <v>6.6205312078914834E-3</v>
      </c>
      <c r="CN14" s="96">
        <f>VLOOKUP($H14,RoR!$E:$F,2,FALSE)</f>
        <v>5.3133333333333324E-2</v>
      </c>
      <c r="CO14" s="69">
        <v>7.7972502758210105E-3</v>
      </c>
      <c r="CP14" s="69">
        <f t="shared" si="19"/>
        <v>4.5336083057512314E-2</v>
      </c>
      <c r="CQ14" s="69">
        <f t="shared" si="24"/>
        <v>2.4281410400642141E-2</v>
      </c>
      <c r="CR14" s="69">
        <f t="shared" si="25"/>
        <v>6.3720160300892073E-2</v>
      </c>
      <c r="CS14" s="119">
        <f t="shared" si="13"/>
        <v>0.87050000000000005</v>
      </c>
      <c r="CT14" s="71">
        <f t="shared" si="14"/>
        <v>0.96515780330083989</v>
      </c>
      <c r="CU14" s="71">
        <f t="shared" si="15"/>
        <v>0.50448557089084056</v>
      </c>
      <c r="CV14" s="71">
        <f t="shared" si="16"/>
        <v>0.87391435735465484</v>
      </c>
      <c r="CW14" s="71">
        <f t="shared" si="17"/>
        <v>0.42551605393279146</v>
      </c>
      <c r="CX14" s="72">
        <f>INDEX('State Tax Lookup'!$D$7:$Z$91,MATCH(Calculation!$C14,'State Tax Lookup'!$B$7:$B$91,0),MATCH($H14,'State Tax Lookup'!$D$6:$Z$6,0))</f>
        <v>0.35</v>
      </c>
      <c r="CY14" s="72">
        <v>0.37</v>
      </c>
      <c r="CZ14" s="70">
        <f t="shared" si="21"/>
        <v>17.830378576415661</v>
      </c>
      <c r="DA14" s="70">
        <v>17.478615056163342</v>
      </c>
      <c r="DB14" s="69">
        <f t="shared" si="27"/>
        <v>-4.2126033807873928E-2</v>
      </c>
      <c r="DC14" s="111">
        <f>VLOOKUP($H14,RoR!$E:$F,2,FALSE)</f>
        <v>5.3133333333333324E-2</v>
      </c>
      <c r="DD14" s="216">
        <f>HLOOKUP($H14,'GDP-PI'!$D$8:$CQ$11,3,FALSE)</f>
        <v>7.7972502758210105E-3</v>
      </c>
      <c r="DE14" s="111">
        <f>VLOOKUP(H14,'HW Dx Data'!$E:$F,2,FALSE)</f>
        <v>550.94063679692806</v>
      </c>
      <c r="DF14" s="72">
        <f t="shared" si="36"/>
        <v>110.925</v>
      </c>
      <c r="DG14" s="69">
        <f t="shared" si="28"/>
        <v>2.7649425000884052E-2</v>
      </c>
      <c r="DH14" s="66">
        <f>HLOOKUP(H14,'GDP-PI'!$8:$9,2,FALSE)</f>
        <v>94.998999999999995</v>
      </c>
      <c r="DI14" s="69">
        <f t="shared" si="28"/>
        <v>7.7670088183096342E-3</v>
      </c>
      <c r="DJ14">
        <v>32.633333333333333</v>
      </c>
      <c r="DK14">
        <v>0.27071392659627952</v>
      </c>
      <c r="DN14" s="33">
        <v>5.1851356378726017E-2</v>
      </c>
      <c r="DO14" s="33">
        <v>5.62E-2</v>
      </c>
      <c r="DP14" s="33">
        <f t="shared" si="0"/>
        <v>2.914046228484402E-3</v>
      </c>
      <c r="DQ14" s="33">
        <v>5.1499999999999997E-2</v>
      </c>
      <c r="DR14" s="33">
        <f t="shared" si="1"/>
        <v>2.6703448535043898E-3</v>
      </c>
      <c r="DS14" s="33">
        <v>4.9500000000000002E-2</v>
      </c>
      <c r="DT14" s="33">
        <f t="shared" si="2"/>
        <v>2.566642140746938E-3</v>
      </c>
      <c r="DU14" s="33">
        <v>4.6399999999999997E-2</v>
      </c>
      <c r="DV14" s="33">
        <f t="shared" si="3"/>
        <v>2.405902935972887E-3</v>
      </c>
      <c r="DW14" s="33">
        <v>4.3200000000000002E-2</v>
      </c>
      <c r="DX14" s="33">
        <f t="shared" si="4"/>
        <v>2.2399785955609639E-3</v>
      </c>
      <c r="EB14">
        <f t="shared" si="20"/>
        <v>2009</v>
      </c>
      <c r="EG14" s="42" t="s">
        <v>125</v>
      </c>
      <c r="EH14" s="31">
        <v>110.925</v>
      </c>
    </row>
    <row r="15" spans="1:138" ht="21">
      <c r="A15" t="s">
        <v>98</v>
      </c>
      <c r="B15" s="42" t="s">
        <v>98</v>
      </c>
      <c r="C15" s="42">
        <v>4054707</v>
      </c>
      <c r="D15" s="42" t="s">
        <v>99</v>
      </c>
      <c r="E15" s="42"/>
      <c r="F15" s="42"/>
      <c r="G15" s="42" t="s">
        <v>126</v>
      </c>
      <c r="H15" s="11">
        <v>2010</v>
      </c>
      <c r="I15" s="59"/>
      <c r="J15" s="60">
        <f>IFERROR(INDEX('Labor Expenditures'!$F$7:$X$91,MATCH($C15,'Labor Expenditures'!$D$7:$D$91,0),MATCH($G15,'Labor Expenditures'!$F$5:$X$5,0)),"NA")</f>
        <v>61005.110244989701</v>
      </c>
      <c r="K15" s="60">
        <f t="shared" si="37"/>
        <v>521.74565101552025</v>
      </c>
      <c r="L15" s="76">
        <f t="shared" si="38"/>
        <v>-2.6607663444493713E-2</v>
      </c>
      <c r="M15" s="76">
        <f t="shared" si="47"/>
        <v>-8.216809438097042E-4</v>
      </c>
      <c r="N15" s="62">
        <f t="shared" si="56"/>
        <v>97.973722240698393</v>
      </c>
      <c r="O15" s="96">
        <f t="shared" si="57"/>
        <v>-2.2209305810049231E-2</v>
      </c>
      <c r="P15" s="96">
        <f t="shared" ca="1" si="58"/>
        <v>-2.2209305810049231E-2</v>
      </c>
      <c r="Q15" s="60">
        <f>IFERROR(INDEX('Non-Labor Expenditures'!$F$7:$AB$91,MATCH($C15,'Non-Labor Expenditures'!$D$7:$D$91,0),MATCH($G15,'Non-Labor Expenditures'!$F$5:$AB$5,0)),"NA")</f>
        <v>88346.793817631013</v>
      </c>
      <c r="R15" s="60">
        <f t="shared" si="39"/>
        <v>919.23538708790034</v>
      </c>
      <c r="S15" s="76">
        <f t="shared" si="48"/>
        <v>1.4454144095332433E-2</v>
      </c>
      <c r="T15" s="76">
        <f t="shared" si="49"/>
        <v>4.463636871756969E-4</v>
      </c>
      <c r="U15" s="62">
        <f t="shared" si="59"/>
        <v>104.93724745610317</v>
      </c>
      <c r="V15" s="68">
        <f t="shared" si="40"/>
        <v>1.8863303195349061E-2</v>
      </c>
      <c r="W15" s="60">
        <f t="shared" si="5"/>
        <v>150755.3874870319</v>
      </c>
      <c r="X15" s="76">
        <f t="shared" si="60"/>
        <v>6.1279328487303379E-2</v>
      </c>
      <c r="Y15" s="90">
        <v>8398.9977924598425</v>
      </c>
      <c r="Z15" s="78">
        <v>1.8397867737244694E-2</v>
      </c>
      <c r="AA15" s="76">
        <f t="shared" si="50"/>
        <v>5.6815125303885834E-4</v>
      </c>
      <c r="AB15" s="62">
        <f t="shared" si="61"/>
        <v>115.06900121641669</v>
      </c>
      <c r="AC15" s="68">
        <f t="shared" si="41"/>
        <v>2.7340919010140657E-2</v>
      </c>
      <c r="AD15" s="59">
        <f t="shared" si="29"/>
        <v>300107.29154965258</v>
      </c>
      <c r="AE15" s="78">
        <f t="shared" si="51"/>
        <v>4.3602411353635781E-2</v>
      </c>
      <c r="AF15" s="113">
        <f t="shared" si="42"/>
        <v>9718071.0724149588</v>
      </c>
      <c r="AG15" s="68">
        <f t="shared" si="52"/>
        <v>3.5872884817277587E-2</v>
      </c>
      <c r="AH15" s="61">
        <f t="shared" si="43"/>
        <v>274.74873658107521</v>
      </c>
      <c r="AI15" s="90">
        <f t="shared" si="44"/>
        <v>386.04085828316289</v>
      </c>
      <c r="AJ15" s="65">
        <f t="shared" si="53"/>
        <v>198.35915919813067</v>
      </c>
      <c r="AK15" s="68">
        <f>+AV15/$AX$15</f>
        <v>4.2774005578280226E-2</v>
      </c>
      <c r="AL15" s="79">
        <f t="shared" si="30"/>
        <v>0.20327766756342353</v>
      </c>
      <c r="AM15" s="79">
        <f t="shared" si="31"/>
        <v>0.29438402966298499</v>
      </c>
      <c r="AN15" s="79">
        <f t="shared" si="32"/>
        <v>0.50233830277359159</v>
      </c>
      <c r="AO15" s="79">
        <f t="shared" si="54"/>
        <v>1.4661648640479533E-2</v>
      </c>
      <c r="AP15" s="62">
        <f t="shared" si="64"/>
        <v>107.28745063073086</v>
      </c>
      <c r="AQ15" s="78">
        <f t="shared" si="65"/>
        <v>1.4661648640479587E-2</v>
      </c>
      <c r="AR15" s="69">
        <f>+AD15/$AF$15</f>
        <v>3.0881364142470235E-2</v>
      </c>
      <c r="AS15" s="69">
        <f t="shared" si="66"/>
        <v>4.5277171059560377E-4</v>
      </c>
      <c r="AT15" s="62">
        <f t="shared" si="62"/>
        <v>115.38282518625047</v>
      </c>
      <c r="AU15" s="78">
        <f t="shared" si="55"/>
        <v>2.6721567353509383E-2</v>
      </c>
      <c r="AV15" s="77">
        <f>IFERROR(INDEX('Total Customers'!$F$7:$AB$91,MATCH($C15,'Total Customers'!$D$7:$D$91,0),MATCH($G15,'Total Customers'!$F$5:$AB$5,0)),"NA")</f>
        <v>1512949</v>
      </c>
      <c r="AW15" s="68">
        <f t="shared" si="6"/>
        <v>-1.1097981108537996E-3</v>
      </c>
      <c r="AX15" s="132">
        <f t="shared" si="45"/>
        <v>35370758</v>
      </c>
      <c r="AY15" s="68">
        <f t="shared" si="63"/>
        <v>5.4864352885065065E-3</v>
      </c>
      <c r="AZ15" s="77">
        <f t="shared" si="33"/>
        <v>8214445</v>
      </c>
      <c r="BA15" s="77">
        <f t="shared" si="34"/>
        <v>3171111.3981198356</v>
      </c>
      <c r="BB15" s="142">
        <v>2020</v>
      </c>
      <c r="BC15" s="144">
        <v>295.39999999999998</v>
      </c>
      <c r="BD15" s="108">
        <v>360.6</v>
      </c>
      <c r="BE15" s="62">
        <v>486.1702455407621</v>
      </c>
      <c r="BF15" s="108"/>
      <c r="BG15" s="108"/>
      <c r="BH15" s="62"/>
      <c r="BI15" s="61"/>
      <c r="BJ15" s="61"/>
      <c r="BK15" s="61">
        <f>INDEX('Dist. Plant Gas Additions'!$F$7:$AE$91,MATCH($C15,'Dist. Plant Gas Additions'!$D$7:$D$91,0),MATCH(Calculation!$G15,'Dist. Plant Gas Additions'!$F$5:$AE$5,0))</f>
        <v>112536</v>
      </c>
      <c r="BL15" s="61">
        <f>INDEX('Gen. Plant Additions'!$F$7:$AE$91,MATCH($C15,'Gen. Plant Additions'!$D$7:$D$91,0),MATCH(Calculation!$G15,'Gen. Plant Additions'!$F$5:$AE$5,0))</f>
        <v>7556</v>
      </c>
      <c r="BM15" s="231">
        <f t="shared" si="7"/>
        <v>0.94617274874675117</v>
      </c>
      <c r="BN15" s="61">
        <f t="shared" si="8"/>
        <v>7149.2812895304514</v>
      </c>
      <c r="BO15" s="61">
        <f>INDEX('Dist Plant Depreciation'!$E$7:$AD$94,MATCH($C15,'Dist Plant Depreciation'!$D$7:$D$94,0),MATCH(Calculation!$G15,'Dist Plant Depreciation'!$E$5:$AD$5,0))</f>
        <v>918267</v>
      </c>
      <c r="BP15" s="61">
        <f>INDEX('Gen. Plant Depreciation'!$E$7:$AD$94,MATCH($C15,'Gen. Plant Depreciation'!$D$7:$D$94,0),MATCH(Calculation!$G15,'Gen. Plant Depreciation'!$E$5:$AD$5,0))</f>
        <v>71779</v>
      </c>
      <c r="BQ15" s="66">
        <v>1941</v>
      </c>
      <c r="BR15" s="66"/>
      <c r="BS15" s="64">
        <v>20.877776802788329</v>
      </c>
      <c r="BT15" s="104"/>
      <c r="BU15" s="61"/>
      <c r="BV15" s="61"/>
      <c r="BW15" s="61">
        <f>INDEX('Gross Dx Plant'!$E$7:$AD$91,MATCH($C15,'Gross Dx Plant'!$D$7:$D$91,0),MATCH(Calculation!$G15,'Gross Dx Plant'!$E$5:$AD$5,0))</f>
        <v>2723387</v>
      </c>
      <c r="BX15" s="61">
        <f>INDEX('Gross Gen Plant'!$E$7:$AD$91,MATCH($C15,'Gross Gen Plant'!$D$7:$D$91,0),MATCH(Calculation!$G15,'Gross Gen Plant'!$E$5:$AD$5,0))</f>
        <v>154932</v>
      </c>
      <c r="BY15" s="61">
        <f t="shared" si="46"/>
        <v>1888273</v>
      </c>
      <c r="BZ15" s="61"/>
      <c r="CA15" s="65">
        <v>2010</v>
      </c>
      <c r="CB15" s="61"/>
      <c r="CC15" s="61"/>
      <c r="CD15" s="61"/>
      <c r="CE15" s="66"/>
      <c r="CF15" s="77">
        <f t="shared" si="9"/>
        <v>120092</v>
      </c>
      <c r="CG15" s="61">
        <f t="shared" si="10"/>
        <v>211.06189032480717</v>
      </c>
      <c r="CH15" s="67">
        <v>0.9285714285714286</v>
      </c>
      <c r="CI15" s="61">
        <f>+CI3*CH15+CG4*CH14+CG5*CH13+CG6*CH12+CG7*CH11+CG8*CH10+CG9*CH9+CG10*CH8+CG11*CH7+CG12*CH6+CG13*CH5+CG14*CH4+CG15</f>
        <v>8398.9977924598425</v>
      </c>
      <c r="CJ15" s="68">
        <f t="shared" si="11"/>
        <v>1.8397867737244694E-2</v>
      </c>
      <c r="CK15" s="61">
        <f t="shared" si="35"/>
        <v>194178.87684337929</v>
      </c>
      <c r="CL15" s="69">
        <f t="shared" si="12"/>
        <v>7.0278692819134361E-3</v>
      </c>
      <c r="CM15" s="69">
        <f t="shared" si="23"/>
        <v>6.825175285200844E-3</v>
      </c>
      <c r="CN15" s="96">
        <f>VLOOKUP($H15,RoR!$E:$F,2,FALSE)</f>
        <v>4.9433333333333322E-2</v>
      </c>
      <c r="CO15" s="69">
        <v>1.1684333519300205E-2</v>
      </c>
      <c r="CP15" s="69">
        <f t="shared" si="19"/>
        <v>3.7748999814033117E-2</v>
      </c>
      <c r="CQ15" s="69">
        <f t="shared" si="24"/>
        <v>2.407676632333278E-2</v>
      </c>
      <c r="CR15" s="69">
        <f t="shared" si="25"/>
        <v>4.7937530248493419E-2</v>
      </c>
      <c r="CS15" s="119">
        <f t="shared" si="13"/>
        <v>0.87050000000000005</v>
      </c>
      <c r="CT15" s="71">
        <f t="shared" si="14"/>
        <v>1.037398205301105</v>
      </c>
      <c r="CU15" s="71">
        <f t="shared" si="15"/>
        <v>0.46926837491571133</v>
      </c>
      <c r="CV15" s="71">
        <f t="shared" si="16"/>
        <v>0.8548537519972772</v>
      </c>
      <c r="CW15" s="71">
        <f t="shared" si="17"/>
        <v>0.41615833911547367</v>
      </c>
      <c r="CX15" s="72">
        <f>INDEX('State Tax Lookup'!$D$7:$Z$91,MATCH(Calculation!$C15,'State Tax Lookup'!$B$7:$B$91,0),MATCH($H15,'State Tax Lookup'!$D$6:$Z$6,0))</f>
        <v>0.35</v>
      </c>
      <c r="CY15" s="72">
        <v>0.37</v>
      </c>
      <c r="CZ15" s="70">
        <f t="shared" si="21"/>
        <v>18.282495139122311</v>
      </c>
      <c r="DA15" s="70">
        <v>17.956102603965455</v>
      </c>
      <c r="DB15" s="69">
        <f t="shared" si="27"/>
        <v>2.5040388084550495E-2</v>
      </c>
      <c r="DC15" s="111">
        <f>VLOOKUP($H15,RoR!$E:$F,2,FALSE)</f>
        <v>4.9433333333333322E-2</v>
      </c>
      <c r="DD15" s="216">
        <f>HLOOKUP($H15,'GDP-PI'!$D$8:$CQ$11,3,FALSE)</f>
        <v>1.1684333519300205E-2</v>
      </c>
      <c r="DE15" s="111">
        <f>VLOOKUP(H15,'HW Dx Data'!$E:$F,2,FALSE)</f>
        <v>568.98950262971744</v>
      </c>
      <c r="DF15" s="72">
        <f t="shared" si="36"/>
        <v>116.925</v>
      </c>
      <c r="DG15" s="69">
        <f t="shared" si="28"/>
        <v>5.2678406346976722E-2</v>
      </c>
      <c r="DH15" s="66">
        <f>HLOOKUP(H15,'GDP-PI'!$8:$9,2,FALSE)</f>
        <v>96.108999999999995</v>
      </c>
      <c r="DI15" s="69">
        <f t="shared" si="28"/>
        <v>1.1616598807150427E-2</v>
      </c>
      <c r="DJ15">
        <v>33.658333333333331</v>
      </c>
      <c r="DK15">
        <v>0.30460030165912522</v>
      </c>
      <c r="DN15" s="33">
        <v>4.3705481173557353E-2</v>
      </c>
      <c r="DO15" s="33">
        <v>3.15E-2</v>
      </c>
      <c r="DP15" s="33">
        <f t="shared" si="0"/>
        <v>1.3767226569670566E-3</v>
      </c>
      <c r="DQ15" s="33">
        <v>2.5000000000000001E-2</v>
      </c>
      <c r="DR15" s="33">
        <f t="shared" si="1"/>
        <v>1.0926370293389339E-3</v>
      </c>
      <c r="DS15" s="33">
        <v>2.2100000000000002E-2</v>
      </c>
      <c r="DT15" s="33">
        <f t="shared" si="2"/>
        <v>9.6589113393561756E-4</v>
      </c>
      <c r="DU15" s="33">
        <v>1.78E-2</v>
      </c>
      <c r="DV15" s="33">
        <f t="shared" si="3"/>
        <v>7.7795756488932089E-4</v>
      </c>
      <c r="DW15" s="33">
        <v>1.3100000000000001E-2</v>
      </c>
      <c r="DX15" s="33">
        <f t="shared" si="4"/>
        <v>5.7254180337360135E-4</v>
      </c>
      <c r="EB15">
        <f t="shared" si="20"/>
        <v>2010</v>
      </c>
      <c r="EG15" s="42" t="s">
        <v>126</v>
      </c>
      <c r="EH15" s="31">
        <v>116.925</v>
      </c>
    </row>
    <row r="16" spans="1:138" ht="21">
      <c r="A16" t="s">
        <v>98</v>
      </c>
      <c r="B16" s="42" t="s">
        <v>98</v>
      </c>
      <c r="C16" s="42">
        <v>4054707</v>
      </c>
      <c r="D16" s="42" t="s">
        <v>99</v>
      </c>
      <c r="E16" s="42"/>
      <c r="F16" s="42"/>
      <c r="G16" s="42" t="s">
        <v>127</v>
      </c>
      <c r="H16" s="11">
        <v>2011</v>
      </c>
      <c r="I16" s="59"/>
      <c r="J16" s="60">
        <f>IFERROR(INDEX('Labor Expenditures'!$F$7:$X$91,MATCH($C16,'Labor Expenditures'!$D$7:$D$91,0),MATCH($G16,'Labor Expenditures'!$F$5:$X$5,0)),"NA")</f>
        <v>58525.836594776476</v>
      </c>
      <c r="K16" s="60">
        <f t="shared" si="37"/>
        <v>484.1847908564755</v>
      </c>
      <c r="L16" s="76">
        <f t="shared" si="38"/>
        <v>-7.4713577402570452E-2</v>
      </c>
      <c r="M16" s="76">
        <f t="shared" si="47"/>
        <v>-2.2484588248811374E-3</v>
      </c>
      <c r="N16" s="62">
        <f t="shared" si="56"/>
        <v>96.886584490690765</v>
      </c>
      <c r="O16" s="96">
        <f t="shared" si="57"/>
        <v>-1.1158239949908704E-2</v>
      </c>
      <c r="P16" s="96">
        <f t="shared" ca="1" si="58"/>
        <v>-1.1158239949908704E-2</v>
      </c>
      <c r="Q16" s="60">
        <f>IFERROR(INDEX('Non-Labor Expenditures'!$F$7:$AB$91,MATCH($C16,'Non-Labor Expenditures'!$D$7:$D$91,0),MATCH($G16,'Non-Labor Expenditures'!$F$5:$AB$5,0)),"NA")</f>
        <v>84756.342507679277</v>
      </c>
      <c r="R16" s="60">
        <f t="shared" si="39"/>
        <v>863.87335400031884</v>
      </c>
      <c r="S16" s="76">
        <f t="shared" si="48"/>
        <v>-6.2116046453911056E-2</v>
      </c>
      <c r="T16" s="76">
        <f t="shared" si="49"/>
        <v>-1.8693439354868573E-3</v>
      </c>
      <c r="U16" s="62">
        <f t="shared" si="59"/>
        <v>105.08885784436248</v>
      </c>
      <c r="V16" s="68">
        <f t="shared" si="40"/>
        <v>1.4437292390540929E-3</v>
      </c>
      <c r="W16" s="60">
        <f t="shared" si="5"/>
        <v>163861.56615383361</v>
      </c>
      <c r="X16" s="76">
        <f t="shared" si="60"/>
        <v>8.3363389686183523E-2</v>
      </c>
      <c r="Y16" s="90">
        <v>8737.6413762997527</v>
      </c>
      <c r="Z16" s="78">
        <v>3.9527899525527543E-2</v>
      </c>
      <c r="AA16" s="76">
        <f t="shared" si="50"/>
        <v>1.1895676476352155E-3</v>
      </c>
      <c r="AB16" s="62">
        <f t="shared" si="61"/>
        <v>118.6142647970192</v>
      </c>
      <c r="AC16" s="68">
        <f t="shared" si="41"/>
        <v>3.0344796859303136E-2</v>
      </c>
      <c r="AD16" s="59">
        <f t="shared" si="29"/>
        <v>307143.74525628937</v>
      </c>
      <c r="AE16" s="78">
        <f t="shared" si="51"/>
        <v>2.3175814376680773E-2</v>
      </c>
      <c r="AF16" s="113">
        <f t="shared" si="42"/>
        <v>10206016.552753316</v>
      </c>
      <c r="AG16" s="68">
        <f t="shared" si="52"/>
        <v>4.8990255066731866E-2</v>
      </c>
      <c r="AH16" s="61">
        <f t="shared" si="43"/>
        <v>287.15168116551422</v>
      </c>
      <c r="AI16" s="90">
        <f t="shared" si="44"/>
        <v>407.7397565237585</v>
      </c>
      <c r="AJ16" s="65">
        <f t="shared" si="53"/>
        <v>203.27762157115615</v>
      </c>
      <c r="AK16" s="68">
        <f>+AV16/$AX$16</f>
        <v>4.2511575449263213E-2</v>
      </c>
      <c r="AL16" s="79">
        <f t="shared" si="30"/>
        <v>0.19054868444721501</v>
      </c>
      <c r="AM16" s="79">
        <f t="shared" si="31"/>
        <v>0.27595008466461268</v>
      </c>
      <c r="AN16" s="79">
        <f t="shared" si="32"/>
        <v>0.53350123088817225</v>
      </c>
      <c r="AO16" s="79">
        <f t="shared" si="54"/>
        <v>1.3930669665177187E-2</v>
      </c>
      <c r="AP16" s="62">
        <f t="shared" si="64"/>
        <v>108.79249546645462</v>
      </c>
      <c r="AQ16" s="78">
        <f t="shared" si="65"/>
        <v>1.3930669665177293E-2</v>
      </c>
      <c r="AR16" s="69">
        <f>+AD16/$AF$16</f>
        <v>3.0094380473391455E-2</v>
      </c>
      <c r="AS16" s="69">
        <f t="shared" si="66"/>
        <v>4.1923487315297819E-4</v>
      </c>
      <c r="AT16" s="62">
        <f t="shared" si="62"/>
        <v>120.82301584519894</v>
      </c>
      <c r="AU16" s="78">
        <f t="shared" si="55"/>
        <v>4.607128141641096E-2</v>
      </c>
      <c r="AV16" s="77">
        <f>IFERROR(INDEX('Total Customers'!$F$7:$AB$91,MATCH($C16,'Total Customers'!$D$7:$D$91,0),MATCH($G16,'Total Customers'!$F$5:$AB$5,0)),"NA")</f>
        <v>1510957</v>
      </c>
      <c r="AW16" s="68">
        <f t="shared" si="6"/>
        <v>-1.3175014621119023E-3</v>
      </c>
      <c r="AX16" s="132">
        <f t="shared" si="45"/>
        <v>35542249</v>
      </c>
      <c r="AY16" s="68">
        <f t="shared" si="63"/>
        <v>4.8366679560601609E-3</v>
      </c>
      <c r="AZ16" s="77">
        <f t="shared" si="33"/>
        <v>8246976</v>
      </c>
      <c r="BA16" s="77">
        <f t="shared" si="34"/>
        <v>3362619.9862972801</v>
      </c>
      <c r="BB16" s="142">
        <v>2021</v>
      </c>
      <c r="BC16" s="144">
        <v>260.45999999999998</v>
      </c>
      <c r="BD16" s="108">
        <v>397.4</v>
      </c>
      <c r="BE16" s="62">
        <v>533.31690303216567</v>
      </c>
      <c r="BF16" s="108"/>
      <c r="BG16" s="108"/>
      <c r="BH16" s="62"/>
      <c r="BI16" s="61"/>
      <c r="BJ16" s="61"/>
      <c r="BK16" s="61">
        <f>INDEX('Dist. Plant Gas Additions'!$F$7:$AE$91,MATCH($C16,'Dist. Plant Gas Additions'!$D$7:$D$91,0),MATCH(Calculation!$G16,'Dist. Plant Gas Additions'!$F$5:$AE$5,0))</f>
        <v>223485</v>
      </c>
      <c r="BL16" s="61">
        <f>INDEX('Gen. Plant Additions'!$F$7:$AE$91,MATCH($C16,'Gen. Plant Additions'!$D$7:$D$91,0),MATCH(Calculation!$G16,'Gen. Plant Additions'!$F$5:$AE$5,0))</f>
        <v>20972</v>
      </c>
      <c r="BM16" s="231">
        <f t="shared" si="7"/>
        <v>0.94543581866396409</v>
      </c>
      <c r="BN16" s="61">
        <f t="shared" si="8"/>
        <v>19827.679989020657</v>
      </c>
      <c r="BO16" s="61">
        <f>INDEX('Dist Plant Depreciation'!$E$7:$AD$94,MATCH($C16,'Dist Plant Depreciation'!$D$7:$D$94,0),MATCH(Calculation!$G16,'Dist Plant Depreciation'!$E$5:$AD$5,0))</f>
        <v>1008761</v>
      </c>
      <c r="BP16" s="61">
        <f>INDEX('Gen. Plant Depreciation'!$E$7:$AD$94,MATCH($C16,'Gen. Plant Depreciation'!$D$7:$D$94,0),MATCH(Calculation!$G16,'Gen. Plant Depreciation'!$E$5:$AD$5,0))</f>
        <v>36147</v>
      </c>
      <c r="BQ16" s="66">
        <v>1942</v>
      </c>
      <c r="BR16" s="66"/>
      <c r="BS16" s="64">
        <v>21.613878120540953</v>
      </c>
      <c r="BT16" s="104"/>
      <c r="BU16" s="61"/>
      <c r="BV16" s="61"/>
      <c r="BW16" s="61">
        <f>INDEX('Gross Dx Plant'!$E$7:$AD$91,MATCH($C16,'Gross Dx Plant'!$D$7:$D$91,0),MATCH(Calculation!$G16,'Gross Dx Plant'!$E$5:$AD$5,0))</f>
        <v>2865754</v>
      </c>
      <c r="BX16" s="61">
        <f>INDEX('Gross Gen Plant'!$E$7:$AD$91,MATCH($C16,'Gross Gen Plant'!$D$7:$D$91,0),MATCH(Calculation!$G16,'Gross Gen Plant'!$E$5:$AD$5,0))</f>
        <v>165392</v>
      </c>
      <c r="BY16" s="61">
        <f t="shared" si="46"/>
        <v>1986238</v>
      </c>
      <c r="BZ16" s="61"/>
      <c r="CA16" s="65">
        <v>2011</v>
      </c>
      <c r="CB16" s="61"/>
      <c r="CC16" s="61"/>
      <c r="CD16" s="61"/>
      <c r="CE16" s="66"/>
      <c r="CF16" s="77">
        <f t="shared" si="9"/>
        <v>244457</v>
      </c>
      <c r="CG16" s="61">
        <f t="shared" si="10"/>
        <v>399.69353327576783</v>
      </c>
      <c r="CH16" s="67">
        <v>0.92121212121212126</v>
      </c>
      <c r="CI16" s="61">
        <f>+CI3*CH16+CG4*CH15+CG5*CH14+CG6*CH13+CG7*CH12+CG8*CH11+CG9*CH10+CG10*CH9+CG11*CH8+CG12*CH7+CG13*CH6+CG14*CH5+CG15*CH4+CG16</f>
        <v>8737.6413762997527</v>
      </c>
      <c r="CJ16" s="68">
        <f t="shared" si="11"/>
        <v>3.9527899525527543E-2</v>
      </c>
      <c r="CK16" s="61">
        <f t="shared" si="35"/>
        <v>200024.33058974991</v>
      </c>
      <c r="CL16" s="69">
        <f t="shared" si="12"/>
        <v>7.2687183571669596E-3</v>
      </c>
      <c r="CM16" s="69">
        <f t="shared" si="23"/>
        <v>7.0426315763285757E-3</v>
      </c>
      <c r="CN16" s="96">
        <f>VLOOKUP($H16,RoR!$E:$F,2,FALSE)</f>
        <v>4.6391666666666664E-2</v>
      </c>
      <c r="CO16" s="69">
        <v>2.0840920205183799E-2</v>
      </c>
      <c r="CP16" s="69">
        <f t="shared" si="19"/>
        <v>2.5550746461482865E-2</v>
      </c>
      <c r="CQ16" s="69">
        <f t="shared" si="24"/>
        <v>2.3859310032205049E-2</v>
      </c>
      <c r="CR16" s="69">
        <f t="shared" si="25"/>
        <v>2.4810540821321614E-2</v>
      </c>
      <c r="CS16" s="119">
        <f t="shared" si="13"/>
        <v>0.87050000000000005</v>
      </c>
      <c r="CT16" s="71">
        <f t="shared" si="14"/>
        <v>1.1054151524782025</v>
      </c>
      <c r="CU16" s="71">
        <f t="shared" si="15"/>
        <v>0.43611011316687626</v>
      </c>
      <c r="CV16" s="71">
        <f t="shared" si="16"/>
        <v>0.83698442246886229</v>
      </c>
      <c r="CW16" s="71">
        <f t="shared" si="17"/>
        <v>0.40349573304423936</v>
      </c>
      <c r="CX16" s="72">
        <f>INDEX('State Tax Lookup'!$D$7:$Z$91,MATCH(Calculation!$C16,'State Tax Lookup'!$B$7:$B$91,0),MATCH($H16,'State Tax Lookup'!$D$6:$Z$6,0))</f>
        <v>0.35</v>
      </c>
      <c r="CY16" s="72">
        <v>0.37</v>
      </c>
      <c r="CZ16" s="70">
        <f t="shared" si="21"/>
        <v>19.509657009427897</v>
      </c>
      <c r="DA16" s="70">
        <v>19.146574949201604</v>
      </c>
      <c r="DB16" s="69">
        <f t="shared" si="27"/>
        <v>6.496552194893862E-2</v>
      </c>
      <c r="DC16" s="111">
        <f>VLOOKUP($H16,RoR!$E:$F,2,FALSE)</f>
        <v>4.6391666666666664E-2</v>
      </c>
      <c r="DD16" s="216">
        <f>HLOOKUP($H16,'GDP-PI'!$D$8:$CQ$11,3,FALSE)</f>
        <v>2.0840920205183799E-2</v>
      </c>
      <c r="DE16" s="111">
        <f>VLOOKUP(H16,'HW Dx Data'!$E:$F,2,FALSE)</f>
        <v>611.61109612283201</v>
      </c>
      <c r="DF16" s="72">
        <f t="shared" si="36"/>
        <v>120.875</v>
      </c>
      <c r="DG16" s="69">
        <f t="shared" si="28"/>
        <v>3.3224250161508609E-2</v>
      </c>
      <c r="DH16" s="66">
        <f>HLOOKUP(H16,'GDP-PI'!$8:$9,2,FALSE)</f>
        <v>98.111999999999995</v>
      </c>
      <c r="DI16" s="69">
        <f t="shared" si="28"/>
        <v>2.0626719212849295E-2</v>
      </c>
      <c r="DJ16">
        <v>33.158333333333331</v>
      </c>
      <c r="DK16">
        <v>0.32508169934640518</v>
      </c>
      <c r="DN16" s="33">
        <v>7.0491873246850015E-4</v>
      </c>
      <c r="DO16" s="33">
        <v>6.3700000000000007E-2</v>
      </c>
      <c r="DP16" s="33">
        <f t="shared" si="0"/>
        <v>4.4903323258243463E-5</v>
      </c>
      <c r="DQ16" s="33">
        <v>5.9200000000000003E-2</v>
      </c>
      <c r="DR16" s="33">
        <f t="shared" si="1"/>
        <v>4.1731188962135209E-5</v>
      </c>
      <c r="DS16" s="33">
        <v>5.7299999999999997E-2</v>
      </c>
      <c r="DT16" s="33">
        <f t="shared" si="2"/>
        <v>4.0391843370445054E-5</v>
      </c>
      <c r="DU16" s="33">
        <v>5.4300000000000001E-2</v>
      </c>
      <c r="DV16" s="33">
        <f t="shared" si="3"/>
        <v>3.8277087173039559E-5</v>
      </c>
      <c r="DW16" s="33">
        <v>5.1200000000000002E-2</v>
      </c>
      <c r="DX16" s="33">
        <f t="shared" si="4"/>
        <v>3.6091839102387207E-5</v>
      </c>
      <c r="EB16">
        <f t="shared" si="20"/>
        <v>2011</v>
      </c>
      <c r="EG16" s="42" t="s">
        <v>127</v>
      </c>
      <c r="EH16" s="31">
        <v>120.875</v>
      </c>
    </row>
    <row r="17" spans="1:138" ht="21">
      <c r="A17" t="s">
        <v>98</v>
      </c>
      <c r="B17" s="42" t="s">
        <v>98</v>
      </c>
      <c r="C17" s="42">
        <v>4054707</v>
      </c>
      <c r="D17" s="42" t="s">
        <v>99</v>
      </c>
      <c r="E17" s="42"/>
      <c r="F17" s="42"/>
      <c r="G17" s="42" t="s">
        <v>128</v>
      </c>
      <c r="H17" s="11">
        <v>2012</v>
      </c>
      <c r="I17" s="59"/>
      <c r="J17" s="60">
        <f>IFERROR(INDEX('Labor Expenditures'!$F$7:$X$91,MATCH($C17,'Labor Expenditures'!$D$7:$D$91,0),MATCH($G17,'Labor Expenditures'!$F$5:$X$5,0)),"NA")</f>
        <v>57144.011407196085</v>
      </c>
      <c r="K17" s="60">
        <f t="shared" si="37"/>
        <v>457.88470678843015</v>
      </c>
      <c r="L17" s="76">
        <f t="shared" si="38"/>
        <v>-5.5849212618667557E-2</v>
      </c>
      <c r="M17" s="76">
        <f t="shared" si="47"/>
        <v>-1.6932180190443891E-3</v>
      </c>
      <c r="N17" s="62">
        <f t="shared" si="56"/>
        <v>94.475093744884731</v>
      </c>
      <c r="O17" s="96">
        <f t="shared" si="57"/>
        <v>-2.5204820856633101E-2</v>
      </c>
      <c r="P17" s="96">
        <f t="shared" ca="1" si="58"/>
        <v>-2.5204820856633101E-2</v>
      </c>
      <c r="Q17" s="60">
        <f>IFERROR(INDEX('Non-Labor Expenditures'!$F$7:$AB$91,MATCH($C17,'Non-Labor Expenditures'!$D$7:$D$91,0),MATCH($G17,'Non-Labor Expenditures'!$F$5:$AB$5,0)),"NA")</f>
        <v>82755.201546718541</v>
      </c>
      <c r="R17" s="60">
        <f t="shared" si="39"/>
        <v>827.55201546718536</v>
      </c>
      <c r="S17" s="76">
        <f t="shared" si="48"/>
        <v>-4.2954213195541192E-2</v>
      </c>
      <c r="T17" s="76">
        <f t="shared" si="49"/>
        <v>-1.302271677009362E-3</v>
      </c>
      <c r="U17" s="62">
        <f t="shared" si="59"/>
        <v>103.80362017825813</v>
      </c>
      <c r="V17" s="68">
        <f t="shared" si="40"/>
        <v>-1.2305410861347088E-2</v>
      </c>
      <c r="W17" s="60">
        <f t="shared" si="5"/>
        <v>184318.94486162541</v>
      </c>
      <c r="X17" s="76">
        <f t="shared" si="60"/>
        <v>0.1176456904534378</v>
      </c>
      <c r="Y17" s="90">
        <v>8785.1872294407331</v>
      </c>
      <c r="Z17" s="78">
        <v>5.4267459774272036E-3</v>
      </c>
      <c r="AA17" s="76">
        <f t="shared" si="50"/>
        <v>1.6452629576885195E-4</v>
      </c>
      <c r="AB17" s="62">
        <f t="shared" si="61"/>
        <v>122.06849682670844</v>
      </c>
      <c r="AC17" s="68">
        <f t="shared" si="41"/>
        <v>2.8705580713047189E-2</v>
      </c>
      <c r="AD17" s="59">
        <f t="shared" si="29"/>
        <v>324218.15781554003</v>
      </c>
      <c r="AE17" s="78">
        <f t="shared" si="51"/>
        <v>5.410075220653713E-2</v>
      </c>
      <c r="AF17" s="113">
        <f t="shared" si="42"/>
        <v>10694032.680382259</v>
      </c>
      <c r="AG17" s="68">
        <f t="shared" si="52"/>
        <v>4.6708487971443752E-2</v>
      </c>
      <c r="AH17" s="61">
        <f t="shared" si="43"/>
        <v>299.44034955570203</v>
      </c>
      <c r="AI17" s="90">
        <f t="shared" si="44"/>
        <v>421.68078051592039</v>
      </c>
      <c r="AJ17" s="65">
        <f t="shared" si="53"/>
        <v>214.57219520842517</v>
      </c>
      <c r="AK17" s="68">
        <f>+AV17/$AX$17</f>
        <v>4.2308994447714146E-2</v>
      </c>
      <c r="AL17" s="79">
        <f t="shared" si="30"/>
        <v>0.17625173060081192</v>
      </c>
      <c r="AM17" s="79">
        <f t="shared" si="31"/>
        <v>0.25524542519238269</v>
      </c>
      <c r="AN17" s="79">
        <f t="shared" si="32"/>
        <v>0.56850284420680541</v>
      </c>
      <c r="AO17" s="79">
        <f t="shared" si="54"/>
        <v>7.9259745879142682E-3</v>
      </c>
      <c r="AP17" s="62">
        <f t="shared" si="64"/>
        <v>109.6582082977488</v>
      </c>
      <c r="AQ17" s="78">
        <f t="shared" si="65"/>
        <v>7.9259745879141745E-3</v>
      </c>
      <c r="AR17" s="69">
        <f>+AD17/$AF$17</f>
        <v>3.0317670378014108E-2</v>
      </c>
      <c r="AS17" s="69">
        <f t="shared" si="66"/>
        <v>2.4029708498089815E-4</v>
      </c>
      <c r="AT17" s="62">
        <f t="shared" si="62"/>
        <v>127.52251411520274</v>
      </c>
      <c r="AU17" s="78">
        <f t="shared" si="55"/>
        <v>5.3966134433226703E-2</v>
      </c>
      <c r="AV17" s="77">
        <f>IFERROR(INDEX('Total Customers'!$F$7:$AB$91,MATCH($C17,'Total Customers'!$D$7:$D$91,0),MATCH($G17,'Total Customers'!$F$5:$AB$5,0)),"NA")</f>
        <v>1510998</v>
      </c>
      <c r="AW17" s="68">
        <f t="shared" si="6"/>
        <v>2.7134752173766412E-5</v>
      </c>
      <c r="AX17" s="132">
        <f t="shared" si="45"/>
        <v>35713399</v>
      </c>
      <c r="AY17" s="68">
        <f t="shared" si="63"/>
        <v>4.8038389639993477E-3</v>
      </c>
      <c r="AZ17" s="77">
        <f t="shared" si="33"/>
        <v>8290486</v>
      </c>
      <c r="BA17" s="77">
        <f t="shared" si="34"/>
        <v>3495938.6073363107</v>
      </c>
      <c r="BB17" s="142">
        <v>2022</v>
      </c>
      <c r="BC17" s="145">
        <v>278.94</v>
      </c>
      <c r="BD17" s="145">
        <v>420.26369259553047</v>
      </c>
      <c r="BE17" s="62">
        <v>573.67777648711467</v>
      </c>
      <c r="BF17" s="108"/>
      <c r="BG17" s="108"/>
      <c r="BH17" s="62"/>
      <c r="BI17" s="61"/>
      <c r="BJ17" s="61"/>
      <c r="BK17" s="61">
        <f>INDEX('Dist. Plant Gas Additions'!$F$7:$AE$91,MATCH($C17,'Dist. Plant Gas Additions'!$D$7:$D$91,0),MATCH(Calculation!$G17,'Dist. Plant Gas Additions'!$F$5:$AE$5,0))</f>
        <v>69639</v>
      </c>
      <c r="BL17" s="61">
        <f>INDEX('Gen. Plant Additions'!$F$7:$AE$91,MATCH($C17,'Gen. Plant Additions'!$D$7:$D$91,0),MATCH(Calculation!$G17,'Gen. Plant Additions'!$F$5:$AE$5,0))</f>
        <v>5799</v>
      </c>
      <c r="BM17" s="231">
        <f t="shared" si="7"/>
        <v>0.94583226316054403</v>
      </c>
      <c r="BN17" s="61">
        <f t="shared" si="8"/>
        <v>5484.8812940679945</v>
      </c>
      <c r="BO17" s="61">
        <f>INDEX('Dist Plant Depreciation'!$E$7:$AD$94,MATCH($C17,'Dist Plant Depreciation'!$D$7:$D$94,0),MATCH(Calculation!$G17,'Dist Plant Depreciation'!$E$5:$AD$5,0))</f>
        <v>1051228</v>
      </c>
      <c r="BP17" s="61">
        <f>INDEX('Gen. Plant Depreciation'!$E$7:$AD$94,MATCH($C17,'Gen. Plant Depreciation'!$D$7:$D$94,0),MATCH(Calculation!$G17,'Gen. Plant Depreciation'!$E$5:$AD$5,0))</f>
        <v>66744</v>
      </c>
      <c r="BQ17" s="66">
        <v>1943</v>
      </c>
      <c r="BR17" s="66"/>
      <c r="BS17" s="64">
        <v>21.79563110533881</v>
      </c>
      <c r="BT17" s="104"/>
      <c r="BU17" s="61"/>
      <c r="BV17" s="61"/>
      <c r="BW17" s="61">
        <f>INDEX('Gross Dx Plant'!$E$7:$AD$91,MATCH($C17,'Gross Dx Plant'!$D$7:$D$91,0),MATCH(Calculation!$G17,'Gross Dx Plant'!$E$5:$AD$5,0))</f>
        <v>2931312</v>
      </c>
      <c r="BX17" s="61">
        <f>INDEX('Gross Gen Plant'!$E$7:$AD$91,MATCH($C17,'Gross Gen Plant'!$D$7:$D$91,0),MATCH(Calculation!$G17,'Gross Gen Plant'!$E$5:$AD$5,0))</f>
        <v>167876</v>
      </c>
      <c r="BY17" s="61">
        <f t="shared" si="46"/>
        <v>1981216</v>
      </c>
      <c r="BZ17" s="61"/>
      <c r="CA17" s="65">
        <v>2012</v>
      </c>
      <c r="CB17" s="61"/>
      <c r="CC17" s="61"/>
      <c r="CD17" s="61"/>
      <c r="CE17" s="66"/>
      <c r="CF17" s="77">
        <f t="shared" si="9"/>
        <v>75438</v>
      </c>
      <c r="CG17" s="61">
        <f t="shared" si="10"/>
        <v>112.7759320238308</v>
      </c>
      <c r="CH17" s="67">
        <v>0.9135802469135802</v>
      </c>
      <c r="CI17" s="61">
        <f>+CI3*CH17+CG4*CH16+CG5*CH15+CG6*CH14+CG7*CH13+CG8*CH12+CG9*CH11+CG10*CH10+CG11*CH9+CG12*CH8+CG13*CH7+CG14*CH6+CG15*CH5+CG16*CH4+CG17</f>
        <v>8785.1872294407331</v>
      </c>
      <c r="CJ17" s="68">
        <f t="shared" si="11"/>
        <v>5.4267459774272036E-3</v>
      </c>
      <c r="CK17" s="61">
        <f t="shared" si="35"/>
        <v>205657.43422883598</v>
      </c>
      <c r="CL17" s="69">
        <f t="shared" si="12"/>
        <v>7.465410409241844E-3</v>
      </c>
      <c r="CM17" s="69">
        <f t="shared" si="23"/>
        <v>7.2539993494407469E-3</v>
      </c>
      <c r="CN17" s="96">
        <f>VLOOKUP($H17,RoR!$E:$F,2,FALSE)</f>
        <v>3.6733333333333333E-2</v>
      </c>
      <c r="CO17" s="69">
        <v>1.924331376386168E-2</v>
      </c>
      <c r="CP17" s="69">
        <f t="shared" si="19"/>
        <v>1.7490019569471653E-2</v>
      </c>
      <c r="CQ17" s="69">
        <f t="shared" si="24"/>
        <v>2.3647942259092877E-2</v>
      </c>
      <c r="CR17" s="69">
        <f t="shared" si="25"/>
        <v>6.7122682943869583E-2</v>
      </c>
      <c r="CS17" s="119">
        <f t="shared" si="13"/>
        <v>0.87050000000000005</v>
      </c>
      <c r="CT17" s="71">
        <f t="shared" si="14"/>
        <v>1.3960631020522127</v>
      </c>
      <c r="CU17" s="71">
        <f t="shared" si="15"/>
        <v>0.29441923774954631</v>
      </c>
      <c r="CV17" s="71">
        <f t="shared" si="16"/>
        <v>0.76377954189366437</v>
      </c>
      <c r="CW17" s="71">
        <f t="shared" si="17"/>
        <v>0.31393465103033691</v>
      </c>
      <c r="CX17" s="72">
        <f>INDEX('State Tax Lookup'!$D$7:$Z$91,MATCH(Calculation!$C17,'State Tax Lookup'!$B$7:$B$91,0),MATCH($H17,'State Tax Lookup'!$D$6:$Z$6,0))</f>
        <v>0.35</v>
      </c>
      <c r="CY17" s="72">
        <v>0.37</v>
      </c>
      <c r="CZ17" s="70">
        <f t="shared" si="21"/>
        <v>21.094816887492978</v>
      </c>
      <c r="DA17" s="70">
        <v>20.759737328210988</v>
      </c>
      <c r="DB17" s="69">
        <f t="shared" si="27"/>
        <v>7.8117790927910435E-2</v>
      </c>
      <c r="DC17" s="111">
        <f>VLOOKUP($H17,RoR!$E:$F,2,FALSE)</f>
        <v>3.6733333333333333E-2</v>
      </c>
      <c r="DD17" s="216">
        <f>HLOOKUP($H17,'GDP-PI'!$D$8:$CQ$11,3,FALSE)</f>
        <v>1.924331376386168E-2</v>
      </c>
      <c r="DE17" s="111">
        <f>VLOOKUP(H17,'HW Dx Data'!$E:$F,2,FALSE)</f>
        <v>668.91932211262167</v>
      </c>
      <c r="DF17" s="72">
        <f t="shared" si="36"/>
        <v>124.80000000000001</v>
      </c>
      <c r="DG17" s="69">
        <f t="shared" si="28"/>
        <v>3.1955502161869064E-2</v>
      </c>
      <c r="DH17" s="66">
        <f>HLOOKUP(H17,'GDP-PI'!$8:$9,2,FALSE)</f>
        <v>100</v>
      </c>
      <c r="DI17" s="69">
        <f t="shared" si="28"/>
        <v>1.9060502738742411E-2</v>
      </c>
      <c r="DJ17">
        <v>32.524999999999999</v>
      </c>
      <c r="DK17">
        <v>0.34340120663650076</v>
      </c>
      <c r="DN17" s="33">
        <v>1.2856192326674205E-3</v>
      </c>
      <c r="DO17" s="33">
        <v>1.29E-2</v>
      </c>
      <c r="DP17" s="33">
        <f t="shared" si="0"/>
        <v>1.6584488101409723E-5</v>
      </c>
      <c r="DQ17" s="33">
        <v>3.7000000000000002E-3</v>
      </c>
      <c r="DR17" s="33">
        <f t="shared" si="1"/>
        <v>4.7567911608694556E-6</v>
      </c>
      <c r="DS17" s="33">
        <v>-4.0000000000000002E-4</v>
      </c>
      <c r="DT17" s="33">
        <f t="shared" si="2"/>
        <v>-5.1424769306696821E-7</v>
      </c>
      <c r="DU17" s="33">
        <v>-7.3000000000000001E-3</v>
      </c>
      <c r="DV17" s="33">
        <f t="shared" si="3"/>
        <v>-9.3850203984721696E-6</v>
      </c>
      <c r="DW17" s="33">
        <v>-1.49E-2</v>
      </c>
      <c r="DX17" s="33">
        <f t="shared" si="4"/>
        <v>-1.9155726566744566E-5</v>
      </c>
      <c r="EB17">
        <f t="shared" si="20"/>
        <v>2012</v>
      </c>
      <c r="EG17" s="42" t="s">
        <v>128</v>
      </c>
      <c r="EH17" s="31">
        <v>124.80000000000001</v>
      </c>
    </row>
    <row r="18" spans="1:138" ht="21">
      <c r="A18" t="s">
        <v>98</v>
      </c>
      <c r="B18" s="42" t="s">
        <v>98</v>
      </c>
      <c r="C18" s="42">
        <v>4054707</v>
      </c>
      <c r="D18" s="42" t="s">
        <v>99</v>
      </c>
      <c r="E18" s="42"/>
      <c r="F18" s="42"/>
      <c r="G18" s="42" t="s">
        <v>129</v>
      </c>
      <c r="H18" s="11">
        <v>2013</v>
      </c>
      <c r="I18" s="59"/>
      <c r="J18" s="60">
        <f>IFERROR(INDEX('Labor Expenditures'!$F$7:$X$91,MATCH($C18,'Labor Expenditures'!$D$7:$D$91,0),MATCH($G18,'Labor Expenditures'!$F$5:$X$5,0)),"NA")</f>
        <v>61019.268278164054</v>
      </c>
      <c r="K18" s="60">
        <f t="shared" si="37"/>
        <v>481.22451323473229</v>
      </c>
      <c r="L18" s="76">
        <f t="shared" si="38"/>
        <v>4.9716504165944676E-2</v>
      </c>
      <c r="M18" s="76">
        <f t="shared" si="47"/>
        <v>1.4854609714014474E-3</v>
      </c>
      <c r="N18" s="62">
        <f t="shared" si="56"/>
        <v>98.168447457777333</v>
      </c>
      <c r="O18" s="96">
        <f t="shared" si="57"/>
        <v>3.8348613238762749E-2</v>
      </c>
      <c r="P18" s="96">
        <f t="shared" ca="1" si="58"/>
        <v>3.8348613238762749E-2</v>
      </c>
      <c r="Q18" s="60">
        <f>IFERROR(INDEX('Non-Labor Expenditures'!$F$7:$AB$91,MATCH($C18,'Non-Labor Expenditures'!$D$7:$D$91,0),MATCH($G18,'Non-Labor Expenditures'!$F$5:$AB$5,0)),"NA")</f>
        <v>88367.297294023301</v>
      </c>
      <c r="R18" s="60">
        <f t="shared" si="39"/>
        <v>868.27839696209514</v>
      </c>
      <c r="S18" s="76">
        <f t="shared" si="48"/>
        <v>4.8040433217232455E-2</v>
      </c>
      <c r="T18" s="76">
        <f t="shared" si="49"/>
        <v>1.4353822697433119E-3</v>
      </c>
      <c r="U18" s="62">
        <f t="shared" si="59"/>
        <v>107.68097685495088</v>
      </c>
      <c r="V18" s="68">
        <f t="shared" si="40"/>
        <v>3.6672091087928946E-2</v>
      </c>
      <c r="W18" s="60">
        <f t="shared" si="5"/>
        <v>182004.28269564491</v>
      </c>
      <c r="X18" s="76">
        <f t="shared" si="60"/>
        <v>-1.2637434904400802E-2</v>
      </c>
      <c r="Y18" s="90">
        <v>8975.5753586078317</v>
      </c>
      <c r="Z18" s="78">
        <v>2.1440005315540047E-2</v>
      </c>
      <c r="AA18" s="76">
        <f t="shared" si="50"/>
        <v>6.4059795951401763E-4</v>
      </c>
      <c r="AB18" s="62">
        <f t="shared" si="61"/>
        <v>126.03047926146229</v>
      </c>
      <c r="AC18" s="68">
        <f t="shared" si="41"/>
        <v>3.1941440020389109E-2</v>
      </c>
      <c r="AD18" s="59">
        <f t="shared" si="29"/>
        <v>331390.84826783231</v>
      </c>
      <c r="AE18" s="78">
        <f t="shared" si="51"/>
        <v>2.1881873444670737E-2</v>
      </c>
      <c r="AF18" s="113">
        <f t="shared" si="42"/>
        <v>11091233.499672391</v>
      </c>
      <c r="AG18" s="68">
        <f t="shared" si="52"/>
        <v>3.6469129000752706E-2</v>
      </c>
      <c r="AH18" s="61">
        <f t="shared" si="43"/>
        <v>308.58293496541893</v>
      </c>
      <c r="AI18" s="90">
        <f t="shared" si="44"/>
        <v>429.59260352206428</v>
      </c>
      <c r="AJ18" s="65">
        <f t="shared" si="53"/>
        <v>218.24485738472498</v>
      </c>
      <c r="AK18" s="68">
        <f>+AV18/$AX$18</f>
        <v>4.2246287344955016E-2</v>
      </c>
      <c r="AL18" s="79">
        <f t="shared" si="30"/>
        <v>0.18413081893211447</v>
      </c>
      <c r="AM18" s="79">
        <f t="shared" si="31"/>
        <v>0.26665581670681582</v>
      </c>
      <c r="AN18" s="79">
        <f t="shared" si="32"/>
        <v>0.5492133643610696</v>
      </c>
      <c r="AO18" s="79">
        <f t="shared" si="54"/>
        <v>3.4330423063827803E-2</v>
      </c>
      <c r="AP18" s="62">
        <f t="shared" si="64"/>
        <v>113.48818722616414</v>
      </c>
      <c r="AQ18" s="78">
        <f t="shared" si="65"/>
        <v>3.4330423063827789E-2</v>
      </c>
      <c r="AR18" s="69">
        <f>+AD18/$AF$18</f>
        <v>2.9878628763664639E-2</v>
      </c>
      <c r="AS18" s="69">
        <f t="shared" si="66"/>
        <v>1.025745966023661E-3</v>
      </c>
      <c r="AT18" s="62">
        <f t="shared" si="62"/>
        <v>127.18573782145189</v>
      </c>
      <c r="AU18" s="78">
        <f t="shared" si="55"/>
        <v>-2.6444097310850019E-3</v>
      </c>
      <c r="AV18" s="77">
        <f>IFERROR(INDEX('Total Customers'!$F$7:$AB$91,MATCH($C18,'Total Customers'!$D$7:$D$91,0),MATCH($G18,'Total Customers'!$F$5:$AB$5,0)),"NA")</f>
        <v>1518436</v>
      </c>
      <c r="AW18" s="68">
        <f t="shared" si="6"/>
        <v>4.9104980970240304E-3</v>
      </c>
      <c r="AX18" s="132">
        <f t="shared" si="45"/>
        <v>35942472</v>
      </c>
      <c r="AY18" s="68">
        <f t="shared" si="63"/>
        <v>6.3937197935447802E-3</v>
      </c>
      <c r="AZ18" s="77">
        <f t="shared" si="33"/>
        <v>8337254</v>
      </c>
      <c r="BA18" s="77">
        <f t="shared" si="34"/>
        <v>3581622.6520847445</v>
      </c>
      <c r="BB18" s="65"/>
      <c r="BC18" s="145"/>
      <c r="BD18" s="145"/>
      <c r="BE18" s="145"/>
      <c r="BF18" s="108"/>
      <c r="BG18" s="108"/>
      <c r="BH18" s="62"/>
      <c r="BI18" s="61"/>
      <c r="BJ18" s="61"/>
      <c r="BK18" s="61">
        <f>INDEX('Dist. Plant Gas Additions'!$F$7:$AE$91,MATCH($C18,'Dist. Plant Gas Additions'!$D$7:$D$91,0),MATCH(Calculation!$G18,'Dist. Plant Gas Additions'!$F$5:$AE$5,0))</f>
        <v>143553</v>
      </c>
      <c r="BL18" s="61">
        <f>INDEX('Gen. Plant Additions'!$F$7:$AE$91,MATCH($C18,'Gen. Plant Additions'!$D$7:$D$91,0),MATCH(Calculation!$G18,'Gen. Plant Additions'!$F$5:$AE$5,0))</f>
        <v>27931</v>
      </c>
      <c r="BM18" s="231">
        <f t="shared" si="7"/>
        <v>0.94342546484479284</v>
      </c>
      <c r="BN18" s="61">
        <f t="shared" si="8"/>
        <v>26350.816658579908</v>
      </c>
      <c r="BO18" s="61">
        <f>INDEX('Dist Plant Depreciation'!$E$7:$AD$94,MATCH($C18,'Dist Plant Depreciation'!$D$7:$D$94,0),MATCH(Calculation!$G18,'Dist Plant Depreciation'!$E$5:$AD$5,0))</f>
        <v>1124693</v>
      </c>
      <c r="BP18" s="61">
        <f>INDEX('Gen. Plant Depreciation'!$E$7:$AD$94,MATCH($C18,'Gen. Plant Depreciation'!$D$7:$D$94,0),MATCH(Calculation!$G18,'Gen. Plant Depreciation'!$E$5:$AD$5,0))</f>
        <v>54299</v>
      </c>
      <c r="BQ18" s="66">
        <v>1944</v>
      </c>
      <c r="BR18" s="66"/>
      <c r="BS18" s="64">
        <v>21.993225304858008</v>
      </c>
      <c r="BT18" s="104"/>
      <c r="BU18" s="61"/>
      <c r="BV18" s="61"/>
      <c r="BW18" s="61">
        <f>INDEX('Gross Dx Plant'!$E$7:$AD$91,MATCH($C18,'Gross Dx Plant'!$D$7:$D$91,0),MATCH(Calculation!$G18,'Gross Dx Plant'!$E$5:$AD$5,0))</f>
        <v>3060459</v>
      </c>
      <c r="BX18" s="61">
        <f>INDEX('Gross Gen Plant'!$E$7:$AD$91,MATCH($C18,'Gross Gen Plant'!$D$7:$D$91,0),MATCH(Calculation!$G18,'Gross Gen Plant'!$E$5:$AD$5,0))</f>
        <v>183527</v>
      </c>
      <c r="BY18" s="61">
        <f t="shared" si="46"/>
        <v>2064994</v>
      </c>
      <c r="BZ18" s="61"/>
      <c r="CA18" s="65">
        <v>2013</v>
      </c>
      <c r="CB18" s="61"/>
      <c r="CC18" s="61"/>
      <c r="CD18" s="61"/>
      <c r="CE18" s="66"/>
      <c r="CF18" s="77">
        <f t="shared" si="9"/>
        <v>171484</v>
      </c>
      <c r="CG18" s="61">
        <f t="shared" si="10"/>
        <v>258.5516958367528</v>
      </c>
      <c r="CH18" s="67">
        <v>0.90566037735849059</v>
      </c>
      <c r="CI18" s="61">
        <f>+CI3*CH18+CG4*CH17+CG5*CH16+CG6*CH15+CG7*CH14+CG8*CH13+CG9*CH12+CG10*CH11+CG11*CH10+CG12*CH9+CG13*CH8+CG14*CH7+CG15*CH6+CG16*CH5+CG17*CH4+CG18</f>
        <v>8975.5753586078317</v>
      </c>
      <c r="CJ18" s="68">
        <f t="shared" si="11"/>
        <v>2.1440005315540047E-2</v>
      </c>
      <c r="CK18" s="61">
        <f t="shared" si="35"/>
        <v>212024.63256647289</v>
      </c>
      <c r="CL18" s="69">
        <f t="shared" si="12"/>
        <v>7.7589202016350696E-3</v>
      </c>
      <c r="CM18" s="69">
        <f t="shared" si="23"/>
        <v>7.4976829893479572E-3</v>
      </c>
      <c r="CN18" s="96">
        <f>VLOOKUP($H18,RoR!$E:$F,2,FALSE)</f>
        <v>4.2350000000000006E-2</v>
      </c>
      <c r="CO18" s="69">
        <v>1.7730000000000024E-2</v>
      </c>
      <c r="CP18" s="69">
        <f t="shared" si="19"/>
        <v>2.4619999999999982E-2</v>
      </c>
      <c r="CQ18" s="69">
        <f t="shared" si="24"/>
        <v>2.3404258619185669E-2</v>
      </c>
      <c r="CR18" s="69">
        <f t="shared" si="25"/>
        <v>5.3376742735721204E-2</v>
      </c>
      <c r="CS18" s="119">
        <f t="shared" si="13"/>
        <v>0.87050000000000005</v>
      </c>
      <c r="CT18" s="71">
        <f t="shared" si="14"/>
        <v>1.2109103018193925</v>
      </c>
      <c r="CU18" s="71">
        <f t="shared" si="15"/>
        <v>0.38468122786304604</v>
      </c>
      <c r="CV18" s="71">
        <f t="shared" si="16"/>
        <v>0.80969194503422559</v>
      </c>
      <c r="CW18" s="71">
        <f t="shared" si="17"/>
        <v>0.37716621754800816</v>
      </c>
      <c r="CX18" s="72">
        <f>INDEX('State Tax Lookup'!$D$7:$Z$91,MATCH(Calculation!$C18,'State Tax Lookup'!$B$7:$B$91,0),MATCH($H18,'State Tax Lookup'!$D$6:$Z$6,0))</f>
        <v>0.35</v>
      </c>
      <c r="CY18" s="72">
        <v>0.37</v>
      </c>
      <c r="CZ18" s="70">
        <f t="shared" si="21"/>
        <v>20.717177442242328</v>
      </c>
      <c r="DA18" s="70">
        <v>20.339519021246105</v>
      </c>
      <c r="DB18" s="69">
        <f t="shared" si="27"/>
        <v>-1.8064180881827999E-2</v>
      </c>
      <c r="DC18" s="111">
        <f>VLOOKUP($H18,RoR!$E:$F,2,FALSE)</f>
        <v>4.2350000000000006E-2</v>
      </c>
      <c r="DD18" s="216">
        <f>HLOOKUP($H18,'GDP-PI'!$D$8:$CQ$11,3,FALSE)</f>
        <v>1.7730000000000024E-2</v>
      </c>
      <c r="DE18" s="111">
        <f>VLOOKUP(H18,'HW Dx Data'!$E:$F,2,FALSE)</f>
        <v>663.24840548821396</v>
      </c>
      <c r="DF18" s="72">
        <f t="shared" si="36"/>
        <v>126.8</v>
      </c>
      <c r="DG18" s="69">
        <f t="shared" si="28"/>
        <v>1.5898586067798204E-2</v>
      </c>
      <c r="DH18" s="66">
        <f>HLOOKUP(H18,'GDP-PI'!$8:$9,2,FALSE)</f>
        <v>101.773</v>
      </c>
      <c r="DI18" s="69">
        <f t="shared" si="28"/>
        <v>1.7574657016510519E-2</v>
      </c>
      <c r="DJ18">
        <v>32.458333333333336</v>
      </c>
      <c r="DK18">
        <v>0.36717571644042235</v>
      </c>
      <c r="DN18" s="33">
        <v>3.7681794141276863E-2</v>
      </c>
      <c r="DO18" s="33">
        <v>2.0199999999999999E-2</v>
      </c>
      <c r="DP18" s="33">
        <f t="shared" si="0"/>
        <v>7.6117224165379263E-4</v>
      </c>
      <c r="DQ18" s="33">
        <v>1.24E-2</v>
      </c>
      <c r="DR18" s="33">
        <f t="shared" si="1"/>
        <v>4.6725424735183309E-4</v>
      </c>
      <c r="DS18" s="33">
        <v>8.6999999999999994E-3</v>
      </c>
      <c r="DT18" s="33">
        <f t="shared" si="2"/>
        <v>3.2783160902910867E-4</v>
      </c>
      <c r="DU18" s="33">
        <v>3.2000000000000002E-3</v>
      </c>
      <c r="DV18" s="33">
        <f t="shared" si="3"/>
        <v>1.2058174125208597E-4</v>
      </c>
      <c r="DW18" s="33">
        <v>-2.8999999999999998E-3</v>
      </c>
      <c r="DX18" s="33">
        <f t="shared" si="4"/>
        <v>-1.092772030097029E-4</v>
      </c>
      <c r="EB18">
        <f t="shared" si="20"/>
        <v>2013</v>
      </c>
      <c r="EG18" s="42" t="s">
        <v>129</v>
      </c>
      <c r="EH18" s="31">
        <v>126.8</v>
      </c>
    </row>
    <row r="19" spans="1:138" ht="21">
      <c r="A19" t="s">
        <v>98</v>
      </c>
      <c r="B19" s="42" t="s">
        <v>98</v>
      </c>
      <c r="C19" s="42">
        <v>4054707</v>
      </c>
      <c r="D19" s="42" t="s">
        <v>99</v>
      </c>
      <c r="E19" s="42"/>
      <c r="F19" s="42"/>
      <c r="G19" s="42" t="s">
        <v>130</v>
      </c>
      <c r="H19" s="11">
        <v>2014</v>
      </c>
      <c r="I19" s="59"/>
      <c r="J19" s="60">
        <f>IFERROR(INDEX('Labor Expenditures'!$F$7:$X$91,MATCH($C19,'Labor Expenditures'!$D$7:$D$91,0),MATCH($G19,'Labor Expenditures'!$F$5:$X$5,0)),"NA")</f>
        <v>58448.356257342151</v>
      </c>
      <c r="K19" s="60">
        <f t="shared" si="37"/>
        <v>451.68745175689452</v>
      </c>
      <c r="L19" s="76">
        <f t="shared" si="38"/>
        <v>-6.3343462450527951E-2</v>
      </c>
      <c r="M19" s="76">
        <f t="shared" si="47"/>
        <v>-1.8534790363489422E-3</v>
      </c>
      <c r="N19" s="62">
        <f t="shared" si="56"/>
        <v>97.143871599131202</v>
      </c>
      <c r="O19" s="96">
        <f t="shared" si="57"/>
        <v>-1.0491762753146162E-2</v>
      </c>
      <c r="P19" s="96">
        <f t="shared" ca="1" si="58"/>
        <v>-1.0491762753146162E-2</v>
      </c>
      <c r="Q19" s="60">
        <f>IFERROR(INDEX('Non-Labor Expenditures'!$F$7:$AB$91,MATCH($C19,'Non-Labor Expenditures'!$D$7:$D$91,0),MATCH($G19,'Non-Labor Expenditures'!$F$5:$AB$5,0)),"NA")</f>
        <v>84644.136507743504</v>
      </c>
      <c r="R19" s="60">
        <f t="shared" si="39"/>
        <v>816.65785317224334</v>
      </c>
      <c r="S19" s="76">
        <f t="shared" si="48"/>
        <v>-6.1292174285109212E-2</v>
      </c>
      <c r="T19" s="76">
        <f t="shared" si="49"/>
        <v>-1.7934567473071371E-3</v>
      </c>
      <c r="U19" s="62">
        <f t="shared" si="59"/>
        <v>106.77596697975878</v>
      </c>
      <c r="V19" s="68">
        <f t="shared" si="40"/>
        <v>-8.440064764002107E-3</v>
      </c>
      <c r="W19" s="60">
        <f t="shared" si="5"/>
        <v>190033.90452932377</v>
      </c>
      <c r="X19" s="76">
        <f t="shared" si="60"/>
        <v>4.317228303757701E-2</v>
      </c>
      <c r="Y19" s="90">
        <v>9187.5785019206905</v>
      </c>
      <c r="Z19" s="78">
        <v>2.3345369800932571E-2</v>
      </c>
      <c r="AA19" s="76">
        <f t="shared" si="50"/>
        <v>6.8310369922763121E-4</v>
      </c>
      <c r="AB19" s="62">
        <f t="shared" si="61"/>
        <v>130.70935718838209</v>
      </c>
      <c r="AC19" s="68">
        <f t="shared" si="41"/>
        <v>3.645243434046759E-2</v>
      </c>
      <c r="AD19" s="59">
        <f t="shared" si="29"/>
        <v>333126.39729440946</v>
      </c>
      <c r="AE19" s="78">
        <f t="shared" si="51"/>
        <v>5.2235001705783083E-3</v>
      </c>
      <c r="AF19" s="113">
        <f t="shared" si="42"/>
        <v>11384741.356376186</v>
      </c>
      <c r="AG19" s="68">
        <f t="shared" si="52"/>
        <v>2.6118959850882768E-2</v>
      </c>
      <c r="AH19" s="61">
        <f t="shared" si="43"/>
        <v>315.05636569109566</v>
      </c>
      <c r="AI19" s="90">
        <f t="shared" si="44"/>
        <v>446.43989716306857</v>
      </c>
      <c r="AJ19" s="65">
        <f t="shared" si="53"/>
        <v>217.37008732248123</v>
      </c>
      <c r="AK19" s="68">
        <f>+AV19/$AX$19</f>
        <v>4.2410594325757139E-2</v>
      </c>
      <c r="AL19" s="79">
        <f t="shared" si="30"/>
        <v>0.1754539920344014</v>
      </c>
      <c r="AM19" s="79">
        <f t="shared" si="31"/>
        <v>0.25409015075120861</v>
      </c>
      <c r="AN19" s="79">
        <f t="shared" si="32"/>
        <v>0.57045585721438996</v>
      </c>
      <c r="AO19" s="79">
        <f t="shared" si="54"/>
        <v>1.6323430282643825E-2</v>
      </c>
      <c r="AP19" s="62">
        <f t="shared" si="64"/>
        <v>115.35590605566743</v>
      </c>
      <c r="AQ19" s="78">
        <f t="shared" si="65"/>
        <v>1.6323430282643919E-2</v>
      </c>
      <c r="AR19" s="69">
        <f>+AD19/$AF$19</f>
        <v>2.9260778691984714E-2</v>
      </c>
      <c r="AS19" s="69">
        <f t="shared" si="66"/>
        <v>4.776362809944852E-4</v>
      </c>
      <c r="AT19" s="62">
        <f t="shared" si="62"/>
        <v>129.82859602744227</v>
      </c>
      <c r="AU19" s="78">
        <f t="shared" si="55"/>
        <v>2.0566567809030559E-2</v>
      </c>
      <c r="AV19" s="77">
        <f>IFERROR(INDEX('Total Customers'!$F$7:$AB$91,MATCH($C19,'Total Customers'!$D$7:$D$91,0),MATCH($G19,'Total Customers'!$F$5:$AB$5,0)),"NA")</f>
        <v>1532531</v>
      </c>
      <c r="AW19" s="68">
        <f t="shared" si="6"/>
        <v>9.2397592486168478E-3</v>
      </c>
      <c r="AX19" s="132">
        <f t="shared" si="45"/>
        <v>36135570</v>
      </c>
      <c r="AY19" s="68">
        <f t="shared" si="63"/>
        <v>5.358038498433095E-3</v>
      </c>
      <c r="AZ19" s="77">
        <f t="shared" si="33"/>
        <v>8397564</v>
      </c>
      <c r="BA19" s="77">
        <f t="shared" si="34"/>
        <v>3749007.6085802866</v>
      </c>
      <c r="BB19" s="65" t="s">
        <v>131</v>
      </c>
      <c r="BC19" s="145">
        <v>278.3</v>
      </c>
      <c r="BD19" s="145">
        <f>AVERAGE(BD15:BD17)</f>
        <v>392.7545641985102</v>
      </c>
      <c r="BE19" s="145">
        <f>AVERAGE(BE15:BE17)</f>
        <v>531.05497502001413</v>
      </c>
      <c r="BF19" s="79">
        <f>+BC19/BD19-1</f>
        <v>-0.29141498185279224</v>
      </c>
      <c r="BG19" s="79">
        <f>+BC19/BE19-1</f>
        <v>-0.47594879421003145</v>
      </c>
      <c r="BH19" s="62"/>
      <c r="BI19" s="61"/>
      <c r="BJ19" s="61"/>
      <c r="BK19" s="61">
        <f>INDEX('Dist. Plant Gas Additions'!$F$7:$AE$91,MATCH($C19,'Dist. Plant Gas Additions'!$D$7:$D$91,0),MATCH(Calculation!$G19,'Dist. Plant Gas Additions'!$F$5:$AE$5,0))</f>
        <v>176212</v>
      </c>
      <c r="BL19" s="61">
        <f>INDEX('Gen. Plant Additions'!$F$7:$AE$91,MATCH($C19,'Gen. Plant Additions'!$D$7:$D$91,0),MATCH(Calculation!$G19,'Gen. Plant Additions'!$F$5:$AE$5,0))</f>
        <v>18160</v>
      </c>
      <c r="BM19" s="231">
        <f t="shared" si="7"/>
        <v>0.9414946934394548</v>
      </c>
      <c r="BN19" s="61">
        <f t="shared" si="8"/>
        <v>17097.543632860499</v>
      </c>
      <c r="BO19" s="61">
        <f>INDEX('Dist Plant Depreciation'!$E$7:$AD$94,MATCH($C19,'Dist Plant Depreciation'!$D$7:$D$94,0),MATCH(Calculation!$G19,'Dist Plant Depreciation'!$E$5:$AD$5,0))</f>
        <v>1146445</v>
      </c>
      <c r="BP19" s="61">
        <f>INDEX('Gen. Plant Depreciation'!$E$7:$AD$94,MATCH($C19,'Gen. Plant Depreciation'!$D$7:$D$94,0),MATCH(Calculation!$G19,'Gen. Plant Depreciation'!$E$5:$AD$5,0))</f>
        <v>84242</v>
      </c>
      <c r="BQ19" s="66">
        <v>1945</v>
      </c>
      <c r="BR19" s="66"/>
      <c r="BS19" s="64">
        <v>22.288165665558065</v>
      </c>
      <c r="BT19" s="104"/>
      <c r="BU19" s="61"/>
      <c r="BV19" s="61"/>
      <c r="BW19" s="61">
        <f>INDEX('Gross Dx Plant'!$E$7:$AD$91,MATCH($C19,'Gross Dx Plant'!$D$7:$D$91,0),MATCH(Calculation!$G19,'Gross Dx Plant'!$E$5:$AD$5,0))</f>
        <v>3210431</v>
      </c>
      <c r="BX19" s="61">
        <f>INDEX('Gross Gen Plant'!$E$7:$AD$91,MATCH($C19,'Gross Gen Plant'!$D$7:$D$91,0),MATCH(Calculation!$G19,'Gross Gen Plant'!$E$5:$AD$5,0))</f>
        <v>199499</v>
      </c>
      <c r="BY19" s="61">
        <f t="shared" si="46"/>
        <v>2179243</v>
      </c>
      <c r="BZ19" s="61"/>
      <c r="CA19" s="65">
        <v>2014</v>
      </c>
      <c r="CB19" s="61"/>
      <c r="CC19" s="61"/>
      <c r="CD19" s="61"/>
      <c r="CE19" s="66"/>
      <c r="CF19" s="77">
        <f t="shared" si="9"/>
        <v>194372</v>
      </c>
      <c r="CG19" s="61">
        <f t="shared" si="10"/>
        <v>283.97481760908897</v>
      </c>
      <c r="CH19" s="67">
        <v>0.89743589743589747</v>
      </c>
      <c r="CI19" s="61">
        <f>+CI3*CH19+CG4*CH18+CG5*CH17+CG6*CH16+CG7*CH15+CG8*CH14+CG9*CH13+CG10*CH12+CG11*CH11+CG12*CH10+CG13*CH9+CG14*CH8+CG15*CH7+CG16*CH6+CG17*CH5+CG18*CH4+CG19</f>
        <v>9187.5785019206905</v>
      </c>
      <c r="CJ19" s="68">
        <f t="shared" si="11"/>
        <v>2.3345369800932571E-2</v>
      </c>
      <c r="CK19" s="61">
        <f t="shared" si="35"/>
        <v>219809.80060459775</v>
      </c>
      <c r="CL19" s="69">
        <f t="shared" si="12"/>
        <v>8.0186140075362723E-3</v>
      </c>
      <c r="CM19" s="69">
        <f t="shared" si="23"/>
        <v>7.7476482061377286E-3</v>
      </c>
      <c r="CN19" s="96">
        <f>VLOOKUP($H19,RoR!$E:$F,2,FALSE)</f>
        <v>4.1625000000000002E-2</v>
      </c>
      <c r="CO19" s="69">
        <v>1.841352814597208E-2</v>
      </c>
      <c r="CP19" s="69">
        <f t="shared" si="19"/>
        <v>2.3211471854027922E-2</v>
      </c>
      <c r="CQ19" s="69">
        <f t="shared" si="24"/>
        <v>2.3154293402395897E-2</v>
      </c>
      <c r="CR19" s="69">
        <f t="shared" si="25"/>
        <v>3.9072621432650924E-2</v>
      </c>
      <c r="CS19" s="119">
        <f t="shared" si="13"/>
        <v>0.87050000000000005</v>
      </c>
      <c r="CT19" s="71">
        <f t="shared" si="14"/>
        <v>1.2320012320012319</v>
      </c>
      <c r="CU19" s="71">
        <f t="shared" si="15"/>
        <v>0.37439939939939942</v>
      </c>
      <c r="CV19" s="71">
        <f t="shared" si="16"/>
        <v>0.80432100613819935</v>
      </c>
      <c r="CW19" s="71">
        <f t="shared" si="17"/>
        <v>0.37100152660040037</v>
      </c>
      <c r="CX19" s="72">
        <f>INDEX('State Tax Lookup'!$D$7:$Z$91,MATCH(Calculation!$C19,'State Tax Lookup'!$B$7:$B$91,0),MATCH($H19,'State Tax Lookup'!$D$6:$Z$6,0))</f>
        <v>0.35</v>
      </c>
      <c r="CY19" s="72">
        <v>0.37</v>
      </c>
      <c r="CZ19" s="70">
        <f t="shared" si="21"/>
        <v>21.172336807029964</v>
      </c>
      <c r="DA19" s="70">
        <v>20.763592984765573</v>
      </c>
      <c r="DB19" s="69">
        <f t="shared" si="27"/>
        <v>2.1732277722036994E-2</v>
      </c>
      <c r="DC19" s="111">
        <f>VLOOKUP($H19,RoR!$E:$F,2,FALSE)</f>
        <v>4.1625000000000002E-2</v>
      </c>
      <c r="DD19" s="216">
        <f>HLOOKUP($H19,'GDP-PI'!$D$8:$CQ$11,3,FALSE)</f>
        <v>1.841352814597208E-2</v>
      </c>
      <c r="DE19" s="111">
        <f>VLOOKUP(H19,'HW Dx Data'!$E:$F,2,FALSE)</f>
        <v>684.46914285042885</v>
      </c>
      <c r="DF19" s="72">
        <f t="shared" si="36"/>
        <v>129.4</v>
      </c>
      <c r="DG19" s="69">
        <f t="shared" si="28"/>
        <v>2.0297340063674733E-2</v>
      </c>
      <c r="DH19" s="66">
        <f>HLOOKUP(H19,'GDP-PI'!$8:$9,2,FALSE)</f>
        <v>103.64700000000001</v>
      </c>
      <c r="DI19" s="69">
        <f t="shared" si="28"/>
        <v>1.8246051898256087E-2</v>
      </c>
      <c r="DJ19">
        <v>32.508333333333333</v>
      </c>
      <c r="DK19">
        <v>0.39225741578682755</v>
      </c>
      <c r="DN19" s="33">
        <v>3.3310601358195048E-3</v>
      </c>
      <c r="DO19" s="33">
        <v>4.0099999999999997E-2</v>
      </c>
      <c r="DP19" s="33">
        <f t="shared" si="0"/>
        <v>1.3357551144636213E-4</v>
      </c>
      <c r="DQ19" s="33">
        <v>3.32E-2</v>
      </c>
      <c r="DR19" s="33">
        <f t="shared" si="1"/>
        <v>1.1059119650920756E-4</v>
      </c>
      <c r="DS19" s="33">
        <v>3.0499999999999999E-2</v>
      </c>
      <c r="DT19" s="33">
        <f t="shared" si="2"/>
        <v>1.0159733414249489E-4</v>
      </c>
      <c r="DU19" s="33">
        <v>2.53E-2</v>
      </c>
      <c r="DV19" s="33">
        <f t="shared" si="3"/>
        <v>8.4275821436233475E-5</v>
      </c>
      <c r="DW19" s="33">
        <v>2.01E-2</v>
      </c>
      <c r="DX19" s="33">
        <f t="shared" si="4"/>
        <v>6.6954308729972044E-5</v>
      </c>
      <c r="EB19">
        <f t="shared" si="20"/>
        <v>2014</v>
      </c>
      <c r="EG19" s="42" t="s">
        <v>130</v>
      </c>
      <c r="EH19" s="31">
        <v>129.4</v>
      </c>
    </row>
    <row r="20" spans="1:138" ht="21">
      <c r="A20" t="s">
        <v>98</v>
      </c>
      <c r="B20" s="42" t="s">
        <v>98</v>
      </c>
      <c r="C20" s="42">
        <v>4054707</v>
      </c>
      <c r="D20" s="42" t="s">
        <v>99</v>
      </c>
      <c r="E20" s="42"/>
      <c r="F20" s="42"/>
      <c r="G20" s="42" t="s">
        <v>132</v>
      </c>
      <c r="H20" s="11">
        <v>2015</v>
      </c>
      <c r="I20" s="59"/>
      <c r="J20" s="60">
        <f>IFERROR(INDEX('Labor Expenditures'!$F$7:$X$91,MATCH($C20,'Labor Expenditures'!$D$7:$D$91,0),MATCH($G20,'Labor Expenditures'!$F$5:$X$5,0)),"NA")</f>
        <v>59681.009160966263</v>
      </c>
      <c r="K20" s="60">
        <f t="shared" si="37"/>
        <v>447.0487577600469</v>
      </c>
      <c r="L20" s="76">
        <f t="shared" si="38"/>
        <v>-1.0322795808826279E-2</v>
      </c>
      <c r="M20" s="76">
        <f t="shared" si="47"/>
        <v>-3.0193202528624563E-4</v>
      </c>
      <c r="N20" s="62">
        <f t="shared" si="56"/>
        <v>95.046933171848877</v>
      </c>
      <c r="O20" s="96">
        <f t="shared" si="57"/>
        <v>-2.1822288998437554E-2</v>
      </c>
      <c r="P20" s="96">
        <f t="shared" ca="1" si="58"/>
        <v>-2.1822288998437554E-2</v>
      </c>
      <c r="Q20" s="60">
        <f>IFERROR(INDEX('Non-Labor Expenditures'!$F$7:$AB$91,MATCH($C20,'Non-Labor Expenditures'!$D$7:$D$91,0),MATCH($G20,'Non-Labor Expenditures'!$F$5:$AB$5,0)),"NA")</f>
        <v>86429.248139996111</v>
      </c>
      <c r="R20" s="60">
        <f t="shared" si="39"/>
        <v>825.97547893229216</v>
      </c>
      <c r="S20" s="76">
        <f t="shared" si="48"/>
        <v>1.1344863779235013E-2</v>
      </c>
      <c r="T20" s="76">
        <f t="shared" si="49"/>
        <v>3.3182654785559202E-4</v>
      </c>
      <c r="U20" s="62">
        <f t="shared" si="59"/>
        <v>106.75963409870926</v>
      </c>
      <c r="V20" s="68">
        <f t="shared" si="40"/>
        <v>-1.529757192606452E-4</v>
      </c>
      <c r="W20" s="60">
        <f t="shared" si="5"/>
        <v>190175.41012310554</v>
      </c>
      <c r="X20" s="76">
        <f t="shared" si="60"/>
        <v>7.4435630513026649E-4</v>
      </c>
      <c r="Y20" s="90">
        <v>9472.7151900669942</v>
      </c>
      <c r="Z20" s="78">
        <v>3.0563172070130352E-2</v>
      </c>
      <c r="AA20" s="76">
        <f t="shared" si="50"/>
        <v>8.9394390949942793E-4</v>
      </c>
      <c r="AB20" s="62">
        <f t="shared" si="61"/>
        <v>136.3724363589254</v>
      </c>
      <c r="AC20" s="68">
        <f t="shared" si="41"/>
        <v>4.2413434568915193E-2</v>
      </c>
      <c r="AD20" s="59">
        <f t="shared" si="29"/>
        <v>336285.66742406791</v>
      </c>
      <c r="AE20" s="78">
        <f t="shared" si="51"/>
        <v>9.4390099981028625E-3</v>
      </c>
      <c r="AF20" s="113">
        <f t="shared" si="42"/>
        <v>11497317.235435558</v>
      </c>
      <c r="AG20" s="68">
        <f t="shared" si="52"/>
        <v>9.8397429506615619E-3</v>
      </c>
      <c r="AH20" s="61">
        <f t="shared" si="43"/>
        <v>315.5845912296079</v>
      </c>
      <c r="AI20" s="90">
        <f t="shared" si="44"/>
        <v>445.61236166297488</v>
      </c>
      <c r="AJ20" s="65">
        <f t="shared" si="53"/>
        <v>216.9138528419428</v>
      </c>
      <c r="AK20" s="68">
        <f>+AV20/$AX$20</f>
        <v>4.2553995673231482E-2</v>
      </c>
      <c r="AL20" s="79">
        <f t="shared" si="30"/>
        <v>0.17747116497149562</v>
      </c>
      <c r="AM20" s="79">
        <f t="shared" si="31"/>
        <v>0.25701139392005612</v>
      </c>
      <c r="AN20" s="79">
        <f t="shared" si="32"/>
        <v>0.56551744110844826</v>
      </c>
      <c r="AO20" s="79">
        <f t="shared" si="54"/>
        <v>2.0200354131518765E-2</v>
      </c>
      <c r="AP20" s="62">
        <f t="shared" si="64"/>
        <v>117.7098312266159</v>
      </c>
      <c r="AQ20" s="78">
        <f t="shared" si="65"/>
        <v>2.0200354131518723E-2</v>
      </c>
      <c r="AR20" s="69">
        <f>+AD20/$AF$20</f>
        <v>2.9249055282880368E-2</v>
      </c>
      <c r="AS20" s="69">
        <f t="shared" si="66"/>
        <v>5.9084127472655199E-4</v>
      </c>
      <c r="AT20" s="62">
        <f t="shared" si="62"/>
        <v>129.19419514825276</v>
      </c>
      <c r="AU20" s="78">
        <f t="shared" si="55"/>
        <v>-4.8984272374271477E-3</v>
      </c>
      <c r="AV20" s="77">
        <f>IFERROR(INDEX('Total Customers'!$F$7:$AB$91,MATCH($C20,'Total Customers'!$D$7:$D$91,0),MATCH($G20,'Total Customers'!$F$5:$AB$5,0)),"NA")</f>
        <v>1550319</v>
      </c>
      <c r="AW20" s="68">
        <f t="shared" si="6"/>
        <v>1.1540099198895459E-2</v>
      </c>
      <c r="AX20" s="132">
        <f t="shared" si="45"/>
        <v>36431808</v>
      </c>
      <c r="AY20" s="68">
        <f t="shared" si="63"/>
        <v>8.1645404245792169E-3</v>
      </c>
      <c r="AZ20" s="77">
        <f t="shared" si="33"/>
        <v>8453535</v>
      </c>
      <c r="BA20" s="77">
        <f t="shared" si="34"/>
        <v>3766999.6957506165</v>
      </c>
      <c r="BB20" s="62"/>
      <c r="BC20" s="62"/>
      <c r="BD20" s="62"/>
      <c r="BE20" s="62"/>
      <c r="BF20" s="62"/>
      <c r="BG20" s="62"/>
      <c r="BH20" s="62"/>
      <c r="BI20" s="61"/>
      <c r="BJ20" s="61"/>
      <c r="BK20" s="61">
        <f>INDEX('Dist. Plant Gas Additions'!$F$7:$AE$91,MATCH($C20,'Dist. Plant Gas Additions'!$D$7:$D$91,0),MATCH(Calculation!$G20,'Dist. Plant Gas Additions'!$F$5:$AE$5,0))</f>
        <v>225205</v>
      </c>
      <c r="BL20" s="61">
        <f>INDEX('Gen. Plant Additions'!$F$7:$AE$91,MATCH($C20,'Gen. Plant Additions'!$D$7:$D$91,0),MATCH(Calculation!$G20,'Gen. Plant Additions'!$F$5:$AE$5,0))</f>
        <v>18844</v>
      </c>
      <c r="BM20" s="231">
        <f t="shared" si="7"/>
        <v>0.94227781046049486</v>
      </c>
      <c r="BN20" s="61">
        <f t="shared" si="8"/>
        <v>17756.283060317564</v>
      </c>
      <c r="BO20" s="61">
        <f>INDEX('Dist Plant Depreciation'!$E$7:$AD$94,MATCH($C20,'Dist Plant Depreciation'!$D$7:$D$94,0),MATCH(Calculation!$G20,'Dist Plant Depreciation'!$E$5:$AD$5,0))</f>
        <v>1170404</v>
      </c>
      <c r="BP20" s="61">
        <f>INDEX('Gen. Plant Depreciation'!$E$7:$AD$94,MATCH($C20,'Gen. Plant Depreciation'!$D$7:$D$94,0),MATCH(Calculation!$G20,'Gen. Plant Depreciation'!$E$5:$AD$5,0))</f>
        <v>115692</v>
      </c>
      <c r="BQ20" s="66">
        <v>1946</v>
      </c>
      <c r="BR20" s="66"/>
      <c r="BS20" s="64">
        <v>25.053649663958073</v>
      </c>
      <c r="BT20" s="104"/>
      <c r="BU20" s="61"/>
      <c r="BV20" s="61"/>
      <c r="BW20" s="61">
        <f>INDEX('Gross Dx Plant'!$E$7:$AD$91,MATCH($C20,'Gross Dx Plant'!$D$7:$D$91,0),MATCH(Calculation!$G20,'Gross Dx Plant'!$E$5:$AD$5,0))</f>
        <v>3411677</v>
      </c>
      <c r="BX20" s="61">
        <f>INDEX('Gross Gen Plant'!$E$7:$AD$91,MATCH($C20,'Gross Gen Plant'!$D$7:$D$91,0),MATCH(Calculation!$G20,'Gross Gen Plant'!$E$5:$AD$5,0))</f>
        <v>208993</v>
      </c>
      <c r="BY20" s="61">
        <f t="shared" si="46"/>
        <v>2334574</v>
      </c>
      <c r="BZ20" s="61"/>
      <c r="CA20" s="65">
        <v>2015</v>
      </c>
      <c r="CB20" s="61"/>
      <c r="CC20" s="61"/>
      <c r="CD20" s="61"/>
      <c r="CE20" s="66"/>
      <c r="CF20" s="77">
        <f t="shared" si="9"/>
        <v>244049</v>
      </c>
      <c r="CG20" s="61">
        <f t="shared" si="10"/>
        <v>361.22515417557128</v>
      </c>
      <c r="CH20" s="67">
        <v>0.88888888888888884</v>
      </c>
      <c r="CI20" s="61">
        <f>+CI3*CH20+CG4*CH19+CG5*CH18+CG6*CH17+CG7*CH16+CG8*CH15+CG9*CH14+CG10*CH13+CG11*CH12+CG12*CH11+CG13*CH10+CG14*CH9+CG15*CH8+CG16*CH7+CG17*CH6+CG18*CH5+CG19*CH4+CG20</f>
        <v>9472.7151900669942</v>
      </c>
      <c r="CJ20" s="68">
        <f t="shared" si="11"/>
        <v>3.0563172070130352E-2</v>
      </c>
      <c r="CK20" s="61">
        <f t="shared" si="35"/>
        <v>229206.96019845916</v>
      </c>
      <c r="CL20" s="69">
        <f>+(CI19-CI20+CG20)/CI19</f>
        <v>8.2816670370066629E-3</v>
      </c>
      <c r="CM20" s="69">
        <f t="shared" si="23"/>
        <v>8.0197337487260007E-3</v>
      </c>
      <c r="CN20" s="96">
        <f>VLOOKUP($H20,RoR!$E:$F,2,FALSE)</f>
        <v>3.8866666666666674E-2</v>
      </c>
      <c r="CO20" s="69">
        <v>9.5709475431029478E-3</v>
      </c>
      <c r="CP20" s="69">
        <f t="shared" si="19"/>
        <v>2.9295719123563727E-2</v>
      </c>
      <c r="CQ20" s="69">
        <f t="shared" si="24"/>
        <v>2.2882207859807623E-2</v>
      </c>
      <c r="CR20" s="69">
        <f t="shared" si="25"/>
        <v>3.5270373279175926E-3</v>
      </c>
      <c r="CS20" s="119">
        <f t="shared" si="13"/>
        <v>0.87050000000000005</v>
      </c>
      <c r="CT20" s="71">
        <f t="shared" si="14"/>
        <v>1.3194352816994324</v>
      </c>
      <c r="CU20" s="71">
        <f t="shared" si="15"/>
        <v>0.33177530017152673</v>
      </c>
      <c r="CV20" s="71">
        <f t="shared" si="16"/>
        <v>0.78242572977668579</v>
      </c>
      <c r="CW20" s="71">
        <f t="shared" si="17"/>
        <v>0.34251158643433932</v>
      </c>
      <c r="CX20" s="72">
        <f>INDEX('State Tax Lookup'!$D$7:$Z$91,MATCH(Calculation!$C20,'State Tax Lookup'!$B$7:$B$91,0),MATCH($H20,'State Tax Lookup'!$D$6:$Z$6,0))</f>
        <v>0.35</v>
      </c>
      <c r="CY20" s="72">
        <v>0.37</v>
      </c>
      <c r="CZ20" s="70">
        <f t="shared" si="21"/>
        <v>20.69918750444949</v>
      </c>
      <c r="DA20" s="70">
        <v>20.279488671080099</v>
      </c>
      <c r="DB20" s="69">
        <f t="shared" si="27"/>
        <v>-2.260101349580235E-2</v>
      </c>
      <c r="DC20" s="111">
        <f>VLOOKUP($H20,RoR!$E:$F,2,FALSE)</f>
        <v>3.8866666666666674E-2</v>
      </c>
      <c r="DD20" s="216">
        <f>HLOOKUP($H20,'GDP-PI'!$D$8:$CQ$11,3,FALSE)</f>
        <v>9.5709475431029478E-3</v>
      </c>
      <c r="DE20" s="111">
        <f>VLOOKUP(H20,'HW Dx Data'!$E:$F,2,FALSE)</f>
        <v>675.61463308665782</v>
      </c>
      <c r="DF20" s="72">
        <f t="shared" si="36"/>
        <v>133.5</v>
      </c>
      <c r="DG20" s="69">
        <f t="shared" si="28"/>
        <v>3.1193095773504077E-2</v>
      </c>
      <c r="DH20" s="66">
        <f>HLOOKUP(H20,'GDP-PI'!$8:$9,2,FALSE)</f>
        <v>104.639</v>
      </c>
      <c r="DI20" s="69">
        <f t="shared" si="28"/>
        <v>9.5254361854427965E-3</v>
      </c>
      <c r="DJ20">
        <v>32.85</v>
      </c>
      <c r="DK20">
        <v>0.42115384615384616</v>
      </c>
      <c r="DN20" s="33">
        <v>1.2225736679067095E-2</v>
      </c>
      <c r="DO20" s="33">
        <v>4.6100000000000002E-2</v>
      </c>
      <c r="DP20" s="33">
        <f t="shared" si="0"/>
        <v>5.6360646090499312E-4</v>
      </c>
      <c r="DQ20" s="33">
        <v>3.9300000000000002E-2</v>
      </c>
      <c r="DR20" s="33">
        <f t="shared" si="1"/>
        <v>4.8047145148733688E-4</v>
      </c>
      <c r="DS20" s="33">
        <v>3.6700000000000003E-2</v>
      </c>
      <c r="DT20" s="33">
        <f t="shared" si="2"/>
        <v>4.4868453612176241E-4</v>
      </c>
      <c r="DU20" s="33">
        <v>3.15E-2</v>
      </c>
      <c r="DV20" s="33">
        <f t="shared" si="3"/>
        <v>3.8511070539061352E-4</v>
      </c>
      <c r="DW20" s="33">
        <v>2.6200000000000001E-2</v>
      </c>
      <c r="DX20" s="33">
        <f t="shared" si="4"/>
        <v>3.2031430099155789E-4</v>
      </c>
      <c r="EB20">
        <f t="shared" si="20"/>
        <v>2015</v>
      </c>
      <c r="EG20" s="42" t="s">
        <v>132</v>
      </c>
      <c r="EH20" s="31">
        <v>133.5</v>
      </c>
    </row>
    <row r="21" spans="1:138" ht="21">
      <c r="A21" t="s">
        <v>98</v>
      </c>
      <c r="B21" s="42" t="s">
        <v>98</v>
      </c>
      <c r="C21" s="42">
        <v>4054707</v>
      </c>
      <c r="D21" s="42" t="s">
        <v>99</v>
      </c>
      <c r="E21" s="42"/>
      <c r="F21" s="42"/>
      <c r="G21" s="42" t="s">
        <v>133</v>
      </c>
      <c r="H21" s="11">
        <v>2016</v>
      </c>
      <c r="I21" s="59"/>
      <c r="J21" s="60">
        <f>IFERROR(INDEX('Labor Expenditures'!$F$7:$X$91,MATCH($C21,'Labor Expenditures'!$D$7:$D$91,0),MATCH($G21,'Labor Expenditures'!$F$5:$X$5,0)),"NA")</f>
        <v>65194.362989429668</v>
      </c>
      <c r="K21" s="60">
        <f t="shared" si="37"/>
        <v>476.04500174829991</v>
      </c>
      <c r="L21" s="76">
        <f t="shared" si="38"/>
        <v>6.2844724822689504E-2</v>
      </c>
      <c r="M21" s="76">
        <f t="shared" si="47"/>
        <v>1.8607853983486481E-3</v>
      </c>
      <c r="N21" s="62">
        <f t="shared" si="56"/>
        <v>96.449151806142851</v>
      </c>
      <c r="O21" s="96">
        <f t="shared" si="57"/>
        <v>1.4645142188768593E-2</v>
      </c>
      <c r="P21" s="96">
        <f t="shared" ca="1" si="58"/>
        <v>1.4645142188768593E-2</v>
      </c>
      <c r="Q21" s="60">
        <f>IFERROR(INDEX('Non-Labor Expenditures'!$F$7:$AB$91,MATCH($C21,'Non-Labor Expenditures'!$D$7:$D$91,0),MATCH($G21,'Non-Labor Expenditures'!$F$5:$AB$5,0)),"NA")</f>
        <v>94413.614236062742</v>
      </c>
      <c r="R21" s="60">
        <f t="shared" si="39"/>
        <v>892.91834603221923</v>
      </c>
      <c r="S21" s="76">
        <f t="shared" si="48"/>
        <v>7.7930052324267265E-2</v>
      </c>
      <c r="T21" s="76">
        <f t="shared" si="49"/>
        <v>2.3074506868584099E-3</v>
      </c>
      <c r="U21" s="62">
        <f t="shared" si="59"/>
        <v>109.98175004606613</v>
      </c>
      <c r="V21" s="68">
        <f t="shared" si="40"/>
        <v>2.9734546151164484E-2</v>
      </c>
      <c r="W21" s="60">
        <f t="shared" si="5"/>
        <v>192675.31618403393</v>
      </c>
      <c r="X21" s="76">
        <f t="shared" si="60"/>
        <v>1.3059615247935343E-2</v>
      </c>
      <c r="Y21" s="90">
        <v>9728.9656815648304</v>
      </c>
      <c r="Z21" s="78">
        <v>2.6692007550684141E-2</v>
      </c>
      <c r="AA21" s="76">
        <f t="shared" si="50"/>
        <v>7.9033042221218709E-4</v>
      </c>
      <c r="AB21" s="62">
        <f t="shared" si="61"/>
        <v>142.49791823514673</v>
      </c>
      <c r="AC21" s="68">
        <f t="shared" si="41"/>
        <v>4.3937745217297895E-2</v>
      </c>
      <c r="AD21" s="59">
        <f t="shared" si="29"/>
        <v>352283.29340952635</v>
      </c>
      <c r="AE21" s="78">
        <f t="shared" si="51"/>
        <v>4.6474663319835609E-2</v>
      </c>
      <c r="AF21" s="113">
        <f t="shared" si="42"/>
        <v>11897743.100090871</v>
      </c>
      <c r="AG21" s="68">
        <f t="shared" si="52"/>
        <v>3.4235002396945352E-2</v>
      </c>
      <c r="AH21" s="61">
        <f t="shared" si="43"/>
        <v>323.75362639077525</v>
      </c>
      <c r="AI21" s="90">
        <f t="shared" si="44"/>
        <v>452.71902308701226</v>
      </c>
      <c r="AJ21" s="65">
        <f t="shared" si="53"/>
        <v>224.99662674880508</v>
      </c>
      <c r="AK21" s="68">
        <f>+AV21/$AX$21</f>
        <v>4.2605542069913897E-2</v>
      </c>
      <c r="AL21" s="79">
        <f t="shared" si="30"/>
        <v>0.18506231833606079</v>
      </c>
      <c r="AM21" s="79">
        <f t="shared" si="31"/>
        <v>0.26800480182381997</v>
      </c>
      <c r="AN21" s="79">
        <f t="shared" si="32"/>
        <v>0.54693287984011918</v>
      </c>
      <c r="AO21" s="79">
        <f t="shared" si="54"/>
        <v>3.4899515741211626E-2</v>
      </c>
      <c r="AP21" s="62">
        <f t="shared" si="64"/>
        <v>121.89037245864139</v>
      </c>
      <c r="AQ21" s="78">
        <f t="shared" si="65"/>
        <v>3.4899515741211605E-2</v>
      </c>
      <c r="AR21" s="69">
        <f>+AD21/$AF$21</f>
        <v>2.9609253658102245E-2</v>
      </c>
      <c r="AS21" s="69">
        <f t="shared" si="66"/>
        <v>1.0333486141264666E-3</v>
      </c>
      <c r="AT21" s="62">
        <f t="shared" si="62"/>
        <v>128.88794436192117</v>
      </c>
      <c r="AU21" s="78">
        <f t="shared" si="55"/>
        <v>-2.3732826351993402E-3</v>
      </c>
      <c r="AV21" s="77">
        <f>IFERROR(INDEX('Total Customers'!$F$7:$AB$91,MATCH($C21,'Total Customers'!$D$7:$D$91,0),MATCH($G21,'Total Customers'!$F$5:$AB$5,0)),"NA")</f>
        <v>1565727</v>
      </c>
      <c r="AW21" s="68">
        <f t="shared" si="6"/>
        <v>9.8895366620161285E-3</v>
      </c>
      <c r="AX21" s="132">
        <f t="shared" si="45"/>
        <v>36749374</v>
      </c>
      <c r="AY21" s="68">
        <f t="shared" si="63"/>
        <v>8.6789522848895982E-3</v>
      </c>
      <c r="AZ21" s="77">
        <f t="shared" si="33"/>
        <v>8550215</v>
      </c>
      <c r="BA21" s="77">
        <f t="shared" si="34"/>
        <v>3870844.9819839187</v>
      </c>
      <c r="BB21" s="62"/>
      <c r="BC21" s="96" t="s">
        <v>134</v>
      </c>
      <c r="BD21" s="62"/>
      <c r="BE21" s="70"/>
      <c r="BF21" s="62"/>
      <c r="BG21" s="62"/>
      <c r="BH21" s="62"/>
      <c r="BI21" s="61"/>
      <c r="BJ21" s="61"/>
      <c r="BK21" s="61">
        <f>INDEX('Dist. Plant Gas Additions'!$F$7:$AE$91,MATCH($C21,'Dist. Plant Gas Additions'!$D$7:$D$91,0),MATCH(Calculation!$G21,'Dist. Plant Gas Additions'!$F$5:$AE$5,0))</f>
        <v>197690</v>
      </c>
      <c r="BL21" s="61">
        <f>INDEX('Gen. Plant Additions'!$F$7:$AE$91,MATCH($C21,'Gen. Plant Additions'!$D$7:$D$91,0),MATCH(Calculation!$G21,'Gen. Plant Additions'!$F$5:$AE$5,0))</f>
        <v>28617</v>
      </c>
      <c r="BM21" s="231">
        <f t="shared" si="7"/>
        <v>0.93948949966925932</v>
      </c>
      <c r="BN21" s="61">
        <f t="shared" si="8"/>
        <v>26885.371012035193</v>
      </c>
      <c r="BO21" s="61">
        <f>INDEX('Dist Plant Depreciation'!$E$7:$AD$94,MATCH($C21,'Dist Plant Depreciation'!$D$7:$D$94,0),MATCH(Calculation!$G21,'Dist Plant Depreciation'!$E$5:$AD$5,0))</f>
        <v>1229893</v>
      </c>
      <c r="BP21" s="61">
        <f>INDEX('Gen. Plant Depreciation'!$E$7:$AD$94,MATCH($C21,'Gen. Plant Depreciation'!$D$7:$D$94,0),MATCH(Calculation!$G21,'Gen. Plant Depreciation'!$E$5:$AD$5,0))</f>
        <v>124397</v>
      </c>
      <c r="BQ21" s="66">
        <v>1947</v>
      </c>
      <c r="BR21" s="66"/>
      <c r="BS21" s="64">
        <v>29.240928528382653</v>
      </c>
      <c r="BT21" s="104"/>
      <c r="BU21" s="61"/>
      <c r="BV21" s="61"/>
      <c r="BW21" s="61">
        <f>INDEX('Gross Dx Plant'!$E$7:$AD$91,MATCH($C21,'Gross Dx Plant'!$D$7:$D$91,0),MATCH(Calculation!$G21,'Gross Dx Plant'!$E$5:$AD$5,0))</f>
        <v>3589050</v>
      </c>
      <c r="BX21" s="61">
        <f>INDEX('Gross Gen Plant'!$E$7:$AD$91,MATCH($C21,'Gross Gen Plant'!$D$7:$D$91,0),MATCH(Calculation!$G21,'Gross Gen Plant'!$E$5:$AD$5,0))</f>
        <v>231163</v>
      </c>
      <c r="BY21" s="61">
        <f t="shared" si="46"/>
        <v>2465923</v>
      </c>
      <c r="BZ21" s="61"/>
      <c r="CA21" s="65">
        <v>2016</v>
      </c>
      <c r="CB21" s="61"/>
      <c r="CC21" s="61"/>
      <c r="CD21" s="61"/>
      <c r="CE21" s="66"/>
      <c r="CF21" s="77">
        <f t="shared" si="9"/>
        <v>226307</v>
      </c>
      <c r="CG21" s="61">
        <f t="shared" si="10"/>
        <v>337.03901261424647</v>
      </c>
      <c r="CH21" s="67">
        <v>0.88</v>
      </c>
      <c r="CI21" s="61">
        <f>+CI3*CH21+CG4*CH20+CG5*CH19+CG6*CH18+CG7*CH17+CG8*CH16+CG9*CH15+CG10*CH14+CG11*CH13+CG12*CH12+CG13*CH11+CG14*CH10+CG15*CH9+CG16*CH8+CG17*CH7+CG18*CH6+CG19*CH5+CG20*CH4+CG21</f>
        <v>9728.9656815648304</v>
      </c>
      <c r="CJ21" s="68">
        <f t="shared" si="11"/>
        <v>2.6692007550684141E-2</v>
      </c>
      <c r="CK21" s="61">
        <f t="shared" si="35"/>
        <v>239273.34355903603</v>
      </c>
      <c r="CL21" s="69">
        <f t="shared" si="12"/>
        <v>8.5285495758517411E-3</v>
      </c>
      <c r="CM21" s="69">
        <f t="shared" si="23"/>
        <v>8.2762768734648915E-3</v>
      </c>
      <c r="CN21" s="96">
        <f>VLOOKUP($H21,RoR!$E:$F,2,FALSE)</f>
        <v>3.6658333333333334E-2</v>
      </c>
      <c r="CO21" s="69">
        <v>1.0483662879041455E-2</v>
      </c>
      <c r="CP21" s="69">
        <f t="shared" si="19"/>
        <v>2.6174670454291879E-2</v>
      </c>
      <c r="CQ21" s="69">
        <f t="shared" si="24"/>
        <v>2.2625664735068732E-2</v>
      </c>
      <c r="CR21" s="69">
        <f t="shared" si="25"/>
        <v>4.301363574220729E-3</v>
      </c>
      <c r="CS21" s="119">
        <f t="shared" si="13"/>
        <v>0.87050000000000005</v>
      </c>
      <c r="CT21" s="71">
        <f t="shared" si="14"/>
        <v>1.3989193348138562</v>
      </c>
      <c r="CU21" s="71">
        <f t="shared" si="15"/>
        <v>0.29302682427824522</v>
      </c>
      <c r="CV21" s="71">
        <f t="shared" si="16"/>
        <v>0.76309497491941802</v>
      </c>
      <c r="CW21" s="71">
        <f t="shared" si="17"/>
        <v>0.31280857135128509</v>
      </c>
      <c r="CX21" s="72">
        <f>INDEX('State Tax Lookup'!$D$7:$Z$91,MATCH(Calculation!$C21,'State Tax Lookup'!$B$7:$B$91,0),MATCH($H21,'State Tax Lookup'!$D$6:$Z$6,0))</f>
        <v>0.35</v>
      </c>
      <c r="CY21" s="72">
        <v>0.37</v>
      </c>
      <c r="CZ21" s="70">
        <f t="shared" si="21"/>
        <v>20.340030531697138</v>
      </c>
      <c r="DA21" s="70">
        <v>19.909765876209278</v>
      </c>
      <c r="DB21" s="69">
        <f t="shared" si="27"/>
        <v>-1.7503556822194892E-2</v>
      </c>
      <c r="DC21" s="111">
        <f>VLOOKUP($H21,RoR!$E:$F,2,FALSE)</f>
        <v>3.6658333333333334E-2</v>
      </c>
      <c r="DD21" s="216">
        <f>HLOOKUP($H21,'GDP-PI'!$D$8:$CQ$11,3,FALSE)</f>
        <v>1.0483662879041455E-2</v>
      </c>
      <c r="DE21" s="111">
        <f>VLOOKUP(H21,'HW Dx Data'!$E:$F,2,FALSE)</f>
        <v>671.45639385971219</v>
      </c>
      <c r="DF21" s="72">
        <f t="shared" si="36"/>
        <v>136.94999999999999</v>
      </c>
      <c r="DG21" s="69">
        <f t="shared" si="28"/>
        <v>2.5514417868782811E-2</v>
      </c>
      <c r="DH21" s="66">
        <f>HLOOKUP(H21,'GDP-PI'!$8:$9,2,FALSE)</f>
        <v>105.736</v>
      </c>
      <c r="DI21" s="69">
        <f t="shared" si="28"/>
        <v>1.0429090367205095E-2</v>
      </c>
      <c r="DJ21">
        <v>33.25</v>
      </c>
      <c r="DK21">
        <v>0.45135746606334842</v>
      </c>
      <c r="DN21" s="33">
        <v>8.1954649143381481E-3</v>
      </c>
      <c r="DO21" s="33">
        <v>3.9E-2</v>
      </c>
      <c r="DP21" s="33">
        <f t="shared" si="0"/>
        <v>3.1962313165918778E-4</v>
      </c>
      <c r="DQ21" s="33">
        <v>3.2500000000000001E-2</v>
      </c>
      <c r="DR21" s="33">
        <f t="shared" si="1"/>
        <v>2.663526097159898E-4</v>
      </c>
      <c r="DS21" s="33">
        <v>2.98E-2</v>
      </c>
      <c r="DT21" s="33">
        <f t="shared" si="2"/>
        <v>2.4422485444727679E-4</v>
      </c>
      <c r="DU21" s="33">
        <v>2.5100000000000001E-2</v>
      </c>
      <c r="DV21" s="33">
        <f t="shared" si="3"/>
        <v>2.0570616934988752E-4</v>
      </c>
      <c r="DW21" s="33">
        <v>2.0199999999999999E-2</v>
      </c>
      <c r="DX21" s="33">
        <f t="shared" si="4"/>
        <v>1.6554839126963058E-4</v>
      </c>
      <c r="EB21">
        <f t="shared" si="20"/>
        <v>2016</v>
      </c>
      <c r="EG21" s="42" t="s">
        <v>133</v>
      </c>
      <c r="EH21" s="31">
        <v>136.94999999999999</v>
      </c>
    </row>
    <row r="22" spans="1:138" ht="21">
      <c r="A22" t="s">
        <v>98</v>
      </c>
      <c r="B22" s="42" t="s">
        <v>98</v>
      </c>
      <c r="C22" s="42">
        <v>4054707</v>
      </c>
      <c r="D22" s="42" t="s">
        <v>99</v>
      </c>
      <c r="E22" s="42"/>
      <c r="F22" s="42"/>
      <c r="G22" s="42" t="s">
        <v>135</v>
      </c>
      <c r="H22" s="11">
        <v>2017</v>
      </c>
      <c r="I22" s="59"/>
      <c r="J22" s="60">
        <f>IFERROR(INDEX('Labor Expenditures'!$F$7:$X$91,MATCH($C22,'Labor Expenditures'!$D$7:$D$91,0),MATCH($G22,'Labor Expenditures'!$F$5:$X$5,0)),"NA")</f>
        <v>66250.575188707677</v>
      </c>
      <c r="K22" s="60">
        <f t="shared" si="37"/>
        <v>471.70220853476457</v>
      </c>
      <c r="L22" s="76">
        <f t="shared" si="38"/>
        <v>-9.1645188964525146E-3</v>
      </c>
      <c r="M22" s="76">
        <f t="shared" si="47"/>
        <v>-2.6548997340901322E-4</v>
      </c>
      <c r="N22" s="62">
        <f t="shared" si="56"/>
        <v>96.912150091068355</v>
      </c>
      <c r="O22" s="96">
        <f t="shared" si="57"/>
        <v>4.7889537901560329E-3</v>
      </c>
      <c r="P22" s="96">
        <f t="shared" ca="1" si="58"/>
        <v>4.7889537901560329E-3</v>
      </c>
      <c r="Q22" s="60">
        <f>IFERROR(INDEX('Non-Labor Expenditures'!$F$7:$AB$91,MATCH($C22,'Non-Labor Expenditures'!$D$7:$D$91,0),MATCH($G22,'Non-Labor Expenditures'!$F$5:$AB$5,0)),"NA")</f>
        <v>95943.206773844373</v>
      </c>
      <c r="R22" s="60">
        <f t="shared" si="39"/>
        <v>890.41592907578001</v>
      </c>
      <c r="S22" s="76">
        <f t="shared" si="48"/>
        <v>-2.8064492830319077E-3</v>
      </c>
      <c r="T22" s="76">
        <f t="shared" si="49"/>
        <v>-8.1300955777864064E-5</v>
      </c>
      <c r="U22" s="62">
        <f t="shared" si="59"/>
        <v>111.21455197175626</v>
      </c>
      <c r="V22" s="68">
        <f t="shared" si="40"/>
        <v>1.1146792954097384E-2</v>
      </c>
      <c r="W22" s="60">
        <f t="shared" si="5"/>
        <v>180825.36741163395</v>
      </c>
      <c r="X22" s="76">
        <f t="shared" si="60"/>
        <v>-6.3474728089014887E-2</v>
      </c>
      <c r="Y22" s="90">
        <v>9943.7170554596378</v>
      </c>
      <c r="Z22" s="78">
        <v>2.1833311458295358E-2</v>
      </c>
      <c r="AA22" s="76">
        <f t="shared" si="50"/>
        <v>6.3249640750234152E-4</v>
      </c>
      <c r="AB22" s="62">
        <f t="shared" si="61"/>
        <v>148.66970980447272</v>
      </c>
      <c r="AC22" s="68">
        <f t="shared" si="41"/>
        <v>4.2399741953437174E-2</v>
      </c>
      <c r="AD22" s="59">
        <f t="shared" si="29"/>
        <v>343019.149374186</v>
      </c>
      <c r="AE22" s="78">
        <f t="shared" si="51"/>
        <v>-2.6649388047230084E-2</v>
      </c>
      <c r="AF22" s="113">
        <f t="shared" si="42"/>
        <v>11840769.110484501</v>
      </c>
      <c r="AG22" s="68">
        <f t="shared" si="52"/>
        <v>-4.8001406741419251E-3</v>
      </c>
      <c r="AH22" s="61">
        <f t="shared" si="43"/>
        <v>319.78252286200649</v>
      </c>
      <c r="AI22" s="90">
        <f t="shared" si="44"/>
        <v>459.16941678763311</v>
      </c>
      <c r="AJ22" s="65">
        <f t="shared" si="53"/>
        <v>217.39820524932597</v>
      </c>
      <c r="AK22" s="68">
        <f>+AV22/$AX$22</f>
        <v>4.2612520487437903E-2</v>
      </c>
      <c r="AL22" s="79">
        <f t="shared" si="30"/>
        <v>0.19313958217661356</v>
      </c>
      <c r="AM22" s="79">
        <f t="shared" si="31"/>
        <v>0.27970218848972694</v>
      </c>
      <c r="AN22" s="79">
        <f t="shared" si="32"/>
        <v>0.52715822933365952</v>
      </c>
      <c r="AO22" s="79">
        <f t="shared" si="54"/>
        <v>2.6728776854445323E-2</v>
      </c>
      <c r="AP22" s="62">
        <f t="shared" si="64"/>
        <v>125.19228448054835</v>
      </c>
      <c r="AQ22" s="78">
        <f t="shared" si="65"/>
        <v>2.6728776854445361E-2</v>
      </c>
      <c r="AR22" s="69">
        <f>+AD22/$AF$22</f>
        <v>2.8969330131642972E-2</v>
      </c>
      <c r="AS22" s="69">
        <f t="shared" si="66"/>
        <v>7.7431476071144524E-4</v>
      </c>
      <c r="AT22" s="62">
        <f t="shared" si="62"/>
        <v>124.02231565318891</v>
      </c>
      <c r="AU22" s="78">
        <f t="shared" si="55"/>
        <v>-3.8481864152505055E-2</v>
      </c>
      <c r="AV22" s="77">
        <f>IFERROR(INDEX('Total Customers'!$F$7:$AB$91,MATCH($C22,'Total Customers'!$D$7:$D$91,0),MATCH($G22,'Total Customers'!$F$5:$AB$5,0)),"NA")</f>
        <v>1577838</v>
      </c>
      <c r="AW22" s="68">
        <f t="shared" si="6"/>
        <v>7.7053026871201817E-3</v>
      </c>
      <c r="AX22" s="132">
        <f t="shared" si="45"/>
        <v>37027568</v>
      </c>
      <c r="AY22" s="68">
        <f t="shared" si="63"/>
        <v>7.541524790036302E-3</v>
      </c>
      <c r="AZ22" s="77">
        <f t="shared" si="33"/>
        <v>8611899</v>
      </c>
      <c r="BA22" s="77">
        <f t="shared" si="34"/>
        <v>3954320.6412640009</v>
      </c>
      <c r="BB22" s="70"/>
      <c r="BG22" s="85"/>
      <c r="BH22" s="62"/>
      <c r="BI22" s="75"/>
      <c r="BJ22" s="61"/>
      <c r="BK22" s="61">
        <f>INDEX('Dist. Plant Gas Additions'!$F$7:$AE$91,MATCH($C22,'Dist. Plant Gas Additions'!$D$7:$D$91,0),MATCH(Calculation!$G22,'Dist. Plant Gas Additions'!$F$5:$AE$5,0))</f>
        <v>197431</v>
      </c>
      <c r="BL22" s="61">
        <f>INDEX('Gen. Plant Additions'!$F$7:$AE$91,MATCH($C22,'Gen. Plant Additions'!$D$7:$D$91,0),MATCH(Calculation!$G22,'Gen. Plant Additions'!$F$5:$AE$5,0))</f>
        <v>16543</v>
      </c>
      <c r="BM22" s="231">
        <f t="shared" si="7"/>
        <v>0.94403972497017463</v>
      </c>
      <c r="BN22" s="61">
        <f t="shared" si="8"/>
        <v>15617.2491701816</v>
      </c>
      <c r="BO22" s="61">
        <f>INDEX('Dist Plant Depreciation'!$E$7:$AD$94,MATCH($C22,'Dist Plant Depreciation'!$D$7:$D$94,0),MATCH(Calculation!$G22,'Dist Plant Depreciation'!$E$5:$AD$5,0))</f>
        <v>1293537</v>
      </c>
      <c r="BP22" s="61">
        <f>INDEX('Gen. Plant Depreciation'!$E$7:$AD$94,MATCH($C22,'Gen. Plant Depreciation'!$D$7:$D$94,0),MATCH(Calculation!$G22,'Gen. Plant Depreciation'!$E$5:$AD$5,0))</f>
        <v>109772</v>
      </c>
      <c r="BQ22" s="66">
        <v>1948</v>
      </c>
      <c r="BR22" s="66">
        <f t="shared" ref="BR22:BR72" si="67">+BR23-1</f>
        <v>1</v>
      </c>
      <c r="BS22" s="64">
        <v>32.0914639609503</v>
      </c>
      <c r="BT22" s="104">
        <f>+BR22/$BR$76</f>
        <v>7.5414781297134241E-4</v>
      </c>
      <c r="BU22" s="105">
        <f>+BT22*BS22</f>
        <v>2.4201707361199323E-2</v>
      </c>
      <c r="BV22" s="105"/>
      <c r="BW22" s="61">
        <f>INDEX('Gross Dx Plant'!$E$7:$AD$91,MATCH($C22,'Gross Dx Plant'!$D$7:$D$91,0),MATCH(Calculation!$G22,'Gross Dx Plant'!$E$5:$AD$5,0))</f>
        <v>3765040</v>
      </c>
      <c r="BX22" s="61">
        <f>INDEX('Gross Gen Plant'!$E$7:$AD$91,MATCH($C22,'Gross Gen Plant'!$D$7:$D$91,0),MATCH(Calculation!$G22,'Gross Gen Plant'!$E$5:$AD$5,0))</f>
        <v>223182</v>
      </c>
      <c r="BY22" s="61">
        <f t="shared" si="46"/>
        <v>2584913</v>
      </c>
      <c r="BZ22" s="61"/>
      <c r="CA22" s="65">
        <v>2017</v>
      </c>
      <c r="CB22" s="61"/>
      <c r="CC22" s="61"/>
      <c r="CD22" s="61"/>
      <c r="CE22" s="66"/>
      <c r="CF22" s="77">
        <f t="shared" si="9"/>
        <v>213974</v>
      </c>
      <c r="CG22" s="61">
        <f t="shared" si="10"/>
        <v>300.3444905144533</v>
      </c>
      <c r="CH22" s="67">
        <v>0.87074829931972786</v>
      </c>
      <c r="CI22" s="61">
        <f>+CI3*CH22+CG4*CH21+CG5*CH20+CG6*CH19+CG7*CH18+CG8*CH17+CG9*CH16+CG10*CH15+CG11*CH14+CG12*CH13+CG13*CH12+CG14*CH11+CG15*CH10+CG16*CH9+CG17*CH8+CG18*CH7+CG19*CH6+CG20*CH5+CG21*CH4+CG22</f>
        <v>9943.7170554596378</v>
      </c>
      <c r="CJ22" s="68">
        <f t="shared" si="11"/>
        <v>2.1833311458295358E-2</v>
      </c>
      <c r="CK22" s="61">
        <f t="shared" si="35"/>
        <v>249480.46401714918</v>
      </c>
      <c r="CL22" s="69">
        <f t="shared" si="12"/>
        <v>8.7977611825514179E-3</v>
      </c>
      <c r="CM22" s="69">
        <f t="shared" si="23"/>
        <v>8.5359925984699395E-3</v>
      </c>
      <c r="CN22" s="96">
        <f>VLOOKUP($H22,RoR!$E:$F,2,FALSE)</f>
        <v>3.7433333333333339E-2</v>
      </c>
      <c r="CO22" s="69">
        <v>1.9056896421275615E-2</v>
      </c>
      <c r="CP22" s="69">
        <f t="shared" si="19"/>
        <v>1.8376436912057724E-2</v>
      </c>
      <c r="CQ22" s="69">
        <f t="shared" si="24"/>
        <v>2.2365949010063686E-2</v>
      </c>
      <c r="CR22" s="69">
        <f t="shared" si="25"/>
        <v>1.3976271617800498E-2</v>
      </c>
      <c r="CS22" s="119">
        <f t="shared" si="13"/>
        <v>0.92230000000000001</v>
      </c>
      <c r="CT22" s="71">
        <f t="shared" si="14"/>
        <v>1.3699568463593395</v>
      </c>
      <c r="CU22" s="71">
        <f t="shared" si="15"/>
        <v>0.30714603739982199</v>
      </c>
      <c r="CV22" s="71">
        <f t="shared" si="16"/>
        <v>0.77007188472689425</v>
      </c>
      <c r="CW22" s="71">
        <f t="shared" si="17"/>
        <v>0.32402839633793828</v>
      </c>
      <c r="CX22" s="72">
        <f>INDEX('State Tax Lookup'!$D$7:$Z$91,MATCH(Calculation!$C22,'State Tax Lookup'!$B$7:$B$91,0),MATCH($H22,'State Tax Lookup'!$D$6:$Z$6,0))</f>
        <v>0.20999999999999996</v>
      </c>
      <c r="CY22" s="72">
        <v>0.37</v>
      </c>
      <c r="CZ22" s="70">
        <f t="shared" si="21"/>
        <v>18.586288957137072</v>
      </c>
      <c r="DA22" s="70">
        <v>18.231812616449311</v>
      </c>
      <c r="DB22" s="69">
        <f t="shared" si="27"/>
        <v>-9.0166735639699028E-2</v>
      </c>
      <c r="DC22" s="111">
        <f>VLOOKUP($H22,RoR!$E:$F,2,FALSE)</f>
        <v>3.7433333333333339E-2</v>
      </c>
      <c r="DD22" s="216">
        <f>HLOOKUP($H22,'GDP-PI'!$D$8:$CQ$11,3,FALSE)</f>
        <v>1.9056896421275615E-2</v>
      </c>
      <c r="DE22" s="111">
        <f>VLOOKUP(H22,'HW Dx Data'!$E:$F,2,FALSE)</f>
        <v>712.42858370229726</v>
      </c>
      <c r="DF22" s="72">
        <f t="shared" si="36"/>
        <v>140.44999999999999</v>
      </c>
      <c r="DG22" s="69">
        <f t="shared" si="28"/>
        <v>2.5235657841165486E-2</v>
      </c>
      <c r="DH22" s="66">
        <f>HLOOKUP(H22,'GDP-PI'!$8:$9,2,FALSE)</f>
        <v>107.751</v>
      </c>
      <c r="DI22" s="69">
        <f t="shared" si="28"/>
        <v>1.8877588227745139E-2</v>
      </c>
      <c r="DJ22">
        <v>34.299999999999997</v>
      </c>
      <c r="DK22">
        <v>0.49147812971342375</v>
      </c>
      <c r="DN22" s="33">
        <v>6.6641116146713324E-3</v>
      </c>
      <c r="DO22" s="33">
        <v>2.5899999999999999E-2</v>
      </c>
      <c r="DP22" s="33">
        <f t="shared" si="0"/>
        <v>1.7260049081998751E-4</v>
      </c>
      <c r="DQ22" s="33">
        <v>1.8599999999999998E-2</v>
      </c>
      <c r="DR22" s="33">
        <f t="shared" si="1"/>
        <v>1.2395247603288678E-4</v>
      </c>
      <c r="DS22" s="33">
        <v>1.52E-2</v>
      </c>
      <c r="DT22" s="33">
        <f t="shared" si="2"/>
        <v>1.0129449654300425E-4</v>
      </c>
      <c r="DU22" s="33">
        <v>1.0200000000000001E-2</v>
      </c>
      <c r="DV22" s="33">
        <f t="shared" si="3"/>
        <v>6.7973938469647596E-5</v>
      </c>
      <c r="DW22" s="33">
        <v>4.5999999999999999E-3</v>
      </c>
      <c r="DX22" s="33">
        <f t="shared" si="4"/>
        <v>3.0654913427488129E-5</v>
      </c>
      <c r="EB22">
        <f t="shared" si="20"/>
        <v>2017</v>
      </c>
      <c r="EG22" s="42" t="s">
        <v>135</v>
      </c>
      <c r="EH22" s="31">
        <v>140.44999999999999</v>
      </c>
    </row>
    <row r="23" spans="1:138" ht="73.900000000000006">
      <c r="A23" t="s">
        <v>98</v>
      </c>
      <c r="B23" s="42" t="s">
        <v>98</v>
      </c>
      <c r="C23" s="42">
        <v>4054707</v>
      </c>
      <c r="D23" s="42" t="s">
        <v>99</v>
      </c>
      <c r="E23" s="42"/>
      <c r="F23" s="42"/>
      <c r="G23" s="42" t="s">
        <v>136</v>
      </c>
      <c r="H23" s="11">
        <v>2018</v>
      </c>
      <c r="I23" s="59"/>
      <c r="J23" s="60">
        <f>IFERROR(INDEX('Labor Expenditures'!$F$7:$X$91,MATCH($C23,'Labor Expenditures'!$D$7:$D$91,0),MATCH($G23,'Labor Expenditures'!$F$5:$X$5,0)),"NA")</f>
        <v>68571.037389188976</v>
      </c>
      <c r="K23" s="60">
        <f t="shared" si="37"/>
        <v>474.70430868251287</v>
      </c>
      <c r="L23" s="76">
        <f t="shared" si="38"/>
        <v>6.3442298050224531E-3</v>
      </c>
      <c r="M23" s="76">
        <f t="shared" si="47"/>
        <v>1.7800403665609472E-4</v>
      </c>
      <c r="N23" s="62">
        <f t="shared" si="56"/>
        <v>102.59061950495577</v>
      </c>
      <c r="O23" s="96">
        <f t="shared" si="57"/>
        <v>5.6941601756916593E-2</v>
      </c>
      <c r="P23" s="96">
        <f t="shared" ca="1" si="58"/>
        <v>5.6941601756916593E-2</v>
      </c>
      <c r="Q23" s="60">
        <f>IFERROR(INDEX('Non-Labor Expenditures'!$F$7:$AB$91,MATCH($C23,'Non-Labor Expenditures'!$D$7:$D$91,0),MATCH($G23,'Non-Labor Expenditures'!$F$5:$AB$5,0)),"NA")</f>
        <v>99303.669442696992</v>
      </c>
      <c r="R23" s="60">
        <f t="shared" si="39"/>
        <v>900.12571783231806</v>
      </c>
      <c r="S23" s="76">
        <f t="shared" si="48"/>
        <v>1.084575045050494E-2</v>
      </c>
      <c r="T23" s="76">
        <f t="shared" si="49"/>
        <v>3.0430602611938401E-4</v>
      </c>
      <c r="U23" s="62">
        <f t="shared" si="59"/>
        <v>118.26256876793136</v>
      </c>
      <c r="V23" s="68">
        <f t="shared" si="40"/>
        <v>6.1446075205892577E-2</v>
      </c>
      <c r="W23" s="60">
        <f t="shared" si="5"/>
        <v>193242.84057080868</v>
      </c>
      <c r="X23" s="76">
        <f t="shared" si="60"/>
        <v>6.6415894685887572E-2</v>
      </c>
      <c r="Y23" s="90">
        <v>10165.957532128436</v>
      </c>
      <c r="Z23" s="78">
        <v>2.2103741566056496E-2</v>
      </c>
      <c r="AA23" s="76">
        <f t="shared" si="50"/>
        <v>6.2017854725980256E-4</v>
      </c>
      <c r="AB23" s="62">
        <f t="shared" si="61"/>
        <v>154.84415689248473</v>
      </c>
      <c r="AC23" s="68">
        <f t="shared" si="41"/>
        <v>4.0692039043399242E-2</v>
      </c>
      <c r="AD23" s="59">
        <f t="shared" si="29"/>
        <v>361117.54740269465</v>
      </c>
      <c r="AE23" s="78">
        <f t="shared" si="51"/>
        <v>5.1417246718604155E-2</v>
      </c>
      <c r="AF23" s="113">
        <f t="shared" si="42"/>
        <v>12870566.029775154</v>
      </c>
      <c r="AG23" s="68">
        <f t="shared" si="52"/>
        <v>8.3394415196505936E-2</v>
      </c>
      <c r="AH23" s="61">
        <f t="shared" si="43"/>
        <v>344.54996337745291</v>
      </c>
      <c r="AI23" s="90">
        <f t="shared" si="44"/>
        <v>519.45630104689644</v>
      </c>
      <c r="AJ23" s="65">
        <f t="shared" si="53"/>
        <v>226.39619189056688</v>
      </c>
      <c r="AK23" s="68">
        <f>+AV23/$AX$23</f>
        <v>4.2700605728069246E-2</v>
      </c>
      <c r="AL23" s="79">
        <f t="shared" si="30"/>
        <v>0.18988564217490944</v>
      </c>
      <c r="AM23" s="79">
        <f t="shared" si="31"/>
        <v>0.27498987561510002</v>
      </c>
      <c r="AN23" s="79">
        <f t="shared" si="32"/>
        <v>0.53512448220999054</v>
      </c>
      <c r="AO23" s="79">
        <f t="shared" si="54"/>
        <v>4.9560084824118625E-2</v>
      </c>
      <c r="AP23" s="62">
        <f t="shared" si="64"/>
        <v>131.55314520737167</v>
      </c>
      <c r="AQ23" s="78">
        <f t="shared" si="65"/>
        <v>4.9560084824118597E-2</v>
      </c>
      <c r="AR23" s="69">
        <f>+AD23/$AF$23</f>
        <v>2.8057627501950923E-2</v>
      </c>
      <c r="AS23" s="69">
        <f t="shared" si="66"/>
        <v>1.3905383989602105E-3</v>
      </c>
      <c r="AT23" s="62">
        <f t="shared" si="62"/>
        <v>128.51673357624918</v>
      </c>
      <c r="AU23" s="78">
        <f t="shared" si="55"/>
        <v>3.5597603881977455E-2</v>
      </c>
      <c r="AV23" s="77">
        <f>IFERROR(INDEX('Total Customers'!$F$7:$AB$91,MATCH($C23,'Total Customers'!$D$7:$D$91,0),MATCH($G23,'Total Customers'!$F$5:$AB$5,0)),"NA")</f>
        <v>1595069</v>
      </c>
      <c r="AW23" s="68">
        <f t="shared" si="6"/>
        <v>1.0861439932538904E-2</v>
      </c>
      <c r="AX23" s="132">
        <f t="shared" si="45"/>
        <v>37354716</v>
      </c>
      <c r="AY23" s="68">
        <f t="shared" si="63"/>
        <v>8.7964523781095504E-3</v>
      </c>
      <c r="AZ23" s="77">
        <f t="shared" si="33"/>
        <v>8695098</v>
      </c>
      <c r="BA23" s="77">
        <f t="shared" si="34"/>
        <v>4516723.4443202671</v>
      </c>
      <c r="BB23" s="16"/>
      <c r="BC23" s="146" t="s">
        <v>137</v>
      </c>
      <c r="BD23" s="146" t="s">
        <v>138</v>
      </c>
      <c r="BE23" s="146" t="s">
        <v>139</v>
      </c>
      <c r="BG23" s="62"/>
      <c r="BH23" s="62"/>
      <c r="BI23" s="61"/>
      <c r="BJ23" s="61"/>
      <c r="BK23" s="61">
        <f>INDEX('Dist. Plant Gas Additions'!$F$7:$AE$91,MATCH($C23,'Dist. Plant Gas Additions'!$D$7:$D$91,0),MATCH(Calculation!$G23,'Dist. Plant Gas Additions'!$F$5:$AE$5,0))</f>
        <v>199177</v>
      </c>
      <c r="BL23" s="61">
        <f>INDEX('Gen. Plant Additions'!$F$7:$AE$91,MATCH($C23,'Gen. Plant Additions'!$D$7:$D$91,0),MATCH(Calculation!$G23,'Gen. Plant Additions'!$F$5:$AE$5,0))</f>
        <v>36949</v>
      </c>
      <c r="BM23" s="231">
        <f t="shared" si="7"/>
        <v>0.93866078013954612</v>
      </c>
      <c r="BN23" s="61">
        <f>+BM23*BL23</f>
        <v>34682.577165376089</v>
      </c>
      <c r="BO23" s="61">
        <f>INDEX('Dist Plant Depreciation'!$E$7:$AD$94,MATCH($C23,'Dist Plant Depreciation'!$D$7:$D$94,0),MATCH(Calculation!$G23,'Dist Plant Depreciation'!$E$5:$AD$5,0))</f>
        <v>1350329</v>
      </c>
      <c r="BP23" s="61">
        <f>INDEX('Gen. Plant Depreciation'!$E$7:$AD$94,MATCH($C23,'Gen. Plant Depreciation'!$D$7:$D$94,0),MATCH(Calculation!$G23,'Gen. Plant Depreciation'!$E$5:$AD$5,0))</f>
        <v>129940</v>
      </c>
      <c r="BQ23" s="66">
        <v>1949</v>
      </c>
      <c r="BR23" s="66">
        <f t="shared" si="67"/>
        <v>2</v>
      </c>
      <c r="BS23" s="64">
        <v>34.080917522592109</v>
      </c>
      <c r="BT23" s="104">
        <f>+BR23/$BR$76</f>
        <v>1.5082956259426848E-3</v>
      </c>
      <c r="BU23" s="105">
        <f t="shared" ref="BU23:BU74" si="68">+BT23*BS23</f>
        <v>5.1404098827439085E-2</v>
      </c>
      <c r="BV23" s="105"/>
      <c r="BW23" s="61">
        <f>INDEX('Gross Dx Plant'!$E$7:$AD$91,MATCH($C23,'Gross Dx Plant'!$D$7:$D$91,0),MATCH(Calculation!$G23,'Gross Dx Plant'!$E$5:$AD$5,0))</f>
        <v>3940130</v>
      </c>
      <c r="BX23" s="61">
        <f>INDEX('Gross Gen Plant'!$E$7:$AD$91,MATCH($C23,'Gross Gen Plant'!$D$7:$D$91,0),MATCH(Calculation!$G23,'Gross Gen Plant'!$E$5:$AD$5,0))</f>
        <v>257478</v>
      </c>
      <c r="BY23" s="61">
        <f t="shared" si="46"/>
        <v>2717339</v>
      </c>
      <c r="BZ23" s="61"/>
      <c r="CA23" s="65">
        <v>2018</v>
      </c>
      <c r="CB23" s="61"/>
      <c r="CC23" s="61"/>
      <c r="CD23" s="61"/>
      <c r="CE23" s="66"/>
      <c r="CF23" s="77">
        <f t="shared" si="9"/>
        <v>236126</v>
      </c>
      <c r="CG23" s="61">
        <f t="shared" si="10"/>
        <v>312.69304685553624</v>
      </c>
      <c r="CH23" s="67">
        <v>0.86111111111111116</v>
      </c>
      <c r="CI23" s="61">
        <f>+CI3*CH23++CG4*CH22+CG5*CH21+CG6*CH20+CG7*CH19+CG8*CH18+CG9*CH17+CG10*CH16+CG11*CH15+CG12*CH14+CG13*CH13+CG14*CH12+CG15*CH11+CG16*CH10+CG17*CH9+CG18*CH8+CG19*CH7+CG20*CH6+CG21*CH5+CG22*CH4+CG23</f>
        <v>10165.957532128436</v>
      </c>
      <c r="CJ23" s="68">
        <f t="shared" si="11"/>
        <v>2.2103741566056496E-2</v>
      </c>
      <c r="CK23" s="61">
        <f t="shared" si="35"/>
        <v>259802.43721721519</v>
      </c>
      <c r="CL23" s="69">
        <f t="shared" si="12"/>
        <v>9.0964545433314704E-3</v>
      </c>
      <c r="CM23" s="69">
        <f t="shared" si="23"/>
        <v>8.807588433911542E-3</v>
      </c>
      <c r="CN23" s="96">
        <f>VLOOKUP($H23,RoR!$E:$F,2,FALSE)</f>
        <v>3.9299999999999995E-2</v>
      </c>
      <c r="CO23" s="69">
        <v>2.386056741932796E-2</v>
      </c>
      <c r="CP23" s="69">
        <f t="shared" si="19"/>
        <v>1.5439432580672034E-2</v>
      </c>
      <c r="CQ23" s="69">
        <f t="shared" si="24"/>
        <v>2.2094353174622085E-2</v>
      </c>
      <c r="CR23" s="69">
        <f t="shared" si="25"/>
        <v>3.8270792163076606E-2</v>
      </c>
      <c r="CS23" s="119">
        <f t="shared" si="13"/>
        <v>0.92230000000000001</v>
      </c>
      <c r="CT23" s="71">
        <f t="shared" si="14"/>
        <v>1.3048868010700074</v>
      </c>
      <c r="CU23" s="71">
        <f t="shared" si="15"/>
        <v>0.33886768447837151</v>
      </c>
      <c r="CV23" s="71">
        <f t="shared" si="16"/>
        <v>0.78602506232557801</v>
      </c>
      <c r="CW23" s="71">
        <f t="shared" si="17"/>
        <v>0.34756768162358759</v>
      </c>
      <c r="CX23" s="72">
        <f>INDEX('State Tax Lookup'!$D$7:$Z$91,MATCH(Calculation!$C23,'State Tax Lookup'!$B$7:$B$91,0),MATCH($H23,'State Tax Lookup'!$D$6:$Z$6,0))</f>
        <v>0.20999999999999996</v>
      </c>
      <c r="CY23" s="72">
        <v>0.37</v>
      </c>
      <c r="CZ23" s="70">
        <f t="shared" si="21"/>
        <v>19.433662431566063</v>
      </c>
      <c r="DA23" s="70">
        <v>19.050901628905343</v>
      </c>
      <c r="DB23" s="69">
        <f t="shared" si="27"/>
        <v>4.45825832275921E-2</v>
      </c>
      <c r="DC23" s="111">
        <f>VLOOKUP($H23,RoR!$E:$F,2,FALSE)</f>
        <v>3.9299999999999995E-2</v>
      </c>
      <c r="DD23" s="216">
        <f>HLOOKUP($H23,'GDP-PI'!$D$8:$CQ$11,3,FALSE)</f>
        <v>2.386056741932796E-2</v>
      </c>
      <c r="DE23" s="111">
        <f>VLOOKUP(H23,'HW Dx Data'!$E:$F,2,FALSE)</f>
        <v>755.13671434174842</v>
      </c>
      <c r="DF23" s="72">
        <f t="shared" si="36"/>
        <v>144.44999999999999</v>
      </c>
      <c r="DG23" s="69">
        <f t="shared" si="28"/>
        <v>2.80818733619915E-2</v>
      </c>
      <c r="DH23" s="66">
        <f>HLOOKUP(H23,'GDP-PI'!$8:$9,2,FALSE)</f>
        <v>110.322</v>
      </c>
      <c r="DI23" s="69">
        <f t="shared" si="28"/>
        <v>2.3580352716508712E-2</v>
      </c>
      <c r="DJ23">
        <v>34.708333333333336</v>
      </c>
      <c r="DK23">
        <v>0.52350427350427353</v>
      </c>
      <c r="DN23" s="33">
        <v>1.7081629389229851E-2</v>
      </c>
      <c r="DO23" s="33">
        <v>3.1399999999999997E-2</v>
      </c>
      <c r="DP23" s="33">
        <f t="shared" si="0"/>
        <v>5.3636316282181721E-4</v>
      </c>
      <c r="DQ23" s="33">
        <v>2.47E-2</v>
      </c>
      <c r="DR23" s="33">
        <f t="shared" si="1"/>
        <v>4.2191624591397732E-4</v>
      </c>
      <c r="DS23" s="33">
        <v>2.1600000000000001E-2</v>
      </c>
      <c r="DT23" s="33">
        <f t="shared" si="2"/>
        <v>3.6896319480736478E-4</v>
      </c>
      <c r="DU23" s="33">
        <v>1.7100000000000001E-2</v>
      </c>
      <c r="DV23" s="33">
        <f t="shared" si="3"/>
        <v>2.9209586255583045E-4</v>
      </c>
      <c r="DW23" s="33">
        <v>1.21E-2</v>
      </c>
      <c r="DX23" s="33">
        <f t="shared" si="4"/>
        <v>2.0668771560968118E-4</v>
      </c>
      <c r="EB23">
        <f t="shared" si="20"/>
        <v>2018</v>
      </c>
      <c r="EG23" s="42" t="s">
        <v>136</v>
      </c>
      <c r="EH23" s="31">
        <v>144.44999999999999</v>
      </c>
    </row>
    <row r="24" spans="1:138" ht="21">
      <c r="A24" t="s">
        <v>98</v>
      </c>
      <c r="B24" s="42" t="s">
        <v>98</v>
      </c>
      <c r="C24" s="42">
        <v>4054707</v>
      </c>
      <c r="D24" s="42" t="s">
        <v>99</v>
      </c>
      <c r="E24" s="42"/>
      <c r="F24" s="42"/>
      <c r="G24" s="42" t="s">
        <v>140</v>
      </c>
      <c r="H24" s="11">
        <v>2019</v>
      </c>
      <c r="I24" s="59"/>
      <c r="J24" s="60">
        <f>IFERROR(INDEX('Labor Expenditures'!$F$7:$X$91,MATCH($C24,'Labor Expenditures'!$D$7:$D$91,0),MATCH($G24,'Labor Expenditures'!$F$5:$X$5,0)),"NA")</f>
        <v>71549.79422868455</v>
      </c>
      <c r="K24" s="60">
        <f t="shared" si="37"/>
        <v>478.03436932476728</v>
      </c>
      <c r="L24" s="76">
        <f t="shared" si="38"/>
        <v>6.9905301004253573E-3</v>
      </c>
      <c r="M24" s="76">
        <f t="shared" si="47"/>
        <v>1.9742409211368059E-4</v>
      </c>
      <c r="N24" s="62">
        <f t="shared" si="56"/>
        <v>101.48120486491753</v>
      </c>
      <c r="O24" s="96">
        <f t="shared" si="57"/>
        <v>-1.0872893139536349E-2</v>
      </c>
      <c r="P24" s="96">
        <f t="shared" ca="1" si="58"/>
        <v>-1.0872893139536349E-2</v>
      </c>
      <c r="Q24" s="60">
        <f>IFERROR(INDEX('Non-Labor Expenditures'!$F$7:$AB$91,MATCH($C24,'Non-Labor Expenditures'!$D$7:$D$91,0),MATCH($G24,'Non-Labor Expenditures'!$F$5:$AB$5,0)),"NA")</f>
        <v>103617.46570132086</v>
      </c>
      <c r="R24" s="60">
        <f t="shared" si="39"/>
        <v>922.53659877598307</v>
      </c>
      <c r="S24" s="76">
        <f t="shared" si="48"/>
        <v>2.4592608548195137E-2</v>
      </c>
      <c r="T24" s="76">
        <f t="shared" si="49"/>
        <v>6.9453579994443332E-4</v>
      </c>
      <c r="U24" s="62">
        <f t="shared" si="59"/>
        <v>119.06154611867478</v>
      </c>
      <c r="V24" s="68">
        <f t="shared" si="40"/>
        <v>6.7332421713314399E-3</v>
      </c>
      <c r="W24" s="60">
        <f t="shared" si="5"/>
        <v>199580.86428805016</v>
      </c>
      <c r="X24" s="76">
        <f t="shared" si="60"/>
        <v>3.2271849698956342E-2</v>
      </c>
      <c r="Y24" s="90">
        <v>10381.002715977118</v>
      </c>
      <c r="Z24" s="78">
        <v>2.0932832266337489E-2</v>
      </c>
      <c r="AA24" s="76">
        <f t="shared" si="50"/>
        <v>5.9117768555179754E-4</v>
      </c>
      <c r="AB24" s="62">
        <f t="shared" si="61"/>
        <v>161.56705304267399</v>
      </c>
      <c r="AC24" s="68">
        <f t="shared" si="41"/>
        <v>4.2501073891615733E-2</v>
      </c>
      <c r="AD24" s="59">
        <f t="shared" si="29"/>
        <v>374748.12421805557</v>
      </c>
      <c r="AE24" s="78">
        <f t="shared" si="51"/>
        <v>3.705061014262815E-2</v>
      </c>
      <c r="AF24" s="113">
        <f t="shared" si="42"/>
        <v>13269343.241633303</v>
      </c>
      <c r="AG24" s="68">
        <f t="shared" si="52"/>
        <v>3.0513353956586661E-2</v>
      </c>
      <c r="AH24" s="61">
        <f t="shared" si="43"/>
        <v>352.29577300965144</v>
      </c>
      <c r="AI24" s="90">
        <f t="shared" si="44"/>
        <v>491.34144121537219</v>
      </c>
      <c r="AJ24" s="65">
        <f t="shared" si="53"/>
        <v>232.67566508820332</v>
      </c>
      <c r="AK24" s="68">
        <f>+AV24/$AX$24</f>
        <v>4.2760867554950836E-2</v>
      </c>
      <c r="AL24" s="79">
        <f t="shared" si="30"/>
        <v>0.19092769144069605</v>
      </c>
      <c r="AM24" s="79">
        <f t="shared" si="31"/>
        <v>0.27649895757991499</v>
      </c>
      <c r="AN24" s="79">
        <f t="shared" si="32"/>
        <v>0.53257335097938896</v>
      </c>
      <c r="AO24" s="79">
        <f t="shared" si="54"/>
        <v>2.2475534844236898E-2</v>
      </c>
      <c r="AP24" s="62">
        <f t="shared" si="64"/>
        <v>134.54334985672924</v>
      </c>
      <c r="AQ24" s="78">
        <f t="shared" si="65"/>
        <v>2.2475534844237005E-2</v>
      </c>
      <c r="AR24" s="69">
        <f>+AD24/$AF$24</f>
        <v>2.8241648240906338E-2</v>
      </c>
      <c r="AS24" s="69">
        <f t="shared" si="66"/>
        <v>6.3474614909717509E-4</v>
      </c>
      <c r="AT24" s="62">
        <f t="shared" si="62"/>
        <v>130.73826577034919</v>
      </c>
      <c r="AU24" s="78">
        <f t="shared" si="55"/>
        <v>1.713823513505949E-2</v>
      </c>
      <c r="AV24" s="77">
        <f>IFERROR(INDEX('Total Customers'!$F$7:$AB$91,MATCH($C24,'Total Customers'!$D$7:$D$91,0),MATCH($G24,'Total Customers'!$F$5:$AB$5,0)),"NA")</f>
        <v>1610603</v>
      </c>
      <c r="AW24" s="68">
        <f t="shared" si="6"/>
        <v>9.6916475482504011E-3</v>
      </c>
      <c r="AX24" s="132">
        <f t="shared" si="45"/>
        <v>37665349</v>
      </c>
      <c r="AY24" s="68">
        <f t="shared" si="63"/>
        <v>8.2813784631454203E-3</v>
      </c>
      <c r="AZ24" s="77">
        <f t="shared" si="33"/>
        <v>8740437</v>
      </c>
      <c r="BA24" s="77">
        <f t="shared" si="34"/>
        <v>4294538.912432164</v>
      </c>
      <c r="BB24" s="142"/>
      <c r="BC24" s="143" t="s">
        <v>121</v>
      </c>
      <c r="BD24" s="147">
        <v>278.27999999999997</v>
      </c>
      <c r="BE24" s="148"/>
      <c r="BF24" s="59"/>
      <c r="BG24" s="108"/>
      <c r="BH24" s="62"/>
      <c r="BI24" s="61"/>
      <c r="BJ24" s="61"/>
      <c r="BK24" s="61">
        <f>INDEX('Dist. Plant Gas Additions'!$F$7:$AE$91,MATCH($C24,'Dist. Plant Gas Additions'!$D$7:$D$91,0),MATCH(Calculation!$G24,'Dist. Plant Gas Additions'!$F$5:$AE$5,0))</f>
        <v>210651</v>
      </c>
      <c r="BL24" s="61">
        <f>INDEX('Gen. Plant Additions'!$F$7:$AE$91,MATCH($C24,'Gen. Plant Additions'!$D$7:$D$91,0),MATCH(Calculation!$G24,'Gen. Plant Additions'!$F$5:$AE$5,0))</f>
        <v>29663</v>
      </c>
      <c r="BM24" s="231">
        <f t="shared" si="7"/>
        <v>0.93629327049770539</v>
      </c>
      <c r="BN24" s="61">
        <f t="shared" si="8"/>
        <v>27773.267282773435</v>
      </c>
      <c r="BO24" s="61">
        <f>INDEX('Dist Plant Depreciation'!$E$7:$AD$94,MATCH($C24,'Dist Plant Depreciation'!$D$7:$D$94,0),MATCH(Calculation!$G24,'Dist Plant Depreciation'!$E$5:$AD$5,0))</f>
        <v>1423907</v>
      </c>
      <c r="BP24" s="61">
        <f>INDEX('Gen. Plant Depreciation'!$E$7:$AD$94,MATCH($C24,'Gen. Plant Depreciation'!$D$7:$D$94,0),MATCH(Calculation!$G24,'Gen. Plant Depreciation'!$E$5:$AD$5,0))</f>
        <v>152868</v>
      </c>
      <c r="BQ24" s="66">
        <v>1950</v>
      </c>
      <c r="BR24" s="66">
        <f t="shared" si="67"/>
        <v>3</v>
      </c>
      <c r="BS24" s="64">
        <v>35.201593561861024</v>
      </c>
      <c r="BT24" s="104">
        <f>+BR24/$BR$76</f>
        <v>2.2624434389140274E-3</v>
      </c>
      <c r="BU24" s="105">
        <f t="shared" si="68"/>
        <v>7.964161439335074E-2</v>
      </c>
      <c r="BV24" s="105"/>
      <c r="BW24" s="61">
        <f>INDEX('Gross Dx Plant'!$E$7:$AD$91,MATCH($C24,'Gross Dx Plant'!$D$7:$D$91,0),MATCH(Calculation!$G24,'Gross Dx Plant'!$E$5:$AD$5,0))</f>
        <v>4142785</v>
      </c>
      <c r="BX24" s="61">
        <f>INDEX('Gross Gen Plant'!$E$7:$AD$91,MATCH($C24,'Gross Gen Plant'!$D$7:$D$91,0),MATCH(Calculation!$G24,'Gross Gen Plant'!$E$5:$AD$5,0))</f>
        <v>281881</v>
      </c>
      <c r="BY24" s="61">
        <f t="shared" si="46"/>
        <v>2847891</v>
      </c>
      <c r="BZ24" s="61"/>
      <c r="CA24" s="65">
        <v>2019</v>
      </c>
      <c r="CB24" s="61"/>
      <c r="CC24" s="61"/>
      <c r="CD24" s="61"/>
      <c r="CE24" s="66"/>
      <c r="CF24" s="77">
        <f t="shared" si="9"/>
        <v>240314</v>
      </c>
      <c r="CG24" s="61">
        <f t="shared" si="10"/>
        <v>310.66812072788895</v>
      </c>
      <c r="CH24" s="67">
        <v>0.85106382978723405</v>
      </c>
      <c r="CI24" s="61">
        <f>CI3*CH24+CG4*CH23+CG5*CH22+CG6*CH21+CG7*CH20+CG8*CH19+CG9*CH18+CG10*CH17+CG11*CH16+CG12*CH15+CG13*CH14+CG14*CH13+CG15*CH12+CG16*CH11+CG17*CH10+CG18*CH9+CG19*CH8+CG20*CH7+CG21*CH6+CG22*CH5+CG23*CH4+CG24</f>
        <v>10381.002715977118</v>
      </c>
      <c r="CJ24" s="68">
        <f t="shared" si="11"/>
        <v>2.0932832266337489E-2</v>
      </c>
      <c r="CK24" s="61">
        <f t="shared" si="35"/>
        <v>270917.39179780125</v>
      </c>
      <c r="CL24" s="69">
        <f t="shared" si="12"/>
        <v>9.4061908656415619E-3</v>
      </c>
      <c r="CM24" s="69">
        <f t="shared" si="23"/>
        <v>9.1001355305081518E-3</v>
      </c>
      <c r="CN24" s="96">
        <f>VLOOKUP($H24,RoR!$E:$F,2,FALSE)</f>
        <v>3.3875000000000009E-2</v>
      </c>
      <c r="CO24" s="69">
        <v>1.8092492884465461E-2</v>
      </c>
      <c r="CP24" s="69">
        <f t="shared" si="19"/>
        <v>1.5782507115534548E-2</v>
      </c>
      <c r="CQ24" s="69">
        <f t="shared" si="24"/>
        <v>2.1801806078025475E-2</v>
      </c>
      <c r="CR24" s="69">
        <f t="shared" si="25"/>
        <v>4.8445665544254078E-2</v>
      </c>
      <c r="CS24" s="119">
        <f t="shared" si="13"/>
        <v>0.92230000000000001</v>
      </c>
      <c r="CT24" s="71">
        <f t="shared" si="14"/>
        <v>1.513861292459078</v>
      </c>
      <c r="CU24" s="71">
        <f t="shared" si="15"/>
        <v>0.23699261992619944</v>
      </c>
      <c r="CV24" s="71">
        <f t="shared" si="16"/>
        <v>0.73619765810468829</v>
      </c>
      <c r="CW24" s="71">
        <f t="shared" si="17"/>
        <v>0.26412854465362851</v>
      </c>
      <c r="CX24" s="72">
        <f>INDEX('State Tax Lookup'!$D$7:$Z$91,MATCH(Calculation!$C24,'State Tax Lookup'!$B$7:$B$91,0),MATCH($H24,'State Tax Lookup'!$D$6:$Z$6,0))</f>
        <v>0.20999999999999996</v>
      </c>
      <c r="CY24" s="72">
        <v>0.37</v>
      </c>
      <c r="CZ24" s="70">
        <f t="shared" si="21"/>
        <v>19.632274053604483</v>
      </c>
      <c r="DA24" s="70">
        <v>19.236104090735289</v>
      </c>
      <c r="DB24" s="69">
        <f t="shared" si="27"/>
        <v>1.0168108132899794E-2</v>
      </c>
      <c r="DC24" s="111">
        <f>VLOOKUP($H24,RoR!$E:$F,2,FALSE)</f>
        <v>3.3875000000000009E-2</v>
      </c>
      <c r="DD24" s="216">
        <f>HLOOKUP($H24,'GDP-PI'!$D$8:$CQ$11,3,FALSE)</f>
        <v>1.8092492884465461E-2</v>
      </c>
      <c r="DE24" s="111">
        <f>VLOOKUP(H24,'HW Dx Data'!$E:$F,2,FALSE)</f>
        <v>773.53929793938721</v>
      </c>
      <c r="DF24" s="72">
        <f t="shared" si="36"/>
        <v>149.67500000000001</v>
      </c>
      <c r="DG24" s="69">
        <f t="shared" si="28"/>
        <v>3.5532849899171604E-2</v>
      </c>
      <c r="DH24" s="66">
        <f>HLOOKUP(H24,'GDP-PI'!$8:$9,2,FALSE)</f>
        <v>112.318</v>
      </c>
      <c r="DI24" s="69">
        <f t="shared" si="28"/>
        <v>1.7930771451401852E-2</v>
      </c>
      <c r="DJ24">
        <v>36.674999999999997</v>
      </c>
      <c r="DK24">
        <v>0.58082579185520355</v>
      </c>
      <c r="DN24" s="33">
        <v>1.0563420558705747E-2</v>
      </c>
      <c r="DO24" s="33">
        <v>1.8599999999999998E-2</v>
      </c>
      <c r="DP24" s="33">
        <f t="shared" si="0"/>
        <v>1.9647962239192687E-4</v>
      </c>
      <c r="DQ24" s="33">
        <v>1.04E-2</v>
      </c>
      <c r="DR24" s="33">
        <f t="shared" si="1"/>
        <v>1.0985957381053977E-4</v>
      </c>
      <c r="DS24" s="33">
        <v>6.7000000000000002E-3</v>
      </c>
      <c r="DT24" s="33">
        <f t="shared" si="2"/>
        <v>7.0774917743328514E-5</v>
      </c>
      <c r="DU24" s="33">
        <v>8.0000000000000004E-4</v>
      </c>
      <c r="DV24" s="33">
        <f t="shared" si="3"/>
        <v>8.4507364469645974E-6</v>
      </c>
      <c r="DW24" s="33">
        <v>-5.7000000000000002E-3</v>
      </c>
      <c r="DX24" s="33">
        <f t="shared" si="4"/>
        <v>-6.021149718462276E-5</v>
      </c>
      <c r="EB24">
        <f t="shared" si="20"/>
        <v>2019</v>
      </c>
      <c r="EG24" s="42" t="s">
        <v>140</v>
      </c>
      <c r="EH24" s="31">
        <v>149.67500000000001</v>
      </c>
    </row>
    <row r="25" spans="1:138" ht="21">
      <c r="A25" t="s">
        <v>98</v>
      </c>
      <c r="B25" t="s">
        <v>98</v>
      </c>
      <c r="C25">
        <v>4054707</v>
      </c>
      <c r="D25" t="s">
        <v>99</v>
      </c>
      <c r="E25"/>
      <c r="F25"/>
      <c r="G25" s="42" t="s">
        <v>141</v>
      </c>
      <c r="H25" s="11">
        <v>2020</v>
      </c>
      <c r="I25" s="59"/>
      <c r="J25" s="60">
        <f>IFERROR(INDEX('Labor Expenditures'!$F$7:$X$91,MATCH($C25,'Labor Expenditures'!$D$7:$D$91,0),MATCH($G25,'Labor Expenditures'!$F$5:$X$5,0)),"NA")</f>
        <v>77621.683353847358</v>
      </c>
      <c r="K25" s="60">
        <f t="shared" si="37"/>
        <v>506.83436731209503</v>
      </c>
      <c r="L25" s="76">
        <f t="shared" si="38"/>
        <v>5.850162626403161E-2</v>
      </c>
      <c r="M25" s="76">
        <f t="shared" si="47"/>
        <v>1.7162927082035636E-3</v>
      </c>
      <c r="N25" s="62">
        <f t="shared" si="56"/>
        <v>98.627853811082332</v>
      </c>
      <c r="O25" s="96">
        <f t="shared" si="57"/>
        <v>-2.8519892862455563E-2</v>
      </c>
      <c r="P25" s="96">
        <f t="shared" ca="1" si="58"/>
        <v>-2.8519892862455563E-2</v>
      </c>
      <c r="Q25" s="60">
        <f>IFERROR(INDEX('Non-Labor Expenditures'!$F$7:$AB$91,MATCH($C25,'Non-Labor Expenditures'!$D$7:$D$91,0),MATCH($G25,'Non-Labor Expenditures'!$F$5:$AB$5,0)),"NA")</f>
        <v>112410.69522701181</v>
      </c>
      <c r="R25" s="60">
        <f t="shared" si="39"/>
        <v>989.33046326018325</v>
      </c>
      <c r="S25" s="76">
        <f t="shared" si="48"/>
        <v>6.9901366000007167E-2</v>
      </c>
      <c r="T25" s="76">
        <f t="shared" si="49"/>
        <v>2.0507328158335721E-3</v>
      </c>
      <c r="U25" s="62">
        <f t="shared" si="59"/>
        <v>117.04154291948434</v>
      </c>
      <c r="V25" s="68">
        <f t="shared" si="40"/>
        <v>-1.7111614223202981E-2</v>
      </c>
      <c r="W25" s="60">
        <f t="shared" si="5"/>
        <v>211213.61168470461</v>
      </c>
      <c r="X25" s="76">
        <f t="shared" si="60"/>
        <v>5.6650510038878908E-2</v>
      </c>
      <c r="Y25" s="90">
        <v>10516.251718974165</v>
      </c>
      <c r="Z25" s="78">
        <v>1.294436950102886E-2</v>
      </c>
      <c r="AA25" s="76">
        <f t="shared" si="50"/>
        <v>3.797557163050634E-4</v>
      </c>
      <c r="AB25" s="62">
        <f t="shared" si="61"/>
        <v>167.29458783294723</v>
      </c>
      <c r="AC25" s="68">
        <f t="shared" si="41"/>
        <v>3.4836011783177363E-2</v>
      </c>
      <c r="AD25" s="59">
        <f t="shared" si="29"/>
        <v>401245.99026556377</v>
      </c>
      <c r="AE25" s="78">
        <f t="shared" si="51"/>
        <v>6.832054973861823E-2</v>
      </c>
      <c r="AF25" s="113">
        <f t="shared" si="42"/>
        <v>13676887.893456668</v>
      </c>
      <c r="AG25" s="68">
        <f t="shared" si="52"/>
        <v>3.0251037990520604E-2</v>
      </c>
      <c r="AH25" s="230">
        <f t="shared" si="43"/>
        <v>360.55175318920794</v>
      </c>
      <c r="AI25" s="90">
        <f t="shared" si="44"/>
        <v>486.1702455407621</v>
      </c>
      <c r="AJ25" s="65">
        <f t="shared" si="53"/>
        <v>237.54609047950973</v>
      </c>
      <c r="AK25" s="68">
        <f>+AV25/$AX$25</f>
        <v>4.452902056791018E-2</v>
      </c>
      <c r="AL25" s="79">
        <f t="shared" si="30"/>
        <v>0.19345161132320254</v>
      </c>
      <c r="AM25" s="79">
        <f t="shared" si="31"/>
        <v>0.28015406497299333</v>
      </c>
      <c r="AN25" s="79">
        <f t="shared" si="32"/>
        <v>0.52639432370380412</v>
      </c>
      <c r="AO25" s="79">
        <f t="shared" si="54"/>
        <v>8.2012610408953076E-3</v>
      </c>
      <c r="AP25" s="62">
        <f t="shared" si="64"/>
        <v>135.65131212392458</v>
      </c>
      <c r="AQ25" s="78">
        <f t="shared" si="65"/>
        <v>8.2012610408953857E-3</v>
      </c>
      <c r="AR25" s="69">
        <f>+AD25/$AF$25</f>
        <v>2.9337521327313716E-2</v>
      </c>
      <c r="AS25" s="69">
        <f t="shared" si="66"/>
        <v>2.4060467069813546E-4</v>
      </c>
      <c r="AT25" s="62">
        <f t="shared" si="62"/>
        <v>134.25426674226503</v>
      </c>
      <c r="AU25" s="78">
        <f t="shared" si="55"/>
        <v>2.6538161573826116E-2</v>
      </c>
      <c r="AV25" s="77">
        <v>1689129</v>
      </c>
      <c r="AW25" s="68">
        <f t="shared" si="6"/>
        <v>4.7604368425845561E-2</v>
      </c>
      <c r="AX25" s="132">
        <f t="shared" si="45"/>
        <v>37933217</v>
      </c>
      <c r="AY25" s="68">
        <f t="shared" si="63"/>
        <v>7.0866191041360155E-3</v>
      </c>
      <c r="AZ25" s="77">
        <f>+AV100+AV175+AV200+AV250+AV275+AV350+AV375+AV425+AV600+AV625+AV650+AV675+AV825+AV950+AV1025+AV1050+AV1100+AV1175+1383</f>
        <v>8837015</v>
      </c>
      <c r="BA25" s="77">
        <f t="shared" si="34"/>
        <v>4296293.7523973985</v>
      </c>
      <c r="BB25" s="142"/>
      <c r="BC25" s="59"/>
      <c r="BD25" s="147"/>
      <c r="BE25" s="79"/>
      <c r="BF25" s="108"/>
      <c r="BG25" s="108"/>
      <c r="BH25" s="62"/>
      <c r="BI25" s="61"/>
      <c r="BJ25" s="61"/>
      <c r="BK25" s="61">
        <f>INDEX('Dist. Plant Gas Additions'!$F$7:$AE$91,MATCH($C25,'Dist. Plant Gas Additions'!$D$7:$D$91,0),MATCH(Calculation!$G25,'Dist. Plant Gas Additions'!$F$5:$AE$5,0))</f>
        <v>163650</v>
      </c>
      <c r="BL25" s="61">
        <f>INDEX('Gen. Plant Additions'!$F$7:$AE$91,MATCH($C25,'Gen. Plant Additions'!$D$7:$D$91,0),MATCH(Calculation!$G25,'Gen. Plant Additions'!$F$5:$AE$5,0))</f>
        <v>28483</v>
      </c>
      <c r="BM25" s="231">
        <f t="shared" si="7"/>
        <v>0.94712995063849137</v>
      </c>
      <c r="BN25" s="61">
        <f t="shared" si="8"/>
        <v>26977.102384036149</v>
      </c>
      <c r="BO25" s="61">
        <f>INDEX('Dist Plant Depreciation'!$E$7:$AD$94,MATCH($C25,'Dist Plant Depreciation'!$D$7:$D$94,0),MATCH(Calculation!$G25,'Dist Plant Depreciation'!$E$5:$AD$5,0))</f>
        <v>1500077</v>
      </c>
      <c r="BP25" s="61">
        <f>INDEX('Gen. Plant Depreciation'!$E$7:$AD$94,MATCH($C25,'Gen. Plant Depreciation'!$D$7:$D$94,0),MATCH(Calculation!$G25,'Gen. Plant Depreciation'!$E$5:$AD$5,0))</f>
        <v>100168</v>
      </c>
      <c r="BQ25" s="66">
        <v>1951</v>
      </c>
      <c r="BR25" s="66">
        <f t="shared" si="67"/>
        <v>4</v>
      </c>
      <c r="BS25" s="64">
        <v>37.797283225965671</v>
      </c>
      <c r="BT25" s="104">
        <f>+BR25/$BR$76</f>
        <v>3.0165912518853697E-3</v>
      </c>
      <c r="BU25" s="105">
        <f t="shared" si="68"/>
        <v>0.11401895392448166</v>
      </c>
      <c r="BV25" s="105"/>
      <c r="BW25" s="61">
        <f>INDEX('Gross Dx Plant'!$E$7:$AD$91,MATCH($C25,'Gross Dx Plant'!$D$7:$D$91,0),MATCH(Calculation!$G25,'Gross Dx Plant'!$E$5:$AD$5,0))</f>
        <v>4298411</v>
      </c>
      <c r="BX25" s="61">
        <f>INDEX('Gross Gen Plant'!$E$7:$AD$91,MATCH($C25,'Gross Gen Plant'!$D$7:$D$91,0),MATCH(Calculation!$G25,'Gross Gen Plant'!$E$5:$AD$5,0))</f>
        <v>239943</v>
      </c>
      <c r="BY25" s="61">
        <f t="shared" si="46"/>
        <v>2938109</v>
      </c>
      <c r="BZ25" s="61"/>
      <c r="CA25" s="65">
        <v>2020</v>
      </c>
      <c r="CB25" s="61"/>
      <c r="CC25" s="61"/>
      <c r="CD25" s="77"/>
      <c r="CE25" s="66"/>
      <c r="CF25" s="77">
        <f t="shared" si="9"/>
        <v>192133</v>
      </c>
      <c r="CG25" s="61">
        <f t="shared" si="10"/>
        <v>236.30265362639182</v>
      </c>
      <c r="CH25" s="67">
        <v>0.84057971014492749</v>
      </c>
      <c r="CI25" s="61">
        <f>CI3*CH25+CG4*CH24+CG5*CH23+CG6*CH22+CG7*CH21+CG8*CH20+CG9*CH19+CG10*CH18+CG11*CH17+CG12*CH16+CG13*CH15+CG14*CH14+CG15*CH13+CG16*CH12+CG17*CH11+CG18*CH10+CG19*CH9+CG20*CH8+CG21*CH7+CG22*CH6+CG23*CH5+CG24*CH4+CG25</f>
        <v>10516.251718974165</v>
      </c>
      <c r="CJ25" s="68">
        <f t="shared" si="11"/>
        <v>1.294436950102886E-2</v>
      </c>
      <c r="CK25" s="61">
        <f t="shared" si="35"/>
        <v>280487.94913250534</v>
      </c>
      <c r="CL25" s="69">
        <f t="shared" si="12"/>
        <v>9.7344787776441032E-3</v>
      </c>
      <c r="CM25" s="69">
        <f t="shared" si="23"/>
        <v>9.4123747288723785E-3</v>
      </c>
      <c r="CN25" s="96">
        <f>VLOOKUP($H25,RoR!$E:$F,2,FALSE)</f>
        <v>2.4766666666666666E-2</v>
      </c>
      <c r="CO25" s="69">
        <v>1.1618796630994188E-2</v>
      </c>
      <c r="CP25" s="69">
        <f t="shared" si="19"/>
        <v>1.3147870035672478E-2</v>
      </c>
      <c r="CQ25" s="69">
        <f t="shared" si="24"/>
        <v>2.1489566879661248E-2</v>
      </c>
      <c r="CR25" s="69">
        <f t="shared" ref="CR25:CR26" si="69">+((DE23/DE22-1)+(DE24/DE23-1)+(DE25/DE24-1))/3</f>
        <v>4.5144642961987357E-2</v>
      </c>
      <c r="CS25" s="119">
        <f t="shared" si="13"/>
        <v>0.92230000000000001</v>
      </c>
      <c r="CT25" s="71">
        <f t="shared" ref="CT25:CT26" si="70">2/(DC25*39)</f>
        <v>2.0706077233668081</v>
      </c>
      <c r="CU25" s="71">
        <f t="shared" si="15"/>
        <v>-3.4421265141318998E-2</v>
      </c>
      <c r="CV25" s="71">
        <f t="shared" ref="CV25:CV26" si="71">+(1-(1/(1+DC25)^40))</f>
        <v>0.62416226176410472</v>
      </c>
      <c r="CW25" s="71">
        <f t="shared" ref="CW25:CW26" si="72">+CV25*CU25*CT25</f>
        <v>-4.4485877841158712E-2</v>
      </c>
      <c r="CX25" s="72">
        <f>INDEX('State Tax Lookup'!$D$7:$Z$91,MATCH(Calculation!$C25,'State Tax Lookup'!$B$7:$B$91,0),MATCH($H25,'State Tax Lookup'!$D$6:$Z$6,0))</f>
        <v>0.20999999999999996</v>
      </c>
      <c r="CY25" s="72">
        <v>0.37</v>
      </c>
      <c r="CZ25" s="70">
        <f t="shared" si="21"/>
        <v>20.346166691550085</v>
      </c>
      <c r="DA25" s="70">
        <v>19.952659173050833</v>
      </c>
      <c r="DB25" s="69">
        <f t="shared" si="27"/>
        <v>3.5717677772541437E-2</v>
      </c>
      <c r="DC25" s="111">
        <f>VLOOKUP($H25,RoR!$E:$F,2,FALSE)</f>
        <v>2.4766666666666666E-2</v>
      </c>
      <c r="DD25" s="216">
        <f>HLOOKUP($H25,'GDP-PI'!$D$8:$CQ$11,3,FALSE)</f>
        <v>1.1618796630994188E-2</v>
      </c>
      <c r="DE25" s="111">
        <f>VLOOKUP(H25,'HW Dx Data'!$E:$F,2,FALSE)</f>
        <v>813.080162458833</v>
      </c>
      <c r="DF25" s="72">
        <f t="shared" si="36"/>
        <v>153.15</v>
      </c>
      <c r="DG25" s="69">
        <f t="shared" si="28"/>
        <v>2.2951556467368479E-2</v>
      </c>
      <c r="DH25" s="66">
        <f>HLOOKUP(H25,'GDP-PI'!$8:$9,2,FALSE)</f>
        <v>113.623</v>
      </c>
      <c r="DI25" s="69">
        <f t="shared" si="28"/>
        <v>1.1551816731392881E-2</v>
      </c>
      <c r="DJ25">
        <v>38.741666666666667</v>
      </c>
      <c r="DK25">
        <v>0.64277275012569135</v>
      </c>
      <c r="DN25" s="33">
        <v>1.9340147467329368E-2</v>
      </c>
      <c r="DO25" s="33">
        <v>2.0500000000000001E-2</v>
      </c>
      <c r="DP25" s="33">
        <f t="shared" si="0"/>
        <v>3.9647302308025206E-4</v>
      </c>
      <c r="DQ25" s="33">
        <v>1.23E-2</v>
      </c>
      <c r="DR25" s="33">
        <f t="shared" si="1"/>
        <v>2.3788381384815124E-4</v>
      </c>
      <c r="DS25" s="33">
        <v>8.6E-3</v>
      </c>
      <c r="DT25" s="33">
        <f t="shared" si="2"/>
        <v>1.6632526821903256E-4</v>
      </c>
      <c r="DU25" s="33">
        <v>2.5000000000000001E-3</v>
      </c>
      <c r="DV25" s="33">
        <f t="shared" si="3"/>
        <v>4.8350368668323418E-5</v>
      </c>
      <c r="DW25" s="33">
        <v>-4.1000000000000003E-3</v>
      </c>
      <c r="DX25" s="33">
        <f t="shared" si="4"/>
        <v>-7.9294604616050412E-5</v>
      </c>
      <c r="EB25">
        <f t="shared" si="20"/>
        <v>2020</v>
      </c>
      <c r="EG25" s="42" t="s">
        <v>141</v>
      </c>
      <c r="EH25" s="31">
        <v>153.15</v>
      </c>
    </row>
    <row r="26" spans="1:138" s="160" customFormat="1" ht="21">
      <c r="A26" s="160" t="s">
        <v>98</v>
      </c>
      <c r="B26" s="160" t="s">
        <v>98</v>
      </c>
      <c r="C26" s="160">
        <v>4054707</v>
      </c>
      <c r="D26" s="160" t="s">
        <v>99</v>
      </c>
      <c r="G26" s="161" t="s">
        <v>142</v>
      </c>
      <c r="H26" s="162">
        <v>2021</v>
      </c>
      <c r="I26" s="163"/>
      <c r="J26" s="159">
        <v>82311.656882204843</v>
      </c>
      <c r="K26" s="159">
        <f t="shared" si="37"/>
        <v>523.44455886934713</v>
      </c>
      <c r="L26" s="164">
        <f t="shared" si="38"/>
        <v>3.2246861439989921E-2</v>
      </c>
      <c r="M26" s="76">
        <f t="shared" si="47"/>
        <v>9.0170010628271263E-4</v>
      </c>
      <c r="N26" s="166">
        <f>+N25*EXP(O26)</f>
        <v>103.49493523554925</v>
      </c>
      <c r="O26" s="114">
        <f t="shared" si="57"/>
        <v>4.8168961857884995E-2</v>
      </c>
      <c r="P26" s="96">
        <f t="shared" ca="1" si="58"/>
        <v>4.8168961857884995E-2</v>
      </c>
      <c r="Q26" s="159">
        <v>116029.68500262612</v>
      </c>
      <c r="R26" s="159">
        <f t="shared" si="39"/>
        <v>979.23609589523278</v>
      </c>
      <c r="S26" s="165">
        <f t="shared" si="48"/>
        <v>-1.0255640880861821E-2</v>
      </c>
      <c r="T26" s="76">
        <f t="shared" si="49"/>
        <v>-2.867724813926365E-4</v>
      </c>
      <c r="U26" s="166">
        <f t="shared" si="59"/>
        <v>117.15782813554046</v>
      </c>
      <c r="V26" s="114">
        <f t="shared" si="40"/>
        <v>9.9304473012344001E-4</v>
      </c>
      <c r="W26" s="159">
        <f t="shared" si="5"/>
        <v>230108.75957092879</v>
      </c>
      <c r="X26" s="165">
        <f t="shared" si="60"/>
        <v>8.5682065836145904E-2</v>
      </c>
      <c r="Y26" s="167">
        <v>10694.591646855077</v>
      </c>
      <c r="Z26" s="168">
        <v>1.6816316776473918E-2</v>
      </c>
      <c r="AA26" s="76">
        <f t="shared" si="50"/>
        <v>4.702248202619199E-4</v>
      </c>
      <c r="AB26" s="166">
        <f t="shared" si="61"/>
        <v>167.54151431390602</v>
      </c>
      <c r="AC26" s="114">
        <f t="shared" si="41"/>
        <v>1.4749098089385717E-3</v>
      </c>
      <c r="AD26" s="163">
        <f t="shared" si="29"/>
        <v>428450.10145575972</v>
      </c>
      <c r="AE26" s="168">
        <f t="shared" si="51"/>
        <v>6.5599600625633289E-2</v>
      </c>
      <c r="AF26" s="113">
        <f t="shared" si="42"/>
        <v>15322357.133294696</v>
      </c>
      <c r="AG26" s="114">
        <f t="shared" si="52"/>
        <v>0.11360561920732519</v>
      </c>
      <c r="AH26" s="230">
        <f t="shared" si="43"/>
        <v>396.8877313068017</v>
      </c>
      <c r="AI26" s="90">
        <f t="shared" si="44"/>
        <v>533.31690303216567</v>
      </c>
      <c r="AJ26" s="116">
        <f t="shared" si="53"/>
        <v>252.73922264981761</v>
      </c>
      <c r="AK26" s="68">
        <f>+AV26/$AX$25</f>
        <v>4.4689750410570238E-2</v>
      </c>
      <c r="AL26" s="115">
        <f t="shared" si="30"/>
        <v>0.1921149198063711</v>
      </c>
      <c r="AM26" s="115">
        <f t="shared" si="31"/>
        <v>0.27081259779934247</v>
      </c>
      <c r="AN26" s="115">
        <f t="shared" si="32"/>
        <v>0.53707248239428651</v>
      </c>
      <c r="AO26" s="79">
        <f t="shared" si="54"/>
        <v>1.0343995848195935E-2</v>
      </c>
      <c r="AP26" s="166">
        <f t="shared" si="64"/>
        <v>137.06177104759811</v>
      </c>
      <c r="AQ26" s="168">
        <f t="shared" si="65"/>
        <v>1.0343995848196041E-2</v>
      </c>
      <c r="AR26" s="69">
        <f>+AD26/$AF$26</f>
        <v>2.79624145115871E-2</v>
      </c>
      <c r="AS26" s="169">
        <f t="shared" si="66"/>
        <v>2.8924309961339371E-4</v>
      </c>
      <c r="AT26" s="166">
        <f t="shared" si="62"/>
        <v>141.89115123449312</v>
      </c>
      <c r="AU26" s="168">
        <f t="shared" si="55"/>
        <v>5.5324708107406209E-2</v>
      </c>
      <c r="AV26" s="113">
        <v>1695226</v>
      </c>
      <c r="AW26" s="68">
        <f t="shared" si="6"/>
        <v>3.6030538143515213E-3</v>
      </c>
      <c r="AX26" s="132">
        <f t="shared" si="45"/>
        <v>38606275.590439521</v>
      </c>
      <c r="AY26" s="68">
        <f t="shared" si="63"/>
        <v>1.7587677083692119E-2</v>
      </c>
      <c r="AZ26" s="77">
        <f t="shared" ref="AZ26:AZ27" si="73">+AV101+AV176+AV201+AV251+AV276+AV351+AV376+AV426+AV601+AV626+AV651+AV676+AV826+AV951+AV1026+AV1051+AV1101+AV1176+1383</f>
        <v>8921177</v>
      </c>
      <c r="BA26" s="77">
        <f t="shared" si="34"/>
        <v>4757814.4890417866</v>
      </c>
      <c r="BB26" s="171"/>
      <c r="BC26" s="172" t="s">
        <v>143</v>
      </c>
      <c r="BD26" s="173">
        <f>AVERAGE(BD29:BD35)</f>
        <v>401.31018440272288</v>
      </c>
      <c r="BE26" s="115">
        <f>+BD24/BD26-1</f>
        <v>-0.30657129867220023</v>
      </c>
      <c r="BF26" s="174"/>
      <c r="BG26" s="174"/>
      <c r="BH26" s="166"/>
      <c r="BI26" s="113"/>
      <c r="BJ26" s="113"/>
      <c r="BK26" s="113">
        <f>INDEX('Dist. Plant Gas Additions'!$E$7:$AE$91,MATCH($C26,'Dist. Plant Gas Additions'!$D$7:$D$91,0),MATCH(Calculation!$G26,'Dist. Plant Gas Additions'!$E$5:$AE$5,0))</f>
        <v>262371</v>
      </c>
      <c r="BL26" s="113">
        <f>INDEX('Gen. Plant Additions'!$E$7:$AE$91,MATCH($C26,'Gen. Plant Additions'!$D$7:$D$91,0),MATCH(Calculation!$G26,'Gen. Plant Additions'!$E$5:$AE$5,0))</f>
        <v>32191</v>
      </c>
      <c r="BM26" s="231">
        <v>0.94712995063849137</v>
      </c>
      <c r="BN26" s="61">
        <f t="shared" si="8"/>
        <v>30489.060241003677</v>
      </c>
      <c r="BO26" s="113"/>
      <c r="BP26" s="113"/>
      <c r="BQ26" s="175">
        <v>1952</v>
      </c>
      <c r="BR26" s="175">
        <f>+BR28-1</f>
        <v>5</v>
      </c>
      <c r="BS26" s="170">
        <v>38.739556897224304</v>
      </c>
      <c r="BT26" s="176">
        <f>+BR26/$BR$76</f>
        <v>3.770739064856712E-3</v>
      </c>
      <c r="BU26" s="177">
        <f t="shared" si="68"/>
        <v>0.14607676054760296</v>
      </c>
      <c r="BV26" s="177"/>
      <c r="BW26" s="113"/>
      <c r="BX26" s="113"/>
      <c r="BY26" s="113"/>
      <c r="BZ26" s="113"/>
      <c r="CA26" s="116">
        <v>2021</v>
      </c>
      <c r="CB26" s="113"/>
      <c r="CC26" s="113"/>
      <c r="CD26" s="113"/>
      <c r="CE26" s="175"/>
      <c r="CF26" s="113">
        <f t="shared" si="9"/>
        <v>294562</v>
      </c>
      <c r="CG26" s="113">
        <f t="shared" si="10"/>
        <v>315.70728492326492</v>
      </c>
      <c r="CH26" s="178">
        <f>+(51-23)/(51-23*0.75)</f>
        <v>0.82962962962962961</v>
      </c>
      <c r="CI26" s="113">
        <f>CI3*CH26+CG4*CH25+CG5*CH24+CG6*CH23+CG7*CH22+CG8*CH21+CG9*CH20+CG10*CH19+CG11*CH18+CG12*CH17+CG13*CH16+CG14*CH15+CG15*CH14+CG16*CH13+CG17*CH12+CG8*CH11+CG19*CH10+CG20*CH9+CG21*CH8+CG22*CH7+CG23*CH6+CG24*CH5+CG26+CG25*CH4</f>
        <v>10694.591646855077</v>
      </c>
      <c r="CJ26" s="114">
        <f t="shared" si="11"/>
        <v>1.6816316776473918E-2</v>
      </c>
      <c r="CK26" s="113">
        <f t="shared" si="35"/>
        <v>287735.02386854513</v>
      </c>
      <c r="CL26" s="169">
        <f t="shared" si="12"/>
        <v>1.3062387694134881E-2</v>
      </c>
      <c r="CM26" s="169">
        <f t="shared" si="23"/>
        <v>1.0734352445806847E-2</v>
      </c>
      <c r="CN26" s="114">
        <f>VLOOKUP($H26,RoR!$E:$F,2,FALSE)</f>
        <v>2.7033333333333336E-2</v>
      </c>
      <c r="CO26" s="69">
        <v>1.1618796630994188E-2</v>
      </c>
      <c r="CP26" s="69">
        <f t="shared" ref="CP26" si="74">+CN26-CO26</f>
        <v>1.5414536702339148E-2</v>
      </c>
      <c r="CQ26" s="69">
        <f t="shared" ref="CQ26" si="75">+$CP$2-CM26</f>
        <v>2.0167589162726776E-2</v>
      </c>
      <c r="CR26" s="169">
        <f t="shared" si="69"/>
        <v>7.433422950153494E-2</v>
      </c>
      <c r="CS26" s="179">
        <f t="shared" si="13"/>
        <v>0.92230000000000001</v>
      </c>
      <c r="CT26" s="180">
        <f t="shared" si="70"/>
        <v>1.8969932656739068</v>
      </c>
      <c r="CU26" s="180">
        <f t="shared" si="15"/>
        <v>5.0215782983970621E-2</v>
      </c>
      <c r="CV26" s="180">
        <f t="shared" si="71"/>
        <v>0.655952481704143</v>
      </c>
      <c r="CW26" s="180">
        <f t="shared" si="72"/>
        <v>6.2485378865697057E-2</v>
      </c>
      <c r="CX26" s="181">
        <f>CX25</f>
        <v>0.20999999999999996</v>
      </c>
      <c r="CY26" s="72">
        <v>0.37</v>
      </c>
      <c r="CZ26" s="182">
        <f>+(DE26*CQ26-CR26)*CS26/(1-CX26)</f>
        <v>21.881252533709354</v>
      </c>
      <c r="DA26" s="182"/>
      <c r="DB26" s="169">
        <f t="shared" si="27"/>
        <v>7.2737696335117216E-2</v>
      </c>
      <c r="DC26" s="181">
        <f>VLOOKUP($H26,RoR!$E:$F,2,FALSE)</f>
        <v>2.7033333333333336E-2</v>
      </c>
      <c r="DD26" s="183">
        <f>HLOOKUP($H26,'GDP-PI'!$D$8:$CR$11,3,FALSE)</f>
        <v>4.2834637353352578E-2</v>
      </c>
      <c r="DE26" s="181">
        <f>VLOOKUP(H26,'HW Dx Data'!$E:$F,2,FALSE)</f>
        <v>933.02249921662576</v>
      </c>
      <c r="DF26" s="72">
        <f t="shared" si="36"/>
        <v>157.25</v>
      </c>
      <c r="DG26" s="169">
        <f t="shared" si="28"/>
        <v>2.6419062301765574E-2</v>
      </c>
      <c r="DH26" s="175">
        <f>HLOOKUP(H26,'GDP-PI'!$8:$9,2,FALSE)</f>
        <v>118.49</v>
      </c>
      <c r="DI26" s="169">
        <f t="shared" si="28"/>
        <v>4.194261824609434E-2</v>
      </c>
      <c r="DN26" s="184"/>
      <c r="DO26" s="184"/>
      <c r="DP26" s="184"/>
      <c r="DQ26" s="184"/>
      <c r="DR26" s="184"/>
      <c r="DS26" s="184"/>
      <c r="DT26" s="184"/>
      <c r="DU26" s="184"/>
      <c r="DV26" s="184"/>
      <c r="DW26" s="184"/>
      <c r="DX26" s="184"/>
      <c r="EB26">
        <f t="shared" si="20"/>
        <v>2021</v>
      </c>
      <c r="EG26" s="161" t="s">
        <v>142</v>
      </c>
      <c r="EH26" s="243">
        <v>157.25</v>
      </c>
    </row>
    <row r="27" spans="1:138" s="160" customFormat="1" ht="21">
      <c r="G27" s="161" t="s">
        <v>144</v>
      </c>
      <c r="H27" s="162"/>
      <c r="I27" s="163"/>
      <c r="J27" s="159">
        <v>93823</v>
      </c>
      <c r="K27" s="159">
        <f t="shared" si="37"/>
        <v>577.19470932020909</v>
      </c>
      <c r="L27" s="164">
        <f t="shared" ref="L27" si="76">LN(K27/K26)</f>
        <v>9.7748540782106125E-2</v>
      </c>
      <c r="M27" s="76">
        <f t="shared" si="47"/>
        <v>2.9636615347765844E-3</v>
      </c>
      <c r="N27" s="166">
        <f>+N26*EXP(O27)</f>
        <v>103.65678291487372</v>
      </c>
      <c r="O27" s="114">
        <f t="shared" si="57"/>
        <v>1.5626007228111687E-3</v>
      </c>
      <c r="P27" s="96">
        <f t="shared" ca="1" si="58"/>
        <v>1.5626007228111687E-3</v>
      </c>
      <c r="Q27" s="163">
        <v>132757</v>
      </c>
      <c r="R27" s="159">
        <f t="shared" si="39"/>
        <v>1043.2770137524558</v>
      </c>
      <c r="S27" s="165">
        <f t="shared" ref="S27" si="77">LN(R27/R26)</f>
        <v>6.3349239263380736E-2</v>
      </c>
      <c r="T27" s="76">
        <f t="shared" si="49"/>
        <v>1.9207008325653572E-3</v>
      </c>
      <c r="U27" s="166">
        <f t="shared" ref="U27" si="78">+U26*EXP(V27)</f>
        <v>111.94521185738824</v>
      </c>
      <c r="V27" s="114">
        <f t="shared" ref="V27" si="79">+T27+T52+T77+T102+T127+T152+T177+T202+T227+T252+T277+T302+T327+T352+T377+T402+T427+T452+T477+T502+T527+T552+T577+T602+T627+T652+T677+T702+T727+T752+T777+T802+T827+T852+T877+T902+T927+T952+T977+T1002+T1027+T1052+T1077+T1102+T1127+T1152+T1177+T1202+T1227+T1252+T1277+T1302+T1327+T1352</f>
        <v>-4.5512412431313633E-2</v>
      </c>
      <c r="W27" s="159">
        <f t="shared" ref="W27" si="80">+CI26*CZ27</f>
        <v>265961.96276384383</v>
      </c>
      <c r="X27" s="165">
        <f t="shared" ref="X27" si="81">LN(W27/W26)</f>
        <v>0.14480123657204078</v>
      </c>
      <c r="Y27" s="167">
        <v>10898.855225571695</v>
      </c>
      <c r="Z27" s="168">
        <v>1.8919598424459384E-2</v>
      </c>
      <c r="AA27" s="76">
        <f t="shared" si="50"/>
        <v>5.7362785833273914E-4</v>
      </c>
      <c r="AB27" s="166">
        <f t="shared" si="61"/>
        <v>173.66056934981475</v>
      </c>
      <c r="AC27" s="114">
        <f t="shared" si="41"/>
        <v>3.5871475952423987E-2</v>
      </c>
      <c r="AD27" s="163">
        <f t="shared" si="29"/>
        <v>492541.96276384383</v>
      </c>
      <c r="AE27" s="168">
        <f t="shared" si="51"/>
        <v>0.13940537865163508</v>
      </c>
      <c r="AF27" s="113">
        <f>+AD27+AD52+AD77+AD102+AD127+AD152+AD177+AD202+AD227+AD252+AD277+AD302+AD327+AD352+AD377+AD402+AD427+AD452+AD477+AD502+AD527+AD552+AD577+AD602+AD627+AD652+AD677+AD702+AD727+AD752+AD777+AD802+AD827+AD852+AD877+AD902+AD927+AD952+AD977+AD1002+AD1027+AD1052+AD1077+AD1102+AD1127+AD1152+AD1177+AD1202+AD1227+AD1252+AD1277+AD1302+AD1327+AD1352</f>
        <v>16245194.523452764</v>
      </c>
      <c r="AG27" s="114">
        <f t="shared" si="52"/>
        <v>5.8484131054944342E-2</v>
      </c>
      <c r="AH27" s="230">
        <f t="shared" si="43"/>
        <v>420.26369259553047</v>
      </c>
      <c r="AI27" s="90">
        <f t="shared" si="44"/>
        <v>573.67777648711467</v>
      </c>
      <c r="AJ27" s="116">
        <f t="shared" si="53"/>
        <v>290.54648923733112</v>
      </c>
      <c r="AK27" s="68">
        <f>+AV27/$AX$25</f>
        <v>4.4689750410570238E-2</v>
      </c>
      <c r="AL27" s="115">
        <f t="shared" si="30"/>
        <v>0.19048732309735153</v>
      </c>
      <c r="AM27" s="115">
        <f t="shared" si="31"/>
        <v>0.26953439511031513</v>
      </c>
      <c r="AN27" s="115">
        <f t="shared" si="32"/>
        <v>0.53997828179233331</v>
      </c>
      <c r="AO27" s="79">
        <f t="shared" si="54"/>
        <v>7.3203799655231529E-3</v>
      </c>
      <c r="AP27" s="166">
        <f t="shared" ref="AP27" si="82">+AP26*EXP(AO27)</f>
        <v>138.06879669858046</v>
      </c>
      <c r="AQ27" s="168">
        <f t="shared" ref="AQ27" si="83">LN(AP27/AP26)</f>
        <v>7.3203799655232353E-3</v>
      </c>
      <c r="AR27" s="69">
        <f>+AD27/$AF$27</f>
        <v>3.0319240687008937E-2</v>
      </c>
      <c r="AS27" s="169"/>
      <c r="AT27" s="166">
        <f t="shared" ref="AT27" si="84">+AT26*EXP(AU27)</f>
        <v>155.95927136951926</v>
      </c>
      <c r="AU27" s="168">
        <f t="shared" si="55"/>
        <v>9.4534669140718647E-2</v>
      </c>
      <c r="AV27" s="113">
        <v>1695226</v>
      </c>
      <c r="AW27" s="68">
        <f t="shared" si="6"/>
        <v>0</v>
      </c>
      <c r="AX27" s="132">
        <f t="shared" si="45"/>
        <v>38654765.590439521</v>
      </c>
      <c r="AY27" s="68">
        <f t="shared" si="63"/>
        <v>1.2552252888536541E-3</v>
      </c>
      <c r="AZ27" s="77">
        <f t="shared" si="73"/>
        <v>8892005</v>
      </c>
      <c r="BA27" s="77">
        <f t="shared" si="34"/>
        <v>5101145.6569123054</v>
      </c>
      <c r="BB27" s="171"/>
      <c r="BC27" s="172"/>
      <c r="BD27" s="173"/>
      <c r="BE27" s="115"/>
      <c r="BF27" s="174"/>
      <c r="BG27" s="174"/>
      <c r="BH27" s="166"/>
      <c r="BI27" s="113"/>
      <c r="BJ27" s="113"/>
      <c r="BK27" s="113"/>
      <c r="BL27" s="113"/>
      <c r="BM27" s="232">
        <f>+BM25</f>
        <v>0.94712995063849137</v>
      </c>
      <c r="BN27" s="61">
        <f t="shared" si="8"/>
        <v>0</v>
      </c>
      <c r="BO27" s="113"/>
      <c r="BP27" s="113"/>
      <c r="BQ27" s="175"/>
      <c r="BR27" s="175"/>
      <c r="BS27" s="170"/>
      <c r="BT27" s="176"/>
      <c r="BU27" s="177"/>
      <c r="BV27" s="177"/>
      <c r="BW27" s="113"/>
      <c r="BX27" s="113"/>
      <c r="BY27" s="113"/>
      <c r="BZ27" s="113"/>
      <c r="CA27" s="116">
        <v>2022</v>
      </c>
      <c r="CB27" s="113"/>
      <c r="CC27" s="113"/>
      <c r="CD27" s="113"/>
      <c r="CE27" s="175"/>
      <c r="CF27" s="113">
        <v>274217</v>
      </c>
      <c r="CG27" s="113">
        <f>+CF27/$DE27</f>
        <v>266.02089618843434</v>
      </c>
      <c r="CH27" s="178">
        <f>+(51-24)/(51-24*0.75)</f>
        <v>0.81818181818181823</v>
      </c>
      <c r="CI27" s="113">
        <f>+CI3*CH27+CG4*CH26+CG5*CH25+CG6*CH24+CG7*CH23+CG8*CH22+CG9*CH21+CG10*CH20+CG11*CH19+CG12*CH18+CG13*CH17+CG14*CH16+CG15*CH15+CG16*CH14+CG17*CH13+CG18*CH12+CG19*CH11+CG20*CH10+CG21*CH9+CG22*CH8+CG23*CH7+CG24*CH6+CG25*CH5+CG26*CH4+CG27*CH3</f>
        <v>10879.118319643347</v>
      </c>
      <c r="CJ27" s="114">
        <f t="shared" si="11"/>
        <v>1.710704122845156E-2</v>
      </c>
      <c r="CK27" s="113"/>
      <c r="CL27" s="169">
        <f t="shared" ref="CL27" si="85">+(CI26-CI27+CG27)/CI26</f>
        <v>7.6201341847520788E-3</v>
      </c>
      <c r="CM27" s="169">
        <f t="shared" ref="CM27" si="86">+(CL27+CL26+CL25)/3</f>
        <v>1.0139000218843687E-2</v>
      </c>
      <c r="CN27" s="114"/>
      <c r="CO27" s="69">
        <v>1.1618796630994188E-2</v>
      </c>
      <c r="CP27" s="69">
        <f t="shared" ref="CP27" si="87">+CN27-CO27</f>
        <v>-1.1618796630994188E-2</v>
      </c>
      <c r="CQ27" s="69">
        <f t="shared" ref="CQ27" si="88">+$CP$2-CM27</f>
        <v>2.076294138968994E-2</v>
      </c>
      <c r="CR27" s="169">
        <f t="shared" ref="CR27" si="89">+((DE25/DE24-1)+(DE26/DE25-1)+(DE27/DE26-1))/3</f>
        <v>0.10114668178709289</v>
      </c>
      <c r="CS27" s="179">
        <f t="shared" si="13"/>
        <v>0.92230000000000001</v>
      </c>
      <c r="CT27" s="180"/>
      <c r="CU27" s="180"/>
      <c r="CV27" s="180"/>
      <c r="CW27" s="180"/>
      <c r="CX27" s="181">
        <f>CX26</f>
        <v>0.20999999999999996</v>
      </c>
      <c r="CY27" s="72">
        <v>0.37</v>
      </c>
      <c r="CZ27" s="182">
        <f t="shared" si="21"/>
        <v>24.868828240118393</v>
      </c>
      <c r="DA27" s="182"/>
      <c r="DB27" s="169">
        <f t="shared" si="27"/>
        <v>0.12798491979556673</v>
      </c>
      <c r="DC27" s="181">
        <v>0.04</v>
      </c>
      <c r="DD27" s="183">
        <v>7.0000000000000001E-3</v>
      </c>
      <c r="DE27" s="181">
        <v>1030.81</v>
      </c>
      <c r="DF27" s="72">
        <f t="shared" si="36"/>
        <v>162.55000000000001</v>
      </c>
      <c r="DG27" s="169">
        <f t="shared" si="28"/>
        <v>3.3148751169364422E-2</v>
      </c>
      <c r="DH27" s="175">
        <v>127.25</v>
      </c>
      <c r="DI27" s="169">
        <f t="shared" si="28"/>
        <v>7.1325086601983473E-2</v>
      </c>
      <c r="DN27" s="184"/>
      <c r="DO27" s="184"/>
      <c r="DP27" s="184"/>
      <c r="DQ27" s="184"/>
      <c r="DR27" s="184"/>
      <c r="DS27" s="184"/>
      <c r="DT27" s="184"/>
      <c r="DU27" s="184"/>
      <c r="DV27" s="184"/>
      <c r="DW27" s="184"/>
      <c r="DX27" s="184"/>
      <c r="EB27">
        <f t="shared" si="20"/>
        <v>2022</v>
      </c>
      <c r="EG27" s="161" t="s">
        <v>144</v>
      </c>
      <c r="EH27" s="243">
        <v>162.55000000000001</v>
      </c>
    </row>
    <row r="28" spans="1:138" s="160" customFormat="1" ht="21">
      <c r="A28" s="160" t="s">
        <v>145</v>
      </c>
      <c r="B28" s="161" t="s">
        <v>145</v>
      </c>
      <c r="C28" s="161">
        <v>4057075</v>
      </c>
      <c r="D28" s="161" t="s">
        <v>146</v>
      </c>
      <c r="E28" s="161"/>
      <c r="F28" s="161"/>
      <c r="G28" s="161" t="s">
        <v>100</v>
      </c>
      <c r="H28" s="162">
        <v>1998</v>
      </c>
      <c r="I28" s="163"/>
      <c r="J28" s="159"/>
      <c r="K28" s="159">
        <f>SUM(K9:K27)</f>
        <v>9988.6842874411832</v>
      </c>
      <c r="L28" s="114"/>
      <c r="M28" s="60"/>
      <c r="N28" s="131"/>
      <c r="O28" s="76"/>
      <c r="P28" s="78">
        <f t="shared" ca="1" si="58"/>
        <v>0</v>
      </c>
      <c r="Q28" s="114"/>
      <c r="R28" s="165"/>
      <c r="S28" s="114"/>
      <c r="T28" s="159"/>
      <c r="U28" s="114"/>
      <c r="V28" s="114"/>
      <c r="W28" s="159"/>
      <c r="X28" s="163"/>
      <c r="Y28" s="167">
        <v>1230.9671374013406</v>
      </c>
      <c r="Z28" s="168"/>
      <c r="AA28" s="78"/>
      <c r="AB28" s="168"/>
      <c r="AC28" s="168"/>
      <c r="AD28" s="163"/>
      <c r="AE28" s="163"/>
      <c r="AF28" s="113"/>
      <c r="AG28" s="168"/>
      <c r="AH28" s="168"/>
      <c r="AI28" s="168"/>
      <c r="AJ28" s="166">
        <f>+(AJ25+AJ26+AJ27)/3</f>
        <v>260.27726745555282</v>
      </c>
      <c r="AK28" s="168"/>
      <c r="AL28" s="185"/>
      <c r="AM28" s="185"/>
      <c r="AN28" s="185"/>
      <c r="AO28" s="115"/>
      <c r="AP28" s="115"/>
      <c r="AQ28" s="168"/>
      <c r="AR28" s="79"/>
      <c r="AS28" s="115"/>
      <c r="AT28" s="115"/>
      <c r="AU28" s="115"/>
      <c r="AV28" s="113">
        <f>IFERROR(INDEX('Total Customers'!$F$7:$AB$91,MATCH($C28,'Total Customers'!$D$7:$D$91,0),MATCH($G28,'Total Customers'!$F$5:$AB$5,0)),"NA")</f>
        <v>236733</v>
      </c>
      <c r="AW28" s="68"/>
      <c r="AX28" s="77"/>
      <c r="AY28" s="113"/>
      <c r="AZ28" s="116"/>
      <c r="BA28" s="116"/>
      <c r="BB28" s="116"/>
      <c r="BC28" s="172"/>
      <c r="BD28" s="186"/>
      <c r="BE28" s="115"/>
      <c r="BF28" s="174"/>
      <c r="BG28" s="174"/>
      <c r="BH28" s="166"/>
      <c r="BI28" s="113">
        <f>INDEX('Gross Dx Plant'!$E$7:$AD$91,MATCH($C28,'Gross Dx Plant'!$D$7:$D$91,0),MATCH(Calculation!$G28,'Gross Dx Plant'!$E$5:$AD$5,0))</f>
        <v>352332</v>
      </c>
      <c r="BJ28" s="113">
        <f>INDEX('Gross Gen Plant'!$E$7:$AD$91,MATCH($C28,'Gross Gen Plant'!$D$7:$D$91,0),MATCH(Calculation!$G28,'Gross Gen Plant'!$E$5:$AD$5,0))</f>
        <v>11042</v>
      </c>
      <c r="BK28" s="113">
        <f>INDEX('Dist. Plant Gas Additions'!$F$7:$AE$91,MATCH($C28,'Dist. Plant Gas Additions'!$D$7:$D$91,0),MATCH(Calculation!$G28,'Dist. Plant Gas Additions'!$F$5:$AE$5,0))</f>
        <v>24460</v>
      </c>
      <c r="BL28" s="113">
        <f>INDEX('Gen. Plant Additions'!$F$7:$AE$91,MATCH($C28,'Gen. Plant Additions'!$D$7:$D$91,0),MATCH(Calculation!$G28,'Gen. Plant Additions'!$F$5:$AE$5,0))</f>
        <v>415</v>
      </c>
      <c r="BM28" s="231">
        <f>+(BW28/(BW28+BX28))</f>
        <v>0.9696125754732039</v>
      </c>
      <c r="BN28" s="61">
        <f t="shared" si="8"/>
        <v>402.38921882137964</v>
      </c>
      <c r="BO28" s="113">
        <f>INDEX('Dist Plant Depreciation'!$E$7:$AD$94,MATCH($C28,'Dist Plant Depreciation'!$D$7:$D$94,0),MATCH(Calculation!$G28,'Dist Plant Depreciation'!$E$5:$AD$5,0))</f>
        <v>110633</v>
      </c>
      <c r="BP28" s="113">
        <f>INDEX('Gen. Plant Depreciation'!$E$7:$AD$94,MATCH($C28,'Gen. Plant Depreciation'!$D$7:$D$94,0),MATCH(Calculation!$G28,'Gen. Plant Depreciation'!$E$5:$AD$5,0))</f>
        <v>4431</v>
      </c>
      <c r="BQ28" s="175">
        <v>1953</v>
      </c>
      <c r="BR28" s="175">
        <f t="shared" si="67"/>
        <v>6</v>
      </c>
      <c r="BS28" s="170">
        <v>42.670990982456722</v>
      </c>
      <c r="BT28" s="176">
        <f t="shared" ref="BT28:BT51" si="90">+BR28/$BR$76</f>
        <v>4.5248868778280547E-3</v>
      </c>
      <c r="BU28" s="177">
        <f t="shared" si="68"/>
        <v>0.19308140716043767</v>
      </c>
      <c r="BV28" s="177"/>
      <c r="BW28" s="113">
        <f>INDEX('Gross Dx Plant'!$E$7:$AD$91,MATCH($C28,'Gross Dx Plant'!$D$7:$D$91,0),MATCH(Calculation!$G28,'Gross Dx Plant'!$E$5:$AD$5,0))</f>
        <v>352332</v>
      </c>
      <c r="BX28" s="113">
        <f>INDEX('Gross Gen Plant'!$E$7:$AD$91,MATCH($C28,'Gross Gen Plant'!$D$7:$D$91,0),MATCH(Calculation!$G28,'Gross Gen Plant'!$E$5:$AD$5,0))</f>
        <v>11042</v>
      </c>
      <c r="BY28" s="113">
        <f t="shared" si="46"/>
        <v>248310</v>
      </c>
      <c r="BZ28" s="113"/>
      <c r="CA28" s="116">
        <v>1998</v>
      </c>
      <c r="CB28" s="113">
        <f>BI28+BJ28</f>
        <v>363374</v>
      </c>
      <c r="CC28" s="113">
        <f>110633+4431</f>
        <v>115064</v>
      </c>
      <c r="CD28" s="113">
        <f>+CB28-CC28</f>
        <v>248310</v>
      </c>
      <c r="CE28" s="113">
        <f>CD28/$BV$3</f>
        <v>1230.9671374013406</v>
      </c>
      <c r="CF28" s="175"/>
      <c r="CG28" s="175"/>
      <c r="CH28" s="178">
        <v>1</v>
      </c>
      <c r="CI28" s="113">
        <f>+CE28</f>
        <v>1230.9671374013406</v>
      </c>
      <c r="CJ28" s="114"/>
      <c r="CK28" s="114"/>
      <c r="CL28" s="169"/>
      <c r="CM28" s="169"/>
      <c r="CN28" s="114" t="e">
        <f>VLOOKUP($H28,RoR!$E:$F,2,FALSE)</f>
        <v>#N/A</v>
      </c>
      <c r="CO28" s="169">
        <v>1.1028127770464469E-2</v>
      </c>
      <c r="CP28" s="169"/>
      <c r="CQ28" s="169"/>
      <c r="CR28" s="69"/>
      <c r="CS28" s="179"/>
      <c r="CT28" s="182" t="e">
        <f>2/(DC28*39)</f>
        <v>#N/A</v>
      </c>
      <c r="CU28" s="180" t="e">
        <f>+(DC28*40-(1+DC28))/(DC28*40)</f>
        <v>#N/A</v>
      </c>
      <c r="CV28" s="180" t="e">
        <f>+(1-(1/(1+DC28)^40))</f>
        <v>#N/A</v>
      </c>
      <c r="CW28" s="180" t="e">
        <f>+CV28*CU28*CT28</f>
        <v>#N/A</v>
      </c>
      <c r="CX28" s="181">
        <f>INDEX('State Tax Lookup'!$D$7:$Z$91,MATCH(Calculation!$C28,'State Tax Lookup'!$B$7:$B$91,0),MATCH($H28,'State Tax Lookup'!$D$6:$Z$6,0))</f>
        <v>0.35</v>
      </c>
      <c r="CY28" s="72">
        <v>0.37</v>
      </c>
      <c r="CZ28" s="66"/>
      <c r="DA28" s="66"/>
      <c r="DB28" s="69"/>
      <c r="DC28" s="111" t="e">
        <f>VLOOKUP($H28,RoR!$E:$F,2,FALSE)</f>
        <v>#N/A</v>
      </c>
      <c r="DD28" s="216">
        <f>HLOOKUP($H28,'GDP-PI'!$D$8:$CQ$11,3,FALSE)</f>
        <v>1.1028127770464469E-2</v>
      </c>
      <c r="DE28" s="111">
        <f>VLOOKUP(H28,'HW Dx Data'!$E:$F,2,FALSE)</f>
        <v>329.24564746449528</v>
      </c>
      <c r="DF28" s="66"/>
      <c r="DG28" s="69"/>
      <c r="DH28" s="66">
        <f>HLOOKUP(H28,'GDP-PI'!$8:$9,2,FALSE)</f>
        <v>75.266999999999996</v>
      </c>
      <c r="DI28"/>
      <c r="DJ28" s="160">
        <v>39.033333333333331</v>
      </c>
      <c r="DK28" s="160">
        <v>0.67704876822523885</v>
      </c>
      <c r="DN28" s="184">
        <v>4.9522900380789929E-3</v>
      </c>
      <c r="DO28" s="184">
        <v>2.2200000000000001E-2</v>
      </c>
      <c r="DP28" s="184">
        <f t="shared" si="0"/>
        <v>1.0994083884535365E-4</v>
      </c>
      <c r="DQ28" s="184">
        <v>1.47E-2</v>
      </c>
      <c r="DR28" s="184">
        <f t="shared" si="1"/>
        <v>7.2798663559761192E-5</v>
      </c>
      <c r="DS28" s="184">
        <v>1.12E-2</v>
      </c>
      <c r="DT28" s="184">
        <f t="shared" si="2"/>
        <v>5.5465648426484719E-5</v>
      </c>
      <c r="DU28" s="184">
        <v>6.0000000000000001E-3</v>
      </c>
      <c r="DV28" s="184">
        <f t="shared" si="3"/>
        <v>2.9713740228473957E-5</v>
      </c>
      <c r="DW28" s="184">
        <v>2.9999999999999997E-4</v>
      </c>
      <c r="DX28" s="184">
        <f t="shared" si="4"/>
        <v>1.4856870114236978E-6</v>
      </c>
      <c r="EB28">
        <v>1998</v>
      </c>
    </row>
    <row r="29" spans="1:138" s="160" customFormat="1" ht="21">
      <c r="A29" s="160" t="s">
        <v>145</v>
      </c>
      <c r="B29" s="161" t="s">
        <v>145</v>
      </c>
      <c r="C29" s="161">
        <v>4057075</v>
      </c>
      <c r="D29" s="161" t="s">
        <v>146</v>
      </c>
      <c r="E29" s="161"/>
      <c r="F29" s="161"/>
      <c r="G29" s="161" t="s">
        <v>106</v>
      </c>
      <c r="H29" s="162">
        <v>1999</v>
      </c>
      <c r="I29" s="163"/>
      <c r="J29" s="159"/>
      <c r="K29" s="159"/>
      <c r="L29" s="114"/>
      <c r="M29" s="60"/>
      <c r="N29" s="152"/>
      <c r="O29" s="60"/>
      <c r="P29" s="59"/>
      <c r="Q29" s="114"/>
      <c r="R29" s="169"/>
      <c r="S29" s="114"/>
      <c r="T29" s="187"/>
      <c r="U29" s="114"/>
      <c r="V29" s="114"/>
      <c r="W29" s="159"/>
      <c r="X29" s="163"/>
      <c r="Y29" s="167">
        <v>1288.1128863746494</v>
      </c>
      <c r="Z29" s="168">
        <v>4.5378117552366357E-2</v>
      </c>
      <c r="AA29" s="78"/>
      <c r="AB29" s="168"/>
      <c r="AC29" s="168"/>
      <c r="AD29" s="163"/>
      <c r="AE29" s="168"/>
      <c r="AF29" s="113"/>
      <c r="AG29" s="185"/>
      <c r="AH29" s="185"/>
      <c r="AI29" s="185"/>
      <c r="AJ29" s="167"/>
      <c r="AK29" s="168"/>
      <c r="AL29" s="115"/>
      <c r="AM29" s="115"/>
      <c r="AN29" s="115"/>
      <c r="AO29" s="115"/>
      <c r="AP29" s="115"/>
      <c r="AQ29" s="168"/>
      <c r="AR29" s="79"/>
      <c r="AS29" s="115"/>
      <c r="AT29" s="115"/>
      <c r="AU29" s="115"/>
      <c r="AV29" s="113">
        <f>IFERROR(INDEX('Total Customers'!$F$7:$AB$91,MATCH($C29,'Total Customers'!$D$7:$D$91,0),MATCH($G29,'Total Customers'!$F$5:$AB$5,0)),"NA")</f>
        <v>246307</v>
      </c>
      <c r="AW29" s="68">
        <f t="shared" si="6"/>
        <v>3.9645801562070454E-2</v>
      </c>
      <c r="AX29" s="113"/>
      <c r="AY29" s="113"/>
      <c r="AZ29" s="185"/>
      <c r="BA29" s="185"/>
      <c r="BB29" s="116"/>
      <c r="BC29" s="172" t="s">
        <v>147</v>
      </c>
      <c r="BD29" s="186">
        <v>648.12226924419235</v>
      </c>
      <c r="BE29" s="176">
        <f>+BD29/BD24-1</f>
        <v>1.3290292843330187</v>
      </c>
      <c r="BF29" s="115"/>
      <c r="BG29" s="115"/>
      <c r="BH29" s="166"/>
      <c r="BI29" s="113"/>
      <c r="BJ29" s="113"/>
      <c r="BK29" s="113">
        <f>INDEX('Dist. Plant Gas Additions'!$F$7:$AE$91,MATCH($C29,'Dist. Plant Gas Additions'!$D$7:$D$91,0),MATCH(Calculation!$G29,'Dist. Plant Gas Additions'!$F$5:$AE$5,0))</f>
        <v>20879</v>
      </c>
      <c r="BL29" s="113">
        <f>INDEX('Gen. Plant Additions'!$F$7:$AE$91,MATCH($C29,'Gen. Plant Additions'!$D$7:$D$91,0),MATCH(Calculation!$G29,'Gen. Plant Additions'!$F$5:$AE$5,0))</f>
        <v>337</v>
      </c>
      <c r="BM29" s="231">
        <f t="shared" ref="BM29:BM50" si="91">+(BW29/(BW29+BX29))</f>
        <v>0.96968812769804325</v>
      </c>
      <c r="BN29" s="61">
        <f t="shared" si="8"/>
        <v>326.7848990342406</v>
      </c>
      <c r="BO29" s="113">
        <f>INDEX('Dist Plant Depreciation'!$E$7:$AD$94,MATCH($C29,'Dist Plant Depreciation'!$D$7:$D$94,0),MATCH(Calculation!$G29,'Dist Plant Depreciation'!$E$5:$AD$5,0))</f>
        <v>120148</v>
      </c>
      <c r="BP29" s="113">
        <f>INDEX('Gen. Plant Depreciation'!$E$7:$AD$94,MATCH($C29,'Gen. Plant Depreciation'!$D$7:$D$94,0),MATCH(Calculation!$G29,'Gen. Plant Depreciation'!$E$5:$AD$5,0))</f>
        <v>4943</v>
      </c>
      <c r="BQ29" s="175">
        <v>1954</v>
      </c>
      <c r="BR29" s="175">
        <f t="shared" si="67"/>
        <v>7</v>
      </c>
      <c r="BS29" s="170">
        <v>44.407666030181829</v>
      </c>
      <c r="BT29" s="176">
        <f t="shared" si="90"/>
        <v>5.279034690799397E-3</v>
      </c>
      <c r="BU29" s="177">
        <f t="shared" si="68"/>
        <v>0.23442960951076383</v>
      </c>
      <c r="BV29" s="177"/>
      <c r="BW29" s="113">
        <f>INDEX('Gross Dx Plant'!$E$7:$AD$91,MATCH($C29,'Gross Dx Plant'!$D$7:$D$91,0),MATCH(Calculation!$G29,'Gross Dx Plant'!$E$5:$AD$5,0))</f>
        <v>372208</v>
      </c>
      <c r="BX29" s="113">
        <f>INDEX('Gross Gen Plant'!$E$7:$AD$91,MATCH($C29,'Gross Gen Plant'!$D$7:$D$91,0),MATCH(Calculation!$G29,'Gross Gen Plant'!$E$5:$AD$5,0))</f>
        <v>11635</v>
      </c>
      <c r="BY29" s="113">
        <f t="shared" si="46"/>
        <v>258752</v>
      </c>
      <c r="BZ29" s="113"/>
      <c r="CA29" s="116">
        <v>1999</v>
      </c>
      <c r="CB29" s="113"/>
      <c r="CC29" s="113"/>
      <c r="CD29" s="113"/>
      <c r="CE29" s="175"/>
      <c r="CF29" s="113">
        <f t="shared" ref="CF29:CF51" si="92">+BL29+BK29</f>
        <v>21216</v>
      </c>
      <c r="CG29" s="113">
        <f t="shared" ref="CG29:CG52" si="93">+CF29/$DE29</f>
        <v>63.269963587245819</v>
      </c>
      <c r="CH29" s="178">
        <v>0.99502487562189057</v>
      </c>
      <c r="CI29" s="61">
        <f>+CI28*CH29+CG29</f>
        <v>1288.1128863746494</v>
      </c>
      <c r="CJ29" s="114">
        <f t="shared" ref="CJ29:CJ52" si="94">LN(CI29/CI28)</f>
        <v>4.5378117552366357E-2</v>
      </c>
      <c r="CK29" s="114"/>
      <c r="CL29" s="169">
        <f t="shared" ref="CL29:CL50" si="95">+(CI28-CI29+CG29)/CI28</f>
        <v>4.9751243781094093E-3</v>
      </c>
      <c r="CM29" s="169"/>
      <c r="CN29" s="114">
        <f>VLOOKUP($H29,RoR!$E:$F,2,FALSE)</f>
        <v>7.0416666666666669E-2</v>
      </c>
      <c r="CO29" s="169">
        <v>1.4335631817396832E-2</v>
      </c>
      <c r="CP29" s="169">
        <f>+CN29-CO29</f>
        <v>5.6081034849269837E-2</v>
      </c>
      <c r="CQ29" s="169"/>
      <c r="CR29" s="69"/>
      <c r="CS29" s="179">
        <f t="shared" ref="CS29:CS52" si="96">1-CX29*CY29</f>
        <v>0.87050000000000005</v>
      </c>
      <c r="CT29" s="180">
        <f t="shared" ref="CT29:CT51" si="97">2/(DC29*39)</f>
        <v>0.72826581702321336</v>
      </c>
      <c r="CU29" s="180">
        <f t="shared" ref="CU29:CU51" si="98">+(DC29*40-(1+DC29))/(DC29*40)</f>
        <v>0.61997041420118348</v>
      </c>
      <c r="CV29" s="180">
        <f t="shared" ref="CV29:CV51" si="99">+(1-(1/(1+DC29)^40))</f>
        <v>0.93425155319585029</v>
      </c>
      <c r="CW29" s="180">
        <f t="shared" ref="CW29:CW51" si="100">+CV29*CU29*CT29</f>
        <v>0.42181762214141483</v>
      </c>
      <c r="CX29" s="181">
        <f>INDEX('State Tax Lookup'!$D$7:$Z$91,MATCH(Calculation!$C29,'State Tax Lookup'!$B$7:$B$91,0),MATCH($H29,'State Tax Lookup'!$D$6:$Z$6,0))</f>
        <v>0.35</v>
      </c>
      <c r="CY29" s="72">
        <v>0.37</v>
      </c>
      <c r="CZ29" s="70"/>
      <c r="DA29" s="70"/>
      <c r="DB29" s="69"/>
      <c r="DC29" s="111">
        <f>VLOOKUP($H29,RoR!$E:$F,2,FALSE)</f>
        <v>7.0416666666666669E-2</v>
      </c>
      <c r="DD29" s="216">
        <f>HLOOKUP($H29,'GDP-PI'!$D$8:$CQ$11,3,FALSE)</f>
        <v>1.4335631817396832E-2</v>
      </c>
      <c r="DE29" s="111">
        <f>VLOOKUP(H29,'HW Dx Data'!$E:$F,2,FALSE)</f>
        <v>335.32499146683239</v>
      </c>
      <c r="DF29" s="66"/>
      <c r="DG29" s="69"/>
      <c r="DH29" s="66">
        <f>HLOOKUP(H29,'GDP-PI'!$8:$9,2,FALSE)</f>
        <v>76.346000000000004</v>
      </c>
      <c r="DI29"/>
      <c r="DJ29" s="160">
        <v>41.508333333333333</v>
      </c>
      <c r="DK29" s="160">
        <v>0.75128205128205139</v>
      </c>
      <c r="DN29" s="184">
        <v>3.5669720481991657E-2</v>
      </c>
      <c r="DO29" s="184">
        <v>2.1100000000000001E-2</v>
      </c>
      <c r="DP29" s="184">
        <f t="shared" si="0"/>
        <v>7.5263110217002399E-4</v>
      </c>
      <c r="DQ29" s="184">
        <v>1.32E-2</v>
      </c>
      <c r="DR29" s="184">
        <f t="shared" si="1"/>
        <v>4.7084031036228989E-4</v>
      </c>
      <c r="DS29" s="184">
        <v>9.4999999999999998E-3</v>
      </c>
      <c r="DT29" s="184">
        <f t="shared" si="2"/>
        <v>3.3886234457892073E-4</v>
      </c>
      <c r="DU29" s="184">
        <v>3.8999999999999998E-3</v>
      </c>
      <c r="DV29" s="184">
        <f t="shared" si="3"/>
        <v>1.3911190987976745E-4</v>
      </c>
      <c r="DW29" s="184">
        <v>-2.3E-3</v>
      </c>
      <c r="DX29" s="184">
        <f t="shared" si="4"/>
        <v>-8.2040357108580805E-5</v>
      </c>
      <c r="EB29">
        <f>+EB28+1</f>
        <v>1999</v>
      </c>
    </row>
    <row r="30" spans="1:138" s="160" customFormat="1" ht="21">
      <c r="A30" s="160" t="s">
        <v>145</v>
      </c>
      <c r="B30" s="161" t="s">
        <v>145</v>
      </c>
      <c r="C30" s="161">
        <v>4057075</v>
      </c>
      <c r="D30" s="161" t="s">
        <v>146</v>
      </c>
      <c r="E30" s="161"/>
      <c r="F30" s="161"/>
      <c r="G30" s="161" t="s">
        <v>107</v>
      </c>
      <c r="H30" s="162">
        <v>2000</v>
      </c>
      <c r="I30" s="163"/>
      <c r="J30" s="159"/>
      <c r="K30" s="159"/>
      <c r="L30" s="159"/>
      <c r="M30" s="60"/>
      <c r="N30" s="152"/>
      <c r="O30" s="60"/>
      <c r="P30" s="60"/>
      <c r="Q30" s="159"/>
      <c r="R30" s="159"/>
      <c r="S30" s="159"/>
      <c r="T30" s="159"/>
      <c r="U30" s="159"/>
      <c r="V30" s="159"/>
      <c r="W30" s="159">
        <f t="shared" ref="W30:W52" si="101">+CI29*CZ30</f>
        <v>0</v>
      </c>
      <c r="X30" s="163"/>
      <c r="Y30" s="167">
        <v>1356.5863448976127</v>
      </c>
      <c r="Z30" s="168">
        <v>5.1793235256115705E-2</v>
      </c>
      <c r="AA30" s="78"/>
      <c r="AB30" s="168"/>
      <c r="AC30" s="168"/>
      <c r="AD30" s="163">
        <f t="shared" ref="AD30:AD95" si="102">+J30+Q30+W30</f>
        <v>0</v>
      </c>
      <c r="AE30" s="168"/>
      <c r="AF30" s="163"/>
      <c r="AG30" s="163"/>
      <c r="AH30" s="163"/>
      <c r="AI30" s="163"/>
      <c r="AJ30" s="167"/>
      <c r="AK30" s="168"/>
      <c r="AL30" s="115"/>
      <c r="AM30" s="115"/>
      <c r="AN30" s="115"/>
      <c r="AO30" s="115"/>
      <c r="AP30" s="115"/>
      <c r="AQ30" s="168"/>
      <c r="AR30" s="79"/>
      <c r="AS30" s="115"/>
      <c r="AT30" s="115"/>
      <c r="AU30" s="115"/>
      <c r="AV30" s="113">
        <f>IFERROR(INDEX('Total Customers'!$F$7:$AB$91,MATCH($C30,'Total Customers'!$D$7:$D$91,0),MATCH($G30,'Total Customers'!$F$5:$AB$5,0)),"NA")</f>
        <v>255245</v>
      </c>
      <c r="AW30" s="68">
        <f t="shared" si="6"/>
        <v>3.5645142866437773E-2</v>
      </c>
      <c r="AX30" s="114"/>
      <c r="AY30" s="114"/>
      <c r="AZ30" s="185"/>
      <c r="BA30" s="185"/>
      <c r="BB30" s="166"/>
      <c r="BC30" s="166" t="s">
        <v>148</v>
      </c>
      <c r="BD30" s="173">
        <v>580.41234275060231</v>
      </c>
      <c r="BE30" s="176">
        <f t="shared" ref="BE30:BE35" si="103">+$BD$24/BD30-1</f>
        <v>-0.52054775630508221</v>
      </c>
      <c r="BF30" s="166"/>
      <c r="BG30" s="166"/>
      <c r="BH30" s="166"/>
      <c r="BI30" s="113"/>
      <c r="BJ30" s="113"/>
      <c r="BK30" s="113">
        <f>INDEX('Dist. Plant Gas Additions'!$F$7:$AE$91,MATCH($C30,'Dist. Plant Gas Additions'!$D$7:$D$91,0),MATCH(Calculation!$G30,'Dist. Plant Gas Additions'!$F$5:$AE$5,0))</f>
        <v>24644</v>
      </c>
      <c r="BL30" s="113">
        <f>INDEX('Gen. Plant Additions'!$F$7:$AE$91,MATCH($C30,'Gen. Plant Additions'!$D$7:$D$91,0),MATCH(Calculation!$G30,'Gen. Plant Additions'!$F$5:$AE$5,0))</f>
        <v>1380</v>
      </c>
      <c r="BM30" s="231">
        <f t="shared" si="91"/>
        <v>0.96885762366938011</v>
      </c>
      <c r="BN30" s="61">
        <f t="shared" si="8"/>
        <v>1337.0235206637446</v>
      </c>
      <c r="BO30" s="113">
        <f>INDEX('Dist Plant Depreciation'!$E$7:$AD$94,MATCH($C30,'Dist Plant Depreciation'!$D$7:$D$94,0),MATCH(Calculation!$G30,'Dist Plant Depreciation'!$E$5:$AD$5,0))</f>
        <v>129924</v>
      </c>
      <c r="BP30" s="113">
        <f>INDEX('Gen. Plant Depreciation'!$E$7:$AD$94,MATCH($C30,'Gen. Plant Depreciation'!$D$7:$D$94,0),MATCH(Calculation!$G30,'Gen. Plant Depreciation'!$E$5:$AD$5,0))</f>
        <v>5240</v>
      </c>
      <c r="BQ30" s="175">
        <v>1955</v>
      </c>
      <c r="BR30" s="175">
        <f t="shared" si="67"/>
        <v>8</v>
      </c>
      <c r="BS30" s="170">
        <v>45.915778290770781</v>
      </c>
      <c r="BT30" s="176">
        <f t="shared" si="90"/>
        <v>6.0331825037707393E-3</v>
      </c>
      <c r="BU30" s="177">
        <f t="shared" si="68"/>
        <v>0.27701827023089459</v>
      </c>
      <c r="BV30" s="177"/>
      <c r="BW30" s="113">
        <f>INDEX('Gross Dx Plant'!$E$7:$AD$91,MATCH($C30,'Gross Dx Plant'!$D$7:$D$91,0),MATCH(Calculation!$G30,'Gross Dx Plant'!$E$5:$AD$5,0))</f>
        <v>396100</v>
      </c>
      <c r="BX30" s="113">
        <f>INDEX('Gross Gen Plant'!$E$7:$AD$91,MATCH($C30,'Gross Gen Plant'!$D$7:$D$91,0),MATCH(Calculation!$G30,'Gross Gen Plant'!$E$5:$AD$5,0))</f>
        <v>12732</v>
      </c>
      <c r="BY30" s="113">
        <f t="shared" si="46"/>
        <v>273668</v>
      </c>
      <c r="BZ30" s="113"/>
      <c r="CA30" s="116">
        <v>2000</v>
      </c>
      <c r="CB30" s="113"/>
      <c r="CC30" s="113"/>
      <c r="CD30" s="113"/>
      <c r="CE30" s="175"/>
      <c r="CF30" s="113">
        <f t="shared" si="92"/>
        <v>26024</v>
      </c>
      <c r="CG30" s="113">
        <f t="shared" si="93"/>
        <v>75.098031336173591</v>
      </c>
      <c r="CH30" s="178">
        <v>0.98989898989898994</v>
      </c>
      <c r="CI30" s="61">
        <f>+CI28*CH30+CG29*CH29+CG30</f>
        <v>1356.5863448976127</v>
      </c>
      <c r="CJ30" s="114">
        <f t="shared" si="94"/>
        <v>5.1793235256115705E-2</v>
      </c>
      <c r="CK30" s="114"/>
      <c r="CL30" s="169">
        <f t="shared" si="95"/>
        <v>5.142851129961888E-3</v>
      </c>
      <c r="CM30" s="169"/>
      <c r="CN30" s="114">
        <f>VLOOKUP($H30,RoR!$E:$F,2,FALSE)</f>
        <v>7.6225000000000001E-2</v>
      </c>
      <c r="CO30" s="169">
        <v>2.2568307442433211E-2</v>
      </c>
      <c r="CP30" s="169">
        <f t="shared" ref="CP30:CP50" si="104">+CN30-CO30</f>
        <v>5.365669255756679E-2</v>
      </c>
      <c r="CQ30" s="169"/>
      <c r="CR30" s="69"/>
      <c r="CS30" s="179">
        <f t="shared" si="96"/>
        <v>0.87050000000000005</v>
      </c>
      <c r="CT30" s="180">
        <f t="shared" si="97"/>
        <v>0.67277207323124022</v>
      </c>
      <c r="CU30" s="180">
        <f t="shared" si="98"/>
        <v>0.6470236142997704</v>
      </c>
      <c r="CV30" s="180">
        <f t="shared" si="99"/>
        <v>0.94704866037543145</v>
      </c>
      <c r="CW30" s="180">
        <f t="shared" si="100"/>
        <v>0.41224973107878493</v>
      </c>
      <c r="CX30" s="181">
        <f>INDEX('State Tax Lookup'!$D$7:$Z$91,MATCH(Calculation!$C30,'State Tax Lookup'!$B$7:$B$91,0),MATCH($H30,'State Tax Lookup'!$D$6:$Z$6,0))</f>
        <v>0.35</v>
      </c>
      <c r="CY30" s="72">
        <v>0.37</v>
      </c>
      <c r="CZ30" s="70"/>
      <c r="DA30" s="70"/>
      <c r="DB30" s="69"/>
      <c r="DC30" s="111">
        <f>VLOOKUP($H30,RoR!$E:$F,2,FALSE)</f>
        <v>7.6225000000000001E-2</v>
      </c>
      <c r="DD30" s="216">
        <f>HLOOKUP($H30,'GDP-PI'!$D$8:$CQ$11,3,FALSE)</f>
        <v>2.2568307442433211E-2</v>
      </c>
      <c r="DE30" s="111">
        <f>VLOOKUP(H30,'HW Dx Data'!$E:$F,2,FALSE)</f>
        <v>346.53371782150339</v>
      </c>
      <c r="DF30" s="66"/>
      <c r="DG30" s="69"/>
      <c r="DH30" s="66">
        <f>HLOOKUP(H30,'GDP-PI'!$8:$9,2,FALSE)</f>
        <v>78.069000000000003</v>
      </c>
      <c r="DI30"/>
      <c r="DJ30" s="160">
        <v>43.95</v>
      </c>
      <c r="DK30" s="160">
        <v>0.8286199095022625</v>
      </c>
      <c r="DN30" s="184">
        <v>1.9446497596593303E-2</v>
      </c>
      <c r="DO30" s="184">
        <v>1.9E-2</v>
      </c>
      <c r="DP30" s="184">
        <f t="shared" si="0"/>
        <v>3.6948345433527273E-4</v>
      </c>
      <c r="DQ30" s="184">
        <v>1.0999999999999999E-2</v>
      </c>
      <c r="DR30" s="184">
        <f t="shared" si="1"/>
        <v>2.1391147356252633E-4</v>
      </c>
      <c r="DS30" s="184">
        <v>7.3000000000000001E-3</v>
      </c>
      <c r="DT30" s="184">
        <f t="shared" si="2"/>
        <v>1.419594324551311E-4</v>
      </c>
      <c r="DU30" s="184">
        <v>1.6000000000000001E-3</v>
      </c>
      <c r="DV30" s="184">
        <f t="shared" si="3"/>
        <v>3.1114396154549283E-5</v>
      </c>
      <c r="DW30" s="184">
        <v>-4.5999999999999999E-3</v>
      </c>
      <c r="DX30" s="184">
        <f t="shared" si="4"/>
        <v>-8.9453888944329184E-5</v>
      </c>
      <c r="EB30">
        <f t="shared" si="20"/>
        <v>2000</v>
      </c>
    </row>
    <row r="31" spans="1:138" s="160" customFormat="1" ht="21">
      <c r="A31" s="160" t="s">
        <v>145</v>
      </c>
      <c r="B31" s="161" t="s">
        <v>145</v>
      </c>
      <c r="C31" s="161">
        <v>4057075</v>
      </c>
      <c r="D31" s="161" t="s">
        <v>146</v>
      </c>
      <c r="E31" s="161"/>
      <c r="F31" s="161"/>
      <c r="G31" s="161" t="s">
        <v>111</v>
      </c>
      <c r="H31" s="162">
        <v>2001</v>
      </c>
      <c r="I31" s="163"/>
      <c r="J31" s="159"/>
      <c r="K31" s="159"/>
      <c r="L31" s="159"/>
      <c r="M31" s="60"/>
      <c r="N31" s="152"/>
      <c r="O31" s="60"/>
      <c r="P31" s="60"/>
      <c r="Q31" s="159"/>
      <c r="R31" s="159"/>
      <c r="S31" s="159"/>
      <c r="T31" s="159"/>
      <c r="U31" s="159"/>
      <c r="V31" s="159"/>
      <c r="W31" s="159">
        <f t="shared" si="101"/>
        <v>16556.68149337409</v>
      </c>
      <c r="X31" s="163"/>
      <c r="Y31" s="167">
        <v>1397.2389866344852</v>
      </c>
      <c r="Z31" s="168">
        <v>2.9526633165593747E-2</v>
      </c>
      <c r="AA31" s="78"/>
      <c r="AB31" s="168"/>
      <c r="AC31" s="168"/>
      <c r="AD31" s="163">
        <f t="shared" si="102"/>
        <v>16556.68149337409</v>
      </c>
      <c r="AE31" s="168"/>
      <c r="AF31" s="163"/>
      <c r="AG31" s="163"/>
      <c r="AH31" s="163"/>
      <c r="AI31" s="163"/>
      <c r="AJ31" s="167"/>
      <c r="AK31" s="168"/>
      <c r="AL31" s="115"/>
      <c r="AM31" s="115"/>
      <c r="AN31" s="115"/>
      <c r="AO31" s="115"/>
      <c r="AP31" s="115"/>
      <c r="AQ31" s="168"/>
      <c r="AR31" s="79"/>
      <c r="AS31" s="115"/>
      <c r="AT31" s="115"/>
      <c r="AU31" s="115"/>
      <c r="AV31" s="113">
        <f>IFERROR(INDEX('Total Customers'!$F$7:$AB$91,MATCH($C31,'Total Customers'!$D$7:$D$91,0),MATCH($G31,'Total Customers'!$F$5:$AB$5,0)),"NA")</f>
        <v>262290</v>
      </c>
      <c r="AW31" s="68">
        <f t="shared" si="6"/>
        <v>2.7226893646583806E-2</v>
      </c>
      <c r="AX31" s="114"/>
      <c r="AY31" s="114"/>
      <c r="AZ31" s="185"/>
      <c r="BA31" s="185"/>
      <c r="BB31" s="166"/>
      <c r="BC31" s="166" t="s">
        <v>149</v>
      </c>
      <c r="BD31" s="173">
        <v>317.08</v>
      </c>
      <c r="BE31" s="176">
        <f t="shared" si="103"/>
        <v>-0.12236659518102688</v>
      </c>
      <c r="BF31" s="166"/>
      <c r="BG31" s="166"/>
      <c r="BH31" s="166"/>
      <c r="BI31" s="113"/>
      <c r="BJ31" s="113"/>
      <c r="BK31" s="113">
        <f>INDEX('Dist. Plant Gas Additions'!$F$7:$AE$91,MATCH($C31,'Dist. Plant Gas Additions'!$D$7:$D$91,0),MATCH(Calculation!$G31,'Dist. Plant Gas Additions'!$F$5:$AE$5,0))</f>
        <v>16438</v>
      </c>
      <c r="BL31" s="113">
        <f>INDEX('Gen. Plant Additions'!$F$7:$AE$91,MATCH($C31,'Gen. Plant Additions'!$D$7:$D$91,0),MATCH(Calculation!$G31,'Gen. Plant Additions'!$F$5:$AE$5,0))</f>
        <v>344</v>
      </c>
      <c r="BM31" s="231">
        <f t="shared" si="91"/>
        <v>0.96948982838320885</v>
      </c>
      <c r="BN31" s="61">
        <f t="shared" si="8"/>
        <v>333.50450096382383</v>
      </c>
      <c r="BO31" s="113">
        <f>INDEX('Dist Plant Depreciation'!$E$7:$AD$94,MATCH($C31,'Dist Plant Depreciation'!$D$7:$D$94,0),MATCH(Calculation!$G31,'Dist Plant Depreciation'!$E$5:$AD$5,0))</f>
        <v>140639</v>
      </c>
      <c r="BP31" s="113">
        <f>INDEX('Gen. Plant Depreciation'!$E$7:$AD$94,MATCH($C31,'Gen. Plant Depreciation'!$D$7:$D$94,0),MATCH(Calculation!$G31,'Gen. Plant Depreciation'!$E$5:$AD$5,0))</f>
        <v>5808</v>
      </c>
      <c r="BQ31" s="175">
        <v>1956</v>
      </c>
      <c r="BR31" s="175">
        <f t="shared" si="67"/>
        <v>9</v>
      </c>
      <c r="BS31" s="170">
        <v>49.597454529334797</v>
      </c>
      <c r="BT31" s="176">
        <f t="shared" si="90"/>
        <v>6.7873303167420816E-3</v>
      </c>
      <c r="BU31" s="177">
        <f t="shared" si="68"/>
        <v>0.33663430676019096</v>
      </c>
      <c r="BV31" s="177"/>
      <c r="BW31" s="113">
        <f>INDEX('Gross Dx Plant'!$E$7:$AD$91,MATCH($C31,'Gross Dx Plant'!$D$7:$D$91,0),MATCH(Calculation!$G31,'Gross Dx Plant'!$E$5:$AD$5,0))</f>
        <v>414422</v>
      </c>
      <c r="BX31" s="113">
        <f>INDEX('Gross Gen Plant'!$E$7:$AD$91,MATCH($C31,'Gross Gen Plant'!$D$7:$D$91,0),MATCH(Calculation!$G31,'Gross Gen Plant'!$E$5:$AD$5,0))</f>
        <v>13042</v>
      </c>
      <c r="BY31" s="113">
        <f t="shared" si="46"/>
        <v>281017</v>
      </c>
      <c r="BZ31" s="113"/>
      <c r="CA31" s="116">
        <v>2001</v>
      </c>
      <c r="CB31" s="113"/>
      <c r="CC31" s="113"/>
      <c r="CD31" s="113"/>
      <c r="CE31" s="175"/>
      <c r="CF31" s="113">
        <f t="shared" si="92"/>
        <v>16782</v>
      </c>
      <c r="CG31" s="113">
        <f t="shared" si="93"/>
        <v>47.480900811031191</v>
      </c>
      <c r="CH31" s="178">
        <v>0.98461538461538467</v>
      </c>
      <c r="CI31" s="61">
        <f>+CI28*CH31+CG29*CH30+CG30*CH28+CG31</f>
        <v>1397.2389866344852</v>
      </c>
      <c r="CJ31" s="114">
        <f t="shared" si="94"/>
        <v>2.9526633165593747E-2</v>
      </c>
      <c r="CK31" s="114"/>
      <c r="CL31" s="169">
        <f t="shared" si="95"/>
        <v>5.0334128010657798E-3</v>
      </c>
      <c r="CM31" s="169">
        <f>+(CL31+CL30+CL29)/3</f>
        <v>5.0504627697123593E-3</v>
      </c>
      <c r="CN31" s="114">
        <f>VLOOKUP($H31,RoR!$E:$F,2,FALSE)</f>
        <v>7.0824999999999999E-2</v>
      </c>
      <c r="CO31" s="169">
        <v>2.2454495382290052E-2</v>
      </c>
      <c r="CP31" s="169">
        <f t="shared" si="104"/>
        <v>4.8370504617709947E-2</v>
      </c>
      <c r="CQ31" s="169">
        <f>+$CP$2-CM31</f>
        <v>2.5851478838821267E-2</v>
      </c>
      <c r="CR31" s="69">
        <f>+((DE29/DE28-1)+(DE30/DE29-1)+(DE31/DE30-1))/3</f>
        <v>2.3947275901631187E-2</v>
      </c>
      <c r="CS31" s="179">
        <f t="shared" si="96"/>
        <v>0.87050000000000005</v>
      </c>
      <c r="CT31" s="180">
        <f t="shared" si="97"/>
        <v>0.72406708481540816</v>
      </c>
      <c r="CU31" s="180">
        <f t="shared" si="98"/>
        <v>0.62201729615248857</v>
      </c>
      <c r="CV31" s="180">
        <f t="shared" si="99"/>
        <v>0.9352469954311422</v>
      </c>
      <c r="CW31" s="180">
        <f t="shared" si="100"/>
        <v>0.42121864641655071</v>
      </c>
      <c r="CX31" s="181">
        <f>INDEX('State Tax Lookup'!$D$7:$Z$91,MATCH(Calculation!$C31,'State Tax Lookup'!$B$7:$B$91,0),MATCH($H31,'State Tax Lookup'!$D$6:$Z$6,0))</f>
        <v>0.35</v>
      </c>
      <c r="CY31" s="72">
        <v>0.37</v>
      </c>
      <c r="CZ31" s="70">
        <f t="shared" ref="CZ31:CZ52" si="105">+(DE31*CQ31-CR31)*CS31/(1-CX31)</f>
        <v>12.204664712752724</v>
      </c>
      <c r="DA31" s="70"/>
      <c r="DB31" s="69"/>
      <c r="DC31" s="111">
        <f>VLOOKUP($H31,RoR!$E:$F,2,FALSE)</f>
        <v>7.0824999999999999E-2</v>
      </c>
      <c r="DD31" s="216">
        <f>HLOOKUP($H31,'GDP-PI'!$D$8:$CQ$11,3,FALSE)</f>
        <v>2.2454495382290052E-2</v>
      </c>
      <c r="DE31" s="111">
        <f>VLOOKUP(H31,'HW Dx Data'!$E:$F,2,FALSE)</f>
        <v>353.44738017483138</v>
      </c>
      <c r="DF31" s="66"/>
      <c r="DG31" s="69"/>
      <c r="DH31" s="66">
        <f>HLOOKUP(H31,'GDP-PI'!$8:$9,2,FALSE)</f>
        <v>79.822000000000003</v>
      </c>
      <c r="DI31"/>
      <c r="DJ31" s="160">
        <v>48.05833333333333</v>
      </c>
      <c r="DK31" s="160">
        <v>0.94232026143790837</v>
      </c>
      <c r="DN31" s="184">
        <v>1.9153869584023625E-2</v>
      </c>
      <c r="DO31" s="184">
        <v>2.35E-2</v>
      </c>
      <c r="DP31" s="184">
        <f t="shared" si="0"/>
        <v>4.501159352245552E-4</v>
      </c>
      <c r="DQ31" s="184">
        <v>1.52E-2</v>
      </c>
      <c r="DR31" s="184">
        <f t="shared" si="1"/>
        <v>2.9113881767715909E-4</v>
      </c>
      <c r="DS31" s="184">
        <v>1.17E-2</v>
      </c>
      <c r="DT31" s="184">
        <f t="shared" si="2"/>
        <v>2.2410027413307643E-4</v>
      </c>
      <c r="DU31" s="184">
        <v>5.5999999999999999E-3</v>
      </c>
      <c r="DV31" s="184">
        <f t="shared" si="3"/>
        <v>1.072616696705323E-4</v>
      </c>
      <c r="DW31" s="184">
        <v>-1E-3</v>
      </c>
      <c r="DX31" s="184">
        <f t="shared" si="4"/>
        <v>-1.9153869584023625E-5</v>
      </c>
      <c r="EB31">
        <f t="shared" si="20"/>
        <v>2001</v>
      </c>
    </row>
    <row r="32" spans="1:138" s="160" customFormat="1" ht="21">
      <c r="A32" s="160" t="s">
        <v>145</v>
      </c>
      <c r="B32" s="161" t="s">
        <v>145</v>
      </c>
      <c r="C32" s="161">
        <v>4057075</v>
      </c>
      <c r="D32" s="161" t="s">
        <v>146</v>
      </c>
      <c r="E32" s="161"/>
      <c r="F32" s="161"/>
      <c r="G32" s="161" t="s">
        <v>113</v>
      </c>
      <c r="H32" s="162">
        <v>2002</v>
      </c>
      <c r="I32" s="163"/>
      <c r="J32" s="159"/>
      <c r="K32" s="159"/>
      <c r="L32" s="159"/>
      <c r="M32" s="60"/>
      <c r="N32" s="152"/>
      <c r="O32" s="60"/>
      <c r="P32" s="60"/>
      <c r="Q32" s="159"/>
      <c r="R32" s="159"/>
      <c r="S32" s="159"/>
      <c r="T32" s="159"/>
      <c r="U32" s="159"/>
      <c r="V32" s="159"/>
      <c r="W32" s="159">
        <f t="shared" si="101"/>
        <v>17257.605083446091</v>
      </c>
      <c r="X32" s="163"/>
      <c r="Y32" s="167">
        <v>1436.6057467233536</v>
      </c>
      <c r="Z32" s="168">
        <v>2.7785073911532197E-2</v>
      </c>
      <c r="AA32" s="78"/>
      <c r="AB32" s="168"/>
      <c r="AC32" s="168"/>
      <c r="AD32" s="163">
        <f t="shared" si="102"/>
        <v>17257.605083446091</v>
      </c>
      <c r="AE32" s="168"/>
      <c r="AF32" s="163"/>
      <c r="AG32" s="163"/>
      <c r="AH32" s="163"/>
      <c r="AI32" s="163"/>
      <c r="AJ32" s="167"/>
      <c r="AK32" s="168"/>
      <c r="AL32" s="115"/>
      <c r="AM32" s="115"/>
      <c r="AN32" s="115"/>
      <c r="AO32" s="115"/>
      <c r="AP32" s="115"/>
      <c r="AQ32" s="168"/>
      <c r="AR32" s="79"/>
      <c r="AS32" s="115"/>
      <c r="AT32" s="115"/>
      <c r="AU32" s="115"/>
      <c r="AV32" s="113">
        <f>IFERROR(INDEX('Total Customers'!$F$7:$AB$91,MATCH($C32,'Total Customers'!$D$7:$D$91,0),MATCH($G32,'Total Customers'!$F$5:$AB$5,0)),"NA")</f>
        <v>267704</v>
      </c>
      <c r="AW32" s="68">
        <f t="shared" si="6"/>
        <v>2.0431130653130344E-2</v>
      </c>
      <c r="AX32" s="114"/>
      <c r="AY32" s="114"/>
      <c r="AZ32" s="185"/>
      <c r="BA32" s="185"/>
      <c r="BB32" s="166"/>
      <c r="BC32" s="166" t="s">
        <v>150</v>
      </c>
      <c r="BD32" s="173">
        <v>380.56311652694876</v>
      </c>
      <c r="BE32" s="176">
        <f t="shared" si="103"/>
        <v>-0.26876781297250552</v>
      </c>
      <c r="BF32" s="166"/>
      <c r="BG32" s="166"/>
      <c r="BH32" s="166"/>
      <c r="BI32" s="113"/>
      <c r="BJ32" s="113"/>
      <c r="BK32" s="113">
        <f>INDEX('Dist. Plant Gas Additions'!$F$7:$AE$91,MATCH($C32,'Dist. Plant Gas Additions'!$D$7:$D$91,0),MATCH(Calculation!$G32,'Dist. Plant Gas Additions'!$F$5:$AE$5,0))</f>
        <v>16713</v>
      </c>
      <c r="BL32" s="113">
        <f>INDEX('Gen. Plant Additions'!$F$7:$AE$91,MATCH($C32,'Gen. Plant Additions'!$D$7:$D$91,0),MATCH(Calculation!$G32,'Gen. Plant Additions'!$F$5:$AE$5,0))</f>
        <v>416</v>
      </c>
      <c r="BM32" s="231">
        <f t="shared" si="91"/>
        <v>0.97065956203655035</v>
      </c>
      <c r="BN32" s="61">
        <f t="shared" si="8"/>
        <v>403.79437780720497</v>
      </c>
      <c r="BO32" s="113">
        <f>INDEX('Dist Plant Depreciation'!$E$7:$AD$94,MATCH($C32,'Dist Plant Depreciation'!$D$7:$D$94,0),MATCH(Calculation!$G32,'Dist Plant Depreciation'!$E$5:$AD$5,0))</f>
        <v>154105</v>
      </c>
      <c r="BP32" s="113">
        <f>INDEX('Gen. Plant Depreciation'!$E$7:$AD$94,MATCH($C32,'Gen. Plant Depreciation'!$D$7:$D$94,0),MATCH(Calculation!$G32,'Gen. Plant Depreciation'!$E$5:$AD$5,0))</f>
        <v>6036</v>
      </c>
      <c r="BQ32" s="175">
        <v>1957</v>
      </c>
      <c r="BR32" s="175">
        <f t="shared" si="67"/>
        <v>10</v>
      </c>
      <c r="BS32" s="170">
        <v>52.787352730475412</v>
      </c>
      <c r="BT32" s="176">
        <f t="shared" si="90"/>
        <v>7.5414781297134239E-3</v>
      </c>
      <c r="BU32" s="177">
        <f t="shared" si="68"/>
        <v>0.39809466614234851</v>
      </c>
      <c r="BV32" s="177"/>
      <c r="BW32" s="113">
        <f>INDEX('Gross Dx Plant'!$E$7:$AD$91,MATCH($C32,'Gross Dx Plant'!$D$7:$D$91,0),MATCH(Calculation!$G32,'Gross Dx Plant'!$E$5:$AD$5,0))</f>
        <v>430273</v>
      </c>
      <c r="BX32" s="113">
        <f>INDEX('Gross Gen Plant'!$E$7:$AD$91,MATCH($C32,'Gross Gen Plant'!$D$7:$D$91,0),MATCH(Calculation!$G32,'Gross Gen Plant'!$E$5:$AD$5,0))</f>
        <v>13006</v>
      </c>
      <c r="BY32" s="113">
        <f t="shared" si="46"/>
        <v>283138</v>
      </c>
      <c r="BZ32" s="113"/>
      <c r="CA32" s="116">
        <v>2002</v>
      </c>
      <c r="CB32" s="113"/>
      <c r="CC32" s="113"/>
      <c r="CD32" s="113"/>
      <c r="CE32" s="175"/>
      <c r="CF32" s="113">
        <f t="shared" si="92"/>
        <v>17129</v>
      </c>
      <c r="CG32" s="113">
        <f t="shared" si="93"/>
        <v>47.403035698824496</v>
      </c>
      <c r="CH32" s="178">
        <v>0.97916666666666663</v>
      </c>
      <c r="CI32" s="61">
        <f>+CI28*CH32+CG29*CH31+CG30*CH30+CG31*CH29+CG32</f>
        <v>1436.6057467233536</v>
      </c>
      <c r="CJ32" s="114">
        <f t="shared" si="94"/>
        <v>2.7785073911532197E-2</v>
      </c>
      <c r="CK32" s="114"/>
      <c r="CL32" s="169">
        <f t="shared" si="95"/>
        <v>5.7515397772523917E-3</v>
      </c>
      <c r="CM32" s="169">
        <f t="shared" ref="CM32:CM51" si="106">+(CL32+CL31+CL30)/3</f>
        <v>5.3092679027600198E-3</v>
      </c>
      <c r="CN32" s="114">
        <f>VLOOKUP($H32,RoR!$E:$F,2,FALSE)</f>
        <v>6.4916666666666664E-2</v>
      </c>
      <c r="CO32" s="169">
        <v>1.5246423291824351E-2</v>
      </c>
      <c r="CP32" s="169">
        <f t="shared" si="104"/>
        <v>4.9670243374842313E-2</v>
      </c>
      <c r="CQ32" s="169">
        <f t="shared" ref="CQ32:CQ52" si="107">+$CP$2-CM32</f>
        <v>2.5592673705773606E-2</v>
      </c>
      <c r="CR32" s="69">
        <f t="shared" ref="CR32:CR52" si="108">+((DE30/DE29-1)+(DE31/DE30-1)+(DE32/DE31-1))/3</f>
        <v>2.5243621214759093E-2</v>
      </c>
      <c r="CS32" s="179">
        <f t="shared" si="96"/>
        <v>0.87050000000000005</v>
      </c>
      <c r="CT32" s="180">
        <f t="shared" si="97"/>
        <v>0.78996741384417901</v>
      </c>
      <c r="CU32" s="180">
        <f t="shared" si="98"/>
        <v>0.58989088575096271</v>
      </c>
      <c r="CV32" s="180">
        <f t="shared" si="99"/>
        <v>0.91920675783645744</v>
      </c>
      <c r="CW32" s="180">
        <f t="shared" si="100"/>
        <v>0.42834536472275586</v>
      </c>
      <c r="CX32" s="181">
        <f>INDEX('State Tax Lookup'!$D$7:$Z$91,MATCH(Calculation!$C32,'State Tax Lookup'!$B$7:$B$91,0),MATCH($H32,'State Tax Lookup'!$D$6:$Z$6,0))</f>
        <v>0.35</v>
      </c>
      <c r="CY32" s="72">
        <v>0.37</v>
      </c>
      <c r="CZ32" s="70">
        <f t="shared" si="105"/>
        <v>12.351219260646529</v>
      </c>
      <c r="DA32" s="70"/>
      <c r="DB32" s="69">
        <f>LN(CZ32/CZ31)</f>
        <v>1.1936551594303759E-2</v>
      </c>
      <c r="DC32" s="111">
        <f>VLOOKUP($H32,RoR!$E:$F,2,FALSE)</f>
        <v>6.4916666666666664E-2</v>
      </c>
      <c r="DD32" s="216">
        <f>HLOOKUP($H32,'GDP-PI'!$D$8:$CQ$11,3,FALSE)</f>
        <v>1.5246423291824351E-2</v>
      </c>
      <c r="DE32" s="111">
        <f>VLOOKUP(H32,'HW Dx Data'!$E:$F,2,FALSE)</f>
        <v>361.34816573413599</v>
      </c>
      <c r="DF32" s="66"/>
      <c r="DG32" s="69"/>
      <c r="DH32" s="66">
        <f>HLOOKUP(H32,'GDP-PI'!$8:$9,2,FALSE)</f>
        <v>81.039000000000001</v>
      </c>
      <c r="DI32" s="69">
        <f>LN(DH32/DH31)</f>
        <v>1.513136459537477E-2</v>
      </c>
      <c r="DJ32" s="160">
        <v>55.841666666666669</v>
      </c>
      <c r="DK32" s="160">
        <v>1.1370475113122172</v>
      </c>
      <c r="DN32" s="184">
        <v>8.6027422684860073E-4</v>
      </c>
      <c r="DO32" s="184">
        <v>1.4999999999999999E-2</v>
      </c>
      <c r="DP32" s="184">
        <f t="shared" si="0"/>
        <v>1.2904113402729011E-5</v>
      </c>
      <c r="DQ32" s="184">
        <v>6.0000000000000001E-3</v>
      </c>
      <c r="DR32" s="184">
        <f t="shared" si="1"/>
        <v>5.1616453610916045E-6</v>
      </c>
      <c r="DS32" s="184">
        <v>2E-3</v>
      </c>
      <c r="DT32" s="184">
        <f t="shared" si="2"/>
        <v>1.7205484536972015E-6</v>
      </c>
      <c r="DU32" s="184">
        <v>-4.7000000000000002E-3</v>
      </c>
      <c r="DV32" s="184">
        <f t="shared" si="3"/>
        <v>-4.0432888661884233E-6</v>
      </c>
      <c r="DW32" s="184">
        <v>-1.21E-2</v>
      </c>
      <c r="DX32" s="184">
        <f t="shared" si="4"/>
        <v>-1.0409318144868068E-5</v>
      </c>
      <c r="EB32">
        <f t="shared" si="20"/>
        <v>2002</v>
      </c>
    </row>
    <row r="33" spans="1:132" s="160" customFormat="1" ht="21">
      <c r="A33" s="160" t="s">
        <v>145</v>
      </c>
      <c r="B33" s="161" t="s">
        <v>145</v>
      </c>
      <c r="C33" s="161">
        <v>4057075</v>
      </c>
      <c r="D33" s="161" t="s">
        <v>146</v>
      </c>
      <c r="E33" s="161"/>
      <c r="F33" s="161"/>
      <c r="G33" s="42" t="s">
        <v>114</v>
      </c>
      <c r="H33" s="162">
        <v>2003</v>
      </c>
      <c r="I33" s="163"/>
      <c r="J33" s="159"/>
      <c r="K33" s="159"/>
      <c r="L33" s="165"/>
      <c r="M33" s="76"/>
      <c r="N33" s="152"/>
      <c r="O33" s="76"/>
      <c r="P33" s="76"/>
      <c r="Q33" s="159"/>
      <c r="R33" s="159"/>
      <c r="S33" s="159"/>
      <c r="T33" s="159"/>
      <c r="U33" s="159"/>
      <c r="V33" s="159"/>
      <c r="W33" s="159">
        <f t="shared" si="101"/>
        <v>18015.463689215801</v>
      </c>
      <c r="X33" s="163"/>
      <c r="Y33" s="167">
        <v>1483.9826689552858</v>
      </c>
      <c r="Z33" s="168">
        <v>3.2446255199788054E-2</v>
      </c>
      <c r="AA33" s="78"/>
      <c r="AB33" s="168"/>
      <c r="AC33" s="168"/>
      <c r="AD33" s="163">
        <f t="shared" si="102"/>
        <v>18015.463689215801</v>
      </c>
      <c r="AE33" s="168"/>
      <c r="AF33" s="113">
        <f>+AD33+AD58+AD83+AD108+AD133+AD158+AD183+AD208+AD233+AD258+AD283+AD308+AD333+AD358+AD383+AD408+AD433+AD458+AD483+AD508+AD533+AD558+AD583+AD608+AD633+AD658+AD683+AD708+AD733+AD758+AD783+AD808+AD833+AD858+AD883+AD908+AD933+AD958+AD983+AD1008+AD1033+AD1058+AD1083+AD1108+AD1133+AD1158+AD1183+AD1208+AD1233+AD1258+AD1283+AD1308+AD1333+AD1358</f>
        <v>1915179.6545539442</v>
      </c>
      <c r="AG33" s="163"/>
      <c r="AH33" s="163"/>
      <c r="AI33" s="163"/>
      <c r="AJ33" s="167"/>
      <c r="AK33" s="168"/>
      <c r="AL33" s="115"/>
      <c r="AM33" s="115"/>
      <c r="AN33" s="115"/>
      <c r="AO33" s="115"/>
      <c r="AP33" s="115"/>
      <c r="AQ33" s="168"/>
      <c r="AR33" s="79"/>
      <c r="AS33" s="115"/>
      <c r="AT33" s="115"/>
      <c r="AU33" s="115"/>
      <c r="AV33" s="113">
        <f>IFERROR(INDEX('Total Customers'!$F$7:$AB$91,MATCH($C33,'Total Customers'!$D$7:$D$91,0),MATCH($G33,'Total Customers'!$F$5:$AB$5,0)),"NA")</f>
        <v>274404</v>
      </c>
      <c r="AW33" s="68">
        <f t="shared" si="6"/>
        <v>2.4719580490918502E-2</v>
      </c>
      <c r="AX33" s="114"/>
      <c r="AY33" s="114"/>
      <c r="AZ33" s="185"/>
      <c r="BA33" s="185"/>
      <c r="BB33" s="166"/>
      <c r="BC33" s="166" t="s">
        <v>151</v>
      </c>
      <c r="BD33" s="173">
        <f>+(AJ949+AJ950+AJ951)/3</f>
        <v>342.32373556493388</v>
      </c>
      <c r="BE33" s="176">
        <f t="shared" si="103"/>
        <v>-0.18708529065109403</v>
      </c>
      <c r="BF33" s="166"/>
      <c r="BG33" s="166"/>
      <c r="BH33" s="166"/>
      <c r="BI33" s="113"/>
      <c r="BJ33" s="113"/>
      <c r="BK33" s="113">
        <f>INDEX('Dist. Plant Gas Additions'!$F$7:$AE$91,MATCH($C33,'Dist. Plant Gas Additions'!$D$7:$D$91,0),MATCH(Calculation!$G33,'Dist. Plant Gas Additions'!$F$5:$AE$5,0))</f>
        <v>20064</v>
      </c>
      <c r="BL33" s="113">
        <f>INDEX('Gen. Plant Additions'!$F$7:$AE$91,MATCH($C33,'Gen. Plant Additions'!$D$7:$D$91,0),MATCH(Calculation!$G33,'Gen. Plant Additions'!$F$5:$AE$5,0))</f>
        <v>435</v>
      </c>
      <c r="BM33" s="231">
        <f t="shared" si="91"/>
        <v>0.97154744793749259</v>
      </c>
      <c r="BN33" s="61">
        <f t="shared" si="8"/>
        <v>422.62313985280929</v>
      </c>
      <c r="BO33" s="113">
        <f>INDEX('Dist Plant Depreciation'!$E$7:$AD$94,MATCH($C33,'Dist Plant Depreciation'!$D$7:$D$94,0),MATCH(Calculation!$G33,'Dist Plant Depreciation'!$E$5:$AD$5,0))</f>
        <v>165837</v>
      </c>
      <c r="BP33" s="113">
        <f>INDEX('Gen. Plant Depreciation'!$E$7:$AD$94,MATCH($C33,'Gen. Plant Depreciation'!$D$7:$D$94,0),MATCH(Calculation!$G33,'Gen. Plant Depreciation'!$E$5:$AD$5,0))</f>
        <v>6405</v>
      </c>
      <c r="BQ33" s="175">
        <v>1958</v>
      </c>
      <c r="BR33" s="175">
        <f t="shared" si="67"/>
        <v>11</v>
      </c>
      <c r="BS33" s="170">
        <v>55.25442919470045</v>
      </c>
      <c r="BT33" s="176">
        <f t="shared" si="90"/>
        <v>8.2956259426847662E-3</v>
      </c>
      <c r="BU33" s="177">
        <f t="shared" si="68"/>
        <v>0.45837007627579557</v>
      </c>
      <c r="BV33" s="177"/>
      <c r="BW33" s="113">
        <f>INDEX('Gross Dx Plant'!$E$7:$AD$91,MATCH($C33,'Gross Dx Plant'!$D$7:$D$91,0),MATCH(Calculation!$G33,'Gross Dx Plant'!$E$5:$AD$5,0))</f>
        <v>449501</v>
      </c>
      <c r="BX33" s="113">
        <f>INDEX('Gross Gen Plant'!$E$7:$AD$91,MATCH($C33,'Gross Gen Plant'!$D$7:$D$91,0),MATCH(Calculation!$G33,'Gross Gen Plant'!$E$5:$AD$5,0))</f>
        <v>13164</v>
      </c>
      <c r="BY33" s="113">
        <f t="shared" si="46"/>
        <v>290423</v>
      </c>
      <c r="BZ33" s="113"/>
      <c r="CA33" s="116">
        <v>2003</v>
      </c>
      <c r="CB33" s="113"/>
      <c r="CC33" s="113"/>
      <c r="CD33" s="113"/>
      <c r="CE33" s="175"/>
      <c r="CF33" s="113">
        <f t="shared" si="92"/>
        <v>20499</v>
      </c>
      <c r="CG33" s="113">
        <f t="shared" si="93"/>
        <v>55.517787932739537</v>
      </c>
      <c r="CH33" s="178">
        <v>0.97354497354497349</v>
      </c>
      <c r="CI33" s="61">
        <f>+CI28*CH33+CG29*CH32+CG30*CH31+CG31*CH30+CG32*CH29+CG33</f>
        <v>1483.9826689552858</v>
      </c>
      <c r="CJ33" s="114">
        <f t="shared" si="94"/>
        <v>3.2446255199788054E-2</v>
      </c>
      <c r="CK33" s="114"/>
      <c r="CL33" s="169">
        <f t="shared" si="95"/>
        <v>5.6667361378549509E-3</v>
      </c>
      <c r="CM33" s="169">
        <f t="shared" si="106"/>
        <v>5.4838962387243747E-3</v>
      </c>
      <c r="CN33" s="114">
        <f>VLOOKUP($H33,RoR!$E:$F,2,FALSE)</f>
        <v>5.6666666666666671E-2</v>
      </c>
      <c r="CO33" s="169">
        <v>1.8855119140166909E-2</v>
      </c>
      <c r="CP33" s="169">
        <f t="shared" si="104"/>
        <v>3.7811547526499761E-2</v>
      </c>
      <c r="CQ33" s="169">
        <f t="shared" si="107"/>
        <v>2.5418045369809249E-2</v>
      </c>
      <c r="CR33" s="69">
        <f t="shared" si="108"/>
        <v>2.1375012817671957E-2</v>
      </c>
      <c r="CS33" s="179">
        <f t="shared" si="96"/>
        <v>0.87050000000000005</v>
      </c>
      <c r="CT33" s="180">
        <f t="shared" si="97"/>
        <v>0.90497737556561086</v>
      </c>
      <c r="CU33" s="180">
        <f t="shared" si="98"/>
        <v>0.5338235294117647</v>
      </c>
      <c r="CV33" s="180">
        <f t="shared" si="99"/>
        <v>0.88972433127405692</v>
      </c>
      <c r="CW33" s="180">
        <f t="shared" si="100"/>
        <v>0.42982423775949252</v>
      </c>
      <c r="CX33" s="181">
        <f>INDEX('State Tax Lookup'!$D$7:$Z$91,MATCH(Calculation!$C33,'State Tax Lookup'!$B$7:$B$91,0),MATCH($H33,'State Tax Lookup'!$D$6:$Z$6,0))</f>
        <v>0.35</v>
      </c>
      <c r="CY33" s="72">
        <v>0.37</v>
      </c>
      <c r="CZ33" s="70">
        <f t="shared" si="105"/>
        <v>12.540297663646356</v>
      </c>
      <c r="DA33" s="70"/>
      <c r="DB33" s="69">
        <f t="shared" ref="DB33:DB52" si="109">LN(CZ33/CZ32)</f>
        <v>1.5192488296574214E-2</v>
      </c>
      <c r="DC33" s="111">
        <f>VLOOKUP($H33,RoR!$E:$F,2,FALSE)</f>
        <v>5.6666666666666671E-2</v>
      </c>
      <c r="DD33" s="216">
        <f>HLOOKUP($H33,'GDP-PI'!$D$8:$CQ$11,3,FALSE)</f>
        <v>1.8855119140166909E-2</v>
      </c>
      <c r="DE33" s="111">
        <f>VLOOKUP(H33,'HW Dx Data'!$E:$F,2,FALSE)</f>
        <v>369.23301095560191</v>
      </c>
      <c r="DF33" s="72">
        <f>VLOOKUP(G33,EG$8:EH$27,2,FALSE)</f>
        <v>89.25</v>
      </c>
      <c r="DG33" s="69"/>
      <c r="DH33" s="66">
        <f>HLOOKUP(H33,'GDP-PI'!$8:$9,2,FALSE)</f>
        <v>82.566999999999993</v>
      </c>
      <c r="DI33" s="69">
        <f t="shared" ref="DI33:DI52" si="110">LN(DH33/DH32)</f>
        <v>1.8679564681853753E-2</v>
      </c>
      <c r="DJ33" s="160">
        <v>60.416666666666664</v>
      </c>
      <c r="DK33" s="160">
        <v>1.2757667169431877</v>
      </c>
      <c r="DN33" s="184">
        <v>1.758657341238868E-2</v>
      </c>
      <c r="DO33" s="184">
        <v>3.5700000000000003E-2</v>
      </c>
      <c r="DP33" s="184">
        <f t="shared" si="0"/>
        <v>6.2784067082227593E-4</v>
      </c>
      <c r="DQ33" s="184">
        <v>2.87E-2</v>
      </c>
      <c r="DR33" s="184">
        <f t="shared" si="1"/>
        <v>5.0473465693555506E-4</v>
      </c>
      <c r="DS33" s="184">
        <v>2.58E-2</v>
      </c>
      <c r="DT33" s="184">
        <f t="shared" si="2"/>
        <v>4.5373359403962793E-4</v>
      </c>
      <c r="DU33" s="184">
        <v>2.06E-2</v>
      </c>
      <c r="DV33" s="184">
        <f t="shared" si="3"/>
        <v>3.6228341229520679E-4</v>
      </c>
      <c r="DW33" s="184">
        <v>1.52E-2</v>
      </c>
      <c r="DX33" s="184">
        <f t="shared" si="4"/>
        <v>2.6731591586830791E-4</v>
      </c>
      <c r="EB33">
        <f t="shared" si="20"/>
        <v>2003</v>
      </c>
    </row>
    <row r="34" spans="1:132" s="160" customFormat="1" ht="42">
      <c r="A34" s="160" t="s">
        <v>145</v>
      </c>
      <c r="B34" s="161" t="s">
        <v>145</v>
      </c>
      <c r="C34" s="161">
        <v>4057075</v>
      </c>
      <c r="D34" s="161" t="s">
        <v>146</v>
      </c>
      <c r="E34" s="161"/>
      <c r="F34" s="161"/>
      <c r="G34" s="161" t="s">
        <v>115</v>
      </c>
      <c r="H34" s="162">
        <v>2004</v>
      </c>
      <c r="I34" s="163"/>
      <c r="J34" s="159">
        <f>IFERROR(INDEX('Labor Expenditures'!$F$7:$X$91,MATCH($C34,'Labor Expenditures'!$D$7:$D$91,0),MATCH($G34,'Labor Expenditures'!$F$5:$X$5,0)),"NA")</f>
        <v>16894.96793159896</v>
      </c>
      <c r="K34" s="159">
        <f t="shared" ref="K34:K52" si="111">+J34/DF34</f>
        <v>179.06696270905098</v>
      </c>
      <c r="L34" s="165"/>
      <c r="M34" s="76"/>
      <c r="N34" s="152"/>
      <c r="O34" s="76"/>
      <c r="P34" s="76"/>
      <c r="Q34" s="159">
        <f>IFERROR(INDEX('Non-Labor Expenditures'!$F$7:$AB$91,MATCH($C34,'Non-Labor Expenditures'!$D$7:$D$91,0),MATCH($G34,'Non-Labor Expenditures'!$F$5:$AB$5,0)),"NA")</f>
        <v>24467.06910969067</v>
      </c>
      <c r="R34" s="159">
        <f t="shared" ref="R34:R52" si="112">+Q34/DH34</f>
        <v>288.60163143375252</v>
      </c>
      <c r="S34" s="159"/>
      <c r="T34" s="159"/>
      <c r="U34" s="159"/>
      <c r="V34" s="159"/>
      <c r="W34" s="159">
        <f t="shared" si="101"/>
        <v>20623.264105170736</v>
      </c>
      <c r="X34" s="163"/>
      <c r="Y34" s="167">
        <v>1531.1533029548407</v>
      </c>
      <c r="Z34" s="168">
        <v>3.1291778150762138E-2</v>
      </c>
      <c r="AA34" s="76">
        <f t="shared" ref="AA34:AA52" si="113">+Z34*$AR34</f>
        <v>0</v>
      </c>
      <c r="AB34" s="168"/>
      <c r="AC34" s="168"/>
      <c r="AD34" s="163">
        <f t="shared" si="102"/>
        <v>61985.301146460362</v>
      </c>
      <c r="AE34" s="168"/>
      <c r="AF34" s="163"/>
      <c r="AG34" s="163"/>
      <c r="AH34" s="163"/>
      <c r="AI34" s="163"/>
      <c r="AJ34" s="167"/>
      <c r="AK34" s="168"/>
      <c r="AL34" s="115">
        <f t="shared" ref="AL34:AL52" si="114">+J34/AD34</f>
        <v>0.27256410179695867</v>
      </c>
      <c r="AM34" s="115">
        <f t="shared" ref="AM34:AM52" si="115">+Q34/AD34</f>
        <v>0.39472372735399464</v>
      </c>
      <c r="AN34" s="115">
        <f t="shared" ref="AN34:AN52" si="116">+W34/AD34</f>
        <v>0.33271217084904681</v>
      </c>
      <c r="AO34" s="115"/>
      <c r="AP34" s="166"/>
      <c r="AQ34" s="168"/>
      <c r="AR34" s="79"/>
      <c r="AS34" s="115"/>
      <c r="AT34" s="115"/>
      <c r="AU34" s="115"/>
      <c r="AV34" s="113">
        <f>IFERROR(INDEX('Total Customers'!$F$7:$AB$91,MATCH($C34,'Total Customers'!$D$7:$D$91,0),MATCH($G34,'Total Customers'!$F$5:$AB$5,0)),"NA")</f>
        <v>282317</v>
      </c>
      <c r="AW34" s="68">
        <f t="shared" si="6"/>
        <v>2.8429080065869552E-2</v>
      </c>
      <c r="AX34" s="114"/>
      <c r="AY34" s="114"/>
      <c r="AZ34" s="185"/>
      <c r="BA34" s="185"/>
      <c r="BB34" s="166"/>
      <c r="BC34" s="188" t="s">
        <v>152</v>
      </c>
      <c r="BD34" s="173">
        <v>280.38982673238314</v>
      </c>
      <c r="BE34" s="176">
        <f t="shared" si="103"/>
        <v>-7.5246194092373209E-3</v>
      </c>
      <c r="BF34" s="166"/>
      <c r="BG34" s="166"/>
      <c r="BH34" s="166"/>
      <c r="BI34" s="113"/>
      <c r="BJ34" s="113"/>
      <c r="BK34" s="113">
        <f>INDEX('Dist. Plant Gas Additions'!$F$7:$AE$91,MATCH($C34,'Dist. Plant Gas Additions'!$D$7:$D$91,0),MATCH(Calculation!$G34,'Dist. Plant Gas Additions'!$F$5:$AE$5,0))</f>
        <v>20977</v>
      </c>
      <c r="BL34" s="113">
        <f>INDEX('Gen. Plant Additions'!$F$7:$AE$91,MATCH($C34,'Gen. Plant Additions'!$D$7:$D$91,0),MATCH(Calculation!$G34,'Gen. Plant Additions'!$F$5:$AE$5,0))</f>
        <v>2194</v>
      </c>
      <c r="BM34" s="231">
        <f t="shared" si="91"/>
        <v>0.96910483504686407</v>
      </c>
      <c r="BN34" s="61">
        <f t="shared" si="8"/>
        <v>2126.2160080928197</v>
      </c>
      <c r="BO34" s="113">
        <f>INDEX('Dist Plant Depreciation'!$E$7:$AD$94,MATCH($C34,'Dist Plant Depreciation'!$D$7:$D$94,0),MATCH(Calculation!$G34,'Dist Plant Depreciation'!$E$5:$AD$5,0))</f>
        <v>177996</v>
      </c>
      <c r="BP34" s="113">
        <f>INDEX('Gen. Plant Depreciation'!$E$7:$AD$94,MATCH($C34,'Gen. Plant Depreciation'!$D$7:$D$94,0),MATCH(Calculation!$G34,'Gen. Plant Depreciation'!$E$5:$AD$5,0))</f>
        <v>6696</v>
      </c>
      <c r="BQ34" s="175">
        <v>1959</v>
      </c>
      <c r="BR34" s="175">
        <f t="shared" si="67"/>
        <v>12</v>
      </c>
      <c r="BS34" s="170">
        <v>57.07399624103509</v>
      </c>
      <c r="BT34" s="176">
        <f t="shared" si="90"/>
        <v>9.0497737556561094E-3</v>
      </c>
      <c r="BU34" s="177">
        <f t="shared" si="68"/>
        <v>0.51650675331253482</v>
      </c>
      <c r="BV34" s="177"/>
      <c r="BW34" s="113">
        <f>INDEX('Gross Dx Plant'!$E$7:$AD$91,MATCH($C34,'Gross Dx Plant'!$D$7:$D$91,0),MATCH(Calculation!$G34,'Gross Dx Plant'!$E$5:$AD$5,0))</f>
        <v>469415</v>
      </c>
      <c r="BX34" s="113">
        <f>INDEX('Gross Gen Plant'!$E$7:$AD$91,MATCH($C34,'Gross Gen Plant'!$D$7:$D$91,0),MATCH(Calculation!$G34,'Gross Gen Plant'!$E$5:$AD$5,0))</f>
        <v>14965</v>
      </c>
      <c r="BY34" s="113">
        <f t="shared" si="46"/>
        <v>299688</v>
      </c>
      <c r="BZ34" s="113"/>
      <c r="CA34" s="116">
        <v>2004</v>
      </c>
      <c r="CB34" s="113"/>
      <c r="CC34" s="113"/>
      <c r="CD34" s="113"/>
      <c r="CE34" s="175"/>
      <c r="CF34" s="113">
        <f t="shared" si="92"/>
        <v>23171</v>
      </c>
      <c r="CG34" s="113">
        <f t="shared" si="93"/>
        <v>55.848916242693399</v>
      </c>
      <c r="CH34" s="178">
        <v>0.967741935483871</v>
      </c>
      <c r="CI34" s="61">
        <f>+CI28*CH34+CG29*CH33+CG30*CH32+CG31*CH31+CG32*CH30+CG33*CH29+CG34</f>
        <v>1531.1533029548407</v>
      </c>
      <c r="CJ34" s="114">
        <f t="shared" si="94"/>
        <v>3.1291778150762138E-2</v>
      </c>
      <c r="CK34" s="114"/>
      <c r="CL34" s="169">
        <f t="shared" si="95"/>
        <v>5.8479673817538498E-3</v>
      </c>
      <c r="CM34" s="169">
        <f t="shared" si="106"/>
        <v>5.7554144322870641E-3</v>
      </c>
      <c r="CN34" s="114">
        <f>VLOOKUP($H34,RoR!$E:$F,2,FALSE)</f>
        <v>5.6283333333333331E-2</v>
      </c>
      <c r="CO34" s="169">
        <v>2.6778252812867276E-2</v>
      </c>
      <c r="CP34" s="169">
        <f t="shared" si="104"/>
        <v>2.9505080520466055E-2</v>
      </c>
      <c r="CQ34" s="169">
        <f t="shared" si="107"/>
        <v>2.5146527176246561E-2</v>
      </c>
      <c r="CR34" s="69">
        <f t="shared" si="108"/>
        <v>5.5940039414565046E-2</v>
      </c>
      <c r="CS34" s="179">
        <f t="shared" si="96"/>
        <v>0.87050000000000005</v>
      </c>
      <c r="CT34" s="180">
        <f t="shared" si="97"/>
        <v>0.91114097628755619</v>
      </c>
      <c r="CU34" s="180">
        <f t="shared" si="98"/>
        <v>0.53081877405981637</v>
      </c>
      <c r="CV34" s="180">
        <f t="shared" si="99"/>
        <v>0.88811215519385678</v>
      </c>
      <c r="CW34" s="180">
        <f t="shared" si="100"/>
        <v>0.42953609753547711</v>
      </c>
      <c r="CX34" s="181">
        <f>INDEX('State Tax Lookup'!$D$7:$Z$91,MATCH(Calculation!$C34,'State Tax Lookup'!$B$7:$B$91,0),MATCH($H34,'State Tax Lookup'!$D$6:$Z$6,0))</f>
        <v>0.35</v>
      </c>
      <c r="CY34" s="72">
        <v>0.37</v>
      </c>
      <c r="CZ34" s="70">
        <f t="shared" si="105"/>
        <v>13.897240538320695</v>
      </c>
      <c r="DA34" s="70"/>
      <c r="DB34" s="69">
        <f t="shared" si="109"/>
        <v>0.10274302594955328</v>
      </c>
      <c r="DC34" s="111">
        <f>VLOOKUP($H34,RoR!$E:$F,2,FALSE)</f>
        <v>5.6283333333333331E-2</v>
      </c>
      <c r="DD34" s="216">
        <f>HLOOKUP($H34,'GDP-PI'!$D$8:$CQ$11,3,FALSE)</f>
        <v>2.6778252812867276E-2</v>
      </c>
      <c r="DE34" s="111">
        <f>VLOOKUP(H34,'HW Dx Data'!$E:$F,2,FALSE)</f>
        <v>414.88719135228365</v>
      </c>
      <c r="DF34" s="72">
        <f t="shared" ref="DF34:DF52" si="117">VLOOKUP(G34,EG$8:EH$27,2,FALSE)</f>
        <v>94.35</v>
      </c>
      <c r="DG34" s="69">
        <f t="shared" ref="DG34:DG52" si="118">LN(DF34/DF33)</f>
        <v>5.5569851154810786E-2</v>
      </c>
      <c r="DH34" s="66">
        <f>HLOOKUP(H34,'GDP-PI'!$8:$9,2,FALSE)</f>
        <v>84.778000000000006</v>
      </c>
      <c r="DI34" s="69">
        <f t="shared" si="110"/>
        <v>2.6425990216022755E-2</v>
      </c>
      <c r="DJ34" s="160">
        <v>65.208333333333329</v>
      </c>
      <c r="DK34" s="160">
        <v>1.4261249371543487</v>
      </c>
      <c r="DN34" s="184">
        <v>7.6836044830447241E-3</v>
      </c>
      <c r="DO34" s="184">
        <v>3.8699999999999998E-2</v>
      </c>
      <c r="DP34" s="184">
        <f t="shared" si="0"/>
        <v>2.9735549349383083E-4</v>
      </c>
      <c r="DQ34" s="184">
        <v>3.2199999999999999E-2</v>
      </c>
      <c r="DR34" s="184">
        <f t="shared" si="1"/>
        <v>2.4741206435404013E-4</v>
      </c>
      <c r="DS34" s="184">
        <v>2.9399999999999999E-2</v>
      </c>
      <c r="DT34" s="184">
        <f t="shared" si="2"/>
        <v>2.2589797180151488E-4</v>
      </c>
      <c r="DU34" s="184">
        <v>2.4899999999999999E-2</v>
      </c>
      <c r="DV34" s="184">
        <f t="shared" si="3"/>
        <v>1.9132175162781361E-4</v>
      </c>
      <c r="DW34" s="184">
        <v>0.02</v>
      </c>
      <c r="DX34" s="184">
        <f t="shared" si="4"/>
        <v>1.5367208966089447E-4</v>
      </c>
      <c r="EB34">
        <f t="shared" si="20"/>
        <v>2004</v>
      </c>
    </row>
    <row r="35" spans="1:132" s="160" customFormat="1" ht="21">
      <c r="A35" s="160" t="s">
        <v>145</v>
      </c>
      <c r="B35" s="161" t="s">
        <v>145</v>
      </c>
      <c r="C35" s="161">
        <v>4057075</v>
      </c>
      <c r="D35" s="161" t="s">
        <v>146</v>
      </c>
      <c r="E35" s="161"/>
      <c r="F35" s="161"/>
      <c r="G35" s="161" t="s">
        <v>116</v>
      </c>
      <c r="H35" s="162">
        <v>2005</v>
      </c>
      <c r="I35" s="163"/>
      <c r="J35" s="159">
        <f>IFERROR(INDEX('Labor Expenditures'!$F$7:$X$91,MATCH($C35,'Labor Expenditures'!$D$7:$D$91,0),MATCH($G35,'Labor Expenditures'!$F$5:$X$5,0)),"NA")</f>
        <v>16200.970301581736</v>
      </c>
      <c r="K35" s="159">
        <f t="shared" si="111"/>
        <v>163.2750849239782</v>
      </c>
      <c r="L35" s="165">
        <f t="shared" ref="L35:L51" si="119">LN(K35/K34)</f>
        <v>-9.2323413314869179E-2</v>
      </c>
      <c r="M35" s="76"/>
      <c r="N35" s="62">
        <v>100</v>
      </c>
      <c r="O35" s="77"/>
      <c r="P35" s="77"/>
      <c r="Q35" s="159">
        <f>IFERROR(INDEX('Non-Labor Expenditures'!$F$7:$AB$91,MATCH($C35,'Non-Labor Expenditures'!$D$7:$D$91,0),MATCH($G35,'Non-Labor Expenditures'!$F$5:$AB$5,0)),"NA")</f>
        <v>23462.030920548277</v>
      </c>
      <c r="R35" s="159">
        <f t="shared" si="112"/>
        <v>268.42279131589322</v>
      </c>
      <c r="S35" s="165">
        <f>LN(R35/R34)</f>
        <v>-7.2483982271033143E-2</v>
      </c>
      <c r="T35" s="165"/>
      <c r="U35" s="165"/>
      <c r="V35" s="165"/>
      <c r="W35" s="159">
        <f t="shared" si="101"/>
        <v>23914.995660996872</v>
      </c>
      <c r="X35" s="163"/>
      <c r="Y35" s="167">
        <v>1577.0932310574558</v>
      </c>
      <c r="Z35" s="168">
        <v>2.9562181257361778E-2</v>
      </c>
      <c r="AA35" s="76">
        <f t="shared" si="113"/>
        <v>0</v>
      </c>
      <c r="AB35" s="168"/>
      <c r="AC35" s="168"/>
      <c r="AD35" s="163">
        <f t="shared" si="102"/>
        <v>63577.996883126885</v>
      </c>
      <c r="AE35" s="168">
        <f>LN(AD35/AD34)</f>
        <v>2.537017087595848E-2</v>
      </c>
      <c r="AF35" s="163"/>
      <c r="AG35" s="163"/>
      <c r="AH35" s="163"/>
      <c r="AI35" s="163"/>
      <c r="AJ35" s="116"/>
      <c r="AK35" s="114"/>
      <c r="AL35" s="115">
        <f t="shared" si="114"/>
        <v>0.25482039535412526</v>
      </c>
      <c r="AM35" s="115">
        <f t="shared" si="115"/>
        <v>0.36902752635754904</v>
      </c>
      <c r="AN35" s="115">
        <f t="shared" si="116"/>
        <v>0.3761520782883257</v>
      </c>
      <c r="AO35" s="115">
        <f t="shared" ref="AO35:AO51" si="120">+(((AL35+AL34)/2)*L35+((AM34+AM35)/2)*S35+((AN34+AN35)/2)*Z35)</f>
        <v>-4.1547047909989081E-2</v>
      </c>
      <c r="AP35" s="166">
        <v>100</v>
      </c>
      <c r="AQ35" s="168"/>
      <c r="AR35" s="16"/>
      <c r="AS35" s="115"/>
      <c r="AT35" s="115"/>
      <c r="AU35" s="115"/>
      <c r="AV35" s="113">
        <f>IFERROR(INDEX('Total Customers'!$F$7:$AB$91,MATCH($C35,'Total Customers'!$D$7:$D$91,0),MATCH($G35,'Total Customers'!$F$5:$AB$5,0)),"NA")</f>
        <v>291118</v>
      </c>
      <c r="AW35" s="68">
        <f t="shared" si="6"/>
        <v>3.0698130190241792E-2</v>
      </c>
      <c r="AX35" s="114"/>
      <c r="AY35" s="114"/>
      <c r="AZ35" s="185"/>
      <c r="BA35" s="185"/>
      <c r="BB35" s="166"/>
      <c r="BC35" s="166" t="s">
        <v>153</v>
      </c>
      <c r="BD35" s="173">
        <v>260.27999999999997</v>
      </c>
      <c r="BE35" s="176">
        <f t="shared" si="103"/>
        <v>6.9156293222683241E-2</v>
      </c>
      <c r="BF35" s="166"/>
      <c r="BG35" s="166"/>
      <c r="BH35" s="166"/>
      <c r="BI35" s="113"/>
      <c r="BJ35" s="113"/>
      <c r="BK35" s="113">
        <f>INDEX('Dist. Plant Gas Additions'!$F$7:$AE$91,MATCH($C35,'Dist. Plant Gas Additions'!$D$7:$D$91,0),MATCH(Calculation!$G35,'Dist. Plant Gas Additions'!$F$5:$AE$5,0))</f>
        <v>24415</v>
      </c>
      <c r="BL35" s="113">
        <f>INDEX('Gen. Plant Additions'!$F$7:$AE$91,MATCH($C35,'Gen. Plant Additions'!$D$7:$D$91,0),MATCH(Calculation!$G35,'Gen. Plant Additions'!$F$5:$AE$5,0))</f>
        <v>1475</v>
      </c>
      <c r="BM35" s="231">
        <f t="shared" si="91"/>
        <v>0.96790116868562892</v>
      </c>
      <c r="BN35" s="61">
        <f t="shared" si="8"/>
        <v>1427.6542238113027</v>
      </c>
      <c r="BO35" s="113">
        <f>INDEX('Dist Plant Depreciation'!$E$7:$AD$94,MATCH($C35,'Dist Plant Depreciation'!$D$7:$D$94,0),MATCH(Calculation!$G35,'Dist Plant Depreciation'!$E$5:$AD$5,0))</f>
        <v>176412</v>
      </c>
      <c r="BP35" s="113">
        <f>INDEX('Gen. Plant Depreciation'!$E$7:$AD$94,MATCH($C35,'Gen. Plant Depreciation'!$D$7:$D$94,0),MATCH(Calculation!$G35,'Gen. Plant Depreciation'!$E$5:$AD$5,0))</f>
        <v>6112</v>
      </c>
      <c r="BQ35" s="175">
        <v>1960</v>
      </c>
      <c r="BR35" s="175">
        <f t="shared" si="67"/>
        <v>13</v>
      </c>
      <c r="BS35" s="170">
        <v>58.511065950747266</v>
      </c>
      <c r="BT35" s="176">
        <f t="shared" si="90"/>
        <v>9.8039215686274508E-3</v>
      </c>
      <c r="BU35" s="177">
        <f t="shared" si="68"/>
        <v>0.57363790147791438</v>
      </c>
      <c r="BV35" s="177"/>
      <c r="BW35" s="113">
        <f>INDEX('Gross Dx Plant'!$E$7:$AD$91,MATCH($C35,'Gross Dx Plant'!$D$7:$D$91,0),MATCH(Calculation!$G35,'Gross Dx Plant'!$E$5:$AD$5,0))</f>
        <v>471575</v>
      </c>
      <c r="BX35" s="113">
        <f>INDEX('Gross Gen Plant'!$E$7:$AD$91,MATCH($C35,'Gross Gen Plant'!$D$7:$D$91,0),MATCH(Calculation!$G35,'Gross Gen Plant'!$E$5:$AD$5,0))</f>
        <v>15639</v>
      </c>
      <c r="BY35" s="113">
        <f t="shared" si="46"/>
        <v>304690</v>
      </c>
      <c r="BZ35" s="113"/>
      <c r="CA35" s="116">
        <v>2005</v>
      </c>
      <c r="CB35" s="113"/>
      <c r="CC35" s="113"/>
      <c r="CD35" s="113"/>
      <c r="CE35" s="175"/>
      <c r="CF35" s="113">
        <f t="shared" si="92"/>
        <v>25890</v>
      </c>
      <c r="CG35" s="113">
        <f t="shared" si="93"/>
        <v>55.178423622389822</v>
      </c>
      <c r="CH35" s="178">
        <v>0.96174863387978138</v>
      </c>
      <c r="CI35" s="61">
        <f>+CI28*CH35+CG29*CH34+CG30*CH33+CG31*CH32+CG32*CH31+CG33*CH30+CG34*CH29+CG35</f>
        <v>1577.0932310574558</v>
      </c>
      <c r="CJ35" s="114">
        <f t="shared" si="94"/>
        <v>2.9562181257361778E-2</v>
      </c>
      <c r="CK35" s="114"/>
      <c r="CL35" s="169">
        <f t="shared" si="95"/>
        <v>6.0336842182596171E-3</v>
      </c>
      <c r="CM35" s="169">
        <f t="shared" si="106"/>
        <v>5.8494625792894729E-3</v>
      </c>
      <c r="CN35" s="114">
        <f>VLOOKUP($H35,RoR!$E:$F,2,FALSE)</f>
        <v>5.2350000000000001E-2</v>
      </c>
      <c r="CO35" s="169">
        <v>3.1010403642454332E-2</v>
      </c>
      <c r="CP35" s="169">
        <f t="shared" si="104"/>
        <v>2.1339596357545669E-2</v>
      </c>
      <c r="CQ35" s="169">
        <f t="shared" si="107"/>
        <v>2.5052479029244151E-2</v>
      </c>
      <c r="CR35" s="69">
        <f t="shared" si="108"/>
        <v>9.2129610649277341E-2</v>
      </c>
      <c r="CS35" s="179">
        <f t="shared" si="96"/>
        <v>0.87050000000000005</v>
      </c>
      <c r="CT35" s="180">
        <f t="shared" si="97"/>
        <v>0.97959983346802826</v>
      </c>
      <c r="CU35" s="180">
        <f t="shared" si="98"/>
        <v>0.49744508118433622</v>
      </c>
      <c r="CV35" s="180">
        <f t="shared" si="99"/>
        <v>0.87010519444335932</v>
      </c>
      <c r="CW35" s="180">
        <f t="shared" si="100"/>
        <v>0.42399975420741998</v>
      </c>
      <c r="CX35" s="181">
        <f>INDEX('State Tax Lookup'!$D$7:$Z$91,MATCH(Calculation!$C35,'State Tax Lookup'!$B$7:$B$91,0),MATCH($H35,'State Tax Lookup'!$D$6:$Z$6,0))</f>
        <v>0.35</v>
      </c>
      <c r="CY35" s="72">
        <v>0.37</v>
      </c>
      <c r="CZ35" s="70">
        <f t="shared" si="105"/>
        <v>15.618942672066463</v>
      </c>
      <c r="DA35" s="70"/>
      <c r="DB35" s="69">
        <f t="shared" si="109"/>
        <v>0.11679415346618066</v>
      </c>
      <c r="DC35" s="111">
        <f>VLOOKUP($H35,RoR!$E:$F,2,FALSE)</f>
        <v>5.2350000000000001E-2</v>
      </c>
      <c r="DD35" s="216">
        <f>HLOOKUP($H35,'GDP-PI'!$D$8:$CQ$11,3,FALSE)</f>
        <v>3.1010403642454332E-2</v>
      </c>
      <c r="DE35" s="111">
        <f>VLOOKUP(H35,'HW Dx Data'!$E:$F,2,FALSE)</f>
        <v>469.20514034936258</v>
      </c>
      <c r="DF35" s="72">
        <f t="shared" si="117"/>
        <v>99.224999999999994</v>
      </c>
      <c r="DG35" s="69">
        <f t="shared" si="118"/>
        <v>5.0378726854569796E-2</v>
      </c>
      <c r="DH35" s="66">
        <f>HLOOKUP(H35,'GDP-PI'!$8:$9,2,FALSE)</f>
        <v>87.406999999999996</v>
      </c>
      <c r="DI35" s="69">
        <f t="shared" si="110"/>
        <v>3.0539295810733648E-2</v>
      </c>
      <c r="DJ35" s="160">
        <v>71.05</v>
      </c>
      <c r="DK35" s="160">
        <v>1.6074660633484161</v>
      </c>
      <c r="DN35" s="184">
        <v>0.11665754067445543</v>
      </c>
      <c r="DO35" s="184">
        <v>2.8000000000000001E-2</v>
      </c>
      <c r="DP35" s="184">
        <f t="shared" si="0"/>
        <v>3.2664111388847521E-3</v>
      </c>
      <c r="DQ35" s="184">
        <v>2.1299999999999999E-2</v>
      </c>
      <c r="DR35" s="184">
        <f t="shared" si="1"/>
        <v>2.4848056163659007E-3</v>
      </c>
      <c r="DS35" s="184">
        <v>1.8100000000000002E-2</v>
      </c>
      <c r="DT35" s="184">
        <f t="shared" si="2"/>
        <v>2.1115014862076436E-3</v>
      </c>
      <c r="DU35" s="184">
        <v>1.3599999999999999E-2</v>
      </c>
      <c r="DV35" s="184">
        <f t="shared" si="3"/>
        <v>1.5865425531725937E-3</v>
      </c>
      <c r="DW35" s="184">
        <v>8.6E-3</v>
      </c>
      <c r="DX35" s="184">
        <f t="shared" si="4"/>
        <v>1.0032548498003166E-3</v>
      </c>
      <c r="EB35">
        <f t="shared" si="20"/>
        <v>2005</v>
      </c>
    </row>
    <row r="36" spans="1:132" s="160" customFormat="1" ht="21">
      <c r="A36" s="160" t="s">
        <v>145</v>
      </c>
      <c r="B36" s="161" t="s">
        <v>145</v>
      </c>
      <c r="C36" s="161">
        <v>4057075</v>
      </c>
      <c r="D36" s="161" t="s">
        <v>146</v>
      </c>
      <c r="E36" s="161"/>
      <c r="F36" s="161"/>
      <c r="G36" s="161" t="s">
        <v>117</v>
      </c>
      <c r="H36" s="162">
        <v>2006</v>
      </c>
      <c r="I36" s="163"/>
      <c r="J36" s="159">
        <f>IFERROR(INDEX('Labor Expenditures'!$F$7:$X$91,MATCH($C36,'Labor Expenditures'!$D$7:$D$91,0),MATCH($G36,'Labor Expenditures'!$F$5:$X$5,0)),"NA")</f>
        <v>15636.189322591681</v>
      </c>
      <c r="K36" s="159">
        <f t="shared" si="111"/>
        <v>142.9267762576936</v>
      </c>
      <c r="L36" s="165">
        <f t="shared" si="119"/>
        <v>-0.13310397094365775</v>
      </c>
      <c r="M36" s="76">
        <f t="shared" ref="M36:M52" si="121">+L36*$AR36</f>
        <v>-1.0422974596367863E-3</v>
      </c>
      <c r="N36" s="62">
        <f>+N35*EXP(O36)</f>
        <v>90.117933296251849</v>
      </c>
      <c r="O36" s="96">
        <f t="shared" ref="O36:O52" si="122">+M36+M61+M86+M111+M136+M161+M186+M211+M236+M261+M286+M311+M336+M361+M386+M411+M436+M461+M486+M511+M536+M561+M586+M611+M636+M661+M686+M711+M736+M761+M786+M811+M836+M861+M886+M911+M936+M961+M986+M1011+M1036+M1061+M1086+M1111+M1136+M1161+M1186+M1211+M1236+M1261+M1286+M1311+M1336+M1361</f>
        <v>-0.10405100348492387</v>
      </c>
      <c r="P36" s="96">
        <f ca="1">SUMIF(G$36:M$1352,G36,M$36:M$1352)</f>
        <v>-0.10405100348492387</v>
      </c>
      <c r="Q36" s="159">
        <f>IFERROR(INDEX('Non-Labor Expenditures'!$F$7:$AB$91,MATCH($C36,'Non-Labor Expenditures'!$D$7:$D$91,0),MATCH($G36,'Non-Labor Expenditures'!$F$5:$AB$5,0)),"NA")</f>
        <v>22644.122576434565</v>
      </c>
      <c r="R36" s="159">
        <f t="shared" si="112"/>
        <v>251.39465968464336</v>
      </c>
      <c r="S36" s="165">
        <f t="shared" ref="S36:S51" si="123">LN(R36/R35)</f>
        <v>-6.553926335036013E-2</v>
      </c>
      <c r="T36" s="165">
        <f t="shared" ref="T36:T52" si="124">+S36*AR36</f>
        <v>-5.1321840522295596E-4</v>
      </c>
      <c r="U36" s="165"/>
      <c r="V36" s="165"/>
      <c r="W36" s="159">
        <f t="shared" si="101"/>
        <v>24049.142491903083</v>
      </c>
      <c r="X36" s="163"/>
      <c r="Y36" s="167">
        <v>1646.53835182732</v>
      </c>
      <c r="Z36" s="168">
        <v>4.309169002042549E-2</v>
      </c>
      <c r="AA36" s="76">
        <f t="shared" si="113"/>
        <v>3.3743815996862615E-4</v>
      </c>
      <c r="AB36" s="168"/>
      <c r="AC36" s="168"/>
      <c r="AD36" s="163">
        <f t="shared" si="102"/>
        <v>62329.454390929328</v>
      </c>
      <c r="AE36" s="168">
        <f t="shared" ref="AE36:AE52" si="125">LN(AD36/AD35)</f>
        <v>-1.983335230300708E-2</v>
      </c>
      <c r="AF36" s="163"/>
      <c r="AG36" s="163"/>
      <c r="AH36" s="163"/>
      <c r="AI36" s="163"/>
      <c r="AJ36" s="116">
        <f t="shared" ref="AJ36:AJ52" si="126">+(AD36*1000)/AV36</f>
        <v>208.30366010389983</v>
      </c>
      <c r="AK36" s="114">
        <f>+AV36/$AX$11</f>
        <v>8.6277825358450268E-3</v>
      </c>
      <c r="AL36" s="115">
        <f t="shared" si="114"/>
        <v>0.25086356804155152</v>
      </c>
      <c r="AM36" s="115">
        <f t="shared" si="115"/>
        <v>0.36329730137554223</v>
      </c>
      <c r="AN36" s="115">
        <f t="shared" si="116"/>
        <v>0.38583913058290631</v>
      </c>
      <c r="AO36" s="115">
        <f t="shared" si="120"/>
        <v>-4.1234542171164804E-2</v>
      </c>
      <c r="AP36" s="166">
        <f>+AP35*EXP(AO36)</f>
        <v>95.960403593776462</v>
      </c>
      <c r="AQ36" s="168">
        <f>LN(AP36/AP35)</f>
        <v>-4.1234542171164651E-2</v>
      </c>
      <c r="AR36" s="69">
        <f>+AD36/$AF$11</f>
        <v>7.830701460274132E-3</v>
      </c>
      <c r="AS36" s="169">
        <f>+AR36*AQ36</f>
        <v>-3.2289538959347431E-4</v>
      </c>
      <c r="AT36" s="115"/>
      <c r="AU36" s="115"/>
      <c r="AV36" s="113">
        <f>IFERROR(INDEX('Total Customers'!$F$7:$AB$91,MATCH($C36,'Total Customers'!$D$7:$D$91,0),MATCH($G36,'Total Customers'!$F$5:$AB$5,0)),"NA")</f>
        <v>299224</v>
      </c>
      <c r="AW36" s="68">
        <f t="shared" si="6"/>
        <v>2.7463773526032798E-2</v>
      </c>
      <c r="AX36" s="114"/>
      <c r="AY36" s="114"/>
      <c r="AZ36" s="116"/>
      <c r="BA36" s="116"/>
      <c r="BB36" s="166"/>
      <c r="BC36" s="166"/>
      <c r="BD36" s="174"/>
      <c r="BE36" s="166"/>
      <c r="BF36" s="166"/>
      <c r="BG36" s="166"/>
      <c r="BH36" s="166"/>
      <c r="BI36" s="113"/>
      <c r="BJ36" s="113"/>
      <c r="BK36" s="113">
        <f>INDEX('Dist. Plant Gas Additions'!$F$7:$AE$91,MATCH($C36,'Dist. Plant Gas Additions'!$D$7:$D$91,0),MATCH(Calculation!$G36,'Dist. Plant Gas Additions'!$F$5:$AE$5,0))</f>
        <v>33443</v>
      </c>
      <c r="BL36" s="113">
        <f>INDEX('Gen. Plant Additions'!$F$7:$AE$91,MATCH($C36,'Gen. Plant Additions'!$D$7:$D$91,0),MATCH(Calculation!$G36,'Gen. Plant Additions'!$F$5:$AE$5,0))</f>
        <v>3104</v>
      </c>
      <c r="BM36" s="231">
        <f t="shared" si="91"/>
        <v>0.96440490500677833</v>
      </c>
      <c r="BN36" s="61">
        <f t="shared" si="8"/>
        <v>2993.5128251410401</v>
      </c>
      <c r="BO36" s="113">
        <f>INDEX('Dist Plant Depreciation'!$E$7:$AD$94,MATCH($C36,'Dist Plant Depreciation'!$D$7:$D$94,0),MATCH(Calculation!$G36,'Dist Plant Depreciation'!$E$5:$AD$5,0))</f>
        <v>187384</v>
      </c>
      <c r="BP36" s="113">
        <f>INDEX('Gen. Plant Depreciation'!$E$7:$AD$94,MATCH($C36,'Gen. Plant Depreciation'!$D$7:$D$94,0),MATCH(Calculation!$G36,'Gen. Plant Depreciation'!$E$5:$AD$5,0))</f>
        <v>7898</v>
      </c>
      <c r="BQ36" s="175">
        <v>1961</v>
      </c>
      <c r="BR36" s="175">
        <f t="shared" si="67"/>
        <v>14</v>
      </c>
      <c r="BS36" s="170">
        <v>59.629647802968329</v>
      </c>
      <c r="BT36" s="176">
        <f t="shared" si="90"/>
        <v>1.0558069381598794E-2</v>
      </c>
      <c r="BU36" s="177">
        <f t="shared" si="68"/>
        <v>0.62957395870403976</v>
      </c>
      <c r="BV36" s="177"/>
      <c r="BW36" s="113">
        <f>INDEX('Gross Dx Plant'!$E$7:$AD$91,MATCH($C36,'Gross Dx Plant'!$D$7:$D$91,0),MATCH(Calculation!$G36,'Gross Dx Plant'!$E$5:$AD$5,0))</f>
        <v>502237</v>
      </c>
      <c r="BX36" s="113">
        <f>INDEX('Gross Gen Plant'!$E$7:$AD$91,MATCH($C36,'Gross Gen Plant'!$D$7:$D$91,0),MATCH(Calculation!$G36,'Gross Gen Plant'!$E$5:$AD$5,0))</f>
        <v>18537</v>
      </c>
      <c r="BY36" s="113">
        <f t="shared" si="46"/>
        <v>325492</v>
      </c>
      <c r="BZ36" s="114"/>
      <c r="CA36" s="116">
        <v>2006</v>
      </c>
      <c r="CB36" s="113"/>
      <c r="CC36" s="113"/>
      <c r="CD36" s="113"/>
      <c r="CE36" s="175"/>
      <c r="CF36" s="113">
        <f t="shared" si="92"/>
        <v>36547</v>
      </c>
      <c r="CG36" s="113">
        <f t="shared" si="93"/>
        <v>79.262926960264338</v>
      </c>
      <c r="CH36" s="178">
        <v>0.9555555555555556</v>
      </c>
      <c r="CI36" s="61">
        <f>+CI28*CH36+CG29*CH35+CG30*CH34+CG31*CH33+CG32*CH32+CG33*CH31+CG34*CH30+CG35*CH29+CG36</f>
        <v>1646.53835182732</v>
      </c>
      <c r="CJ36" s="114">
        <f t="shared" si="94"/>
        <v>4.309169002042549E-2</v>
      </c>
      <c r="CK36" s="114"/>
      <c r="CL36" s="169">
        <f t="shared" si="95"/>
        <v>6.2252541555943685E-3</v>
      </c>
      <c r="CM36" s="169">
        <f t="shared" si="106"/>
        <v>6.035635251869279E-3</v>
      </c>
      <c r="CN36" s="114">
        <f>VLOOKUP($H36,RoR!$E:$F,2,FALSE)</f>
        <v>5.5874999999999994E-2</v>
      </c>
      <c r="CO36" s="169">
        <v>3.0512430354548314E-2</v>
      </c>
      <c r="CP36" s="169">
        <f t="shared" si="104"/>
        <v>2.536256964545168E-2</v>
      </c>
      <c r="CQ36" s="169">
        <f t="shared" si="107"/>
        <v>2.4866306356664345E-2</v>
      </c>
      <c r="CR36" s="69">
        <f t="shared" si="108"/>
        <v>7.9087823893859641E-2</v>
      </c>
      <c r="CS36" s="179">
        <f t="shared" si="96"/>
        <v>0.87050000000000005</v>
      </c>
      <c r="CT36" s="180">
        <f t="shared" si="97"/>
        <v>0.91779957551769631</v>
      </c>
      <c r="CU36" s="180">
        <f t="shared" si="98"/>
        <v>0.52757270693512304</v>
      </c>
      <c r="CV36" s="180">
        <f t="shared" si="99"/>
        <v>0.88636824549024895</v>
      </c>
      <c r="CW36" s="180">
        <f t="shared" si="100"/>
        <v>0.42918482841932087</v>
      </c>
      <c r="CX36" s="181">
        <f>INDEX('State Tax Lookup'!$D$7:$Z$91,MATCH(Calculation!$C36,'State Tax Lookup'!$B$7:$B$91,0),MATCH($H36,'State Tax Lookup'!$D$6:$Z$6,0))</f>
        <v>0.35</v>
      </c>
      <c r="CY36" s="72">
        <v>0.37</v>
      </c>
      <c r="CZ36" s="70">
        <f t="shared" si="105"/>
        <v>15.24903031622164</v>
      </c>
      <c r="DA36" s="70">
        <v>14.788696346247992</v>
      </c>
      <c r="DB36" s="69">
        <f t="shared" si="109"/>
        <v>-2.3968536261445871E-2</v>
      </c>
      <c r="DC36" s="111">
        <f>VLOOKUP($H36,RoR!$E:$F,2,FALSE)</f>
        <v>5.5874999999999994E-2</v>
      </c>
      <c r="DD36" s="216">
        <f>HLOOKUP($H36,'GDP-PI'!$D$8:$CQ$11,3,FALSE)</f>
        <v>3.0512430354548314E-2</v>
      </c>
      <c r="DE36" s="111">
        <f>VLOOKUP(H36,'HW Dx Data'!$E:$F,2,FALSE)</f>
        <v>461.08567272971823</v>
      </c>
      <c r="DF36" s="72">
        <f t="shared" si="117"/>
        <v>109.4</v>
      </c>
      <c r="DG36" s="69">
        <f t="shared" si="118"/>
        <v>9.7620891318751846E-2</v>
      </c>
      <c r="DH36" s="66">
        <f>HLOOKUP(H36,'GDP-PI'!$8:$9,2,FALSE)</f>
        <v>90.073999999999998</v>
      </c>
      <c r="DI36" s="69">
        <f t="shared" si="110"/>
        <v>3.005618372545445E-2</v>
      </c>
      <c r="DJ36" s="160">
        <v>79.25</v>
      </c>
      <c r="DK36" s="160">
        <v>1.8527526395173455</v>
      </c>
      <c r="DN36" s="184">
        <v>3.7564126000317624E-2</v>
      </c>
      <c r="DO36" s="184">
        <v>3.6600000000000001E-2</v>
      </c>
      <c r="DP36" s="184">
        <f t="shared" si="0"/>
        <v>1.3748470116116251E-3</v>
      </c>
      <c r="DQ36" s="184">
        <v>3.0599999999999999E-2</v>
      </c>
      <c r="DR36" s="184">
        <f t="shared" si="1"/>
        <v>1.1494622556097193E-3</v>
      </c>
      <c r="DS36" s="184">
        <v>2.7799999999999998E-2</v>
      </c>
      <c r="DT36" s="184">
        <f t="shared" si="2"/>
        <v>1.0442827028088299E-3</v>
      </c>
      <c r="DU36" s="184">
        <v>2.3800000000000002E-2</v>
      </c>
      <c r="DV36" s="184">
        <f t="shared" si="3"/>
        <v>8.9402619880755952E-4</v>
      </c>
      <c r="DW36" s="184">
        <v>1.95E-2</v>
      </c>
      <c r="DX36" s="184">
        <f t="shared" si="4"/>
        <v>7.3250045700619371E-4</v>
      </c>
      <c r="EB36">
        <f t="shared" si="20"/>
        <v>2006</v>
      </c>
    </row>
    <row r="37" spans="1:132" s="160" customFormat="1" ht="21">
      <c r="A37" s="160" t="s">
        <v>145</v>
      </c>
      <c r="B37" s="161" t="s">
        <v>145</v>
      </c>
      <c r="C37" s="161">
        <v>4057075</v>
      </c>
      <c r="D37" s="161" t="s">
        <v>146</v>
      </c>
      <c r="E37" s="161"/>
      <c r="F37" s="161"/>
      <c r="G37" s="161" t="s">
        <v>118</v>
      </c>
      <c r="H37" s="162">
        <v>2007</v>
      </c>
      <c r="I37" s="163"/>
      <c r="J37" s="159">
        <f>IFERROR(INDEX('Labor Expenditures'!$F$7:$X$91,MATCH($C37,'Labor Expenditures'!$D$7:$D$91,0),MATCH($G37,'Labor Expenditures'!$F$5:$X$5,0)),"NA")</f>
        <v>16673.67666870388</v>
      </c>
      <c r="K37" s="159">
        <f t="shared" si="111"/>
        <v>159.5185521999893</v>
      </c>
      <c r="L37" s="165">
        <f t="shared" si="119"/>
        <v>0.10982778522092868</v>
      </c>
      <c r="M37" s="76">
        <f t="shared" si="121"/>
        <v>8.8542870554592209E-4</v>
      </c>
      <c r="N37" s="62">
        <f t="shared" ref="N37:N50" si="127">+N36*EXP(O37)</f>
        <v>97.422393711945048</v>
      </c>
      <c r="O37" s="96">
        <f t="shared" si="122"/>
        <v>7.7936916625973601E-2</v>
      </c>
      <c r="P37" s="96">
        <f t="shared" ref="P37:P52" ca="1" si="128">SUMIF(G$36:M$1352,G37,M$36:M$1352)</f>
        <v>7.7936916625973601E-2</v>
      </c>
      <c r="Q37" s="159">
        <f>IFERROR(INDEX('Non-Labor Expenditures'!$F$7:$AB$91,MATCH($C37,'Non-Labor Expenditures'!$D$7:$D$91,0),MATCH($G37,'Non-Labor Expenditures'!$F$5:$AB$5,0)),"NA")</f>
        <v>24146.598029511933</v>
      </c>
      <c r="R37" s="159">
        <f t="shared" si="112"/>
        <v>261.04994734493647</v>
      </c>
      <c r="S37" s="165">
        <f t="shared" si="123"/>
        <v>3.7687704525638528E-2</v>
      </c>
      <c r="T37" s="165">
        <f t="shared" si="124"/>
        <v>3.0383727911845757E-4</v>
      </c>
      <c r="U37" s="165"/>
      <c r="V37" s="165"/>
      <c r="W37" s="159">
        <f t="shared" si="101"/>
        <v>26962.754284885392</v>
      </c>
      <c r="X37" s="163"/>
      <c r="Y37" s="167">
        <v>1731.6641435234997</v>
      </c>
      <c r="Z37" s="168">
        <v>5.0407763317496933E-2</v>
      </c>
      <c r="AA37" s="76">
        <f t="shared" si="113"/>
        <v>4.0638605735237394E-4</v>
      </c>
      <c r="AB37" s="168"/>
      <c r="AC37" s="168"/>
      <c r="AD37" s="163">
        <f t="shared" si="102"/>
        <v>67783.028983101205</v>
      </c>
      <c r="AE37" s="168">
        <f t="shared" si="125"/>
        <v>8.3877756402172335E-2</v>
      </c>
      <c r="AF37" s="163"/>
      <c r="AG37" s="163"/>
      <c r="AH37" s="163"/>
      <c r="AI37" s="163"/>
      <c r="AJ37" s="116">
        <f t="shared" si="126"/>
        <v>221.38294135182312</v>
      </c>
      <c r="AK37" s="114">
        <f>+AV37/$AX$12</f>
        <v>8.7618815741476591E-3</v>
      </c>
      <c r="AL37" s="115">
        <f t="shared" si="114"/>
        <v>0.24598600739516593</v>
      </c>
      <c r="AM37" s="115">
        <f t="shared" si="115"/>
        <v>0.3562336825569104</v>
      </c>
      <c r="AN37" s="115">
        <f t="shared" si="116"/>
        <v>0.39778031004792364</v>
      </c>
      <c r="AO37" s="115">
        <f t="shared" si="120"/>
        <v>6.0592931435984931E-2</v>
      </c>
      <c r="AP37" s="166">
        <f>+AP36*EXP(AO37)</f>
        <v>101.95469778402997</v>
      </c>
      <c r="AQ37" s="168">
        <f>LN(AP37/AP36)</f>
        <v>6.0592931435984945E-2</v>
      </c>
      <c r="AR37" s="69">
        <f>+AD37/$AF$12</f>
        <v>8.0619736049925891E-3</v>
      </c>
      <c r="AS37" s="169">
        <f>+AR37*AQ37</f>
        <v>4.8849861388603638E-4</v>
      </c>
      <c r="AT37" s="115"/>
      <c r="AU37" s="115"/>
      <c r="AV37" s="113">
        <f>IFERROR(INDEX('Total Customers'!$F$7:$AB$91,MATCH($C37,'Total Customers'!$D$7:$D$91,0),MATCH($G37,'Total Customers'!$F$5:$AB$5,0)),"NA")</f>
        <v>306180</v>
      </c>
      <c r="AW37" s="68">
        <f t="shared" si="6"/>
        <v>2.2980707516832777E-2</v>
      </c>
      <c r="AX37" s="114"/>
      <c r="AY37" s="114"/>
      <c r="AZ37" s="116"/>
      <c r="BA37" s="116"/>
      <c r="BB37" s="166"/>
      <c r="BC37" s="166"/>
      <c r="BD37" s="166"/>
      <c r="BE37" s="166"/>
      <c r="BF37" s="166"/>
      <c r="BG37" s="166"/>
      <c r="BH37" s="166"/>
      <c r="BI37" s="113"/>
      <c r="BJ37" s="113"/>
      <c r="BK37" s="113">
        <f>INDEX('Dist. Plant Gas Additions'!$F$7:$AE$91,MATCH($C37,'Dist. Plant Gas Additions'!$D$7:$D$91,0),MATCH(Calculation!$G37,'Dist. Plant Gas Additions'!$F$5:$AE$5,0))</f>
        <v>46636</v>
      </c>
      <c r="BL37" s="113">
        <f>INDEX('Gen. Plant Additions'!$F$7:$AE$91,MATCH($C37,'Gen. Plant Additions'!$D$7:$D$91,0),MATCH(Calculation!$G37,'Gen. Plant Additions'!$F$5:$AE$5,0))</f>
        <v>1008</v>
      </c>
      <c r="BM37" s="231">
        <f t="shared" si="91"/>
        <v>0.96704256221719453</v>
      </c>
      <c r="BN37" s="61">
        <f t="shared" si="8"/>
        <v>974.77890271493209</v>
      </c>
      <c r="BO37" s="113">
        <f>INDEX('Dist Plant Depreciation'!$E$7:$AD$94,MATCH($C37,'Dist Plant Depreciation'!$D$7:$D$94,0),MATCH(Calculation!$G37,'Dist Plant Depreciation'!$E$5:$AD$5,0))</f>
        <v>200085</v>
      </c>
      <c r="BP37" s="113">
        <f>INDEX('Gen. Plant Depreciation'!$E$7:$AD$94,MATCH($C37,'Gen. Plant Depreciation'!$D$7:$D$94,0),MATCH(Calculation!$G37,'Gen. Plant Depreciation'!$E$5:$AD$5,0))</f>
        <v>7904</v>
      </c>
      <c r="BQ37" s="175">
        <v>1962</v>
      </c>
      <c r="BR37" s="175">
        <f t="shared" si="67"/>
        <v>15</v>
      </c>
      <c r="BS37" s="170">
        <v>64.986775237393061</v>
      </c>
      <c r="BT37" s="176">
        <f t="shared" si="90"/>
        <v>1.1312217194570135E-2</v>
      </c>
      <c r="BU37" s="177">
        <f t="shared" si="68"/>
        <v>0.73514451626010247</v>
      </c>
      <c r="BV37" s="177"/>
      <c r="BW37" s="113">
        <f>INDEX('Gross Dx Plant'!$E$7:$AD$91,MATCH($C37,'Gross Dx Plant'!$D$7:$D$91,0),MATCH(Calculation!$G37,'Gross Dx Plant'!$E$5:$AD$5,0))</f>
        <v>547114</v>
      </c>
      <c r="BX37" s="113">
        <f>INDEX('Gross Gen Plant'!$E$7:$AD$91,MATCH($C37,'Gross Gen Plant'!$D$7:$D$91,0),MATCH(Calculation!$G37,'Gross Gen Plant'!$E$5:$AD$5,0))</f>
        <v>18646</v>
      </c>
      <c r="BY37" s="113">
        <f t="shared" si="46"/>
        <v>357771</v>
      </c>
      <c r="BZ37" s="113"/>
      <c r="CA37" s="116">
        <v>2007</v>
      </c>
      <c r="CB37" s="113"/>
      <c r="CC37" s="113"/>
      <c r="CD37" s="113"/>
      <c r="CE37" s="175"/>
      <c r="CF37" s="113">
        <f t="shared" si="92"/>
        <v>47644</v>
      </c>
      <c r="CG37" s="113">
        <f t="shared" si="93"/>
        <v>95.666395901038896</v>
      </c>
      <c r="CH37" s="178">
        <v>0.94915254237288138</v>
      </c>
      <c r="CI37" s="61">
        <f>+CI28*CH37+CG29*CH36+CG30*CH35+CG31*CH34+CG32*CH33+CG33*CH32+CG34*CH31+CG35*CH30+CG36*CH29+CG37</f>
        <v>1731.6641435234997</v>
      </c>
      <c r="CJ37" s="114">
        <f t="shared" si="94"/>
        <v>5.0407763317496933E-2</v>
      </c>
      <c r="CK37" s="114"/>
      <c r="CL37" s="169">
        <f t="shared" si="95"/>
        <v>6.4016754867332933E-3</v>
      </c>
      <c r="CM37" s="169">
        <f t="shared" si="106"/>
        <v>6.2202046201957593E-3</v>
      </c>
      <c r="CN37" s="114">
        <f>VLOOKUP($H37,RoR!$E:$F,2,FALSE)</f>
        <v>5.5558333333333321E-2</v>
      </c>
      <c r="CO37" s="169">
        <v>2.691120634145272E-2</v>
      </c>
      <c r="CP37" s="169">
        <f t="shared" si="104"/>
        <v>2.86471269918806E-2</v>
      </c>
      <c r="CQ37" s="169">
        <f t="shared" si="107"/>
        <v>2.4681736988337866E-2</v>
      </c>
      <c r="CR37" s="69">
        <f t="shared" si="108"/>
        <v>6.4575155250632399E-2</v>
      </c>
      <c r="CS37" s="179">
        <f t="shared" si="96"/>
        <v>0.87050000000000005</v>
      </c>
      <c r="CT37" s="180">
        <f t="shared" si="97"/>
        <v>0.92303077153834634</v>
      </c>
      <c r="CU37" s="180">
        <f t="shared" si="98"/>
        <v>0.52502249887505614</v>
      </c>
      <c r="CV37" s="180">
        <f t="shared" si="99"/>
        <v>0.88499666072084604</v>
      </c>
      <c r="CW37" s="180">
        <f t="shared" si="100"/>
        <v>0.42887993290280618</v>
      </c>
      <c r="CX37" s="181">
        <f>INDEX('State Tax Lookup'!$D$7:$Z$91,MATCH(Calculation!$C37,'State Tax Lookup'!$B$7:$B$91,0),MATCH($H37,'State Tax Lookup'!$D$6:$Z$6,0))</f>
        <v>0.35</v>
      </c>
      <c r="CY37" s="72">
        <v>0.37</v>
      </c>
      <c r="CZ37" s="70">
        <f t="shared" si="105"/>
        <v>16.375418316228263</v>
      </c>
      <c r="DA37" s="70">
        <v>16.108943221861779</v>
      </c>
      <c r="DB37" s="69">
        <f t="shared" si="109"/>
        <v>7.1265412014003521E-2</v>
      </c>
      <c r="DC37" s="111">
        <f>VLOOKUP($H37,RoR!$E:$F,2,FALSE)</f>
        <v>5.5558333333333321E-2</v>
      </c>
      <c r="DD37" s="216">
        <f>HLOOKUP($H37,'GDP-PI'!$D$8:$CQ$11,3,FALSE)</f>
        <v>2.691120634145272E-2</v>
      </c>
      <c r="DE37" s="111">
        <f>VLOOKUP(H37,'HW Dx Data'!$E:$F,2,FALSE)</f>
        <v>498.0223154772637</v>
      </c>
      <c r="DF37" s="72">
        <f t="shared" si="117"/>
        <v>104.52499999999999</v>
      </c>
      <c r="DG37" s="69">
        <f t="shared" si="118"/>
        <v>-4.5584612745252218E-2</v>
      </c>
      <c r="DH37" s="66">
        <f>HLOOKUP(H37,'GDP-PI'!$8:$9,2,FALSE)</f>
        <v>92.498000000000005</v>
      </c>
      <c r="DI37" s="69">
        <f t="shared" si="110"/>
        <v>2.6555467950038037E-2</v>
      </c>
      <c r="DJ37" s="160">
        <v>87.283333333333331</v>
      </c>
      <c r="DK37" s="160">
        <v>2.1063851181498241</v>
      </c>
      <c r="DN37" s="184">
        <v>1.1105433028856712E-2</v>
      </c>
      <c r="DO37" s="184">
        <v>3.9399999999999998E-2</v>
      </c>
      <c r="DP37" s="184">
        <f t="shared" ref="DP37:DP57" si="129">+DO37*DN37</f>
        <v>4.3755406133695444E-4</v>
      </c>
      <c r="DQ37" s="184">
        <v>3.2899999999999999E-2</v>
      </c>
      <c r="DR37" s="184">
        <f t="shared" ref="DR37:DR57" si="130">+DN37*DQ37</f>
        <v>3.6536874664938579E-4</v>
      </c>
      <c r="DS37" s="184">
        <v>3.0300000000000001E-2</v>
      </c>
      <c r="DT37" s="184">
        <f t="shared" ref="DT37:DT57" si="131">+DN37*DS37</f>
        <v>3.3649462077435836E-4</v>
      </c>
      <c r="DU37" s="184">
        <v>2.5700000000000001E-2</v>
      </c>
      <c r="DV37" s="184">
        <f t="shared" ref="DV37:DV57" si="132">+DN37*DU37</f>
        <v>2.8540962884161748E-4</v>
      </c>
      <c r="DW37" s="184">
        <v>2.1000000000000001E-2</v>
      </c>
      <c r="DX37" s="184">
        <f t="shared" ref="DX37:DX57" si="133">+DN37*DW37</f>
        <v>2.3321409360599097E-4</v>
      </c>
      <c r="EB37">
        <f t="shared" si="20"/>
        <v>2007</v>
      </c>
    </row>
    <row r="38" spans="1:132" s="160" customFormat="1" ht="21">
      <c r="A38" s="160" t="s">
        <v>145</v>
      </c>
      <c r="B38" s="161" t="s">
        <v>145</v>
      </c>
      <c r="C38" s="161">
        <v>4057075</v>
      </c>
      <c r="D38" s="161" t="s">
        <v>146</v>
      </c>
      <c r="E38" s="161"/>
      <c r="F38" s="161"/>
      <c r="G38" s="161" t="s">
        <v>120</v>
      </c>
      <c r="H38" s="162">
        <v>2008</v>
      </c>
      <c r="I38" s="163"/>
      <c r="J38" s="159">
        <f>IFERROR(INDEX('Labor Expenditures'!$F$7:$X$91,MATCH($C38,'Labor Expenditures'!$D$7:$D$91,0),MATCH($G38,'Labor Expenditures'!$F$5:$X$5,0)),"NA")</f>
        <v>17331.203797770282</v>
      </c>
      <c r="K38" s="159">
        <f t="shared" si="111"/>
        <v>160.62283408498871</v>
      </c>
      <c r="L38" s="165">
        <f t="shared" si="119"/>
        <v>6.8987410684397945E-3</v>
      </c>
      <c r="M38" s="76">
        <f t="shared" si="121"/>
        <v>5.7294528572033809E-5</v>
      </c>
      <c r="N38" s="62">
        <f t="shared" si="127"/>
        <v>96.282300797866611</v>
      </c>
      <c r="O38" s="96">
        <f t="shared" si="122"/>
        <v>-1.177158955477643E-2</v>
      </c>
      <c r="P38" s="96">
        <f t="shared" ca="1" si="128"/>
        <v>-1.177158955477643E-2</v>
      </c>
      <c r="Q38" s="159">
        <f>IFERROR(INDEX('Non-Labor Expenditures'!$F$7:$AB$91,MATCH($C38,'Non-Labor Expenditures'!$D$7:$D$91,0),MATCH($G38,'Non-Labor Expenditures'!$F$5:$AB$5,0)),"NA")</f>
        <v>25098.820121527559</v>
      </c>
      <c r="R38" s="159">
        <f t="shared" si="112"/>
        <v>266.26092804811549</v>
      </c>
      <c r="S38" s="165">
        <f t="shared" si="123"/>
        <v>1.9765002341867587E-2</v>
      </c>
      <c r="T38" s="165">
        <f t="shared" si="124"/>
        <v>1.6414973111297752E-4</v>
      </c>
      <c r="U38" s="165"/>
      <c r="V38" s="165"/>
      <c r="W38" s="159">
        <f t="shared" si="101"/>
        <v>32224.120598864705</v>
      </c>
      <c r="X38" s="163"/>
      <c r="Y38" s="167">
        <v>1819.9655646107155</v>
      </c>
      <c r="Z38" s="168">
        <v>4.9734701544665014E-2</v>
      </c>
      <c r="AA38" s="76">
        <f t="shared" si="113"/>
        <v>4.1305018559231515E-4</v>
      </c>
      <c r="AB38" s="168"/>
      <c r="AC38" s="168"/>
      <c r="AD38" s="163">
        <f t="shared" si="102"/>
        <v>74654.144518162546</v>
      </c>
      <c r="AE38" s="168">
        <f t="shared" si="125"/>
        <v>9.6554188146624226E-2</v>
      </c>
      <c r="AF38" s="163"/>
      <c r="AG38" s="163"/>
      <c r="AH38" s="163"/>
      <c r="AI38" s="163"/>
      <c r="AJ38" s="116">
        <f t="shared" si="126"/>
        <v>239.86654495091298</v>
      </c>
      <c r="AK38" s="114">
        <f>+AV38/$AX$13</f>
        <v>8.8588344424191841E-3</v>
      </c>
      <c r="AL38" s="115">
        <f t="shared" si="114"/>
        <v>0.2321532703861309</v>
      </c>
      <c r="AM38" s="115">
        <f t="shared" si="115"/>
        <v>0.33620129576893465</v>
      </c>
      <c r="AN38" s="115">
        <f t="shared" si="116"/>
        <v>0.43164543384493442</v>
      </c>
      <c r="AO38" s="115">
        <f t="shared" si="120"/>
        <v>2.9117889933119194E-2</v>
      </c>
      <c r="AP38" s="166">
        <f>+AP37*EXP(AO38)</f>
        <v>104.96704724995034</v>
      </c>
      <c r="AQ38" s="168">
        <f>LN(AP38/AP37)</f>
        <v>2.9117889933119298E-2</v>
      </c>
      <c r="AR38" s="69">
        <f>+AD38/$AF$13</f>
        <v>8.3050701575311369E-3</v>
      </c>
      <c r="AS38" s="169">
        <f t="shared" ref="AS38:AS51" si="134">+AR38*AQ38</f>
        <v>2.418261187338254E-4</v>
      </c>
      <c r="AT38" s="115"/>
      <c r="AU38" s="115"/>
      <c r="AV38" s="113">
        <f>IFERROR(INDEX('Total Customers'!$F$7:$AB$91,MATCH($C38,'Total Customers'!$D$7:$D$91,0),MATCH($G38,'Total Customers'!$F$5:$AB$5,0)),"NA")</f>
        <v>311232</v>
      </c>
      <c r="AW38" s="68">
        <f t="shared" si="6"/>
        <v>1.6365450477385524E-2</v>
      </c>
      <c r="AX38" s="114"/>
      <c r="AY38" s="114"/>
      <c r="AZ38" s="116"/>
      <c r="BA38" s="116"/>
      <c r="BB38" s="166"/>
      <c r="BC38" s="166"/>
      <c r="BD38" s="166"/>
      <c r="BE38" s="166"/>
      <c r="BF38" s="166"/>
      <c r="BG38" s="166"/>
      <c r="BH38" s="166"/>
      <c r="BI38" s="113"/>
      <c r="BJ38" s="113"/>
      <c r="BK38" s="113">
        <f>INDEX('Dist. Plant Gas Additions'!$F$7:$AE$91,MATCH($C38,'Dist. Plant Gas Additions'!$D$7:$D$91,0),MATCH(Calculation!$G38,'Dist. Plant Gas Additions'!$F$5:$AE$5,0))</f>
        <v>54381</v>
      </c>
      <c r="BL38" s="113">
        <f>INDEX('Gen. Plant Additions'!$F$7:$AE$91,MATCH($C38,'Gen. Plant Additions'!$D$7:$D$91,0),MATCH(Calculation!$G38,'Gen. Plant Additions'!$F$5:$AE$5,0))</f>
        <v>2422</v>
      </c>
      <c r="BM38" s="231">
        <f t="shared" si="91"/>
        <v>0.96714349791702292</v>
      </c>
      <c r="BN38" s="61">
        <f t="shared" si="8"/>
        <v>2342.4215519550294</v>
      </c>
      <c r="BO38" s="113">
        <f>INDEX('Dist Plant Depreciation'!$E$7:$AD$94,MATCH($C38,'Dist Plant Depreciation'!$D$7:$D$94,0),MATCH(Calculation!$G38,'Dist Plant Depreciation'!$E$5:$AD$5,0))</f>
        <v>168874</v>
      </c>
      <c r="BP38" s="113">
        <f>INDEX('Gen. Plant Depreciation'!$E$7:$AD$94,MATCH($C38,'Gen. Plant Depreciation'!$D$7:$D$94,0),MATCH(Calculation!$G38,'Gen. Plant Depreciation'!$E$5:$AD$5,0))</f>
        <v>48618</v>
      </c>
      <c r="BQ38" s="175">
        <v>1963</v>
      </c>
      <c r="BR38" s="175">
        <f t="shared" si="67"/>
        <v>16</v>
      </c>
      <c r="BS38" s="170">
        <v>66.067760209098495</v>
      </c>
      <c r="BT38" s="176">
        <f t="shared" si="90"/>
        <v>1.2066365007541479E-2</v>
      </c>
      <c r="BU38" s="177">
        <f t="shared" si="68"/>
        <v>0.79719770991370731</v>
      </c>
      <c r="BV38" s="177"/>
      <c r="BW38" s="113">
        <f>INDEX('Gross Dx Plant'!$E$7:$AD$91,MATCH($C38,'Gross Dx Plant'!$D$7:$D$91,0),MATCH(Calculation!$G38,'Gross Dx Plant'!$E$5:$AD$5,0))</f>
        <v>599422</v>
      </c>
      <c r="BX38" s="113">
        <f>INDEX('Gross Gen Plant'!$E$7:$AD$91,MATCH($C38,'Gross Gen Plant'!$D$7:$D$91,0),MATCH(Calculation!$G38,'Gross Gen Plant'!$E$5:$AD$5,0))</f>
        <v>20364</v>
      </c>
      <c r="BY38" s="113">
        <f t="shared" si="46"/>
        <v>402294</v>
      </c>
      <c r="BZ38" s="113"/>
      <c r="CA38" s="116">
        <v>2008</v>
      </c>
      <c r="CB38" s="113"/>
      <c r="CC38" s="113"/>
      <c r="CD38" s="113"/>
      <c r="CE38" s="175"/>
      <c r="CF38" s="113">
        <f t="shared" si="92"/>
        <v>56803</v>
      </c>
      <c r="CG38" s="113">
        <f t="shared" si="93"/>
        <v>99.675159783422075</v>
      </c>
      <c r="CH38" s="178">
        <v>0.94252873563218387</v>
      </c>
      <c r="CI38" s="61">
        <f>+CI28*CH38+CG29*CH37+CG30*CH36+CG31*CH35+CG32*CH34+CG33*CH33+CG34*CH32+CG35*CH31+CG36*CH30+CG37*CH29+CG38</f>
        <v>1819.9655646107155</v>
      </c>
      <c r="CJ38" s="114">
        <f t="shared" si="94"/>
        <v>4.9734701544665014E-2</v>
      </c>
      <c r="CK38" s="114"/>
      <c r="CL38" s="169">
        <f t="shared" si="95"/>
        <v>6.5680973638822943E-3</v>
      </c>
      <c r="CM38" s="169">
        <f t="shared" si="106"/>
        <v>6.3983423354033184E-3</v>
      </c>
      <c r="CN38" s="114">
        <f>VLOOKUP($H38,RoR!$E:$F,2,FALSE)</f>
        <v>5.6316666666666668E-2</v>
      </c>
      <c r="CO38" s="169">
        <v>1.9092304698479889E-2</v>
      </c>
      <c r="CP38" s="169">
        <f t="shared" si="104"/>
        <v>3.7224361968186778E-2</v>
      </c>
      <c r="CQ38" s="169">
        <f t="shared" si="107"/>
        <v>2.4503599273130307E-2</v>
      </c>
      <c r="CR38" s="69">
        <f t="shared" si="108"/>
        <v>6.9030581091053131E-2</v>
      </c>
      <c r="CS38" s="179">
        <f t="shared" si="96"/>
        <v>0.87050000000000005</v>
      </c>
      <c r="CT38" s="180">
        <f t="shared" si="97"/>
        <v>0.91060168006009956</v>
      </c>
      <c r="CU38" s="180">
        <f t="shared" si="98"/>
        <v>0.53108168097070152</v>
      </c>
      <c r="CV38" s="180">
        <f t="shared" si="99"/>
        <v>0.88825329850328805</v>
      </c>
      <c r="CW38" s="180">
        <f t="shared" si="100"/>
        <v>0.4295627335323573</v>
      </c>
      <c r="CX38" s="181">
        <f>INDEX('State Tax Lookup'!$D$7:$Z$91,MATCH(Calculation!$C38,'State Tax Lookup'!$B$7:$B$91,0),MATCH($H38,'State Tax Lookup'!$D$6:$Z$6,0))</f>
        <v>0.35</v>
      </c>
      <c r="CY38" s="72">
        <v>0.37</v>
      </c>
      <c r="CZ38" s="70">
        <f t="shared" si="105"/>
        <v>18.608758932489501</v>
      </c>
      <c r="DA38" s="70">
        <v>18.300102035478151</v>
      </c>
      <c r="DB38" s="69">
        <f t="shared" si="109"/>
        <v>0.12785105300034366</v>
      </c>
      <c r="DC38" s="111">
        <f>VLOOKUP($H38,RoR!$E:$F,2,FALSE)</f>
        <v>5.6316666666666668E-2</v>
      </c>
      <c r="DD38" s="216">
        <f>HLOOKUP($H38,'GDP-PI'!$D$8:$CQ$11,3,FALSE)</f>
        <v>1.9092304698479889E-2</v>
      </c>
      <c r="DE38" s="111">
        <f>VLOOKUP(H38,'HW Dx Data'!$E:$F,2,FALSE)</f>
        <v>569.88120333515076</v>
      </c>
      <c r="DF38" s="72">
        <f t="shared" si="117"/>
        <v>107.9</v>
      </c>
      <c r="DG38" s="69">
        <f t="shared" si="118"/>
        <v>3.1778595021460486E-2</v>
      </c>
      <c r="DH38" s="66">
        <f>HLOOKUP(H38,'GDP-PI'!$8:$9,2,FALSE)</f>
        <v>94.263999999999996</v>
      </c>
      <c r="DI38" s="69">
        <f t="shared" si="110"/>
        <v>1.8912333748032254E-2</v>
      </c>
      <c r="DJ38" s="160">
        <v>92.5</v>
      </c>
      <c r="DK38" s="160">
        <v>2.3020361990950224</v>
      </c>
      <c r="DN38" s="184">
        <v>1.1207959651333104E-2</v>
      </c>
      <c r="DO38" s="184">
        <v>3.04E-2</v>
      </c>
      <c r="DP38" s="184">
        <f t="shared" si="129"/>
        <v>3.4072197340052635E-4</v>
      </c>
      <c r="DQ38" s="184">
        <v>2.2800000000000001E-2</v>
      </c>
      <c r="DR38" s="184">
        <f t="shared" si="130"/>
        <v>2.5554148005039475E-4</v>
      </c>
      <c r="DS38" s="184">
        <v>1.9699999999999999E-2</v>
      </c>
      <c r="DT38" s="184">
        <f t="shared" si="131"/>
        <v>2.2079680513126213E-4</v>
      </c>
      <c r="DU38" s="184">
        <v>1.41E-2</v>
      </c>
      <c r="DV38" s="184">
        <f t="shared" si="132"/>
        <v>1.5803223108379677E-4</v>
      </c>
      <c r="DW38" s="184">
        <v>8.2000000000000007E-3</v>
      </c>
      <c r="DX38" s="184">
        <f t="shared" si="133"/>
        <v>9.190526914093146E-5</v>
      </c>
      <c r="EB38">
        <f t="shared" si="20"/>
        <v>2008</v>
      </c>
    </row>
    <row r="39" spans="1:132" s="160" customFormat="1" ht="21">
      <c r="A39" s="160" t="s">
        <v>145</v>
      </c>
      <c r="B39" s="161" t="s">
        <v>145</v>
      </c>
      <c r="C39" s="161">
        <v>4057075</v>
      </c>
      <c r="D39" s="161" t="s">
        <v>146</v>
      </c>
      <c r="E39" s="161"/>
      <c r="F39" s="161"/>
      <c r="G39" s="161" t="s">
        <v>125</v>
      </c>
      <c r="H39" s="162">
        <v>2009</v>
      </c>
      <c r="I39" s="163"/>
      <c r="J39" s="159">
        <f>IFERROR(INDEX('Labor Expenditures'!$F$7:$X$91,MATCH($C39,'Labor Expenditures'!$D$7:$D$91,0),MATCH($G39,'Labor Expenditures'!$F$5:$X$5,0)),"NA")</f>
        <v>18782.995856106085</v>
      </c>
      <c r="K39" s="159">
        <f t="shared" si="111"/>
        <v>169.3305914456262</v>
      </c>
      <c r="L39" s="165">
        <f t="shared" si="119"/>
        <v>5.2793995266257131E-2</v>
      </c>
      <c r="M39" s="76">
        <f t="shared" si="121"/>
        <v>4.4205767177323642E-4</v>
      </c>
      <c r="N39" s="62">
        <f t="shared" si="127"/>
        <v>101.06338505253356</v>
      </c>
      <c r="O39" s="96">
        <f t="shared" si="122"/>
        <v>4.8463385201755402E-2</v>
      </c>
      <c r="P39" s="96">
        <f t="shared" ca="1" si="128"/>
        <v>4.8463385201755402E-2</v>
      </c>
      <c r="Q39" s="159">
        <f>IFERROR(INDEX('Non-Labor Expenditures'!$F$7:$AB$91,MATCH($C39,'Non-Labor Expenditures'!$D$7:$D$91,0),MATCH($G39,'Non-Labor Expenditures'!$F$5:$AB$5,0)),"NA")</f>
        <v>27201.286179350995</v>
      </c>
      <c r="R39" s="159">
        <f t="shared" si="112"/>
        <v>286.33234222834972</v>
      </c>
      <c r="S39" s="165">
        <f t="shared" si="123"/>
        <v>7.2676411448831732E-2</v>
      </c>
      <c r="T39" s="165">
        <f t="shared" si="124"/>
        <v>6.0853824522801676E-4</v>
      </c>
      <c r="U39" s="165"/>
      <c r="V39" s="165"/>
      <c r="W39" s="159">
        <f t="shared" si="101"/>
        <v>32520.313041336893</v>
      </c>
      <c r="X39" s="163"/>
      <c r="Y39" s="167">
        <v>1877.2813861648665</v>
      </c>
      <c r="Z39" s="168">
        <v>3.1007078716805098E-2</v>
      </c>
      <c r="AA39" s="76">
        <f t="shared" si="113"/>
        <v>2.5963022796270547E-4</v>
      </c>
      <c r="AB39" s="168"/>
      <c r="AC39" s="168"/>
      <c r="AD39" s="163">
        <f t="shared" si="102"/>
        <v>78504.595076793979</v>
      </c>
      <c r="AE39" s="168">
        <f t="shared" si="125"/>
        <v>5.0291117308868309E-2</v>
      </c>
      <c r="AF39" s="163"/>
      <c r="AG39" s="163"/>
      <c r="AH39" s="163"/>
      <c r="AI39" s="163"/>
      <c r="AJ39" s="116">
        <f t="shared" si="126"/>
        <v>249.75612845556029</v>
      </c>
      <c r="AK39" s="114">
        <f>+AV39/$AX$14</f>
        <v>8.9354676306235593E-3</v>
      </c>
      <c r="AL39" s="115">
        <f t="shared" si="114"/>
        <v>0.2392598272461933</v>
      </c>
      <c r="AM39" s="115">
        <f t="shared" si="115"/>
        <v>0.34649291742403643</v>
      </c>
      <c r="AN39" s="115">
        <f t="shared" si="116"/>
        <v>0.41424725532977014</v>
      </c>
      <c r="AO39" s="115">
        <f t="shared" si="120"/>
        <v>5.0366103787905681E-2</v>
      </c>
      <c r="AP39" s="166">
        <f t="shared" ref="AP39:AP51" si="135">+AP38*EXP(AO39)</f>
        <v>110.38922936388235</v>
      </c>
      <c r="AQ39" s="168">
        <f t="shared" ref="AQ39:AQ51" si="136">LN(AP39/AP38)</f>
        <v>5.0366103787905667E-2</v>
      </c>
      <c r="AR39" s="69">
        <f>+AD39/$AF$14</f>
        <v>8.3732566467795647E-3</v>
      </c>
      <c r="AS39" s="169">
        <f t="shared" si="134"/>
        <v>4.2172831331447052E-4</v>
      </c>
      <c r="AT39" s="115"/>
      <c r="AU39" s="115"/>
      <c r="AV39" s="113">
        <f>IFERROR(INDEX('Total Customers'!$F$7:$AB$91,MATCH($C39,'Total Customers'!$D$7:$D$91,0),MATCH($G39,'Total Customers'!$F$5:$AB$5,0)),"NA")</f>
        <v>314325</v>
      </c>
      <c r="AW39" s="68">
        <f t="shared" si="6"/>
        <v>9.8888676979242713E-3</v>
      </c>
      <c r="AX39" s="114"/>
      <c r="AY39" s="114"/>
      <c r="AZ39" s="116"/>
      <c r="BA39" s="116"/>
      <c r="BB39" s="166"/>
      <c r="BC39" s="166"/>
      <c r="BD39" s="166"/>
      <c r="BE39" s="166"/>
      <c r="BF39" s="166"/>
      <c r="BG39" s="166"/>
      <c r="BH39" s="166"/>
      <c r="BI39" s="113"/>
      <c r="BJ39" s="113"/>
      <c r="BK39" s="113">
        <f>INDEX('Dist. Plant Gas Additions'!$F$7:$AE$91,MATCH($C39,'Dist. Plant Gas Additions'!$D$7:$D$91,0),MATCH(Calculation!$G39,'Dist. Plant Gas Additions'!$F$5:$AE$5,0))</f>
        <v>35762</v>
      </c>
      <c r="BL39" s="113">
        <f>INDEX('Gen. Plant Additions'!$F$7:$AE$91,MATCH($C39,'Gen. Plant Additions'!$D$7:$D$91,0),MATCH(Calculation!$G39,'Gen. Plant Additions'!$F$5:$AE$5,0))</f>
        <v>2570</v>
      </c>
      <c r="BM39" s="231">
        <f t="shared" si="91"/>
        <v>0.96529183212954939</v>
      </c>
      <c r="BN39" s="61">
        <f t="shared" si="8"/>
        <v>2480.8000085729418</v>
      </c>
      <c r="BO39" s="113">
        <f>INDEX('Dist Plant Depreciation'!$E$7:$AD$94,MATCH($C39,'Dist Plant Depreciation'!$D$7:$D$94,0),MATCH(Calculation!$G39,'Dist Plant Depreciation'!$E$5:$AD$5,0))</f>
        <v>217067</v>
      </c>
      <c r="BP39" s="113">
        <f>INDEX('Gen. Plant Depreciation'!$E$7:$AD$94,MATCH($C39,'Gen. Plant Depreciation'!$D$7:$D$94,0),MATCH(Calculation!$G39,'Gen. Plant Depreciation'!$E$5:$AD$5,0))</f>
        <v>8906</v>
      </c>
      <c r="BQ39" s="175">
        <v>1964</v>
      </c>
      <c r="BR39" s="175">
        <f t="shared" si="67"/>
        <v>17</v>
      </c>
      <c r="BS39" s="170">
        <v>67.328840099292009</v>
      </c>
      <c r="BT39" s="176">
        <f t="shared" si="90"/>
        <v>1.282051282051282E-2</v>
      </c>
      <c r="BU39" s="177">
        <f t="shared" si="68"/>
        <v>0.86319025768323088</v>
      </c>
      <c r="BV39" s="177"/>
      <c r="BW39" s="113">
        <f>INDEX('Gross Dx Plant'!$E$7:$AD$91,MATCH($C39,'Gross Dx Plant'!$D$7:$D$91,0),MATCH(Calculation!$G39,'Gross Dx Plant'!$E$5:$AD$5,0))</f>
        <v>630546</v>
      </c>
      <c r="BX39" s="113">
        <f>INDEX('Gross Gen Plant'!$E$7:$AD$91,MATCH($C39,'Gross Gen Plant'!$D$7:$D$91,0),MATCH(Calculation!$G39,'Gross Gen Plant'!$E$5:$AD$5,0))</f>
        <v>22672</v>
      </c>
      <c r="BY39" s="113">
        <f t="shared" si="46"/>
        <v>427245</v>
      </c>
      <c r="BZ39" s="113"/>
      <c r="CA39" s="116">
        <v>2009</v>
      </c>
      <c r="CB39" s="113"/>
      <c r="CC39" s="113"/>
      <c r="CD39" s="113"/>
      <c r="CE39" s="175"/>
      <c r="CF39" s="113">
        <f t="shared" si="92"/>
        <v>38332</v>
      </c>
      <c r="CG39" s="113">
        <f t="shared" si="93"/>
        <v>69.575553952337771</v>
      </c>
      <c r="CH39" s="178">
        <v>0.93567251461988299</v>
      </c>
      <c r="CI39" s="61">
        <f>+CI28*CH39+CG29*CH38+CG30*CH37+CG31*CH36+CG32*CH35+CG33*CH34+CG34*CH33+CG35*CH32+CG36*CH31+CG37*CH30+CG38*CH29+CG39</f>
        <v>1877.2813861648665</v>
      </c>
      <c r="CJ39" s="114">
        <f t="shared" si="94"/>
        <v>3.1007078716805098E-2</v>
      </c>
      <c r="CK39" s="114"/>
      <c r="CL39" s="169">
        <f t="shared" si="95"/>
        <v>6.7362441557014523E-3</v>
      </c>
      <c r="CM39" s="169">
        <f t="shared" si="106"/>
        <v>6.5686723354390136E-3</v>
      </c>
      <c r="CN39" s="114">
        <f>VLOOKUP($H39,RoR!$E:$F,2,FALSE)</f>
        <v>5.3133333333333324E-2</v>
      </c>
      <c r="CO39" s="169">
        <v>7.7972502758210105E-3</v>
      </c>
      <c r="CP39" s="169">
        <f t="shared" si="104"/>
        <v>4.5336083057512314E-2</v>
      </c>
      <c r="CQ39" s="169">
        <f t="shared" si="107"/>
        <v>2.4333269273094611E-2</v>
      </c>
      <c r="CR39" s="69">
        <f t="shared" si="108"/>
        <v>6.3720160300892073E-2</v>
      </c>
      <c r="CS39" s="179">
        <f t="shared" si="96"/>
        <v>0.87050000000000005</v>
      </c>
      <c r="CT39" s="180">
        <f t="shared" si="97"/>
        <v>0.96515780330083989</v>
      </c>
      <c r="CU39" s="180">
        <f t="shared" si="98"/>
        <v>0.50448557089084056</v>
      </c>
      <c r="CV39" s="180">
        <f t="shared" si="99"/>
        <v>0.87391435735465484</v>
      </c>
      <c r="CW39" s="180">
        <f t="shared" si="100"/>
        <v>0.42551605393279146</v>
      </c>
      <c r="CX39" s="181">
        <f>INDEX('State Tax Lookup'!$D$7:$Z$91,MATCH(Calculation!$C39,'State Tax Lookup'!$B$7:$B$91,0),MATCH($H39,'State Tax Lookup'!$D$6:$Z$6,0))</f>
        <v>0.35</v>
      </c>
      <c r="CY39" s="72">
        <v>0.37</v>
      </c>
      <c r="CZ39" s="70">
        <f t="shared" si="105"/>
        <v>17.868641953284911</v>
      </c>
      <c r="DA39" s="70">
        <v>17.478615056163342</v>
      </c>
      <c r="DB39" s="69">
        <f t="shared" si="109"/>
        <v>-4.0585049840067597E-2</v>
      </c>
      <c r="DC39" s="111">
        <f>VLOOKUP($H39,RoR!$E:$F,2,FALSE)</f>
        <v>5.3133333333333324E-2</v>
      </c>
      <c r="DD39" s="216">
        <f>HLOOKUP($H39,'GDP-PI'!$D$8:$CQ$11,3,FALSE)</f>
        <v>7.7972502758210105E-3</v>
      </c>
      <c r="DE39" s="111">
        <f>VLOOKUP(H39,'HW Dx Data'!$E:$F,2,FALSE)</f>
        <v>550.94063679692806</v>
      </c>
      <c r="DF39" s="72">
        <f t="shared" si="117"/>
        <v>110.925</v>
      </c>
      <c r="DG39" s="69">
        <f t="shared" si="118"/>
        <v>2.7649425000884052E-2</v>
      </c>
      <c r="DH39" s="66">
        <f>HLOOKUP(H39,'GDP-PI'!$8:$9,2,FALSE)</f>
        <v>94.998999999999995</v>
      </c>
      <c r="DI39" s="69">
        <f t="shared" si="110"/>
        <v>7.7670088183096342E-3</v>
      </c>
      <c r="DJ39" s="160">
        <v>98.24166666666666</v>
      </c>
      <c r="DK39" s="160">
        <v>2.5190170940170939</v>
      </c>
      <c r="DN39" s="184">
        <v>5.8022112046579803E-2</v>
      </c>
      <c r="DO39" s="184">
        <v>3.6799999999999999E-2</v>
      </c>
      <c r="DP39" s="184">
        <f t="shared" si="129"/>
        <v>2.1352137233141368E-3</v>
      </c>
      <c r="DQ39" s="184">
        <v>3.0499999999999999E-2</v>
      </c>
      <c r="DR39" s="184">
        <f t="shared" si="130"/>
        <v>1.7696744174206839E-3</v>
      </c>
      <c r="DS39" s="184">
        <v>2.7799999999999998E-2</v>
      </c>
      <c r="DT39" s="184">
        <f t="shared" si="131"/>
        <v>1.6130147148949185E-3</v>
      </c>
      <c r="DU39" s="184">
        <v>2.35E-2</v>
      </c>
      <c r="DV39" s="184">
        <f t="shared" si="132"/>
        <v>1.3635196330946254E-3</v>
      </c>
      <c r="DW39" s="184">
        <v>1.9E-2</v>
      </c>
      <c r="DX39" s="184">
        <f t="shared" si="133"/>
        <v>1.1024201288850162E-3</v>
      </c>
      <c r="EB39">
        <f t="shared" si="20"/>
        <v>2009</v>
      </c>
    </row>
    <row r="40" spans="1:132" s="160" customFormat="1" ht="21">
      <c r="A40" s="160" t="s">
        <v>145</v>
      </c>
      <c r="B40" s="161" t="s">
        <v>145</v>
      </c>
      <c r="C40" s="161">
        <v>4057075</v>
      </c>
      <c r="D40" s="161" t="s">
        <v>146</v>
      </c>
      <c r="E40" s="161"/>
      <c r="F40" s="161"/>
      <c r="G40" s="161" t="s">
        <v>126</v>
      </c>
      <c r="H40" s="162">
        <v>2010</v>
      </c>
      <c r="I40" s="163"/>
      <c r="J40" s="159">
        <f>IFERROR(INDEX('Labor Expenditures'!$F$7:$X$91,MATCH($C40,'Labor Expenditures'!$D$7:$D$91,0),MATCH($G40,'Labor Expenditures'!$F$5:$X$5,0)),"NA")</f>
        <v>20202.713299159044</v>
      </c>
      <c r="K40" s="159">
        <f t="shared" si="111"/>
        <v>172.78352190856569</v>
      </c>
      <c r="L40" s="165">
        <f t="shared" si="119"/>
        <v>2.0186525968498313E-2</v>
      </c>
      <c r="M40" s="76">
        <f t="shared" si="121"/>
        <v>1.7425934732972438E-4</v>
      </c>
      <c r="N40" s="62">
        <f t="shared" si="127"/>
        <v>98.924830110148861</v>
      </c>
      <c r="O40" s="96">
        <f t="shared" si="122"/>
        <v>-2.1387624866239529E-2</v>
      </c>
      <c r="P40" s="96">
        <f t="shared" ca="1" si="128"/>
        <v>-2.1387624866239529E-2</v>
      </c>
      <c r="Q40" s="159">
        <f>IFERROR(INDEX('Non-Labor Expenditures'!$F$7:$AB$91,MATCH($C40,'Non-Labor Expenditures'!$D$7:$D$91,0),MATCH($G40,'Non-Labor Expenditures'!$F$5:$AB$5,0)),"NA")</f>
        <v>29257.302203533083</v>
      </c>
      <c r="R40" s="159">
        <f t="shared" si="112"/>
        <v>304.41792343623473</v>
      </c>
      <c r="S40" s="165">
        <f t="shared" si="123"/>
        <v>6.1248333508324586E-2</v>
      </c>
      <c r="T40" s="165">
        <f t="shared" si="124"/>
        <v>5.2872369613521505E-4</v>
      </c>
      <c r="U40" s="165"/>
      <c r="V40" s="165"/>
      <c r="W40" s="159">
        <f t="shared" si="101"/>
        <v>34430.829560277518</v>
      </c>
      <c r="X40" s="163"/>
      <c r="Y40" s="167">
        <v>1917.1735713646735</v>
      </c>
      <c r="Z40" s="168">
        <v>2.1027344107991612E-2</v>
      </c>
      <c r="AA40" s="76">
        <f t="shared" si="113"/>
        <v>1.8151767501026461E-4</v>
      </c>
      <c r="AB40" s="168"/>
      <c r="AC40" s="168"/>
      <c r="AD40" s="163">
        <f t="shared" si="102"/>
        <v>83890.845062969645</v>
      </c>
      <c r="AE40" s="168">
        <f t="shared" si="125"/>
        <v>6.6359331187044804E-2</v>
      </c>
      <c r="AF40" s="163"/>
      <c r="AG40" s="163"/>
      <c r="AH40" s="163"/>
      <c r="AI40" s="163"/>
      <c r="AJ40" s="116">
        <f t="shared" si="126"/>
        <v>264.9976784521993</v>
      </c>
      <c r="AK40" s="114">
        <f>+AV40/$AX$15</f>
        <v>8.9501050557073154E-3</v>
      </c>
      <c r="AL40" s="115">
        <f t="shared" si="114"/>
        <v>0.240821430324067</v>
      </c>
      <c r="AM40" s="115">
        <f t="shared" si="115"/>
        <v>0.34875441034802002</v>
      </c>
      <c r="AN40" s="115">
        <f t="shared" si="116"/>
        <v>0.41042415932791299</v>
      </c>
      <c r="AO40" s="115">
        <f t="shared" si="120"/>
        <v>3.4807281293558548E-2</v>
      </c>
      <c r="AP40" s="166">
        <f t="shared" si="135"/>
        <v>114.29923184562846</v>
      </c>
      <c r="AQ40" s="168">
        <f t="shared" si="136"/>
        <v>3.4807281293558541E-2</v>
      </c>
      <c r="AR40" s="69">
        <f>+AD40/$AF$15</f>
        <v>8.6324584825373807E-3</v>
      </c>
      <c r="AS40" s="169">
        <f t="shared" si="134"/>
        <v>3.0047241065664414E-4</v>
      </c>
      <c r="AT40" s="115"/>
      <c r="AU40" s="115"/>
      <c r="AV40" s="113">
        <f>IFERROR(INDEX('Total Customers'!$F$7:$AB$91,MATCH($C40,'Total Customers'!$D$7:$D$91,0),MATCH($G40,'Total Customers'!$F$5:$AB$5,0)),"NA")</f>
        <v>316572</v>
      </c>
      <c r="AW40" s="68">
        <f t="shared" si="6"/>
        <v>7.1232213851386613E-3</v>
      </c>
      <c r="AX40" s="114"/>
      <c r="AY40" s="114"/>
      <c r="AZ40" s="116"/>
      <c r="BA40" s="116"/>
      <c r="BB40" s="166"/>
      <c r="BC40" s="166"/>
      <c r="BD40" s="166"/>
      <c r="BE40" s="166"/>
      <c r="BF40" s="166"/>
      <c r="BG40" s="166"/>
      <c r="BH40" s="166"/>
      <c r="BI40" s="113"/>
      <c r="BJ40" s="113"/>
      <c r="BK40" s="113">
        <f>INDEX('Dist. Plant Gas Additions'!$F$7:$AE$91,MATCH($C40,'Dist. Plant Gas Additions'!$D$7:$D$91,0),MATCH(Calculation!$G40,'Dist. Plant Gas Additions'!$F$5:$AE$5,0))</f>
        <v>26396</v>
      </c>
      <c r="BL40" s="113">
        <f>INDEX('Gen. Plant Additions'!$F$7:$AE$91,MATCH($C40,'Gen. Plant Additions'!$D$7:$D$91,0),MATCH(Calculation!$G40,'Gen. Plant Additions'!$F$5:$AE$5,0))</f>
        <v>3717</v>
      </c>
      <c r="BM40" s="231">
        <f t="shared" si="91"/>
        <v>0.96302425813988479</v>
      </c>
      <c r="BN40" s="61">
        <f t="shared" si="8"/>
        <v>3579.5611675059517</v>
      </c>
      <c r="BO40" s="113">
        <f>INDEX('Dist Plant Depreciation'!$E$7:$AD$94,MATCH($C40,'Dist Plant Depreciation'!$D$7:$D$94,0),MATCH(Calculation!$G40,'Dist Plant Depreciation'!$E$5:$AD$5,0))</f>
        <v>225949</v>
      </c>
      <c r="BP40" s="113">
        <f>INDEX('Gen. Plant Depreciation'!$E$7:$AD$94,MATCH($C40,'Gen. Plant Depreciation'!$D$7:$D$94,0),MATCH(Calculation!$G40,'Gen. Plant Depreciation'!$E$5:$AD$5,0))</f>
        <v>8955</v>
      </c>
      <c r="BQ40" s="175">
        <v>1965</v>
      </c>
      <c r="BR40" s="175">
        <f t="shared" si="67"/>
        <v>18</v>
      </c>
      <c r="BS40" s="170">
        <v>68.510515991155202</v>
      </c>
      <c r="BT40" s="176">
        <f t="shared" si="90"/>
        <v>1.3574660633484163E-2</v>
      </c>
      <c r="BU40" s="177">
        <f t="shared" si="68"/>
        <v>0.93000700440482176</v>
      </c>
      <c r="BV40" s="177"/>
      <c r="BW40" s="113">
        <f>INDEX('Gross Dx Plant'!$E$7:$AD$91,MATCH($C40,'Gross Dx Plant'!$D$7:$D$91,0),MATCH(Calculation!$G40,'Gross Dx Plant'!$E$5:$AD$5,0))</f>
        <v>652890</v>
      </c>
      <c r="BX40" s="113">
        <f>INDEX('Gross Gen Plant'!$E$7:$AD$91,MATCH($C40,'Gross Gen Plant'!$D$7:$D$91,0),MATCH(Calculation!$G40,'Gross Gen Plant'!$E$5:$AD$5,0))</f>
        <v>25068</v>
      </c>
      <c r="BY40" s="113">
        <f t="shared" si="46"/>
        <v>443054</v>
      </c>
      <c r="BZ40" s="113"/>
      <c r="CA40" s="116">
        <v>2010</v>
      </c>
      <c r="CB40" s="113"/>
      <c r="CC40" s="113"/>
      <c r="CD40" s="113"/>
      <c r="CE40" s="175"/>
      <c r="CF40" s="113">
        <f t="shared" si="92"/>
        <v>30113</v>
      </c>
      <c r="CG40" s="113">
        <f t="shared" si="93"/>
        <v>52.923647731330298</v>
      </c>
      <c r="CH40" s="178">
        <v>0.9285714285714286</v>
      </c>
      <c r="CI40" s="61">
        <f>+CI28*CH40+CG29*CH39+CG30*CH38+CG31*CH37+CG32*CH36+CG33*CH35+CG34*CH34+CG35*CH33+CG36*CH32+CG37*CH31+CG38*CH30+CG39*CH29+CG40</f>
        <v>1917.1735713646735</v>
      </c>
      <c r="CJ40" s="114">
        <f t="shared" si="94"/>
        <v>2.1027344107991612E-2</v>
      </c>
      <c r="CK40" s="114"/>
      <c r="CL40" s="169">
        <f t="shared" si="95"/>
        <v>6.9416671509993895E-3</v>
      </c>
      <c r="CM40" s="169">
        <f t="shared" si="106"/>
        <v>6.7486695568610457E-3</v>
      </c>
      <c r="CN40" s="114">
        <f>VLOOKUP($H40,RoR!$E:$F,2,FALSE)</f>
        <v>4.9433333333333322E-2</v>
      </c>
      <c r="CO40" s="169">
        <v>1.1684333519300205E-2</v>
      </c>
      <c r="CP40" s="169">
        <f t="shared" si="104"/>
        <v>3.7748999814033117E-2</v>
      </c>
      <c r="CQ40" s="169">
        <f t="shared" si="107"/>
        <v>2.4153272051672579E-2</v>
      </c>
      <c r="CR40" s="69">
        <f t="shared" si="108"/>
        <v>4.7937530248493419E-2</v>
      </c>
      <c r="CS40" s="179">
        <f t="shared" si="96"/>
        <v>0.87050000000000005</v>
      </c>
      <c r="CT40" s="180">
        <f t="shared" si="97"/>
        <v>1.037398205301105</v>
      </c>
      <c r="CU40" s="180">
        <f t="shared" si="98"/>
        <v>0.46926837491571133</v>
      </c>
      <c r="CV40" s="180">
        <f t="shared" si="99"/>
        <v>0.8548537519972772</v>
      </c>
      <c r="CW40" s="180">
        <f t="shared" si="100"/>
        <v>0.41615833911547367</v>
      </c>
      <c r="CX40" s="181">
        <f>INDEX('State Tax Lookup'!$D$7:$Z$91,MATCH(Calculation!$C40,'State Tax Lookup'!$B$7:$B$91,0),MATCH($H40,'State Tax Lookup'!$D$6:$Z$6,0))</f>
        <v>0.35</v>
      </c>
      <c r="CY40" s="72">
        <v>0.37</v>
      </c>
      <c r="CZ40" s="70">
        <f t="shared" si="105"/>
        <v>18.340793135235259</v>
      </c>
      <c r="DA40" s="70">
        <v>17.956102603965455</v>
      </c>
      <c r="DB40" s="69">
        <f t="shared" si="109"/>
        <v>2.6080381704758529E-2</v>
      </c>
      <c r="DC40" s="111">
        <f>VLOOKUP($H40,RoR!$E:$F,2,FALSE)</f>
        <v>4.9433333333333322E-2</v>
      </c>
      <c r="DD40" s="216">
        <f>HLOOKUP($H40,'GDP-PI'!$D$8:$CQ$11,3,FALSE)</f>
        <v>1.1684333519300205E-2</v>
      </c>
      <c r="DE40" s="111">
        <f>VLOOKUP(H40,'HW Dx Data'!$E:$F,2,FALSE)</f>
        <v>568.98950262971744</v>
      </c>
      <c r="DF40" s="72">
        <f t="shared" si="117"/>
        <v>116.925</v>
      </c>
      <c r="DG40" s="69">
        <f t="shared" si="118"/>
        <v>5.2678406346976722E-2</v>
      </c>
      <c r="DH40" s="66">
        <f>HLOOKUP(H40,'GDP-PI'!$8:$9,2,FALSE)</f>
        <v>96.108999999999995</v>
      </c>
      <c r="DI40" s="69">
        <f t="shared" si="110"/>
        <v>1.1616598807150427E-2</v>
      </c>
      <c r="DJ40" s="160">
        <v>100.00833333333334</v>
      </c>
      <c r="DK40" s="160">
        <v>2.6397373051784818</v>
      </c>
      <c r="DN40" s="184">
        <v>2.3553106210898688E-2</v>
      </c>
      <c r="DO40" s="184">
        <v>3.9100000000000003E-2</v>
      </c>
      <c r="DP40" s="184">
        <f t="shared" si="129"/>
        <v>9.2092645284613881E-4</v>
      </c>
      <c r="DQ40" s="184">
        <v>3.7199999999999997E-2</v>
      </c>
      <c r="DR40" s="184">
        <f t="shared" si="130"/>
        <v>8.7617555104543116E-4</v>
      </c>
      <c r="DS40" s="184">
        <v>2.9399999999999999E-2</v>
      </c>
      <c r="DT40" s="184">
        <f t="shared" si="131"/>
        <v>6.9246132260042143E-4</v>
      </c>
      <c r="DU40" s="184">
        <v>2.4299999999999999E-2</v>
      </c>
      <c r="DV40" s="184">
        <f t="shared" si="132"/>
        <v>5.7234048092483811E-4</v>
      </c>
      <c r="DW40" s="184">
        <v>1.9E-2</v>
      </c>
      <c r="DX40" s="184">
        <f t="shared" si="133"/>
        <v>4.4750901800707507E-4</v>
      </c>
      <c r="EB40">
        <f t="shared" si="20"/>
        <v>2010</v>
      </c>
    </row>
    <row r="41" spans="1:132" s="160" customFormat="1" ht="21">
      <c r="A41" s="160" t="s">
        <v>145</v>
      </c>
      <c r="B41" s="161" t="s">
        <v>145</v>
      </c>
      <c r="C41" s="161">
        <v>4057075</v>
      </c>
      <c r="D41" s="161" t="s">
        <v>146</v>
      </c>
      <c r="E41" s="161"/>
      <c r="F41" s="161"/>
      <c r="G41" s="161" t="s">
        <v>127</v>
      </c>
      <c r="H41" s="162">
        <v>2011</v>
      </c>
      <c r="I41" s="163"/>
      <c r="J41" s="159">
        <f>IFERROR(INDEX('Labor Expenditures'!$F$7:$X$91,MATCH($C41,'Labor Expenditures'!$D$7:$D$91,0),MATCH($G41,'Labor Expenditures'!$F$5:$X$5,0)),"NA")</f>
        <v>20699.183593636113</v>
      </c>
      <c r="K41" s="159">
        <f t="shared" si="111"/>
        <v>171.24453852025741</v>
      </c>
      <c r="L41" s="165">
        <f t="shared" si="119"/>
        <v>-8.9469077162684131E-3</v>
      </c>
      <c r="M41" s="76">
        <f t="shared" si="121"/>
        <v>-7.7339365728096028E-5</v>
      </c>
      <c r="N41" s="62">
        <f t="shared" si="127"/>
        <v>98.047346424680043</v>
      </c>
      <c r="O41" s="96">
        <f t="shared" si="122"/>
        <v>-8.9097811250275667E-3</v>
      </c>
      <c r="P41" s="96">
        <f t="shared" ca="1" si="128"/>
        <v>-8.9097811250275667E-3</v>
      </c>
      <c r="Q41" s="159">
        <f>IFERROR(INDEX('Non-Labor Expenditures'!$F$7:$AB$91,MATCH($C41,'Non-Labor Expenditures'!$D$7:$D$91,0),MATCH($G41,'Non-Labor Expenditures'!$F$5:$AB$5,0)),"NA")</f>
        <v>29976.28391779606</v>
      </c>
      <c r="R41" s="159">
        <f t="shared" si="112"/>
        <v>305.53126954700815</v>
      </c>
      <c r="S41" s="165">
        <f t="shared" si="123"/>
        <v>3.6506232323910161E-3</v>
      </c>
      <c r="T41" s="165">
        <f t="shared" si="124"/>
        <v>3.1556923828776262E-5</v>
      </c>
      <c r="U41" s="165"/>
      <c r="V41" s="165"/>
      <c r="W41" s="159">
        <f t="shared" si="101"/>
        <v>37547.958037613716</v>
      </c>
      <c r="X41" s="163"/>
      <c r="Y41" s="167">
        <v>1965.3500009658164</v>
      </c>
      <c r="Z41" s="168">
        <v>2.4818343809092522E-2</v>
      </c>
      <c r="AA41" s="76">
        <f t="shared" si="113"/>
        <v>2.1453613130790116E-4</v>
      </c>
      <c r="AB41" s="168"/>
      <c r="AC41" s="168"/>
      <c r="AD41" s="163">
        <f t="shared" si="102"/>
        <v>88223.425549045889</v>
      </c>
      <c r="AE41" s="168">
        <f t="shared" si="125"/>
        <v>5.035603327024106E-2</v>
      </c>
      <c r="AF41" s="163"/>
      <c r="AG41" s="163"/>
      <c r="AH41" s="163"/>
      <c r="AI41" s="163"/>
      <c r="AJ41" s="116">
        <f t="shared" si="126"/>
        <v>277.00793297386042</v>
      </c>
      <c r="AK41" s="114">
        <f>+AV41/$AX$16</f>
        <v>8.9608004265571382E-3</v>
      </c>
      <c r="AL41" s="115">
        <f t="shared" si="114"/>
        <v>0.23462230654520272</v>
      </c>
      <c r="AM41" s="115">
        <f t="shared" si="115"/>
        <v>0.33977692127961406</v>
      </c>
      <c r="AN41" s="115">
        <f t="shared" si="116"/>
        <v>0.42560077217518322</v>
      </c>
      <c r="AO41" s="115">
        <f t="shared" si="120"/>
        <v>9.5042857102193359E-3</v>
      </c>
      <c r="AP41" s="166">
        <f t="shared" si="135"/>
        <v>115.39074320297502</v>
      </c>
      <c r="AQ41" s="168">
        <f t="shared" si="136"/>
        <v>9.5042857102193429E-3</v>
      </c>
      <c r="AR41" s="69">
        <f>+AD41/$AF$16</f>
        <v>8.6442565611208541E-3</v>
      </c>
      <c r="AS41" s="169">
        <f t="shared" si="134"/>
        <v>8.2157484109330727E-5</v>
      </c>
      <c r="AT41" s="115"/>
      <c r="AU41" s="115"/>
      <c r="AV41" s="113">
        <f>IFERROR(INDEX('Total Customers'!$F$7:$AB$91,MATCH($C41,'Total Customers'!$D$7:$D$91,0),MATCH($G41,'Total Customers'!$F$5:$AB$5,0)),"NA")</f>
        <v>318487</v>
      </c>
      <c r="AW41" s="68">
        <f t="shared" si="6"/>
        <v>6.0309539882948491E-3</v>
      </c>
      <c r="AX41" s="114"/>
      <c r="AY41" s="114"/>
      <c r="AZ41" s="116"/>
      <c r="BA41" s="116"/>
      <c r="BB41" s="166"/>
      <c r="BC41" s="166"/>
      <c r="BD41" s="166"/>
      <c r="BE41" s="166"/>
      <c r="BF41" s="166"/>
      <c r="BG41" s="166"/>
      <c r="BH41" s="166"/>
      <c r="BI41" s="113"/>
      <c r="BJ41" s="113"/>
      <c r="BK41" s="113">
        <f>INDEX('Dist. Plant Gas Additions'!$F$7:$AE$91,MATCH($C41,'Dist. Plant Gas Additions'!$D$7:$D$91,0),MATCH(Calculation!$G41,'Dist. Plant Gas Additions'!$F$5:$AE$5,0))</f>
        <v>34464</v>
      </c>
      <c r="BL41" s="113">
        <f>INDEX('Gen. Plant Additions'!$F$7:$AE$91,MATCH($C41,'Gen. Plant Additions'!$D$7:$D$91,0),MATCH(Calculation!$G41,'Gen. Plant Additions'!$F$5:$AE$5,0))</f>
        <v>3413</v>
      </c>
      <c r="BM41" s="231">
        <f t="shared" si="91"/>
        <v>0.96186483596871308</v>
      </c>
      <c r="BN41" s="61">
        <f t="shared" si="8"/>
        <v>3282.844685161218</v>
      </c>
      <c r="BO41" s="113">
        <f>INDEX('Dist Plant Depreciation'!$E$7:$AD$94,MATCH($C41,'Dist Plant Depreciation'!$D$7:$D$94,0),MATCH(Calculation!$G41,'Dist Plant Depreciation'!$E$5:$AD$5,0))</f>
        <v>235771</v>
      </c>
      <c r="BP41" s="113">
        <f>INDEX('Gen. Plant Depreciation'!$E$7:$AD$94,MATCH($C41,'Gen. Plant Depreciation'!$D$7:$D$94,0),MATCH(Calculation!$G41,'Gen. Plant Depreciation'!$E$5:$AD$5,0))</f>
        <v>8831</v>
      </c>
      <c r="BQ41" s="175">
        <v>1966</v>
      </c>
      <c r="BR41" s="175">
        <f t="shared" si="67"/>
        <v>19</v>
      </c>
      <c r="BS41" s="170">
        <v>70.459352645112588</v>
      </c>
      <c r="BT41" s="176">
        <f t="shared" si="90"/>
        <v>1.4328808446455505E-2</v>
      </c>
      <c r="BU41" s="177">
        <f t="shared" si="68"/>
        <v>1.0095985673130763</v>
      </c>
      <c r="BV41" s="177"/>
      <c r="BW41" s="113">
        <f>INDEX('Gross Dx Plant'!$E$7:$AD$91,MATCH($C41,'Gross Dx Plant'!$D$7:$D$91,0),MATCH(Calculation!$G41,'Gross Dx Plant'!$E$5:$AD$5,0))</f>
        <v>683732</v>
      </c>
      <c r="BX41" s="113">
        <f>INDEX('Gross Gen Plant'!$E$7:$AD$91,MATCH($C41,'Gross Gen Plant'!$D$7:$D$91,0),MATCH(Calculation!$G41,'Gross Gen Plant'!$E$5:$AD$5,0))</f>
        <v>27108</v>
      </c>
      <c r="BY41" s="113">
        <f t="shared" si="46"/>
        <v>466238</v>
      </c>
      <c r="BZ41" s="113"/>
      <c r="CA41" s="116">
        <v>2011</v>
      </c>
      <c r="CB41" s="113"/>
      <c r="CC41" s="113"/>
      <c r="CD41" s="113"/>
      <c r="CE41" s="175"/>
      <c r="CF41" s="113">
        <f t="shared" si="92"/>
        <v>37877</v>
      </c>
      <c r="CG41" s="113">
        <f t="shared" si="93"/>
        <v>61.929877074030436</v>
      </c>
      <c r="CH41" s="178">
        <v>0.92121212121212126</v>
      </c>
      <c r="CI41" s="61">
        <f>+CI28*CH41+CG29*CH40+CG30*CH39+CG31*CH38+CG32*CH37+CG33*CH36+CG34*CH35+CG35*CH34+CG36*CH33+CG37*CH32+CG38*CH31+CG39*CH30+CG40*CH29+CG41</f>
        <v>1965.3500009658164</v>
      </c>
      <c r="CJ41" s="114">
        <f t="shared" si="94"/>
        <v>2.4818343809092522E-2</v>
      </c>
      <c r="CK41" s="114"/>
      <c r="CL41" s="169">
        <f t="shared" si="95"/>
        <v>7.1738144518118004E-3</v>
      </c>
      <c r="CM41" s="169">
        <f t="shared" si="106"/>
        <v>6.9505752528375474E-3</v>
      </c>
      <c r="CN41" s="114">
        <f>VLOOKUP($H41,RoR!$E:$F,2,FALSE)</f>
        <v>4.6391666666666664E-2</v>
      </c>
      <c r="CO41" s="169">
        <v>2.0840920205183799E-2</v>
      </c>
      <c r="CP41" s="169">
        <f t="shared" si="104"/>
        <v>2.5550746461482865E-2</v>
      </c>
      <c r="CQ41" s="169">
        <f t="shared" si="107"/>
        <v>2.3951366355696078E-2</v>
      </c>
      <c r="CR41" s="69">
        <f t="shared" si="108"/>
        <v>2.4810540821321614E-2</v>
      </c>
      <c r="CS41" s="179">
        <f t="shared" si="96"/>
        <v>0.87050000000000005</v>
      </c>
      <c r="CT41" s="180">
        <f t="shared" si="97"/>
        <v>1.1054151524782025</v>
      </c>
      <c r="CU41" s="180">
        <f t="shared" si="98"/>
        <v>0.43611011316687626</v>
      </c>
      <c r="CV41" s="180">
        <f t="shared" si="99"/>
        <v>0.83698442246886229</v>
      </c>
      <c r="CW41" s="180">
        <f t="shared" si="100"/>
        <v>0.40349573304423936</v>
      </c>
      <c r="CX41" s="181">
        <f>INDEX('State Tax Lookup'!$D$7:$Z$91,MATCH(Calculation!$C41,'State Tax Lookup'!$B$7:$B$91,0),MATCH($H41,'State Tax Lookup'!$D$6:$Z$6,0))</f>
        <v>0.35</v>
      </c>
      <c r="CY41" s="72">
        <v>0.37</v>
      </c>
      <c r="CZ41" s="70">
        <f t="shared" si="105"/>
        <v>19.585059276029195</v>
      </c>
      <c r="DA41" s="70">
        <v>19.146574949201604</v>
      </c>
      <c r="DB41" s="69">
        <f t="shared" si="109"/>
        <v>6.563928162743371E-2</v>
      </c>
      <c r="DC41" s="111">
        <f>VLOOKUP($H41,RoR!$E:$F,2,FALSE)</f>
        <v>4.6391666666666664E-2</v>
      </c>
      <c r="DD41" s="216">
        <f>HLOOKUP($H41,'GDP-PI'!$D$8:$CQ$11,3,FALSE)</f>
        <v>2.0840920205183799E-2</v>
      </c>
      <c r="DE41" s="111">
        <f>VLOOKUP(H41,'HW Dx Data'!$E:$F,2,FALSE)</f>
        <v>611.61109612283201</v>
      </c>
      <c r="DF41" s="72">
        <f t="shared" si="117"/>
        <v>120.875</v>
      </c>
      <c r="DG41" s="69">
        <f t="shared" si="118"/>
        <v>3.3224250161508609E-2</v>
      </c>
      <c r="DH41" s="66">
        <f>HLOOKUP(H41,'GDP-PI'!$8:$9,2,FALSE)</f>
        <v>98.111999999999995</v>
      </c>
      <c r="DI41" s="69">
        <f t="shared" si="110"/>
        <v>2.0626719212849295E-2</v>
      </c>
      <c r="DJ41" s="160">
        <v>103.35833333333333</v>
      </c>
      <c r="DK41" s="160">
        <v>2.8061085972850681</v>
      </c>
      <c r="DN41" s="184">
        <v>1.5287085228645044E-2</v>
      </c>
      <c r="DO41" s="184">
        <v>4.41E-2</v>
      </c>
      <c r="DP41" s="184">
        <f t="shared" si="129"/>
        <v>6.741604585832465E-4</v>
      </c>
      <c r="DQ41" s="184">
        <v>3.7900000000000003E-2</v>
      </c>
      <c r="DR41" s="184">
        <f t="shared" si="130"/>
        <v>5.7938053016564728E-4</v>
      </c>
      <c r="DS41" s="184">
        <v>3.5400000000000001E-2</v>
      </c>
      <c r="DT41" s="184">
        <f t="shared" si="131"/>
        <v>5.4116281709403456E-4</v>
      </c>
      <c r="DU41" s="184">
        <v>3.09E-2</v>
      </c>
      <c r="DV41" s="184">
        <f t="shared" si="132"/>
        <v>4.7237093356513189E-4</v>
      </c>
      <c r="DW41" s="184">
        <v>2.63E-2</v>
      </c>
      <c r="DX41" s="184">
        <f t="shared" si="133"/>
        <v>4.0205034151336467E-4</v>
      </c>
      <c r="EB41">
        <f t="shared" si="20"/>
        <v>2011</v>
      </c>
    </row>
    <row r="42" spans="1:132" s="160" customFormat="1" ht="21">
      <c r="A42" s="160" t="s">
        <v>145</v>
      </c>
      <c r="B42" s="161" t="s">
        <v>145</v>
      </c>
      <c r="C42" s="161">
        <v>4057075</v>
      </c>
      <c r="D42" s="161" t="s">
        <v>146</v>
      </c>
      <c r="E42" s="161"/>
      <c r="F42" s="161"/>
      <c r="G42" s="161" t="s">
        <v>128</v>
      </c>
      <c r="H42" s="162">
        <v>2012</v>
      </c>
      <c r="I42" s="163"/>
      <c r="J42" s="159">
        <f>IFERROR(INDEX('Labor Expenditures'!$F$7:$X$91,MATCH($C42,'Labor Expenditures'!$D$7:$D$91,0),MATCH($G42,'Labor Expenditures'!$F$5:$X$5,0)),"NA")</f>
        <v>22717.156668028249</v>
      </c>
      <c r="K42" s="159">
        <f t="shared" si="111"/>
        <v>182.02849894253401</v>
      </c>
      <c r="L42" s="165">
        <f t="shared" si="119"/>
        <v>6.1070677633310914E-2</v>
      </c>
      <c r="M42" s="76">
        <f t="shared" si="121"/>
        <v>5.5517622957714549E-4</v>
      </c>
      <c r="N42" s="62">
        <f t="shared" si="127"/>
        <v>95.768985074541405</v>
      </c>
      <c r="O42" s="96">
        <f t="shared" si="122"/>
        <v>-2.351160283758871E-2</v>
      </c>
      <c r="P42" s="96">
        <f t="shared" ca="1" si="128"/>
        <v>-2.351160283758871E-2</v>
      </c>
      <c r="Q42" s="159">
        <f>IFERROR(INDEX('Non-Labor Expenditures'!$F$7:$AB$91,MATCH($C42,'Non-Labor Expenditures'!$D$7:$D$91,0),MATCH($G42,'Non-Labor Expenditures'!$F$5:$AB$5,0)),"NA")</f>
        <v>32898.68583489603</v>
      </c>
      <c r="R42" s="159">
        <f t="shared" si="112"/>
        <v>328.98685834896031</v>
      </c>
      <c r="S42" s="165">
        <f t="shared" si="123"/>
        <v>7.3965677056437376E-2</v>
      </c>
      <c r="T42" s="165">
        <f t="shared" si="124"/>
        <v>6.724010162925618E-4</v>
      </c>
      <c r="U42" s="165"/>
      <c r="V42" s="165"/>
      <c r="W42" s="159">
        <f t="shared" si="101"/>
        <v>41600.579068776606</v>
      </c>
      <c r="X42" s="163"/>
      <c r="Y42" s="167">
        <v>1990.6583623405161</v>
      </c>
      <c r="Z42" s="168">
        <v>1.2795072369413156E-2</v>
      </c>
      <c r="AA42" s="76">
        <f t="shared" si="113"/>
        <v>1.1631637817856641E-4</v>
      </c>
      <c r="AB42" s="168"/>
      <c r="AC42" s="168"/>
      <c r="AD42" s="163">
        <f t="shared" si="102"/>
        <v>97216.421571700892</v>
      </c>
      <c r="AE42" s="168">
        <f t="shared" si="125"/>
        <v>9.7067119864906376E-2</v>
      </c>
      <c r="AF42" s="163"/>
      <c r="AG42" s="163"/>
      <c r="AH42" s="163"/>
      <c r="AI42" s="163"/>
      <c r="AJ42" s="116">
        <f t="shared" si="126"/>
        <v>303.09945274131115</v>
      </c>
      <c r="AK42" s="114">
        <f>+AV42/$AX$17</f>
        <v>8.9809709795474809E-3</v>
      </c>
      <c r="AL42" s="115">
        <f t="shared" si="114"/>
        <v>0.23367612488465708</v>
      </c>
      <c r="AM42" s="115">
        <f t="shared" si="115"/>
        <v>0.3384066735127868</v>
      </c>
      <c r="AN42" s="115">
        <f t="shared" si="116"/>
        <v>0.42791720160255603</v>
      </c>
      <c r="AO42" s="115">
        <f t="shared" si="120"/>
        <v>4.4841217771253841E-2</v>
      </c>
      <c r="AP42" s="166">
        <f t="shared" si="135"/>
        <v>120.68276836555673</v>
      </c>
      <c r="AQ42" s="168">
        <f t="shared" si="136"/>
        <v>4.4841217771253758E-2</v>
      </c>
      <c r="AR42" s="69">
        <f>+AD42/$AF$17</f>
        <v>9.0907167087716321E-3</v>
      </c>
      <c r="AS42" s="169">
        <f t="shared" si="134"/>
        <v>4.0763880763480397E-4</v>
      </c>
      <c r="AT42" s="115"/>
      <c r="AU42" s="115"/>
      <c r="AV42" s="113">
        <f>IFERROR(INDEX('Total Customers'!$F$7:$AB$91,MATCH($C42,'Total Customers'!$D$7:$D$91,0),MATCH($G42,'Total Customers'!$F$5:$AB$5,0)),"NA")</f>
        <v>320741</v>
      </c>
      <c r="AW42" s="68">
        <f t="shared" si="6"/>
        <v>7.0522860132343906E-3</v>
      </c>
      <c r="AX42" s="114"/>
      <c r="AY42" s="114"/>
      <c r="AZ42" s="116"/>
      <c r="BA42" s="116"/>
      <c r="BB42" s="166"/>
      <c r="BC42" s="166"/>
      <c r="BD42" s="166"/>
      <c r="BE42" s="166"/>
      <c r="BF42" s="166"/>
      <c r="BG42" s="166"/>
      <c r="BH42" s="166"/>
      <c r="BI42" s="113"/>
      <c r="BJ42" s="113"/>
      <c r="BK42" s="113">
        <f>INDEX('Dist. Plant Gas Additions'!$F$7:$AE$91,MATCH($C42,'Dist. Plant Gas Additions'!$D$7:$D$91,0),MATCH(Calculation!$G42,'Dist. Plant Gas Additions'!$F$5:$AE$5,0))</f>
        <v>24260</v>
      </c>
      <c r="BL42" s="113">
        <f>INDEX('Gen. Plant Additions'!$F$7:$AE$91,MATCH($C42,'Gen. Plant Additions'!$D$7:$D$91,0),MATCH(Calculation!$G42,'Gen. Plant Additions'!$F$5:$AE$5,0))</f>
        <v>2404</v>
      </c>
      <c r="BM42" s="231">
        <f t="shared" si="91"/>
        <v>0.96085784377228711</v>
      </c>
      <c r="BN42" s="61">
        <f t="shared" si="8"/>
        <v>2309.9022564285783</v>
      </c>
      <c r="BO42" s="113">
        <f>INDEX('Dist Plant Depreciation'!$E$7:$AD$94,MATCH($C42,'Dist Plant Depreciation'!$D$7:$D$94,0),MATCH(Calculation!$G42,'Dist Plant Depreciation'!$E$5:$AD$5,0))</f>
        <v>246430</v>
      </c>
      <c r="BP42" s="113">
        <f>INDEX('Gen. Plant Depreciation'!$E$7:$AD$94,MATCH($C42,'Gen. Plant Depreciation'!$D$7:$D$94,0),MATCH(Calculation!$G42,'Gen. Plant Depreciation'!$E$5:$AD$5,0))</f>
        <v>9199</v>
      </c>
      <c r="BQ42" s="175">
        <v>1967</v>
      </c>
      <c r="BR42" s="175">
        <f t="shared" si="67"/>
        <v>20</v>
      </c>
      <c r="BS42" s="170">
        <v>72.562460243025129</v>
      </c>
      <c r="BT42" s="176">
        <f t="shared" si="90"/>
        <v>1.5082956259426848E-2</v>
      </c>
      <c r="BU42" s="177">
        <f t="shared" si="68"/>
        <v>1.0944564139219477</v>
      </c>
      <c r="BV42" s="177"/>
      <c r="BW42" s="113">
        <f>INDEX('Gross Dx Plant'!$E$7:$AD$91,MATCH($C42,'Gross Dx Plant'!$D$7:$D$91,0),MATCH(Calculation!$G42,'Gross Dx Plant'!$E$5:$AD$5,0))</f>
        <v>704623</v>
      </c>
      <c r="BX42" s="113">
        <f>INDEX('Gross Gen Plant'!$E$7:$AD$91,MATCH($C42,'Gross Gen Plant'!$D$7:$D$91,0),MATCH(Calculation!$G42,'Gross Gen Plant'!$E$5:$AD$5,0))</f>
        <v>28704</v>
      </c>
      <c r="BY42" s="113">
        <f t="shared" si="46"/>
        <v>477698</v>
      </c>
      <c r="BZ42" s="113"/>
      <c r="CA42" s="116">
        <v>2012</v>
      </c>
      <c r="CB42" s="113"/>
      <c r="CC42" s="113"/>
      <c r="CD42" s="113"/>
      <c r="CE42" s="175"/>
      <c r="CF42" s="113">
        <f t="shared" si="92"/>
        <v>26664</v>
      </c>
      <c r="CG42" s="113">
        <f t="shared" si="93"/>
        <v>39.861309306760845</v>
      </c>
      <c r="CH42" s="178">
        <v>0.9135802469135802</v>
      </c>
      <c r="CI42" s="61">
        <f>+CI28*CH42+CG29*CH41+CG30*CH40+CG31*CH39+CG32*CH38+CG33*CH37+CG34*CH36+CG35*CH35+CG36*CH34+CG37*CH33+CG38*CH32+CG39*CH31+CG40*CH30+CG41*CH29+CG42</f>
        <v>1990.6583623405161</v>
      </c>
      <c r="CJ42" s="114">
        <f t="shared" si="94"/>
        <v>1.2795072369413156E-2</v>
      </c>
      <c r="CK42" s="114"/>
      <c r="CL42" s="169">
        <f t="shared" si="95"/>
        <v>7.4047614546567083E-3</v>
      </c>
      <c r="CM42" s="169">
        <f t="shared" si="106"/>
        <v>7.1734143524892985E-3</v>
      </c>
      <c r="CN42" s="114">
        <f>VLOOKUP($H42,RoR!$E:$F,2,FALSE)</f>
        <v>3.6733333333333333E-2</v>
      </c>
      <c r="CO42" s="169">
        <v>1.924331376386168E-2</v>
      </c>
      <c r="CP42" s="169">
        <f t="shared" si="104"/>
        <v>1.7490019569471653E-2</v>
      </c>
      <c r="CQ42" s="169">
        <f t="shared" si="107"/>
        <v>2.3728527256044327E-2</v>
      </c>
      <c r="CR42" s="69">
        <f t="shared" si="108"/>
        <v>6.7122682943869583E-2</v>
      </c>
      <c r="CS42" s="179">
        <f t="shared" si="96"/>
        <v>0.87050000000000005</v>
      </c>
      <c r="CT42" s="180">
        <f t="shared" si="97"/>
        <v>1.3960631020522127</v>
      </c>
      <c r="CU42" s="180">
        <f t="shared" si="98"/>
        <v>0.29441923774954631</v>
      </c>
      <c r="CV42" s="180">
        <f t="shared" si="99"/>
        <v>0.76377954189366437</v>
      </c>
      <c r="CW42" s="180">
        <f t="shared" si="100"/>
        <v>0.31393465103033691</v>
      </c>
      <c r="CX42" s="181">
        <f>INDEX('State Tax Lookup'!$D$7:$Z$91,MATCH(Calculation!$C42,'State Tax Lookup'!$B$7:$B$91,0),MATCH($H42,'State Tax Lookup'!$D$6:$Z$6,0))</f>
        <v>0.35</v>
      </c>
      <c r="CY42" s="72">
        <v>0.37</v>
      </c>
      <c r="CZ42" s="70">
        <f t="shared" si="105"/>
        <v>21.167007936669378</v>
      </c>
      <c r="DA42" s="70">
        <v>20.759737328210988</v>
      </c>
      <c r="DB42" s="69">
        <f t="shared" si="109"/>
        <v>7.7676746376119904E-2</v>
      </c>
      <c r="DC42" s="111">
        <f>VLOOKUP($H42,RoR!$E:$F,2,FALSE)</f>
        <v>3.6733333333333333E-2</v>
      </c>
      <c r="DD42" s="216">
        <f>HLOOKUP($H42,'GDP-PI'!$D$8:$CQ$11,3,FALSE)</f>
        <v>1.924331376386168E-2</v>
      </c>
      <c r="DE42" s="111">
        <f>VLOOKUP(H42,'HW Dx Data'!$E:$F,2,FALSE)</f>
        <v>668.91932211262167</v>
      </c>
      <c r="DF42" s="72">
        <f t="shared" si="117"/>
        <v>124.80000000000001</v>
      </c>
      <c r="DG42" s="69">
        <f t="shared" si="118"/>
        <v>3.1955502161869064E-2</v>
      </c>
      <c r="DH42" s="66">
        <f>HLOOKUP(H42,'GDP-PI'!$8:$9,2,FALSE)</f>
        <v>100</v>
      </c>
      <c r="DI42" s="69">
        <f t="shared" si="110"/>
        <v>1.9060502738742411E-2</v>
      </c>
      <c r="DJ42" s="160">
        <v>106.38333333333334</v>
      </c>
      <c r="DK42" s="160">
        <v>2.9684640522875823</v>
      </c>
      <c r="DN42" s="184">
        <v>9.1881865913332732E-3</v>
      </c>
      <c r="DO42" s="184">
        <v>2.24E-2</v>
      </c>
      <c r="DP42" s="184">
        <f t="shared" si="129"/>
        <v>2.0581537964586532E-4</v>
      </c>
      <c r="DQ42" s="184">
        <v>1.44E-2</v>
      </c>
      <c r="DR42" s="184">
        <f t="shared" si="130"/>
        <v>1.3230988691519913E-4</v>
      </c>
      <c r="DS42" s="184">
        <v>1.0800000000000001E-2</v>
      </c>
      <c r="DT42" s="184">
        <f t="shared" si="131"/>
        <v>9.9232415186399354E-5</v>
      </c>
      <c r="DU42" s="184">
        <v>5.1000000000000004E-3</v>
      </c>
      <c r="DV42" s="184">
        <f t="shared" si="132"/>
        <v>4.6859751615799696E-5</v>
      </c>
      <c r="DW42" s="184">
        <v>-1.1999999999999999E-3</v>
      </c>
      <c r="DX42" s="184">
        <f t="shared" si="133"/>
        <v>-1.1025823909599927E-5</v>
      </c>
      <c r="EB42">
        <f t="shared" si="20"/>
        <v>2012</v>
      </c>
    </row>
    <row r="43" spans="1:132" s="160" customFormat="1" ht="21">
      <c r="A43" s="160" t="s">
        <v>145</v>
      </c>
      <c r="B43" s="161" t="s">
        <v>145</v>
      </c>
      <c r="C43" s="161">
        <v>4057075</v>
      </c>
      <c r="D43" s="161" t="s">
        <v>146</v>
      </c>
      <c r="E43" s="161"/>
      <c r="F43" s="161"/>
      <c r="G43" s="161" t="s">
        <v>129</v>
      </c>
      <c r="H43" s="162">
        <v>2013</v>
      </c>
      <c r="I43" s="163"/>
      <c r="J43" s="159">
        <f>IFERROR(INDEX('Labor Expenditures'!$F$7:$X$91,MATCH($C43,'Labor Expenditures'!$D$7:$D$91,0),MATCH($G43,'Labor Expenditures'!$F$5:$X$5,0)),"NA")</f>
        <v>22783.294618705757</v>
      </c>
      <c r="K43" s="159">
        <f t="shared" si="111"/>
        <v>179.6789796427899</v>
      </c>
      <c r="L43" s="165">
        <f t="shared" si="119"/>
        <v>-1.2991450187286129E-2</v>
      </c>
      <c r="M43" s="76">
        <f t="shared" si="121"/>
        <v>-1.1380550646279123E-4</v>
      </c>
      <c r="N43" s="62">
        <f t="shared" si="127"/>
        <v>99.365208590642865</v>
      </c>
      <c r="O43" s="96">
        <f t="shared" si="122"/>
        <v>3.6863152267361303E-2</v>
      </c>
      <c r="P43" s="96">
        <f t="shared" ca="1" si="128"/>
        <v>3.6863152267361303E-2</v>
      </c>
      <c r="Q43" s="159">
        <f>IFERROR(INDEX('Non-Labor Expenditures'!$F$7:$AB$91,MATCH($C43,'Non-Labor Expenditures'!$D$7:$D$91,0),MATCH($G43,'Non-Labor Expenditures'!$F$5:$AB$5,0)),"NA")</f>
        <v>32994.465940342299</v>
      </c>
      <c r="R43" s="159">
        <f t="shared" si="112"/>
        <v>324.19665275016263</v>
      </c>
      <c r="S43" s="165">
        <f t="shared" si="123"/>
        <v>-1.4667521135998703E-2</v>
      </c>
      <c r="T43" s="165">
        <f t="shared" si="124"/>
        <v>-1.2848793994296392E-4</v>
      </c>
      <c r="U43" s="165"/>
      <c r="V43" s="165"/>
      <c r="W43" s="159">
        <f t="shared" si="101"/>
        <v>41381.788800773749</v>
      </c>
      <c r="X43" s="163"/>
      <c r="Y43" s="167">
        <v>2074.7524821106999</v>
      </c>
      <c r="Z43" s="168">
        <v>4.1376441468322075E-2</v>
      </c>
      <c r="AA43" s="76">
        <f t="shared" si="113"/>
        <v>3.6245891020993847E-4</v>
      </c>
      <c r="AB43" s="168"/>
      <c r="AC43" s="168"/>
      <c r="AD43" s="163">
        <f t="shared" si="102"/>
        <v>97159.549359821802</v>
      </c>
      <c r="AE43" s="168">
        <f t="shared" si="125"/>
        <v>-5.8517740880665778E-4</v>
      </c>
      <c r="AF43" s="163"/>
      <c r="AG43" s="163"/>
      <c r="AH43" s="163"/>
      <c r="AI43" s="163"/>
      <c r="AJ43" s="116">
        <f t="shared" si="126"/>
        <v>300.71325131406911</v>
      </c>
      <c r="AK43" s="114">
        <f>+AV43/$AX$18</f>
        <v>8.9892815385652948E-3</v>
      </c>
      <c r="AL43" s="115">
        <f t="shared" si="114"/>
        <v>0.23449362176773628</v>
      </c>
      <c r="AM43" s="115">
        <f t="shared" si="115"/>
        <v>0.33959056168684165</v>
      </c>
      <c r="AN43" s="115">
        <f t="shared" si="116"/>
        <v>0.42591581654542215</v>
      </c>
      <c r="AO43" s="115">
        <f t="shared" si="120"/>
        <v>9.6509145894262162E-3</v>
      </c>
      <c r="AP43" s="166">
        <f t="shared" si="135"/>
        <v>121.85310578493613</v>
      </c>
      <c r="AQ43" s="168">
        <f t="shared" si="136"/>
        <v>9.650914589426185E-3</v>
      </c>
      <c r="AR43" s="69">
        <f>+AD43/$AF$18</f>
        <v>8.760031006712795E-3</v>
      </c>
      <c r="AS43" s="169">
        <f t="shared" si="134"/>
        <v>8.4542311046510263E-5</v>
      </c>
      <c r="AT43" s="115"/>
      <c r="AU43" s="115"/>
      <c r="AV43" s="113">
        <f>IFERROR(INDEX('Total Customers'!$F$7:$AB$91,MATCH($C43,'Total Customers'!$D$7:$D$91,0),MATCH($G43,'Total Customers'!$F$5:$AB$5,0)),"NA")</f>
        <v>323097</v>
      </c>
      <c r="AW43" s="68">
        <f t="shared" si="6"/>
        <v>7.3186438703655892E-3</v>
      </c>
      <c r="AX43" s="114"/>
      <c r="AY43" s="114"/>
      <c r="AZ43" s="116"/>
      <c r="BA43" s="116"/>
      <c r="BB43" s="166"/>
      <c r="BC43" s="166"/>
      <c r="BD43" s="166"/>
      <c r="BE43" s="166"/>
      <c r="BF43" s="166"/>
      <c r="BG43" s="166"/>
      <c r="BH43" s="166"/>
      <c r="BI43" s="113"/>
      <c r="BJ43" s="113"/>
      <c r="BK43" s="113">
        <f>INDEX('Dist. Plant Gas Additions'!$F$7:$AE$91,MATCH($C43,'Dist. Plant Gas Additions'!$D$7:$D$91,0),MATCH(Calculation!$G43,'Dist. Plant Gas Additions'!$F$5:$AE$5,0))</f>
        <v>62293</v>
      </c>
      <c r="BL43" s="113">
        <f>INDEX('Gen. Plant Additions'!$F$7:$AE$91,MATCH($C43,'Gen. Plant Additions'!$D$7:$D$91,0),MATCH(Calculation!$G43,'Gen. Plant Additions'!$F$5:$AE$5,0))</f>
        <v>3616</v>
      </c>
      <c r="BM43" s="231">
        <f t="shared" si="91"/>
        <v>0.95977610981352568</v>
      </c>
      <c r="BN43" s="61">
        <f>+BM43*BL43</f>
        <v>3470.5504130857089</v>
      </c>
      <c r="BO43" s="113">
        <f>INDEX('Dist Plant Depreciation'!$E$7:$AD$94,MATCH($C43,'Dist Plant Depreciation'!$D$7:$D$94,0),MATCH(Calculation!$G43,'Dist Plant Depreciation'!$E$5:$AD$5,0))</f>
        <v>256829</v>
      </c>
      <c r="BP43" s="113">
        <f>INDEX('Gen. Plant Depreciation'!$E$7:$AD$94,MATCH($C43,'Gen. Plant Depreciation'!$D$7:$D$94,0),MATCH(Calculation!$G43,'Gen. Plant Depreciation'!$E$5:$AD$5,0))</f>
        <v>11186</v>
      </c>
      <c r="BQ43" s="175">
        <v>1968</v>
      </c>
      <c r="BR43" s="175">
        <f t="shared" si="67"/>
        <v>21</v>
      </c>
      <c r="BS43" s="170">
        <v>74.841934472906132</v>
      </c>
      <c r="BT43" s="176">
        <f t="shared" si="90"/>
        <v>1.5837104072398189E-2</v>
      </c>
      <c r="BU43" s="177">
        <f t="shared" si="68"/>
        <v>1.1852795052270202</v>
      </c>
      <c r="BV43" s="177"/>
      <c r="BW43" s="113">
        <f>INDEX('Gross Dx Plant'!$E$7:$AD$91,MATCH($C43,'Gross Dx Plant'!$D$7:$D$91,0),MATCH(Calculation!$G43,'Gross Dx Plant'!$E$5:$AD$5,0))</f>
        <v>761853</v>
      </c>
      <c r="BX43" s="113">
        <f>INDEX('Gross Gen Plant'!$E$7:$AD$91,MATCH($C43,'Gross Gen Plant'!$D$7:$D$91,0),MATCH(Calculation!$G43,'Gross Gen Plant'!$E$5:$AD$5,0))</f>
        <v>31929</v>
      </c>
      <c r="BY43" s="113">
        <f t="shared" si="46"/>
        <v>525767</v>
      </c>
      <c r="BZ43" s="113"/>
      <c r="CA43" s="116">
        <v>2013</v>
      </c>
      <c r="CB43" s="113"/>
      <c r="CC43" s="113"/>
      <c r="CD43" s="113"/>
      <c r="CE43" s="175"/>
      <c r="CF43" s="113">
        <f t="shared" si="92"/>
        <v>65909</v>
      </c>
      <c r="CG43" s="113">
        <f t="shared" si="93"/>
        <v>99.373024427378311</v>
      </c>
      <c r="CH43" s="178">
        <v>0.90566037735849059</v>
      </c>
      <c r="CI43" s="61">
        <f>+CI28*CH43+CG29*CH42+CG30*CH41+CG31*CH40+CG32*CH39+CG33*CH38+CG34*CH37+CG35*CH36+CG36*CH35+CG37*CH34+CG38*CH33+CG39*CH32+CG40*CH31+CG41*CH30+CG42*CH29+CG43</f>
        <v>2074.7524821106999</v>
      </c>
      <c r="CJ43" s="114">
        <f t="shared" si="94"/>
        <v>4.1376441468322075E-2</v>
      </c>
      <c r="CK43" s="114"/>
      <c r="CL43" s="169">
        <f t="shared" si="95"/>
        <v>7.6753022749872016E-3</v>
      </c>
      <c r="CM43" s="169">
        <f t="shared" si="106"/>
        <v>7.4179593938185698E-3</v>
      </c>
      <c r="CN43" s="114">
        <f>VLOOKUP($H43,RoR!$E:$F,2,FALSE)</f>
        <v>4.2350000000000006E-2</v>
      </c>
      <c r="CO43" s="169">
        <v>1.7730000000000024E-2</v>
      </c>
      <c r="CP43" s="169">
        <f t="shared" si="104"/>
        <v>2.4619999999999982E-2</v>
      </c>
      <c r="CQ43" s="169">
        <f t="shared" si="107"/>
        <v>2.3483982214715055E-2</v>
      </c>
      <c r="CR43" s="69">
        <f t="shared" si="108"/>
        <v>5.3376742735721204E-2</v>
      </c>
      <c r="CS43" s="179">
        <f t="shared" si="96"/>
        <v>0.87050000000000005</v>
      </c>
      <c r="CT43" s="180">
        <f t="shared" si="97"/>
        <v>1.2109103018193925</v>
      </c>
      <c r="CU43" s="180">
        <f t="shared" si="98"/>
        <v>0.38468122786304604</v>
      </c>
      <c r="CV43" s="180">
        <f t="shared" si="99"/>
        <v>0.80969194503422559</v>
      </c>
      <c r="CW43" s="180">
        <f t="shared" si="100"/>
        <v>0.37716621754800816</v>
      </c>
      <c r="CX43" s="181">
        <f>INDEX('State Tax Lookup'!$D$7:$Z$91,MATCH(Calculation!$C43,'State Tax Lookup'!$B$7:$B$91,0),MATCH($H43,'State Tax Lookup'!$D$6:$Z$6,0))</f>
        <v>0.35</v>
      </c>
      <c r="CY43" s="72">
        <v>0.37</v>
      </c>
      <c r="CZ43" s="70">
        <f t="shared" si="105"/>
        <v>20.787991341778568</v>
      </c>
      <c r="DA43" s="70">
        <v>20.339519021246105</v>
      </c>
      <c r="DB43" s="69">
        <f t="shared" si="109"/>
        <v>-1.8068259447642367E-2</v>
      </c>
      <c r="DC43" s="111">
        <f>VLOOKUP($H43,RoR!$E:$F,2,FALSE)</f>
        <v>4.2350000000000006E-2</v>
      </c>
      <c r="DD43" s="216">
        <f>HLOOKUP($H43,'GDP-PI'!$D$8:$CQ$11,3,FALSE)</f>
        <v>1.7730000000000024E-2</v>
      </c>
      <c r="DE43" s="111">
        <f>VLOOKUP(H43,'HW Dx Data'!$E:$F,2,FALSE)</f>
        <v>663.24840548821396</v>
      </c>
      <c r="DF43" s="72">
        <f t="shared" si="117"/>
        <v>126.8</v>
      </c>
      <c r="DG43" s="69">
        <f t="shared" si="118"/>
        <v>1.5898586067798204E-2</v>
      </c>
      <c r="DH43" s="66">
        <f>HLOOKUP(H43,'GDP-PI'!$8:$9,2,FALSE)</f>
        <v>101.773</v>
      </c>
      <c r="DI43" s="69">
        <f t="shared" si="110"/>
        <v>1.7574657016510519E-2</v>
      </c>
      <c r="DJ43" s="160">
        <v>107.55833333333334</v>
      </c>
      <c r="DK43" s="160">
        <v>3.0823655103066869</v>
      </c>
      <c r="DN43" s="184">
        <v>1.9939254211924117E-2</v>
      </c>
      <c r="DO43" s="184">
        <v>3.1099999999999999E-2</v>
      </c>
      <c r="DP43" s="184">
        <f t="shared" si="129"/>
        <v>6.2011080599084004E-4</v>
      </c>
      <c r="DQ43" s="184">
        <v>2.5000000000000001E-2</v>
      </c>
      <c r="DR43" s="184">
        <f t="shared" si="130"/>
        <v>4.9848135529810295E-4</v>
      </c>
      <c r="DS43" s="184">
        <v>2.1999999999999999E-2</v>
      </c>
      <c r="DT43" s="184">
        <f t="shared" si="131"/>
        <v>4.3866359266233056E-4</v>
      </c>
      <c r="DU43" s="184">
        <v>1.8100000000000002E-2</v>
      </c>
      <c r="DV43" s="184">
        <f t="shared" si="132"/>
        <v>3.6090050123582654E-4</v>
      </c>
      <c r="DW43" s="184">
        <v>1.38E-2</v>
      </c>
      <c r="DX43" s="184">
        <f t="shared" si="133"/>
        <v>2.7516170812455281E-4</v>
      </c>
      <c r="EB43">
        <f t="shared" si="20"/>
        <v>2013</v>
      </c>
    </row>
    <row r="44" spans="1:132" s="160" customFormat="1" ht="21">
      <c r="A44" s="160" t="s">
        <v>145</v>
      </c>
      <c r="B44" s="161" t="s">
        <v>145</v>
      </c>
      <c r="C44" s="161">
        <v>4057075</v>
      </c>
      <c r="D44" s="161" t="s">
        <v>146</v>
      </c>
      <c r="E44" s="161"/>
      <c r="F44" s="161"/>
      <c r="G44" s="161" t="s">
        <v>130</v>
      </c>
      <c r="H44" s="162">
        <v>2014</v>
      </c>
      <c r="I44" s="163"/>
      <c r="J44" s="159">
        <f>IFERROR(INDEX('Labor Expenditures'!$F$7:$X$91,MATCH($C44,'Labor Expenditures'!$D$7:$D$91,0),MATCH($G44,'Labor Expenditures'!$F$5:$X$5,0)),"NA")</f>
        <v>23318.097564163283</v>
      </c>
      <c r="K44" s="159">
        <f t="shared" si="111"/>
        <v>180.20168133047358</v>
      </c>
      <c r="L44" s="165">
        <f t="shared" si="119"/>
        <v>2.9048632612071377E-3</v>
      </c>
      <c r="M44" s="76">
        <f t="shared" si="121"/>
        <v>2.5820992079370311E-5</v>
      </c>
      <c r="N44" s="62">
        <f t="shared" si="127"/>
        <v>98.510560388558901</v>
      </c>
      <c r="O44" s="96">
        <f t="shared" si="122"/>
        <v>-8.6382837167972223E-3</v>
      </c>
      <c r="P44" s="96">
        <f t="shared" ca="1" si="128"/>
        <v>-8.6382837167972223E-3</v>
      </c>
      <c r="Q44" s="159">
        <f>IFERROR(INDEX('Non-Labor Expenditures'!$F$7:$AB$91,MATCH($C44,'Non-Labor Expenditures'!$D$7:$D$91,0),MATCH($G44,'Non-Labor Expenditures'!$F$5:$AB$5,0)),"NA")</f>
        <v>33768.96049277659</v>
      </c>
      <c r="R44" s="159">
        <f t="shared" si="112"/>
        <v>325.80740873133414</v>
      </c>
      <c r="S44" s="165">
        <f t="shared" si="123"/>
        <v>4.9561514266258993E-3</v>
      </c>
      <c r="T44" s="165">
        <f t="shared" si="124"/>
        <v>4.4054654289609209E-5</v>
      </c>
      <c r="U44" s="165"/>
      <c r="V44" s="165"/>
      <c r="W44" s="159">
        <f t="shared" si="101"/>
        <v>44110.585327661167</v>
      </c>
      <c r="X44" s="163"/>
      <c r="Y44" s="167">
        <v>2140.1861185553371</v>
      </c>
      <c r="Z44" s="168">
        <v>3.1050935701747676E-2</v>
      </c>
      <c r="AA44" s="76">
        <f t="shared" si="113"/>
        <v>2.7600816035612075E-4</v>
      </c>
      <c r="AB44" s="168"/>
      <c r="AC44" s="168"/>
      <c r="AD44" s="163">
        <f t="shared" si="102"/>
        <v>101197.64338460105</v>
      </c>
      <c r="AE44" s="168">
        <f t="shared" si="125"/>
        <v>4.0721003870099803E-2</v>
      </c>
      <c r="AF44" s="163"/>
      <c r="AG44" s="163"/>
      <c r="AH44" s="163"/>
      <c r="AI44" s="163"/>
      <c r="AJ44" s="116">
        <f t="shared" si="126"/>
        <v>310.00760756963399</v>
      </c>
      <c r="AK44" s="114">
        <f>+AV44/$AX$19</f>
        <v>9.0336474559554476E-3</v>
      </c>
      <c r="AL44" s="115">
        <f t="shared" si="114"/>
        <v>0.23042134959154129</v>
      </c>
      <c r="AM44" s="115">
        <f t="shared" si="115"/>
        <v>0.33369315098018493</v>
      </c>
      <c r="AN44" s="115">
        <f t="shared" si="116"/>
        <v>0.4358854994282737</v>
      </c>
      <c r="AO44" s="115">
        <f t="shared" si="120"/>
        <v>1.5723573851463082E-2</v>
      </c>
      <c r="AP44" s="166">
        <f t="shared" si="135"/>
        <v>123.78421427059715</v>
      </c>
      <c r="AQ44" s="168">
        <f t="shared" si="136"/>
        <v>1.572357385146304E-2</v>
      </c>
      <c r="AR44" s="69">
        <f>+AD44/$AF$19</f>
        <v>8.8888838329141198E-3</v>
      </c>
      <c r="AS44" s="169">
        <f t="shared" si="134"/>
        <v>1.3976502140390101E-4</v>
      </c>
      <c r="AT44" s="115"/>
      <c r="AU44" s="115"/>
      <c r="AV44" s="113">
        <f>IFERROR(INDEX('Total Customers'!$F$7:$AB$91,MATCH($C44,'Total Customers'!$D$7:$D$91,0),MATCH($G44,'Total Customers'!$F$5:$AB$5,0)),"NA")</f>
        <v>326436</v>
      </c>
      <c r="AW44" s="68">
        <f t="shared" si="6"/>
        <v>1.0281323389371613E-2</v>
      </c>
      <c r="AX44" s="114"/>
      <c r="AY44" s="114"/>
      <c r="AZ44" s="116"/>
      <c r="BA44" s="116"/>
      <c r="BB44" s="166"/>
      <c r="BC44" s="166"/>
      <c r="BD44" s="166"/>
      <c r="BE44" s="166"/>
      <c r="BF44" s="166"/>
      <c r="BG44" s="166"/>
      <c r="BH44" s="166"/>
      <c r="BI44" s="113"/>
      <c r="BJ44" s="113"/>
      <c r="BK44" s="113">
        <f>INDEX('Dist. Plant Gas Additions'!$F$7:$AE$91,MATCH($C44,'Dist. Plant Gas Additions'!$D$7:$D$91,0),MATCH(Calculation!$G44,'Dist. Plant Gas Additions'!$F$5:$AE$5,0))</f>
        <v>52761</v>
      </c>
      <c r="BL44" s="113">
        <f>INDEX('Gen. Plant Additions'!$F$7:$AE$91,MATCH($C44,'Gen. Plant Additions'!$D$7:$D$91,0),MATCH(Calculation!$G44,'Gen. Plant Additions'!$F$5:$AE$5,0))</f>
        <v>3208</v>
      </c>
      <c r="BM44" s="231">
        <f t="shared" si="91"/>
        <v>0.95928551049086819</v>
      </c>
      <c r="BN44" s="61">
        <f t="shared" si="8"/>
        <v>3077.3879176547052</v>
      </c>
      <c r="BO44" s="113">
        <f>INDEX('Dist Plant Depreciation'!$E$7:$AD$94,MATCH($C44,'Dist Plant Depreciation'!$D$7:$D$94,0),MATCH(Calculation!$G44,'Dist Plant Depreciation'!$E$5:$AD$5,0))</f>
        <v>269811</v>
      </c>
      <c r="BP44" s="113">
        <f>INDEX('Gen. Plant Depreciation'!$E$7:$AD$94,MATCH($C44,'Gen. Plant Depreciation'!$D$7:$D$94,0),MATCH(Calculation!$G44,'Gen. Plant Depreciation'!$E$5:$AD$5,0))</f>
        <v>12936</v>
      </c>
      <c r="BQ44" s="175">
        <v>1969</v>
      </c>
      <c r="BR44" s="175">
        <f t="shared" si="67"/>
        <v>22</v>
      </c>
      <c r="BS44" s="170">
        <v>78.646629139392843</v>
      </c>
      <c r="BT44" s="176">
        <f t="shared" si="90"/>
        <v>1.6591251885369532E-2</v>
      </c>
      <c r="BU44" s="177">
        <f t="shared" si="68"/>
        <v>1.3048460339869099</v>
      </c>
      <c r="BV44" s="177"/>
      <c r="BW44" s="113">
        <f>INDEX('Gross Dx Plant'!$E$7:$AD$91,MATCH($C44,'Gross Dx Plant'!$D$7:$D$91,0),MATCH(Calculation!$G44,'Gross Dx Plant'!$E$5:$AD$5,0))</f>
        <v>810296</v>
      </c>
      <c r="BX44" s="113">
        <f>INDEX('Gross Gen Plant'!$E$7:$AD$91,MATCH($C44,'Gross Gen Plant'!$D$7:$D$91,0),MATCH(Calculation!$G44,'Gross Gen Plant'!$E$5:$AD$5,0))</f>
        <v>34391</v>
      </c>
      <c r="BY44" s="113">
        <f t="shared" si="46"/>
        <v>561940</v>
      </c>
      <c r="BZ44" s="113"/>
      <c r="CA44" s="116">
        <v>2014</v>
      </c>
      <c r="CB44" s="113"/>
      <c r="CC44" s="113"/>
      <c r="CD44" s="113"/>
      <c r="CE44" s="175"/>
      <c r="CF44" s="113">
        <f t="shared" si="92"/>
        <v>55969</v>
      </c>
      <c r="CG44" s="113">
        <f t="shared" si="93"/>
        <v>81.769938914880228</v>
      </c>
      <c r="CH44" s="178">
        <v>0.89743589743589747</v>
      </c>
      <c r="CI44" s="61">
        <f>+CI28*CH44+CG29*CH43+CG30*CH42+CG31*CH41+CG32*CH40+CG33*CH39+CG34*CH38+CG35*CH37+CG36*CH36+CG37*CH35+CG38*CH34+CG39*CH33+CG40*CH32+CG41*CH31+CG42*CH30+CG43*CH29+CG44</f>
        <v>2140.1861185553371</v>
      </c>
      <c r="CJ44" s="114">
        <f t="shared" si="94"/>
        <v>3.1050935701747676E-2</v>
      </c>
      <c r="CK44" s="114"/>
      <c r="CL44" s="169">
        <f t="shared" si="95"/>
        <v>7.873856091799308E-3</v>
      </c>
      <c r="CM44" s="169">
        <f t="shared" si="106"/>
        <v>7.6513066071477393E-3</v>
      </c>
      <c r="CN44" s="114">
        <f>VLOOKUP($H44,RoR!$E:$F,2,FALSE)</f>
        <v>4.1625000000000002E-2</v>
      </c>
      <c r="CO44" s="169">
        <v>1.841352814597208E-2</v>
      </c>
      <c r="CP44" s="169">
        <f t="shared" si="104"/>
        <v>2.3211471854027922E-2</v>
      </c>
      <c r="CQ44" s="169">
        <f t="shared" si="107"/>
        <v>2.3250635001385887E-2</v>
      </c>
      <c r="CR44" s="69">
        <f t="shared" si="108"/>
        <v>3.9072621432650924E-2</v>
      </c>
      <c r="CS44" s="179">
        <f t="shared" si="96"/>
        <v>0.87050000000000005</v>
      </c>
      <c r="CT44" s="180">
        <f t="shared" si="97"/>
        <v>1.2320012320012319</v>
      </c>
      <c r="CU44" s="180">
        <f t="shared" si="98"/>
        <v>0.37439939939939942</v>
      </c>
      <c r="CV44" s="180">
        <f t="shared" si="99"/>
        <v>0.80432100613819935</v>
      </c>
      <c r="CW44" s="180">
        <f t="shared" si="100"/>
        <v>0.37100152660040037</v>
      </c>
      <c r="CX44" s="181">
        <f>INDEX('State Tax Lookup'!$D$7:$Z$91,MATCH(Calculation!$C44,'State Tax Lookup'!$B$7:$B$91,0),MATCH($H44,'State Tax Lookup'!$D$6:$Z$6,0))</f>
        <v>0.35</v>
      </c>
      <c r="CY44" s="72">
        <v>0.37</v>
      </c>
      <c r="CZ44" s="70">
        <f t="shared" si="105"/>
        <v>21.260649503012676</v>
      </c>
      <c r="DA44" s="70">
        <v>20.763592984765573</v>
      </c>
      <c r="DB44" s="69">
        <f t="shared" si="109"/>
        <v>2.2482442272934982E-2</v>
      </c>
      <c r="DC44" s="111">
        <f>VLOOKUP($H44,RoR!$E:$F,2,FALSE)</f>
        <v>4.1625000000000002E-2</v>
      </c>
      <c r="DD44" s="216">
        <f>HLOOKUP($H44,'GDP-PI'!$D$8:$CQ$11,3,FALSE)</f>
        <v>1.841352814597208E-2</v>
      </c>
      <c r="DE44" s="111">
        <f>VLOOKUP(H44,'HW Dx Data'!$E:$F,2,FALSE)</f>
        <v>684.46914285042885</v>
      </c>
      <c r="DF44" s="72">
        <f t="shared" si="117"/>
        <v>129.4</v>
      </c>
      <c r="DG44" s="69">
        <f t="shared" si="118"/>
        <v>2.0297340063674733E-2</v>
      </c>
      <c r="DH44" s="66">
        <f>HLOOKUP(H44,'GDP-PI'!$8:$9,2,FALSE)</f>
        <v>103.64700000000001</v>
      </c>
      <c r="DI44" s="69">
        <f t="shared" si="110"/>
        <v>1.8246051898256087E-2</v>
      </c>
      <c r="DJ44" s="160">
        <v>107.34166666666667</v>
      </c>
      <c r="DK44" s="160">
        <v>3.157107843137255</v>
      </c>
      <c r="DN44" s="184">
        <v>2.8874531128939519E-3</v>
      </c>
      <c r="DO44" s="184">
        <v>2.6599999999999999E-2</v>
      </c>
      <c r="DP44" s="184">
        <f t="shared" si="129"/>
        <v>7.6806252802979122E-5</v>
      </c>
      <c r="DQ44" s="184">
        <v>2.8199999999999999E-2</v>
      </c>
      <c r="DR44" s="184">
        <f t="shared" si="130"/>
        <v>8.1426177783609438E-5</v>
      </c>
      <c r="DS44" s="184">
        <v>1.49E-2</v>
      </c>
      <c r="DT44" s="184">
        <f t="shared" si="131"/>
        <v>4.3023051382119884E-5</v>
      </c>
      <c r="DU44" s="184">
        <v>8.5000000000000006E-3</v>
      </c>
      <c r="DV44" s="184">
        <f t="shared" si="132"/>
        <v>2.4543351459598592E-5</v>
      </c>
      <c r="DW44" s="184">
        <v>1.6999999999999999E-3</v>
      </c>
      <c r="DX44" s="184">
        <f t="shared" si="133"/>
        <v>4.9086702919197177E-6</v>
      </c>
      <c r="EB44">
        <f t="shared" si="20"/>
        <v>2014</v>
      </c>
    </row>
    <row r="45" spans="1:132" s="160" customFormat="1" ht="21">
      <c r="A45" s="160" t="s">
        <v>145</v>
      </c>
      <c r="B45" s="161" t="s">
        <v>145</v>
      </c>
      <c r="C45" s="161">
        <v>4057075</v>
      </c>
      <c r="D45" s="161" t="s">
        <v>146</v>
      </c>
      <c r="E45" s="161"/>
      <c r="F45" s="161"/>
      <c r="G45" s="161" t="s">
        <v>132</v>
      </c>
      <c r="H45" s="162">
        <v>2015</v>
      </c>
      <c r="I45" s="163"/>
      <c r="J45" s="159">
        <f>IFERROR(INDEX('Labor Expenditures'!$F$7:$X$91,MATCH($C45,'Labor Expenditures'!$D$7:$D$91,0),MATCH($G45,'Labor Expenditures'!$F$5:$X$5,0)),"NA")</f>
        <v>24501.992278303231</v>
      </c>
      <c r="K45" s="159">
        <f t="shared" si="111"/>
        <v>183.53552268391934</v>
      </c>
      <c r="L45" s="165">
        <f t="shared" si="119"/>
        <v>1.8331557379692543E-2</v>
      </c>
      <c r="M45" s="76">
        <f t="shared" si="121"/>
        <v>1.6668864844128798E-4</v>
      </c>
      <c r="N45" s="62">
        <f t="shared" si="127"/>
        <v>96.413226592844723</v>
      </c>
      <c r="O45" s="96">
        <f t="shared" si="122"/>
        <v>-2.152035697315131E-2</v>
      </c>
      <c r="P45" s="96">
        <f t="shared" ca="1" si="128"/>
        <v>-2.152035697315131E-2</v>
      </c>
      <c r="Q45" s="159">
        <f>IFERROR(INDEX('Non-Labor Expenditures'!$F$7:$AB$91,MATCH($C45,'Non-Labor Expenditures'!$D$7:$D$91,0),MATCH($G45,'Non-Labor Expenditures'!$F$5:$AB$5,0)),"NA")</f>
        <v>35483.461159882507</v>
      </c>
      <c r="R45" s="159">
        <f t="shared" si="112"/>
        <v>339.10359579012135</v>
      </c>
      <c r="S45" s="165">
        <f t="shared" si="123"/>
        <v>3.9999216967753416E-2</v>
      </c>
      <c r="T45" s="165">
        <f t="shared" si="124"/>
        <v>3.6371243735410744E-4</v>
      </c>
      <c r="U45" s="165"/>
      <c r="V45" s="165"/>
      <c r="W45" s="159">
        <f t="shared" si="101"/>
        <v>44559.524982388684</v>
      </c>
      <c r="X45" s="163"/>
      <c r="Y45" s="167">
        <v>2232.5362268898111</v>
      </c>
      <c r="Z45" s="168">
        <v>4.2245464147649667E-2</v>
      </c>
      <c r="AA45" s="76">
        <f t="shared" si="113"/>
        <v>3.841375381094171E-4</v>
      </c>
      <c r="AB45" s="168"/>
      <c r="AC45" s="168"/>
      <c r="AD45" s="163">
        <f t="shared" si="102"/>
        <v>104544.97842057442</v>
      </c>
      <c r="AE45" s="168">
        <f t="shared" si="125"/>
        <v>3.2541924441773742E-2</v>
      </c>
      <c r="AF45" s="163"/>
      <c r="AG45" s="163"/>
      <c r="AH45" s="163"/>
      <c r="AI45" s="163"/>
      <c r="AJ45" s="116">
        <f t="shared" si="126"/>
        <v>313.98660025400778</v>
      </c>
      <c r="AK45" s="114">
        <f>+AV45/$AX$20</f>
        <v>9.1392664344300458E-3</v>
      </c>
      <c r="AL45" s="115">
        <f t="shared" si="114"/>
        <v>0.2343679500294511</v>
      </c>
      <c r="AM45" s="115">
        <f t="shared" si="115"/>
        <v>0.33940856553756171</v>
      </c>
      <c r="AN45" s="115">
        <f t="shared" si="116"/>
        <v>0.42622348443298719</v>
      </c>
      <c r="AO45" s="115">
        <f t="shared" si="120"/>
        <v>3.5932023742453759E-2</v>
      </c>
      <c r="AP45" s="166">
        <f t="shared" si="135"/>
        <v>128.31290689923483</v>
      </c>
      <c r="AQ45" s="168">
        <f t="shared" si="136"/>
        <v>3.5932023742453745E-2</v>
      </c>
      <c r="AR45" s="69">
        <f>+AD45/$AF$20</f>
        <v>9.0929889364415629E-3</v>
      </c>
      <c r="AS45" s="169">
        <f t="shared" si="134"/>
        <v>3.2672949435408745E-4</v>
      </c>
      <c r="AT45" s="115"/>
      <c r="AU45" s="115"/>
      <c r="AV45" s="113">
        <f>IFERROR(INDEX('Total Customers'!$F$7:$AB$91,MATCH($C45,'Total Customers'!$D$7:$D$91,0),MATCH($G45,'Total Customers'!$F$5:$AB$5,0)),"NA")</f>
        <v>332960</v>
      </c>
      <c r="AW45" s="68">
        <f t="shared" si="6"/>
        <v>1.9788451519674358E-2</v>
      </c>
      <c r="AX45" s="114"/>
      <c r="AY45" s="114"/>
      <c r="AZ45" s="116"/>
      <c r="BA45" s="116"/>
      <c r="BB45" s="166"/>
      <c r="BC45" s="166"/>
      <c r="BD45" s="166"/>
      <c r="BE45" s="166"/>
      <c r="BF45" s="166"/>
      <c r="BG45" s="166"/>
      <c r="BH45" s="166"/>
      <c r="BI45" s="113"/>
      <c r="BJ45" s="113"/>
      <c r="BK45" s="113">
        <f>INDEX('Dist. Plant Gas Additions'!$F$7:$AE$91,MATCH($C45,'Dist. Plant Gas Additions'!$D$7:$D$91,0),MATCH(Calculation!$G45,'Dist. Plant Gas Additions'!$F$5:$AE$5,0))</f>
        <v>70596</v>
      </c>
      <c r="BL45" s="113">
        <f>INDEX('Gen. Plant Additions'!$F$7:$AE$91,MATCH($C45,'Gen. Plant Additions'!$D$7:$D$91,0),MATCH(Calculation!$G45,'Gen. Plant Additions'!$F$5:$AE$5,0))</f>
        <v>3521</v>
      </c>
      <c r="BM45" s="231">
        <f t="shared" si="91"/>
        <v>0.95956009206968995</v>
      </c>
      <c r="BN45" s="61">
        <f t="shared" si="8"/>
        <v>3378.6110841773784</v>
      </c>
      <c r="BO45" s="113">
        <f>INDEX('Dist Plant Depreciation'!$E$7:$AD$94,MATCH($C45,'Dist Plant Depreciation'!$D$7:$D$94,0),MATCH(Calculation!$G45,'Dist Plant Depreciation'!$E$5:$AD$5,0))</f>
        <v>286927</v>
      </c>
      <c r="BP45" s="113">
        <f>INDEX('Gen. Plant Depreciation'!$E$7:$AD$94,MATCH($C45,'Gen. Plant Depreciation'!$D$7:$D$94,0),MATCH(Calculation!$G45,'Gen. Plant Depreciation'!$E$5:$AD$5,0))</f>
        <v>14289</v>
      </c>
      <c r="BQ45" s="175">
        <v>1970</v>
      </c>
      <c r="BR45" s="175">
        <f t="shared" si="67"/>
        <v>23</v>
      </c>
      <c r="BS45" s="170">
        <v>84.678235168060581</v>
      </c>
      <c r="BT45" s="176">
        <f t="shared" si="90"/>
        <v>1.7345399698340876E-2</v>
      </c>
      <c r="BU45" s="177">
        <f t="shared" si="68"/>
        <v>1.4687778347401157</v>
      </c>
      <c r="BV45" s="177"/>
      <c r="BW45" s="113">
        <f>INDEX('Gross Dx Plant'!$E$7:$AD$91,MATCH($C45,'Gross Dx Plant'!$D$7:$D$91,0),MATCH(Calculation!$G45,'Gross Dx Plant'!$E$5:$AD$5,0))</f>
        <v>878792</v>
      </c>
      <c r="BX45" s="113">
        <f>INDEX('Gross Gen Plant'!$E$7:$AD$91,MATCH($C45,'Gross Gen Plant'!$D$7:$D$91,0),MATCH(Calculation!$G45,'Gross Gen Plant'!$E$5:$AD$5,0))</f>
        <v>37036</v>
      </c>
      <c r="BY45" s="113">
        <f t="shared" si="46"/>
        <v>614612</v>
      </c>
      <c r="BZ45" s="113"/>
      <c r="CA45" s="116">
        <v>2015</v>
      </c>
      <c r="CB45" s="113"/>
      <c r="CC45" s="113"/>
      <c r="CD45" s="113"/>
      <c r="CE45" s="175"/>
      <c r="CF45" s="113">
        <f t="shared" si="92"/>
        <v>74117</v>
      </c>
      <c r="CG45" s="113">
        <f t="shared" si="93"/>
        <v>109.70307090801772</v>
      </c>
      <c r="CH45" s="178">
        <v>0.88888888888888884</v>
      </c>
      <c r="CI45" s="61">
        <f>+CI28*CH45+CG29*CH44+CG30*CH43+CG31*CH42+CG32*CH41+CG33*CH40+CG34*CH39+CG35*CH38+CG36*CH37+CG37*CH36+CG38*CH35+CG39*CH34+CG40*CH33+CG41*CH32+CG42*CH31+CG43*CH30+CG44*CH29+CG45</f>
        <v>2232.5362268898111</v>
      </c>
      <c r="CJ45" s="114">
        <f t="shared" si="94"/>
        <v>4.2245464147649667E-2</v>
      </c>
      <c r="CK45" s="114"/>
      <c r="CL45" s="169">
        <f t="shared" si="95"/>
        <v>8.1081558389217243E-3</v>
      </c>
      <c r="CM45" s="169">
        <f t="shared" si="106"/>
        <v>7.8857714019027452E-3</v>
      </c>
      <c r="CN45" s="114">
        <f>VLOOKUP($H45,RoR!$E:$F,2,FALSE)</f>
        <v>3.8866666666666674E-2</v>
      </c>
      <c r="CO45" s="169">
        <v>9.5709475431029478E-3</v>
      </c>
      <c r="CP45" s="169">
        <f t="shared" si="104"/>
        <v>2.9295719123563727E-2</v>
      </c>
      <c r="CQ45" s="169">
        <f t="shared" si="107"/>
        <v>2.3016170206630882E-2</v>
      </c>
      <c r="CR45" s="69">
        <f t="shared" si="108"/>
        <v>3.5270373279175926E-3</v>
      </c>
      <c r="CS45" s="179">
        <f t="shared" si="96"/>
        <v>0.87050000000000005</v>
      </c>
      <c r="CT45" s="180">
        <f t="shared" si="97"/>
        <v>1.3194352816994324</v>
      </c>
      <c r="CU45" s="180">
        <f t="shared" si="98"/>
        <v>0.33177530017152673</v>
      </c>
      <c r="CV45" s="180">
        <f t="shared" si="99"/>
        <v>0.78242572977668579</v>
      </c>
      <c r="CW45" s="180">
        <f t="shared" si="100"/>
        <v>0.34251158643433932</v>
      </c>
      <c r="CX45" s="181">
        <f>INDEX('State Tax Lookup'!$D$7:$Z$91,MATCH(Calculation!$C45,'State Tax Lookup'!$B$7:$B$91,0),MATCH($H45,'State Tax Lookup'!$D$6:$Z$6,0))</f>
        <v>0.35</v>
      </c>
      <c r="CY45" s="72">
        <v>0.37</v>
      </c>
      <c r="CZ45" s="70">
        <f t="shared" si="105"/>
        <v>20.820397158947625</v>
      </c>
      <c r="DA45" s="70">
        <v>20.279488671080099</v>
      </c>
      <c r="DB45" s="69">
        <f t="shared" si="109"/>
        <v>-2.0924784075205195E-2</v>
      </c>
      <c r="DC45" s="111">
        <f>VLOOKUP($H45,RoR!$E:$F,2,FALSE)</f>
        <v>3.8866666666666674E-2</v>
      </c>
      <c r="DD45" s="216">
        <f>HLOOKUP($H45,'GDP-PI'!$D$8:$CQ$11,3,FALSE)</f>
        <v>9.5709475431029478E-3</v>
      </c>
      <c r="DE45" s="111">
        <f>VLOOKUP(H45,'HW Dx Data'!$E:$F,2,FALSE)</f>
        <v>675.61463308665782</v>
      </c>
      <c r="DF45" s="72">
        <f t="shared" si="117"/>
        <v>133.5</v>
      </c>
      <c r="DG45" s="69">
        <f t="shared" si="118"/>
        <v>3.1193095773504077E-2</v>
      </c>
      <c r="DH45" s="66">
        <f>HLOOKUP(H45,'GDP-PI'!$8:$9,2,FALSE)</f>
        <v>104.639</v>
      </c>
      <c r="DI45" s="69">
        <f t="shared" si="110"/>
        <v>9.5254361854427965E-3</v>
      </c>
      <c r="DJ45" s="160">
        <v>109.54166666666667</v>
      </c>
      <c r="DK45" s="160">
        <v>3.3044243338360988</v>
      </c>
      <c r="DN45" s="184">
        <v>1.2659506868757461E-2</v>
      </c>
      <c r="DO45" s="184">
        <v>5.5E-2</v>
      </c>
      <c r="DP45" s="184">
        <f t="shared" si="129"/>
        <v>6.9627287778166035E-4</v>
      </c>
      <c r="DQ45" s="184">
        <v>5.04E-2</v>
      </c>
      <c r="DR45" s="184">
        <f t="shared" si="130"/>
        <v>6.3803914618537605E-4</v>
      </c>
      <c r="DS45" s="184">
        <v>4.8300000000000003E-2</v>
      </c>
      <c r="DT45" s="184">
        <f t="shared" si="131"/>
        <v>6.1145418176098538E-4</v>
      </c>
      <c r="DU45" s="184">
        <v>4.53E-2</v>
      </c>
      <c r="DV45" s="184">
        <f t="shared" si="132"/>
        <v>5.7347566115471295E-4</v>
      </c>
      <c r="DW45" s="184">
        <v>4.2099999999999999E-2</v>
      </c>
      <c r="DX45" s="184">
        <f t="shared" si="133"/>
        <v>5.329652391746891E-4</v>
      </c>
      <c r="EB45">
        <f t="shared" si="20"/>
        <v>2015</v>
      </c>
    </row>
    <row r="46" spans="1:132" s="160" customFormat="1" ht="21">
      <c r="A46" s="160" t="s">
        <v>145</v>
      </c>
      <c r="B46" s="161" t="s">
        <v>145</v>
      </c>
      <c r="C46" s="161">
        <v>4057075</v>
      </c>
      <c r="D46" s="161" t="s">
        <v>146</v>
      </c>
      <c r="E46" s="161"/>
      <c r="F46" s="161"/>
      <c r="G46" s="161" t="s">
        <v>133</v>
      </c>
      <c r="H46" s="162">
        <v>2016</v>
      </c>
      <c r="I46" s="163"/>
      <c r="J46" s="159">
        <f>IFERROR(INDEX('Labor Expenditures'!$F$7:$X$91,MATCH($C46,'Labor Expenditures'!$D$7:$D$91,0),MATCH($G46,'Labor Expenditures'!$F$5:$X$5,0)),"NA")</f>
        <v>25904.354962581656</v>
      </c>
      <c r="K46" s="159">
        <f t="shared" si="111"/>
        <v>189.15191648471455</v>
      </c>
      <c r="L46" s="165">
        <f t="shared" si="119"/>
        <v>3.0142250248941484E-2</v>
      </c>
      <c r="M46" s="76">
        <f t="shared" si="121"/>
        <v>2.766183047493866E-4</v>
      </c>
      <c r="N46" s="62">
        <f t="shared" si="127"/>
        <v>97.653720242173307</v>
      </c>
      <c r="O46" s="96">
        <f t="shared" si="122"/>
        <v>1.2784356790419947E-2</v>
      </c>
      <c r="P46" s="96">
        <f t="shared" ca="1" si="128"/>
        <v>1.2784356790419947E-2</v>
      </c>
      <c r="Q46" s="159">
        <f>IFERROR(INDEX('Non-Labor Expenditures'!$F$7:$AB$91,MATCH($C46,'Non-Labor Expenditures'!$D$7:$D$91,0),MATCH($G46,'Non-Labor Expenditures'!$F$5:$AB$5,0)),"NA")</f>
        <v>37514.344251937262</v>
      </c>
      <c r="R46" s="159">
        <f t="shared" si="112"/>
        <v>354.79254229342195</v>
      </c>
      <c r="S46" s="165">
        <f t="shared" si="123"/>
        <v>4.5227577750519575E-2</v>
      </c>
      <c r="T46" s="165">
        <f t="shared" si="124"/>
        <v>4.1505779369306194E-4</v>
      </c>
      <c r="U46" s="165"/>
      <c r="V46" s="165"/>
      <c r="W46" s="159">
        <f t="shared" si="101"/>
        <v>45768.023724536491</v>
      </c>
      <c r="X46" s="163"/>
      <c r="Y46" s="167">
        <v>2336.6911675467604</v>
      </c>
      <c r="Z46" s="168">
        <v>4.5597637034293287E-2</v>
      </c>
      <c r="AA46" s="76">
        <f t="shared" si="113"/>
        <v>4.1845386302726342E-4</v>
      </c>
      <c r="AB46" s="168"/>
      <c r="AC46" s="168"/>
      <c r="AD46" s="163">
        <f t="shared" si="102"/>
        <v>109186.72293905541</v>
      </c>
      <c r="AE46" s="168">
        <f t="shared" si="125"/>
        <v>4.344207680101704E-2</v>
      </c>
      <c r="AF46" s="163"/>
      <c r="AG46" s="163"/>
      <c r="AH46" s="163"/>
      <c r="AI46" s="163"/>
      <c r="AJ46" s="116">
        <f t="shared" si="126"/>
        <v>324.76040932834655</v>
      </c>
      <c r="AK46" s="114">
        <f>+AV46/$AX$21</f>
        <v>9.1486456340725691E-3</v>
      </c>
      <c r="AL46" s="115">
        <f t="shared" si="114"/>
        <v>0.23724821356751086</v>
      </c>
      <c r="AM46" s="115">
        <f t="shared" si="115"/>
        <v>0.34357972509969537</v>
      </c>
      <c r="AN46" s="115">
        <f t="shared" si="116"/>
        <v>0.41917206133279372</v>
      </c>
      <c r="AO46" s="115">
        <f t="shared" si="120"/>
        <v>4.1826758844156361E-2</v>
      </c>
      <c r="AP46" s="166">
        <f t="shared" si="135"/>
        <v>133.79364158470341</v>
      </c>
      <c r="AQ46" s="168">
        <f t="shared" si="136"/>
        <v>4.1826758844156459E-2</v>
      </c>
      <c r="AR46" s="69">
        <f>+AD46/$AF$21</f>
        <v>9.1770953550191787E-3</v>
      </c>
      <c r="AS46" s="169">
        <f t="shared" si="134"/>
        <v>3.8384815430421557E-4</v>
      </c>
      <c r="AT46" s="115"/>
      <c r="AU46" s="115"/>
      <c r="AV46" s="113">
        <f>IFERROR(INDEX('Total Customers'!$F$7:$AB$91,MATCH($C46,'Total Customers'!$D$7:$D$91,0),MATCH($G46,'Total Customers'!$F$5:$AB$5,0)),"NA")</f>
        <v>336207</v>
      </c>
      <c r="AW46" s="68">
        <f t="shared" si="6"/>
        <v>9.7046790523548122E-3</v>
      </c>
      <c r="AX46" s="114"/>
      <c r="AY46" s="114"/>
      <c r="AZ46" s="116"/>
      <c r="BA46" s="116"/>
      <c r="BB46" s="166"/>
      <c r="BC46" s="166"/>
      <c r="BD46" s="166"/>
      <c r="BE46" s="166"/>
      <c r="BF46" s="166"/>
      <c r="BG46" s="166"/>
      <c r="BH46" s="166"/>
      <c r="BI46" s="113"/>
      <c r="BJ46" s="113"/>
      <c r="BK46" s="113">
        <f>INDEX('Dist. Plant Gas Additions'!$F$7:$AE$91,MATCH($C46,'Dist. Plant Gas Additions'!$D$7:$D$91,0),MATCH(Calculation!$G46,'Dist. Plant Gas Additions'!$F$5:$AE$5,0))</f>
        <v>78774</v>
      </c>
      <c r="BL46" s="113">
        <f>INDEX('Gen. Plant Additions'!$F$7:$AE$91,MATCH($C46,'Gen. Plant Additions'!$D$7:$D$91,0),MATCH(Calculation!$G46,'Gen. Plant Additions'!$F$5:$AE$5,0))</f>
        <v>3621</v>
      </c>
      <c r="BM46" s="231">
        <f t="shared" si="91"/>
        <v>0.96059272504311632</v>
      </c>
      <c r="BN46" s="61">
        <f t="shared" si="8"/>
        <v>3478.3062573811244</v>
      </c>
      <c r="BO46" s="113">
        <f>INDEX('Dist Plant Depreciation'!$E$7:$AD$94,MATCH($C46,'Dist Plant Depreciation'!$D$7:$D$94,0),MATCH(Calculation!$G46,'Dist Plant Depreciation'!$E$5:$AD$5,0))</f>
        <v>304046</v>
      </c>
      <c r="BP46" s="113">
        <f>INDEX('Gen. Plant Depreciation'!$E$7:$AD$94,MATCH($C46,'Gen. Plant Depreciation'!$D$7:$D$94,0),MATCH(Calculation!$G46,'Gen. Plant Depreciation'!$E$5:$AD$5,0))</f>
        <v>16127</v>
      </c>
      <c r="BQ46" s="175">
        <v>1971</v>
      </c>
      <c r="BR46" s="175">
        <f t="shared" si="67"/>
        <v>24</v>
      </c>
      <c r="BS46" s="170">
        <v>91.039941415400349</v>
      </c>
      <c r="BT46" s="176">
        <f t="shared" si="90"/>
        <v>1.8099547511312219E-2</v>
      </c>
      <c r="BU46" s="177">
        <f t="shared" si="68"/>
        <v>1.6477817450751195</v>
      </c>
      <c r="BV46" s="177"/>
      <c r="BW46" s="113">
        <f>INDEX('Gross Dx Plant'!$E$7:$AD$91,MATCH($C46,'Gross Dx Plant'!$D$7:$D$91,0),MATCH(Calculation!$G46,'Gross Dx Plant'!$E$5:$AD$5,0))</f>
        <v>954102</v>
      </c>
      <c r="BX46" s="113">
        <f>INDEX('Gross Gen Plant'!$E$7:$AD$91,MATCH($C46,'Gross Gen Plant'!$D$7:$D$91,0),MATCH(Calculation!$G46,'Gross Gen Plant'!$E$5:$AD$5,0))</f>
        <v>39141</v>
      </c>
      <c r="BY46" s="113">
        <f t="shared" si="46"/>
        <v>673070</v>
      </c>
      <c r="BZ46" s="113"/>
      <c r="CA46" s="116">
        <v>2016</v>
      </c>
      <c r="CB46" s="113"/>
      <c r="CC46" s="113"/>
      <c r="CD46" s="113"/>
      <c r="CE46" s="175"/>
      <c r="CF46" s="113">
        <f t="shared" si="92"/>
        <v>82395</v>
      </c>
      <c r="CG46" s="113">
        <f t="shared" si="93"/>
        <v>122.71087259497426</v>
      </c>
      <c r="CH46" s="178">
        <v>0.88</v>
      </c>
      <c r="CI46" s="61">
        <f>+CI28*CH46+CG29*CH45+CG30*CH44+CG31*CH43+CG32*CH42+CG33*CH41+CG34*CH40+CG35*CH39+CG36*CH38+CG37*CH37+CG38*CH36+CG39*CH35+CG40*CH34+CG41*CH33+CG42*CH32+CG43*CH31+CG44*CH30+CG45*CH29+CG46</f>
        <v>2336.6911675467604</v>
      </c>
      <c r="CJ46" s="114">
        <f t="shared" si="94"/>
        <v>4.5597637034293287E-2</v>
      </c>
      <c r="CK46" s="114"/>
      <c r="CL46" s="169">
        <f t="shared" si="95"/>
        <v>8.3115927591802582E-3</v>
      </c>
      <c r="CM46" s="169">
        <f t="shared" si="106"/>
        <v>8.0978682299670968E-3</v>
      </c>
      <c r="CN46" s="114">
        <f>VLOOKUP($H46,RoR!$E:$F,2,FALSE)</f>
        <v>3.6658333333333334E-2</v>
      </c>
      <c r="CO46" s="169">
        <v>1.0483662879041455E-2</v>
      </c>
      <c r="CP46" s="169">
        <f t="shared" si="104"/>
        <v>2.6174670454291879E-2</v>
      </c>
      <c r="CQ46" s="169">
        <f t="shared" si="107"/>
        <v>2.2804073378566526E-2</v>
      </c>
      <c r="CR46" s="69">
        <f t="shared" si="108"/>
        <v>4.301363574220729E-3</v>
      </c>
      <c r="CS46" s="179">
        <f t="shared" si="96"/>
        <v>0.87050000000000005</v>
      </c>
      <c r="CT46" s="180">
        <f t="shared" si="97"/>
        <v>1.3989193348138562</v>
      </c>
      <c r="CU46" s="180">
        <f t="shared" si="98"/>
        <v>0.29302682427824522</v>
      </c>
      <c r="CV46" s="180">
        <f t="shared" si="99"/>
        <v>0.76309497491941802</v>
      </c>
      <c r="CW46" s="180">
        <f t="shared" si="100"/>
        <v>0.31280857135128509</v>
      </c>
      <c r="CX46" s="181">
        <f>INDEX('State Tax Lookup'!$D$7:$Z$91,MATCH(Calculation!$C46,'State Tax Lookup'!$B$7:$B$91,0),MATCH($H46,'State Tax Lookup'!$D$6:$Z$6,0))</f>
        <v>0.35</v>
      </c>
      <c r="CY46" s="72">
        <v>0.37</v>
      </c>
      <c r="CZ46" s="70">
        <f t="shared" si="105"/>
        <v>20.500461839446519</v>
      </c>
      <c r="DA46" s="70">
        <v>19.909765876209278</v>
      </c>
      <c r="DB46" s="69">
        <f t="shared" si="109"/>
        <v>-1.548572419882103E-2</v>
      </c>
      <c r="DC46" s="111">
        <f>VLOOKUP($H46,RoR!$E:$F,2,FALSE)</f>
        <v>3.6658333333333334E-2</v>
      </c>
      <c r="DD46" s="216">
        <f>HLOOKUP($H46,'GDP-PI'!$D$8:$CQ$11,3,FALSE)</f>
        <v>1.0483662879041455E-2</v>
      </c>
      <c r="DE46" s="111">
        <f>VLOOKUP(H46,'HW Dx Data'!$E:$F,2,FALSE)</f>
        <v>671.45639385971219</v>
      </c>
      <c r="DF46" s="72">
        <f t="shared" si="117"/>
        <v>136.94999999999999</v>
      </c>
      <c r="DG46" s="69">
        <f t="shared" si="118"/>
        <v>2.5514417868782811E-2</v>
      </c>
      <c r="DH46" s="66">
        <f>HLOOKUP(H46,'GDP-PI'!$8:$9,2,FALSE)</f>
        <v>105.736</v>
      </c>
      <c r="DI46" s="69">
        <f t="shared" si="110"/>
        <v>1.0429090367205095E-2</v>
      </c>
      <c r="DJ46" s="160">
        <v>115.65833333333333</v>
      </c>
      <c r="DK46" s="160">
        <v>3.5761626445449974</v>
      </c>
      <c r="DN46" s="184">
        <v>0.10771265695923289</v>
      </c>
      <c r="DO46" s="184">
        <v>3.3500000000000002E-2</v>
      </c>
      <c r="DP46" s="184">
        <f t="shared" si="129"/>
        <v>3.608374008134302E-3</v>
      </c>
      <c r="DQ46" s="184">
        <v>2.6800000000000001E-2</v>
      </c>
      <c r="DR46" s="184">
        <f t="shared" si="130"/>
        <v>2.8866992065074417E-3</v>
      </c>
      <c r="DS46" s="184">
        <v>2.3800000000000002E-2</v>
      </c>
      <c r="DT46" s="184">
        <f t="shared" si="131"/>
        <v>2.5635612356297429E-3</v>
      </c>
      <c r="DU46" s="184">
        <v>1.9199999999999998E-2</v>
      </c>
      <c r="DV46" s="184">
        <f t="shared" si="132"/>
        <v>2.0680830136172714E-3</v>
      </c>
      <c r="DW46" s="184">
        <v>1.4200000000000001E-2</v>
      </c>
      <c r="DX46" s="184">
        <f t="shared" si="133"/>
        <v>1.5295197288211072E-3</v>
      </c>
      <c r="EB46">
        <f t="shared" si="20"/>
        <v>2016</v>
      </c>
    </row>
    <row r="47" spans="1:132" s="160" customFormat="1" ht="21">
      <c r="A47" s="160" t="s">
        <v>145</v>
      </c>
      <c r="B47" s="161" t="s">
        <v>145</v>
      </c>
      <c r="C47" s="161">
        <v>4057075</v>
      </c>
      <c r="D47" s="161" t="s">
        <v>146</v>
      </c>
      <c r="E47" s="161"/>
      <c r="F47" s="161"/>
      <c r="G47" s="161" t="s">
        <v>135</v>
      </c>
      <c r="H47" s="162">
        <v>2017</v>
      </c>
      <c r="I47" s="163"/>
      <c r="J47" s="159">
        <f>IFERROR(INDEX('Labor Expenditures'!$F$7:$X$91,MATCH($C47,'Labor Expenditures'!$D$7:$D$91,0),MATCH($G47,'Labor Expenditures'!$F$5:$X$5,0)),"NA")</f>
        <v>25770.019486053014</v>
      </c>
      <c r="K47" s="159">
        <f t="shared" si="111"/>
        <v>183.48180481347822</v>
      </c>
      <c r="L47" s="165">
        <f t="shared" si="119"/>
        <v>-3.0434976868640856E-2</v>
      </c>
      <c r="M47" s="76">
        <f t="shared" si="121"/>
        <v>-2.7492898371009062E-4</v>
      </c>
      <c r="N47" s="62">
        <f t="shared" si="127"/>
        <v>98.148554983147491</v>
      </c>
      <c r="O47" s="96">
        <f t="shared" si="122"/>
        <v>5.0544437635650467E-3</v>
      </c>
      <c r="P47" s="96">
        <f t="shared" ca="1" si="128"/>
        <v>5.0544437635650467E-3</v>
      </c>
      <c r="Q47" s="159">
        <f>IFERROR(INDEX('Non-Labor Expenditures'!$F$7:$AB$91,MATCH($C47,'Non-Labor Expenditures'!$D$7:$D$91,0),MATCH($G47,'Non-Labor Expenditures'!$F$5:$AB$5,0)),"NA")</f>
        <v>37319.801391517729</v>
      </c>
      <c r="R47" s="159">
        <f t="shared" si="112"/>
        <v>346.35225094447128</v>
      </c>
      <c r="S47" s="165">
        <f t="shared" si="123"/>
        <v>-2.4076907255220711E-2</v>
      </c>
      <c r="T47" s="165">
        <f t="shared" si="124"/>
        <v>-2.1749448574020038E-4</v>
      </c>
      <c r="U47" s="165"/>
      <c r="V47" s="165"/>
      <c r="W47" s="159">
        <f t="shared" si="101"/>
        <v>43871.673850738334</v>
      </c>
      <c r="X47" s="163"/>
      <c r="Y47" s="167">
        <v>2440.5317520065187</v>
      </c>
      <c r="Z47" s="168">
        <v>4.348004899031882E-2</v>
      </c>
      <c r="AA47" s="76">
        <f t="shared" si="113"/>
        <v>3.9276933681162791E-4</v>
      </c>
      <c r="AB47" s="168"/>
      <c r="AC47" s="168"/>
      <c r="AD47" s="163">
        <f t="shared" si="102"/>
        <v>106961.49472830907</v>
      </c>
      <c r="AE47" s="168">
        <f t="shared" si="125"/>
        <v>-2.0590563767928043E-2</v>
      </c>
      <c r="AF47" s="163"/>
      <c r="AG47" s="163"/>
      <c r="AH47" s="163"/>
      <c r="AI47" s="163"/>
      <c r="AJ47" s="116">
        <f t="shared" si="126"/>
        <v>311.82472852243637</v>
      </c>
      <c r="AK47" s="114">
        <f>+AV47/$AX$22</f>
        <v>9.2638544340800343E-3</v>
      </c>
      <c r="AL47" s="115">
        <f t="shared" si="114"/>
        <v>0.24092800452640425</v>
      </c>
      <c r="AM47" s="115">
        <f t="shared" si="115"/>
        <v>0.34890874969831964</v>
      </c>
      <c r="AN47" s="115">
        <f t="shared" si="116"/>
        <v>0.41016324577527613</v>
      </c>
      <c r="AO47" s="115">
        <f t="shared" si="120"/>
        <v>2.4166384313082292E-3</v>
      </c>
      <c r="AP47" s="166">
        <f t="shared" si="135"/>
        <v>134.11736344261467</v>
      </c>
      <c r="AQ47" s="168">
        <f t="shared" si="136"/>
        <v>2.4166384313081238E-3</v>
      </c>
      <c r="AR47" s="69">
        <f>+AD47/$AF$22</f>
        <v>9.0333232351941725E-3</v>
      </c>
      <c r="AS47" s="169">
        <f t="shared" si="134"/>
        <v>2.1830276092598869E-5</v>
      </c>
      <c r="AT47" s="115"/>
      <c r="AU47" s="115"/>
      <c r="AV47" s="113">
        <f>IFERROR(INDEX('Total Customers'!$F$7:$AB$91,MATCH($C47,'Total Customers'!$D$7:$D$91,0),MATCH($G47,'Total Customers'!$F$5:$AB$5,0)),"NA")</f>
        <v>343018</v>
      </c>
      <c r="AW47" s="68">
        <f t="shared" si="6"/>
        <v>2.0055882225442353E-2</v>
      </c>
      <c r="AX47" s="114"/>
      <c r="AY47" s="114"/>
      <c r="AZ47" s="116"/>
      <c r="BA47" s="116"/>
      <c r="BB47" s="166"/>
      <c r="BC47" s="166"/>
      <c r="BD47" s="166"/>
      <c r="BE47" s="166"/>
      <c r="BF47" s="166"/>
      <c r="BG47" s="166"/>
      <c r="BH47" s="166"/>
      <c r="BI47" s="113"/>
      <c r="BJ47" s="113"/>
      <c r="BK47" s="113">
        <f>INDEX('Dist. Plant Gas Additions'!$F$7:$AE$91,MATCH($C47,'Dist. Plant Gas Additions'!$D$7:$D$91,0),MATCH(Calculation!$G47,'Dist. Plant Gas Additions'!$F$5:$AE$5,0))</f>
        <v>82850</v>
      </c>
      <c r="BL47" s="113">
        <f>INDEX('Gen. Plant Additions'!$F$7:$AE$91,MATCH($C47,'Gen. Plant Additions'!$D$7:$D$91,0),MATCH(Calculation!$G47,'Gen. Plant Additions'!$F$5:$AE$5,0))</f>
        <v>5291</v>
      </c>
      <c r="BM47" s="231">
        <f t="shared" si="91"/>
        <v>0.95917883976099338</v>
      </c>
      <c r="BN47" s="61">
        <f t="shared" si="8"/>
        <v>5075.0152411754161</v>
      </c>
      <c r="BO47" s="113">
        <f>INDEX('Dist Plant Depreciation'!$E$7:$AD$94,MATCH($C47,'Dist Plant Depreciation'!$D$7:$D$94,0),MATCH(Calculation!$G47,'Dist Plant Depreciation'!$E$5:$AD$5,0))</f>
        <v>321664</v>
      </c>
      <c r="BP47" s="113">
        <f>INDEX('Gen. Plant Depreciation'!$E$7:$AD$94,MATCH($C47,'Gen. Plant Depreciation'!$D$7:$D$94,0),MATCH(Calculation!$G47,'Gen. Plant Depreciation'!$E$5:$AD$5,0))</f>
        <v>18547</v>
      </c>
      <c r="BQ47" s="175">
        <v>1972</v>
      </c>
      <c r="BR47" s="175">
        <f t="shared" si="67"/>
        <v>25</v>
      </c>
      <c r="BS47" s="170">
        <v>96.33912828828781</v>
      </c>
      <c r="BT47" s="176">
        <f t="shared" si="90"/>
        <v>1.8853695324283559E-2</v>
      </c>
      <c r="BU47" s="177">
        <f t="shared" si="68"/>
        <v>1.8163485725544457</v>
      </c>
      <c r="BV47" s="177"/>
      <c r="BW47" s="113">
        <f>INDEX('Gross Dx Plant'!$E$7:$AD$91,MATCH($C47,'Gross Dx Plant'!$D$7:$D$91,0),MATCH(Calculation!$G47,'Gross Dx Plant'!$E$5:$AD$5,0))</f>
        <v>1032674</v>
      </c>
      <c r="BX47" s="113">
        <f>INDEX('Gross Gen Plant'!$E$7:$AD$91,MATCH($C47,'Gross Gen Plant'!$D$7:$D$91,0),MATCH(Calculation!$G47,'Gross Gen Plant'!$E$5:$AD$5,0))</f>
        <v>43949</v>
      </c>
      <c r="BY47" s="113">
        <f t="shared" si="46"/>
        <v>736412</v>
      </c>
      <c r="BZ47" s="113"/>
      <c r="CA47" s="116">
        <v>2017</v>
      </c>
      <c r="CB47" s="113"/>
      <c r="CC47" s="113"/>
      <c r="CD47" s="113"/>
      <c r="CE47" s="175"/>
      <c r="CF47" s="113">
        <f t="shared" si="92"/>
        <v>88141</v>
      </c>
      <c r="CG47" s="113">
        <f t="shared" si="93"/>
        <v>123.71906744947717</v>
      </c>
      <c r="CH47" s="178">
        <v>0.87074829931972786</v>
      </c>
      <c r="CI47" s="61">
        <f>+CI28*CH47+CG29*CH46+CG30*CH45+CG31*CH44+CG32*CH43+CG33*CH42+CG34*CH41+CG35*CH40+CG36*CH39+CG37*CH38+CG38*CH37+CG39*CH36+CG40*CH35+CG41*CH34+CG42*CH33+CG43*CH32+CG44*CH31+CG45*CH30+CG46*CH29+CG47</f>
        <v>2440.5317520065187</v>
      </c>
      <c r="CJ47" s="114">
        <f t="shared" si="94"/>
        <v>4.348004899031882E-2</v>
      </c>
      <c r="CK47" s="114"/>
      <c r="CL47" s="169">
        <f t="shared" si="95"/>
        <v>8.5071075141645233E-3</v>
      </c>
      <c r="CM47" s="169">
        <f t="shared" si="106"/>
        <v>8.3089520374221692E-3</v>
      </c>
      <c r="CN47" s="114">
        <f>VLOOKUP($H47,RoR!$E:$F,2,FALSE)</f>
        <v>3.7433333333333339E-2</v>
      </c>
      <c r="CO47" s="169">
        <v>1.9056896421275615E-2</v>
      </c>
      <c r="CP47" s="169">
        <f t="shared" si="104"/>
        <v>1.8376436912057724E-2</v>
      </c>
      <c r="CQ47" s="169">
        <f t="shared" si="107"/>
        <v>2.2592989571111458E-2</v>
      </c>
      <c r="CR47" s="69">
        <f t="shared" si="108"/>
        <v>1.3976271617800498E-2</v>
      </c>
      <c r="CS47" s="179">
        <f t="shared" si="96"/>
        <v>0.92230000000000001</v>
      </c>
      <c r="CT47" s="180">
        <f t="shared" si="97"/>
        <v>1.3699568463593395</v>
      </c>
      <c r="CU47" s="180">
        <f t="shared" si="98"/>
        <v>0.30714603739982199</v>
      </c>
      <c r="CV47" s="180">
        <f t="shared" si="99"/>
        <v>0.77007188472689425</v>
      </c>
      <c r="CW47" s="180">
        <f t="shared" si="100"/>
        <v>0.32402839633793828</v>
      </c>
      <c r="CX47" s="181">
        <f>INDEX('State Tax Lookup'!$D$7:$Z$91,MATCH(Calculation!$C47,'State Tax Lookup'!$B$7:$B$91,0),MATCH($H47,'State Tax Lookup'!$D$6:$Z$6,0))</f>
        <v>0.20999999999999996</v>
      </c>
      <c r="CY47" s="72">
        <v>0.37</v>
      </c>
      <c r="CZ47" s="70">
        <f t="shared" si="105"/>
        <v>18.775127179856728</v>
      </c>
      <c r="DA47" s="70">
        <v>18.231812616449311</v>
      </c>
      <c r="DB47" s="69">
        <f t="shared" si="109"/>
        <v>-8.7914443122993263E-2</v>
      </c>
      <c r="DC47" s="111">
        <f>VLOOKUP($H47,RoR!$E:$F,2,FALSE)</f>
        <v>3.7433333333333339E-2</v>
      </c>
      <c r="DD47" s="216">
        <f>HLOOKUP($H47,'GDP-PI'!$D$8:$CQ$11,3,FALSE)</f>
        <v>1.9056896421275615E-2</v>
      </c>
      <c r="DE47" s="111">
        <f>VLOOKUP(H47,'HW Dx Data'!$E:$F,2,FALSE)</f>
        <v>712.42858370229726</v>
      </c>
      <c r="DF47" s="72">
        <f t="shared" si="117"/>
        <v>140.44999999999999</v>
      </c>
      <c r="DG47" s="69">
        <f t="shared" si="118"/>
        <v>2.5235657841165486E-2</v>
      </c>
      <c r="DH47" s="66">
        <f>HLOOKUP(H47,'GDP-PI'!$8:$9,2,FALSE)</f>
        <v>107.751</v>
      </c>
      <c r="DI47" s="69">
        <f t="shared" si="110"/>
        <v>1.8877588227745139E-2</v>
      </c>
      <c r="DJ47" s="160">
        <v>119.47499999999999</v>
      </c>
      <c r="DK47" s="160">
        <v>3.7842760180995469</v>
      </c>
      <c r="DN47" s="184">
        <v>7.0758479803815387E-3</v>
      </c>
      <c r="DO47" s="184">
        <v>3.1E-2</v>
      </c>
      <c r="DP47" s="184">
        <f t="shared" si="129"/>
        <v>2.1935128739182771E-4</v>
      </c>
      <c r="DQ47" s="184">
        <v>2.4E-2</v>
      </c>
      <c r="DR47" s="184">
        <f t="shared" si="130"/>
        <v>1.6982035152915694E-4</v>
      </c>
      <c r="DS47" s="184">
        <v>2.0899999999999998E-2</v>
      </c>
      <c r="DT47" s="184">
        <f t="shared" si="131"/>
        <v>1.4788522278997416E-4</v>
      </c>
      <c r="DU47" s="184">
        <v>1.6E-2</v>
      </c>
      <c r="DV47" s="184">
        <f t="shared" si="132"/>
        <v>1.1321356768610461E-4</v>
      </c>
      <c r="DW47" s="184">
        <v>1.06E-2</v>
      </c>
      <c r="DX47" s="184">
        <f t="shared" si="133"/>
        <v>7.5003988592044313E-5</v>
      </c>
      <c r="EB47">
        <f t="shared" si="20"/>
        <v>2017</v>
      </c>
    </row>
    <row r="48" spans="1:132" s="160" customFormat="1" ht="21">
      <c r="A48" s="160" t="s">
        <v>145</v>
      </c>
      <c r="B48" s="161" t="s">
        <v>145</v>
      </c>
      <c r="C48" s="161">
        <v>4057075</v>
      </c>
      <c r="D48" s="161" t="s">
        <v>146</v>
      </c>
      <c r="E48" s="161"/>
      <c r="F48" s="161"/>
      <c r="G48" s="161" t="s">
        <v>136</v>
      </c>
      <c r="H48" s="162">
        <v>2018</v>
      </c>
      <c r="I48" s="163"/>
      <c r="J48" s="159">
        <f>IFERROR(INDEX('Labor Expenditures'!$F$7:$X$91,MATCH($C48,'Labor Expenditures'!$D$7:$D$91,0),MATCH($G48,'Labor Expenditures'!$F$5:$X$5,0)),"NA")</f>
        <v>26872.00507433536</v>
      </c>
      <c r="K48" s="159">
        <f t="shared" si="111"/>
        <v>186.02980321450579</v>
      </c>
      <c r="L48" s="165">
        <f t="shared" si="119"/>
        <v>1.3791386964932172E-2</v>
      </c>
      <c r="M48" s="76">
        <f t="shared" si="121"/>
        <v>1.2200021996665462E-4</v>
      </c>
      <c r="N48" s="62">
        <f t="shared" si="127"/>
        <v>103.88097741197267</v>
      </c>
      <c r="O48" s="96">
        <f t="shared" si="122"/>
        <v>5.6763597720260489E-2</v>
      </c>
      <c r="P48" s="96">
        <f t="shared" ca="1" si="128"/>
        <v>5.6763597720260489E-2</v>
      </c>
      <c r="Q48" s="159">
        <f>IFERROR(INDEX('Non-Labor Expenditures'!$F$7:$AB$91,MATCH($C48,'Non-Labor Expenditures'!$D$7:$D$91,0),MATCH($G48,'Non-Labor Expenditures'!$F$5:$AB$5,0)),"NA")</f>
        <v>38915.682345867404</v>
      </c>
      <c r="R48" s="159">
        <f t="shared" si="112"/>
        <v>352.74634565968171</v>
      </c>
      <c r="S48" s="165">
        <f t="shared" si="123"/>
        <v>1.8292907610415153E-2</v>
      </c>
      <c r="T48" s="165">
        <f t="shared" si="124"/>
        <v>1.6182119738754753E-4</v>
      </c>
      <c r="U48" s="165"/>
      <c r="V48" s="165"/>
      <c r="W48" s="159">
        <f t="shared" si="101"/>
        <v>48066.842999439032</v>
      </c>
      <c r="X48" s="163"/>
      <c r="Y48" s="167">
        <v>2574.0105407440492</v>
      </c>
      <c r="Z48" s="168">
        <v>5.324925753692876E-2</v>
      </c>
      <c r="AA48" s="76">
        <f t="shared" si="113"/>
        <v>4.7104915184274218E-4</v>
      </c>
      <c r="AB48" s="168"/>
      <c r="AC48" s="168"/>
      <c r="AD48" s="163">
        <f t="shared" si="102"/>
        <v>113854.5304196418</v>
      </c>
      <c r="AE48" s="168">
        <f t="shared" si="125"/>
        <v>6.2452677256602189E-2</v>
      </c>
      <c r="AF48" s="163"/>
      <c r="AG48" s="163"/>
      <c r="AH48" s="163"/>
      <c r="AI48" s="163"/>
      <c r="AJ48" s="116">
        <f t="shared" si="126"/>
        <v>324.61788825617646</v>
      </c>
      <c r="AK48" s="114">
        <f>+AV48/$AX$23</f>
        <v>9.3892830024460625E-3</v>
      </c>
      <c r="AL48" s="115">
        <f t="shared" si="114"/>
        <v>0.23602051648969335</v>
      </c>
      <c r="AM48" s="115">
        <f t="shared" si="115"/>
        <v>0.3418017904288313</v>
      </c>
      <c r="AN48" s="115">
        <f t="shared" si="116"/>
        <v>0.42217769308147535</v>
      </c>
      <c r="AO48" s="115">
        <f t="shared" si="120"/>
        <v>3.1767211361741619E-2</v>
      </c>
      <c r="AP48" s="166">
        <f t="shared" si="135"/>
        <v>138.4462930443072</v>
      </c>
      <c r="AQ48" s="168">
        <f t="shared" si="136"/>
        <v>3.1767211361741557E-2</v>
      </c>
      <c r="AR48" s="69">
        <f>+AD48/$AF$23</f>
        <v>8.8461168029632352E-3</v>
      </c>
      <c r="AS48" s="169">
        <f t="shared" si="134"/>
        <v>2.8101646221038659E-4</v>
      </c>
      <c r="AT48" s="115"/>
      <c r="AU48" s="115"/>
      <c r="AV48" s="113">
        <f>IFERROR(INDEX('Total Customers'!$F$7:$AB$91,MATCH($C48,'Total Customers'!$D$7:$D$91,0),MATCH($G48,'Total Customers'!$F$5:$AB$5,0)),"NA")</f>
        <v>350734</v>
      </c>
      <c r="AW48" s="68">
        <f t="shared" si="6"/>
        <v>2.2245177482988501E-2</v>
      </c>
      <c r="AX48" s="114"/>
      <c r="AY48" s="114"/>
      <c r="AZ48" s="116"/>
      <c r="BA48" s="116"/>
      <c r="BB48" s="166"/>
      <c r="BC48" s="166"/>
      <c r="BD48" s="166"/>
      <c r="BE48" s="166"/>
      <c r="BF48" s="166"/>
      <c r="BG48" s="166"/>
      <c r="BH48" s="166"/>
      <c r="BI48" s="113"/>
      <c r="BJ48" s="113"/>
      <c r="BK48" s="113">
        <f>INDEX('Dist. Plant Gas Additions'!$F$7:$AE$91,MATCH($C48,'Dist. Plant Gas Additions'!$D$7:$D$91,0),MATCH(Calculation!$G48,'Dist. Plant Gas Additions'!$F$5:$AE$5,0))</f>
        <v>96973</v>
      </c>
      <c r="BL48" s="113">
        <f>INDEX('Gen. Plant Additions'!$F$7:$AE$91,MATCH($C48,'Gen. Plant Additions'!$D$7:$D$91,0),MATCH(Calculation!$G48,'Gen. Plant Additions'!$F$5:$AE$5,0))</f>
        <v>19881</v>
      </c>
      <c r="BM48" s="231">
        <f t="shared" si="91"/>
        <v>0.9477859060368754</v>
      </c>
      <c r="BN48" s="61">
        <f t="shared" si="8"/>
        <v>18842.93159791912</v>
      </c>
      <c r="BO48" s="113">
        <f>INDEX('Dist Plant Depreciation'!$E$7:$AD$94,MATCH($C48,'Dist Plant Depreciation'!$D$7:$D$94,0),MATCH(Calculation!$G48,'Dist Plant Depreciation'!$E$5:$AD$5,0))</f>
        <v>340260</v>
      </c>
      <c r="BP48" s="113">
        <f>INDEX('Gen. Plant Depreciation'!$E$7:$AD$94,MATCH($C48,'Gen. Plant Depreciation'!$D$7:$D$94,0),MATCH(Calculation!$G48,'Gen. Plant Depreciation'!$E$5:$AD$5,0))</f>
        <v>19909</v>
      </c>
      <c r="BQ48" s="175">
        <v>1973</v>
      </c>
      <c r="BR48" s="175">
        <f t="shared" si="67"/>
        <v>26</v>
      </c>
      <c r="BS48" s="170">
        <v>100</v>
      </c>
      <c r="BT48" s="176">
        <f t="shared" si="90"/>
        <v>1.9607843137254902E-2</v>
      </c>
      <c r="BU48" s="177">
        <f t="shared" si="68"/>
        <v>1.9607843137254901</v>
      </c>
      <c r="BV48" s="177"/>
      <c r="BW48" s="113">
        <f>INDEX('Gross Dx Plant'!$E$7:$AD$91,MATCH($C48,'Gross Dx Plant'!$D$7:$D$91,0),MATCH(Calculation!$G48,'Gross Dx Plant'!$E$5:$AD$5,0))</f>
        <v>1124838</v>
      </c>
      <c r="BX48" s="113">
        <f>INDEX('Gross Gen Plant'!$E$7:$AD$91,MATCH($C48,'Gross Gen Plant'!$D$7:$D$91,0),MATCH(Calculation!$G48,'Gross Gen Plant'!$E$5:$AD$5,0))</f>
        <v>61968</v>
      </c>
      <c r="BY48" s="113">
        <f t="shared" si="46"/>
        <v>826637</v>
      </c>
      <c r="BZ48" s="113"/>
      <c r="CA48" s="116">
        <v>2018</v>
      </c>
      <c r="CB48" s="113"/>
      <c r="CC48" s="113"/>
      <c r="CD48" s="113"/>
      <c r="CE48" s="175"/>
      <c r="CF48" s="113">
        <f t="shared" si="92"/>
        <v>116854</v>
      </c>
      <c r="CG48" s="113">
        <f t="shared" si="93"/>
        <v>154.74548883755634</v>
      </c>
      <c r="CH48" s="178">
        <v>0.86111111111111116</v>
      </c>
      <c r="CI48" s="61">
        <f>+CI28*CH48++CG29*CH47+CG30*CH46+CG31*CH45+CG32*CH44+CG33*CH43+CG34*CH42+CG35*CH41+CG36*CH40+CG37*CH39+CG38*CH38+CG39*CH37+CG40*CH36+CG41*CH35+CG42*CH34+CG43*CH33+CG44*CH32+CG45*CH31+CG46*CH30+CG47*CH29+CG48</f>
        <v>2574.0105407440492</v>
      </c>
      <c r="CJ48" s="114">
        <f t="shared" si="94"/>
        <v>5.324925753692876E-2</v>
      </c>
      <c r="CK48" s="114"/>
      <c r="CL48" s="169">
        <f t="shared" si="95"/>
        <v>8.7139616530459343E-3</v>
      </c>
      <c r="CM48" s="169">
        <f t="shared" si="106"/>
        <v>8.5108873087969064E-3</v>
      </c>
      <c r="CN48" s="114">
        <f>VLOOKUP($H48,RoR!$E:$F,2,FALSE)</f>
        <v>3.9299999999999995E-2</v>
      </c>
      <c r="CO48" s="169">
        <v>2.386056741932796E-2</v>
      </c>
      <c r="CP48" s="169">
        <f t="shared" si="104"/>
        <v>1.5439432580672034E-2</v>
      </c>
      <c r="CQ48" s="169">
        <f t="shared" si="107"/>
        <v>2.2391054299736719E-2</v>
      </c>
      <c r="CR48" s="69">
        <f t="shared" si="108"/>
        <v>3.8270792163076606E-2</v>
      </c>
      <c r="CS48" s="179">
        <f t="shared" si="96"/>
        <v>0.92230000000000001</v>
      </c>
      <c r="CT48" s="180">
        <f t="shared" si="97"/>
        <v>1.3048868010700074</v>
      </c>
      <c r="CU48" s="180">
        <f t="shared" si="98"/>
        <v>0.33886768447837151</v>
      </c>
      <c r="CV48" s="180">
        <f t="shared" si="99"/>
        <v>0.78602506232557801</v>
      </c>
      <c r="CW48" s="180">
        <f t="shared" si="100"/>
        <v>0.34756768162358759</v>
      </c>
      <c r="CX48" s="181">
        <f>INDEX('State Tax Lookup'!$D$7:$Z$91,MATCH(Calculation!$C48,'State Tax Lookup'!$B$7:$B$91,0),MATCH($H48,'State Tax Lookup'!$D$6:$Z$6,0))</f>
        <v>0.20999999999999996</v>
      </c>
      <c r="CY48" s="72">
        <v>0.37</v>
      </c>
      <c r="CZ48" s="70">
        <f t="shared" si="105"/>
        <v>19.695233614526906</v>
      </c>
      <c r="DA48" s="70">
        <v>19.050901628905343</v>
      </c>
      <c r="DB48" s="69">
        <f t="shared" si="109"/>
        <v>4.7843686447420493E-2</v>
      </c>
      <c r="DC48" s="111">
        <f>VLOOKUP($H48,RoR!$E:$F,2,FALSE)</f>
        <v>3.9299999999999995E-2</v>
      </c>
      <c r="DD48" s="216">
        <f>HLOOKUP($H48,'GDP-PI'!$D$8:$CQ$11,3,FALSE)</f>
        <v>2.386056741932796E-2</v>
      </c>
      <c r="DE48" s="111">
        <f>VLOOKUP(H48,'HW Dx Data'!$E:$F,2,FALSE)</f>
        <v>755.13671434174842</v>
      </c>
      <c r="DF48" s="72">
        <f t="shared" si="117"/>
        <v>144.44999999999999</v>
      </c>
      <c r="DG48" s="69">
        <f t="shared" si="118"/>
        <v>2.80818733619915E-2</v>
      </c>
      <c r="DH48" s="66">
        <f>HLOOKUP(H48,'GDP-PI'!$8:$9,2,FALSE)</f>
        <v>110.322</v>
      </c>
      <c r="DI48" s="69">
        <f t="shared" si="110"/>
        <v>2.3580352716508712E-2</v>
      </c>
      <c r="DJ48" s="160">
        <v>119.61666666666666</v>
      </c>
      <c r="DK48" s="160">
        <v>3.8789718451483157</v>
      </c>
      <c r="DN48" s="184">
        <v>3.0316600823757176E-3</v>
      </c>
      <c r="DO48" s="184">
        <v>3.7199999999999997E-2</v>
      </c>
      <c r="DP48" s="184">
        <f t="shared" si="129"/>
        <v>1.1277775506437669E-4</v>
      </c>
      <c r="DQ48" s="184">
        <v>3.1399999999999997E-2</v>
      </c>
      <c r="DR48" s="184">
        <f t="shared" si="130"/>
        <v>9.5194126586597524E-5</v>
      </c>
      <c r="DS48" s="184">
        <v>2.87E-2</v>
      </c>
      <c r="DT48" s="184">
        <f t="shared" si="131"/>
        <v>8.7008644364183096E-5</v>
      </c>
      <c r="DU48" s="184">
        <v>2.4799999999999999E-2</v>
      </c>
      <c r="DV48" s="184">
        <f t="shared" si="132"/>
        <v>7.5185170042917795E-5</v>
      </c>
      <c r="DW48" s="184">
        <v>2.06E-2</v>
      </c>
      <c r="DX48" s="184">
        <f t="shared" si="133"/>
        <v>6.2452197696939783E-5</v>
      </c>
      <c r="EB48">
        <f t="shared" si="20"/>
        <v>2018</v>
      </c>
    </row>
    <row r="49" spans="1:132" s="160" customFormat="1" ht="21">
      <c r="A49" s="160" t="s">
        <v>145</v>
      </c>
      <c r="B49" s="161" t="s">
        <v>145</v>
      </c>
      <c r="C49" s="161">
        <v>4057075</v>
      </c>
      <c r="D49" s="161" t="s">
        <v>146</v>
      </c>
      <c r="E49" s="161"/>
      <c r="F49" s="161"/>
      <c r="G49" s="161" t="s">
        <v>140</v>
      </c>
      <c r="H49" s="162">
        <v>2019</v>
      </c>
      <c r="I49" s="163"/>
      <c r="J49" s="159">
        <f>IFERROR(INDEX('Labor Expenditures'!$F$7:$X$91,MATCH($C49,'Labor Expenditures'!$D$7:$D$91,0),MATCH($G49,'Labor Expenditures'!$F$5:$X$5,0)),"NA")</f>
        <v>28425.392228873563</v>
      </c>
      <c r="K49" s="159">
        <f t="shared" si="111"/>
        <v>189.91409539918865</v>
      </c>
      <c r="L49" s="165">
        <f t="shared" si="119"/>
        <v>2.0664947227756417E-2</v>
      </c>
      <c r="M49" s="76">
        <f t="shared" si="121"/>
        <v>1.8851428433867988E-4</v>
      </c>
      <c r="N49" s="62">
        <f t="shared" si="127"/>
        <v>102.73732402033224</v>
      </c>
      <c r="O49" s="96">
        <f t="shared" si="122"/>
        <v>-1.1070317231650029E-2</v>
      </c>
      <c r="P49" s="96">
        <f t="shared" ca="1" si="128"/>
        <v>-1.1070317231650029E-2</v>
      </c>
      <c r="Q49" s="159">
        <f>IFERROR(INDEX('Non-Labor Expenditures'!$F$7:$AB$91,MATCH($C49,'Non-Labor Expenditures'!$D$7:$D$91,0),MATCH($G49,'Non-Labor Expenditures'!$F$5:$AB$5,0)),"NA")</f>
        <v>41165.277078338433</v>
      </c>
      <c r="R49" s="159">
        <f t="shared" si="112"/>
        <v>366.50650010094938</v>
      </c>
      <c r="S49" s="165">
        <f t="shared" si="123"/>
        <v>3.8267025675526124E-2</v>
      </c>
      <c r="T49" s="165">
        <f t="shared" si="124"/>
        <v>3.4908779971633654E-4</v>
      </c>
      <c r="U49" s="165"/>
      <c r="V49" s="165"/>
      <c r="W49" s="159">
        <f t="shared" si="101"/>
        <v>51457.824902389861</v>
      </c>
      <c r="X49" s="163"/>
      <c r="Y49" s="167">
        <v>2687.9204460692845</v>
      </c>
      <c r="Z49" s="168">
        <v>4.3302622017858568E-2</v>
      </c>
      <c r="AA49" s="76">
        <f t="shared" si="113"/>
        <v>3.9502461388919019E-4</v>
      </c>
      <c r="AB49" s="168"/>
      <c r="AC49" s="168"/>
      <c r="AD49" s="163">
        <f t="shared" si="102"/>
        <v>121048.49420960186</v>
      </c>
      <c r="AE49" s="168">
        <f t="shared" si="125"/>
        <v>6.12696592979418E-2</v>
      </c>
      <c r="AF49" s="163"/>
      <c r="AG49" s="163"/>
      <c r="AH49" s="163"/>
      <c r="AI49" s="163"/>
      <c r="AJ49" s="116">
        <f t="shared" si="126"/>
        <v>338.51007351842844</v>
      </c>
      <c r="AK49" s="114">
        <f>+AV49/$AX$24</f>
        <v>9.4939250396963003E-3</v>
      </c>
      <c r="AL49" s="115">
        <f t="shared" si="114"/>
        <v>0.23482648350547422</v>
      </c>
      <c r="AM49" s="115">
        <f t="shared" si="115"/>
        <v>0.34007260765308306</v>
      </c>
      <c r="AN49" s="115">
        <f t="shared" si="116"/>
        <v>0.42510090884144264</v>
      </c>
      <c r="AO49" s="115">
        <f t="shared" si="120"/>
        <v>3.6256359274509938E-2</v>
      </c>
      <c r="AP49" s="166">
        <f t="shared" si="135"/>
        <v>143.55795680611675</v>
      </c>
      <c r="AQ49" s="168">
        <f t="shared" si="136"/>
        <v>3.6256359274509847E-2</v>
      </c>
      <c r="AR49" s="69">
        <f>+AD49/$AF$24</f>
        <v>9.122417892530316E-3</v>
      </c>
      <c r="AS49" s="169">
        <f t="shared" si="134"/>
        <v>3.3074566056379612E-4</v>
      </c>
      <c r="AT49" s="115"/>
      <c r="AU49" s="115"/>
      <c r="AV49" s="113">
        <f>IFERROR(INDEX('Total Customers'!$F$7:$AB$91,MATCH($C49,'Total Customers'!$D$7:$D$91,0),MATCH($G49,'Total Customers'!$F$5:$AB$5,0)),"NA")</f>
        <v>357592</v>
      </c>
      <c r="AW49" s="68">
        <f t="shared" si="6"/>
        <v>1.9364570278353026E-2</v>
      </c>
      <c r="AX49" s="114"/>
      <c r="AY49" s="114"/>
      <c r="AZ49" s="116"/>
      <c r="BA49" s="116"/>
      <c r="BB49" s="166"/>
      <c r="BC49" s="166"/>
      <c r="BD49" s="166"/>
      <c r="BE49" s="166"/>
      <c r="BF49" s="166"/>
      <c r="BG49" s="166"/>
      <c r="BH49" s="166"/>
      <c r="BI49" s="113"/>
      <c r="BJ49" s="113"/>
      <c r="BK49" s="113">
        <f>INDEX('Dist. Plant Gas Additions'!$F$7:$AE$91,MATCH($C49,'Dist. Plant Gas Additions'!$D$7:$D$91,0),MATCH(Calculation!$G49,'Dist. Plant Gas Additions'!$F$5:$AE$5,0))</f>
        <v>96658</v>
      </c>
      <c r="BL49" s="113">
        <f>INDEX('Gen. Plant Additions'!$F$7:$AE$91,MATCH($C49,'Gen. Plant Additions'!$D$7:$D$91,0),MATCH(Calculation!$G49,'Gen. Plant Additions'!$F$5:$AE$5,0))</f>
        <v>9150</v>
      </c>
      <c r="BM49" s="231">
        <f t="shared" si="91"/>
        <v>0.94579984223509161</v>
      </c>
      <c r="BN49" s="61">
        <f t="shared" si="8"/>
        <v>8654.0685564510877</v>
      </c>
      <c r="BO49" s="113">
        <f>INDEX('Dist Plant Depreciation'!$E$7:$AD$94,MATCH($C49,'Dist Plant Depreciation'!$D$7:$D$94,0),MATCH(Calculation!$G49,'Dist Plant Depreciation'!$E$5:$AD$5,0))</f>
        <v>354876</v>
      </c>
      <c r="BP49" s="113">
        <f>INDEX('Gen. Plant Depreciation'!$E$7:$AD$94,MATCH($C49,'Gen. Plant Depreciation'!$D$7:$D$94,0),MATCH(Calculation!$G49,'Gen. Plant Depreciation'!$E$5:$AD$5,0))</f>
        <v>21435</v>
      </c>
      <c r="BQ49" s="175">
        <v>1974</v>
      </c>
      <c r="BR49" s="175">
        <f t="shared" si="67"/>
        <v>27</v>
      </c>
      <c r="BS49" s="170">
        <v>117.05484384788345</v>
      </c>
      <c r="BT49" s="176">
        <f t="shared" si="90"/>
        <v>2.0361990950226245E-2</v>
      </c>
      <c r="BU49" s="177">
        <f t="shared" si="68"/>
        <v>2.383469671110749</v>
      </c>
      <c r="BV49" s="177"/>
      <c r="BW49" s="113">
        <f>INDEX('Gross Dx Plant'!$E$7:$AD$91,MATCH($C49,'Gross Dx Plant'!$D$7:$D$91,0),MATCH(Calculation!$G49,'Gross Dx Plant'!$E$5:$AD$5,0))</f>
        <v>1207392</v>
      </c>
      <c r="BX49" s="113">
        <f>INDEX('Gross Gen Plant'!$E$7:$AD$91,MATCH($C49,'Gross Gen Plant'!$D$7:$D$91,0),MATCH(Calculation!$G49,'Gross Gen Plant'!$E$5:$AD$5,0))</f>
        <v>69191</v>
      </c>
      <c r="BY49" s="113">
        <f t="shared" si="46"/>
        <v>900272</v>
      </c>
      <c r="BZ49" s="113"/>
      <c r="CA49" s="116">
        <v>2019</v>
      </c>
      <c r="CB49" s="113"/>
      <c r="CC49" s="113"/>
      <c r="CD49" s="113"/>
      <c r="CE49" s="175"/>
      <c r="CF49" s="113">
        <f t="shared" si="92"/>
        <v>105808</v>
      </c>
      <c r="CG49" s="113">
        <f t="shared" si="93"/>
        <v>136.78425941882901</v>
      </c>
      <c r="CH49" s="178">
        <v>0.85106382978723405</v>
      </c>
      <c r="CI49" s="61">
        <f>CI28*CH49+CG29*CH48+CG30*CH47+CG31*CH46+CG32*CH45+CG33*CH44+CG34*CH43+CG35*CH42+CG36*CH41+CG37*CH40+CG38*CH39+CG39*CH38+CG40*CH37+CG41*CH36+CG42*CH35+CG43*CH34+CG44*CH33+CG45*CH32+CG46*CH31+CG47*CH30+CG48*CH29+CG49</f>
        <v>2687.9204460692845</v>
      </c>
      <c r="CJ49" s="114">
        <f t="shared" si="94"/>
        <v>4.3302622017858568E-2</v>
      </c>
      <c r="CK49" s="114"/>
      <c r="CL49" s="169">
        <f t="shared" si="95"/>
        <v>8.8866590604487622E-3</v>
      </c>
      <c r="CM49" s="169">
        <f t="shared" si="106"/>
        <v>8.7025760758864066E-3</v>
      </c>
      <c r="CN49" s="114">
        <f>VLOOKUP($H49,RoR!$E:$F,2,FALSE)</f>
        <v>3.3875000000000009E-2</v>
      </c>
      <c r="CO49" s="169">
        <v>1.8092492884465461E-2</v>
      </c>
      <c r="CP49" s="169">
        <f t="shared" si="104"/>
        <v>1.5782507115534548E-2</v>
      </c>
      <c r="CQ49" s="169">
        <f t="shared" si="107"/>
        <v>2.2199365532647217E-2</v>
      </c>
      <c r="CR49" s="69">
        <f t="shared" si="108"/>
        <v>4.8445665544254078E-2</v>
      </c>
      <c r="CS49" s="179">
        <f t="shared" si="96"/>
        <v>0.92230000000000001</v>
      </c>
      <c r="CT49" s="180">
        <f t="shared" si="97"/>
        <v>1.513861292459078</v>
      </c>
      <c r="CU49" s="180">
        <f t="shared" si="98"/>
        <v>0.23699261992619944</v>
      </c>
      <c r="CV49" s="180">
        <f t="shared" si="99"/>
        <v>0.73619765810468829</v>
      </c>
      <c r="CW49" s="180">
        <f t="shared" si="100"/>
        <v>0.26412854465362851</v>
      </c>
      <c r="CX49" s="181">
        <f>INDEX('State Tax Lookup'!$D$7:$Z$91,MATCH(Calculation!$C49,'State Tax Lookup'!$B$7:$B$91,0),MATCH($H49,'State Tax Lookup'!$D$6:$Z$6,0))</f>
        <v>0.20999999999999996</v>
      </c>
      <c r="CY49" s="72">
        <v>0.37</v>
      </c>
      <c r="CZ49" s="70">
        <f t="shared" si="105"/>
        <v>19.991303099914791</v>
      </c>
      <c r="DA49" s="70">
        <v>19.236104090735289</v>
      </c>
      <c r="DB49" s="69">
        <f t="shared" si="109"/>
        <v>1.4920676008714454E-2</v>
      </c>
      <c r="DC49" s="111">
        <f>VLOOKUP($H49,RoR!$E:$F,2,FALSE)</f>
        <v>3.3875000000000009E-2</v>
      </c>
      <c r="DD49" s="216">
        <f>HLOOKUP($H49,'GDP-PI'!$D$8:$CQ$11,3,FALSE)</f>
        <v>1.8092492884465461E-2</v>
      </c>
      <c r="DE49" s="111">
        <f>VLOOKUP(H49,'HW Dx Data'!$E:$F,2,FALSE)</f>
        <v>773.53929793938721</v>
      </c>
      <c r="DF49" s="72">
        <f t="shared" si="117"/>
        <v>149.67500000000001</v>
      </c>
      <c r="DG49" s="69">
        <f t="shared" si="118"/>
        <v>3.5532849899171604E-2</v>
      </c>
      <c r="DH49" s="66">
        <f>HLOOKUP(H49,'GDP-PI'!$8:$9,2,FALSE)</f>
        <v>112.318</v>
      </c>
      <c r="DI49" s="69">
        <f t="shared" si="110"/>
        <v>1.7930771451401852E-2</v>
      </c>
      <c r="DJ49" s="160">
        <v>120.38333333333334</v>
      </c>
      <c r="DK49" s="160">
        <v>3.9946204122674711</v>
      </c>
      <c r="DN49" s="184">
        <v>1.8092988214810892E-2</v>
      </c>
      <c r="DO49" s="184">
        <v>3.5400000000000001E-2</v>
      </c>
      <c r="DP49" s="184">
        <f t="shared" si="129"/>
        <v>6.4049178280430562E-4</v>
      </c>
      <c r="DQ49" s="184">
        <v>2.8899999999999999E-2</v>
      </c>
      <c r="DR49" s="184">
        <f t="shared" si="130"/>
        <v>5.2288735940803478E-4</v>
      </c>
      <c r="DS49" s="184">
        <v>2.6100000000000002E-2</v>
      </c>
      <c r="DT49" s="184">
        <f t="shared" si="131"/>
        <v>4.7222699240656433E-4</v>
      </c>
      <c r="DU49" s="184">
        <v>2.1600000000000001E-2</v>
      </c>
      <c r="DV49" s="184">
        <f t="shared" si="132"/>
        <v>3.9080854543991527E-4</v>
      </c>
      <c r="DW49" s="184">
        <v>1.6799999999999999E-2</v>
      </c>
      <c r="DX49" s="184">
        <f t="shared" si="133"/>
        <v>3.0396220200882299E-4</v>
      </c>
      <c r="EB49">
        <f t="shared" si="20"/>
        <v>2019</v>
      </c>
    </row>
    <row r="50" spans="1:132" s="160" customFormat="1" ht="21">
      <c r="A50" s="160" t="s">
        <v>145</v>
      </c>
      <c r="B50" s="160" t="s">
        <v>145</v>
      </c>
      <c r="C50" s="160">
        <v>4057075</v>
      </c>
      <c r="D50" s="160" t="s">
        <v>146</v>
      </c>
      <c r="G50" s="161" t="s">
        <v>141</v>
      </c>
      <c r="H50" s="162">
        <v>2020</v>
      </c>
      <c r="I50" s="163"/>
      <c r="J50" s="159">
        <v>28665.853369891134</v>
      </c>
      <c r="K50" s="159">
        <f t="shared" si="111"/>
        <v>187.1750138419271</v>
      </c>
      <c r="L50" s="165">
        <f t="shared" si="119"/>
        <v>-1.4527758372640072E-2</v>
      </c>
      <c r="M50" s="76">
        <f t="shared" si="121"/>
        <v>-1.3402231335495125E-4</v>
      </c>
      <c r="N50" s="62">
        <f t="shared" si="127"/>
        <v>99.677432072678286</v>
      </c>
      <c r="O50" s="96">
        <f t="shared" si="122"/>
        <v>-3.0236185570659123E-2</v>
      </c>
      <c r="P50" s="96">
        <f t="shared" ca="1" si="128"/>
        <v>-3.0236185570659123E-2</v>
      </c>
      <c r="Q50" s="159">
        <v>41513.509722477887</v>
      </c>
      <c r="R50" s="159">
        <f t="shared" si="112"/>
        <v>365.3618521116137</v>
      </c>
      <c r="S50" s="165">
        <f t="shared" si="123"/>
        <v>-3.128018636664529E-3</v>
      </c>
      <c r="T50" s="165">
        <f t="shared" si="124"/>
        <v>-2.8856777704446153E-5</v>
      </c>
      <c r="U50" s="165"/>
      <c r="V50" s="165"/>
      <c r="W50" s="159">
        <f t="shared" si="101"/>
        <v>55993.450906896549</v>
      </c>
      <c r="X50" s="163"/>
      <c r="Y50" s="167">
        <v>2768.9411054935708</v>
      </c>
      <c r="Z50" s="168">
        <v>2.9697148462973656E-2</v>
      </c>
      <c r="AA50" s="76">
        <f t="shared" si="113"/>
        <v>2.7396384459069719E-4</v>
      </c>
      <c r="AB50" s="168"/>
      <c r="AC50" s="168"/>
      <c r="AD50" s="163">
        <f t="shared" si="102"/>
        <v>126172.81399926558</v>
      </c>
      <c r="AE50" s="168">
        <f t="shared" si="125"/>
        <v>4.1461263028569638E-2</v>
      </c>
      <c r="AF50" s="163"/>
      <c r="AG50" s="163"/>
      <c r="AH50" s="163"/>
      <c r="AI50" s="163"/>
      <c r="AJ50" s="116">
        <f t="shared" si="126"/>
        <v>352.54438210204637</v>
      </c>
      <c r="AK50" s="114">
        <f>+AV50/$AX$25</f>
        <v>9.4347916761185844E-3</v>
      </c>
      <c r="AL50" s="115">
        <f t="shared" si="114"/>
        <v>0.22719516559294611</v>
      </c>
      <c r="AM50" s="115">
        <f t="shared" si="115"/>
        <v>0.32902103398216614</v>
      </c>
      <c r="AN50" s="115">
        <f t="shared" si="116"/>
        <v>0.44378380042488769</v>
      </c>
      <c r="AO50" s="115">
        <f t="shared" si="120"/>
        <v>8.4991609732752854E-3</v>
      </c>
      <c r="AP50" s="166">
        <f t="shared" si="135"/>
        <v>144.78327871809967</v>
      </c>
      <c r="AQ50" s="168">
        <f t="shared" si="136"/>
        <v>8.4991609732752282E-3</v>
      </c>
      <c r="AR50" s="69">
        <f>+AD50/$AF$25</f>
        <v>9.2252576011557057E-3</v>
      </c>
      <c r="AS50" s="169">
        <f t="shared" si="134"/>
        <v>7.8406949372153219E-5</v>
      </c>
      <c r="AT50" s="115"/>
      <c r="AU50" s="115"/>
      <c r="AV50" s="113">
        <v>357892</v>
      </c>
      <c r="AW50" s="68">
        <f t="shared" si="6"/>
        <v>8.3859322523203723E-4</v>
      </c>
      <c r="AX50" s="114"/>
      <c r="AY50" s="114"/>
      <c r="AZ50" s="116"/>
      <c r="BA50" s="116"/>
      <c r="BB50" s="166"/>
      <c r="BC50" s="166"/>
      <c r="BD50" s="166"/>
      <c r="BE50" s="166"/>
      <c r="BF50" s="166"/>
      <c r="BG50" s="166"/>
      <c r="BH50" s="166"/>
      <c r="BI50" s="113"/>
      <c r="BJ50" s="113"/>
      <c r="BK50" s="113">
        <f>INDEX('Dist. Plant Gas Additions'!$F$7:$AE$91,MATCH($C50,'Dist. Plant Gas Additions'!$D$7:$D$91,0),MATCH(Calculation!$G50,'Dist. Plant Gas Additions'!$F$5:$AE$5,0))</f>
        <v>83187</v>
      </c>
      <c r="BL50" s="113">
        <f>INDEX('Gen. Plant Additions'!$F$7:$AE$91,MATCH($C50,'Gen. Plant Additions'!$D$7:$D$91,0),MATCH(Calculation!$G50,'Gen. Plant Additions'!$F$5:$AE$5,0))</f>
        <v>2583</v>
      </c>
      <c r="BM50" s="231">
        <f t="shared" si="91"/>
        <v>0.94812503552397209</v>
      </c>
      <c r="BN50" s="61">
        <f t="shared" si="8"/>
        <v>2449.0069667584198</v>
      </c>
      <c r="BO50" s="113">
        <f>INDEX('Dist Plant Depreciation'!$E$7:$AD$94,MATCH($C50,'Dist Plant Depreciation'!$D$7:$D$94,0),MATCH(Calculation!$G50,'Dist Plant Depreciation'!$E$5:$AD$5,0))</f>
        <v>377906</v>
      </c>
      <c r="BP50" s="113">
        <f>INDEX('Gen. Plant Depreciation'!$E$7:$AD$94,MATCH($C50,'Gen. Plant Depreciation'!$D$7:$D$94,0),MATCH(Calculation!$G50,'Gen. Plant Depreciation'!$E$5:$AD$5,0))</f>
        <v>24000</v>
      </c>
      <c r="BQ50" s="175">
        <v>1975</v>
      </c>
      <c r="BR50" s="175">
        <f t="shared" si="67"/>
        <v>28</v>
      </c>
      <c r="BS50" s="170">
        <v>133.29362804071727</v>
      </c>
      <c r="BT50" s="176">
        <f t="shared" si="90"/>
        <v>2.1116138763197588E-2</v>
      </c>
      <c r="BU50" s="177">
        <f t="shared" si="68"/>
        <v>2.8146467459578308</v>
      </c>
      <c r="BV50" s="177"/>
      <c r="BW50" s="113">
        <f>INDEX('Gross Dx Plant'!$E$7:$AD$91,MATCH($C50,'Gross Dx Plant'!$D$7:$D$91,0),MATCH(Calculation!$G50,'Gross Dx Plant'!$E$5:$AD$5,0))</f>
        <v>1284443</v>
      </c>
      <c r="BX50" s="113">
        <f>INDEX('Gross Gen Plant'!$E$7:$AD$91,MATCH($C50,'Gross Gen Plant'!$D$7:$D$91,0),MATCH(Calculation!$G50,'Gross Gen Plant'!$E$5:$AD$5,0))</f>
        <v>70276</v>
      </c>
      <c r="BY50" s="113">
        <f t="shared" si="46"/>
        <v>952813</v>
      </c>
      <c r="BZ50" s="113"/>
      <c r="CA50" s="116">
        <v>2020</v>
      </c>
      <c r="CB50" s="113"/>
      <c r="CC50" s="113"/>
      <c r="CD50" s="113"/>
      <c r="CE50" s="175"/>
      <c r="CF50" s="113">
        <f t="shared" si="92"/>
        <v>85770</v>
      </c>
      <c r="CG50" s="113">
        <f t="shared" si="93"/>
        <v>105.48775380354039</v>
      </c>
      <c r="CH50" s="178">
        <v>0.84057971014492749</v>
      </c>
      <c r="CI50" s="61">
        <f>CI28*CH50+CG29*CH49+CG30*CH48+CG31*CH47+CG32*CH46+CG33*CH45+CG34*CH44+CG35*CH43+CG36*CH42+CG37*CH41+CG38*CH40+CG39*CH39+CG40*CH38+CG41*CH37+CG42*CH36+CG43*CH35+CG44*CH34+CG45*CH33+CG46*CH32+CG47*CH31+CG48*CH30+CG49*CH29+CG50</f>
        <v>2768.9411054935708</v>
      </c>
      <c r="CJ50" s="114">
        <f t="shared" si="94"/>
        <v>2.9697148462973656E-2</v>
      </c>
      <c r="CK50" s="114"/>
      <c r="CL50" s="169">
        <f t="shared" si="95"/>
        <v>9.1026110594284188E-3</v>
      </c>
      <c r="CM50" s="169">
        <f t="shared" si="106"/>
        <v>8.901077257641039E-3</v>
      </c>
      <c r="CN50" s="114">
        <f>VLOOKUP($H50,RoR!$E:$F,2,FALSE)</f>
        <v>2.4766666666666666E-2</v>
      </c>
      <c r="CO50" s="169">
        <v>1.1618796630994188E-2</v>
      </c>
      <c r="CP50" s="169">
        <f t="shared" si="104"/>
        <v>1.3147870035672478E-2</v>
      </c>
      <c r="CQ50" s="169">
        <f t="shared" si="107"/>
        <v>2.2000864350892588E-2</v>
      </c>
      <c r="CR50" s="69">
        <f t="shared" si="108"/>
        <v>4.5144642961987357E-2</v>
      </c>
      <c r="CS50" s="179">
        <f t="shared" si="96"/>
        <v>0.92230000000000001</v>
      </c>
      <c r="CT50" s="180">
        <f t="shared" si="97"/>
        <v>2.0706077233668081</v>
      </c>
      <c r="CU50" s="180">
        <f t="shared" si="98"/>
        <v>-3.4421265141318998E-2</v>
      </c>
      <c r="CV50" s="180">
        <f t="shared" si="99"/>
        <v>0.62416226176410472</v>
      </c>
      <c r="CW50" s="180">
        <f t="shared" si="100"/>
        <v>-4.4485877841158712E-2</v>
      </c>
      <c r="CX50" s="181">
        <f>INDEX('State Tax Lookup'!$D$7:$Z$91,MATCH(Calculation!$C50,'State Tax Lookup'!$B$7:$B$91,0),MATCH($H50,'State Tax Lookup'!$D$6:$Z$6,0))</f>
        <v>0.20999999999999996</v>
      </c>
      <c r="CY50" s="72">
        <v>0.37</v>
      </c>
      <c r="CZ50" s="70">
        <f t="shared" si="105"/>
        <v>20.831513443330998</v>
      </c>
      <c r="DA50" s="70">
        <v>19.952659173050833</v>
      </c>
      <c r="DB50" s="69">
        <f t="shared" si="109"/>
        <v>4.1169575561263765E-2</v>
      </c>
      <c r="DC50" s="111">
        <f>VLOOKUP($H50,RoR!$E:$F,2,FALSE)</f>
        <v>2.4766666666666666E-2</v>
      </c>
      <c r="DD50" s="216">
        <f>HLOOKUP($H50,'GDP-PI'!$D$8:$CQ$11,3,FALSE)</f>
        <v>1.1618796630994188E-2</v>
      </c>
      <c r="DE50" s="111">
        <f>VLOOKUP(H50,'HW Dx Data'!$E:$F,2,FALSE)</f>
        <v>813.080162458833</v>
      </c>
      <c r="DF50" s="72">
        <f t="shared" si="117"/>
        <v>153.15</v>
      </c>
      <c r="DG50" s="69">
        <f t="shared" si="118"/>
        <v>2.2951556467368479E-2</v>
      </c>
      <c r="DH50" s="66">
        <f>HLOOKUP(H50,'GDP-PI'!$8:$9,2,FALSE)</f>
        <v>113.623</v>
      </c>
      <c r="DI50" s="69">
        <f t="shared" si="110"/>
        <v>1.1551816731392881E-2</v>
      </c>
      <c r="DJ50" s="160">
        <v>122.50833333333334</v>
      </c>
      <c r="DK50" s="160">
        <v>4.1575226244343888</v>
      </c>
      <c r="DN50" s="184">
        <v>1.1123327319345001E-4</v>
      </c>
      <c r="DO50" s="184">
        <v>8.3000000000000001E-3</v>
      </c>
      <c r="DP50" s="184">
        <f t="shared" si="129"/>
        <v>9.2323616750563507E-7</v>
      </c>
      <c r="DQ50" s="184">
        <v>-1.1000000000000001E-3</v>
      </c>
      <c r="DR50" s="184">
        <f t="shared" si="130"/>
        <v>-1.2235660051279501E-7</v>
      </c>
      <c r="DS50" s="184">
        <v>-5.5999999999999999E-3</v>
      </c>
      <c r="DT50" s="184">
        <f t="shared" si="131"/>
        <v>-6.2290632988332003E-7</v>
      </c>
      <c r="DU50" s="184">
        <v>-1.26E-2</v>
      </c>
      <c r="DV50" s="184">
        <f t="shared" si="132"/>
        <v>-1.4015392422374702E-6</v>
      </c>
      <c r="DW50" s="184">
        <v>-2.0500000000000001E-2</v>
      </c>
      <c r="DX50" s="184">
        <f t="shared" si="133"/>
        <v>-2.2802821004657253E-6</v>
      </c>
      <c r="EB50">
        <f t="shared" si="20"/>
        <v>2020</v>
      </c>
    </row>
    <row r="51" spans="1:132" s="160" customFormat="1" ht="21">
      <c r="A51" s="160" t="s">
        <v>145</v>
      </c>
      <c r="B51" s="160" t="s">
        <v>145</v>
      </c>
      <c r="C51" s="160">
        <v>4057075</v>
      </c>
      <c r="D51" s="160" t="s">
        <v>146</v>
      </c>
      <c r="G51" s="161" t="s">
        <v>142</v>
      </c>
      <c r="H51" s="162">
        <v>2021</v>
      </c>
      <c r="I51" s="163"/>
      <c r="J51" s="159">
        <v>28880.07546370105</v>
      </c>
      <c r="K51" s="159">
        <f t="shared" si="111"/>
        <v>183.6570776705949</v>
      </c>
      <c r="L51" s="164">
        <f t="shared" si="119"/>
        <v>-1.8973771636702712E-2</v>
      </c>
      <c r="M51" s="76">
        <f t="shared" si="121"/>
        <v>-1.4837308035427468E-4</v>
      </c>
      <c r="N51" s="166">
        <f>+N50*EXP(O51)</f>
        <v>104.5020360292143</v>
      </c>
      <c r="O51" s="114">
        <f t="shared" si="122"/>
        <v>4.7267261751602285E-2</v>
      </c>
      <c r="P51" s="96">
        <f t="shared" ca="1" si="128"/>
        <v>4.7267261751602285E-2</v>
      </c>
      <c r="Q51" s="159">
        <v>40710.467822325576</v>
      </c>
      <c r="R51" s="159">
        <f t="shared" si="112"/>
        <v>343.57724552557664</v>
      </c>
      <c r="S51" s="165">
        <f t="shared" si="123"/>
        <v>-6.1476273957554721E-2</v>
      </c>
      <c r="T51" s="165">
        <f t="shared" si="124"/>
        <v>-4.8073858537125324E-4</v>
      </c>
      <c r="U51" s="165"/>
      <c r="V51" s="165"/>
      <c r="W51" s="159">
        <f t="shared" si="101"/>
        <v>50228.824717619624</v>
      </c>
      <c r="X51" s="163"/>
      <c r="Y51" s="167">
        <v>2717.591404720928</v>
      </c>
      <c r="Z51" s="168">
        <v>-1.871899969009895E-2</v>
      </c>
      <c r="AA51" s="76">
        <f t="shared" si="113"/>
        <v>-1.4638078808738915E-4</v>
      </c>
      <c r="AB51" s="168"/>
      <c r="AC51" s="168"/>
      <c r="AD51" s="163">
        <f t="shared" si="102"/>
        <v>119819.36800364626</v>
      </c>
      <c r="AE51" s="168">
        <f t="shared" si="125"/>
        <v>-5.1667164833008483E-2</v>
      </c>
      <c r="AF51" s="113"/>
      <c r="AG51" s="114"/>
      <c r="AH51" s="114"/>
      <c r="AI51" s="114"/>
      <c r="AJ51" s="116">
        <f t="shared" si="126"/>
        <v>325.16226448853911</v>
      </c>
      <c r="AK51" s="114">
        <f>+AV51/$AX$26</f>
        <v>9.544847161875758E-3</v>
      </c>
      <c r="AL51" s="115">
        <f t="shared" si="114"/>
        <v>0.24103011011393577</v>
      </c>
      <c r="AM51" s="115">
        <f t="shared" si="115"/>
        <v>0.33976533594374075</v>
      </c>
      <c r="AN51" s="115">
        <f t="shared" si="116"/>
        <v>0.41920455394232337</v>
      </c>
      <c r="AO51" s="115">
        <f t="shared" si="120"/>
        <v>-3.3076386145198478E-2</v>
      </c>
      <c r="AP51" s="166">
        <f t="shared" si="135"/>
        <v>140.07270492084953</v>
      </c>
      <c r="AQ51" s="168">
        <f t="shared" si="136"/>
        <v>-3.3076386145198484E-2</v>
      </c>
      <c r="AR51" s="69">
        <f>+AD51/$AF$26</f>
        <v>7.8199044025207397E-3</v>
      </c>
      <c r="AS51" s="169">
        <f t="shared" si="134"/>
        <v>-2.5865417763631362E-4</v>
      </c>
      <c r="AT51" s="115"/>
      <c r="AU51" s="115"/>
      <c r="AV51" s="113">
        <f>INDEX('Total Customers'!$E$7:$E$91,MATCH(Calculation!$C51,'Total Customers'!$D$7:$D$91,0))</f>
        <v>368491</v>
      </c>
      <c r="AW51" s="68">
        <f t="shared" si="6"/>
        <v>2.9185023083585351E-2</v>
      </c>
      <c r="AX51" s="113"/>
      <c r="AY51" s="113"/>
      <c r="AZ51" s="116"/>
      <c r="BA51" s="116"/>
      <c r="BB51" s="166"/>
      <c r="BC51" s="166"/>
      <c r="BD51" s="166"/>
      <c r="BE51" s="166"/>
      <c r="BF51" s="166"/>
      <c r="BG51" s="166"/>
      <c r="BH51" s="166"/>
      <c r="BI51" s="113"/>
      <c r="BJ51" s="113"/>
      <c r="BK51" s="113">
        <f>INDEX('Dist. Plant Gas Additions'!$E$7:$AE$91,MATCH($C51,'Dist. Plant Gas Additions'!$D$7:$D$91,0),MATCH(Calculation!$G51,'Dist. Plant Gas Additions'!$E$5:$AE$5,0))</f>
        <v>15077</v>
      </c>
      <c r="BL51" s="113">
        <f>INDEX('Gen. Plant Additions'!$E$7:$AE$91,MATCH($C51,'Gen. Plant Additions'!$D$7:$D$91,0),MATCH(Calculation!$G51,'Gen. Plant Additions'!$E$5:$AE$5,0))</f>
        <v>353</v>
      </c>
      <c r="BM51" s="232">
        <f>+BM50</f>
        <v>0.94812503552397209</v>
      </c>
      <c r="BN51" s="61">
        <f t="shared" si="8"/>
        <v>334.68813753996216</v>
      </c>
      <c r="BO51" s="113"/>
      <c r="BP51" s="113"/>
      <c r="BQ51" s="175">
        <v>1976</v>
      </c>
      <c r="BR51" s="175">
        <f>+BR53-1</f>
        <v>29</v>
      </c>
      <c r="BS51" s="170">
        <v>142.20704143362721</v>
      </c>
      <c r="BT51" s="176">
        <f t="shared" si="90"/>
        <v>2.1870286576168928E-2</v>
      </c>
      <c r="BU51" s="177">
        <f t="shared" si="68"/>
        <v>3.1101087493025559</v>
      </c>
      <c r="BV51" s="177"/>
      <c r="BW51" s="113"/>
      <c r="BX51" s="113"/>
      <c r="BY51" s="113"/>
      <c r="BZ51" s="113"/>
      <c r="CA51" s="116">
        <v>2021</v>
      </c>
      <c r="CB51" s="113"/>
      <c r="CC51" s="113"/>
      <c r="CD51" s="113"/>
      <c r="CE51" s="175"/>
      <c r="CF51" s="113">
        <f t="shared" si="92"/>
        <v>15430</v>
      </c>
      <c r="CG51" s="113">
        <f t="shared" si="93"/>
        <v>16.537650499270029</v>
      </c>
      <c r="CH51" s="178">
        <f>+(51-23)/(51-23*0.75)</f>
        <v>0.82962962962962961</v>
      </c>
      <c r="CI51" s="113">
        <f>CI28*CH51+CG29*CH50+CG30*CH49+CG31*CH48+CG32*CH47+CG33*CH46+CG34*CH45+CG35*CH44+CG36*CH43+CG37*CH42+CG38*CH41+CG39*CH40+CG40*CH39+CG41*CH38+CG42*CH37+CG33*CH36+CG44*CH35+CG45*CH34+CG46*CH33+CG47*CH32+CG48*CH31+CG49*CH30+CG51+CG50*CH29</f>
        <v>2717.591404720928</v>
      </c>
      <c r="CJ51" s="114">
        <f t="shared" si="94"/>
        <v>-1.871899969009895E-2</v>
      </c>
      <c r="CK51" s="113"/>
      <c r="CL51" s="169">
        <f>+(CI50-CI51+CG51)/CI50</f>
        <v>2.4517441392026908E-2</v>
      </c>
      <c r="CM51" s="169">
        <f t="shared" si="106"/>
        <v>1.4168903837301364E-2</v>
      </c>
      <c r="CN51" s="114">
        <f>VLOOKUP($H51,RoR!$E:$F,2,FALSE)</f>
        <v>2.7033333333333336E-2</v>
      </c>
      <c r="CO51" s="169"/>
      <c r="CP51" s="169"/>
      <c r="CQ51" s="169">
        <f t="shared" si="107"/>
        <v>1.6733037771232261E-2</v>
      </c>
      <c r="CR51" s="169">
        <f t="shared" si="108"/>
        <v>7.433422950153494E-2</v>
      </c>
      <c r="CS51" s="179">
        <f t="shared" si="96"/>
        <v>0.92230000000000001</v>
      </c>
      <c r="CT51" s="180">
        <f t="shared" si="97"/>
        <v>1.8969932656739068</v>
      </c>
      <c r="CU51" s="180">
        <f t="shared" si="98"/>
        <v>5.0215782983970621E-2</v>
      </c>
      <c r="CV51" s="180">
        <f t="shared" si="99"/>
        <v>0.655952481704143</v>
      </c>
      <c r="CW51" s="180">
        <f t="shared" si="100"/>
        <v>6.2485378865697057E-2</v>
      </c>
      <c r="CX51" s="181">
        <f>CX50</f>
        <v>0.20999999999999996</v>
      </c>
      <c r="CY51" s="72">
        <v>0.37</v>
      </c>
      <c r="CZ51" s="182">
        <f t="shared" si="105"/>
        <v>18.140084170792143</v>
      </c>
      <c r="DA51" s="182"/>
      <c r="DB51" s="169">
        <f t="shared" si="109"/>
        <v>-0.13834282479654372</v>
      </c>
      <c r="DC51" s="181">
        <f>VLOOKUP($H51,RoR!$E:$F,2,FALSE)</f>
        <v>2.7033333333333336E-2</v>
      </c>
      <c r="DD51" s="183">
        <f>HLOOKUP($H51,'GDP-PI'!$D$8:$CR$11,3,FALSE)</f>
        <v>4.2834637353352578E-2</v>
      </c>
      <c r="DE51" s="181">
        <f>VLOOKUP(H51,'HW Dx Data'!$E:$F,2,FALSE)</f>
        <v>933.02249921662576</v>
      </c>
      <c r="DF51" s="72">
        <f t="shared" si="117"/>
        <v>157.25</v>
      </c>
      <c r="DG51" s="169">
        <f t="shared" si="118"/>
        <v>2.6419062301765574E-2</v>
      </c>
      <c r="DH51" s="175">
        <f>HLOOKUP(H51,'GDP-PI'!$8:$9,2,FALSE)</f>
        <v>118.49</v>
      </c>
      <c r="DI51" s="169">
        <f t="shared" si="110"/>
        <v>4.194261824609434E-2</v>
      </c>
      <c r="DN51" s="184"/>
      <c r="DO51" s="184"/>
      <c r="DP51" s="184"/>
      <c r="DQ51" s="184"/>
      <c r="DR51" s="184"/>
      <c r="DS51" s="184"/>
      <c r="DT51" s="184"/>
      <c r="DU51" s="184"/>
      <c r="DV51" s="184"/>
      <c r="DW51" s="184"/>
      <c r="DX51" s="184"/>
      <c r="EB51">
        <f t="shared" si="20"/>
        <v>2021</v>
      </c>
    </row>
    <row r="52" spans="1:132" s="160" customFormat="1" ht="21">
      <c r="G52" s="161" t="s">
        <v>144</v>
      </c>
      <c r="H52" s="162"/>
      <c r="I52" s="163"/>
      <c r="J52" s="159">
        <v>31092</v>
      </c>
      <c r="K52" s="159">
        <f t="shared" si="111"/>
        <v>191.27653029836972</v>
      </c>
      <c r="L52" s="164">
        <f t="shared" ref="L52" si="137">LN(K52/K51)</f>
        <v>4.0649873168358129E-2</v>
      </c>
      <c r="M52" s="76">
        <f t="shared" si="121"/>
        <v>3.6267530510194064E-4</v>
      </c>
      <c r="N52" s="166">
        <f>+N51*EXP(O52)</f>
        <v>104.35572484113287</v>
      </c>
      <c r="O52" s="114">
        <f t="shared" si="122"/>
        <v>-1.4010608119654183E-3</v>
      </c>
      <c r="P52" s="96">
        <f t="shared" ca="1" si="128"/>
        <v>-1.4010608119654183E-3</v>
      </c>
      <c r="Q52" s="163">
        <v>43828</v>
      </c>
      <c r="R52" s="159">
        <f t="shared" si="112"/>
        <v>344.4243614931238</v>
      </c>
      <c r="S52" s="165">
        <f t="shared" ref="S52" si="138">LN(R52/R51)</f>
        <v>2.4625419097544939E-3</v>
      </c>
      <c r="T52" s="165">
        <f t="shared" si="124"/>
        <v>2.1970625461673479E-5</v>
      </c>
      <c r="U52" s="166"/>
      <c r="V52" s="114"/>
      <c r="W52" s="159">
        <f t="shared" si="101"/>
        <v>70018.481255083738</v>
      </c>
      <c r="X52" s="165">
        <f t="shared" ref="X52" si="139">LN(W52/W51)</f>
        <v>0.33217016566104141</v>
      </c>
      <c r="Y52" s="167">
        <v>2747.3353278107152</v>
      </c>
      <c r="Z52" s="168">
        <v>1.0885495177282836E-2</v>
      </c>
      <c r="AA52" s="76">
        <f t="shared" si="113"/>
        <v>9.7119621216427382E-5</v>
      </c>
      <c r="AB52" s="166"/>
      <c r="AC52" s="114"/>
      <c r="AD52" s="163">
        <f t="shared" si="102"/>
        <v>144938.48125508375</v>
      </c>
      <c r="AE52" s="168">
        <f t="shared" si="125"/>
        <v>0.19032404309369472</v>
      </c>
      <c r="AF52" s="113"/>
      <c r="AG52" s="114"/>
      <c r="AH52" s="114"/>
      <c r="AI52" s="114"/>
      <c r="AJ52" s="116">
        <f t="shared" si="126"/>
        <v>387.30821777319153</v>
      </c>
      <c r="AK52" s="114"/>
      <c r="AL52" s="115">
        <f t="shared" si="114"/>
        <v>0.2145185994137733</v>
      </c>
      <c r="AM52" s="115">
        <f t="shared" si="115"/>
        <v>0.30239036328016389</v>
      </c>
      <c r="AN52" s="115">
        <f t="shared" si="116"/>
        <v>0.48309103730606273</v>
      </c>
      <c r="AO52" s="115"/>
      <c r="AP52" s="166"/>
      <c r="AQ52" s="168"/>
      <c r="AR52" s="69">
        <f>+AD52/$AF$27</f>
        <v>8.9219295617445418E-3</v>
      </c>
      <c r="AS52" s="169"/>
      <c r="AT52" s="166"/>
      <c r="AU52" s="168"/>
      <c r="AV52" s="113">
        <v>374220</v>
      </c>
      <c r="AW52" s="68">
        <f t="shared" si="6"/>
        <v>1.5427571772805775E-2</v>
      </c>
      <c r="AX52" s="113"/>
      <c r="AY52" s="113"/>
      <c r="AZ52" s="113"/>
      <c r="BA52" s="113"/>
      <c r="BB52" s="171"/>
      <c r="BC52" s="172"/>
      <c r="BD52" s="173"/>
      <c r="BE52" s="115"/>
      <c r="BF52" s="174"/>
      <c r="BG52" s="174"/>
      <c r="BH52" s="166"/>
      <c r="BI52" s="113"/>
      <c r="BJ52" s="113"/>
      <c r="BK52" s="113"/>
      <c r="BL52" s="113"/>
      <c r="BM52" s="232">
        <f>+BM51</f>
        <v>0.94812503552397209</v>
      </c>
      <c r="BN52" s="61">
        <f t="shared" si="8"/>
        <v>0</v>
      </c>
      <c r="BO52" s="113"/>
      <c r="BP52" s="113"/>
      <c r="BQ52" s="175"/>
      <c r="BR52" s="175"/>
      <c r="BS52" s="170"/>
      <c r="BT52" s="176"/>
      <c r="BU52" s="177"/>
      <c r="BV52" s="177"/>
      <c r="BW52" s="113"/>
      <c r="BX52" s="113"/>
      <c r="BY52" s="113"/>
      <c r="BZ52" s="113"/>
      <c r="CA52" s="116">
        <v>2022</v>
      </c>
      <c r="CB52" s="113"/>
      <c r="CC52" s="113"/>
      <c r="CD52" s="113"/>
      <c r="CE52" s="175"/>
      <c r="CF52" s="113">
        <v>99517</v>
      </c>
      <c r="CG52" s="113">
        <f t="shared" si="93"/>
        <v>96.54252481058586</v>
      </c>
      <c r="CH52" s="178">
        <f>+(51-24)/(51-24*0.75)</f>
        <v>0.81818181818181823</v>
      </c>
      <c r="CI52" s="113">
        <f>+CI28*CH52+CG29*CH51+CG30*CH50+CG31*CH49+CG32*CH48+CG33*CH47+CG34*CH46+CG35*CH45+CG36*CH44+CG37*CH43+CG38*CH42+CG39*CH41+CG40*CH40+CG41*CH39+CG42*CH38+CG43*CH37+CG44*CH36+CG45*CH35+CG46*CH34+CG47*CH33+CG48*CH32+CG49*CH31+CG50*CH30+CG51*CH29+CG52*CH28</f>
        <v>2828.9090416862109</v>
      </c>
      <c r="CJ52" s="114">
        <f t="shared" si="94"/>
        <v>4.0145164655007781E-2</v>
      </c>
      <c r="CK52" s="113"/>
      <c r="CL52" s="169">
        <f>+(CI51-CI52+CG52)/CI51</f>
        <v>-5.4368409206145109E-3</v>
      </c>
      <c r="CM52" s="169">
        <f t="shared" ref="CM52" si="140">+(CL52+CL51+CL50)/3</f>
        <v>9.3944038436136051E-3</v>
      </c>
      <c r="CN52" s="114"/>
      <c r="CO52" s="169"/>
      <c r="CP52" s="169"/>
      <c r="CQ52" s="69">
        <f t="shared" si="107"/>
        <v>2.150753776492002E-2</v>
      </c>
      <c r="CR52" s="169">
        <f t="shared" si="108"/>
        <v>0.10114668178709289</v>
      </c>
      <c r="CS52" s="179">
        <f t="shared" si="96"/>
        <v>0.92230000000000001</v>
      </c>
      <c r="CT52" s="180"/>
      <c r="CU52" s="180"/>
      <c r="CV52" s="180"/>
      <c r="CW52" s="180"/>
      <c r="CX52" s="181">
        <f>CX51</f>
        <v>0.20999999999999996</v>
      </c>
      <c r="CY52" s="72">
        <v>0.37</v>
      </c>
      <c r="CZ52" s="182">
        <f t="shared" si="105"/>
        <v>25.764903853261195</v>
      </c>
      <c r="DA52" s="182"/>
      <c r="DB52" s="169">
        <f t="shared" si="109"/>
        <v>0.3508891653511404</v>
      </c>
      <c r="DC52" s="181">
        <v>0.04</v>
      </c>
      <c r="DD52" s="183">
        <v>7.0000000000000001E-3</v>
      </c>
      <c r="DE52" s="181">
        <v>1030.81</v>
      </c>
      <c r="DF52" s="72">
        <f t="shared" si="117"/>
        <v>162.55000000000001</v>
      </c>
      <c r="DG52" s="169">
        <f t="shared" si="118"/>
        <v>3.3148751169364422E-2</v>
      </c>
      <c r="DH52" s="175">
        <v>127.25</v>
      </c>
      <c r="DI52" s="169">
        <f t="shared" si="110"/>
        <v>7.1325086601983473E-2</v>
      </c>
      <c r="DN52" s="184"/>
      <c r="DO52" s="184"/>
      <c r="DP52" s="184"/>
      <c r="DQ52" s="184"/>
      <c r="DR52" s="184"/>
      <c r="DS52" s="184"/>
      <c r="DT52" s="184"/>
      <c r="DU52" s="184"/>
      <c r="DV52" s="184"/>
      <c r="DW52" s="184"/>
      <c r="DX52" s="184"/>
      <c r="EB52">
        <f t="shared" si="20"/>
        <v>2022</v>
      </c>
    </row>
    <row r="53" spans="1:132" s="160" customFormat="1" ht="21">
      <c r="A53" s="160" t="s">
        <v>154</v>
      </c>
      <c r="B53" s="161" t="s">
        <v>154</v>
      </c>
      <c r="C53" s="161">
        <v>4007784</v>
      </c>
      <c r="D53" s="161" t="s">
        <v>155</v>
      </c>
      <c r="E53" s="161"/>
      <c r="F53" s="161"/>
      <c r="G53" s="161" t="s">
        <v>100</v>
      </c>
      <c r="H53" s="162">
        <v>1998</v>
      </c>
      <c r="I53" s="163"/>
      <c r="J53" s="159"/>
      <c r="K53" s="159"/>
      <c r="L53" s="159"/>
      <c r="M53" s="60"/>
      <c r="N53" s="131"/>
      <c r="O53" s="76"/>
      <c r="P53" s="76"/>
      <c r="Q53" s="165"/>
      <c r="R53" s="165"/>
      <c r="S53" s="165"/>
      <c r="T53" s="159"/>
      <c r="U53" s="165"/>
      <c r="V53" s="165"/>
      <c r="W53" s="159"/>
      <c r="X53" s="163"/>
      <c r="Y53" s="167">
        <v>3100.1474328271206</v>
      </c>
      <c r="Z53" s="168"/>
      <c r="AA53" s="78"/>
      <c r="AB53" s="168"/>
      <c r="AC53" s="168"/>
      <c r="AD53" s="163">
        <f t="shared" si="102"/>
        <v>0</v>
      </c>
      <c r="AE53" s="163"/>
      <c r="AF53" s="163"/>
      <c r="AG53" s="114"/>
      <c r="AH53" s="114"/>
      <c r="AI53" s="114"/>
      <c r="AJ53" s="166">
        <f>+(AJ50+AJ51+AJ52)/3</f>
        <v>355.00495478792567</v>
      </c>
      <c r="AK53" s="168"/>
      <c r="AL53" s="115"/>
      <c r="AM53" s="115"/>
      <c r="AN53" s="115"/>
      <c r="AO53" s="115"/>
      <c r="AP53" s="115"/>
      <c r="AQ53" s="168">
        <f>AVERAGE(AQ62:AQ76)</f>
        <v>2.8719684073812334E-2</v>
      </c>
      <c r="AR53" s="79"/>
      <c r="AS53" s="115"/>
      <c r="AT53" s="115"/>
      <c r="AU53" s="115"/>
      <c r="AV53" s="113">
        <f>IFERROR(INDEX('Total Customers'!$F$7:$AB$91,MATCH($C53,'Total Customers'!$D$7:$D$91,0),MATCH($G53,'Total Customers'!$F$5:$AB$5,0)),"NA")</f>
        <v>573428</v>
      </c>
      <c r="AW53" s="68"/>
      <c r="AX53" s="114"/>
      <c r="AY53" s="114"/>
      <c r="AZ53" s="116"/>
      <c r="BA53" s="116"/>
      <c r="BB53" s="166"/>
      <c r="BC53" s="166"/>
      <c r="BD53" s="166"/>
      <c r="BE53" s="166"/>
      <c r="BF53" s="166"/>
      <c r="BG53" s="166"/>
      <c r="BH53" s="166"/>
      <c r="BI53" s="113">
        <f>INDEX('Gross Dx Plant'!$E$7:$AD$91,MATCH($C53,'Gross Dx Plant'!$D$7:$D$91,0),MATCH(Calculation!$G53,'Gross Dx Plant'!$E$5:$AD$5,0))</f>
        <v>868360</v>
      </c>
      <c r="BJ53" s="113">
        <f>INDEX('Gross Gen Plant'!$E$7:$AD$91,MATCH($C53,'Gross Gen Plant'!$D$7:$D$91,0),MATCH(Calculation!$G53,'Gross Gen Plant'!$E$5:$AD$5,0))</f>
        <v>6009</v>
      </c>
      <c r="BK53" s="113">
        <f>INDEX('Dist. Plant Gas Additions'!$F$7:$AE$91,MATCH($C53,'Dist. Plant Gas Additions'!$D$7:$D$91,0),MATCH(Calculation!$G53,'Dist. Plant Gas Additions'!$F$5:$AE$5,0))</f>
        <v>73204</v>
      </c>
      <c r="BL53" s="113">
        <f>INDEX('Gen. Plant Additions'!$F$7:$AE$91,MATCH($C53,'Gen. Plant Additions'!$D$7:$D$91,0),MATCH(Calculation!$G53,'Gen. Plant Additions'!$F$5:$AE$5,0))</f>
        <v>597</v>
      </c>
      <c r="BM53" s="231">
        <f>+(BW53/(BW53+BX53))</f>
        <v>0.99312761545754713</v>
      </c>
      <c r="BN53" s="61">
        <f t="shared" si="8"/>
        <v>592.89718642815569</v>
      </c>
      <c r="BO53" s="113">
        <f>INDEX('Dist Plant Depreciation'!$E$7:$AD$94,MATCH($C53,'Dist Plant Depreciation'!$D$7:$D$94,0),MATCH(Calculation!$G53,'Dist Plant Depreciation'!$E$5:$AD$5,0))</f>
        <v>248262</v>
      </c>
      <c r="BP53" s="113">
        <f>INDEX('Gen. Plant Depreciation'!$E$7:$AD$94,MATCH($C53,'Gen. Plant Depreciation'!$D$7:$D$94,0),MATCH(Calculation!$G53,'Gen. Plant Depreciation'!$E$5:$AD$5,0))</f>
        <v>747</v>
      </c>
      <c r="BQ53" s="175">
        <v>1977</v>
      </c>
      <c r="BR53" s="175">
        <f t="shared" si="67"/>
        <v>30</v>
      </c>
      <c r="BS53" s="170">
        <v>151.26806819931093</v>
      </c>
      <c r="BT53" s="176">
        <f t="shared" ref="BT53:BT74" si="141">+BR53/$BR$76</f>
        <v>2.2624434389140271E-2</v>
      </c>
      <c r="BU53" s="177">
        <f t="shared" si="68"/>
        <v>3.4223544841473061</v>
      </c>
      <c r="BV53" s="177"/>
      <c r="BW53" s="113">
        <f>INDEX('Gross Dx Plant'!$E$7:$AD$91,MATCH($C53,'Gross Dx Plant'!$D$7:$D$91,0),MATCH(Calculation!$G53,'Gross Dx Plant'!$E$5:$AD$5,0))</f>
        <v>868360</v>
      </c>
      <c r="BX53" s="113">
        <f>INDEX('Gross Gen Plant'!$E$7:$AD$91,MATCH($C53,'Gross Gen Plant'!$D$7:$D$91,0),MATCH(Calculation!$G53,'Gross Gen Plant'!$E$5:$AD$5,0))</f>
        <v>6009</v>
      </c>
      <c r="BY53" s="113">
        <f t="shared" si="46"/>
        <v>625360</v>
      </c>
      <c r="BZ53" s="113"/>
      <c r="CA53" s="116">
        <v>1998</v>
      </c>
      <c r="CB53" s="113">
        <f>BI53+BJ53</f>
        <v>874369</v>
      </c>
      <c r="CC53" s="113">
        <f>248262+747</f>
        <v>249009</v>
      </c>
      <c r="CD53" s="113">
        <f>+CB53-CC53</f>
        <v>625360</v>
      </c>
      <c r="CE53" s="113">
        <f>CD53/$BV$3</f>
        <v>3100.1474328271206</v>
      </c>
      <c r="CF53" s="175"/>
      <c r="CG53" s="175"/>
      <c r="CH53" s="178">
        <v>1</v>
      </c>
      <c r="CI53" s="113">
        <f>+CE53</f>
        <v>3100.1474328271206</v>
      </c>
      <c r="CJ53" s="114"/>
      <c r="CK53" s="114"/>
      <c r="CL53" s="169"/>
      <c r="CM53" s="169"/>
      <c r="CN53" s="114" t="e">
        <f>VLOOKUP($H53,RoR!$E:$F,2,FALSE)</f>
        <v>#N/A</v>
      </c>
      <c r="CO53" s="169">
        <v>1.1028127770464469E-2</v>
      </c>
      <c r="CP53" s="169"/>
      <c r="CQ53" s="169"/>
      <c r="CR53" s="69"/>
      <c r="CS53" s="179"/>
      <c r="CT53" s="182" t="e">
        <f>2/(DC53*39)</f>
        <v>#N/A</v>
      </c>
      <c r="CU53" s="180" t="e">
        <f>+(DC53*40-(1+DC53))/(DC53*40)</f>
        <v>#N/A</v>
      </c>
      <c r="CV53" s="180" t="e">
        <f>+(1-(1/(1+DC53)^40))</f>
        <v>#N/A</v>
      </c>
      <c r="CW53" s="180" t="e">
        <f>+CV53*CU53*CT53</f>
        <v>#N/A</v>
      </c>
      <c r="CX53" s="181">
        <f>INDEX('State Tax Lookup'!$D$7:$Z$91,MATCH(Calculation!$C53,'State Tax Lookup'!$B$7:$B$91,0),MATCH($H53,'State Tax Lookup'!$D$6:$Z$6,0))</f>
        <v>0.40091666999999998</v>
      </c>
      <c r="CY53" s="72">
        <v>0.37</v>
      </c>
      <c r="CZ53" s="66"/>
      <c r="DA53" s="66"/>
      <c r="DB53" s="69"/>
      <c r="DC53" s="111" t="e">
        <f>VLOOKUP($H53,RoR!$E:$F,2,FALSE)</f>
        <v>#N/A</v>
      </c>
      <c r="DD53" s="216">
        <f>HLOOKUP($H53,'GDP-PI'!$D$8:$CQ$11,3,FALSE)</f>
        <v>1.1028127770464469E-2</v>
      </c>
      <c r="DE53" s="111">
        <f>VLOOKUP(H53,'HW Dx Data'!$E:$F,2,FALSE)</f>
        <v>329.24564746449528</v>
      </c>
      <c r="DF53" s="66"/>
      <c r="DG53" s="69"/>
      <c r="DH53" s="66">
        <f>HLOOKUP(H53,'GDP-PI'!$8:$9,2,FALSE)</f>
        <v>75.266999999999996</v>
      </c>
      <c r="DI53"/>
      <c r="DJ53" s="160">
        <v>128.6</v>
      </c>
      <c r="DK53" s="160">
        <v>4.4612368024132731</v>
      </c>
      <c r="DN53" s="184">
        <v>9.3262927145344623E-4</v>
      </c>
      <c r="DO53" s="184">
        <v>3.8600000000000002E-2</v>
      </c>
      <c r="DP53" s="184">
        <f t="shared" si="129"/>
        <v>3.5999489878103027E-5</v>
      </c>
      <c r="DQ53" s="184">
        <v>3.2800000000000003E-2</v>
      </c>
      <c r="DR53" s="184">
        <f t="shared" si="130"/>
        <v>3.0590240103673038E-5</v>
      </c>
      <c r="DS53" s="184">
        <v>3.0200000000000001E-2</v>
      </c>
      <c r="DT53" s="184">
        <f t="shared" si="131"/>
        <v>2.8165403997894077E-5</v>
      </c>
      <c r="DU53" s="184">
        <v>2.63E-2</v>
      </c>
      <c r="DV53" s="184">
        <f t="shared" si="132"/>
        <v>2.4528149839225635E-5</v>
      </c>
      <c r="DW53" s="184">
        <v>2.1999999999999999E-2</v>
      </c>
      <c r="DX53" s="184">
        <f t="shared" si="133"/>
        <v>2.0517843971975816E-5</v>
      </c>
      <c r="EB53">
        <v>1998</v>
      </c>
    </row>
    <row r="54" spans="1:132" s="160" customFormat="1" ht="21">
      <c r="A54" s="160" t="s">
        <v>154</v>
      </c>
      <c r="B54" s="161" t="s">
        <v>154</v>
      </c>
      <c r="C54" s="161">
        <v>4007784</v>
      </c>
      <c r="D54" s="161" t="s">
        <v>155</v>
      </c>
      <c r="E54" s="161"/>
      <c r="F54" s="161"/>
      <c r="G54" s="161" t="s">
        <v>106</v>
      </c>
      <c r="H54" s="162">
        <v>1999</v>
      </c>
      <c r="I54" s="163"/>
      <c r="J54" s="159"/>
      <c r="K54" s="159"/>
      <c r="L54" s="159"/>
      <c r="M54" s="60"/>
      <c r="N54" s="152"/>
      <c r="O54" s="60"/>
      <c r="P54" s="59"/>
      <c r="Q54" s="169"/>
      <c r="R54" s="169"/>
      <c r="S54" s="169"/>
      <c r="T54" s="187"/>
      <c r="U54" s="169"/>
      <c r="V54" s="169"/>
      <c r="W54" s="159">
        <f t="shared" ref="W54:W76" si="142">+CI53*CZ54</f>
        <v>0</v>
      </c>
      <c r="X54" s="163"/>
      <c r="Y54" s="167">
        <v>3246.5250554810668</v>
      </c>
      <c r="Z54" s="168">
        <v>4.6135541290072725E-2</v>
      </c>
      <c r="AA54" s="78"/>
      <c r="AB54" s="168"/>
      <c r="AC54" s="168"/>
      <c r="AD54" s="163">
        <f t="shared" si="102"/>
        <v>0</v>
      </c>
      <c r="AE54" s="168"/>
      <c r="AF54" s="163"/>
      <c r="AG54" s="114"/>
      <c r="AH54" s="114"/>
      <c r="AI54" s="114"/>
      <c r="AJ54" s="167"/>
      <c r="AK54" s="168"/>
      <c r="AL54" s="115"/>
      <c r="AM54" s="115"/>
      <c r="AN54" s="115"/>
      <c r="AO54" s="115"/>
      <c r="AP54" s="115"/>
      <c r="AQ54" s="168"/>
      <c r="AR54" s="79"/>
      <c r="AS54" s="115"/>
      <c r="AT54" s="115"/>
      <c r="AU54" s="115"/>
      <c r="AV54" s="113">
        <f>IFERROR(INDEX('Total Customers'!$F$7:$AB$91,MATCH($C54,'Total Customers'!$D$7:$D$91,0),MATCH($G54,'Total Customers'!$F$5:$AB$5,0)),"NA")</f>
        <v>583866</v>
      </c>
      <c r="AW54" s="68">
        <f t="shared" si="6"/>
        <v>1.8039120657015975E-2</v>
      </c>
      <c r="AX54" s="114"/>
      <c r="AY54" s="114"/>
      <c r="AZ54" s="116"/>
      <c r="BA54" s="116"/>
      <c r="BB54" s="166"/>
      <c r="BC54" s="166"/>
      <c r="BD54" s="166"/>
      <c r="BE54" s="166"/>
      <c r="BF54" s="166"/>
      <c r="BG54" s="166"/>
      <c r="BH54" s="166"/>
      <c r="BI54" s="113"/>
      <c r="BJ54" s="113"/>
      <c r="BK54" s="113">
        <f>INDEX('Dist. Plant Gas Additions'!$F$7:$AE$91,MATCH($C54,'Dist. Plant Gas Additions'!$D$7:$D$91,0),MATCH(Calculation!$G54,'Dist. Plant Gas Additions'!$F$5:$AE$5,0))</f>
        <v>54256</v>
      </c>
      <c r="BL54" s="113">
        <f>INDEX('Gen. Plant Additions'!$F$7:$AE$91,MATCH($C54,'Gen. Plant Additions'!$D$7:$D$91,0),MATCH(Calculation!$G54,'Gen. Plant Additions'!$F$5:$AE$5,0))</f>
        <v>0</v>
      </c>
      <c r="BM54" s="231">
        <f t="shared" ref="BM54:BM75" si="143">+(BW54/(BW54+BX54))</f>
        <v>0.99347246143731904</v>
      </c>
      <c r="BN54" s="61">
        <f t="shared" si="8"/>
        <v>0</v>
      </c>
      <c r="BO54" s="113">
        <f>INDEX('Dist Plant Depreciation'!$E$7:$AD$94,MATCH($C54,'Dist Plant Depreciation'!$D$7:$D$94,0),MATCH(Calculation!$G54,'Dist Plant Depreciation'!$E$5:$AD$5,0))</f>
        <v>265147</v>
      </c>
      <c r="BP54" s="113">
        <f>INDEX('Gen. Plant Depreciation'!$E$7:$AD$94,MATCH($C54,'Gen. Plant Depreciation'!$D$7:$D$94,0),MATCH(Calculation!$G54,'Gen. Plant Depreciation'!$E$5:$AD$5,0))</f>
        <v>-661</v>
      </c>
      <c r="BQ54" s="175">
        <v>1978</v>
      </c>
      <c r="BR54" s="175">
        <f t="shared" si="67"/>
        <v>31</v>
      </c>
      <c r="BS54" s="170">
        <v>164.6318376126998</v>
      </c>
      <c r="BT54" s="176">
        <f t="shared" si="141"/>
        <v>2.3378582202111614E-2</v>
      </c>
      <c r="BU54" s="177">
        <f t="shared" si="68"/>
        <v>3.8488589487131928</v>
      </c>
      <c r="BV54" s="177"/>
      <c r="BW54" s="113">
        <f>INDEX('Gross Dx Plant'!$E$7:$AD$91,MATCH($C54,'Gross Dx Plant'!$D$7:$D$91,0),MATCH(Calculation!$G54,'Gross Dx Plant'!$E$5:$AD$5,0))</f>
        <v>914248</v>
      </c>
      <c r="BX54" s="113">
        <f>INDEX('Gross Gen Plant'!$E$7:$AD$91,MATCH($C54,'Gross Gen Plant'!$D$7:$D$91,0),MATCH(Calculation!$G54,'Gross Gen Plant'!$E$5:$AD$5,0))</f>
        <v>6007</v>
      </c>
      <c r="BY54" s="113">
        <f t="shared" si="46"/>
        <v>655769</v>
      </c>
      <c r="BZ54" s="113"/>
      <c r="CA54" s="116">
        <v>1999</v>
      </c>
      <c r="CB54" s="113"/>
      <c r="CC54" s="113"/>
      <c r="CD54" s="113"/>
      <c r="CE54" s="175"/>
      <c r="CF54" s="113">
        <f t="shared" ref="CF54:CF76" si="144">+BL54+BK54</f>
        <v>54256</v>
      </c>
      <c r="CG54" s="113">
        <f t="shared" ref="CG54:CG77" si="145">+CF54/$DE54</f>
        <v>161.80124172273798</v>
      </c>
      <c r="CH54" s="178">
        <v>0.99502487562189057</v>
      </c>
      <c r="CI54" s="61">
        <f>+CI53*CH54+CG54</f>
        <v>3246.5250554810668</v>
      </c>
      <c r="CJ54" s="114">
        <f t="shared" ref="CJ54:CJ75" si="146">LN(CI54/CI53)</f>
        <v>4.6135541290072725E-2</v>
      </c>
      <c r="CK54" s="114"/>
      <c r="CL54" s="169">
        <f t="shared" ref="CL54:CL76" si="147">+(CI53-CI54+CG54)/CI53</f>
        <v>4.9751243781094917E-3</v>
      </c>
      <c r="CM54" s="169"/>
      <c r="CN54" s="114">
        <f>VLOOKUP($H54,RoR!$E:$F,2,FALSE)</f>
        <v>7.0416666666666669E-2</v>
      </c>
      <c r="CO54" s="169">
        <v>1.4335631817396832E-2</v>
      </c>
      <c r="CP54" s="169">
        <f>+CN54-CO54</f>
        <v>5.6081034849269837E-2</v>
      </c>
      <c r="CQ54" s="169"/>
      <c r="CR54" s="69"/>
      <c r="CS54" s="179">
        <f t="shared" ref="CS54:CS77" si="148">1-CX54*CY54</f>
        <v>0.85166083209999999</v>
      </c>
      <c r="CT54" s="180">
        <f t="shared" ref="CT54:CT76" si="149">2/(DC54*39)</f>
        <v>0.72826581702321336</v>
      </c>
      <c r="CU54" s="180">
        <f t="shared" ref="CU54:CU76" si="150">+(DC54*40-(1+DC54))/(DC54*40)</f>
        <v>0.61997041420118348</v>
      </c>
      <c r="CV54" s="180">
        <f t="shared" ref="CV54:CV76" si="151">+(1-(1/(1+DC54)^40))</f>
        <v>0.93425155319585029</v>
      </c>
      <c r="CW54" s="180">
        <f t="shared" ref="CW54:CW76" si="152">+CV54*CU54*CT54</f>
        <v>0.42181762214141483</v>
      </c>
      <c r="CX54" s="181">
        <f>INDEX('State Tax Lookup'!$D$7:$Z$91,MATCH(Calculation!$C54,'State Tax Lookup'!$B$7:$B$91,0),MATCH($H54,'State Tax Lookup'!$D$6:$Z$6,0))</f>
        <v>0.40091666999999998</v>
      </c>
      <c r="CY54" s="72">
        <v>0.37</v>
      </c>
      <c r="CZ54" s="70"/>
      <c r="DA54" s="70"/>
      <c r="DB54" s="69"/>
      <c r="DC54" s="111">
        <f>VLOOKUP($H54,RoR!$E:$F,2,FALSE)</f>
        <v>7.0416666666666669E-2</v>
      </c>
      <c r="DD54" s="216">
        <f>HLOOKUP($H54,'GDP-PI'!$D$8:$CQ$11,3,FALSE)</f>
        <v>1.4335631817396832E-2</v>
      </c>
      <c r="DE54" s="111">
        <f>VLOOKUP(H54,'HW Dx Data'!$E:$F,2,FALSE)</f>
        <v>335.32499146683239</v>
      </c>
      <c r="DF54" s="66"/>
      <c r="DG54" s="69"/>
      <c r="DH54" s="66">
        <f>HLOOKUP(H54,'GDP-PI'!$8:$9,2,FALSE)</f>
        <v>76.346000000000004</v>
      </c>
      <c r="DI54"/>
      <c r="DJ54" s="160">
        <v>133.85</v>
      </c>
      <c r="DK54" s="160">
        <v>4.7443061840120659</v>
      </c>
      <c r="DN54" s="184">
        <v>2.2420051132432027E-2</v>
      </c>
      <c r="DO54" s="184">
        <v>4.02E-2</v>
      </c>
      <c r="DP54" s="184">
        <f t="shared" si="129"/>
        <v>9.012860555237675E-4</v>
      </c>
      <c r="DQ54" s="184">
        <v>3.4299999999999997E-2</v>
      </c>
      <c r="DR54" s="184">
        <f t="shared" si="130"/>
        <v>7.6900775384241844E-4</v>
      </c>
      <c r="DS54" s="184">
        <v>3.1699999999999999E-2</v>
      </c>
      <c r="DT54" s="184">
        <f t="shared" si="131"/>
        <v>7.107156208980952E-4</v>
      </c>
      <c r="DU54" s="184">
        <v>2.7699999999999999E-2</v>
      </c>
      <c r="DV54" s="184">
        <f t="shared" si="132"/>
        <v>6.2103541636836712E-4</v>
      </c>
      <c r="DW54" s="184">
        <v>2.3400000000000001E-2</v>
      </c>
      <c r="DX54" s="184">
        <f t="shared" si="133"/>
        <v>5.2462919649890946E-4</v>
      </c>
      <c r="EB54">
        <f>+EB53+1</f>
        <v>1999</v>
      </c>
    </row>
    <row r="55" spans="1:132" s="160" customFormat="1" ht="21">
      <c r="A55" s="160" t="s">
        <v>154</v>
      </c>
      <c r="B55" s="161" t="s">
        <v>154</v>
      </c>
      <c r="C55" s="161">
        <v>4007784</v>
      </c>
      <c r="D55" s="161" t="s">
        <v>155</v>
      </c>
      <c r="E55" s="161"/>
      <c r="F55" s="161"/>
      <c r="G55" s="161" t="s">
        <v>107</v>
      </c>
      <c r="H55" s="162">
        <v>2000</v>
      </c>
      <c r="I55" s="163"/>
      <c r="J55" s="159"/>
      <c r="K55" s="159"/>
      <c r="L55" s="159"/>
      <c r="M55" s="60"/>
      <c r="N55" s="152"/>
      <c r="O55" s="60"/>
      <c r="P55" s="60"/>
      <c r="Q55" s="159"/>
      <c r="R55" s="159"/>
      <c r="S55" s="159"/>
      <c r="T55" s="159"/>
      <c r="U55" s="159"/>
      <c r="V55" s="159"/>
      <c r="W55" s="159">
        <f t="shared" si="142"/>
        <v>0</v>
      </c>
      <c r="X55" s="163"/>
      <c r="Y55" s="167">
        <v>3369.3652780334437</v>
      </c>
      <c r="Z55" s="168">
        <v>3.7139171201192346E-2</v>
      </c>
      <c r="AA55" s="78"/>
      <c r="AB55" s="168"/>
      <c r="AC55" s="168"/>
      <c r="AD55" s="163">
        <f t="shared" si="102"/>
        <v>0</v>
      </c>
      <c r="AE55" s="168"/>
      <c r="AF55" s="163"/>
      <c r="AG55" s="163"/>
      <c r="AH55" s="163"/>
      <c r="AI55" s="163"/>
      <c r="AJ55" s="167"/>
      <c r="AK55" s="168"/>
      <c r="AL55" s="115"/>
      <c r="AM55" s="115"/>
      <c r="AN55" s="115"/>
      <c r="AO55" s="115"/>
      <c r="AP55" s="115"/>
      <c r="AQ55" s="168"/>
      <c r="AR55" s="79"/>
      <c r="AS55" s="115"/>
      <c r="AT55" s="115"/>
      <c r="AU55" s="115"/>
      <c r="AV55" s="113">
        <f>IFERROR(INDEX('Total Customers'!$F$7:$AB$91,MATCH($C55,'Total Customers'!$D$7:$D$91,0),MATCH($G55,'Total Customers'!$F$5:$AB$5,0)),"NA")</f>
        <v>595260</v>
      </c>
      <c r="AW55" s="68">
        <f t="shared" si="6"/>
        <v>1.9326780444583688E-2</v>
      </c>
      <c r="AX55" s="114"/>
      <c r="AY55" s="114"/>
      <c r="AZ55" s="116"/>
      <c r="BA55" s="116"/>
      <c r="BB55" s="166"/>
      <c r="BC55" s="166"/>
      <c r="BD55" s="166"/>
      <c r="BE55" s="166"/>
      <c r="BF55" s="166"/>
      <c r="BG55" s="166"/>
      <c r="BH55" s="166"/>
      <c r="BI55" s="113"/>
      <c r="BJ55" s="113"/>
      <c r="BK55" s="113">
        <f>INDEX('Dist. Plant Gas Additions'!$F$7:$AE$91,MATCH($C55,'Dist. Plant Gas Additions'!$D$7:$D$91,0),MATCH(Calculation!$G55,'Dist. Plant Gas Additions'!$F$5:$AE$5,0))</f>
        <v>48342</v>
      </c>
      <c r="BL55" s="113">
        <f>INDEX('Gen. Plant Additions'!$F$7:$AE$91,MATCH($C55,'Gen. Plant Additions'!$D$7:$D$91,0),MATCH(Calculation!$G55,'Gen. Plant Additions'!$F$5:$AE$5,0))</f>
        <v>12</v>
      </c>
      <c r="BM55" s="231">
        <f t="shared" si="143"/>
        <v>0.99400712203226604</v>
      </c>
      <c r="BN55" s="61">
        <f t="shared" si="8"/>
        <v>11.928085464387193</v>
      </c>
      <c r="BO55" s="113">
        <f>INDEX('Dist Plant Depreciation'!$E$7:$AD$94,MATCH($C55,'Dist Plant Depreciation'!$D$7:$D$94,0),MATCH(Calculation!$G55,'Dist Plant Depreciation'!$E$5:$AD$5,0))</f>
        <v>269509</v>
      </c>
      <c r="BP55" s="113">
        <f>INDEX('Gen. Plant Depreciation'!$E$7:$AD$94,MATCH($C55,'Gen. Plant Depreciation'!$D$7:$D$94,0),MATCH(Calculation!$G55,'Gen. Plant Depreciation'!$E$5:$AD$5,0))</f>
        <v>-807</v>
      </c>
      <c r="BQ55" s="175">
        <v>1979</v>
      </c>
      <c r="BR55" s="175">
        <f t="shared" si="67"/>
        <v>32</v>
      </c>
      <c r="BS55" s="170">
        <v>178.3682330743728</v>
      </c>
      <c r="BT55" s="176">
        <f t="shared" si="141"/>
        <v>2.4132730015082957E-2</v>
      </c>
      <c r="BU55" s="177">
        <f t="shared" si="68"/>
        <v>4.3045124120512295</v>
      </c>
      <c r="BV55" s="177"/>
      <c r="BW55" s="113">
        <f>INDEX('Gross Dx Plant'!$E$7:$AD$91,MATCH($C55,'Gross Dx Plant'!$D$7:$D$91,0),MATCH(Calculation!$G55,'Gross Dx Plant'!$E$5:$AD$5,0))</f>
        <v>939292</v>
      </c>
      <c r="BX55" s="113">
        <f>INDEX('Gross Gen Plant'!$E$7:$AD$91,MATCH($C55,'Gross Gen Plant'!$D$7:$D$91,0),MATCH(Calculation!$G55,'Gross Gen Plant'!$E$5:$AD$5,0))</f>
        <v>5663</v>
      </c>
      <c r="BY55" s="113">
        <f t="shared" si="46"/>
        <v>676253</v>
      </c>
      <c r="BZ55" s="113"/>
      <c r="CA55" s="116">
        <v>2000</v>
      </c>
      <c r="CB55" s="113"/>
      <c r="CC55" s="113"/>
      <c r="CD55" s="113"/>
      <c r="CE55" s="175"/>
      <c r="CF55" s="113">
        <f t="shared" si="144"/>
        <v>48354</v>
      </c>
      <c r="CG55" s="113">
        <f t="shared" si="145"/>
        <v>139.53620531929519</v>
      </c>
      <c r="CH55" s="178">
        <v>0.98989898989898994</v>
      </c>
      <c r="CI55" s="61">
        <f>+CI53*CH55+CG54*CH54+CG55</f>
        <v>3369.3652780334437</v>
      </c>
      <c r="CJ55" s="114">
        <f t="shared" si="146"/>
        <v>3.7139171201192346E-2</v>
      </c>
      <c r="CK55" s="114"/>
      <c r="CL55" s="169">
        <f t="shared" si="147"/>
        <v>5.1427241378379958E-3</v>
      </c>
      <c r="CM55" s="169"/>
      <c r="CN55" s="114">
        <f>VLOOKUP($H55,RoR!$E:$F,2,FALSE)</f>
        <v>7.6225000000000001E-2</v>
      </c>
      <c r="CO55" s="169">
        <v>2.2568307442433211E-2</v>
      </c>
      <c r="CP55" s="169">
        <f t="shared" ref="CP55:CP75" si="153">+CN55-CO55</f>
        <v>5.365669255756679E-2</v>
      </c>
      <c r="CQ55" s="169"/>
      <c r="CR55" s="69"/>
      <c r="CS55" s="179">
        <f t="shared" si="148"/>
        <v>0.85166083209999999</v>
      </c>
      <c r="CT55" s="180">
        <f t="shared" si="149"/>
        <v>0.67277207323124022</v>
      </c>
      <c r="CU55" s="180">
        <f t="shared" si="150"/>
        <v>0.6470236142997704</v>
      </c>
      <c r="CV55" s="180">
        <f t="shared" si="151"/>
        <v>0.94704866037543145</v>
      </c>
      <c r="CW55" s="180">
        <f t="shared" si="152"/>
        <v>0.41224973107878493</v>
      </c>
      <c r="CX55" s="181">
        <f>INDEX('State Tax Lookup'!$D$7:$Z$91,MATCH(Calculation!$C55,'State Tax Lookup'!$B$7:$B$91,0),MATCH($H55,'State Tax Lookup'!$D$6:$Z$6,0))</f>
        <v>0.40091666999999998</v>
      </c>
      <c r="CY55" s="72">
        <v>0.37</v>
      </c>
      <c r="CZ55" s="70"/>
      <c r="DA55" s="70"/>
      <c r="DB55" s="69"/>
      <c r="DC55" s="111">
        <f>VLOOKUP($H55,RoR!$E:$F,2,FALSE)</f>
        <v>7.6225000000000001E-2</v>
      </c>
      <c r="DD55" s="216">
        <f>HLOOKUP($H55,'GDP-PI'!$D$8:$CQ$11,3,FALSE)</f>
        <v>2.2568307442433211E-2</v>
      </c>
      <c r="DE55" s="111">
        <f>VLOOKUP(H55,'HW Dx Data'!$E:$F,2,FALSE)</f>
        <v>346.53371782150339</v>
      </c>
      <c r="DF55" s="66"/>
      <c r="DG55" s="69"/>
      <c r="DH55" s="66">
        <f>HLOOKUP(H55,'GDP-PI'!$8:$9,2,FALSE)</f>
        <v>78.069000000000003</v>
      </c>
      <c r="DI55"/>
      <c r="DJ55" s="160">
        <v>138.84166666666667</v>
      </c>
      <c r="DK55" s="160">
        <v>5.025942684766215</v>
      </c>
      <c r="DN55" s="184">
        <v>7.3593382416691673E-3</v>
      </c>
      <c r="DO55" s="184">
        <v>3.04E-2</v>
      </c>
      <c r="DP55" s="184">
        <f t="shared" si="129"/>
        <v>2.2372388254674269E-4</v>
      </c>
      <c r="DQ55" s="184">
        <v>2.3599999999999999E-2</v>
      </c>
      <c r="DR55" s="184">
        <f t="shared" si="130"/>
        <v>1.7368038250339235E-4</v>
      </c>
      <c r="DS55" s="184">
        <v>2.0500000000000001E-2</v>
      </c>
      <c r="DT55" s="184">
        <f t="shared" si="131"/>
        <v>1.5086643395421793E-4</v>
      </c>
      <c r="DU55" s="184">
        <v>1.5699999999999999E-2</v>
      </c>
      <c r="DV55" s="184">
        <f t="shared" si="132"/>
        <v>1.1554161039420592E-4</v>
      </c>
      <c r="DW55" s="184">
        <v>1.0500000000000001E-2</v>
      </c>
      <c r="DX55" s="184">
        <f t="shared" si="133"/>
        <v>7.7273051537526258E-5</v>
      </c>
      <c r="EB55">
        <f t="shared" ref="EB55:EB77" si="154">+EB54+1</f>
        <v>2000</v>
      </c>
    </row>
    <row r="56" spans="1:132" s="160" customFormat="1" ht="21">
      <c r="A56" s="160" t="s">
        <v>154</v>
      </c>
      <c r="B56" s="161" t="s">
        <v>154</v>
      </c>
      <c r="C56" s="161">
        <v>4007784</v>
      </c>
      <c r="D56" s="161" t="s">
        <v>155</v>
      </c>
      <c r="E56" s="161"/>
      <c r="F56" s="161"/>
      <c r="G56" s="161" t="s">
        <v>111</v>
      </c>
      <c r="H56" s="162">
        <v>2001</v>
      </c>
      <c r="I56" s="163"/>
      <c r="J56" s="159"/>
      <c r="K56" s="159"/>
      <c r="L56" s="159"/>
      <c r="M56" s="60"/>
      <c r="N56" s="152"/>
      <c r="O56" s="60"/>
      <c r="P56" s="60"/>
      <c r="Q56" s="159"/>
      <c r="R56" s="159"/>
      <c r="S56" s="159"/>
      <c r="T56" s="159"/>
      <c r="U56" s="159"/>
      <c r="V56" s="159"/>
      <c r="W56" s="159">
        <f t="shared" si="142"/>
        <v>43609.591655678065</v>
      </c>
      <c r="X56" s="163"/>
      <c r="Y56" s="167">
        <v>3477.7022173737814</v>
      </c>
      <c r="Z56" s="168">
        <v>3.1647411512160571E-2</v>
      </c>
      <c r="AA56" s="78"/>
      <c r="AB56" s="168"/>
      <c r="AC56" s="168"/>
      <c r="AD56" s="163">
        <f t="shared" si="102"/>
        <v>43609.591655678065</v>
      </c>
      <c r="AE56" s="168"/>
      <c r="AF56" s="163"/>
      <c r="AG56" s="163"/>
      <c r="AH56" s="163"/>
      <c r="AI56" s="163"/>
      <c r="AJ56" s="167"/>
      <c r="AK56" s="168"/>
      <c r="AL56" s="115"/>
      <c r="AM56" s="115"/>
      <c r="AN56" s="115"/>
      <c r="AO56" s="115"/>
      <c r="AP56" s="115"/>
      <c r="AQ56" s="168"/>
      <c r="AR56" s="79"/>
      <c r="AS56" s="115"/>
      <c r="AT56" s="115"/>
      <c r="AU56" s="115"/>
      <c r="AV56" s="113">
        <f>IFERROR(INDEX('Total Customers'!$F$7:$AB$91,MATCH($C56,'Total Customers'!$D$7:$D$91,0),MATCH($G56,'Total Customers'!$F$5:$AB$5,0)),"NA")</f>
        <v>598535</v>
      </c>
      <c r="AW56" s="68">
        <f t="shared" si="6"/>
        <v>5.4867179304642563E-3</v>
      </c>
      <c r="AX56" s="114"/>
      <c r="AY56" s="114"/>
      <c r="AZ56" s="116"/>
      <c r="BA56" s="116"/>
      <c r="BB56" s="166"/>
      <c r="BC56" s="166"/>
      <c r="BD56" s="166"/>
      <c r="BE56" s="166"/>
      <c r="BF56" s="166"/>
      <c r="BG56" s="166"/>
      <c r="BH56" s="166"/>
      <c r="BI56" s="113"/>
      <c r="BJ56" s="113"/>
      <c r="BK56" s="113">
        <f>INDEX('Dist. Plant Gas Additions'!$F$7:$AE$91,MATCH($C56,'Dist. Plant Gas Additions'!$D$7:$D$91,0),MATCH(Calculation!$G56,'Dist. Plant Gas Additions'!$F$5:$AE$5,0))</f>
        <v>44374</v>
      </c>
      <c r="BL56" s="113">
        <f>INDEX('Gen. Plant Additions'!$F$7:$AE$91,MATCH($C56,'Gen. Plant Additions'!$D$7:$D$91,0),MATCH(Calculation!$G56,'Gen. Plant Additions'!$F$5:$AE$5,0))</f>
        <v>0</v>
      </c>
      <c r="BM56" s="231">
        <f t="shared" si="143"/>
        <v>0.99549754086915143</v>
      </c>
      <c r="BN56" s="61">
        <f t="shared" si="8"/>
        <v>0</v>
      </c>
      <c r="BO56" s="113">
        <f>INDEX('Dist Plant Depreciation'!$E$7:$AD$94,MATCH($C56,'Dist Plant Depreciation'!$D$7:$D$94,0),MATCH(Calculation!$G56,'Dist Plant Depreciation'!$E$5:$AD$5,0))</f>
        <v>276593</v>
      </c>
      <c r="BP56" s="113">
        <f>INDEX('Gen. Plant Depreciation'!$E$7:$AD$94,MATCH($C56,'Gen. Plant Depreciation'!$D$7:$D$94,0),MATCH(Calculation!$G56,'Gen. Plant Depreciation'!$E$5:$AD$5,0))</f>
        <v>-1496</v>
      </c>
      <c r="BQ56" s="175">
        <v>1980</v>
      </c>
      <c r="BR56" s="175">
        <f t="shared" si="67"/>
        <v>33</v>
      </c>
      <c r="BS56" s="170">
        <v>194.39507432314332</v>
      </c>
      <c r="BT56" s="176">
        <f t="shared" si="141"/>
        <v>2.4886877828054297E-2</v>
      </c>
      <c r="BU56" s="177">
        <f t="shared" si="68"/>
        <v>4.837886465055603</v>
      </c>
      <c r="BV56" s="177"/>
      <c r="BW56" s="113">
        <f>INDEX('Gross Dx Plant'!$E$7:$AD$91,MATCH($C56,'Gross Dx Plant'!$D$7:$D$91,0),MATCH(Calculation!$G56,'Gross Dx Plant'!$E$5:$AD$5,0))</f>
        <v>962452</v>
      </c>
      <c r="BX56" s="113">
        <f>INDEX('Gross Gen Plant'!$E$7:$AD$91,MATCH($C56,'Gross Gen Plant'!$D$7:$D$91,0),MATCH(Calculation!$G56,'Gross Gen Plant'!$E$5:$AD$5,0))</f>
        <v>4353</v>
      </c>
      <c r="BY56" s="113">
        <f t="shared" si="46"/>
        <v>691708</v>
      </c>
      <c r="BZ56" s="113"/>
      <c r="CA56" s="116">
        <v>2001</v>
      </c>
      <c r="CB56" s="113"/>
      <c r="CC56" s="113"/>
      <c r="CD56" s="113"/>
      <c r="CE56" s="175"/>
      <c r="CF56" s="113">
        <f t="shared" si="144"/>
        <v>44374</v>
      </c>
      <c r="CG56" s="113">
        <f t="shared" si="145"/>
        <v>125.54626937127267</v>
      </c>
      <c r="CH56" s="178">
        <v>0.98461538461538467</v>
      </c>
      <c r="CI56" s="61">
        <f>+CI53*CH56+CG54*CH55+CG55*CH53+CG56</f>
        <v>3477.7022173737814</v>
      </c>
      <c r="CJ56" s="114">
        <f t="shared" si="146"/>
        <v>3.1647411512160571E-2</v>
      </c>
      <c r="CK56" s="114"/>
      <c r="CL56" s="169">
        <f t="shared" si="147"/>
        <v>5.1075881095858236E-3</v>
      </c>
      <c r="CM56" s="169">
        <f>+(CL56+CL55+CL54)/3</f>
        <v>5.075145541844437E-3</v>
      </c>
      <c r="CN56" s="114">
        <f>VLOOKUP($H56,RoR!$E:$F,2,FALSE)</f>
        <v>7.0824999999999999E-2</v>
      </c>
      <c r="CO56" s="169">
        <v>2.2454495382290052E-2</v>
      </c>
      <c r="CP56" s="169">
        <f t="shared" si="153"/>
        <v>4.8370504617709947E-2</v>
      </c>
      <c r="CQ56" s="169">
        <f>+$CP$2-CM56</f>
        <v>2.5826796066689188E-2</v>
      </c>
      <c r="CR56" s="69">
        <v>2.3947275901631187E-2</v>
      </c>
      <c r="CS56" s="179">
        <f t="shared" si="148"/>
        <v>0.85166083209999999</v>
      </c>
      <c r="CT56" s="180">
        <f t="shared" si="149"/>
        <v>0.72406708481540816</v>
      </c>
      <c r="CU56" s="180">
        <f t="shared" si="150"/>
        <v>0.62201729615248857</v>
      </c>
      <c r="CV56" s="180">
        <f t="shared" si="151"/>
        <v>0.9352469954311422</v>
      </c>
      <c r="CW56" s="180">
        <f t="shared" si="152"/>
        <v>0.42121864641655071</v>
      </c>
      <c r="CX56" s="181">
        <f>INDEX('State Tax Lookup'!$D$7:$Z$91,MATCH(Calculation!$C56,'State Tax Lookup'!$B$7:$B$91,0),MATCH($H56,'State Tax Lookup'!$D$6:$Z$6,0))</f>
        <v>0.40091666999999998</v>
      </c>
      <c r="CY56" s="72">
        <v>0.37</v>
      </c>
      <c r="CZ56" s="70">
        <f t="shared" ref="CZ56:CZ77" si="155">+(DE56*CQ56-CR56)*CS56/(1-CX56)</f>
        <v>12.942969389513962</v>
      </c>
      <c r="DA56" s="70"/>
      <c r="DB56" s="69"/>
      <c r="DC56" s="111">
        <f>VLOOKUP($H56,RoR!$E:$F,2,FALSE)</f>
        <v>7.0824999999999999E-2</v>
      </c>
      <c r="DD56" s="216">
        <f>HLOOKUP($H56,'GDP-PI'!$D$8:$CQ$11,3,FALSE)</f>
        <v>2.2454495382290052E-2</v>
      </c>
      <c r="DE56" s="111">
        <f>VLOOKUP(H56,'HW Dx Data'!$E:$F,2,FALSE)</f>
        <v>353.44738017483138</v>
      </c>
      <c r="DF56" s="66"/>
      <c r="DG56" s="69"/>
      <c r="DH56" s="66">
        <f>HLOOKUP(H56,'GDP-PI'!$8:$9,2,FALSE)</f>
        <v>79.822000000000003</v>
      </c>
      <c r="DI56"/>
      <c r="DJ56" s="160">
        <v>139.63333333333333</v>
      </c>
      <c r="DK56" s="160">
        <v>5.1599044746103564</v>
      </c>
      <c r="DN56" s="184">
        <v>3.740588547769981E-2</v>
      </c>
      <c r="DO56" s="184">
        <v>3.15E-2</v>
      </c>
      <c r="DP56" s="184">
        <f t="shared" si="129"/>
        <v>1.178285392547544E-3</v>
      </c>
      <c r="DQ56" s="184">
        <v>2.4500000000000001E-2</v>
      </c>
      <c r="DR56" s="184">
        <f t="shared" si="130"/>
        <v>9.1644419420364534E-4</v>
      </c>
      <c r="DS56" s="184">
        <v>2.1399999999999999E-2</v>
      </c>
      <c r="DT56" s="184">
        <f t="shared" si="131"/>
        <v>8.0048594922277588E-4</v>
      </c>
      <c r="DU56" s="184">
        <v>1.6500000000000001E-2</v>
      </c>
      <c r="DV56" s="184">
        <f t="shared" si="132"/>
        <v>6.1719711038204692E-4</v>
      </c>
      <c r="DW56" s="184">
        <v>1.11E-2</v>
      </c>
      <c r="DX56" s="184">
        <f t="shared" si="133"/>
        <v>4.1520532880246793E-4</v>
      </c>
      <c r="EB56">
        <f t="shared" si="154"/>
        <v>2001</v>
      </c>
    </row>
    <row r="57" spans="1:132" s="160" customFormat="1" ht="21">
      <c r="A57" s="160" t="s">
        <v>154</v>
      </c>
      <c r="B57" s="161" t="s">
        <v>154</v>
      </c>
      <c r="C57" s="161">
        <v>4007784</v>
      </c>
      <c r="D57" s="161" t="s">
        <v>155</v>
      </c>
      <c r="E57" s="161"/>
      <c r="F57" s="161"/>
      <c r="G57" s="161" t="s">
        <v>113</v>
      </c>
      <c r="H57" s="162">
        <v>2002</v>
      </c>
      <c r="I57" s="163"/>
      <c r="J57" s="159"/>
      <c r="K57" s="159"/>
      <c r="L57" s="159"/>
      <c r="M57" s="60"/>
      <c r="N57" s="152"/>
      <c r="O57" s="60"/>
      <c r="P57" s="60"/>
      <c r="Q57" s="159"/>
      <c r="R57" s="159"/>
      <c r="S57" s="159"/>
      <c r="T57" s="159"/>
      <c r="U57" s="159"/>
      <c r="V57" s="159"/>
      <c r="W57" s="159">
        <f t="shared" si="142"/>
        <v>45589.755152026039</v>
      </c>
      <c r="X57" s="163"/>
      <c r="Y57" s="167">
        <v>3565.2196081268339</v>
      </c>
      <c r="Z57" s="168">
        <v>2.4853859786458567E-2</v>
      </c>
      <c r="AA57" s="78"/>
      <c r="AB57" s="168"/>
      <c r="AC57" s="168"/>
      <c r="AD57" s="163">
        <f t="shared" si="102"/>
        <v>45589.755152026039</v>
      </c>
      <c r="AE57" s="168"/>
      <c r="AF57" s="163"/>
      <c r="AG57" s="163"/>
      <c r="AH57" s="163"/>
      <c r="AI57" s="163"/>
      <c r="AJ57" s="167"/>
      <c r="AK57" s="168"/>
      <c r="AL57" s="115"/>
      <c r="AM57" s="115"/>
      <c r="AN57" s="115"/>
      <c r="AO57" s="115"/>
      <c r="AP57" s="115"/>
      <c r="AQ57" s="168"/>
      <c r="AR57" s="79"/>
      <c r="AS57" s="115"/>
      <c r="AT57" s="115"/>
      <c r="AU57" s="115"/>
      <c r="AV57" s="113">
        <f>IFERROR(INDEX('Total Customers'!$F$7:$AB$91,MATCH($C57,'Total Customers'!$D$7:$D$91,0),MATCH($G57,'Total Customers'!$F$5:$AB$5,0)),"NA")</f>
        <v>609349</v>
      </c>
      <c r="AW57" s="68">
        <f t="shared" si="6"/>
        <v>1.7906171354866506E-2</v>
      </c>
      <c r="AX57" s="114"/>
      <c r="AY57" s="114"/>
      <c r="AZ57" s="116"/>
      <c r="BA57" s="116"/>
      <c r="BB57" s="166"/>
      <c r="BC57" s="166"/>
      <c r="BD57" s="166"/>
      <c r="BE57" s="166"/>
      <c r="BF57" s="166"/>
      <c r="BG57" s="166"/>
      <c r="BH57" s="166"/>
      <c r="BI57" s="113"/>
      <c r="BJ57" s="113"/>
      <c r="BK57" s="113">
        <f>INDEX('Dist. Plant Gas Additions'!$F$7:$AE$91,MATCH($C57,'Dist. Plant Gas Additions'!$D$7:$D$91,0),MATCH(Calculation!$G57,'Dist. Plant Gas Additions'!$F$5:$AE$5,0))</f>
        <v>38181</v>
      </c>
      <c r="BL57" s="113">
        <f>INDEX('Gen. Plant Additions'!$F$7:$AE$91,MATCH($C57,'Gen. Plant Additions'!$D$7:$D$91,0),MATCH(Calculation!$G57,'Gen. Plant Additions'!$F$5:$AE$5,0))</f>
        <v>591</v>
      </c>
      <c r="BM57" s="231">
        <f t="shared" si="143"/>
        <v>0.99509091991760334</v>
      </c>
      <c r="BN57" s="61">
        <f t="shared" si="8"/>
        <v>588.09873367130353</v>
      </c>
      <c r="BO57" s="113">
        <f>INDEX('Dist Plant Depreciation'!$E$7:$AD$94,MATCH($C57,'Dist Plant Depreciation'!$D$7:$D$94,0),MATCH(Calculation!$G57,'Dist Plant Depreciation'!$E$5:$AD$5,0))</f>
        <v>290340</v>
      </c>
      <c r="BP57" s="113">
        <f>INDEX('Gen. Plant Depreciation'!$E$7:$AD$94,MATCH($C57,'Gen. Plant Depreciation'!$D$7:$D$94,0),MATCH(Calculation!$G57,'Gen. Plant Depreciation'!$E$5:$AD$5,0))</f>
        <v>-1497</v>
      </c>
      <c r="BQ57" s="175">
        <v>1981</v>
      </c>
      <c r="BR57" s="175">
        <f t="shared" si="67"/>
        <v>34</v>
      </c>
      <c r="BS57" s="170">
        <v>214.1277774902656</v>
      </c>
      <c r="BT57" s="176">
        <f t="shared" si="141"/>
        <v>2.564102564102564E-2</v>
      </c>
      <c r="BU57" s="177">
        <f t="shared" si="68"/>
        <v>5.4904558330837334</v>
      </c>
      <c r="BV57" s="177"/>
      <c r="BW57" s="113">
        <f>INDEX('Gross Dx Plant'!$E$7:$AD$91,MATCH($C57,'Gross Dx Plant'!$D$7:$D$91,0),MATCH(Calculation!$G57,'Gross Dx Plant'!$E$5:$AD$5,0))</f>
        <v>985953</v>
      </c>
      <c r="BX57" s="113">
        <f>INDEX('Gross Gen Plant'!$E$7:$AD$91,MATCH($C57,'Gross Gen Plant'!$D$7:$D$91,0),MATCH(Calculation!$G57,'Gross Gen Plant'!$E$5:$AD$5,0))</f>
        <v>4864</v>
      </c>
      <c r="BY57" s="113">
        <f t="shared" si="46"/>
        <v>701974</v>
      </c>
      <c r="BZ57" s="113"/>
      <c r="CA57" s="116">
        <v>2002</v>
      </c>
      <c r="CB57" s="113"/>
      <c r="CC57" s="113"/>
      <c r="CD57" s="113"/>
      <c r="CE57" s="175"/>
      <c r="CF57" s="113">
        <f t="shared" si="144"/>
        <v>38772</v>
      </c>
      <c r="CG57" s="113">
        <f t="shared" si="145"/>
        <v>107.29817853434663</v>
      </c>
      <c r="CH57" s="178">
        <v>0.97916666666666663</v>
      </c>
      <c r="CI57" s="61">
        <f>+CI53*CH57+CG54*CH56+CG55*CH55+CG56*CH54+CG57</f>
        <v>3565.2196081268339</v>
      </c>
      <c r="CJ57" s="114">
        <f t="shared" si="146"/>
        <v>2.4853859786458567E-2</v>
      </c>
      <c r="CK57" s="114"/>
      <c r="CL57" s="169">
        <f t="shared" si="147"/>
        <v>5.6878900333887069E-3</v>
      </c>
      <c r="CM57" s="169">
        <f t="shared" ref="CM57:CM77" si="156">+(CL57+CL56+CL55)/3</f>
        <v>5.3127340936041751E-3</v>
      </c>
      <c r="CN57" s="114">
        <f>VLOOKUP($H57,RoR!$E:$F,2,FALSE)</f>
        <v>6.4916666666666664E-2</v>
      </c>
      <c r="CO57" s="169">
        <v>1.5246423291824351E-2</v>
      </c>
      <c r="CP57" s="169">
        <f t="shared" si="153"/>
        <v>4.9670243374842313E-2</v>
      </c>
      <c r="CQ57" s="169">
        <f t="shared" ref="CQ57:CQ77" si="157">+$CP$2-CM57</f>
        <v>2.5589207514929449E-2</v>
      </c>
      <c r="CR57" s="69">
        <v>2.5243621214759093E-2</v>
      </c>
      <c r="CS57" s="179">
        <f t="shared" si="148"/>
        <v>0.85166083209999999</v>
      </c>
      <c r="CT57" s="180">
        <f t="shared" si="149"/>
        <v>0.78996741384417901</v>
      </c>
      <c r="CU57" s="180">
        <f t="shared" si="150"/>
        <v>0.58989088575096271</v>
      </c>
      <c r="CV57" s="180">
        <f t="shared" si="151"/>
        <v>0.91920675783645744</v>
      </c>
      <c r="CW57" s="180">
        <f t="shared" si="152"/>
        <v>0.42834536472275586</v>
      </c>
      <c r="CX57" s="181">
        <f>INDEX('State Tax Lookup'!$D$7:$Z$91,MATCH(Calculation!$C57,'State Tax Lookup'!$B$7:$B$91,0),MATCH($H57,'State Tax Lookup'!$D$6:$Z$6,0))</f>
        <v>0.40091666999999998</v>
      </c>
      <c r="CY57" s="72">
        <v>0.37</v>
      </c>
      <c r="CZ57" s="70">
        <f t="shared" si="155"/>
        <v>13.109160101250291</v>
      </c>
      <c r="DA57" s="70"/>
      <c r="DB57" s="69">
        <f>LN(CZ57/CZ56)</f>
        <v>1.2758493784897781E-2</v>
      </c>
      <c r="DC57" s="111">
        <f>VLOOKUP($H57,RoR!$E:$F,2,FALSE)</f>
        <v>6.4916666666666664E-2</v>
      </c>
      <c r="DD57" s="216">
        <f>HLOOKUP($H57,'GDP-PI'!$D$8:$CQ$11,3,FALSE)</f>
        <v>1.5246423291824351E-2</v>
      </c>
      <c r="DE57" s="111">
        <f>VLOOKUP(H57,'HW Dx Data'!$E:$F,2,FALSE)</f>
        <v>361.34816573413599</v>
      </c>
      <c r="DF57" s="66"/>
      <c r="DG57" s="69"/>
      <c r="DH57" s="66">
        <f>HLOOKUP(H57,'GDP-PI'!$8:$9,2,FALSE)</f>
        <v>81.039000000000001</v>
      </c>
      <c r="DI57" s="69">
        <f>LN(DH57/DH56)</f>
        <v>1.513136459537477E-2</v>
      </c>
      <c r="DJ57" s="160">
        <v>142.07499999999999</v>
      </c>
      <c r="DK57" s="160">
        <v>5.3572775263951726</v>
      </c>
      <c r="DN57" s="184">
        <v>1.1866993807196297E-2</v>
      </c>
      <c r="DO57" s="184">
        <v>4.3499999999999997E-2</v>
      </c>
      <c r="DP57" s="184">
        <f t="shared" si="129"/>
        <v>5.1621423061303884E-4</v>
      </c>
      <c r="DQ57" s="184">
        <v>3.7499999999999999E-2</v>
      </c>
      <c r="DR57" s="184">
        <f t="shared" si="130"/>
        <v>4.4501226776986114E-4</v>
      </c>
      <c r="DS57" s="184">
        <v>3.5000000000000003E-2</v>
      </c>
      <c r="DT57" s="184">
        <f t="shared" si="131"/>
        <v>4.1534478325187043E-4</v>
      </c>
      <c r="DU57" s="184">
        <v>3.0800000000000001E-2</v>
      </c>
      <c r="DV57" s="184">
        <f t="shared" si="132"/>
        <v>3.6550340926164594E-4</v>
      </c>
      <c r="DW57" s="184">
        <v>2.64E-2</v>
      </c>
      <c r="DX57" s="184">
        <f t="shared" si="133"/>
        <v>3.1328863650998225E-4</v>
      </c>
      <c r="EB57">
        <f t="shared" si="154"/>
        <v>2002</v>
      </c>
    </row>
    <row r="58" spans="1:132" s="160" customFormat="1" ht="21">
      <c r="A58" s="160" t="s">
        <v>154</v>
      </c>
      <c r="B58" s="161" t="s">
        <v>154</v>
      </c>
      <c r="C58" s="161">
        <v>4007784</v>
      </c>
      <c r="D58" s="161" t="s">
        <v>155</v>
      </c>
      <c r="E58" s="161"/>
      <c r="F58" s="161"/>
      <c r="G58" s="161" t="s">
        <v>114</v>
      </c>
      <c r="H58" s="162">
        <v>2003</v>
      </c>
      <c r="I58" s="163"/>
      <c r="J58" s="159"/>
      <c r="K58" s="159"/>
      <c r="L58" s="165"/>
      <c r="M58" s="76"/>
      <c r="N58" s="152"/>
      <c r="O58" s="76"/>
      <c r="P58" s="76"/>
      <c r="Q58" s="159"/>
      <c r="R58" s="159"/>
      <c r="S58" s="159"/>
      <c r="T58" s="159"/>
      <c r="U58" s="159"/>
      <c r="V58" s="159"/>
      <c r="W58" s="159">
        <f t="shared" si="142"/>
        <v>47448.688275902161</v>
      </c>
      <c r="X58" s="163"/>
      <c r="Y58" s="167">
        <v>3645.9776130213704</v>
      </c>
      <c r="Z58" s="168">
        <v>2.2398882963305895E-2</v>
      </c>
      <c r="AA58" s="78"/>
      <c r="AB58" s="168"/>
      <c r="AC58" s="168"/>
      <c r="AD58" s="163">
        <f t="shared" si="102"/>
        <v>47448.688275902161</v>
      </c>
      <c r="AE58" s="168"/>
      <c r="AF58" s="163"/>
      <c r="AG58" s="163"/>
      <c r="AH58" s="163"/>
      <c r="AI58" s="163"/>
      <c r="AJ58" s="167"/>
      <c r="AK58" s="168"/>
      <c r="AL58" s="115"/>
      <c r="AM58" s="115"/>
      <c r="AN58" s="115"/>
      <c r="AO58" s="115"/>
      <c r="AP58" s="115"/>
      <c r="AQ58" s="168"/>
      <c r="AR58" s="79"/>
      <c r="AS58" s="115"/>
      <c r="AT58" s="115"/>
      <c r="AU58" s="115"/>
      <c r="AV58" s="113">
        <f>IFERROR(INDEX('Total Customers'!$F$7:$AB$91,MATCH($C58,'Total Customers'!$D$7:$D$91,0),MATCH($G58,'Total Customers'!$F$5:$AB$5,0)),"NA")</f>
        <v>617586</v>
      </c>
      <c r="AW58" s="68">
        <f t="shared" si="6"/>
        <v>1.3427155884655357E-2</v>
      </c>
      <c r="AX58" s="114"/>
      <c r="AY58" s="114"/>
      <c r="AZ58" s="116"/>
      <c r="BA58" s="116"/>
      <c r="BB58" s="166"/>
      <c r="BC58" s="166"/>
      <c r="BD58" s="166"/>
      <c r="BE58" s="166"/>
      <c r="BF58" s="166"/>
      <c r="BG58" s="166"/>
      <c r="BH58" s="166"/>
      <c r="BI58" s="113"/>
      <c r="BJ58" s="113"/>
      <c r="BK58" s="113">
        <f>INDEX('Dist. Plant Gas Additions'!$F$7:$AE$91,MATCH($C58,'Dist. Plant Gas Additions'!$D$7:$D$91,0),MATCH(Calculation!$G58,'Dist. Plant Gas Additions'!$F$5:$AE$5,0))</f>
        <v>36538</v>
      </c>
      <c r="BL58" s="113">
        <f>INDEX('Gen. Plant Additions'!$F$7:$AE$91,MATCH($C58,'Gen. Plant Additions'!$D$7:$D$91,0),MATCH(Calculation!$G58,'Gen. Plant Additions'!$F$5:$AE$5,0))</f>
        <v>748</v>
      </c>
      <c r="BM58" s="231">
        <f t="shared" si="143"/>
        <v>0.99538865433088064</v>
      </c>
      <c r="BN58" s="61">
        <f t="shared" si="8"/>
        <v>744.55071343949874</v>
      </c>
      <c r="BO58" s="113">
        <f>INDEX('Dist Plant Depreciation'!$E$7:$AD$94,MATCH($C58,'Dist Plant Depreciation'!$D$7:$D$94,0),MATCH(Calculation!$G58,'Dist Plant Depreciation'!$E$5:$AD$5,0))</f>
        <v>304106</v>
      </c>
      <c r="BP58" s="113">
        <f>INDEX('Gen. Plant Depreciation'!$E$7:$AD$94,MATCH($C58,'Gen. Plant Depreciation'!$D$7:$D$94,0),MATCH(Calculation!$G58,'Gen. Plant Depreciation'!$E$5:$AD$5,0))</f>
        <v>-2265</v>
      </c>
      <c r="BQ58" s="175">
        <v>1982</v>
      </c>
      <c r="BR58" s="175">
        <f t="shared" si="67"/>
        <v>35</v>
      </c>
      <c r="BS58" s="170">
        <v>228.2610207034636</v>
      </c>
      <c r="BT58" s="176">
        <f t="shared" si="141"/>
        <v>2.6395173453996983E-2</v>
      </c>
      <c r="BU58" s="177">
        <f t="shared" si="68"/>
        <v>6.0249892342543179</v>
      </c>
      <c r="BV58" s="177"/>
      <c r="BW58" s="113">
        <f>INDEX('Gross Dx Plant'!$E$7:$AD$91,MATCH($C58,'Gross Dx Plant'!$D$7:$D$91,0),MATCH(Calculation!$G58,'Gross Dx Plant'!$E$5:$AD$5,0))</f>
        <v>1007402</v>
      </c>
      <c r="BX58" s="113">
        <f>INDEX('Gross Gen Plant'!$E$7:$AD$91,MATCH($C58,'Gross Gen Plant'!$D$7:$D$91,0),MATCH(Calculation!$G58,'Gross Gen Plant'!$E$5:$AD$5,0))</f>
        <v>4667</v>
      </c>
      <c r="BY58" s="113">
        <f t="shared" si="46"/>
        <v>710228</v>
      </c>
      <c r="BZ58" s="113"/>
      <c r="CA58" s="116">
        <v>2003</v>
      </c>
      <c r="CB58" s="113"/>
      <c r="CC58" s="113"/>
      <c r="CD58" s="113"/>
      <c r="CE58" s="175"/>
      <c r="CF58" s="113">
        <f t="shared" si="144"/>
        <v>37286</v>
      </c>
      <c r="CG58" s="113">
        <f t="shared" si="145"/>
        <v>100.98230356896075</v>
      </c>
      <c r="CH58" s="178">
        <v>0.97354497354497349</v>
      </c>
      <c r="CI58" s="61">
        <f>+CI53*CH58+CG54*CH57+CG55*CH56+CG56*CH55+CG57*CH54+CG58</f>
        <v>3645.9776130213704</v>
      </c>
      <c r="CJ58" s="114">
        <f t="shared" si="146"/>
        <v>2.2398882963305895E-2</v>
      </c>
      <c r="CK58" s="114"/>
      <c r="CL58" s="169">
        <f t="shared" si="147"/>
        <v>5.6726656131710473E-3</v>
      </c>
      <c r="CM58" s="169">
        <f t="shared" si="156"/>
        <v>5.4893812520485259E-3</v>
      </c>
      <c r="CN58" s="114">
        <f>VLOOKUP($H58,RoR!$E:$F,2,FALSE)</f>
        <v>5.6666666666666671E-2</v>
      </c>
      <c r="CO58" s="169">
        <v>1.8855119140166909E-2</v>
      </c>
      <c r="CP58" s="169">
        <f t="shared" si="153"/>
        <v>3.7811547526499761E-2</v>
      </c>
      <c r="CQ58" s="169">
        <f t="shared" si="157"/>
        <v>2.5412560356485099E-2</v>
      </c>
      <c r="CR58" s="69">
        <v>2.1375012817671957E-2</v>
      </c>
      <c r="CS58" s="179">
        <f t="shared" si="148"/>
        <v>0.85166083209999999</v>
      </c>
      <c r="CT58" s="180">
        <f t="shared" si="149"/>
        <v>0.90497737556561086</v>
      </c>
      <c r="CU58" s="180">
        <f t="shared" si="150"/>
        <v>0.5338235294117647</v>
      </c>
      <c r="CV58" s="180">
        <f t="shared" si="151"/>
        <v>0.88972433127405692</v>
      </c>
      <c r="CW58" s="180">
        <f t="shared" si="152"/>
        <v>0.42982423775949252</v>
      </c>
      <c r="CX58" s="181">
        <f>INDEX('State Tax Lookup'!$D$7:$Z$91,MATCH(Calculation!$C58,'State Tax Lookup'!$B$7:$B$91,0),MATCH($H58,'State Tax Lookup'!$D$6:$Z$6,0))</f>
        <v>0.40091666999999998</v>
      </c>
      <c r="CY58" s="72">
        <v>0.37</v>
      </c>
      <c r="CZ58" s="70">
        <f t="shared" si="155"/>
        <v>13.308770143568154</v>
      </c>
      <c r="DA58" s="70"/>
      <c r="DB58" s="69">
        <f t="shared" ref="DB58:DB77" si="158">LN(CZ58/CZ57)</f>
        <v>1.5111996983851872E-2</v>
      </c>
      <c r="DC58" s="111">
        <f>VLOOKUP($H58,RoR!$E:$F,2,FALSE)</f>
        <v>5.6666666666666671E-2</v>
      </c>
      <c r="DD58" s="216">
        <f>HLOOKUP($H58,'GDP-PI'!$D$8:$CQ$11,3,FALSE)</f>
        <v>1.8855119140166909E-2</v>
      </c>
      <c r="DE58" s="111">
        <f>VLOOKUP(H58,'HW Dx Data'!$E:$F,2,FALSE)</f>
        <v>369.23301095560191</v>
      </c>
      <c r="DF58" s="72">
        <f>VLOOKUP(G58,EG$8:EH$27,2,FALSE)</f>
        <v>89.25</v>
      </c>
      <c r="DG58" s="69"/>
      <c r="DH58" s="66">
        <f>HLOOKUP(H58,'GDP-PI'!$8:$9,2,FALSE)</f>
        <v>82.566999999999993</v>
      </c>
      <c r="DI58" s="69">
        <f t="shared" ref="DI58:DI77" si="159">LN(DH58/DH57)</f>
        <v>1.8679564681853753E-2</v>
      </c>
      <c r="DJ58" s="160">
        <v>141.38333333333333</v>
      </c>
      <c r="DK58" s="160">
        <v>5.4378205128205126</v>
      </c>
      <c r="DL58" s="160">
        <v>91.349981146304657</v>
      </c>
      <c r="DO58" s="184"/>
      <c r="DP58" s="184"/>
      <c r="DQ58" s="184"/>
      <c r="DR58" s="184"/>
      <c r="DS58" s="184"/>
      <c r="DT58" s="184"/>
      <c r="DU58" s="184"/>
      <c r="DV58" s="184"/>
      <c r="DW58" s="184"/>
      <c r="DX58" s="184"/>
      <c r="EB58">
        <f t="shared" si="154"/>
        <v>2003</v>
      </c>
    </row>
    <row r="59" spans="1:132" s="160" customFormat="1" ht="21">
      <c r="A59" s="160" t="s">
        <v>154</v>
      </c>
      <c r="B59" s="161" t="s">
        <v>154</v>
      </c>
      <c r="C59" s="161">
        <v>4007784</v>
      </c>
      <c r="D59" s="161" t="s">
        <v>155</v>
      </c>
      <c r="E59" s="161"/>
      <c r="F59" s="161"/>
      <c r="G59" s="161" t="s">
        <v>115</v>
      </c>
      <c r="H59" s="162">
        <v>2004</v>
      </c>
      <c r="I59" s="163"/>
      <c r="J59" s="159">
        <f>IFERROR(INDEX('Labor Expenditures'!$F$7:$X$91,MATCH($C59,'Labor Expenditures'!$D$7:$D$91,0),MATCH($G59,'Labor Expenditures'!$F$5:$X$5,0)),"NA")</f>
        <v>43201.859225662985</v>
      </c>
      <c r="K59" s="159">
        <f t="shared" ref="K59:K77" si="160">+J59/DF59</f>
        <v>457.88933996463157</v>
      </c>
      <c r="L59" s="165"/>
      <c r="M59" s="76"/>
      <c r="N59" s="152"/>
      <c r="O59" s="76"/>
      <c r="P59" s="76"/>
      <c r="Q59" s="159">
        <f>IFERROR(INDEX('Non-Labor Expenditures'!$F$7:$AB$91,MATCH($C59,'Non-Labor Expenditures'!$D$7:$D$91,0),MATCH($G59,'Non-Labor Expenditures'!$F$5:$AB$5,0)),"NA")</f>
        <v>62564.361153030353</v>
      </c>
      <c r="R59" s="159">
        <f t="shared" ref="R59:R77" si="161">+Q59/DH59</f>
        <v>737.97873449515612</v>
      </c>
      <c r="S59" s="159"/>
      <c r="T59" s="159"/>
      <c r="U59" s="159"/>
      <c r="V59" s="159"/>
      <c r="W59" s="159">
        <f t="shared" si="142"/>
        <v>53816.362062687862</v>
      </c>
      <c r="X59" s="163"/>
      <c r="Y59" s="167">
        <v>3712.4448698092101</v>
      </c>
      <c r="Z59" s="168">
        <v>1.8066118045627487E-2</v>
      </c>
      <c r="AA59" s="76">
        <f t="shared" ref="AA59:AA77" si="162">+Z59*$AR59</f>
        <v>0</v>
      </c>
      <c r="AB59" s="168"/>
      <c r="AC59" s="168"/>
      <c r="AD59" s="163">
        <f t="shared" si="102"/>
        <v>159582.58244138121</v>
      </c>
      <c r="AE59" s="168"/>
      <c r="AF59" s="163"/>
      <c r="AG59" s="163"/>
      <c r="AH59" s="163"/>
      <c r="AI59" s="163"/>
      <c r="AJ59" s="167"/>
      <c r="AK59" s="168"/>
      <c r="AL59" s="115">
        <f t="shared" ref="AL59:AL77" si="163">+J59/AD59</f>
        <v>0.27071788515223544</v>
      </c>
      <c r="AM59" s="115">
        <f t="shared" ref="AM59:AM77" si="164">+Q59/AD59</f>
        <v>0.39205006082673122</v>
      </c>
      <c r="AN59" s="115">
        <f t="shared" ref="AN59:AN77" si="165">+W59/AD59</f>
        <v>0.33723205402103329</v>
      </c>
      <c r="AO59" s="115"/>
      <c r="AP59" s="115"/>
      <c r="AQ59" s="168"/>
      <c r="AR59" s="79"/>
      <c r="AS59" s="115"/>
      <c r="AT59" s="115"/>
      <c r="AU59" s="115"/>
      <c r="AV59" s="113">
        <f>IFERROR(INDEX('Total Customers'!$F$7:$AB$91,MATCH($C59,'Total Customers'!$D$7:$D$91,0),MATCH($G59,'Total Customers'!$F$5:$AB$5,0)),"NA")</f>
        <v>624862</v>
      </c>
      <c r="AW59" s="68">
        <f t="shared" si="6"/>
        <v>1.1712495296640663E-2</v>
      </c>
      <c r="AX59" s="114"/>
      <c r="AY59" s="114"/>
      <c r="AZ59" s="116"/>
      <c r="BA59" s="116"/>
      <c r="BB59" s="166"/>
      <c r="BC59" s="166"/>
      <c r="BD59" s="166"/>
      <c r="BE59" s="166"/>
      <c r="BF59" s="166"/>
      <c r="BG59" s="166"/>
      <c r="BH59" s="166"/>
      <c r="BI59" s="113"/>
      <c r="BJ59" s="113"/>
      <c r="BK59" s="113">
        <f>INDEX('Dist. Plant Gas Additions'!$F$7:$AE$91,MATCH($C59,'Dist. Plant Gas Additions'!$D$7:$D$91,0),MATCH(Calculation!$G59,'Dist. Plant Gas Additions'!$F$5:$AE$5,0))</f>
        <v>36090</v>
      </c>
      <c r="BL59" s="113">
        <f>INDEX('Gen. Plant Additions'!$F$7:$AE$91,MATCH($C59,'Gen. Plant Additions'!$D$7:$D$91,0),MATCH(Calculation!$G59,'Gen. Plant Additions'!$F$5:$AE$5,0))</f>
        <v>355</v>
      </c>
      <c r="BM59" s="231">
        <f t="shared" si="143"/>
        <v>0.99534649448858026</v>
      </c>
      <c r="BN59" s="61">
        <f t="shared" si="8"/>
        <v>353.34800554344599</v>
      </c>
      <c r="BO59" s="113">
        <f>INDEX('Dist Plant Depreciation'!$E$7:$AD$94,MATCH($C59,'Dist Plant Depreciation'!$D$7:$D$94,0),MATCH(Calculation!$G59,'Dist Plant Depreciation'!$E$5:$AD$5,0))</f>
        <v>314052</v>
      </c>
      <c r="BP59" s="113">
        <f>INDEX('Gen. Plant Depreciation'!$E$7:$AD$94,MATCH($C59,'Gen. Plant Depreciation'!$D$7:$D$94,0),MATCH(Calculation!$G59,'Gen. Plant Depreciation'!$E$5:$AD$5,0))</f>
        <v>-1571</v>
      </c>
      <c r="BQ59" s="175">
        <v>1983</v>
      </c>
      <c r="BR59" s="175">
        <f t="shared" si="67"/>
        <v>36</v>
      </c>
      <c r="BS59" s="170">
        <v>234.20278490735927</v>
      </c>
      <c r="BT59" s="176">
        <f t="shared" si="141"/>
        <v>2.7149321266968326E-2</v>
      </c>
      <c r="BU59" s="177">
        <f t="shared" si="68"/>
        <v>6.3584466490685774</v>
      </c>
      <c r="BV59" s="177"/>
      <c r="BW59" s="113">
        <f>INDEX('Gross Dx Plant'!$E$7:$AD$91,MATCH($C59,'Gross Dx Plant'!$D$7:$D$91,0),MATCH(Calculation!$G59,'Gross Dx Plant'!$E$5:$AD$5,0))</f>
        <v>1025611</v>
      </c>
      <c r="BX59" s="113">
        <f>INDEX('Gross Gen Plant'!$E$7:$AD$91,MATCH($C59,'Gross Gen Plant'!$D$7:$D$91,0),MATCH(Calculation!$G59,'Gross Gen Plant'!$E$5:$AD$5,0))</f>
        <v>4795</v>
      </c>
      <c r="BY59" s="113">
        <f t="shared" si="46"/>
        <v>717925</v>
      </c>
      <c r="BZ59" s="113"/>
      <c r="CA59" s="116">
        <v>2004</v>
      </c>
      <c r="CB59" s="113"/>
      <c r="CC59" s="113"/>
      <c r="CD59" s="113"/>
      <c r="CE59" s="175"/>
      <c r="CF59" s="113">
        <f t="shared" si="144"/>
        <v>36445</v>
      </c>
      <c r="CG59" s="113">
        <f t="shared" si="145"/>
        <v>87.84315534353118</v>
      </c>
      <c r="CH59" s="178">
        <v>0.967741935483871</v>
      </c>
      <c r="CI59" s="61">
        <f>+CI53*CH59+CG54*CH58+CG55*CH57+CG56*CH56+CG57*CH55+CG58*CH54+CG59</f>
        <v>3712.4448698092101</v>
      </c>
      <c r="CJ59" s="114">
        <f t="shared" si="146"/>
        <v>1.8066118045627487E-2</v>
      </c>
      <c r="CK59" s="114"/>
      <c r="CL59" s="169">
        <f t="shared" si="147"/>
        <v>5.8628715874032991E-3</v>
      </c>
      <c r="CM59" s="169">
        <f t="shared" si="156"/>
        <v>5.7411424113210175E-3</v>
      </c>
      <c r="CN59" s="114">
        <f>VLOOKUP($H59,RoR!$E:$F,2,FALSE)</f>
        <v>5.6283333333333331E-2</v>
      </c>
      <c r="CO59" s="169">
        <v>2.6778252812867276E-2</v>
      </c>
      <c r="CP59" s="169">
        <f t="shared" si="153"/>
        <v>2.9505080520466055E-2</v>
      </c>
      <c r="CQ59" s="169">
        <f t="shared" si="157"/>
        <v>2.5160799197212608E-2</v>
      </c>
      <c r="CR59" s="69">
        <v>5.5940039414565046E-2</v>
      </c>
      <c r="CS59" s="179">
        <f t="shared" si="148"/>
        <v>0.85166083209999999</v>
      </c>
      <c r="CT59" s="180">
        <f t="shared" si="149"/>
        <v>0.91114097628755619</v>
      </c>
      <c r="CU59" s="180">
        <f t="shared" si="150"/>
        <v>0.53081877405981637</v>
      </c>
      <c r="CV59" s="180">
        <f t="shared" si="151"/>
        <v>0.88811215519385678</v>
      </c>
      <c r="CW59" s="180">
        <f t="shared" si="152"/>
        <v>0.42953609753547711</v>
      </c>
      <c r="CX59" s="181">
        <f>INDEX('State Tax Lookup'!$D$7:$Z$91,MATCH(Calculation!$C59,'State Tax Lookup'!$B$7:$B$91,0),MATCH($H59,'State Tax Lookup'!$D$6:$Z$6,0))</f>
        <v>0.40091666999999998</v>
      </c>
      <c r="CY59" s="72">
        <v>0.37</v>
      </c>
      <c r="CZ59" s="70">
        <f t="shared" si="155"/>
        <v>14.76047517968466</v>
      </c>
      <c r="DA59" s="70"/>
      <c r="DB59" s="69">
        <f t="shared" si="158"/>
        <v>0.10352978519592416</v>
      </c>
      <c r="DC59" s="111">
        <f>VLOOKUP($H59,RoR!$E:$F,2,FALSE)</f>
        <v>5.6283333333333331E-2</v>
      </c>
      <c r="DD59" s="216">
        <f>HLOOKUP($H59,'GDP-PI'!$D$8:$CQ$11,3,FALSE)</f>
        <v>2.6778252812867276E-2</v>
      </c>
      <c r="DE59" s="111">
        <f>VLOOKUP(H59,'HW Dx Data'!$E:$F,2,FALSE)</f>
        <v>414.88719135228365</v>
      </c>
      <c r="DF59" s="72">
        <f t="shared" ref="DF59:DF77" si="166">VLOOKUP(G59,EG$8:EH$27,2,FALSE)</f>
        <v>94.35</v>
      </c>
      <c r="DG59" s="69">
        <f t="shared" ref="DG59:DG77" si="167">LN(DF59/DF58)</f>
        <v>5.5569851154810786E-2</v>
      </c>
      <c r="DH59" s="66">
        <f>HLOOKUP(H59,'GDP-PI'!$8:$9,2,FALSE)</f>
        <v>84.778000000000006</v>
      </c>
      <c r="DI59" s="69">
        <f t="shared" si="159"/>
        <v>2.6425990216022755E-2</v>
      </c>
      <c r="DQ59" s="184"/>
      <c r="DR59" s="184"/>
      <c r="DS59" s="184"/>
      <c r="DT59" s="184"/>
      <c r="DU59" s="184"/>
      <c r="DV59" s="184"/>
      <c r="DW59" s="184"/>
      <c r="DX59" s="184"/>
      <c r="EB59">
        <f t="shared" si="154"/>
        <v>2004</v>
      </c>
    </row>
    <row r="60" spans="1:132" s="160" customFormat="1" ht="21">
      <c r="A60" s="160" t="s">
        <v>154</v>
      </c>
      <c r="B60" s="161" t="s">
        <v>154</v>
      </c>
      <c r="C60" s="161">
        <v>4007784</v>
      </c>
      <c r="D60" s="161" t="s">
        <v>155</v>
      </c>
      <c r="E60" s="161"/>
      <c r="F60" s="161"/>
      <c r="G60" s="161" t="s">
        <v>116</v>
      </c>
      <c r="H60" s="162">
        <v>2005</v>
      </c>
      <c r="I60" s="163"/>
      <c r="J60" s="159">
        <f>IFERROR(INDEX('Labor Expenditures'!$F$7:$X$91,MATCH($C60,'Labor Expenditures'!$D$7:$D$91,0),MATCH($G60,'Labor Expenditures'!$F$5:$X$5,0)),"NA")</f>
        <v>46839.927463550332</v>
      </c>
      <c r="K60" s="159">
        <f t="shared" si="160"/>
        <v>472.05772198085498</v>
      </c>
      <c r="L60" s="165">
        <f t="shared" ref="L60:L76" si="168">LN(K60/K59)</f>
        <v>3.047373131813972E-2</v>
      </c>
      <c r="M60" s="76"/>
      <c r="N60" s="62">
        <v>100</v>
      </c>
      <c r="O60" s="77"/>
      <c r="P60" s="77"/>
      <c r="Q60" s="159">
        <f>IFERROR(INDEX('Non-Labor Expenditures'!$F$7:$AB$91,MATCH($C60,'Non-Labor Expenditures'!$D$7:$D$91,0),MATCH($G60,'Non-Labor Expenditures'!$F$5:$AB$5,0)),"NA")</f>
        <v>67832.963458908547</v>
      </c>
      <c r="R60" s="159">
        <f t="shared" si="161"/>
        <v>776.05870764250631</v>
      </c>
      <c r="S60" s="165">
        <f>LN(R60/R59)</f>
        <v>5.0313162361976096E-2</v>
      </c>
      <c r="T60" s="165"/>
      <c r="U60" s="165"/>
      <c r="V60" s="165"/>
      <c r="W60" s="159">
        <f t="shared" si="142"/>
        <v>61509.555206409328</v>
      </c>
      <c r="X60" s="163"/>
      <c r="Y60" s="167">
        <v>3781.7143603384834</v>
      </c>
      <c r="Z60" s="168">
        <v>1.8486787161383224E-2</v>
      </c>
      <c r="AA60" s="76">
        <f t="shared" si="162"/>
        <v>0</v>
      </c>
      <c r="AB60" s="168"/>
      <c r="AC60" s="168"/>
      <c r="AD60" s="163">
        <f t="shared" si="102"/>
        <v>176182.44612886821</v>
      </c>
      <c r="AE60" s="168">
        <f>LN(AD60/AD59)</f>
        <v>9.8958537357415083E-2</v>
      </c>
      <c r="AF60" s="163"/>
      <c r="AG60" s="163"/>
      <c r="AH60" s="163"/>
      <c r="AI60" s="163"/>
      <c r="AJ60" s="116"/>
      <c r="AK60" s="114"/>
      <c r="AL60" s="115">
        <f t="shared" si="163"/>
        <v>0.26586035381350864</v>
      </c>
      <c r="AM60" s="115">
        <f t="shared" si="164"/>
        <v>0.38501544818654804</v>
      </c>
      <c r="AN60" s="115">
        <f t="shared" si="165"/>
        <v>0.34912419799994332</v>
      </c>
      <c r="AO60" s="115">
        <f t="shared" ref="AO60:AO76" si="169">+(((AL60+AL59)/2)*L60+((AM59+AM60)/2)*S60+((AN59+AN60)/2)*Z60)</f>
        <v>3.4068343077137936E-2</v>
      </c>
      <c r="AP60" s="166">
        <v>100</v>
      </c>
      <c r="AQ60" s="168"/>
      <c r="AR60" s="16"/>
      <c r="AS60" s="115"/>
      <c r="AT60" s="115"/>
      <c r="AU60" s="115"/>
      <c r="AV60" s="113">
        <f>IFERROR(INDEX('Total Customers'!$F$7:$AB$91,MATCH($C60,'Total Customers'!$D$7:$D$91,0),MATCH($G60,'Total Customers'!$F$5:$AB$5,0)),"NA")</f>
        <v>634057</v>
      </c>
      <c r="AW60" s="68">
        <f t="shared" si="6"/>
        <v>1.4608030402264365E-2</v>
      </c>
      <c r="AX60" s="114"/>
      <c r="AY60" s="114"/>
      <c r="AZ60" s="116"/>
      <c r="BA60" s="116"/>
      <c r="BB60" s="166"/>
      <c r="BC60" s="166"/>
      <c r="BD60" s="166"/>
      <c r="BE60" s="166"/>
      <c r="BF60" s="166"/>
      <c r="BG60" s="166"/>
      <c r="BH60" s="166"/>
      <c r="BI60" s="113"/>
      <c r="BJ60" s="113"/>
      <c r="BK60" s="113">
        <f>INDEX('Dist. Plant Gas Additions'!$F$7:$AE$91,MATCH($C60,'Dist. Plant Gas Additions'!$D$7:$D$91,0),MATCH(Calculation!$G60,'Dist. Plant Gas Additions'!$F$5:$AE$5,0))</f>
        <v>41985</v>
      </c>
      <c r="BL60" s="113">
        <f>INDEX('Gen. Plant Additions'!$F$7:$AE$91,MATCH($C60,'Gen. Plant Additions'!$D$7:$D$91,0),MATCH(Calculation!$G60,'Gen. Plant Additions'!$F$5:$AE$5,0))</f>
        <v>1078</v>
      </c>
      <c r="BM60" s="231">
        <f t="shared" si="143"/>
        <v>0.99446760358142916</v>
      </c>
      <c r="BN60" s="61">
        <f t="shared" si="8"/>
        <v>1072.0360766607807</v>
      </c>
      <c r="BO60" s="113">
        <f>INDEX('Dist Plant Depreciation'!$E$7:$AD$94,MATCH($C60,'Dist Plant Depreciation'!$D$7:$D$94,0),MATCH(Calculation!$G60,'Dist Plant Depreciation'!$E$5:$AD$5,0))</f>
        <v>325566</v>
      </c>
      <c r="BP60" s="113">
        <f>INDEX('Gen. Plant Depreciation'!$E$7:$AD$94,MATCH($C60,'Gen. Plant Depreciation'!$D$7:$D$94,0),MATCH(Calculation!$G60,'Gen. Plant Depreciation'!$E$5:$AD$5,0))</f>
        <v>853</v>
      </c>
      <c r="BQ60" s="175">
        <v>1984</v>
      </c>
      <c r="BR60" s="175">
        <f t="shared" si="67"/>
        <v>37</v>
      </c>
      <c r="BS60" s="170">
        <v>239.28187782322669</v>
      </c>
      <c r="BT60" s="176">
        <f t="shared" si="141"/>
        <v>2.790346907993967E-2</v>
      </c>
      <c r="BU60" s="177">
        <f t="shared" si="68"/>
        <v>6.676794479230308</v>
      </c>
      <c r="BV60" s="177"/>
      <c r="BW60" s="113">
        <f>INDEX('Gross Dx Plant'!$E$7:$AD$91,MATCH($C60,'Gross Dx Plant'!$D$7:$D$91,0),MATCH(Calculation!$G60,'Gross Dx Plant'!$E$5:$AD$5,0))</f>
        <v>1053715</v>
      </c>
      <c r="BX60" s="113">
        <f>INDEX('Gross Gen Plant'!$E$7:$AD$91,MATCH($C60,'Gross Gen Plant'!$D$7:$D$91,0),MATCH(Calculation!$G60,'Gross Gen Plant'!$E$5:$AD$5,0))</f>
        <v>5862</v>
      </c>
      <c r="BY60" s="113">
        <f t="shared" si="46"/>
        <v>733158</v>
      </c>
      <c r="BZ60" s="113"/>
      <c r="CA60" s="116">
        <v>2005</v>
      </c>
      <c r="CB60" s="113"/>
      <c r="CC60" s="113"/>
      <c r="CD60" s="113"/>
      <c r="CE60" s="175"/>
      <c r="CF60" s="113">
        <f t="shared" si="144"/>
        <v>43063</v>
      </c>
      <c r="CG60" s="113">
        <f t="shared" si="145"/>
        <v>91.778619407144575</v>
      </c>
      <c r="CH60" s="178">
        <v>0.96174863387978138</v>
      </c>
      <c r="CI60" s="61">
        <f>+CI53*CH60+CG54*CH59+CG55*CH58+CG56*CH57+CG57*CH56+CG58*CH55+CG59*CH54+CG60</f>
        <v>3781.7143603384834</v>
      </c>
      <c r="CJ60" s="114">
        <f t="shared" si="146"/>
        <v>1.8486787161383224E-2</v>
      </c>
      <c r="CK60" s="114"/>
      <c r="CL60" s="169">
        <f t="shared" si="147"/>
        <v>6.0631550547518478E-3</v>
      </c>
      <c r="CM60" s="169">
        <f t="shared" si="156"/>
        <v>5.8662307517753989E-3</v>
      </c>
      <c r="CN60" s="114">
        <f>VLOOKUP($H60,RoR!$E:$F,2,FALSE)</f>
        <v>5.2350000000000001E-2</v>
      </c>
      <c r="CO60" s="169">
        <v>3.1010403642454332E-2</v>
      </c>
      <c r="CP60" s="169">
        <f t="shared" si="153"/>
        <v>2.1339596357545669E-2</v>
      </c>
      <c r="CQ60" s="169">
        <f t="shared" si="157"/>
        <v>2.5035710856758226E-2</v>
      </c>
      <c r="CR60" s="69">
        <v>9.2129610649277341E-2</v>
      </c>
      <c r="CS60" s="179">
        <f t="shared" si="148"/>
        <v>0.85166083209999999</v>
      </c>
      <c r="CT60" s="180">
        <f t="shared" si="149"/>
        <v>0.97959983346802826</v>
      </c>
      <c r="CU60" s="180">
        <f t="shared" si="150"/>
        <v>0.49744508118433622</v>
      </c>
      <c r="CV60" s="180">
        <f t="shared" si="151"/>
        <v>0.87010519444335932</v>
      </c>
      <c r="CW60" s="180">
        <f t="shared" si="152"/>
        <v>0.42399975420741998</v>
      </c>
      <c r="CX60" s="181">
        <f>INDEX('State Tax Lookup'!$D$7:$Z$91,MATCH(Calculation!$C60,'State Tax Lookup'!$B$7:$B$91,0),MATCH($H60,'State Tax Lookup'!$D$6:$Z$6,0))</f>
        <v>0.40091666999999998</v>
      </c>
      <c r="CY60" s="72">
        <v>0.37</v>
      </c>
      <c r="CZ60" s="70">
        <f t="shared" si="155"/>
        <v>16.568476398565462</v>
      </c>
      <c r="DA60" s="70"/>
      <c r="DB60" s="69">
        <f t="shared" si="158"/>
        <v>0.11554886541862586</v>
      </c>
      <c r="DC60" s="111">
        <f>VLOOKUP($H60,RoR!$E:$F,2,FALSE)</f>
        <v>5.2350000000000001E-2</v>
      </c>
      <c r="DD60" s="216">
        <f>HLOOKUP($H60,'GDP-PI'!$D$8:$CQ$11,3,FALSE)</f>
        <v>3.1010403642454332E-2</v>
      </c>
      <c r="DE60" s="111">
        <f>VLOOKUP(H60,'HW Dx Data'!$E:$F,2,FALSE)</f>
        <v>469.20514034936258</v>
      </c>
      <c r="DF60" s="72">
        <f t="shared" si="166"/>
        <v>99.224999999999994</v>
      </c>
      <c r="DG60" s="69">
        <f t="shared" si="167"/>
        <v>5.0378726854569796E-2</v>
      </c>
      <c r="DH60" s="66">
        <f>HLOOKUP(H60,'GDP-PI'!$8:$9,2,FALSE)</f>
        <v>87.406999999999996</v>
      </c>
      <c r="DI60" s="69">
        <f t="shared" si="159"/>
        <v>3.0539295810733648E-2</v>
      </c>
      <c r="DQ60" s="184"/>
      <c r="DR60" s="184"/>
      <c r="DS60" s="184"/>
      <c r="DT60" s="184"/>
      <c r="DU60" s="184"/>
      <c r="DV60" s="184"/>
      <c r="DW60" s="184"/>
      <c r="DX60" s="184"/>
      <c r="EB60">
        <f t="shared" si="154"/>
        <v>2005</v>
      </c>
    </row>
    <row r="61" spans="1:132" s="160" customFormat="1" ht="21">
      <c r="A61" s="160" t="s">
        <v>154</v>
      </c>
      <c r="B61" s="161" t="s">
        <v>154</v>
      </c>
      <c r="C61" s="161">
        <v>4007784</v>
      </c>
      <c r="D61" s="161" t="s">
        <v>155</v>
      </c>
      <c r="E61" s="161"/>
      <c r="F61" s="161"/>
      <c r="G61" s="161" t="s">
        <v>117</v>
      </c>
      <c r="H61" s="162">
        <v>2006</v>
      </c>
      <c r="I61" s="163"/>
      <c r="J61" s="159">
        <f>IFERROR(INDEX('Labor Expenditures'!$F$7:$X$91,MATCH($C61,'Labor Expenditures'!$D$7:$D$91,0),MATCH($G61,'Labor Expenditures'!$F$5:$X$5,0)),"NA")</f>
        <v>49841.86531905859</v>
      </c>
      <c r="K61" s="159">
        <f t="shared" si="160"/>
        <v>455.59291882137649</v>
      </c>
      <c r="L61" s="165">
        <f t="shared" si="168"/>
        <v>-3.5501581522829097E-2</v>
      </c>
      <c r="M61" s="76">
        <f t="shared" ref="M61:M77" si="170">+L61*$AR61</f>
        <v>-8.1694715630350708E-4</v>
      </c>
      <c r="N61" s="62">
        <f>+N60*EXP(O61)</f>
        <v>90.211911957546135</v>
      </c>
      <c r="O61" s="96">
        <f t="shared" ref="O61:O77" si="171">+M61+M86+M111+M136+M161+M186+M211+M236+M261+M286+M311+M336+M361+M386+M411+M436+M461+M486+M511+M536+M561+M586+M611+M636+M661+M686+M711+M736+M761+M786+M811+M836+M861+M886+M911+M936+M961+M986+M1011+M1036+M1061+M1086+M1111+M1136+M1161+M1186+M1211+M1236+M1261+M1286+M1311+M1336+M1361+M1386</f>
        <v>-0.1030087060252871</v>
      </c>
      <c r="P61" s="96"/>
      <c r="Q61" s="159">
        <f>IFERROR(INDEX('Non-Labor Expenditures'!$F$7:$AB$91,MATCH($C61,'Non-Labor Expenditures'!$D$7:$D$91,0),MATCH($G61,'Non-Labor Expenditures'!$F$5:$AB$5,0)),"NA")</f>
        <v>72180.330158335346</v>
      </c>
      <c r="R61" s="159">
        <f t="shared" si="161"/>
        <v>801.34478493611198</v>
      </c>
      <c r="S61" s="165">
        <f t="shared" ref="S61:S76" si="172">LN(R61/R60)</f>
        <v>3.2063126070468254E-2</v>
      </c>
      <c r="T61" s="165">
        <f t="shared" ref="T61:T77" si="173">+S61*AR61</f>
        <v>7.3782289525963927E-4</v>
      </c>
      <c r="U61" s="165"/>
      <c r="V61" s="165"/>
      <c r="W61" s="159">
        <f t="shared" si="142"/>
        <v>61141.300050988335</v>
      </c>
      <c r="X61" s="163"/>
      <c r="Y61" s="167">
        <v>3847.2287915439306</v>
      </c>
      <c r="Z61" s="168">
        <v>1.717565342225064E-2</v>
      </c>
      <c r="AA61" s="76">
        <f t="shared" si="162"/>
        <v>3.952387645586807E-4</v>
      </c>
      <c r="AB61" s="168"/>
      <c r="AC61" s="168"/>
      <c r="AD61" s="163">
        <f t="shared" si="102"/>
        <v>183163.49552838228</v>
      </c>
      <c r="AE61" s="168">
        <f t="shared" ref="AE61:AE77" si="174">LN(AD61/AD60)</f>
        <v>3.8859088323889832E-2</v>
      </c>
      <c r="AF61" s="163"/>
      <c r="AG61" s="163"/>
      <c r="AH61" s="163"/>
      <c r="AI61" s="163"/>
      <c r="AJ61" s="116">
        <f t="shared" ref="AJ61:AJ77" si="175">+(AD61*1000)/AV61</f>
        <v>285.93428059362276</v>
      </c>
      <c r="AK61" s="114">
        <f>+AV61/$AX$11</f>
        <v>1.8470364372607385E-2</v>
      </c>
      <c r="AL61" s="115">
        <f t="shared" si="163"/>
        <v>0.27211680567286017</v>
      </c>
      <c r="AM61" s="115">
        <f t="shared" si="164"/>
        <v>0.39407595902290787</v>
      </c>
      <c r="AN61" s="115">
        <f t="shared" si="165"/>
        <v>0.3338072353042319</v>
      </c>
      <c r="AO61" s="115">
        <f t="shared" si="169"/>
        <v>8.8054298172216688E-3</v>
      </c>
      <c r="AP61" s="166">
        <f>+AP60*EXP(AO61)</f>
        <v>100.88443116543257</v>
      </c>
      <c r="AQ61" s="168">
        <f>LN(AP61/AP60)</f>
        <v>8.8054298172216723E-3</v>
      </c>
      <c r="AR61" s="69">
        <f>+AD61/$AF$11</f>
        <v>2.3011570788140062E-2</v>
      </c>
      <c r="AS61" s="169">
        <f>+AR61*AQ61</f>
        <v>2.0262677155899572E-4</v>
      </c>
      <c r="AT61" s="115"/>
      <c r="AU61" s="115"/>
      <c r="AV61" s="113">
        <f>IFERROR(INDEX('Total Customers'!$F$7:$AB$91,MATCH($C61,'Total Customers'!$D$7:$D$91,0),MATCH($G61,'Total Customers'!$F$5:$AB$5,0)),"NA")</f>
        <v>640579</v>
      </c>
      <c r="AW61" s="68">
        <f t="shared" si="6"/>
        <v>1.0233599111873617E-2</v>
      </c>
      <c r="AX61" s="114"/>
      <c r="AY61" s="114"/>
      <c r="AZ61" s="116"/>
      <c r="BA61" s="116"/>
      <c r="BB61" s="166"/>
      <c r="BC61" s="166"/>
      <c r="BD61" s="166"/>
      <c r="BE61" s="166"/>
      <c r="BF61" s="166"/>
      <c r="BG61" s="166"/>
      <c r="BH61" s="166"/>
      <c r="BI61" s="113"/>
      <c r="BJ61" s="113"/>
      <c r="BK61" s="113">
        <f>INDEX('Dist. Plant Gas Additions'!$F$7:$AE$91,MATCH($C61,'Dist. Plant Gas Additions'!$D$7:$D$91,0),MATCH(Calculation!$G61,'Dist. Plant Gas Additions'!$F$5:$AE$5,0))</f>
        <v>40545</v>
      </c>
      <c r="BL61" s="113">
        <f>INDEX('Gen. Plant Additions'!$F$7:$AE$91,MATCH($C61,'Gen. Plant Additions'!$D$7:$D$91,0),MATCH(Calculation!$G61,'Gen. Plant Additions'!$F$5:$AE$5,0))</f>
        <v>595</v>
      </c>
      <c r="BM61" s="231">
        <f t="shared" si="143"/>
        <v>0.99406203710170071</v>
      </c>
      <c r="BN61" s="61">
        <f t="shared" si="8"/>
        <v>591.46691207551191</v>
      </c>
      <c r="BO61" s="113">
        <f>INDEX('Dist Plant Depreciation'!$E$7:$AD$94,MATCH($C61,'Dist Plant Depreciation'!$D$7:$D$94,0),MATCH(Calculation!$G61,'Dist Plant Depreciation'!$E$5:$AD$5,0))</f>
        <v>342124</v>
      </c>
      <c r="BP61" s="113">
        <f>INDEX('Gen. Plant Depreciation'!$E$7:$AD$94,MATCH($C61,'Gen. Plant Depreciation'!$D$7:$D$94,0),MATCH(Calculation!$G61,'Gen. Plant Depreciation'!$E$5:$AD$5,0))</f>
        <v>1127</v>
      </c>
      <c r="BQ61" s="175">
        <v>1985</v>
      </c>
      <c r="BR61" s="175">
        <f t="shared" si="67"/>
        <v>38</v>
      </c>
      <c r="BS61" s="170">
        <v>240.48972643171925</v>
      </c>
      <c r="BT61" s="176">
        <f t="shared" si="141"/>
        <v>2.8657616892911009E-2</v>
      </c>
      <c r="BU61" s="177">
        <f t="shared" si="68"/>
        <v>6.8918624467611851</v>
      </c>
      <c r="BV61" s="177"/>
      <c r="BW61" s="113">
        <f>INDEX('Gross Dx Plant'!$E$7:$AD$91,MATCH($C61,'Gross Dx Plant'!$D$7:$D$91,0),MATCH(Calculation!$G61,'Gross Dx Plant'!$E$5:$AD$5,0))</f>
        <v>1081790</v>
      </c>
      <c r="BX61" s="113">
        <f>INDEX('Gross Gen Plant'!$E$7:$AD$91,MATCH($C61,'Gross Gen Plant'!$D$7:$D$91,0),MATCH(Calculation!$G61,'Gross Gen Plant'!$E$5:$AD$5,0))</f>
        <v>6462</v>
      </c>
      <c r="BY61" s="113">
        <f t="shared" si="46"/>
        <v>745001</v>
      </c>
      <c r="BZ61" s="114"/>
      <c r="CA61" s="116">
        <v>2006</v>
      </c>
      <c r="CB61" s="113"/>
      <c r="CC61" s="113"/>
      <c r="CD61" s="113"/>
      <c r="CE61" s="175"/>
      <c r="CF61" s="113">
        <f t="shared" si="144"/>
        <v>41140</v>
      </c>
      <c r="CG61" s="113">
        <f t="shared" si="145"/>
        <v>89.224199391065611</v>
      </c>
      <c r="CH61" s="178">
        <v>0.9555555555555556</v>
      </c>
      <c r="CI61" s="61">
        <f>+CI53*CH61+CG54*CH60+CG55*CH59+CG56*CH58+CG57*CH57+CG58*CH56+CG59*CH55+CG60*CH54+CG61</f>
        <v>3847.2287915439306</v>
      </c>
      <c r="CJ61" s="114">
        <f t="shared" si="146"/>
        <v>1.717565342225064E-2</v>
      </c>
      <c r="CK61" s="114"/>
      <c r="CL61" s="169">
        <f t="shared" si="147"/>
        <v>6.2695819743234862E-3</v>
      </c>
      <c r="CM61" s="169">
        <f t="shared" si="156"/>
        <v>6.0652028721595447E-3</v>
      </c>
      <c r="CN61" s="114">
        <f>VLOOKUP($H61,RoR!$E:$F,2,FALSE)</f>
        <v>5.5874999999999994E-2</v>
      </c>
      <c r="CO61" s="169">
        <v>3.0512430354548314E-2</v>
      </c>
      <c r="CP61" s="169">
        <f t="shared" si="153"/>
        <v>2.536256964545168E-2</v>
      </c>
      <c r="CQ61" s="169">
        <f t="shared" si="157"/>
        <v>2.483673873637408E-2</v>
      </c>
      <c r="CR61" s="69">
        <v>7.9087823893859641E-2</v>
      </c>
      <c r="CS61" s="179">
        <f t="shared" si="148"/>
        <v>0.85166083209999999</v>
      </c>
      <c r="CT61" s="180">
        <f t="shared" si="149"/>
        <v>0.91779957551769631</v>
      </c>
      <c r="CU61" s="180">
        <f t="shared" si="150"/>
        <v>0.52757270693512304</v>
      </c>
      <c r="CV61" s="180">
        <f t="shared" si="151"/>
        <v>0.88636824549024895</v>
      </c>
      <c r="CW61" s="180">
        <f t="shared" si="152"/>
        <v>0.42918482841932087</v>
      </c>
      <c r="CX61" s="181">
        <f>INDEX('State Tax Lookup'!$D$7:$Z$91,MATCH(Calculation!$C61,'State Tax Lookup'!$B$7:$B$91,0),MATCH($H61,'State Tax Lookup'!$D$6:$Z$6,0))</f>
        <v>0.40091666999999998</v>
      </c>
      <c r="CY61" s="72">
        <v>0.37</v>
      </c>
      <c r="CZ61" s="70">
        <f t="shared" si="155"/>
        <v>16.167614532768642</v>
      </c>
      <c r="DA61" s="70">
        <v>14.788696346247992</v>
      </c>
      <c r="DB61" s="69">
        <f t="shared" si="158"/>
        <v>-2.4491739368808066E-2</v>
      </c>
      <c r="DC61" s="111">
        <f>VLOOKUP($H61,RoR!$E:$F,2,FALSE)</f>
        <v>5.5874999999999994E-2</v>
      </c>
      <c r="DD61" s="216">
        <f>HLOOKUP($H61,'GDP-PI'!$D$8:$CQ$11,3,FALSE)</f>
        <v>3.0512430354548314E-2</v>
      </c>
      <c r="DE61" s="111">
        <f>VLOOKUP(H61,'HW Dx Data'!$E:$F,2,FALSE)</f>
        <v>461.08567272971823</v>
      </c>
      <c r="DF61" s="72">
        <f t="shared" si="166"/>
        <v>109.4</v>
      </c>
      <c r="DG61" s="69">
        <f t="shared" si="167"/>
        <v>9.7620891318751846E-2</v>
      </c>
      <c r="DH61" s="66">
        <f>HLOOKUP(H61,'GDP-PI'!$8:$9,2,FALSE)</f>
        <v>90.073999999999998</v>
      </c>
      <c r="DI61" s="69">
        <f t="shared" si="159"/>
        <v>3.005618372545445E-2</v>
      </c>
      <c r="DJ61" s="160" t="s">
        <v>156</v>
      </c>
      <c r="DM61" s="184">
        <v>4.4168460319272433E-3</v>
      </c>
      <c r="DN61" s="184">
        <v>1.0061157705322845E-2</v>
      </c>
      <c r="DO61" s="184"/>
      <c r="DP61" s="184">
        <f>SUM(DP3:DP57)</f>
        <v>3.3528360240620399E-2</v>
      </c>
      <c r="DQ61" s="184"/>
      <c r="DR61" s="184">
        <f>SUM(DR3:DR57)</f>
        <v>2.7017656452314409E-2</v>
      </c>
      <c r="DS61" s="184"/>
      <c r="DT61" s="184">
        <f>SUM(DT3:DT57)</f>
        <v>2.3893279692741409E-2</v>
      </c>
      <c r="DU61" s="184"/>
      <c r="DV61" s="184">
        <f>SUM(DV3:DV57)</f>
        <v>1.9283373082237022E-2</v>
      </c>
      <c r="DW61" s="184"/>
      <c r="DX61" s="184">
        <f>SUM(DX3:DX57)</f>
        <v>1.4301800920388762E-2</v>
      </c>
      <c r="EB61">
        <f t="shared" si="154"/>
        <v>2006</v>
      </c>
    </row>
    <row r="62" spans="1:132" s="160" customFormat="1" ht="21">
      <c r="A62" s="160" t="s">
        <v>154</v>
      </c>
      <c r="B62" s="161" t="s">
        <v>154</v>
      </c>
      <c r="C62" s="161">
        <v>4007784</v>
      </c>
      <c r="D62" s="161" t="s">
        <v>155</v>
      </c>
      <c r="E62" s="161"/>
      <c r="F62" s="161"/>
      <c r="G62" s="161" t="s">
        <v>118</v>
      </c>
      <c r="H62" s="162">
        <v>2007</v>
      </c>
      <c r="I62" s="163"/>
      <c r="J62" s="159">
        <f>IFERROR(INDEX('Labor Expenditures'!$F$7:$X$91,MATCH($C62,'Labor Expenditures'!$D$7:$D$91,0),MATCH($G62,'Labor Expenditures'!$F$5:$X$5,0)),"NA")</f>
        <v>54499.533796756485</v>
      </c>
      <c r="K62" s="159">
        <f t="shared" si="160"/>
        <v>521.4019019063046</v>
      </c>
      <c r="L62" s="165">
        <f t="shared" si="168"/>
        <v>0.13492146026621671</v>
      </c>
      <c r="M62" s="76">
        <f t="shared" si="170"/>
        <v>3.2119839452292645E-3</v>
      </c>
      <c r="N62" s="62">
        <f t="shared" ref="N62:N75" si="176">+N61*EXP(O62)</f>
        <v>97.437677440205562</v>
      </c>
      <c r="O62" s="96">
        <f t="shared" si="171"/>
        <v>7.7051487920427666E-2</v>
      </c>
      <c r="P62" s="96"/>
      <c r="Q62" s="159">
        <f>IFERROR(INDEX('Non-Labor Expenditures'!$F$7:$AB$91,MATCH($C62,'Non-Labor Expenditures'!$D$7:$D$91,0),MATCH($G62,'Non-Labor Expenditures'!$F$5:$AB$5,0)),"NA")</f>
        <v>78925.504046515489</v>
      </c>
      <c r="R62" s="159">
        <f t="shared" si="161"/>
        <v>853.26714141403579</v>
      </c>
      <c r="S62" s="165">
        <f t="shared" si="172"/>
        <v>6.2781379570926457E-2</v>
      </c>
      <c r="T62" s="165">
        <f t="shared" si="173"/>
        <v>1.4945938388398292E-3</v>
      </c>
      <c r="U62" s="165"/>
      <c r="V62" s="165"/>
      <c r="W62" s="159">
        <f t="shared" si="142"/>
        <v>66732.492111658867</v>
      </c>
      <c r="X62" s="163"/>
      <c r="Y62" s="167">
        <v>3904.2780619420892</v>
      </c>
      <c r="Z62" s="168">
        <v>1.4719796178031588E-2</v>
      </c>
      <c r="AA62" s="76">
        <f t="shared" si="162"/>
        <v>3.5042423130905758E-4</v>
      </c>
      <c r="AB62" s="168"/>
      <c r="AC62" s="168"/>
      <c r="AD62" s="163">
        <f t="shared" si="102"/>
        <v>200157.52995493083</v>
      </c>
      <c r="AE62" s="168">
        <f t="shared" si="174"/>
        <v>8.8725534120573393E-2</v>
      </c>
      <c r="AF62" s="163"/>
      <c r="AG62" s="163"/>
      <c r="AH62" s="163"/>
      <c r="AI62" s="163"/>
      <c r="AJ62" s="116">
        <f t="shared" si="175"/>
        <v>309.75219202355174</v>
      </c>
      <c r="AK62" s="114">
        <f>+AV62/$AX$12</f>
        <v>1.8491753892717289E-2</v>
      </c>
      <c r="AL62" s="115">
        <f t="shared" si="163"/>
        <v>0.2722832051785814</v>
      </c>
      <c r="AM62" s="115">
        <f t="shared" si="164"/>
        <v>0.39431693658633293</v>
      </c>
      <c r="AN62" s="115">
        <f t="shared" si="165"/>
        <v>0.33339985823508572</v>
      </c>
      <c r="AO62" s="115">
        <f t="shared" si="169"/>
        <v>6.6384395244360933E-2</v>
      </c>
      <c r="AP62" s="166">
        <f>+AP61*EXP(AO62)</f>
        <v>107.80887797311793</v>
      </c>
      <c r="AQ62" s="168">
        <f>LN(AP62/AP61)</f>
        <v>6.6384395244360891E-2</v>
      </c>
      <c r="AR62" s="69">
        <f>+AD62/$AF$12</f>
        <v>2.3806323611467169E-2</v>
      </c>
      <c r="AS62" s="169">
        <f>+AR62*AQ62</f>
        <v>1.5803683959387976E-3</v>
      </c>
      <c r="AT62" s="115"/>
      <c r="AU62" s="115"/>
      <c r="AV62" s="113">
        <f>IFERROR(INDEX('Total Customers'!$F$7:$AB$91,MATCH($C62,'Total Customers'!$D$7:$D$91,0),MATCH($G62,'Total Customers'!$F$5:$AB$5,0)),"NA")</f>
        <v>646186</v>
      </c>
      <c r="AW62" s="68">
        <f t="shared" si="6"/>
        <v>8.7149331659171752E-3</v>
      </c>
      <c r="AX62" s="114"/>
      <c r="AY62" s="114"/>
      <c r="AZ62" s="116"/>
      <c r="BA62" s="116"/>
      <c r="BB62" s="166"/>
      <c r="BC62" s="166"/>
      <c r="BD62" s="166"/>
      <c r="BE62" s="166"/>
      <c r="BF62" s="166"/>
      <c r="BG62" s="166"/>
      <c r="BH62" s="166"/>
      <c r="BI62" s="113"/>
      <c r="BJ62" s="113"/>
      <c r="BK62" s="113">
        <f>INDEX('Dist. Plant Gas Additions'!$F$7:$AE$91,MATCH($C62,'Dist. Plant Gas Additions'!$D$7:$D$91,0),MATCH(Calculation!$G62,'Dist. Plant Gas Additions'!$F$5:$AE$5,0))</f>
        <v>40267</v>
      </c>
      <c r="BL62" s="113">
        <f>INDEX('Gen. Plant Additions'!$F$7:$AE$91,MATCH($C62,'Gen. Plant Additions'!$D$7:$D$91,0),MATCH(Calculation!$G62,'Gen. Plant Additions'!$F$5:$AE$5,0))</f>
        <v>570</v>
      </c>
      <c r="BM62" s="231">
        <f t="shared" si="143"/>
        <v>0.99372053709600749</v>
      </c>
      <c r="BN62" s="61">
        <f t="shared" si="8"/>
        <v>566.42070614472425</v>
      </c>
      <c r="BO62" s="113">
        <f>INDEX('Dist Plant Depreciation'!$E$7:$AD$94,MATCH($C62,'Dist Plant Depreciation'!$D$7:$D$94,0),MATCH(Calculation!$G62,'Dist Plant Depreciation'!$E$5:$AD$5,0))</f>
        <v>362463</v>
      </c>
      <c r="BP62" s="113">
        <f>INDEX('Gen. Plant Depreciation'!$E$7:$AD$94,MATCH($C62,'Gen. Plant Depreciation'!$D$7:$D$94,0),MATCH(Calculation!$G62,'Gen. Plant Depreciation'!$E$5:$AD$5,0))</f>
        <v>1488</v>
      </c>
      <c r="BQ62" s="175">
        <v>1986</v>
      </c>
      <c r="BR62" s="175">
        <f t="shared" si="67"/>
        <v>39</v>
      </c>
      <c r="BS62" s="170">
        <v>236.30996622718544</v>
      </c>
      <c r="BT62" s="176">
        <f t="shared" si="141"/>
        <v>2.9411764705882353E-2</v>
      </c>
      <c r="BU62" s="177">
        <f t="shared" si="68"/>
        <v>6.9502931243289838</v>
      </c>
      <c r="BV62" s="177"/>
      <c r="BW62" s="113">
        <f>INDEX('Gross Dx Plant'!$E$7:$AD$91,MATCH($C62,'Gross Dx Plant'!$D$7:$D$91,0),MATCH(Calculation!$G62,'Gross Dx Plant'!$E$5:$AD$5,0))</f>
        <v>1112176</v>
      </c>
      <c r="BX62" s="113">
        <f>INDEX('Gross Gen Plant'!$E$7:$AD$91,MATCH($C62,'Gross Gen Plant'!$D$7:$D$91,0),MATCH(Calculation!$G62,'Gross Gen Plant'!$E$5:$AD$5,0))</f>
        <v>7028</v>
      </c>
      <c r="BY62" s="113">
        <f t="shared" si="46"/>
        <v>755253</v>
      </c>
      <c r="BZ62" s="113"/>
      <c r="CA62" s="116">
        <v>2007</v>
      </c>
      <c r="CB62" s="113"/>
      <c r="CC62" s="113"/>
      <c r="CD62" s="113"/>
      <c r="CE62" s="175"/>
      <c r="CF62" s="113">
        <f t="shared" si="144"/>
        <v>40837</v>
      </c>
      <c r="CG62" s="113">
        <f t="shared" si="145"/>
        <v>81.998333670781747</v>
      </c>
      <c r="CH62" s="178">
        <v>0.94915254237288138</v>
      </c>
      <c r="CI62" s="61">
        <f>+CI53*CH62+CG54*CH61+CG55*CH60+CG56*CH59+CG57*CH58+CG58*CH57+CG59*CH56+CG60*CH55+CG61*CH54+CG62</f>
        <v>3904.2780619420892</v>
      </c>
      <c r="CJ62" s="114">
        <f t="shared" si="146"/>
        <v>1.4719796178031588E-2</v>
      </c>
      <c r="CK62" s="114"/>
      <c r="CL62" s="169">
        <f t="shared" si="147"/>
        <v>6.4849440011106995E-3</v>
      </c>
      <c r="CM62" s="169">
        <f t="shared" si="156"/>
        <v>6.2725603433953442E-3</v>
      </c>
      <c r="CN62" s="114">
        <f>VLOOKUP($H62,RoR!$E:$F,2,FALSE)</f>
        <v>5.5558333333333321E-2</v>
      </c>
      <c r="CO62" s="169">
        <v>2.691120634145272E-2</v>
      </c>
      <c r="CP62" s="169">
        <f t="shared" si="153"/>
        <v>2.86471269918806E-2</v>
      </c>
      <c r="CQ62" s="169">
        <f t="shared" si="157"/>
        <v>2.4629381265138282E-2</v>
      </c>
      <c r="CR62" s="69">
        <v>6.4575155250632399E-2</v>
      </c>
      <c r="CS62" s="179">
        <f t="shared" si="148"/>
        <v>0.85166083209999999</v>
      </c>
      <c r="CT62" s="180">
        <f t="shared" si="149"/>
        <v>0.92303077153834634</v>
      </c>
      <c r="CU62" s="180">
        <f t="shared" si="150"/>
        <v>0.52502249887505614</v>
      </c>
      <c r="CV62" s="180">
        <f t="shared" si="151"/>
        <v>0.88499666072084604</v>
      </c>
      <c r="CW62" s="180">
        <f t="shared" si="152"/>
        <v>0.42887993290280618</v>
      </c>
      <c r="CX62" s="181">
        <f>INDEX('State Tax Lookup'!$D$7:$Z$91,MATCH(Calculation!$C62,'State Tax Lookup'!$B$7:$B$91,0),MATCH($H62,'State Tax Lookup'!$D$6:$Z$6,0))</f>
        <v>0.40091666999999998</v>
      </c>
      <c r="CY62" s="72">
        <v>0.37</v>
      </c>
      <c r="CZ62" s="70">
        <f t="shared" si="155"/>
        <v>17.345600100086187</v>
      </c>
      <c r="DA62" s="70">
        <v>16.108943221861779</v>
      </c>
      <c r="DB62" s="69">
        <f t="shared" si="158"/>
        <v>7.0328739245500094E-2</v>
      </c>
      <c r="DC62" s="111">
        <f>VLOOKUP($H62,RoR!$E:$F,2,FALSE)</f>
        <v>5.5558333333333321E-2</v>
      </c>
      <c r="DD62" s="216">
        <f>HLOOKUP($H62,'GDP-PI'!$D$8:$CQ$11,3,FALSE)</f>
        <v>2.691120634145272E-2</v>
      </c>
      <c r="DE62" s="111">
        <f>VLOOKUP(H62,'HW Dx Data'!$E:$F,2,FALSE)</f>
        <v>498.0223154772637</v>
      </c>
      <c r="DF62" s="72">
        <f t="shared" si="166"/>
        <v>104.52499999999999</v>
      </c>
      <c r="DG62" s="69">
        <f t="shared" si="167"/>
        <v>-4.5584612745252218E-2</v>
      </c>
      <c r="DH62" s="66">
        <f>HLOOKUP(H62,'GDP-PI'!$8:$9,2,FALSE)</f>
        <v>92.498000000000005</v>
      </c>
      <c r="DI62" s="69">
        <f t="shared" si="159"/>
        <v>2.6555467950038037E-2</v>
      </c>
      <c r="DJ62" s="160" t="s">
        <v>157</v>
      </c>
      <c r="DM62" s="184">
        <v>9.164955516249029E-4</v>
      </c>
      <c r="DN62" s="184">
        <v>2.9428886288069317E-3</v>
      </c>
      <c r="DO62" s="184"/>
      <c r="DP62" s="184">
        <f>+DP61*0.5</f>
        <v>1.6764180120310199E-2</v>
      </c>
      <c r="DQ62" s="184"/>
      <c r="DR62" s="184"/>
      <c r="DS62" s="184"/>
      <c r="DT62" s="184"/>
      <c r="DU62" s="184"/>
      <c r="DV62" s="184"/>
      <c r="DW62" s="184"/>
      <c r="DX62" s="184"/>
      <c r="EB62">
        <f t="shared" si="154"/>
        <v>2007</v>
      </c>
    </row>
    <row r="63" spans="1:132" s="160" customFormat="1" ht="21">
      <c r="A63" s="160" t="s">
        <v>154</v>
      </c>
      <c r="B63" s="161" t="s">
        <v>154</v>
      </c>
      <c r="C63" s="161">
        <v>4007784</v>
      </c>
      <c r="D63" s="161" t="s">
        <v>155</v>
      </c>
      <c r="E63" s="161"/>
      <c r="F63" s="161"/>
      <c r="G63" s="161" t="s">
        <v>120</v>
      </c>
      <c r="H63" s="162">
        <v>2008</v>
      </c>
      <c r="I63" s="163"/>
      <c r="J63" s="159">
        <f>IFERROR(INDEX('Labor Expenditures'!$F$7:$X$91,MATCH($C63,'Labor Expenditures'!$D$7:$D$91,0),MATCH($G63,'Labor Expenditures'!$F$5:$X$5,0)),"NA")</f>
        <v>53553.805704717786</v>
      </c>
      <c r="K63" s="159">
        <f t="shared" si="160"/>
        <v>496.32813442741224</v>
      </c>
      <c r="L63" s="165">
        <f t="shared" si="168"/>
        <v>-4.9283879848889545E-2</v>
      </c>
      <c r="M63" s="76">
        <f t="shared" si="170"/>
        <v>-1.1401042330885216E-3</v>
      </c>
      <c r="N63" s="62">
        <f t="shared" si="176"/>
        <v>96.291888510736356</v>
      </c>
      <c r="O63" s="96">
        <f t="shared" si="171"/>
        <v>-1.1828884083348463E-2</v>
      </c>
      <c r="P63" s="96"/>
      <c r="Q63" s="159">
        <f>IFERROR(INDEX('Non-Labor Expenditures'!$F$7:$AB$91,MATCH($C63,'Non-Labor Expenditures'!$D$7:$D$91,0),MATCH($G63,'Non-Labor Expenditures'!$F$5:$AB$5,0)),"NA")</f>
        <v>77555.913131601177</v>
      </c>
      <c r="R63" s="159">
        <f t="shared" si="161"/>
        <v>822.75219735637336</v>
      </c>
      <c r="S63" s="165">
        <f t="shared" si="172"/>
        <v>-3.6417618575461254E-2</v>
      </c>
      <c r="T63" s="165">
        <f t="shared" si="173"/>
        <v>-8.42463726966944E-4</v>
      </c>
      <c r="U63" s="165"/>
      <c r="V63" s="165"/>
      <c r="W63" s="159">
        <f t="shared" si="142"/>
        <v>76836.144631998075</v>
      </c>
      <c r="X63" s="163"/>
      <c r="Y63" s="167">
        <v>3963.6349139779877</v>
      </c>
      <c r="Z63" s="168">
        <v>1.5088620919870968E-2</v>
      </c>
      <c r="AA63" s="76">
        <f t="shared" si="162"/>
        <v>3.4905126453027259E-4</v>
      </c>
      <c r="AB63" s="168"/>
      <c r="AC63" s="168"/>
      <c r="AD63" s="163">
        <f t="shared" si="102"/>
        <v>207945.86346831702</v>
      </c>
      <c r="AE63" s="168">
        <f t="shared" si="174"/>
        <v>3.8173067748406078E-2</v>
      </c>
      <c r="AF63" s="163"/>
      <c r="AG63" s="163"/>
      <c r="AH63" s="163"/>
      <c r="AI63" s="163"/>
      <c r="AJ63" s="116">
        <f t="shared" si="175"/>
        <v>320.44223829899039</v>
      </c>
      <c r="AK63" s="114">
        <f>+AV63/$AX$13</f>
        <v>1.8471104738769957E-2</v>
      </c>
      <c r="AL63" s="115">
        <f t="shared" si="163"/>
        <v>0.25753724941432815</v>
      </c>
      <c r="AM63" s="115">
        <f t="shared" si="164"/>
        <v>0.37296203847506554</v>
      </c>
      <c r="AN63" s="115">
        <f t="shared" si="165"/>
        <v>0.36950071211060642</v>
      </c>
      <c r="AO63" s="115">
        <f t="shared" si="169"/>
        <v>-2.1724140215045297E-2</v>
      </c>
      <c r="AP63" s="166">
        <f t="shared" ref="AP63:AP76" si="177">+AP62*EXP(AO63)</f>
        <v>105.49207913776367</v>
      </c>
      <c r="AQ63" s="168">
        <f t="shared" ref="AQ63:AQ76" si="178">LN(AP63/AP62)</f>
        <v>-2.1724140215045241E-2</v>
      </c>
      <c r="AR63" s="69">
        <f>+AD63/$AF$13</f>
        <v>2.3133410692993774E-2</v>
      </c>
      <c r="AS63" s="169">
        <f t="shared" ref="AS63:AS76" si="179">+AR63*AQ63</f>
        <v>-5.0255345754682366E-4</v>
      </c>
      <c r="AT63" s="115"/>
      <c r="AU63" s="115"/>
      <c r="AV63" s="113">
        <f>IFERROR(INDEX('Total Customers'!$F$7:$AB$91,MATCH($C63,'Total Customers'!$D$7:$D$91,0),MATCH($G63,'Total Customers'!$F$5:$AB$5,0)),"NA")</f>
        <v>648934</v>
      </c>
      <c r="AW63" s="68">
        <f t="shared" si="6"/>
        <v>4.2436285810095384E-3</v>
      </c>
      <c r="AX63" s="114"/>
      <c r="AY63" s="114"/>
      <c r="AZ63" s="116"/>
      <c r="BA63" s="116"/>
      <c r="BB63" s="166"/>
      <c r="BC63" s="166"/>
      <c r="BD63" s="166"/>
      <c r="BE63" s="166"/>
      <c r="BF63" s="166"/>
      <c r="BG63" s="166"/>
      <c r="BH63" s="166"/>
      <c r="BI63" s="113"/>
      <c r="BJ63" s="113"/>
      <c r="BK63" s="113">
        <f>INDEX('Dist. Plant Gas Additions'!$F$7:$AE$91,MATCH($C63,'Dist. Plant Gas Additions'!$D$7:$D$91,0),MATCH(Calculation!$G63,'Dist. Plant Gas Additions'!$F$5:$AE$5,0))</f>
        <v>48406</v>
      </c>
      <c r="BL63" s="113">
        <f>INDEX('Gen. Plant Additions'!$F$7:$AE$91,MATCH($C63,'Gen. Plant Additions'!$D$7:$D$91,0),MATCH(Calculation!$G63,'Gen. Plant Additions'!$F$5:$AE$5,0))</f>
        <v>355</v>
      </c>
      <c r="BM63" s="231">
        <f t="shared" si="143"/>
        <v>0.99366931940008607</v>
      </c>
      <c r="BN63" s="61">
        <f>+BM63*BL63</f>
        <v>352.75260838703053</v>
      </c>
      <c r="BO63" s="113" t="str">
        <f>INDEX('Dist Plant Depreciation'!$E$7:$AD$94,MATCH($C63,'Dist Plant Depreciation'!$D$7:$D$94,0),MATCH(Calculation!$G63,'Dist Plant Depreciation'!$E$5:$AD$5,0))</f>
        <v>NA</v>
      </c>
      <c r="BP63" s="113" t="str">
        <f>INDEX('Gen. Plant Depreciation'!$E$7:$AD$94,MATCH($C63,'Gen. Plant Depreciation'!$D$7:$D$94,0),MATCH(Calculation!$G63,'Gen. Plant Depreciation'!$E$5:$AD$5,0))</f>
        <v>NA</v>
      </c>
      <c r="BQ63" s="175">
        <v>1987</v>
      </c>
      <c r="BR63" s="175">
        <f t="shared" si="67"/>
        <v>40</v>
      </c>
      <c r="BS63" s="170">
        <v>242.68992766627693</v>
      </c>
      <c r="BT63" s="176">
        <f t="shared" si="141"/>
        <v>3.0165912518853696E-2</v>
      </c>
      <c r="BU63" s="177">
        <f t="shared" si="68"/>
        <v>7.3209631271878415</v>
      </c>
      <c r="BV63" s="177"/>
      <c r="BW63" s="113">
        <f>INDEX('Gross Dx Plant'!$E$7:$AD$91,MATCH($C63,'Gross Dx Plant'!$D$7:$D$91,0),MATCH(Calculation!$G63,'Gross Dx Plant'!$E$5:$AD$5,0))</f>
        <v>1152093</v>
      </c>
      <c r="BX63" s="113">
        <f>INDEX('Gross Gen Plant'!$E$7:$AD$91,MATCH($C63,'Gross Gen Plant'!$D$7:$D$91,0),MATCH(Calculation!$G63,'Gross Gen Plant'!$E$5:$AD$5,0))</f>
        <v>7340</v>
      </c>
      <c r="BY63" s="113" t="str">
        <f t="shared" si="46"/>
        <v>NA</v>
      </c>
      <c r="BZ63" s="113"/>
      <c r="CA63" s="116">
        <v>2008</v>
      </c>
      <c r="CB63" s="113"/>
      <c r="CC63" s="113"/>
      <c r="CD63" s="113"/>
      <c r="CE63" s="175"/>
      <c r="CF63" s="113">
        <f t="shared" si="144"/>
        <v>48761</v>
      </c>
      <c r="CG63" s="113">
        <f t="shared" si="145"/>
        <v>85.56344675808397</v>
      </c>
      <c r="CH63" s="178">
        <v>0.94252873563218387</v>
      </c>
      <c r="CI63" s="61">
        <f>+CI53*CH63+CG54*CH62+CG55*CH61+CG56*CH60+CG57*CH59+CG58*CH58+CG59*CH57+CG60*CH56+CG61*CH55+CG62*CH54+CG63</f>
        <v>3963.6349139779877</v>
      </c>
      <c r="CJ63" s="114">
        <f t="shared" si="146"/>
        <v>1.5088620919870968E-2</v>
      </c>
      <c r="CK63" s="114"/>
      <c r="CL63" s="169">
        <f t="shared" si="147"/>
        <v>6.7122767145200652E-3</v>
      </c>
      <c r="CM63" s="169">
        <f t="shared" si="156"/>
        <v>6.4889342299847509E-3</v>
      </c>
      <c r="CN63" s="114">
        <f>VLOOKUP($H63,RoR!$E:$F,2,FALSE)</f>
        <v>5.6316666666666668E-2</v>
      </c>
      <c r="CO63" s="169">
        <v>1.9092304698479889E-2</v>
      </c>
      <c r="CP63" s="169">
        <f t="shared" si="153"/>
        <v>3.7224361968186778E-2</v>
      </c>
      <c r="CQ63" s="169">
        <f t="shared" si="157"/>
        <v>2.4413007378548873E-2</v>
      </c>
      <c r="CR63" s="69">
        <v>6.9030581091053131E-2</v>
      </c>
      <c r="CS63" s="179">
        <f t="shared" si="148"/>
        <v>0.85166083209999999</v>
      </c>
      <c r="CT63" s="180">
        <f t="shared" si="149"/>
        <v>0.91060168006009956</v>
      </c>
      <c r="CU63" s="180">
        <f t="shared" si="150"/>
        <v>0.53108168097070152</v>
      </c>
      <c r="CV63" s="180">
        <f t="shared" si="151"/>
        <v>0.88825329850328805</v>
      </c>
      <c r="CW63" s="180">
        <f t="shared" si="152"/>
        <v>0.4295627335323573</v>
      </c>
      <c r="CX63" s="181">
        <f>INDEX('State Tax Lookup'!$D$7:$Z$91,MATCH(Calculation!$C63,'State Tax Lookup'!$B$7:$B$91,0),MATCH($H63,'State Tax Lookup'!$D$6:$Z$6,0))</f>
        <v>0.40091666999999998</v>
      </c>
      <c r="CY63" s="72">
        <v>0.37</v>
      </c>
      <c r="CZ63" s="70">
        <f t="shared" si="155"/>
        <v>19.67998780132422</v>
      </c>
      <c r="DA63" s="70">
        <v>18.300102035478151</v>
      </c>
      <c r="DB63" s="69">
        <f t="shared" si="158"/>
        <v>0.12626339407749373</v>
      </c>
      <c r="DC63" s="111">
        <f>VLOOKUP($H63,RoR!$E:$F,2,FALSE)</f>
        <v>5.6316666666666668E-2</v>
      </c>
      <c r="DD63" s="216">
        <f>HLOOKUP($H63,'GDP-PI'!$D$8:$CQ$11,3,FALSE)</f>
        <v>1.9092304698479889E-2</v>
      </c>
      <c r="DE63" s="111">
        <f>VLOOKUP(H63,'HW Dx Data'!$E:$F,2,FALSE)</f>
        <v>569.88120333515076</v>
      </c>
      <c r="DF63" s="72">
        <f t="shared" si="166"/>
        <v>107.9</v>
      </c>
      <c r="DG63" s="69">
        <f t="shared" si="167"/>
        <v>3.1778595021460486E-2</v>
      </c>
      <c r="DH63" s="66">
        <f>HLOOKUP(H63,'GDP-PI'!$8:$9,2,FALSE)</f>
        <v>94.263999999999996</v>
      </c>
      <c r="DI63" s="69">
        <f t="shared" si="159"/>
        <v>1.8912333748032254E-2</v>
      </c>
      <c r="DJ63" s="160" t="s">
        <v>158</v>
      </c>
      <c r="DM63" s="160">
        <f>+DM62/DM61</f>
        <v>0.20749999999999999</v>
      </c>
      <c r="DN63" s="160">
        <f>+DN62/DN61</f>
        <v>0.29249999999999998</v>
      </c>
      <c r="DO63" s="184"/>
      <c r="DP63" s="184">
        <f>+DP62/DP61</f>
        <v>0.5</v>
      </c>
      <c r="DQ63" s="184"/>
      <c r="DR63" s="184">
        <f>+DR61*DP63</f>
        <v>1.3508828226157205E-2</v>
      </c>
      <c r="DS63" s="184"/>
      <c r="DT63" s="184">
        <f>+DT61*DP63</f>
        <v>1.1946639846370705E-2</v>
      </c>
      <c r="DU63" s="184"/>
      <c r="DV63" s="184">
        <f>+DV61*DP63</f>
        <v>9.6416865411185111E-3</v>
      </c>
      <c r="DW63" s="184"/>
      <c r="DX63" s="184">
        <f>+DX61*DP63</f>
        <v>7.1509004601943808E-3</v>
      </c>
      <c r="EB63">
        <f t="shared" si="154"/>
        <v>2008</v>
      </c>
    </row>
    <row r="64" spans="1:132" s="160" customFormat="1" ht="21">
      <c r="A64" s="160" t="s">
        <v>154</v>
      </c>
      <c r="B64" s="161" t="s">
        <v>154</v>
      </c>
      <c r="C64" s="161">
        <v>4007784</v>
      </c>
      <c r="D64" s="161" t="s">
        <v>155</v>
      </c>
      <c r="E64" s="161"/>
      <c r="F64" s="161"/>
      <c r="G64" s="161" t="s">
        <v>125</v>
      </c>
      <c r="H64" s="162">
        <v>2009</v>
      </c>
      <c r="I64" s="163"/>
      <c r="J64" s="159">
        <f>IFERROR(INDEX('Labor Expenditures'!$F$7:$X$91,MATCH($C64,'Labor Expenditures'!$D$7:$D$91,0),MATCH($G64,'Labor Expenditures'!$F$5:$X$5,0)),"NA")</f>
        <v>52919.823410469005</v>
      </c>
      <c r="K64" s="159">
        <f t="shared" si="160"/>
        <v>477.0775155327384</v>
      </c>
      <c r="L64" s="165">
        <f t="shared" si="168"/>
        <v>-3.9558285291720077E-2</v>
      </c>
      <c r="M64" s="76">
        <f t="shared" si="170"/>
        <v>-8.6193064426811619E-4</v>
      </c>
      <c r="N64" s="62">
        <f t="shared" si="176"/>
        <v>101.02877844256443</v>
      </c>
      <c r="O64" s="96">
        <f t="shared" si="171"/>
        <v>4.8021327529982158E-2</v>
      </c>
      <c r="P64" s="96"/>
      <c r="Q64" s="159">
        <f>IFERROR(INDEX('Non-Labor Expenditures'!$F$7:$AB$91,MATCH($C64,'Non-Labor Expenditures'!$D$7:$D$91,0),MATCH($G64,'Non-Labor Expenditures'!$F$5:$AB$5,0)),"NA")</f>
        <v>76637.788357969999</v>
      </c>
      <c r="R64" s="159">
        <f t="shared" si="161"/>
        <v>806.72205347393128</v>
      </c>
      <c r="S64" s="165">
        <f t="shared" si="172"/>
        <v>-1.9675869109145813E-2</v>
      </c>
      <c r="T64" s="165">
        <f t="shared" si="173"/>
        <v>-4.287151076624371E-4</v>
      </c>
      <c r="U64" s="165"/>
      <c r="V64" s="165"/>
      <c r="W64" s="159">
        <f t="shared" si="142"/>
        <v>74726.945741468313</v>
      </c>
      <c r="X64" s="163"/>
      <c r="Y64" s="167">
        <v>4015.9236140589887</v>
      </c>
      <c r="Z64" s="168">
        <v>1.3105849987846951E-2</v>
      </c>
      <c r="AA64" s="76">
        <f t="shared" si="162"/>
        <v>2.8556176387328482E-4</v>
      </c>
      <c r="AB64" s="168"/>
      <c r="AC64" s="168"/>
      <c r="AD64" s="163">
        <f t="shared" si="102"/>
        <v>204284.55750990732</v>
      </c>
      <c r="AE64" s="168">
        <f t="shared" si="174"/>
        <v>-1.7763862394108692E-2</v>
      </c>
      <c r="AF64" s="163"/>
      <c r="AG64" s="163"/>
      <c r="AH64" s="163"/>
      <c r="AI64" s="163"/>
      <c r="AJ64" s="116">
        <f t="shared" si="175"/>
        <v>313.8681800106433</v>
      </c>
      <c r="AK64" s="114">
        <f>+AV64/$AX$14</f>
        <v>1.8502338018087268E-2</v>
      </c>
      <c r="AL64" s="115">
        <f t="shared" si="163"/>
        <v>0.25904955350285114</v>
      </c>
      <c r="AM64" s="115">
        <f t="shared" si="164"/>
        <v>0.37515213725468821</v>
      </c>
      <c r="AN64" s="115">
        <f t="shared" si="165"/>
        <v>0.36579830924246065</v>
      </c>
      <c r="AO64" s="115">
        <f t="shared" si="169"/>
        <v>-1.2759183029013263E-2</v>
      </c>
      <c r="AP64" s="166">
        <f t="shared" si="177"/>
        <v>104.15463687148899</v>
      </c>
      <c r="AQ64" s="168">
        <f t="shared" si="178"/>
        <v>-1.2759183029013316E-2</v>
      </c>
      <c r="AR64" s="69">
        <f>+AD64/$AF$14</f>
        <v>2.1788877801751594E-2</v>
      </c>
      <c r="AS64" s="169">
        <f t="shared" si="179"/>
        <v>-2.7800827986935393E-4</v>
      </c>
      <c r="AT64" s="115"/>
      <c r="AU64" s="115"/>
      <c r="AV64" s="113">
        <f>IFERROR(INDEX('Total Customers'!$F$7:$AB$91,MATCH($C64,'Total Customers'!$D$7:$D$91,0),MATCH($G64,'Total Customers'!$F$5:$AB$5,0)),"NA")</f>
        <v>650861</v>
      </c>
      <c r="AW64" s="68">
        <f t="shared" si="6"/>
        <v>2.9650851277395118E-3</v>
      </c>
      <c r="AX64" s="114"/>
      <c r="AY64" s="114"/>
      <c r="AZ64" s="116"/>
      <c r="BA64" s="116"/>
      <c r="BB64" s="166"/>
      <c r="BC64" s="166"/>
      <c r="BD64" s="166"/>
      <c r="BE64" s="166"/>
      <c r="BF64" s="166"/>
      <c r="BG64" s="166"/>
      <c r="BH64" s="166"/>
      <c r="BI64" s="113"/>
      <c r="BJ64" s="113"/>
      <c r="BK64" s="113">
        <f>INDEX('Dist. Plant Gas Additions'!$F$7:$AE$91,MATCH($C64,'Dist. Plant Gas Additions'!$D$7:$D$91,0),MATCH(Calculation!$G64,'Dist. Plant Gas Additions'!$F$5:$AE$5,0))</f>
        <v>43244</v>
      </c>
      <c r="BL64" s="113">
        <f>INDEX('Gen. Plant Additions'!$F$7:$AE$91,MATCH($C64,'Gen. Plant Additions'!$D$7:$D$91,0),MATCH(Calculation!$G64,'Gen. Plant Additions'!$F$5:$AE$5,0))</f>
        <v>736</v>
      </c>
      <c r="BM64" s="231">
        <f t="shared" si="143"/>
        <v>0.99342689449638411</v>
      </c>
      <c r="BN64" s="61">
        <f t="shared" si="8"/>
        <v>731.16219434933873</v>
      </c>
      <c r="BO64" s="113">
        <f>INDEX('Dist Plant Depreciation'!$E$7:$AD$94,MATCH($C64,'Dist Plant Depreciation'!$D$7:$D$94,0),MATCH(Calculation!$G64,'Dist Plant Depreciation'!$E$5:$AD$5,0))</f>
        <v>388386</v>
      </c>
      <c r="BP64" s="113">
        <f>INDEX('Gen. Plant Depreciation'!$E$7:$AD$94,MATCH($C64,'Gen. Plant Depreciation'!$D$7:$D$94,0),MATCH(Calculation!$G64,'Gen. Plant Depreciation'!$E$5:$AD$5,0))</f>
        <v>3420</v>
      </c>
      <c r="BQ64" s="175">
        <v>1988</v>
      </c>
      <c r="BR64" s="175">
        <f t="shared" si="67"/>
        <v>41</v>
      </c>
      <c r="BS64" s="170">
        <v>256.77937804125054</v>
      </c>
      <c r="BT64" s="176">
        <f t="shared" si="141"/>
        <v>3.0920060331825039E-2</v>
      </c>
      <c r="BU64" s="177">
        <f t="shared" si="68"/>
        <v>7.9396338610039763</v>
      </c>
      <c r="BV64" s="177"/>
      <c r="BW64" s="113">
        <f>INDEX('Gross Dx Plant'!$E$7:$AD$91,MATCH($C64,'Gross Dx Plant'!$D$7:$D$91,0),MATCH(Calculation!$G64,'Gross Dx Plant'!$E$5:$AD$5,0))</f>
        <v>1187015</v>
      </c>
      <c r="BX64" s="113">
        <f>INDEX('Gross Gen Plant'!$E$7:$AD$91,MATCH($C64,'Gross Gen Plant'!$D$7:$D$91,0),MATCH(Calculation!$G64,'Gross Gen Plant'!$E$5:$AD$5,0))</f>
        <v>7854</v>
      </c>
      <c r="BY64" s="113">
        <f t="shared" si="46"/>
        <v>803063</v>
      </c>
      <c r="BZ64" s="113"/>
      <c r="CA64" s="116">
        <v>2009</v>
      </c>
      <c r="CB64" s="113"/>
      <c r="CC64" s="113"/>
      <c r="CD64" s="113"/>
      <c r="CE64" s="175"/>
      <c r="CF64" s="113">
        <f t="shared" si="144"/>
        <v>43980</v>
      </c>
      <c r="CG64" s="113">
        <f t="shared" si="145"/>
        <v>79.827112147130734</v>
      </c>
      <c r="CH64" s="178">
        <v>0.93567251461988299</v>
      </c>
      <c r="CI64" s="61">
        <f>+CI53*CH64+CG54*CH63+CG55*CH62+CG56*CH61+CG57*CH60+CG58*CH59+CG59*CH58+CG60*CH57+CG61*CH56+CG62*CH55+CG63*CH54+CG64</f>
        <v>4015.9236140589887</v>
      </c>
      <c r="CJ64" s="114">
        <f t="shared" si="146"/>
        <v>1.3105849987846951E-2</v>
      </c>
      <c r="CK64" s="114"/>
      <c r="CL64" s="169">
        <f t="shared" si="147"/>
        <v>6.9477670531697825E-3</v>
      </c>
      <c r="CM64" s="169">
        <f t="shared" si="156"/>
        <v>6.7149959229335157E-3</v>
      </c>
      <c r="CN64" s="114">
        <f>VLOOKUP($H64,RoR!$E:$F,2,FALSE)</f>
        <v>5.3133333333333324E-2</v>
      </c>
      <c r="CO64" s="169">
        <v>7.7972502758210105E-3</v>
      </c>
      <c r="CP64" s="169">
        <f t="shared" si="153"/>
        <v>4.5336083057512314E-2</v>
      </c>
      <c r="CQ64" s="169">
        <f t="shared" si="157"/>
        <v>2.4186945685600109E-2</v>
      </c>
      <c r="CR64" s="69">
        <v>6.3720160300892073E-2</v>
      </c>
      <c r="CS64" s="179">
        <f t="shared" si="148"/>
        <v>0.85166083209999999</v>
      </c>
      <c r="CT64" s="180">
        <f t="shared" si="149"/>
        <v>0.96515780330083989</v>
      </c>
      <c r="CU64" s="180">
        <f t="shared" si="150"/>
        <v>0.50448557089084056</v>
      </c>
      <c r="CV64" s="180">
        <f t="shared" si="151"/>
        <v>0.87391435735465484</v>
      </c>
      <c r="CW64" s="180">
        <f t="shared" si="152"/>
        <v>0.42551605393279146</v>
      </c>
      <c r="CX64" s="181">
        <f>INDEX('State Tax Lookup'!$D$7:$Z$91,MATCH(Calculation!$C64,'State Tax Lookup'!$B$7:$B$91,0),MATCH($H64,'State Tax Lookup'!$D$6:$Z$6,0))</f>
        <v>0.40091666999999998</v>
      </c>
      <c r="CY64" s="72">
        <v>0.37</v>
      </c>
      <c r="CZ64" s="70">
        <f t="shared" si="155"/>
        <v>18.853135408092058</v>
      </c>
      <c r="DA64" s="70">
        <v>17.478615056163342</v>
      </c>
      <c r="DB64" s="69">
        <f t="shared" si="158"/>
        <v>-4.2923037063763887E-2</v>
      </c>
      <c r="DC64" s="111">
        <f>VLOOKUP($H64,RoR!$E:$F,2,FALSE)</f>
        <v>5.3133333333333324E-2</v>
      </c>
      <c r="DD64" s="216">
        <f>HLOOKUP($H64,'GDP-PI'!$D$8:$CQ$11,3,FALSE)</f>
        <v>7.7972502758210105E-3</v>
      </c>
      <c r="DE64" s="111">
        <f>VLOOKUP(H64,'HW Dx Data'!$E:$F,2,FALSE)</f>
        <v>550.94063679692806</v>
      </c>
      <c r="DF64" s="72">
        <f t="shared" si="166"/>
        <v>110.925</v>
      </c>
      <c r="DG64" s="69">
        <f t="shared" si="167"/>
        <v>2.7649425000884052E-2</v>
      </c>
      <c r="DH64" s="66">
        <f>HLOOKUP(H64,'GDP-PI'!$8:$9,2,FALSE)</f>
        <v>94.998999999999995</v>
      </c>
      <c r="DI64" s="69">
        <f t="shared" si="159"/>
        <v>7.7670088183096342E-3</v>
      </c>
      <c r="DL64" s="189" t="s">
        <v>159</v>
      </c>
      <c r="DM64" s="189" t="s">
        <v>160</v>
      </c>
      <c r="DN64" s="189"/>
      <c r="DO64" s="190" t="s">
        <v>161</v>
      </c>
      <c r="DP64" s="184"/>
      <c r="DQ64" s="184"/>
      <c r="DR64" s="184"/>
      <c r="DS64" s="184"/>
      <c r="DT64" s="184"/>
      <c r="DU64" s="184"/>
      <c r="DV64" s="184"/>
      <c r="DW64" s="184"/>
      <c r="DX64" s="184"/>
      <c r="EB64">
        <f t="shared" si="154"/>
        <v>2009</v>
      </c>
    </row>
    <row r="65" spans="1:132" s="160" customFormat="1" ht="21">
      <c r="A65" s="160" t="s">
        <v>154</v>
      </c>
      <c r="B65" s="161" t="s">
        <v>154</v>
      </c>
      <c r="C65" s="161">
        <v>4007784</v>
      </c>
      <c r="D65" s="161" t="s">
        <v>155</v>
      </c>
      <c r="E65" s="161"/>
      <c r="F65" s="161"/>
      <c r="G65" s="161" t="s">
        <v>126</v>
      </c>
      <c r="H65" s="162">
        <v>2010</v>
      </c>
      <c r="I65" s="163"/>
      <c r="J65" s="159">
        <f>IFERROR(INDEX('Labor Expenditures'!$F$7:$X$91,MATCH($C65,'Labor Expenditures'!$D$7:$D$91,0),MATCH($G65,'Labor Expenditures'!$F$5:$X$5,0)),"NA")</f>
        <v>55068.902293098516</v>
      </c>
      <c r="K65" s="159">
        <f t="shared" si="160"/>
        <v>470.97628644942074</v>
      </c>
      <c r="L65" s="165">
        <f t="shared" si="168"/>
        <v>-1.2871238535747545E-2</v>
      </c>
      <c r="M65" s="76">
        <f t="shared" si="170"/>
        <v>-2.8124087682710402E-4</v>
      </c>
      <c r="N65" s="62">
        <f t="shared" si="176"/>
        <v>98.873724622416361</v>
      </c>
      <c r="O65" s="96">
        <f t="shared" si="171"/>
        <v>-2.1561884213569252E-2</v>
      </c>
      <c r="P65" s="96"/>
      <c r="Q65" s="159">
        <f>IFERROR(INDEX('Non-Labor Expenditures'!$F$7:$AB$91,MATCH($C65,'Non-Labor Expenditures'!$D$7:$D$91,0),MATCH($G65,'Non-Labor Expenditures'!$F$5:$AB$5,0)),"NA")</f>
        <v>79750.055972584931</v>
      </c>
      <c r="R65" s="159">
        <f t="shared" si="161"/>
        <v>829.78759504921425</v>
      </c>
      <c r="S65" s="165">
        <f t="shared" si="172"/>
        <v>2.8190569004078986E-2</v>
      </c>
      <c r="T65" s="165">
        <f t="shared" si="173"/>
        <v>6.1597338305421185E-4</v>
      </c>
      <c r="U65" s="165"/>
      <c r="V65" s="165"/>
      <c r="W65" s="159">
        <f t="shared" si="142"/>
        <v>77524.152452321927</v>
      </c>
      <c r="X65" s="163"/>
      <c r="Y65" s="167">
        <v>4097.935318378356</v>
      </c>
      <c r="Z65" s="168">
        <v>2.0215904182597173E-2</v>
      </c>
      <c r="AA65" s="76">
        <f t="shared" si="162"/>
        <v>4.4172428336059427E-4</v>
      </c>
      <c r="AB65" s="168"/>
      <c r="AC65" s="168"/>
      <c r="AD65" s="163">
        <f t="shared" si="102"/>
        <v>212343.11071800537</v>
      </c>
      <c r="AE65" s="168">
        <f t="shared" si="174"/>
        <v>3.8689501537760275E-2</v>
      </c>
      <c r="AF65" s="163"/>
      <c r="AG65" s="163"/>
      <c r="AH65" s="163"/>
      <c r="AI65" s="163"/>
      <c r="AJ65" s="116">
        <f t="shared" si="175"/>
        <v>325.38317961551189</v>
      </c>
      <c r="AK65" s="114">
        <f>+AV65/$AX$15</f>
        <v>1.845009937304708E-2</v>
      </c>
      <c r="AL65" s="115">
        <f t="shared" si="163"/>
        <v>0.25933924631174304</v>
      </c>
      <c r="AM65" s="115">
        <f t="shared" si="164"/>
        <v>0.37557166654911694</v>
      </c>
      <c r="AN65" s="115">
        <f t="shared" si="165"/>
        <v>0.36508908713914007</v>
      </c>
      <c r="AO65" s="115">
        <f t="shared" si="169"/>
        <v>1.463328743549033E-2</v>
      </c>
      <c r="AP65" s="166">
        <f t="shared" si="177"/>
        <v>105.68996768210086</v>
      </c>
      <c r="AQ65" s="168">
        <f t="shared" si="178"/>
        <v>1.4633287435490338E-2</v>
      </c>
      <c r="AR65" s="69">
        <f>+AD65/$AF$15</f>
        <v>2.1850335229667929E-2</v>
      </c>
      <c r="AS65" s="169">
        <f t="shared" si="179"/>
        <v>3.197422359775516E-4</v>
      </c>
      <c r="AT65" s="115"/>
      <c r="AU65" s="115"/>
      <c r="AV65" s="113">
        <f>IFERROR(INDEX('Total Customers'!$F$7:$AB$91,MATCH($C65,'Total Customers'!$D$7:$D$91,0),MATCH($G65,'Total Customers'!$F$5:$AB$5,0)),"NA")</f>
        <v>652594</v>
      </c>
      <c r="AW65" s="68">
        <f t="shared" si="6"/>
        <v>2.6590883784007534E-3</v>
      </c>
      <c r="AX65" s="114"/>
      <c r="AY65" s="114"/>
      <c r="AZ65" s="116"/>
      <c r="BA65" s="116"/>
      <c r="BB65" s="166"/>
      <c r="BC65" s="166"/>
      <c r="BD65" s="166"/>
      <c r="BE65" s="166"/>
      <c r="BF65" s="166"/>
      <c r="BG65" s="166"/>
      <c r="BH65" s="166"/>
      <c r="BI65" s="113"/>
      <c r="BJ65" s="113"/>
      <c r="BK65" s="113">
        <f>INDEX('Dist. Plant Gas Additions'!$F$7:$AE$91,MATCH($C65,'Dist. Plant Gas Additions'!$D$7:$D$91,0),MATCH(Calculation!$G65,'Dist. Plant Gas Additions'!$F$5:$AE$5,0))</f>
        <v>61438</v>
      </c>
      <c r="BL65" s="113">
        <f>INDEX('Gen. Plant Additions'!$F$7:$AE$91,MATCH($C65,'Gen. Plant Additions'!$D$7:$D$91,0),MATCH(Calculation!$G65,'Gen. Plant Additions'!$F$5:$AE$5,0))</f>
        <v>1671</v>
      </c>
      <c r="BM65" s="231">
        <f t="shared" si="143"/>
        <v>0.99243385629130854</v>
      </c>
      <c r="BN65" s="61">
        <f t="shared" si="8"/>
        <v>1658.3569738627766</v>
      </c>
      <c r="BO65" s="113">
        <f>INDEX('Dist Plant Depreciation'!$E$7:$AD$94,MATCH($C65,'Dist Plant Depreciation'!$D$7:$D$94,0),MATCH(Calculation!$G65,'Dist Plant Depreciation'!$E$5:$AD$5,0))</f>
        <v>398163</v>
      </c>
      <c r="BP65" s="113">
        <f>INDEX('Gen. Plant Depreciation'!$E$7:$AD$94,MATCH($C65,'Gen. Plant Depreciation'!$D$7:$D$94,0),MATCH(Calculation!$G65,'Gen. Plant Depreciation'!$E$5:$AD$5,0))</f>
        <v>4038</v>
      </c>
      <c r="BQ65" s="175">
        <v>1989</v>
      </c>
      <c r="BR65" s="175">
        <f t="shared" si="67"/>
        <v>42</v>
      </c>
      <c r="BS65" s="170">
        <v>268.73664562501432</v>
      </c>
      <c r="BT65" s="176">
        <f t="shared" si="141"/>
        <v>3.1674208144796379E-2</v>
      </c>
      <c r="BU65" s="177">
        <f t="shared" si="68"/>
        <v>8.5120204496610867</v>
      </c>
      <c r="BV65" s="177"/>
      <c r="BW65" s="113">
        <f>INDEX('Gross Dx Plant'!$E$7:$AD$91,MATCH($C65,'Gross Dx Plant'!$D$7:$D$91,0),MATCH(Calculation!$G65,'Gross Dx Plant'!$E$5:$AD$5,0))</f>
        <v>1239535</v>
      </c>
      <c r="BX65" s="113">
        <f>INDEX('Gross Gen Plant'!$E$7:$AD$91,MATCH($C65,'Gross Gen Plant'!$D$7:$D$91,0),MATCH(Calculation!$G65,'Gross Gen Plant'!$E$5:$AD$5,0))</f>
        <v>9450</v>
      </c>
      <c r="BY65" s="113">
        <f t="shared" si="46"/>
        <v>846784</v>
      </c>
      <c r="BZ65" s="113"/>
      <c r="CA65" s="116">
        <v>2010</v>
      </c>
      <c r="CB65" s="113"/>
      <c r="CC65" s="113"/>
      <c r="CD65" s="113"/>
      <c r="CE65" s="175"/>
      <c r="CF65" s="113">
        <f t="shared" si="144"/>
        <v>63109</v>
      </c>
      <c r="CG65" s="113">
        <f t="shared" si="145"/>
        <v>110.9141727717771</v>
      </c>
      <c r="CH65" s="178">
        <v>0.9285714285714286</v>
      </c>
      <c r="CI65" s="61">
        <f>+CI53*CH65+CG54*CH64+CG55*CH63+CG56*CH62+CG57*CH61+CG58*CH60+CG59*CH59+CG60*CH58+CG61*CH57+CG62*CH56+CG63*CH55+CG64*CH54+CG65</f>
        <v>4097.935318378356</v>
      </c>
      <c r="CJ65" s="114">
        <f t="shared" si="146"/>
        <v>2.0215904182597173E-2</v>
      </c>
      <c r="CK65" s="114"/>
      <c r="CL65" s="169">
        <f t="shared" si="147"/>
        <v>7.19696668313804E-3</v>
      </c>
      <c r="CM65" s="169">
        <f t="shared" si="156"/>
        <v>6.9523368169426289E-3</v>
      </c>
      <c r="CN65" s="114">
        <f>VLOOKUP($H65,RoR!$E:$F,2,FALSE)</f>
        <v>4.9433333333333322E-2</v>
      </c>
      <c r="CO65" s="169">
        <v>1.1684333519300205E-2</v>
      </c>
      <c r="CP65" s="169">
        <f t="shared" si="153"/>
        <v>3.7748999814033117E-2</v>
      </c>
      <c r="CQ65" s="169">
        <f t="shared" si="157"/>
        <v>2.3949604791590997E-2</v>
      </c>
      <c r="CR65" s="69">
        <v>4.7937530248493419E-2</v>
      </c>
      <c r="CS65" s="179">
        <f t="shared" si="148"/>
        <v>0.85166083209999999</v>
      </c>
      <c r="CT65" s="180">
        <f t="shared" si="149"/>
        <v>1.037398205301105</v>
      </c>
      <c r="CU65" s="180">
        <f t="shared" si="150"/>
        <v>0.46926837491571133</v>
      </c>
      <c r="CV65" s="180">
        <f t="shared" si="151"/>
        <v>0.8548537519972772</v>
      </c>
      <c r="CW65" s="180">
        <f t="shared" si="152"/>
        <v>0.41615833911547367</v>
      </c>
      <c r="CX65" s="181">
        <f>INDEX('State Tax Lookup'!$D$7:$Z$91,MATCH(Calculation!$C65,'State Tax Lookup'!$B$7:$B$91,0),MATCH($H65,'State Tax Lookup'!$D$6:$Z$6,0))</f>
        <v>0.40091666999999998</v>
      </c>
      <c r="CY65" s="72">
        <v>0.37</v>
      </c>
      <c r="CZ65" s="70">
        <f t="shared" si="155"/>
        <v>19.304189995278929</v>
      </c>
      <c r="DA65" s="70">
        <v>17.956102603965455</v>
      </c>
      <c r="DB65" s="69">
        <f t="shared" si="158"/>
        <v>2.3642935840676553E-2</v>
      </c>
      <c r="DC65" s="111">
        <f>VLOOKUP($H65,RoR!$E:$F,2,FALSE)</f>
        <v>4.9433333333333322E-2</v>
      </c>
      <c r="DD65" s="216">
        <f>HLOOKUP($H65,'GDP-PI'!$D$8:$CQ$11,3,FALSE)</f>
        <v>1.1684333519300205E-2</v>
      </c>
      <c r="DE65" s="111">
        <f>VLOOKUP(H65,'HW Dx Data'!$E:$F,2,FALSE)</f>
        <v>568.98950262971744</v>
      </c>
      <c r="DF65" s="72">
        <f t="shared" si="166"/>
        <v>116.925</v>
      </c>
      <c r="DG65" s="69">
        <f t="shared" si="167"/>
        <v>5.2678406346976722E-2</v>
      </c>
      <c r="DH65" s="66">
        <f>HLOOKUP(H65,'GDP-PI'!$8:$9,2,FALSE)</f>
        <v>96.108999999999995</v>
      </c>
      <c r="DI65" s="69">
        <f t="shared" si="159"/>
        <v>1.1616598807150427E-2</v>
      </c>
      <c r="DJ65" s="160" t="s">
        <v>91</v>
      </c>
      <c r="DK65" s="184"/>
      <c r="DL65" s="184">
        <v>1.3516542083719366E-2</v>
      </c>
      <c r="DM65" s="184">
        <f>+DM62+Calculation!DN62+Calculation!DP62</f>
        <v>2.0623564300742032E-2</v>
      </c>
      <c r="DN65" s="184"/>
      <c r="DO65" s="184">
        <f>+Calculation!DL65-(Calculation!DM62+DN62+DP62)</f>
        <v>-7.1070222170226665E-3</v>
      </c>
      <c r="DP65" s="184"/>
      <c r="DQ65" s="184"/>
      <c r="DR65" s="184"/>
      <c r="DS65" s="184"/>
      <c r="DT65" s="184"/>
      <c r="DU65" s="184"/>
      <c r="DV65" s="184"/>
      <c r="DW65" s="184"/>
      <c r="DX65" s="184"/>
      <c r="EB65">
        <f t="shared" si="154"/>
        <v>2010</v>
      </c>
    </row>
    <row r="66" spans="1:132" s="160" customFormat="1" ht="21">
      <c r="A66" s="160" t="s">
        <v>154</v>
      </c>
      <c r="B66" s="161" t="s">
        <v>154</v>
      </c>
      <c r="C66" s="161">
        <v>4007784</v>
      </c>
      <c r="D66" s="161" t="s">
        <v>155</v>
      </c>
      <c r="E66" s="161"/>
      <c r="F66" s="161"/>
      <c r="G66" s="161" t="s">
        <v>127</v>
      </c>
      <c r="H66" s="162">
        <v>2011</v>
      </c>
      <c r="I66" s="163"/>
      <c r="J66" s="159">
        <f>IFERROR(INDEX('Labor Expenditures'!$F$7:$X$91,MATCH($C66,'Labor Expenditures'!$D$7:$D$91,0),MATCH($G66,'Labor Expenditures'!$F$5:$X$5,0)),"NA")</f>
        <v>55770.300548758933</v>
      </c>
      <c r="K66" s="159">
        <f t="shared" si="160"/>
        <v>461.3882155016251</v>
      </c>
      <c r="L66" s="165">
        <f t="shared" si="168"/>
        <v>-2.0567940836359856E-2</v>
      </c>
      <c r="M66" s="76">
        <f t="shared" si="170"/>
        <v>-4.4509695813767995E-4</v>
      </c>
      <c r="N66" s="62">
        <f t="shared" si="176"/>
        <v>98.004273548446619</v>
      </c>
      <c r="O66" s="96">
        <f t="shared" si="171"/>
        <v>-8.8324417592994704E-3</v>
      </c>
      <c r="P66" s="96"/>
      <c r="Q66" s="159">
        <f>IFERROR(INDEX('Non-Labor Expenditures'!$F$7:$AB$91,MATCH($C66,'Non-Labor Expenditures'!$D$7:$D$91,0),MATCH($G66,'Non-Labor Expenditures'!$F$5:$AB$5,0)),"NA")</f>
        <v>80765.811649904848</v>
      </c>
      <c r="R66" s="159">
        <f t="shared" si="161"/>
        <v>823.20013504876931</v>
      </c>
      <c r="S66" s="165">
        <f t="shared" si="172"/>
        <v>-7.9704098877006954E-3</v>
      </c>
      <c r="T66" s="165">
        <f t="shared" si="173"/>
        <v>-1.7248227347361073E-4</v>
      </c>
      <c r="U66" s="165"/>
      <c r="V66" s="165"/>
      <c r="W66" s="159">
        <f t="shared" si="142"/>
        <v>84325.419759013676</v>
      </c>
      <c r="X66" s="163"/>
      <c r="Y66" s="167">
        <v>4189.9528682488681</v>
      </c>
      <c r="Z66" s="168">
        <v>2.2206219255328091E-2</v>
      </c>
      <c r="AA66" s="76">
        <f t="shared" si="162"/>
        <v>4.8054983826150387E-4</v>
      </c>
      <c r="AB66" s="168"/>
      <c r="AC66" s="168"/>
      <c r="AD66" s="163">
        <f t="shared" si="102"/>
        <v>220861.53195767745</v>
      </c>
      <c r="AE66" s="168">
        <f t="shared" si="174"/>
        <v>3.9332539742722862E-2</v>
      </c>
      <c r="AF66" s="163"/>
      <c r="AG66" s="163"/>
      <c r="AH66" s="163"/>
      <c r="AI66" s="163"/>
      <c r="AJ66" s="116">
        <f t="shared" si="175"/>
        <v>338.14618291808279</v>
      </c>
      <c r="AK66" s="114">
        <f>+AV66/$AX$16</f>
        <v>1.8376833722593074E-2</v>
      </c>
      <c r="AL66" s="115">
        <f t="shared" si="163"/>
        <v>0.25251251340340203</v>
      </c>
      <c r="AM66" s="115">
        <f t="shared" si="164"/>
        <v>0.36568528224001262</v>
      </c>
      <c r="AN66" s="115">
        <f t="shared" si="165"/>
        <v>0.38180220435658535</v>
      </c>
      <c r="AO66" s="115">
        <f t="shared" si="169"/>
        <v>7.4886677042865918E-5</v>
      </c>
      <c r="AP66" s="166">
        <f t="shared" si="177"/>
        <v>105.69788274894016</v>
      </c>
      <c r="AQ66" s="168">
        <f t="shared" si="178"/>
        <v>7.4886677042804769E-5</v>
      </c>
      <c r="AR66" s="69">
        <f>+AD66/$AF$16</f>
        <v>2.1640326646158024E-2</v>
      </c>
      <c r="AS66" s="169">
        <f t="shared" si="179"/>
        <v>1.6205721526516385E-6</v>
      </c>
      <c r="AT66" s="115"/>
      <c r="AU66" s="115"/>
      <c r="AV66" s="113">
        <f>IFERROR(INDEX('Total Customers'!$F$7:$AB$91,MATCH($C66,'Total Customers'!$D$7:$D$91,0),MATCH($G66,'Total Customers'!$F$5:$AB$5,0)),"NA")</f>
        <v>653154</v>
      </c>
      <c r="AW66" s="68">
        <f t="shared" si="6"/>
        <v>8.5774595761818563E-4</v>
      </c>
      <c r="AX66" s="114"/>
      <c r="AY66" s="114"/>
      <c r="AZ66" s="116"/>
      <c r="BA66" s="116"/>
      <c r="BB66" s="166"/>
      <c r="BC66" s="166"/>
      <c r="BD66" s="166"/>
      <c r="BE66" s="166"/>
      <c r="BF66" s="166"/>
      <c r="BG66" s="166"/>
      <c r="BH66" s="166"/>
      <c r="BI66" s="113"/>
      <c r="BJ66" s="113"/>
      <c r="BK66" s="113">
        <f>INDEX('Dist. Plant Gas Additions'!$F$7:$AE$91,MATCH($C66,'Dist. Plant Gas Additions'!$D$7:$D$91,0),MATCH(Calculation!$G66,'Dist. Plant Gas Additions'!$F$5:$AE$5,0))</f>
        <v>74924</v>
      </c>
      <c r="BL66" s="113">
        <f>INDEX('Gen. Plant Additions'!$F$7:$AE$91,MATCH($C66,'Gen. Plant Additions'!$D$7:$D$91,0),MATCH(Calculation!$G66,'Gen. Plant Additions'!$F$5:$AE$5,0))</f>
        <v>0</v>
      </c>
      <c r="BM66" s="231">
        <f t="shared" si="143"/>
        <v>0.99307510364177998</v>
      </c>
      <c r="BN66" s="61">
        <f t="shared" si="8"/>
        <v>0</v>
      </c>
      <c r="BO66" s="113">
        <f>INDEX('Dist Plant Depreciation'!$E$7:$AD$94,MATCH($C66,'Dist Plant Depreciation'!$D$7:$D$94,0),MATCH(Calculation!$G66,'Dist Plant Depreciation'!$E$5:$AD$5,0))</f>
        <v>416416</v>
      </c>
      <c r="BP66" s="113">
        <f>INDEX('Gen. Plant Depreciation'!$E$7:$AD$94,MATCH($C66,'Gen. Plant Depreciation'!$D$7:$D$94,0),MATCH(Calculation!$G66,'Gen. Plant Depreciation'!$E$5:$AD$5,0))</f>
        <v>4468</v>
      </c>
      <c r="BQ66" s="175">
        <v>1990</v>
      </c>
      <c r="BR66" s="175">
        <f t="shared" si="67"/>
        <v>43</v>
      </c>
      <c r="BS66" s="170">
        <v>273.07131432050255</v>
      </c>
      <c r="BT66" s="176">
        <f t="shared" si="141"/>
        <v>3.2428355957767725E-2</v>
      </c>
      <c r="BU66" s="177">
        <f t="shared" si="68"/>
        <v>8.855253782640732</v>
      </c>
      <c r="BV66" s="177"/>
      <c r="BW66" s="113">
        <f>INDEX('Gross Dx Plant'!$E$7:$AD$91,MATCH($C66,'Gross Dx Plant'!$D$7:$D$91,0),MATCH(Calculation!$G66,'Gross Dx Plant'!$E$5:$AD$5,0))</f>
        <v>1307437</v>
      </c>
      <c r="BX66" s="113">
        <f>INDEX('Gross Gen Plant'!$E$7:$AD$91,MATCH($C66,'Gross Gen Plant'!$D$7:$D$91,0),MATCH(Calculation!$G66,'Gross Gen Plant'!$E$5:$AD$5,0))</f>
        <v>9117</v>
      </c>
      <c r="BY66" s="113">
        <f t="shared" si="46"/>
        <v>895670</v>
      </c>
      <c r="BZ66" s="113"/>
      <c r="CA66" s="116">
        <v>2011</v>
      </c>
      <c r="CB66" s="113"/>
      <c r="CC66" s="113"/>
      <c r="CD66" s="113"/>
      <c r="CE66" s="175"/>
      <c r="CF66" s="113">
        <f t="shared" si="144"/>
        <v>74924</v>
      </c>
      <c r="CG66" s="113">
        <f t="shared" si="145"/>
        <v>122.50268262783896</v>
      </c>
      <c r="CH66" s="178">
        <v>0.92121212121212126</v>
      </c>
      <c r="CI66" s="61">
        <f>+CI53*CH66+CG54*CH65+CG55*CH64+CG56*CH63+CG57*CH62+CG58*CH61+CG59*CH60+CG60*CH59+CG61*CH58+CG62*CH57+CG63*CH56+CG64*CH55+CG65*CH54+CG66</f>
        <v>4189.9528682488681</v>
      </c>
      <c r="CJ66" s="114">
        <f t="shared" si="146"/>
        <v>2.2206219255328091E-2</v>
      </c>
      <c r="CK66" s="114"/>
      <c r="CL66" s="169">
        <f t="shared" si="147"/>
        <v>7.4391444444248875E-3</v>
      </c>
      <c r="CM66" s="169">
        <f t="shared" si="156"/>
        <v>7.1946260602442367E-3</v>
      </c>
      <c r="CN66" s="114">
        <f>VLOOKUP($H66,RoR!$E:$F,2,FALSE)</f>
        <v>4.6391666666666664E-2</v>
      </c>
      <c r="CO66" s="169">
        <v>2.0840920205183799E-2</v>
      </c>
      <c r="CP66" s="169">
        <f t="shared" si="153"/>
        <v>2.5550746461482865E-2</v>
      </c>
      <c r="CQ66" s="169">
        <f t="shared" si="157"/>
        <v>2.3707315548289389E-2</v>
      </c>
      <c r="CR66" s="69">
        <v>2.4810540821321614E-2</v>
      </c>
      <c r="CS66" s="179">
        <f t="shared" si="148"/>
        <v>0.85166083209999999</v>
      </c>
      <c r="CT66" s="180">
        <f t="shared" si="149"/>
        <v>1.1054151524782025</v>
      </c>
      <c r="CU66" s="180">
        <f t="shared" si="150"/>
        <v>0.43611011316687626</v>
      </c>
      <c r="CV66" s="180">
        <f t="shared" si="151"/>
        <v>0.83698442246886229</v>
      </c>
      <c r="CW66" s="180">
        <f t="shared" si="152"/>
        <v>0.40349573304423936</v>
      </c>
      <c r="CX66" s="181">
        <f>INDEX('State Tax Lookup'!$D$7:$Z$91,MATCH(Calculation!$C66,'State Tax Lookup'!$B$7:$B$91,0),MATCH($H66,'State Tax Lookup'!$D$6:$Z$6,0))</f>
        <v>0.40091666999999998</v>
      </c>
      <c r="CY66" s="72">
        <v>0.37</v>
      </c>
      <c r="CZ66" s="70">
        <f t="shared" si="155"/>
        <v>20.577538005744589</v>
      </c>
      <c r="DA66" s="70">
        <v>19.146574949201604</v>
      </c>
      <c r="DB66" s="69">
        <f t="shared" si="158"/>
        <v>6.3877922269904533E-2</v>
      </c>
      <c r="DC66" s="111">
        <f>VLOOKUP($H66,RoR!$E:$F,2,FALSE)</f>
        <v>4.6391666666666664E-2</v>
      </c>
      <c r="DD66" s="216">
        <f>HLOOKUP($H66,'GDP-PI'!$D$8:$CQ$11,3,FALSE)</f>
        <v>2.0840920205183799E-2</v>
      </c>
      <c r="DE66" s="111">
        <f>VLOOKUP(H66,'HW Dx Data'!$E:$F,2,FALSE)</f>
        <v>611.61109612283201</v>
      </c>
      <c r="DF66" s="72">
        <f t="shared" si="166"/>
        <v>120.875</v>
      </c>
      <c r="DG66" s="69">
        <f t="shared" si="167"/>
        <v>3.3224250161508609E-2</v>
      </c>
      <c r="DH66" s="66">
        <f>HLOOKUP(H66,'GDP-PI'!$8:$9,2,FALSE)</f>
        <v>98.111999999999995</v>
      </c>
      <c r="DI66" s="69">
        <f t="shared" si="159"/>
        <v>2.0626719212849295E-2</v>
      </c>
      <c r="DJ66" s="160" t="s">
        <v>92</v>
      </c>
      <c r="DK66" s="184"/>
      <c r="DL66" s="184">
        <v>1.3516542083719366E-2</v>
      </c>
      <c r="DM66" s="184">
        <f>+Calculation!DR63+DM62+Calculation!DN62</f>
        <v>1.7368212406589041E-2</v>
      </c>
      <c r="DN66" s="184"/>
      <c r="DO66" s="184">
        <f>+Calculation!DL66-Calculation!DM66</f>
        <v>-3.8516703228696752E-3</v>
      </c>
      <c r="DP66" s="184"/>
      <c r="DQ66" s="184"/>
      <c r="DR66" s="184"/>
      <c r="DS66" s="184"/>
      <c r="DT66" s="184"/>
      <c r="DU66" s="184"/>
      <c r="DV66" s="184"/>
      <c r="DW66" s="184"/>
      <c r="DX66" s="184"/>
      <c r="EB66">
        <f t="shared" si="154"/>
        <v>2011</v>
      </c>
    </row>
    <row r="67" spans="1:132" s="160" customFormat="1" ht="21">
      <c r="A67" s="160" t="s">
        <v>154</v>
      </c>
      <c r="B67" s="161" t="s">
        <v>154</v>
      </c>
      <c r="C67" s="161">
        <v>4007784</v>
      </c>
      <c r="D67" s="161" t="s">
        <v>155</v>
      </c>
      <c r="E67" s="161"/>
      <c r="F67" s="161"/>
      <c r="G67" s="161" t="s">
        <v>128</v>
      </c>
      <c r="H67" s="162">
        <v>2012</v>
      </c>
      <c r="I67" s="163"/>
      <c r="J67" s="159">
        <f>IFERROR(INDEX('Labor Expenditures'!$F$7:$X$91,MATCH($C67,'Labor Expenditures'!$D$7:$D$91,0),MATCH($G67,'Labor Expenditures'!$F$5:$X$5,0)),"NA")</f>
        <v>62189.538251120946</v>
      </c>
      <c r="K67" s="159">
        <f t="shared" si="160"/>
        <v>498.31360778141777</v>
      </c>
      <c r="L67" s="165">
        <f t="shared" si="168"/>
        <v>7.6989808654477271E-2</v>
      </c>
      <c r="M67" s="76">
        <f t="shared" si="170"/>
        <v>1.7662273089992925E-3</v>
      </c>
      <c r="N67" s="62">
        <f t="shared" si="176"/>
        <v>95.673782541272487</v>
      </c>
      <c r="O67" s="96">
        <f t="shared" si="171"/>
        <v>-2.4066779067165853E-2</v>
      </c>
      <c r="P67" s="96"/>
      <c r="Q67" s="159">
        <f>IFERROR(INDEX('Non-Labor Expenditures'!$F$7:$AB$91,MATCH($C67,'Non-Labor Expenditures'!$D$7:$D$91,0),MATCH($G67,'Non-Labor Expenditures'!$F$5:$AB$5,0)),"NA")</f>
        <v>90062.066791145538</v>
      </c>
      <c r="R67" s="159">
        <f t="shared" si="161"/>
        <v>900.62066791145537</v>
      </c>
      <c r="S67" s="165">
        <f t="shared" si="172"/>
        <v>8.9884808077604003E-2</v>
      </c>
      <c r="T67" s="165">
        <f t="shared" si="173"/>
        <v>2.0620521789229311E-3</v>
      </c>
      <c r="U67" s="165"/>
      <c r="V67" s="165"/>
      <c r="W67" s="159">
        <f t="shared" si="142"/>
        <v>93080.769378742407</v>
      </c>
      <c r="X67" s="163"/>
      <c r="Y67" s="167">
        <v>4406.011583088095</v>
      </c>
      <c r="Z67" s="168">
        <v>5.02803920689808E-2</v>
      </c>
      <c r="AA67" s="76">
        <f t="shared" si="162"/>
        <v>1.15348515773017E-3</v>
      </c>
      <c r="AB67" s="168"/>
      <c r="AC67" s="168"/>
      <c r="AD67" s="163">
        <f t="shared" si="102"/>
        <v>245332.37442100889</v>
      </c>
      <c r="AE67" s="168">
        <f t="shared" si="174"/>
        <v>0.10507796851893438</v>
      </c>
      <c r="AF67" s="163"/>
      <c r="AG67" s="163"/>
      <c r="AH67" s="163"/>
      <c r="AI67" s="163"/>
      <c r="AJ67" s="116">
        <f t="shared" si="175"/>
        <v>374.52179499585361</v>
      </c>
      <c r="AK67" s="114">
        <f>+AV67/$AX$17</f>
        <v>1.8341995395061667E-2</v>
      </c>
      <c r="AL67" s="115">
        <f t="shared" si="163"/>
        <v>0.25349095649479592</v>
      </c>
      <c r="AM67" s="115">
        <f t="shared" si="164"/>
        <v>0.36710225058431234</v>
      </c>
      <c r="AN67" s="115">
        <f t="shared" si="165"/>
        <v>0.3794067929208918</v>
      </c>
      <c r="AO67" s="115">
        <f t="shared" si="169"/>
        <v>7.1548731952543243E-2</v>
      </c>
      <c r="AP67" s="166">
        <f t="shared" si="177"/>
        <v>113.53754712288169</v>
      </c>
      <c r="AQ67" s="168">
        <f t="shared" si="178"/>
        <v>7.1548731952543174E-2</v>
      </c>
      <c r="AR67" s="69">
        <f>+AD67/$AF$17</f>
        <v>2.2941053366244198E-2</v>
      </c>
      <c r="AS67" s="169">
        <f t="shared" si="179"/>
        <v>1.6414032780103943E-3</v>
      </c>
      <c r="AT67" s="115"/>
      <c r="AU67" s="115"/>
      <c r="AV67" s="113">
        <f>IFERROR(INDEX('Total Customers'!$F$7:$AB$91,MATCH($C67,'Total Customers'!$D$7:$D$91,0),MATCH($G67,'Total Customers'!$F$5:$AB$5,0)),"NA")</f>
        <v>655055</v>
      </c>
      <c r="AW67" s="68">
        <f t="shared" si="6"/>
        <v>2.9062654943468121E-3</v>
      </c>
      <c r="AX67" s="114"/>
      <c r="AY67" s="114"/>
      <c r="AZ67" s="116"/>
      <c r="BA67" s="116"/>
      <c r="BB67" s="166"/>
      <c r="BC67" s="166"/>
      <c r="BD67" s="166"/>
      <c r="BE67" s="166"/>
      <c r="BF67" s="166"/>
      <c r="BG67" s="166"/>
      <c r="BH67" s="166"/>
      <c r="BI67" s="113"/>
      <c r="BJ67" s="113"/>
      <c r="BK67" s="113">
        <f>INDEX('Dist. Plant Gas Additions'!$F$7:$AE$91,MATCH($C67,'Dist. Plant Gas Additions'!$D$7:$D$91,0),MATCH(Calculation!$G67,'Dist. Plant Gas Additions'!$F$5:$AE$5,0))</f>
        <v>164182</v>
      </c>
      <c r="BL67" s="113">
        <f>INDEX('Gen. Plant Additions'!$F$7:$AE$91,MATCH($C67,'Gen. Plant Additions'!$D$7:$D$91,0),MATCH(Calculation!$G67,'Gen. Plant Additions'!$F$5:$AE$5,0))</f>
        <v>1882</v>
      </c>
      <c r="BM67" s="231">
        <f t="shared" si="143"/>
        <v>0.99268580891091385</v>
      </c>
      <c r="BN67" s="61">
        <f t="shared" si="8"/>
        <v>1868.2346923703399</v>
      </c>
      <c r="BO67" s="113">
        <f>INDEX('Dist Plant Depreciation'!$E$7:$AD$94,MATCH($C67,'Dist Plant Depreciation'!$D$7:$D$94,0),MATCH(Calculation!$G67,'Dist Plant Depreciation'!$E$5:$AD$5,0))</f>
        <v>438695</v>
      </c>
      <c r="BP67" s="113">
        <f>INDEX('Gen. Plant Depreciation'!$E$7:$AD$94,MATCH($C67,'Gen. Plant Depreciation'!$D$7:$D$94,0),MATCH(Calculation!$G67,'Gen. Plant Depreciation'!$E$5:$AD$5,0))</f>
        <v>5442</v>
      </c>
      <c r="BQ67" s="175">
        <v>1991</v>
      </c>
      <c r="BR67" s="175">
        <f t="shared" si="67"/>
        <v>44</v>
      </c>
      <c r="BS67" s="170">
        <v>278.97127510573875</v>
      </c>
      <c r="BT67" s="176">
        <f t="shared" si="141"/>
        <v>3.3182503770739065E-2</v>
      </c>
      <c r="BU67" s="177">
        <f t="shared" si="68"/>
        <v>9.2569653881240619</v>
      </c>
      <c r="BV67" s="177"/>
      <c r="BW67" s="113">
        <f>INDEX('Gross Dx Plant'!$E$7:$AD$91,MATCH($C67,'Gross Dx Plant'!$D$7:$D$91,0),MATCH(Calculation!$G67,'Gross Dx Plant'!$E$5:$AD$5,0))</f>
        <v>1465103</v>
      </c>
      <c r="BX67" s="113">
        <f>INDEX('Gross Gen Plant'!$E$7:$AD$91,MATCH($C67,'Gross Gen Plant'!$D$7:$D$91,0),MATCH(Calculation!$G67,'Gross Gen Plant'!$E$5:$AD$5,0))</f>
        <v>10795</v>
      </c>
      <c r="BY67" s="113">
        <f t="shared" si="46"/>
        <v>1031761</v>
      </c>
      <c r="BZ67" s="113"/>
      <c r="CA67" s="116">
        <v>2012</v>
      </c>
      <c r="CB67" s="113"/>
      <c r="CC67" s="113"/>
      <c r="CD67" s="113"/>
      <c r="CE67" s="175"/>
      <c r="CF67" s="113">
        <f t="shared" si="144"/>
        <v>166064</v>
      </c>
      <c r="CG67" s="113">
        <f t="shared" si="145"/>
        <v>248.25714329125159</v>
      </c>
      <c r="CH67" s="178">
        <v>0.9135802469135802</v>
      </c>
      <c r="CI67" s="61">
        <f>+CI53*CH67+CG54*CH66+CG55*CH65+CG56*CH64+CG57*CH63+CG58*CH62+CG59*CH61+CG60*CH60+CG61*CH59+CG62*CH58+CG63*CH57+CG64*CH56+CG65*CH55+CG66*CH54+CG67</f>
        <v>4406.011583088095</v>
      </c>
      <c r="CJ67" s="114">
        <f t="shared" si="146"/>
        <v>5.02803920689808E-2</v>
      </c>
      <c r="CK67" s="114"/>
      <c r="CL67" s="169">
        <f t="shared" si="147"/>
        <v>7.6846755714179557E-3</v>
      </c>
      <c r="CM67" s="169">
        <f t="shared" si="156"/>
        <v>7.4402622329936274E-3</v>
      </c>
      <c r="CN67" s="114">
        <f>VLOOKUP($H67,RoR!$E:$F,2,FALSE)</f>
        <v>3.6733333333333333E-2</v>
      </c>
      <c r="CO67" s="169">
        <v>1.924331376386168E-2</v>
      </c>
      <c r="CP67" s="169">
        <f t="shared" si="153"/>
        <v>1.7490019569471653E-2</v>
      </c>
      <c r="CQ67" s="169">
        <f t="shared" si="157"/>
        <v>2.3461679375539998E-2</v>
      </c>
      <c r="CR67" s="69">
        <v>6.7122682943869583E-2</v>
      </c>
      <c r="CS67" s="179">
        <f t="shared" si="148"/>
        <v>0.85166083209999999</v>
      </c>
      <c r="CT67" s="180">
        <f t="shared" si="149"/>
        <v>1.3960631020522127</v>
      </c>
      <c r="CU67" s="180">
        <f t="shared" si="150"/>
        <v>0.29441923774954631</v>
      </c>
      <c r="CV67" s="180">
        <f t="shared" si="151"/>
        <v>0.76377954189366437</v>
      </c>
      <c r="CW67" s="180">
        <f t="shared" si="152"/>
        <v>0.31393465103033691</v>
      </c>
      <c r="CX67" s="181">
        <f>INDEX('State Tax Lookup'!$D$7:$Z$91,MATCH(Calculation!$C67,'State Tax Lookup'!$B$7:$B$91,0),MATCH($H67,'State Tax Lookup'!$D$6:$Z$6,0))</f>
        <v>0.40091666999999998</v>
      </c>
      <c r="CY67" s="72">
        <v>0.37</v>
      </c>
      <c r="CZ67" s="70">
        <f t="shared" si="155"/>
        <v>22.215230649514254</v>
      </c>
      <c r="DA67" s="70">
        <v>20.759737328210988</v>
      </c>
      <c r="DB67" s="69">
        <f t="shared" si="158"/>
        <v>7.6578026117139333E-2</v>
      </c>
      <c r="DC67" s="111">
        <f>VLOOKUP($H67,RoR!$E:$F,2,FALSE)</f>
        <v>3.6733333333333333E-2</v>
      </c>
      <c r="DD67" s="216">
        <f>HLOOKUP($H67,'GDP-PI'!$D$8:$CQ$11,3,FALSE)</f>
        <v>1.924331376386168E-2</v>
      </c>
      <c r="DE67" s="111">
        <f>VLOOKUP(H67,'HW Dx Data'!$E:$F,2,FALSE)</f>
        <v>668.91932211262167</v>
      </c>
      <c r="DF67" s="72">
        <f t="shared" si="166"/>
        <v>124.80000000000001</v>
      </c>
      <c r="DG67" s="69">
        <f t="shared" si="167"/>
        <v>3.1955502161869064E-2</v>
      </c>
      <c r="DH67" s="66">
        <f>HLOOKUP(H67,'GDP-PI'!$8:$9,2,FALSE)</f>
        <v>100</v>
      </c>
      <c r="DI67" s="69">
        <f t="shared" si="159"/>
        <v>1.9060502738742411E-2</v>
      </c>
      <c r="DJ67" s="160" t="s">
        <v>93</v>
      </c>
      <c r="DK67" s="184"/>
      <c r="DL67" s="184">
        <v>1.3516542083719366E-2</v>
      </c>
      <c r="DM67" s="184">
        <f>+DM62+Calculation!DN62+Calculation!DT63</f>
        <v>1.5806024026802541E-2</v>
      </c>
      <c r="DN67" s="184"/>
      <c r="DO67" s="184">
        <f>+Calculation!DL67-Calculation!DM67</f>
        <v>-2.2894819430831752E-3</v>
      </c>
      <c r="DP67" s="184"/>
      <c r="DQ67" s="184"/>
      <c r="DR67" s="184"/>
      <c r="DS67" s="184"/>
      <c r="DT67" s="184"/>
      <c r="DU67" s="184"/>
      <c r="DV67" s="184"/>
      <c r="DW67" s="184"/>
      <c r="DX67" s="184"/>
      <c r="EB67">
        <f t="shared" si="154"/>
        <v>2012</v>
      </c>
    </row>
    <row r="68" spans="1:132" s="160" customFormat="1" ht="21">
      <c r="A68" s="160" t="s">
        <v>154</v>
      </c>
      <c r="B68" s="161" t="s">
        <v>154</v>
      </c>
      <c r="C68" s="161">
        <v>4007784</v>
      </c>
      <c r="D68" s="161" t="s">
        <v>155</v>
      </c>
      <c r="E68" s="161"/>
      <c r="F68" s="161"/>
      <c r="G68" s="161" t="s">
        <v>129</v>
      </c>
      <c r="H68" s="162">
        <v>2013</v>
      </c>
      <c r="I68" s="163"/>
      <c r="J68" s="159">
        <f>IFERROR(INDEX('Labor Expenditures'!$F$7:$X$91,MATCH($C68,'Labor Expenditures'!$D$7:$D$91,0),MATCH($G68,'Labor Expenditures'!$F$5:$X$5,0)),"NA")</f>
        <v>63893.299510141856</v>
      </c>
      <c r="K68" s="159">
        <f t="shared" si="160"/>
        <v>503.89037468566136</v>
      </c>
      <c r="L68" s="165">
        <f t="shared" si="168"/>
        <v>1.1129120542271319E-2</v>
      </c>
      <c r="M68" s="76">
        <f t="shared" si="170"/>
        <v>2.5350534937100262E-4</v>
      </c>
      <c r="N68" s="62">
        <f t="shared" si="176"/>
        <v>99.277728814028748</v>
      </c>
      <c r="O68" s="96">
        <f t="shared" si="171"/>
        <v>3.6976957773824093E-2</v>
      </c>
      <c r="P68" s="96"/>
      <c r="Q68" s="159">
        <f>IFERROR(INDEX('Non-Labor Expenditures'!$F$7:$AB$91,MATCH($C68,'Non-Labor Expenditures'!$D$7:$D$91,0),MATCH($G68,'Non-Labor Expenditures'!$F$5:$AB$5,0)),"NA")</f>
        <v>92529.431312916073</v>
      </c>
      <c r="R68" s="159">
        <f t="shared" si="161"/>
        <v>909.17464664415979</v>
      </c>
      <c r="S68" s="165">
        <f t="shared" si="172"/>
        <v>9.453049593558957E-3</v>
      </c>
      <c r="T68" s="165">
        <f t="shared" si="173"/>
        <v>2.153268652931224E-4</v>
      </c>
      <c r="U68" s="165"/>
      <c r="V68" s="165"/>
      <c r="W68" s="159">
        <f t="shared" si="142"/>
        <v>96219.606243046495</v>
      </c>
      <c r="X68" s="163"/>
      <c r="Y68" s="167">
        <v>4544.2679321667638</v>
      </c>
      <c r="Z68" s="168">
        <v>3.0896766313889913E-2</v>
      </c>
      <c r="AA68" s="76">
        <f t="shared" si="162"/>
        <v>7.0378387124903671E-4</v>
      </c>
      <c r="AB68" s="168"/>
      <c r="AC68" s="168"/>
      <c r="AD68" s="163">
        <f t="shared" si="102"/>
        <v>252642.33706610443</v>
      </c>
      <c r="AE68" s="168">
        <f t="shared" si="174"/>
        <v>2.9360879599746478E-2</v>
      </c>
      <c r="AF68" s="163"/>
      <c r="AG68" s="163"/>
      <c r="AH68" s="163"/>
      <c r="AI68" s="163"/>
      <c r="AJ68" s="116">
        <f t="shared" si="175"/>
        <v>385.305832250923</v>
      </c>
      <c r="AK68" s="114">
        <f>+AV68/$AX$18</f>
        <v>1.8242846513172494E-2</v>
      </c>
      <c r="AL68" s="115">
        <f t="shared" si="163"/>
        <v>0.25290020766956423</v>
      </c>
      <c r="AM68" s="115">
        <f t="shared" si="164"/>
        <v>0.3662467359487161</v>
      </c>
      <c r="AN68" s="115">
        <f t="shared" si="165"/>
        <v>0.38085305638171968</v>
      </c>
      <c r="AO68" s="115">
        <f t="shared" si="169"/>
        <v>1.8028821774172567E-2</v>
      </c>
      <c r="AP68" s="166">
        <f t="shared" si="177"/>
        <v>115.60305874786762</v>
      </c>
      <c r="AQ68" s="168">
        <f t="shared" si="178"/>
        <v>1.8028821774172671E-2</v>
      </c>
      <c r="AR68" s="69">
        <f>+AD68/$AF$18</f>
        <v>2.2778560840285879E-2</v>
      </c>
      <c r="AS68" s="169">
        <f t="shared" si="179"/>
        <v>4.1067061366166296E-4</v>
      </c>
      <c r="AT68" s="115"/>
      <c r="AU68" s="115"/>
      <c r="AV68" s="113">
        <f>IFERROR(INDEX('Total Customers'!$F$7:$AB$91,MATCH($C68,'Total Customers'!$D$7:$D$91,0),MATCH($G68,'Total Customers'!$F$5:$AB$5,0)),"NA")</f>
        <v>655693</v>
      </c>
      <c r="AW68" s="68">
        <f t="shared" ref="AW68:AW131" si="180">LN(AV68/AV67)</f>
        <v>9.7349002307873449E-4</v>
      </c>
      <c r="AX68" s="114"/>
      <c r="AY68" s="114"/>
      <c r="AZ68" s="116"/>
      <c r="BA68" s="116"/>
      <c r="BB68" s="166"/>
      <c r="BC68" s="166"/>
      <c r="BD68" s="166"/>
      <c r="BE68" s="166"/>
      <c r="BF68" s="166"/>
      <c r="BG68" s="166"/>
      <c r="BH68" s="166"/>
      <c r="BI68" s="113"/>
      <c r="BJ68" s="113"/>
      <c r="BK68" s="113">
        <f>INDEX('Dist. Plant Gas Additions'!$F$7:$AE$91,MATCH($C68,'Dist. Plant Gas Additions'!$D$7:$D$91,0),MATCH(Calculation!$G68,'Dist. Plant Gas Additions'!$F$5:$AE$5,0))</f>
        <v>111865</v>
      </c>
      <c r="BL68" s="113">
        <f>INDEX('Gen. Plant Additions'!$F$7:$AE$91,MATCH($C68,'Gen. Plant Additions'!$D$7:$D$91,0),MATCH(Calculation!$G68,'Gen. Plant Additions'!$F$5:$AE$5,0))</f>
        <v>2793</v>
      </c>
      <c r="BM68" s="231">
        <f t="shared" si="143"/>
        <v>0.99306313751655395</v>
      </c>
      <c r="BN68" s="61">
        <f t="shared" ref="BN68:BN82" si="181">+BM68*BL68</f>
        <v>2773.6253430837351</v>
      </c>
      <c r="BO68" s="113">
        <f>INDEX('Dist Plant Depreciation'!$E$7:$AD$94,MATCH($C68,'Dist Plant Depreciation'!$D$7:$D$94,0),MATCH(Calculation!$G68,'Dist Plant Depreciation'!$E$5:$AD$5,0))</f>
        <v>466405</v>
      </c>
      <c r="BP68" s="113">
        <f>INDEX('Gen. Plant Depreciation'!$E$7:$AD$94,MATCH($C68,'Gen. Plant Depreciation'!$D$7:$D$94,0),MATCH(Calculation!$G68,'Gen. Plant Depreciation'!$E$5:$AD$5,0))</f>
        <v>1829</v>
      </c>
      <c r="BQ68" s="175">
        <v>1992</v>
      </c>
      <c r="BR68" s="175">
        <f t="shared" si="67"/>
        <v>45</v>
      </c>
      <c r="BS68" s="170">
        <v>283.70602338479029</v>
      </c>
      <c r="BT68" s="176">
        <f t="shared" si="141"/>
        <v>3.3936651583710405E-2</v>
      </c>
      <c r="BU68" s="177">
        <f t="shared" si="68"/>
        <v>9.628032467809625</v>
      </c>
      <c r="BV68" s="177"/>
      <c r="BW68" s="113">
        <f>INDEX('Gross Dx Plant'!$E$7:$AD$91,MATCH($C68,'Gross Dx Plant'!$D$7:$D$91,0),MATCH(Calculation!$G68,'Gross Dx Plant'!$E$5:$AD$5,0))</f>
        <v>1571725</v>
      </c>
      <c r="BX68" s="113">
        <f>INDEX('Gross Gen Plant'!$E$7:$AD$91,MATCH($C68,'Gross Gen Plant'!$D$7:$D$91,0),MATCH(Calculation!$G68,'Gross Gen Plant'!$E$5:$AD$5,0))</f>
        <v>10979</v>
      </c>
      <c r="BY68" s="113">
        <f t="shared" si="46"/>
        <v>1114470</v>
      </c>
      <c r="BZ68" s="113"/>
      <c r="CA68" s="116">
        <v>2013</v>
      </c>
      <c r="CB68" s="113"/>
      <c r="CC68" s="113"/>
      <c r="CD68" s="113"/>
      <c r="CE68" s="175"/>
      <c r="CF68" s="113">
        <f t="shared" si="144"/>
        <v>114658</v>
      </c>
      <c r="CG68" s="113">
        <f t="shared" si="145"/>
        <v>172.87338959465842</v>
      </c>
      <c r="CH68" s="178">
        <v>0.90566037735849059</v>
      </c>
      <c r="CI68" s="61">
        <f>+CI53*CH68+CG54*CH67+CG55*CH66+CG56*CH65+CG57*CH64+CG58*CH63+CG59*CH62+CG60*CH61+CG61*CH60+CG62*CH59+CG63*CH58+CG64*CH57+CG65*CH56+CG66*CH55+CG67*CH54+CG68</f>
        <v>4544.2679321667638</v>
      </c>
      <c r="CJ68" s="114">
        <f t="shared" si="146"/>
        <v>3.0896766313889913E-2</v>
      </c>
      <c r="CK68" s="114"/>
      <c r="CL68" s="169">
        <f t="shared" si="147"/>
        <v>7.8567747413244796E-3</v>
      </c>
      <c r="CM68" s="169">
        <f t="shared" si="156"/>
        <v>7.660198252389107E-3</v>
      </c>
      <c r="CN68" s="114">
        <f>VLOOKUP($H68,RoR!$E:$F,2,FALSE)</f>
        <v>4.2350000000000006E-2</v>
      </c>
      <c r="CO68" s="169">
        <v>1.7730000000000024E-2</v>
      </c>
      <c r="CP68" s="169">
        <f t="shared" si="153"/>
        <v>2.4619999999999982E-2</v>
      </c>
      <c r="CQ68" s="169">
        <f t="shared" si="157"/>
        <v>2.3241743356144519E-2</v>
      </c>
      <c r="CR68" s="69">
        <v>5.3376742735721204E-2</v>
      </c>
      <c r="CS68" s="179">
        <f t="shared" si="148"/>
        <v>0.85166083209999999</v>
      </c>
      <c r="CT68" s="180">
        <f t="shared" si="149"/>
        <v>1.2109103018193925</v>
      </c>
      <c r="CU68" s="180">
        <f t="shared" si="150"/>
        <v>0.38468122786304604</v>
      </c>
      <c r="CV68" s="180">
        <f t="shared" si="151"/>
        <v>0.80969194503422559</v>
      </c>
      <c r="CW68" s="180">
        <f t="shared" si="152"/>
        <v>0.37716621754800816</v>
      </c>
      <c r="CX68" s="181">
        <f>INDEX('State Tax Lookup'!$D$7:$Z$91,MATCH(Calculation!$C68,'State Tax Lookup'!$B$7:$B$91,0),MATCH($H68,'State Tax Lookup'!$D$6:$Z$6,0))</f>
        <v>0.40091666999999998</v>
      </c>
      <c r="CY68" s="72">
        <v>0.37</v>
      </c>
      <c r="CZ68" s="70">
        <f t="shared" si="155"/>
        <v>21.838255399139893</v>
      </c>
      <c r="DA68" s="70">
        <v>20.339519021246105</v>
      </c>
      <c r="DB68" s="69">
        <f t="shared" si="158"/>
        <v>-1.7114852242175342E-2</v>
      </c>
      <c r="DC68" s="111">
        <f>VLOOKUP($H68,RoR!$E:$F,2,FALSE)</f>
        <v>4.2350000000000006E-2</v>
      </c>
      <c r="DD68" s="216">
        <f>HLOOKUP($H68,'GDP-PI'!$D$8:$CQ$11,3,FALSE)</f>
        <v>1.7730000000000024E-2</v>
      </c>
      <c r="DE68" s="111">
        <f>VLOOKUP(H68,'HW Dx Data'!$E:$F,2,FALSE)</f>
        <v>663.24840548821396</v>
      </c>
      <c r="DF68" s="72">
        <f t="shared" si="166"/>
        <v>126.8</v>
      </c>
      <c r="DG68" s="69">
        <f t="shared" si="167"/>
        <v>1.5898586067798204E-2</v>
      </c>
      <c r="DH68" s="66">
        <f>HLOOKUP(H68,'GDP-PI'!$8:$9,2,FALSE)</f>
        <v>101.773</v>
      </c>
      <c r="DI68" s="69">
        <f t="shared" si="159"/>
        <v>1.7574657016510519E-2</v>
      </c>
      <c r="DJ68" s="160" t="s">
        <v>94</v>
      </c>
      <c r="DK68" s="184"/>
      <c r="DL68" s="184">
        <v>1.3516542083719366E-2</v>
      </c>
      <c r="DM68" s="184">
        <f>+DM62+Calculation!DN62+Calculation!DV63</f>
        <v>1.3501070721550346E-2</v>
      </c>
      <c r="DN68" s="184"/>
      <c r="DO68" s="184">
        <f>+Calculation!DM68-Calculation!DL68</f>
        <v>-1.5471362169020009E-5</v>
      </c>
      <c r="DP68" s="184"/>
      <c r="DQ68" s="184"/>
      <c r="DR68" s="184"/>
      <c r="DS68" s="184"/>
      <c r="DT68" s="184"/>
      <c r="DU68" s="184"/>
      <c r="DV68" s="184"/>
      <c r="DW68" s="184"/>
      <c r="DX68" s="184"/>
      <c r="EB68">
        <f t="shared" si="154"/>
        <v>2013</v>
      </c>
    </row>
    <row r="69" spans="1:132" s="160" customFormat="1" ht="21">
      <c r="A69" s="160" t="s">
        <v>154</v>
      </c>
      <c r="B69" s="161" t="s">
        <v>154</v>
      </c>
      <c r="C69" s="161">
        <v>4007784</v>
      </c>
      <c r="D69" s="161" t="s">
        <v>155</v>
      </c>
      <c r="E69" s="161"/>
      <c r="F69" s="161"/>
      <c r="G69" s="161" t="s">
        <v>130</v>
      </c>
      <c r="H69" s="162">
        <v>2014</v>
      </c>
      <c r="I69" s="163"/>
      <c r="J69" s="159">
        <f>IFERROR(INDEX('Labor Expenditures'!$F$7:$X$91,MATCH($C69,'Labor Expenditures'!$D$7:$D$91,0),MATCH($G69,'Labor Expenditures'!$F$5:$X$5,0)),"NA")</f>
        <v>70741.963792666967</v>
      </c>
      <c r="K69" s="159">
        <f t="shared" si="160"/>
        <v>546.69214677486059</v>
      </c>
      <c r="L69" s="165">
        <f t="shared" si="168"/>
        <v>8.1527107149740777E-2</v>
      </c>
      <c r="M69" s="76">
        <f t="shared" si="170"/>
        <v>1.9674882077297391E-3</v>
      </c>
      <c r="N69" s="62">
        <f t="shared" si="176"/>
        <v>98.421291664381698</v>
      </c>
      <c r="O69" s="96">
        <f t="shared" si="171"/>
        <v>-8.6641047088765952E-3</v>
      </c>
      <c r="P69" s="96"/>
      <c r="Q69" s="159">
        <f>IFERROR(INDEX('Non-Labor Expenditures'!$F$7:$AB$91,MATCH($C69,'Non-Labor Expenditures'!$D$7:$D$91,0),MATCH($G69,'Non-Labor Expenditures'!$F$5:$AB$5,0)),"NA")</f>
        <v>102447.57634805454</v>
      </c>
      <c r="R69" s="159">
        <f t="shared" si="161"/>
        <v>988.42780155773482</v>
      </c>
      <c r="S69" s="165">
        <f t="shared" si="172"/>
        <v>8.3578395315159537E-2</v>
      </c>
      <c r="T69" s="165">
        <f t="shared" si="173"/>
        <v>2.0169918074184204E-3</v>
      </c>
      <c r="U69" s="165"/>
      <c r="V69" s="165"/>
      <c r="W69" s="159">
        <f t="shared" si="142"/>
        <v>101557.6592856283</v>
      </c>
      <c r="X69" s="163"/>
      <c r="Y69" s="167">
        <v>4668.8866816186182</v>
      </c>
      <c r="Z69" s="168">
        <v>2.705400169346556E-2</v>
      </c>
      <c r="AA69" s="76">
        <f t="shared" si="162"/>
        <v>6.5289240799418116E-4</v>
      </c>
      <c r="AB69" s="168"/>
      <c r="AC69" s="168"/>
      <c r="AD69" s="163">
        <f t="shared" si="102"/>
        <v>274747.19942634983</v>
      </c>
      <c r="AE69" s="168">
        <f t="shared" si="174"/>
        <v>8.3876599018222434E-2</v>
      </c>
      <c r="AF69" s="163"/>
      <c r="AG69" s="163"/>
      <c r="AH69" s="163"/>
      <c r="AI69" s="163"/>
      <c r="AJ69" s="116">
        <f t="shared" si="175"/>
        <v>420.21455161824372</v>
      </c>
      <c r="AK69" s="114">
        <f>+AV69/$AX$19</f>
        <v>1.8093695491727402E-2</v>
      </c>
      <c r="AL69" s="115">
        <f t="shared" si="163"/>
        <v>0.257480199763166</v>
      </c>
      <c r="AM69" s="115">
        <f t="shared" si="164"/>
        <v>0.37287941992477769</v>
      </c>
      <c r="AN69" s="115">
        <f t="shared" si="165"/>
        <v>0.36964038031205615</v>
      </c>
      <c r="AO69" s="115">
        <f t="shared" si="169"/>
        <v>6.1844333457256921E-2</v>
      </c>
      <c r="AP69" s="166">
        <f t="shared" si="177"/>
        <v>122.97815636859393</v>
      </c>
      <c r="AQ69" s="168">
        <f t="shared" si="178"/>
        <v>6.1844333457256991E-2</v>
      </c>
      <c r="AR69" s="69">
        <f>+AD69/$AF$19</f>
        <v>2.4132932916607171E-2</v>
      </c>
      <c r="AS69" s="169">
        <f t="shared" si="179"/>
        <v>1.4924851505962674E-3</v>
      </c>
      <c r="AT69" s="115"/>
      <c r="AU69" s="115"/>
      <c r="AV69" s="113">
        <f>IFERROR(INDEX('Total Customers'!$F$7:$AB$91,MATCH($C69,'Total Customers'!$D$7:$D$91,0),MATCH($G69,'Total Customers'!$F$5:$AB$5,0)),"NA")</f>
        <v>653826</v>
      </c>
      <c r="AW69" s="68">
        <f t="shared" si="180"/>
        <v>-2.8514305863366388E-3</v>
      </c>
      <c r="AX69" s="114"/>
      <c r="AY69" s="114"/>
      <c r="AZ69" s="116"/>
      <c r="BA69" s="116"/>
      <c r="BB69" s="166"/>
      <c r="BC69" s="166"/>
      <c r="BD69" s="166"/>
      <c r="BE69" s="166"/>
      <c r="BF69" s="166"/>
      <c r="BG69" s="166"/>
      <c r="BH69" s="166"/>
      <c r="BI69" s="113"/>
      <c r="BJ69" s="113"/>
      <c r="BK69" s="113">
        <f>INDEX('Dist. Plant Gas Additions'!$F$7:$AE$91,MATCH($C69,'Dist. Plant Gas Additions'!$D$7:$D$91,0),MATCH(Calculation!$G69,'Dist. Plant Gas Additions'!$F$5:$AE$5,0))</f>
        <v>108610</v>
      </c>
      <c r="BL69" s="113">
        <f>INDEX('Gen. Plant Additions'!$F$7:$AE$91,MATCH($C69,'Gen. Plant Additions'!$D$7:$D$91,0),MATCH(Calculation!$G69,'Gen. Plant Additions'!$F$5:$AE$5,0))</f>
        <v>1852</v>
      </c>
      <c r="BM69" s="231">
        <f t="shared" si="143"/>
        <v>0.99311078719808277</v>
      </c>
      <c r="BN69" s="61">
        <f t="shared" si="181"/>
        <v>1839.2411778908493</v>
      </c>
      <c r="BO69" s="113">
        <f>INDEX('Dist Plant Depreciation'!$E$7:$AD$94,MATCH($C69,'Dist Plant Depreciation'!$D$7:$D$94,0),MATCH(Calculation!$G69,'Dist Plant Depreciation'!$E$5:$AD$5,0))</f>
        <v>491489</v>
      </c>
      <c r="BP69" s="113">
        <f>INDEX('Gen. Plant Depreciation'!$E$7:$AD$94,MATCH($C69,'Gen. Plant Depreciation'!$D$7:$D$94,0),MATCH(Calculation!$G69,'Gen. Plant Depreciation'!$E$5:$AD$5,0))</f>
        <v>74</v>
      </c>
      <c r="BQ69" s="175">
        <v>1993</v>
      </c>
      <c r="BR69" s="175">
        <f t="shared" si="67"/>
        <v>46</v>
      </c>
      <c r="BS69" s="170">
        <v>290.39560884623262</v>
      </c>
      <c r="BT69" s="176">
        <f t="shared" si="141"/>
        <v>3.4690799396681751E-2</v>
      </c>
      <c r="BU69" s="177">
        <f t="shared" si="68"/>
        <v>10.074055812161916</v>
      </c>
      <c r="BV69" s="177"/>
      <c r="BW69" s="113">
        <f>INDEX('Gross Dx Plant'!$E$7:$AD$91,MATCH($C69,'Gross Dx Plant'!$D$7:$D$91,0),MATCH(Calculation!$G69,'Gross Dx Plant'!$E$5:$AD$5,0))</f>
        <v>1665849</v>
      </c>
      <c r="BX69" s="113">
        <f>INDEX('Gross Gen Plant'!$E$7:$AD$91,MATCH($C69,'Gross Gen Plant'!$D$7:$D$91,0),MATCH(Calculation!$G69,'Gross Gen Plant'!$E$5:$AD$5,0))</f>
        <v>11556</v>
      </c>
      <c r="BY69" s="113">
        <f t="shared" si="46"/>
        <v>1185842</v>
      </c>
      <c r="BZ69" s="113"/>
      <c r="CA69" s="116">
        <v>2014</v>
      </c>
      <c r="CB69" s="113"/>
      <c r="CC69" s="113"/>
      <c r="CD69" s="113"/>
      <c r="CE69" s="175"/>
      <c r="CF69" s="113">
        <f t="shared" si="144"/>
        <v>110462</v>
      </c>
      <c r="CG69" s="113">
        <f t="shared" si="145"/>
        <v>161.38346213824619</v>
      </c>
      <c r="CH69" s="178">
        <v>0.89743589743589747</v>
      </c>
      <c r="CI69" s="61">
        <f>+CI53*CH69+CG54*CH68+CG55*CH67+CG56*CH66+CG57*CH65+CG58*CH64+CG59*CH63+CG60*CH62+CG61*CH61+CG62*CH60+CG63*CH59+CG64*CH58+CG65*CH57+CG66*CH56+CG67*CH55+CG68*CH54+CG69</f>
        <v>4668.8866816186182</v>
      </c>
      <c r="CJ69" s="114">
        <f t="shared" si="146"/>
        <v>2.705400169346556E-2</v>
      </c>
      <c r="CK69" s="114"/>
      <c r="CL69" s="169">
        <f t="shared" si="147"/>
        <v>8.0903488163960122E-3</v>
      </c>
      <c r="CM69" s="169">
        <f t="shared" si="156"/>
        <v>7.8772663763794822E-3</v>
      </c>
      <c r="CN69" s="114">
        <f>VLOOKUP($H69,RoR!$E:$F,2,FALSE)</f>
        <v>4.1625000000000002E-2</v>
      </c>
      <c r="CO69" s="169">
        <v>1.841352814597208E-2</v>
      </c>
      <c r="CP69" s="169">
        <f t="shared" si="153"/>
        <v>2.3211471854027922E-2</v>
      </c>
      <c r="CQ69" s="169">
        <f t="shared" si="157"/>
        <v>2.3024675232154145E-2</v>
      </c>
      <c r="CR69" s="69">
        <v>3.9072621432650924E-2</v>
      </c>
      <c r="CS69" s="179">
        <f t="shared" si="148"/>
        <v>0.85166083209999999</v>
      </c>
      <c r="CT69" s="180">
        <f t="shared" si="149"/>
        <v>1.2320012320012319</v>
      </c>
      <c r="CU69" s="180">
        <f t="shared" si="150"/>
        <v>0.37439939939939942</v>
      </c>
      <c r="CV69" s="180">
        <f t="shared" si="151"/>
        <v>0.80432100613819935</v>
      </c>
      <c r="CW69" s="180">
        <f t="shared" si="152"/>
        <v>0.37100152660040037</v>
      </c>
      <c r="CX69" s="181">
        <f>INDEX('State Tax Lookup'!$D$7:$Z$91,MATCH(Calculation!$C69,'State Tax Lookup'!$B$7:$B$91,0),MATCH($H69,'State Tax Lookup'!$D$6:$Z$6,0))</f>
        <v>0.40091666999999998</v>
      </c>
      <c r="CY69" s="72">
        <v>0.37</v>
      </c>
      <c r="CZ69" s="70">
        <f t="shared" si="155"/>
        <v>22.348519233812944</v>
      </c>
      <c r="DA69" s="70">
        <v>20.763592984765573</v>
      </c>
      <c r="DB69" s="69">
        <f t="shared" si="158"/>
        <v>2.3096798649758003E-2</v>
      </c>
      <c r="DC69" s="111">
        <f>VLOOKUP($H69,RoR!$E:$F,2,FALSE)</f>
        <v>4.1625000000000002E-2</v>
      </c>
      <c r="DD69" s="216">
        <f>HLOOKUP($H69,'GDP-PI'!$D$8:$CQ$11,3,FALSE)</f>
        <v>1.841352814597208E-2</v>
      </c>
      <c r="DE69" s="111">
        <f>VLOOKUP(H69,'HW Dx Data'!$E:$F,2,FALSE)</f>
        <v>684.46914285042885</v>
      </c>
      <c r="DF69" s="72">
        <f t="shared" si="166"/>
        <v>129.4</v>
      </c>
      <c r="DG69" s="69">
        <f t="shared" si="167"/>
        <v>2.0297340063674733E-2</v>
      </c>
      <c r="DH69" s="66">
        <f>HLOOKUP(H69,'GDP-PI'!$8:$9,2,FALSE)</f>
        <v>103.64700000000001</v>
      </c>
      <c r="DI69" s="69">
        <f t="shared" si="159"/>
        <v>1.8246051898256087E-2</v>
      </c>
      <c r="DJ69" s="160" t="s">
        <v>95</v>
      </c>
      <c r="DK69" s="184"/>
      <c r="DL69" s="184">
        <v>1.3516542083719366E-2</v>
      </c>
      <c r="DM69" s="184">
        <f>+Calculation!DN62+DM62+Calculation!DX63</f>
        <v>1.1010284640626216E-2</v>
      </c>
      <c r="DN69" s="184"/>
      <c r="DO69" s="184">
        <f>+Calculation!DL69-Calculation!DM69</f>
        <v>2.5062574430931503E-3</v>
      </c>
      <c r="DP69" s="184"/>
      <c r="DQ69" s="184"/>
      <c r="DR69" s="184"/>
      <c r="DS69" s="184"/>
      <c r="DT69" s="184"/>
      <c r="DU69" s="184"/>
      <c r="DV69" s="184"/>
      <c r="DW69" s="184"/>
      <c r="DX69" s="184"/>
      <c r="EB69">
        <f t="shared" si="154"/>
        <v>2014</v>
      </c>
    </row>
    <row r="70" spans="1:132" s="160" customFormat="1" ht="21">
      <c r="A70" s="160" t="s">
        <v>154</v>
      </c>
      <c r="B70" s="161" t="s">
        <v>154</v>
      </c>
      <c r="C70" s="161">
        <v>4007784</v>
      </c>
      <c r="D70" s="161" t="s">
        <v>155</v>
      </c>
      <c r="E70" s="161"/>
      <c r="F70" s="161"/>
      <c r="G70" s="161" t="s">
        <v>132</v>
      </c>
      <c r="H70" s="162">
        <v>2015</v>
      </c>
      <c r="I70" s="163"/>
      <c r="J70" s="159">
        <f>IFERROR(INDEX('Labor Expenditures'!$F$7:$X$91,MATCH($C70,'Labor Expenditures'!$D$7:$D$91,0),MATCH($G70,'Labor Expenditures'!$F$5:$X$5,0)),"NA")</f>
        <v>74971.414300718054</v>
      </c>
      <c r="K70" s="159">
        <f t="shared" si="160"/>
        <v>561.58362772073451</v>
      </c>
      <c r="L70" s="165">
        <f t="shared" si="168"/>
        <v>2.6874858349789275E-2</v>
      </c>
      <c r="M70" s="76">
        <f t="shared" si="170"/>
        <v>6.6801879421647941E-4</v>
      </c>
      <c r="N70" s="62">
        <f t="shared" si="176"/>
        <v>96.309803350630148</v>
      </c>
      <c r="O70" s="96">
        <f t="shared" si="171"/>
        <v>-2.1687045621592602E-2</v>
      </c>
      <c r="P70" s="96"/>
      <c r="Q70" s="159">
        <f>IFERROR(INDEX('Non-Labor Expenditures'!$F$7:$AB$91,MATCH($C70,'Non-Labor Expenditures'!$D$7:$D$91,0),MATCH($G70,'Non-Labor Expenditures'!$F$5:$AB$5,0)),"NA")</f>
        <v>108572.61063610177</v>
      </c>
      <c r="R70" s="159">
        <f t="shared" si="161"/>
        <v>1037.5922040166838</v>
      </c>
      <c r="S70" s="165">
        <f t="shared" si="172"/>
        <v>4.8542517937850096E-2</v>
      </c>
      <c r="T70" s="165">
        <f t="shared" si="173"/>
        <v>1.2066041010902187E-3</v>
      </c>
      <c r="U70" s="165"/>
      <c r="V70" s="165"/>
      <c r="W70" s="159">
        <f t="shared" si="142"/>
        <v>102240.69981877056</v>
      </c>
      <c r="X70" s="163"/>
      <c r="Y70" s="167">
        <v>4920.5946152455845</v>
      </c>
      <c r="Z70" s="168">
        <v>5.2508734639698726E-2</v>
      </c>
      <c r="AA70" s="76">
        <f t="shared" si="162"/>
        <v>1.305190938806182E-3</v>
      </c>
      <c r="AB70" s="168"/>
      <c r="AC70" s="168"/>
      <c r="AD70" s="163">
        <f t="shared" si="102"/>
        <v>285784.72475559037</v>
      </c>
      <c r="AE70" s="168">
        <f t="shared" si="174"/>
        <v>3.9387416685092047E-2</v>
      </c>
      <c r="AF70" s="163"/>
      <c r="AG70" s="163"/>
      <c r="AH70" s="163"/>
      <c r="AI70" s="163"/>
      <c r="AJ70" s="116">
        <f t="shared" si="175"/>
        <v>431.99393657843478</v>
      </c>
      <c r="AK70" s="114">
        <f>+AV70/$AX$20</f>
        <v>1.8158527844679022E-2</v>
      </c>
      <c r="AL70" s="115">
        <f t="shared" si="163"/>
        <v>0.26233527479411406</v>
      </c>
      <c r="AM70" s="115">
        <f t="shared" si="164"/>
        <v>0.37991047537252226</v>
      </c>
      <c r="AN70" s="115">
        <f t="shared" si="165"/>
        <v>0.35775424983336374</v>
      </c>
      <c r="AO70" s="115">
        <f t="shared" si="169"/>
        <v>4.4353427927652268E-2</v>
      </c>
      <c r="AP70" s="166">
        <f t="shared" si="177"/>
        <v>128.55543049321304</v>
      </c>
      <c r="AQ70" s="168">
        <f t="shared" si="178"/>
        <v>4.4353427927652254E-2</v>
      </c>
      <c r="AR70" s="69">
        <f>+AD70/$AF$20</f>
        <v>2.4856644285223453E-2</v>
      </c>
      <c r="AS70" s="169">
        <f t="shared" si="179"/>
        <v>1.1024773808279477E-3</v>
      </c>
      <c r="AT70" s="115"/>
      <c r="AU70" s="115"/>
      <c r="AV70" s="113">
        <f>IFERROR(INDEX('Total Customers'!$F$7:$AB$91,MATCH($C70,'Total Customers'!$D$7:$D$91,0),MATCH($G70,'Total Customers'!$F$5:$AB$5,0)),"NA")</f>
        <v>661548</v>
      </c>
      <c r="AW70" s="68">
        <f t="shared" si="180"/>
        <v>1.1741282268361797E-2</v>
      </c>
      <c r="AX70" s="114"/>
      <c r="AY70" s="114"/>
      <c r="AZ70" s="116"/>
      <c r="BA70" s="116"/>
      <c r="BB70" s="166"/>
      <c r="BC70" s="166"/>
      <c r="BD70" s="166"/>
      <c r="BE70" s="166"/>
      <c r="BF70" s="166"/>
      <c r="BG70" s="166"/>
      <c r="BH70" s="166"/>
      <c r="BI70" s="113"/>
      <c r="BJ70" s="113"/>
      <c r="BK70" s="113">
        <f>INDEX('Dist. Plant Gas Additions'!$F$7:$AE$91,MATCH($C70,'Dist. Plant Gas Additions'!$D$7:$D$91,0),MATCH(Calculation!$G70,'Dist. Plant Gas Additions'!$F$5:$AE$5,0))</f>
        <v>195451</v>
      </c>
      <c r="BL70" s="113">
        <f>INDEX('Gen. Plant Additions'!$F$7:$AE$91,MATCH($C70,'Gen. Plant Additions'!$D$7:$D$91,0),MATCH(Calculation!$G70,'Gen. Plant Additions'!$F$5:$AE$5,0))</f>
        <v>925</v>
      </c>
      <c r="BM70" s="231">
        <f t="shared" si="143"/>
        <v>0.99337002007964337</v>
      </c>
      <c r="BN70" s="61">
        <f t="shared" si="181"/>
        <v>918.86726857367012</v>
      </c>
      <c r="BO70" s="113">
        <f>INDEX('Dist Plant Depreciation'!$E$7:$AD$94,MATCH($C70,'Dist Plant Depreciation'!$D$7:$D$94,0),MATCH(Calculation!$G70,'Dist Plant Depreciation'!$E$5:$AD$5,0))</f>
        <v>517475</v>
      </c>
      <c r="BP70" s="113">
        <f>INDEX('Gen. Plant Depreciation'!$E$7:$AD$94,MATCH($C70,'Gen. Plant Depreciation'!$D$7:$D$94,0),MATCH(Calculation!$G70,'Gen. Plant Depreciation'!$E$5:$AD$5,0))</f>
        <v>2406</v>
      </c>
      <c r="BQ70" s="175">
        <v>1994</v>
      </c>
      <c r="BR70" s="175">
        <f t="shared" si="67"/>
        <v>47</v>
      </c>
      <c r="BS70" s="170">
        <v>303.55946043601477</v>
      </c>
      <c r="BT70" s="176">
        <f t="shared" si="141"/>
        <v>3.5444947209653091E-2</v>
      </c>
      <c r="BU70" s="177">
        <f t="shared" si="68"/>
        <v>10.75964905014532</v>
      </c>
      <c r="BV70" s="177"/>
      <c r="BW70" s="113">
        <f>INDEX('Gross Dx Plant'!$E$7:$AD$91,MATCH($C70,'Gross Dx Plant'!$D$7:$D$91,0),MATCH(Calculation!$G70,'Gross Dx Plant'!$E$5:$AD$5,0))</f>
        <v>1853697</v>
      </c>
      <c r="BX70" s="113">
        <f>INDEX('Gross Gen Plant'!$E$7:$AD$91,MATCH($C70,'Gross Gen Plant'!$D$7:$D$91,0),MATCH(Calculation!$G70,'Gross Gen Plant'!$E$5:$AD$5,0))</f>
        <v>12372</v>
      </c>
      <c r="BY70" s="113">
        <f t="shared" si="46"/>
        <v>1346188</v>
      </c>
      <c r="BZ70" s="113"/>
      <c r="CA70" s="116">
        <v>2015</v>
      </c>
      <c r="CB70" s="113"/>
      <c r="CC70" s="113"/>
      <c r="CD70" s="113"/>
      <c r="CE70" s="175"/>
      <c r="CF70" s="113">
        <f t="shared" si="144"/>
        <v>196376</v>
      </c>
      <c r="CG70" s="113">
        <f t="shared" si="145"/>
        <v>290.66273935308885</v>
      </c>
      <c r="CH70" s="178">
        <v>0.88888888888888884</v>
      </c>
      <c r="CI70" s="61">
        <f>+CI53*CH70+CG54*CH69+CG55*CH68+CG56*CH67+CG57*CH66+CG58*CH65+CG59*CH64+CG60*CH63+CG61*CH62+CG62*CH61+CG63*CH60+CG64*CH59+CG65*CH58+CG66*CH57+CG67*CH56+CG68*CH55+CG69*CH54+CG70</f>
        <v>4920.5946152455845</v>
      </c>
      <c r="CJ70" s="114">
        <f t="shared" si="146"/>
        <v>5.2508734639698726E-2</v>
      </c>
      <c r="CK70" s="114"/>
      <c r="CL70" s="169">
        <f t="shared" si="147"/>
        <v>8.3434892261333923E-3</v>
      </c>
      <c r="CM70" s="169">
        <f t="shared" si="156"/>
        <v>8.096870927951293E-3</v>
      </c>
      <c r="CN70" s="114">
        <f>VLOOKUP($H70,RoR!$E:$F,2,FALSE)</f>
        <v>3.8866666666666674E-2</v>
      </c>
      <c r="CO70" s="169">
        <v>9.5709475431029478E-3</v>
      </c>
      <c r="CP70" s="169">
        <f t="shared" si="153"/>
        <v>2.9295719123563727E-2</v>
      </c>
      <c r="CQ70" s="169">
        <f t="shared" si="157"/>
        <v>2.280507068058233E-2</v>
      </c>
      <c r="CR70" s="69">
        <v>3.5270373279175926E-3</v>
      </c>
      <c r="CS70" s="179">
        <f t="shared" si="148"/>
        <v>0.85166083209999999</v>
      </c>
      <c r="CT70" s="180">
        <f t="shared" si="149"/>
        <v>1.3194352816994324</v>
      </c>
      <c r="CU70" s="180">
        <f t="shared" si="150"/>
        <v>0.33177530017152673</v>
      </c>
      <c r="CV70" s="180">
        <f t="shared" si="151"/>
        <v>0.78242572977668579</v>
      </c>
      <c r="CW70" s="180">
        <f t="shared" si="152"/>
        <v>0.34251158643433932</v>
      </c>
      <c r="CX70" s="181">
        <f>INDEX('State Tax Lookup'!$D$7:$Z$91,MATCH(Calculation!$C70,'State Tax Lookup'!$B$7:$B$91,0),MATCH($H70,'State Tax Lookup'!$D$6:$Z$6,0))</f>
        <v>0.40091666999999998</v>
      </c>
      <c r="CY70" s="72">
        <v>0.37</v>
      </c>
      <c r="CZ70" s="70">
        <f t="shared" si="155"/>
        <v>21.898303983536728</v>
      </c>
      <c r="DA70" s="70">
        <v>20.279488671080099</v>
      </c>
      <c r="DB70" s="69">
        <f t="shared" si="158"/>
        <v>-2.0350875194625799E-2</v>
      </c>
      <c r="DC70" s="111">
        <f>VLOOKUP($H70,RoR!$E:$F,2,FALSE)</f>
        <v>3.8866666666666674E-2</v>
      </c>
      <c r="DD70" s="216">
        <f>HLOOKUP($H70,'GDP-PI'!$D$8:$CQ$11,3,FALSE)</f>
        <v>9.5709475431029478E-3</v>
      </c>
      <c r="DE70" s="111">
        <f>VLOOKUP(H70,'HW Dx Data'!$E:$F,2,FALSE)</f>
        <v>675.61463308665782</v>
      </c>
      <c r="DF70" s="72">
        <f t="shared" si="166"/>
        <v>133.5</v>
      </c>
      <c r="DG70" s="69">
        <f t="shared" si="167"/>
        <v>3.1193095773504077E-2</v>
      </c>
      <c r="DH70" s="66">
        <f>HLOOKUP(H70,'GDP-PI'!$8:$9,2,FALSE)</f>
        <v>104.639</v>
      </c>
      <c r="DI70" s="69">
        <f t="shared" si="159"/>
        <v>9.5254361854427965E-3</v>
      </c>
      <c r="DO70" s="184"/>
      <c r="DP70" s="184"/>
      <c r="DQ70" s="184"/>
      <c r="DR70" s="184"/>
      <c r="DS70" s="184"/>
      <c r="DT70" s="184"/>
      <c r="DU70" s="184"/>
      <c r="DV70" s="184"/>
      <c r="DW70" s="184"/>
      <c r="DX70" s="184"/>
      <c r="EB70">
        <f t="shared" si="154"/>
        <v>2015</v>
      </c>
    </row>
    <row r="71" spans="1:132" s="160" customFormat="1" ht="21">
      <c r="A71" s="160" t="s">
        <v>154</v>
      </c>
      <c r="B71" s="161" t="s">
        <v>154</v>
      </c>
      <c r="C71" s="161">
        <v>4007784</v>
      </c>
      <c r="D71" s="161" t="s">
        <v>155</v>
      </c>
      <c r="E71" s="161"/>
      <c r="F71" s="161"/>
      <c r="G71" s="161" t="s">
        <v>133</v>
      </c>
      <c r="H71" s="162">
        <v>2016</v>
      </c>
      <c r="I71" s="163"/>
      <c r="J71" s="159">
        <f>IFERROR(INDEX('Labor Expenditures'!$F$7:$X$91,MATCH($C71,'Labor Expenditures'!$D$7:$D$91,0),MATCH($G71,'Labor Expenditures'!$F$5:$X$5,0)),"NA")</f>
        <v>82583.869731804851</v>
      </c>
      <c r="K71" s="159">
        <f t="shared" si="160"/>
        <v>603.02204988539506</v>
      </c>
      <c r="L71" s="165">
        <f t="shared" si="168"/>
        <v>7.1193063665024356E-2</v>
      </c>
      <c r="M71" s="76">
        <f t="shared" si="170"/>
        <v>1.844405796809162E-3</v>
      </c>
      <c r="N71" s="62">
        <f t="shared" si="176"/>
        <v>97.521986214536966</v>
      </c>
      <c r="O71" s="96">
        <f t="shared" si="171"/>
        <v>1.2507738485670569E-2</v>
      </c>
      <c r="P71" s="96"/>
      <c r="Q71" s="159">
        <f>IFERROR(INDEX('Non-Labor Expenditures'!$F$7:$AB$91,MATCH($C71,'Non-Labor Expenditures'!$D$7:$D$91,0),MATCH($G71,'Non-Labor Expenditures'!$F$5:$AB$5,0)),"NA")</f>
        <v>119596.86791086616</v>
      </c>
      <c r="R71" s="159">
        <f t="shared" si="161"/>
        <v>1131.0893916061336</v>
      </c>
      <c r="S71" s="165">
        <f t="shared" si="172"/>
        <v>8.6278391166602408E-2</v>
      </c>
      <c r="T71" s="165">
        <f t="shared" si="173"/>
        <v>2.2352228800799345E-3</v>
      </c>
      <c r="U71" s="165"/>
      <c r="V71" s="165"/>
      <c r="W71" s="159">
        <f t="shared" si="142"/>
        <v>106055.27880417513</v>
      </c>
      <c r="X71" s="163"/>
      <c r="Y71" s="167">
        <v>5218.2815104773126</v>
      </c>
      <c r="Z71" s="168">
        <v>5.8738755181099882E-2</v>
      </c>
      <c r="AA71" s="76">
        <f t="shared" si="162"/>
        <v>1.5217507854855673E-3</v>
      </c>
      <c r="AB71" s="168"/>
      <c r="AC71" s="168"/>
      <c r="AD71" s="163">
        <f t="shared" si="102"/>
        <v>308236.01644684613</v>
      </c>
      <c r="AE71" s="168">
        <f t="shared" si="174"/>
        <v>7.5626959944379582E-2</v>
      </c>
      <c r="AF71" s="163"/>
      <c r="AG71" s="163"/>
      <c r="AH71" s="163"/>
      <c r="AI71" s="163"/>
      <c r="AJ71" s="116">
        <f t="shared" si="175"/>
        <v>461.49886726921932</v>
      </c>
      <c r="AK71" s="114">
        <f>+AV71/$AX$21</f>
        <v>1.8174513666545721E-2</v>
      </c>
      <c r="AL71" s="115">
        <f t="shared" si="163"/>
        <v>0.26792414035121703</v>
      </c>
      <c r="AM71" s="115">
        <f t="shared" si="164"/>
        <v>0.38800419655530449</v>
      </c>
      <c r="AN71" s="115">
        <f t="shared" si="165"/>
        <v>0.34407166309347847</v>
      </c>
      <c r="AO71" s="115">
        <f t="shared" si="169"/>
        <v>7.2614807613872012E-2</v>
      </c>
      <c r="AP71" s="166">
        <f t="shared" si="177"/>
        <v>138.2377438846417</v>
      </c>
      <c r="AQ71" s="168">
        <f t="shared" si="178"/>
        <v>7.261480761387204E-2</v>
      </c>
      <c r="AR71" s="69">
        <f>+AD71/$AF$21</f>
        <v>2.590709967880311E-2</v>
      </c>
      <c r="AS71" s="169">
        <f t="shared" si="179"/>
        <v>1.8812390590096939E-3</v>
      </c>
      <c r="AT71" s="115"/>
      <c r="AU71" s="115"/>
      <c r="AV71" s="113">
        <f>IFERROR(INDEX('Total Customers'!$F$7:$AB$91,MATCH($C71,'Total Customers'!$D$7:$D$91,0),MATCH($G71,'Total Customers'!$F$5:$AB$5,0)),"NA")</f>
        <v>667902</v>
      </c>
      <c r="AW71" s="68">
        <f t="shared" si="180"/>
        <v>9.5589129065889299E-3</v>
      </c>
      <c r="AX71" s="114"/>
      <c r="AY71" s="114"/>
      <c r="AZ71" s="116"/>
      <c r="BA71" s="116"/>
      <c r="BB71" s="166"/>
      <c r="BC71" s="166"/>
      <c r="BD71" s="166"/>
      <c r="BE71" s="166"/>
      <c r="BF71" s="166"/>
      <c r="BG71" s="166"/>
      <c r="BH71" s="166"/>
      <c r="BI71" s="113"/>
      <c r="BJ71" s="113"/>
      <c r="BK71" s="113">
        <f>INDEX('Dist. Plant Gas Additions'!$F$7:$AE$91,MATCH($C71,'Dist. Plant Gas Additions'!$D$7:$D$91,0),MATCH(Calculation!$G71,'Dist. Plant Gas Additions'!$F$5:$AE$5,0))</f>
        <v>222151</v>
      </c>
      <c r="BL71" s="113">
        <f>INDEX('Gen. Plant Additions'!$F$7:$AE$91,MATCH($C71,'Gen. Plant Additions'!$D$7:$D$91,0),MATCH(Calculation!$G71,'Gen. Plant Additions'!$F$5:$AE$5,0))</f>
        <v>5862</v>
      </c>
      <c r="BM71" s="231">
        <f t="shared" si="143"/>
        <v>0.99123922220592309</v>
      </c>
      <c r="BN71" s="61">
        <f t="shared" si="181"/>
        <v>5810.6443205711212</v>
      </c>
      <c r="BO71" s="113">
        <f>INDEX('Dist Plant Depreciation'!$E$7:$AD$94,MATCH($C71,'Dist Plant Depreciation'!$D$7:$D$94,0),MATCH(Calculation!$G71,'Dist Plant Depreciation'!$E$5:$AD$5,0))</f>
        <v>539945</v>
      </c>
      <c r="BP71" s="113">
        <f>INDEX('Gen. Plant Depreciation'!$E$7:$AD$94,MATCH($C71,'Gen. Plant Depreciation'!$D$7:$D$94,0),MATCH(Calculation!$G71,'Gen. Plant Depreciation'!$E$5:$AD$5,0))</f>
        <v>7210</v>
      </c>
      <c r="BQ71" s="175">
        <v>1995</v>
      </c>
      <c r="BR71" s="175">
        <f t="shared" si="67"/>
        <v>48</v>
      </c>
      <c r="BS71" s="170">
        <v>309.3938435140484</v>
      </c>
      <c r="BT71" s="176">
        <f t="shared" si="141"/>
        <v>3.6199095022624438E-2</v>
      </c>
      <c r="BU71" s="177">
        <f t="shared" si="68"/>
        <v>11.199777140780034</v>
      </c>
      <c r="BV71" s="177"/>
      <c r="BW71" s="113">
        <f>INDEX('Gross Dx Plant'!$E$7:$AD$91,MATCH($C71,'Gross Dx Plant'!$D$7:$D$91,0),MATCH(Calculation!$G71,'Gross Dx Plant'!$E$5:$AD$5,0))</f>
        <v>2067727</v>
      </c>
      <c r="BX71" s="113">
        <f>INDEX('Gross Gen Plant'!$E$7:$AD$91,MATCH($C71,'Gross Gen Plant'!$D$7:$D$91,0),MATCH(Calculation!$G71,'Gross Gen Plant'!$E$5:$AD$5,0))</f>
        <v>18275</v>
      </c>
      <c r="BY71" s="113">
        <f t="shared" si="46"/>
        <v>1538847</v>
      </c>
      <c r="BZ71" s="113"/>
      <c r="CA71" s="116">
        <v>2016</v>
      </c>
      <c r="CB71" s="113"/>
      <c r="CC71" s="113"/>
      <c r="CD71" s="113"/>
      <c r="CE71" s="175"/>
      <c r="CF71" s="113">
        <f t="shared" si="144"/>
        <v>228013</v>
      </c>
      <c r="CG71" s="113">
        <f t="shared" si="145"/>
        <v>339.57975839550778</v>
      </c>
      <c r="CH71" s="178">
        <v>0.88</v>
      </c>
      <c r="CI71" s="61">
        <f>+CI53*CH71+CG54*CH70+CG55*CH69+CG56*CH68+CG57*CH67+CG58*CH66+CG59*CH65+CG60*CH64+CG61*CH63+CG62*CH62+CG63*CH61+CG64*CH60+CG65*CH59+CG66*CH58+CG67*CH57+CG68*CH56+CG69*CH55+CG70*CH54+CG71</f>
        <v>5218.2815104773126</v>
      </c>
      <c r="CJ71" s="114">
        <f t="shared" si="146"/>
        <v>5.8738755181099882E-2</v>
      </c>
      <c r="CK71" s="114"/>
      <c r="CL71" s="169">
        <f t="shared" si="147"/>
        <v>8.5137806382143445E-3</v>
      </c>
      <c r="CM71" s="169">
        <f t="shared" si="156"/>
        <v>8.3158728935812509E-3</v>
      </c>
      <c r="CN71" s="114">
        <f>VLOOKUP($H71,RoR!$E:$F,2,FALSE)</f>
        <v>3.6658333333333334E-2</v>
      </c>
      <c r="CO71" s="169">
        <v>1.0483662879041455E-2</v>
      </c>
      <c r="CP71" s="169">
        <f t="shared" si="153"/>
        <v>2.6174670454291879E-2</v>
      </c>
      <c r="CQ71" s="169">
        <f t="shared" si="157"/>
        <v>2.2586068714952376E-2</v>
      </c>
      <c r="CR71" s="69">
        <v>4.301363574220729E-3</v>
      </c>
      <c r="CS71" s="179">
        <f t="shared" si="148"/>
        <v>0.85166083209999999</v>
      </c>
      <c r="CT71" s="180">
        <f t="shared" si="149"/>
        <v>1.3989193348138562</v>
      </c>
      <c r="CU71" s="180">
        <f t="shared" si="150"/>
        <v>0.29302682427824522</v>
      </c>
      <c r="CV71" s="180">
        <f t="shared" si="151"/>
        <v>0.76309497491941802</v>
      </c>
      <c r="CW71" s="180">
        <f t="shared" si="152"/>
        <v>0.31280857135128509</v>
      </c>
      <c r="CX71" s="181">
        <f>INDEX('State Tax Lookup'!$D$7:$Z$91,MATCH(Calculation!$C71,'State Tax Lookup'!$B$7:$B$91,0),MATCH($H71,'State Tax Lookup'!$D$6:$Z$6,0))</f>
        <v>0.40091666999999998</v>
      </c>
      <c r="CY71" s="72">
        <v>0.37</v>
      </c>
      <c r="CZ71" s="70">
        <f t="shared" si="155"/>
        <v>21.553346108940122</v>
      </c>
      <c r="DA71" s="70">
        <v>19.909765876209278</v>
      </c>
      <c r="DB71" s="69">
        <f t="shared" si="158"/>
        <v>-1.5878113776518481E-2</v>
      </c>
      <c r="DC71" s="111">
        <f>VLOOKUP($H71,RoR!$E:$F,2,FALSE)</f>
        <v>3.6658333333333334E-2</v>
      </c>
      <c r="DD71" s="216">
        <f>HLOOKUP($H71,'GDP-PI'!$D$8:$CQ$11,3,FALSE)</f>
        <v>1.0483662879041455E-2</v>
      </c>
      <c r="DE71" s="111">
        <f>VLOOKUP(H71,'HW Dx Data'!$E:$F,2,FALSE)</f>
        <v>671.45639385971219</v>
      </c>
      <c r="DF71" s="72">
        <f t="shared" si="166"/>
        <v>136.94999999999999</v>
      </c>
      <c r="DG71" s="69">
        <f t="shared" si="167"/>
        <v>2.5514417868782811E-2</v>
      </c>
      <c r="DH71" s="66">
        <f>HLOOKUP(H71,'GDP-PI'!$8:$9,2,FALSE)</f>
        <v>105.736</v>
      </c>
      <c r="DI71" s="69">
        <f t="shared" si="159"/>
        <v>1.0429090367205095E-2</v>
      </c>
      <c r="DO71" s="184"/>
      <c r="DP71" s="184"/>
      <c r="DQ71" s="184"/>
      <c r="DR71" s="184"/>
      <c r="DS71" s="184"/>
      <c r="DT71" s="184"/>
      <c r="DU71" s="184"/>
      <c r="DV71" s="184"/>
      <c r="DW71" s="184"/>
      <c r="DX71" s="184"/>
      <c r="EB71">
        <f t="shared" si="154"/>
        <v>2016</v>
      </c>
    </row>
    <row r="72" spans="1:132" s="160" customFormat="1" ht="21">
      <c r="A72" s="160" t="s">
        <v>154</v>
      </c>
      <c r="B72" s="161" t="s">
        <v>154</v>
      </c>
      <c r="C72" s="161">
        <v>4007784</v>
      </c>
      <c r="D72" s="161" t="s">
        <v>155</v>
      </c>
      <c r="E72" s="161"/>
      <c r="F72" s="161"/>
      <c r="G72" s="161" t="s">
        <v>135</v>
      </c>
      <c r="H72" s="162">
        <v>2017</v>
      </c>
      <c r="I72" s="163"/>
      <c r="J72" s="159">
        <f>IFERROR(INDEX('Labor Expenditures'!$F$7:$X$91,MATCH($C72,'Labor Expenditures'!$D$7:$D$91,0),MATCH($G72,'Labor Expenditures'!$F$5:$X$5,0)),"NA")</f>
        <v>81993.977569285445</v>
      </c>
      <c r="K72" s="159">
        <f t="shared" si="160"/>
        <v>583.79478511417199</v>
      </c>
      <c r="L72" s="165">
        <f t="shared" si="168"/>
        <v>-3.2404237310783221E-2</v>
      </c>
      <c r="M72" s="76">
        <f t="shared" si="170"/>
        <v>-8.2762817475026717E-4</v>
      </c>
      <c r="N72" s="62">
        <f t="shared" si="176"/>
        <v>98.043104613817363</v>
      </c>
      <c r="O72" s="96">
        <f t="shared" si="171"/>
        <v>5.3293727472751348E-3</v>
      </c>
      <c r="P72" s="96"/>
      <c r="Q72" s="159">
        <f>IFERROR(INDEX('Non-Labor Expenditures'!$F$7:$AB$91,MATCH($C72,'Non-Labor Expenditures'!$D$7:$D$91,0),MATCH($G72,'Non-Labor Expenditures'!$F$5:$AB$5,0)),"NA")</f>
        <v>118742.59388287981</v>
      </c>
      <c r="R72" s="159">
        <f t="shared" si="161"/>
        <v>1102.0092053241251</v>
      </c>
      <c r="S72" s="165">
        <f t="shared" si="172"/>
        <v>-2.6046167697362971E-2</v>
      </c>
      <c r="T72" s="165">
        <f t="shared" si="173"/>
        <v>-6.6523837681667863E-4</v>
      </c>
      <c r="U72" s="165"/>
      <c r="V72" s="165"/>
      <c r="W72" s="159">
        <f t="shared" si="142"/>
        <v>101685.42455292356</v>
      </c>
      <c r="X72" s="163"/>
      <c r="Y72" s="167">
        <v>5503.7205211694281</v>
      </c>
      <c r="Z72" s="168">
        <v>5.3256186798056507E-2</v>
      </c>
      <c r="AA72" s="76">
        <f t="shared" si="162"/>
        <v>1.3602023788156685E-3</v>
      </c>
      <c r="AB72" s="168"/>
      <c r="AC72" s="168"/>
      <c r="AD72" s="163">
        <f t="shared" si="102"/>
        <v>302421.99600508879</v>
      </c>
      <c r="AE72" s="168">
        <f t="shared" si="174"/>
        <v>-1.9042396918394506E-2</v>
      </c>
      <c r="AF72" s="163"/>
      <c r="AG72" s="163"/>
      <c r="AH72" s="163"/>
      <c r="AI72" s="163"/>
      <c r="AJ72" s="116">
        <f t="shared" si="175"/>
        <v>448.73926792131726</v>
      </c>
      <c r="AK72" s="114">
        <f>+AV72/$AX$22</f>
        <v>1.8200952328276055E-2</v>
      </c>
      <c r="AL72" s="115">
        <f t="shared" si="163"/>
        <v>0.27112438464266253</v>
      </c>
      <c r="AM72" s="115">
        <f t="shared" si="164"/>
        <v>0.39263874801250154</v>
      </c>
      <c r="AN72" s="115">
        <f t="shared" si="165"/>
        <v>0.33623686734483599</v>
      </c>
      <c r="AO72" s="115">
        <f t="shared" si="169"/>
        <v>-7.8478759728572295E-4</v>
      </c>
      <c r="AP72" s="166">
        <f t="shared" si="177"/>
        <v>138.12929917636114</v>
      </c>
      <c r="AQ72" s="168">
        <f t="shared" si="178"/>
        <v>-7.8478759728576176E-4</v>
      </c>
      <c r="AR72" s="69">
        <f>+AD72/$AF$22</f>
        <v>2.5540739219153161E-2</v>
      </c>
      <c r="AS72" s="169">
        <f t="shared" si="179"/>
        <v>-2.0044055364701433E-5</v>
      </c>
      <c r="AT72" s="115"/>
      <c r="AU72" s="115"/>
      <c r="AV72" s="113">
        <f>IFERROR(INDEX('Total Customers'!$F$7:$AB$91,MATCH($C72,'Total Customers'!$D$7:$D$91,0),MATCH($G72,'Total Customers'!$F$5:$AB$5,0)),"NA")</f>
        <v>673937</v>
      </c>
      <c r="AW72" s="68">
        <f t="shared" si="180"/>
        <v>8.9951785461007145E-3</v>
      </c>
      <c r="AX72" s="114"/>
      <c r="AY72" s="114"/>
      <c r="AZ72" s="116"/>
      <c r="BA72" s="116"/>
      <c r="BB72" s="166"/>
      <c r="BC72" s="166"/>
      <c r="BD72" s="166"/>
      <c r="BE72" s="166"/>
      <c r="BF72" s="166"/>
      <c r="BG72" s="166"/>
      <c r="BH72" s="166"/>
      <c r="BI72" s="113"/>
      <c r="BJ72" s="113"/>
      <c r="BK72" s="113">
        <f>INDEX('Dist. Plant Gas Additions'!$F$7:$AE$91,MATCH($C72,'Dist. Plant Gas Additions'!$D$7:$D$91,0),MATCH(Calculation!$G72,'Dist. Plant Gas Additions'!$F$5:$AE$5,0))</f>
        <v>232572</v>
      </c>
      <c r="BL72" s="113">
        <f>INDEX('Gen. Plant Additions'!$F$7:$AE$91,MATCH($C72,'Gen. Plant Additions'!$D$7:$D$91,0),MATCH(Calculation!$G72,'Gen. Plant Additions'!$F$5:$AE$5,0))</f>
        <v>2989</v>
      </c>
      <c r="BM72" s="231">
        <f t="shared" si="143"/>
        <v>0.99146051126626844</v>
      </c>
      <c r="BN72" s="61">
        <f t="shared" si="181"/>
        <v>2963.4754681748764</v>
      </c>
      <c r="BO72" s="113">
        <f>INDEX('Dist Plant Depreciation'!$E$7:$AD$94,MATCH($C72,'Dist Plant Depreciation'!$D$7:$D$94,0),MATCH(Calculation!$G72,'Dist Plant Depreciation'!$E$5:$AD$5,0))</f>
        <v>545762</v>
      </c>
      <c r="BP72" s="113">
        <f>INDEX('Gen. Plant Depreciation'!$E$7:$AD$94,MATCH($C72,'Gen. Plant Depreciation'!$D$7:$D$94,0),MATCH(Calculation!$G72,'Gen. Plant Depreciation'!$E$5:$AD$5,0))</f>
        <v>6777</v>
      </c>
      <c r="BQ72" s="175">
        <v>1996</v>
      </c>
      <c r="BR72" s="175">
        <f t="shared" si="67"/>
        <v>49</v>
      </c>
      <c r="BS72" s="170">
        <v>313.66152591576542</v>
      </c>
      <c r="BT72" s="176">
        <f t="shared" si="141"/>
        <v>3.6953242835595777E-2</v>
      </c>
      <c r="BU72" s="177">
        <f t="shared" si="68"/>
        <v>11.590810535348798</v>
      </c>
      <c r="BV72" s="177"/>
      <c r="BW72" s="113">
        <f>INDEX('Gross Dx Plant'!$E$7:$AD$91,MATCH($C72,'Gross Dx Plant'!$D$7:$D$91,0),MATCH(Calculation!$G72,'Gross Dx Plant'!$E$5:$AD$5,0))</f>
        <v>2265054</v>
      </c>
      <c r="BX72" s="113">
        <f>INDEX('Gross Gen Plant'!$E$7:$AD$91,MATCH($C72,'Gross Gen Plant'!$D$7:$D$91,0),MATCH(Calculation!$G72,'Gross Gen Plant'!$E$5:$AD$5,0))</f>
        <v>19509</v>
      </c>
      <c r="BY72" s="113">
        <f t="shared" ref="BY72:BY141" si="182">IF(OR(BO72="NA",BP72="NA"),"NA",(SUM(BW72:BX72)-SUM(BO72:BP72)))</f>
        <v>1732024</v>
      </c>
      <c r="BZ72" s="113"/>
      <c r="CA72" s="116">
        <v>2017</v>
      </c>
      <c r="CB72" s="113"/>
      <c r="CC72" s="113"/>
      <c r="CD72" s="113"/>
      <c r="CE72" s="175"/>
      <c r="CF72" s="113">
        <f t="shared" si="144"/>
        <v>235561</v>
      </c>
      <c r="CG72" s="113">
        <f t="shared" si="145"/>
        <v>330.6450715043656</v>
      </c>
      <c r="CH72" s="178">
        <v>0.87074829931972786</v>
      </c>
      <c r="CI72" s="61">
        <f>+CI53*CH72+CG54*CH71+CG55*CH70+CG56*CH69+CG57*CH68+CG58*CH67+CG59*CH66+CG60*CH65+CG61*CH64+CG62*CH63+CG63*CH62+CG64*CH61+CG65*CH60+CG66*CH59+CG67*CH58+CG68*CH57+CG69*CH56+CG70*CH55+CG71*CH54+CG72</f>
        <v>5503.7205211694281</v>
      </c>
      <c r="CJ72" s="114">
        <f t="shared" si="146"/>
        <v>5.3256186798056507E-2</v>
      </c>
      <c r="CK72" s="114"/>
      <c r="CL72" s="169">
        <f t="shared" si="147"/>
        <v>8.6630168804586235E-3</v>
      </c>
      <c r="CM72" s="169">
        <f t="shared" si="156"/>
        <v>8.5067622482687868E-3</v>
      </c>
      <c r="CN72" s="114">
        <f>VLOOKUP($H72,RoR!$E:$F,2,FALSE)</f>
        <v>3.7433333333333339E-2</v>
      </c>
      <c r="CO72" s="169">
        <v>1.9056896421275615E-2</v>
      </c>
      <c r="CP72" s="169">
        <f t="shared" si="153"/>
        <v>1.8376436912057724E-2</v>
      </c>
      <c r="CQ72" s="169">
        <f t="shared" si="157"/>
        <v>2.239517936026484E-2</v>
      </c>
      <c r="CR72" s="69">
        <v>1.3976271617800498E-2</v>
      </c>
      <c r="CS72" s="179">
        <f t="shared" si="148"/>
        <v>0.90346083210000006</v>
      </c>
      <c r="CT72" s="180">
        <f t="shared" si="149"/>
        <v>1.3699568463593395</v>
      </c>
      <c r="CU72" s="180">
        <f t="shared" si="150"/>
        <v>0.30714603739982199</v>
      </c>
      <c r="CV72" s="180">
        <f t="shared" si="151"/>
        <v>0.77007188472689425</v>
      </c>
      <c r="CW72" s="180">
        <f t="shared" si="152"/>
        <v>0.32402839633793828</v>
      </c>
      <c r="CX72" s="181">
        <f>INDEX('State Tax Lookup'!$D$7:$Z$91,MATCH(Calculation!$C72,'State Tax Lookup'!$B$7:$B$91,0),MATCH($H72,'State Tax Lookup'!$D$6:$Z$6,0))</f>
        <v>0.26091666999999996</v>
      </c>
      <c r="CY72" s="72">
        <v>0.37</v>
      </c>
      <c r="CZ72" s="70">
        <f t="shared" si="155"/>
        <v>19.486381550853217</v>
      </c>
      <c r="DA72" s="70">
        <v>18.231812616449311</v>
      </c>
      <c r="DB72" s="69">
        <f t="shared" si="158"/>
        <v>-0.10081523679304076</v>
      </c>
      <c r="DC72" s="111">
        <f>VLOOKUP($H72,RoR!$E:$F,2,FALSE)</f>
        <v>3.7433333333333339E-2</v>
      </c>
      <c r="DD72" s="216">
        <f>HLOOKUP($H72,'GDP-PI'!$D$8:$CQ$11,3,FALSE)</f>
        <v>1.9056896421275615E-2</v>
      </c>
      <c r="DE72" s="111">
        <f>VLOOKUP(H72,'HW Dx Data'!$E:$F,2,FALSE)</f>
        <v>712.42858370229726</v>
      </c>
      <c r="DF72" s="72">
        <f t="shared" si="166"/>
        <v>140.44999999999999</v>
      </c>
      <c r="DG72" s="69">
        <f t="shared" si="167"/>
        <v>2.5235657841165486E-2</v>
      </c>
      <c r="DH72" s="66">
        <f>HLOOKUP(H72,'GDP-PI'!$8:$9,2,FALSE)</f>
        <v>107.751</v>
      </c>
      <c r="DI72" s="69">
        <f t="shared" si="159"/>
        <v>1.8877588227745139E-2</v>
      </c>
      <c r="DO72" s="184"/>
      <c r="DP72" s="184"/>
      <c r="DQ72" s="184"/>
      <c r="DR72" s="184"/>
      <c r="DS72" s="184"/>
      <c r="DT72" s="184"/>
      <c r="DU72" s="184"/>
      <c r="DV72" s="184"/>
      <c r="DW72" s="184"/>
      <c r="DX72" s="184"/>
      <c r="EB72">
        <f t="shared" si="154"/>
        <v>2017</v>
      </c>
    </row>
    <row r="73" spans="1:132" s="160" customFormat="1" ht="21">
      <c r="A73" s="160" t="s">
        <v>154</v>
      </c>
      <c r="B73" s="161" t="s">
        <v>154</v>
      </c>
      <c r="C73" s="161">
        <v>4007784</v>
      </c>
      <c r="D73" s="161" t="s">
        <v>155</v>
      </c>
      <c r="E73" s="161"/>
      <c r="F73" s="161"/>
      <c r="G73" s="161" t="s">
        <v>136</v>
      </c>
      <c r="H73" s="162">
        <v>2018</v>
      </c>
      <c r="I73" s="163"/>
      <c r="J73" s="159">
        <f>IFERROR(INDEX('Labor Expenditures'!$F$7:$X$91,MATCH($C73,'Labor Expenditures'!$D$7:$D$91,0),MATCH($G73,'Labor Expenditures'!$F$5:$X$5,0)),"NA")</f>
        <v>89958.634166663251</v>
      </c>
      <c r="K73" s="159">
        <f t="shared" si="160"/>
        <v>622.76659166952754</v>
      </c>
      <c r="L73" s="165">
        <f t="shared" si="168"/>
        <v>6.4622270649962968E-2</v>
      </c>
      <c r="M73" s="76">
        <f t="shared" si="170"/>
        <v>1.6715839873332396E-3</v>
      </c>
      <c r="N73" s="62">
        <f t="shared" si="176"/>
        <v>103.75670904005754</v>
      </c>
      <c r="O73" s="96">
        <f t="shared" si="171"/>
        <v>5.6641597500293836E-2</v>
      </c>
      <c r="P73" s="96"/>
      <c r="Q73" s="159">
        <f>IFERROR(INDEX('Non-Labor Expenditures'!$F$7:$AB$91,MATCH($C73,'Non-Labor Expenditures'!$D$7:$D$91,0),MATCH($G73,'Non-Labor Expenditures'!$F$5:$AB$5,0)),"NA")</f>
        <v>130276.90422853749</v>
      </c>
      <c r="R73" s="159">
        <f t="shared" si="161"/>
        <v>1180.8787388602227</v>
      </c>
      <c r="S73" s="165">
        <f t="shared" si="172"/>
        <v>6.9123791295446102E-2</v>
      </c>
      <c r="T73" s="165">
        <f t="shared" si="173"/>
        <v>1.7880248018381675E-3</v>
      </c>
      <c r="U73" s="165"/>
      <c r="V73" s="165"/>
      <c r="W73" s="159">
        <f t="shared" si="142"/>
        <v>112687.33582292491</v>
      </c>
      <c r="X73" s="163"/>
      <c r="Y73" s="167">
        <v>5794.7644231649992</v>
      </c>
      <c r="Z73" s="168">
        <v>5.1530502287100842E-2</v>
      </c>
      <c r="AA73" s="76">
        <f t="shared" si="162"/>
        <v>1.3329392733495045E-3</v>
      </c>
      <c r="AB73" s="168"/>
      <c r="AC73" s="168"/>
      <c r="AD73" s="163">
        <f t="shared" si="102"/>
        <v>332922.87421812565</v>
      </c>
      <c r="AE73" s="168">
        <f t="shared" si="174"/>
        <v>9.6087474428214373E-2</v>
      </c>
      <c r="AF73" s="163"/>
      <c r="AG73" s="163"/>
      <c r="AH73" s="163"/>
      <c r="AI73" s="163"/>
      <c r="AJ73" s="116">
        <f t="shared" si="175"/>
        <v>491.00554716754783</v>
      </c>
      <c r="AK73" s="114">
        <f>+AV73/$AX$23</f>
        <v>1.8151469817090832E-2</v>
      </c>
      <c r="AL73" s="115">
        <f t="shared" si="163"/>
        <v>0.27020863128714856</v>
      </c>
      <c r="AM73" s="115">
        <f t="shared" si="164"/>
        <v>0.39131256611458359</v>
      </c>
      <c r="AN73" s="115">
        <f t="shared" si="165"/>
        <v>0.33847880259826785</v>
      </c>
      <c r="AO73" s="115">
        <f t="shared" si="169"/>
        <v>6.1970146531917097E-2</v>
      </c>
      <c r="AP73" s="166">
        <f t="shared" si="177"/>
        <v>146.95998569659062</v>
      </c>
      <c r="AQ73" s="168">
        <f t="shared" si="178"/>
        <v>6.1970146531917139E-2</v>
      </c>
      <c r="AR73" s="69">
        <f>+AD73/$AF$23</f>
        <v>2.586699554999616E-2</v>
      </c>
      <c r="AS73" s="169">
        <f t="shared" si="179"/>
        <v>1.6029815045737106E-3</v>
      </c>
      <c r="AT73" s="115"/>
      <c r="AU73" s="115"/>
      <c r="AV73" s="113">
        <f>IFERROR(INDEX('Total Customers'!$F$7:$AB$91,MATCH($C73,'Total Customers'!$D$7:$D$91,0),MATCH($G73,'Total Customers'!$F$5:$AB$5,0)),"NA")</f>
        <v>678043</v>
      </c>
      <c r="AW73" s="68">
        <f t="shared" si="180"/>
        <v>6.074073024768898E-3</v>
      </c>
      <c r="AX73" s="114"/>
      <c r="AY73" s="114"/>
      <c r="AZ73" s="116"/>
      <c r="BA73" s="116"/>
      <c r="BB73" s="166"/>
      <c r="BC73" s="166"/>
      <c r="BD73" s="166"/>
      <c r="BE73" s="166"/>
      <c r="BF73" s="166"/>
      <c r="BG73" s="166"/>
      <c r="BH73" s="166"/>
      <c r="BI73" s="113"/>
      <c r="BJ73" s="113"/>
      <c r="BK73" s="113">
        <f>INDEX('Dist. Plant Gas Additions'!$F$7:$AE$91,MATCH($C73,'Dist. Plant Gas Additions'!$D$7:$D$91,0),MATCH(Calculation!$G73,'Dist. Plant Gas Additions'!$F$5:$AE$5,0))</f>
        <v>253684</v>
      </c>
      <c r="BL73" s="113">
        <f>INDEX('Gen. Plant Additions'!$F$7:$AE$91,MATCH($C73,'Gen. Plant Additions'!$D$7:$D$91,0),MATCH(Calculation!$G73,'Gen. Plant Additions'!$F$5:$AE$5,0))</f>
        <v>2811</v>
      </c>
      <c r="BM73" s="231">
        <f t="shared" si="143"/>
        <v>0.99141895308616179</v>
      </c>
      <c r="BN73" s="61">
        <f t="shared" si="181"/>
        <v>2786.8786771252007</v>
      </c>
      <c r="BO73" s="113">
        <f>INDEX('Dist Plant Depreciation'!$E$7:$AD$94,MATCH($C73,'Dist Plant Depreciation'!$D$7:$D$94,0),MATCH(Calculation!$G73,'Dist Plant Depreciation'!$E$5:$AD$5,0))</f>
        <v>567189</v>
      </c>
      <c r="BP73" s="113">
        <f>INDEX('Gen. Plant Depreciation'!$E$7:$AD$94,MATCH($C73,'Gen. Plant Depreciation'!$D$7:$D$94,0),MATCH(Calculation!$G73,'Gen. Plant Depreciation'!$E$5:$AD$5,0))</f>
        <v>7280</v>
      </c>
      <c r="BQ73" s="175">
        <v>1997</v>
      </c>
      <c r="BR73" s="175">
        <f>+BR74-1</f>
        <v>50</v>
      </c>
      <c r="BS73" s="170">
        <v>320.8283835677903</v>
      </c>
      <c r="BT73" s="176">
        <f t="shared" si="141"/>
        <v>3.7707390648567117E-2</v>
      </c>
      <c r="BU73" s="177">
        <f t="shared" si="68"/>
        <v>12.097601190339001</v>
      </c>
      <c r="BV73" s="177"/>
      <c r="BW73" s="113">
        <f>INDEX('Gross Dx Plant'!$E$7:$AD$91,MATCH($C73,'Gross Dx Plant'!$D$7:$D$91,0),MATCH(Calculation!$G73,'Gross Dx Plant'!$E$5:$AD$5,0))</f>
        <v>2505627</v>
      </c>
      <c r="BX73" s="113">
        <f>INDEX('Gross Gen Plant'!$E$7:$AD$91,MATCH($C73,'Gross Gen Plant'!$D$7:$D$91,0),MATCH(Calculation!$G73,'Gross Gen Plant'!$E$5:$AD$5,0))</f>
        <v>21687</v>
      </c>
      <c r="BY73" s="113">
        <f t="shared" si="182"/>
        <v>1952845</v>
      </c>
      <c r="BZ73" s="113"/>
      <c r="CA73" s="116">
        <v>2018</v>
      </c>
      <c r="CB73" s="113"/>
      <c r="CC73" s="113"/>
      <c r="CD73" s="113"/>
      <c r="CE73" s="175"/>
      <c r="CF73" s="113">
        <f t="shared" si="144"/>
        <v>256495</v>
      </c>
      <c r="CG73" s="113">
        <f t="shared" si="145"/>
        <v>339.66697040228843</v>
      </c>
      <c r="CH73" s="178">
        <v>0.86111111111111116</v>
      </c>
      <c r="CI73" s="61">
        <f>+CI53*CH73++CG54*CH72+CG55*CH71+CG56*CH70+CG57*CH69+CG58*CH68+CG59*CH67+CG60*CH66+CG61*CH65+CG62*CH64+CG63*CH63+CG64*CH62+CG65*CH61+CG66*CH60+CG67*CH59+CG68*CH58+CG69*CH57+CG70*CH56+CG71*CH55+CG72*CH54+CG73</f>
        <v>5794.7644231649992</v>
      </c>
      <c r="CJ73" s="114">
        <f t="shared" si="146"/>
        <v>5.1530502287100842E-2</v>
      </c>
      <c r="CK73" s="114"/>
      <c r="CL73" s="169">
        <f t="shared" si="147"/>
        <v>8.8345816652016171E-3</v>
      </c>
      <c r="CM73" s="169">
        <f t="shared" si="156"/>
        <v>8.6704597279581956E-3</v>
      </c>
      <c r="CN73" s="114">
        <f>VLOOKUP($H73,RoR!$E:$F,2,FALSE)</f>
        <v>3.9299999999999995E-2</v>
      </c>
      <c r="CO73" s="169">
        <v>2.386056741932796E-2</v>
      </c>
      <c r="CP73" s="169">
        <f t="shared" si="153"/>
        <v>1.5439432580672034E-2</v>
      </c>
      <c r="CQ73" s="169">
        <f t="shared" si="157"/>
        <v>2.2231481880575429E-2</v>
      </c>
      <c r="CR73" s="69">
        <v>3.8270792163076606E-2</v>
      </c>
      <c r="CS73" s="179">
        <f t="shared" si="148"/>
        <v>0.90346083210000006</v>
      </c>
      <c r="CT73" s="180">
        <f t="shared" si="149"/>
        <v>1.3048868010700074</v>
      </c>
      <c r="CU73" s="180">
        <f t="shared" si="150"/>
        <v>0.33886768447837151</v>
      </c>
      <c r="CV73" s="180">
        <f t="shared" si="151"/>
        <v>0.78602506232557801</v>
      </c>
      <c r="CW73" s="180">
        <f t="shared" si="152"/>
        <v>0.34756768162358759</v>
      </c>
      <c r="CX73" s="181">
        <f>INDEX('State Tax Lookup'!$D$7:$Z$91,MATCH(Calculation!$C73,'State Tax Lookup'!$B$7:$B$91,0),MATCH($H73,'State Tax Lookup'!$D$6:$Z$6,0))</f>
        <v>0.26091666999999996</v>
      </c>
      <c r="CY73" s="72">
        <v>0.37</v>
      </c>
      <c r="CZ73" s="70">
        <f t="shared" si="155"/>
        <v>20.474756192558477</v>
      </c>
      <c r="DA73" s="70">
        <v>19.050901628905343</v>
      </c>
      <c r="DB73" s="69">
        <f t="shared" si="158"/>
        <v>4.9476882521028248E-2</v>
      </c>
      <c r="DC73" s="111">
        <f>VLOOKUP($H73,RoR!$E:$F,2,FALSE)</f>
        <v>3.9299999999999995E-2</v>
      </c>
      <c r="DD73" s="216">
        <f>HLOOKUP($H73,'GDP-PI'!$D$8:$CQ$11,3,FALSE)</f>
        <v>2.386056741932796E-2</v>
      </c>
      <c r="DE73" s="111">
        <f>VLOOKUP(H73,'HW Dx Data'!$E:$F,2,FALSE)</f>
        <v>755.13671434174842</v>
      </c>
      <c r="DF73" s="72">
        <f t="shared" si="166"/>
        <v>144.44999999999999</v>
      </c>
      <c r="DG73" s="69">
        <f t="shared" si="167"/>
        <v>2.80818733619915E-2</v>
      </c>
      <c r="DH73" s="66">
        <f>HLOOKUP(H73,'GDP-PI'!$8:$9,2,FALSE)</f>
        <v>110.322</v>
      </c>
      <c r="DI73" s="69">
        <f t="shared" si="159"/>
        <v>2.3580352716508712E-2</v>
      </c>
      <c r="DO73" s="184"/>
      <c r="DP73" s="184"/>
      <c r="DQ73" s="184"/>
      <c r="DR73" s="184"/>
      <c r="DS73" s="184"/>
      <c r="DT73" s="184"/>
      <c r="DU73" s="184"/>
      <c r="DV73" s="184"/>
      <c r="DW73" s="184"/>
      <c r="DX73" s="184"/>
      <c r="EB73">
        <f t="shared" si="154"/>
        <v>2018</v>
      </c>
    </row>
    <row r="74" spans="1:132" s="160" customFormat="1" ht="21">
      <c r="A74" s="160" t="s">
        <v>154</v>
      </c>
      <c r="B74" s="161" t="s">
        <v>154</v>
      </c>
      <c r="C74" s="161">
        <v>4007784</v>
      </c>
      <c r="D74" s="161" t="s">
        <v>155</v>
      </c>
      <c r="E74" s="161"/>
      <c r="F74" s="161"/>
      <c r="G74" s="161" t="s">
        <v>140</v>
      </c>
      <c r="H74" s="162">
        <v>2019</v>
      </c>
      <c r="I74" s="163"/>
      <c r="J74" s="159">
        <f>IFERROR(INDEX('Labor Expenditures'!$F$7:$X$91,MATCH($C74,'Labor Expenditures'!$D$7:$D$91,0),MATCH($G74,'Labor Expenditures'!$F$5:$X$5,0)),"NA")</f>
        <v>92559.102092208152</v>
      </c>
      <c r="K74" s="159">
        <f t="shared" si="160"/>
        <v>618.40054846973874</v>
      </c>
      <c r="L74" s="165">
        <f t="shared" si="168"/>
        <v>-7.035412181681972E-3</v>
      </c>
      <c r="M74" s="76">
        <f t="shared" si="170"/>
        <v>-1.8406337711972153E-4</v>
      </c>
      <c r="N74" s="62">
        <f t="shared" si="176"/>
        <v>102.59508129063937</v>
      </c>
      <c r="O74" s="96">
        <f t="shared" si="171"/>
        <v>-1.1258831515988707E-2</v>
      </c>
      <c r="P74" s="96"/>
      <c r="Q74" s="159">
        <f>IFERROR(INDEX('Non-Labor Expenditures'!$F$7:$AB$91,MATCH($C74,'Non-Labor Expenditures'!$D$7:$D$91,0),MATCH($G74,'Non-Labor Expenditures'!$F$5:$AB$5,0)),"NA")</f>
        <v>134042.86748513771</v>
      </c>
      <c r="R74" s="159">
        <f t="shared" si="161"/>
        <v>1193.4228483870593</v>
      </c>
      <c r="S74" s="165">
        <f t="shared" si="172"/>
        <v>1.0566666266087732E-2</v>
      </c>
      <c r="T74" s="165">
        <f t="shared" si="173"/>
        <v>2.7644951391720248E-4</v>
      </c>
      <c r="U74" s="165"/>
      <c r="V74" s="165"/>
      <c r="W74" s="159">
        <f t="shared" si="142"/>
        <v>120556.10249340357</v>
      </c>
      <c r="X74" s="163"/>
      <c r="Y74" s="167">
        <v>6262.1752119199045</v>
      </c>
      <c r="Z74" s="168">
        <v>7.7572778472887849E-2</v>
      </c>
      <c r="AA74" s="76">
        <f t="shared" si="162"/>
        <v>2.0294912664045543E-3</v>
      </c>
      <c r="AB74" s="168"/>
      <c r="AC74" s="168"/>
      <c r="AD74" s="163">
        <f t="shared" si="102"/>
        <v>347158.07207074948</v>
      </c>
      <c r="AE74" s="168">
        <f t="shared" si="174"/>
        <v>4.1869361128837046E-2</v>
      </c>
      <c r="AF74" s="163"/>
      <c r="AG74" s="163"/>
      <c r="AH74" s="163"/>
      <c r="AI74" s="163"/>
      <c r="AJ74" s="116">
        <f t="shared" si="175"/>
        <v>507.68354870190092</v>
      </c>
      <c r="AK74" s="114">
        <f>+AV74/$AX$24</f>
        <v>1.8154829787983644E-2</v>
      </c>
      <c r="AL74" s="115">
        <f t="shared" si="163"/>
        <v>0.26661947262267593</v>
      </c>
      <c r="AM74" s="115">
        <f t="shared" si="164"/>
        <v>0.38611479400605814</v>
      </c>
      <c r="AN74" s="115">
        <f t="shared" si="165"/>
        <v>0.34726573337126582</v>
      </c>
      <c r="AO74" s="115">
        <f t="shared" si="169"/>
        <v>2.8816558728280959E-2</v>
      </c>
      <c r="AP74" s="166">
        <f t="shared" si="177"/>
        <v>151.25647445465538</v>
      </c>
      <c r="AQ74" s="168">
        <f t="shared" si="178"/>
        <v>2.8816558728281063E-2</v>
      </c>
      <c r="AR74" s="69">
        <f>+AD74/$AF$24</f>
        <v>2.6162415558105521E-2</v>
      </c>
      <c r="AS74" s="169">
        <f t="shared" si="179"/>
        <v>7.539107844038419E-4</v>
      </c>
      <c r="AT74" s="115"/>
      <c r="AU74" s="115"/>
      <c r="AV74" s="113">
        <f>IFERROR(INDEX('Total Customers'!$F$7:$AB$91,MATCH($C74,'Total Customers'!$D$7:$D$91,0),MATCH($G74,'Total Customers'!$F$5:$AB$5,0)),"NA")</f>
        <v>683808</v>
      </c>
      <c r="AW74" s="68">
        <f t="shared" si="180"/>
        <v>8.4664687058280189E-3</v>
      </c>
      <c r="AX74" s="114"/>
      <c r="AY74" s="114"/>
      <c r="AZ74" s="116"/>
      <c r="BA74" s="116"/>
      <c r="BB74" s="166"/>
      <c r="BC74" s="166"/>
      <c r="BD74" s="166"/>
      <c r="BE74" s="166"/>
      <c r="BF74" s="166"/>
      <c r="BG74" s="166"/>
      <c r="BH74" s="166"/>
      <c r="BI74" s="113"/>
      <c r="BJ74" s="113"/>
      <c r="BK74" s="113">
        <f>INDEX('Dist. Plant Gas Additions'!$F$7:$AE$91,MATCH($C74,'Dist. Plant Gas Additions'!$D$7:$D$91,0),MATCH(Calculation!$G74,'Dist. Plant Gas Additions'!$F$5:$AE$5,0))</f>
        <v>399000</v>
      </c>
      <c r="BL74" s="113">
        <f>INDEX('Gen. Plant Additions'!$F$7:$AE$91,MATCH($C74,'Gen. Plant Additions'!$D$7:$D$91,0),MATCH(Calculation!$G74,'Gen. Plant Additions'!$F$5:$AE$5,0))</f>
        <v>2972</v>
      </c>
      <c r="BM74" s="231">
        <f t="shared" si="143"/>
        <v>0.99200238611227487</v>
      </c>
      <c r="BN74" s="61">
        <f t="shared" si="181"/>
        <v>2948.2310915256808</v>
      </c>
      <c r="BO74" s="113">
        <f>INDEX('Dist Plant Depreciation'!$E$7:$AD$94,MATCH($C74,'Dist Plant Depreciation'!$D$7:$D$94,0),MATCH(Calculation!$G74,'Dist Plant Depreciation'!$E$5:$AD$5,0))</f>
        <v>578248</v>
      </c>
      <c r="BP74" s="113">
        <f>INDEX('Gen. Plant Depreciation'!$E$7:$AD$94,MATCH($C74,'Gen. Plant Depreciation'!$D$7:$D$94,0),MATCH(Calculation!$G74,'Gen. Plant Depreciation'!$E$5:$AD$5,0))</f>
        <v>6800</v>
      </c>
      <c r="BQ74" s="175">
        <v>1998</v>
      </c>
      <c r="BR74" s="175">
        <v>51</v>
      </c>
      <c r="BS74" s="170">
        <v>325.62124608830305</v>
      </c>
      <c r="BT74" s="176">
        <f t="shared" si="141"/>
        <v>3.8461538461538464E-2</v>
      </c>
      <c r="BU74" s="177">
        <f t="shared" si="68"/>
        <v>12.52389408031935</v>
      </c>
      <c r="BV74" s="177"/>
      <c r="BW74" s="113">
        <f>INDEX('Gross Dx Plant'!$E$7:$AD$91,MATCH($C74,'Gross Dx Plant'!$D$7:$D$91,0),MATCH(Calculation!$G74,'Gross Dx Plant'!$E$5:$AD$5,0))</f>
        <v>2876921</v>
      </c>
      <c r="BX74" s="113">
        <f>INDEX('Gross Gen Plant'!$E$7:$AD$91,MATCH($C74,'Gross Gen Plant'!$D$7:$D$91,0),MATCH(Calculation!$G74,'Gross Gen Plant'!$E$5:$AD$5,0))</f>
        <v>23194</v>
      </c>
      <c r="BY74" s="113">
        <f t="shared" si="182"/>
        <v>2315067</v>
      </c>
      <c r="BZ74" s="113"/>
      <c r="CA74" s="116">
        <v>2019</v>
      </c>
      <c r="CB74" s="113"/>
      <c r="CC74" s="113"/>
      <c r="CD74" s="113"/>
      <c r="CE74" s="175"/>
      <c r="CF74" s="113">
        <f t="shared" si="144"/>
        <v>401972</v>
      </c>
      <c r="CG74" s="113">
        <f t="shared" si="145"/>
        <v>519.65297829186386</v>
      </c>
      <c r="CH74" s="178">
        <v>0.85106382978723405</v>
      </c>
      <c r="CI74" s="61">
        <f>CI53*CH74+CG54*CH73+CG55*CH72+CG56*CH71+CG57*CH70+CG58*CH69+CG59*CH68+CG60*CH67+CG61*CH66+CG62*CH65+CG63*CH64+CG64*CH63+CG65*CH62+CG66*CH61+CG67*CH60+CG68*CH59+CG69*CH58+CG70*CH57+CG71*CH56+CG72*CH55+CG73*CH54+CG74</f>
        <v>6262.1752119199045</v>
      </c>
      <c r="CJ74" s="114">
        <f t="shared" si="146"/>
        <v>7.7572778472887849E-2</v>
      </c>
      <c r="CK74" s="114"/>
      <c r="CL74" s="169">
        <f t="shared" si="147"/>
        <v>9.0154121413661865E-3</v>
      </c>
      <c r="CM74" s="169">
        <f t="shared" si="156"/>
        <v>8.837670229008809E-3</v>
      </c>
      <c r="CN74" s="114">
        <f>VLOOKUP($H74,RoR!$E:$F,2,FALSE)</f>
        <v>3.3875000000000009E-2</v>
      </c>
      <c r="CO74" s="169">
        <v>1.8092492884465461E-2</v>
      </c>
      <c r="CP74" s="169">
        <f t="shared" si="153"/>
        <v>1.5782507115534548E-2</v>
      </c>
      <c r="CQ74" s="169">
        <f t="shared" si="157"/>
        <v>2.2064271379524818E-2</v>
      </c>
      <c r="CR74" s="69">
        <v>4.8445665544254078E-2</v>
      </c>
      <c r="CS74" s="179">
        <f t="shared" si="148"/>
        <v>0.90346083210000006</v>
      </c>
      <c r="CT74" s="180">
        <f t="shared" si="149"/>
        <v>1.513861292459078</v>
      </c>
      <c r="CU74" s="180">
        <f t="shared" si="150"/>
        <v>0.23699261992619944</v>
      </c>
      <c r="CV74" s="180">
        <f t="shared" si="151"/>
        <v>0.73619765810468829</v>
      </c>
      <c r="CW74" s="180">
        <f t="shared" si="152"/>
        <v>0.26412854465362851</v>
      </c>
      <c r="CX74" s="181">
        <f>INDEX('State Tax Lookup'!$D$7:$Z$91,MATCH(Calculation!$C74,'State Tax Lookup'!$B$7:$B$91,0),MATCH($H74,'State Tax Lookup'!$D$6:$Z$6,0))</f>
        <v>0.26091666999999996</v>
      </c>
      <c r="CY74" s="72">
        <v>0.37</v>
      </c>
      <c r="CZ74" s="70">
        <f t="shared" si="155"/>
        <v>20.804314669198913</v>
      </c>
      <c r="DA74" s="70">
        <v>19.236104090735289</v>
      </c>
      <c r="DB74" s="69">
        <f t="shared" si="158"/>
        <v>1.5967679113688672E-2</v>
      </c>
      <c r="DC74" s="111">
        <f>VLOOKUP($H74,RoR!$E:$F,2,FALSE)</f>
        <v>3.3875000000000009E-2</v>
      </c>
      <c r="DD74" s="216">
        <f>HLOOKUP($H74,'GDP-PI'!$D$8:$CQ$11,3,FALSE)</f>
        <v>1.8092492884465461E-2</v>
      </c>
      <c r="DE74" s="111">
        <f>VLOOKUP(H74,'HW Dx Data'!$E:$F,2,FALSE)</f>
        <v>773.53929793938721</v>
      </c>
      <c r="DF74" s="72">
        <f t="shared" si="166"/>
        <v>149.67500000000001</v>
      </c>
      <c r="DG74" s="69">
        <f t="shared" si="167"/>
        <v>3.5532849899171604E-2</v>
      </c>
      <c r="DH74" s="66">
        <f>HLOOKUP(H74,'GDP-PI'!$8:$9,2,FALSE)</f>
        <v>112.318</v>
      </c>
      <c r="DI74" s="69">
        <f t="shared" si="159"/>
        <v>1.7930771451401852E-2</v>
      </c>
      <c r="DO74" s="184"/>
      <c r="DP74" s="184"/>
      <c r="DQ74" s="184"/>
      <c r="DR74" s="184"/>
      <c r="DS74" s="184"/>
      <c r="DT74" s="184"/>
      <c r="DU74" s="184"/>
      <c r="DV74" s="184"/>
      <c r="DW74" s="184"/>
      <c r="DX74" s="184"/>
      <c r="EB74">
        <f t="shared" si="154"/>
        <v>2019</v>
      </c>
    </row>
    <row r="75" spans="1:132" s="160" customFormat="1" ht="21">
      <c r="A75" s="160" t="s">
        <v>154</v>
      </c>
      <c r="B75" s="160" t="s">
        <v>154</v>
      </c>
      <c r="C75" s="160">
        <v>4007784</v>
      </c>
      <c r="D75" s="160" t="s">
        <v>155</v>
      </c>
      <c r="G75" s="161" t="s">
        <v>141</v>
      </c>
      <c r="H75" s="162">
        <v>2020</v>
      </c>
      <c r="I75" s="163"/>
      <c r="J75" s="159">
        <f>IFERROR(INDEX('Labor Expenditures'!$F$7:$X$91,MATCH($C75,'Labor Expenditures'!$D$7:$D$91,0),MATCH($G75,'Labor Expenditures'!$F$5:$X$5,0)),"NA")</f>
        <v>91499.463972828875</v>
      </c>
      <c r="K75" s="159">
        <f t="shared" si="160"/>
        <v>597.44997696917312</v>
      </c>
      <c r="L75" s="165">
        <f t="shared" si="168"/>
        <v>-3.4465824443029577E-2</v>
      </c>
      <c r="M75" s="76">
        <f t="shared" si="170"/>
        <v>-9.0746583238712547E-4</v>
      </c>
      <c r="N75" s="62">
        <f t="shared" si="176"/>
        <v>99.552767248021098</v>
      </c>
      <c r="O75" s="96">
        <f t="shared" si="171"/>
        <v>-3.0102163257304172E-2</v>
      </c>
      <c r="P75" s="96"/>
      <c r="Q75" s="159">
        <f>IFERROR(INDEX('Non-Labor Expenditures'!$F$7:$AB$91,MATCH($C75,'Non-Labor Expenditures'!$D$7:$D$91,0),MATCH($G75,'Non-Labor Expenditures'!$F$5:$AB$5,0)),"NA")</f>
        <v>132508.31357517588</v>
      </c>
      <c r="R75" s="159">
        <f t="shared" si="161"/>
        <v>1166.210305793509</v>
      </c>
      <c r="S75" s="165">
        <f t="shared" si="172"/>
        <v>-2.3066084707053736E-2</v>
      </c>
      <c r="T75" s="165">
        <f t="shared" si="173"/>
        <v>-6.0731707704243581E-4</v>
      </c>
      <c r="U75" s="165"/>
      <c r="V75" s="165"/>
      <c r="W75" s="159">
        <f t="shared" si="142"/>
        <v>136097.0119723033</v>
      </c>
      <c r="X75" s="163"/>
      <c r="Y75" s="167">
        <v>6628.8341638774791</v>
      </c>
      <c r="Z75" s="168">
        <v>5.6901343485235512E-2</v>
      </c>
      <c r="AA75" s="76">
        <f t="shared" si="162"/>
        <v>1.4981804690361305E-3</v>
      </c>
      <c r="AB75" s="168"/>
      <c r="AC75" s="168"/>
      <c r="AD75" s="163">
        <f t="shared" si="102"/>
        <v>360104.78952030803</v>
      </c>
      <c r="AE75" s="168">
        <f t="shared" si="174"/>
        <v>3.661485576565756E-2</v>
      </c>
      <c r="AF75" s="163"/>
      <c r="AG75" s="163"/>
      <c r="AH75" s="163"/>
      <c r="AI75" s="163"/>
      <c r="AJ75" s="116">
        <f t="shared" si="175"/>
        <v>528.93736489628213</v>
      </c>
      <c r="AK75" s="114">
        <f>+AV75/$AX$25</f>
        <v>1.7947541860211857E-2</v>
      </c>
      <c r="AL75" s="115">
        <f t="shared" si="163"/>
        <v>0.25409121632265541</v>
      </c>
      <c r="AM75" s="115">
        <f t="shared" si="164"/>
        <v>0.3679715389281239</v>
      </c>
      <c r="AN75" s="115">
        <f t="shared" si="165"/>
        <v>0.3779372447492208</v>
      </c>
      <c r="AO75" s="115">
        <f t="shared" si="169"/>
        <v>2.9622406659297017E-3</v>
      </c>
      <c r="AP75" s="166">
        <f t="shared" si="177"/>
        <v>151.70519681796296</v>
      </c>
      <c r="AQ75" s="168">
        <f t="shared" si="178"/>
        <v>2.9622406659297884E-3</v>
      </c>
      <c r="AR75" s="69">
        <f>+AD75/$AF$25</f>
        <v>2.632943929390474E-2</v>
      </c>
      <c r="AS75" s="169">
        <f t="shared" si="179"/>
        <v>7.7994135787534319E-5</v>
      </c>
      <c r="AT75" s="115"/>
      <c r="AU75" s="115"/>
      <c r="AV75" s="113">
        <v>680808</v>
      </c>
      <c r="AW75" s="68">
        <f t="shared" si="180"/>
        <v>-4.3968483926135893E-3</v>
      </c>
      <c r="AX75" s="114"/>
      <c r="AY75" s="114"/>
      <c r="AZ75" s="116"/>
      <c r="BA75" s="116"/>
      <c r="BB75" s="166"/>
      <c r="BC75" s="166"/>
      <c r="BD75" s="166"/>
      <c r="BE75" s="166"/>
      <c r="BF75" s="166"/>
      <c r="BG75" s="166"/>
      <c r="BH75" s="166"/>
      <c r="BI75" s="113"/>
      <c r="BJ75" s="113"/>
      <c r="BK75" s="113">
        <f>INDEX('Dist. Plant Gas Additions'!$F$7:$AE$91,MATCH($C75,'Dist. Plant Gas Additions'!$D$7:$D$91,0),MATCH(Calculation!$G75,'Dist. Plant Gas Additions'!$F$5:$AE$5,0))</f>
        <v>336562</v>
      </c>
      <c r="BL75" s="113">
        <f>INDEX('Gen. Plant Additions'!$F$7:$AE$91,MATCH($C75,'Gen. Plant Additions'!$D$7:$D$91,0),MATCH(Calculation!$G75,'Gen. Plant Additions'!$F$5:$AE$5,0))</f>
        <v>7847</v>
      </c>
      <c r="BM75" s="231">
        <f t="shared" si="143"/>
        <v>0.99045896458813398</v>
      </c>
      <c r="BN75" s="61">
        <f t="shared" si="181"/>
        <v>7772.131495123087</v>
      </c>
      <c r="BO75" s="113">
        <f>INDEX('Dist Plant Depreciation'!$E$7:$AD$94,MATCH($C75,'Dist Plant Depreciation'!$D$7:$D$94,0),MATCH(Calculation!$G75,'Dist Plant Depreciation'!$E$5:$AD$5,0))</f>
        <v>604946</v>
      </c>
      <c r="BP75" s="113">
        <f>INDEX('Gen. Plant Depreciation'!$E$7:$AD$94,MATCH($C75,'Gen. Plant Depreciation'!$D$7:$D$94,0),MATCH(Calculation!$G75,'Gen. Plant Depreciation'!$E$5:$AD$5,0))</f>
        <v>7847</v>
      </c>
      <c r="BQ75" s="113"/>
      <c r="BR75" s="113"/>
      <c r="BS75" s="113"/>
      <c r="BT75" s="176"/>
      <c r="BU75" s="113"/>
      <c r="BV75" s="113"/>
      <c r="BW75" s="113">
        <f>INDEX('Gross Dx Plant'!$E$7:$AD$91,MATCH($C75,'Gross Dx Plant'!$D$7:$D$91,0),MATCH(Calculation!$G75,'Gross Dx Plant'!$E$5:$AD$5,0))</f>
        <v>3183762</v>
      </c>
      <c r="BX75" s="113">
        <f>INDEX('Gross Gen Plant'!$E$7:$AD$91,MATCH($C75,'Gross Gen Plant'!$D$7:$D$91,0),MATCH(Calculation!$G75,'Gross Gen Plant'!$E$5:$AD$5,0))</f>
        <v>30669</v>
      </c>
      <c r="BY75" s="113">
        <f t="shared" si="182"/>
        <v>2601638</v>
      </c>
      <c r="BZ75" s="113"/>
      <c r="CA75" s="116">
        <v>2020</v>
      </c>
      <c r="CB75" s="113"/>
      <c r="CC75" s="113"/>
      <c r="CD75" s="113"/>
      <c r="CE75" s="175"/>
      <c r="CF75" s="113">
        <f t="shared" si="144"/>
        <v>344409</v>
      </c>
      <c r="CG75" s="113">
        <f t="shared" si="145"/>
        <v>423.58554039551757</v>
      </c>
      <c r="CH75" s="178">
        <v>0.84057971014492749</v>
      </c>
      <c r="CI75" s="61">
        <f>CI53*CH75+CG54*CH74+CG55*CH73+CG56*CH72+CG57*CH71+CG58*CH70+CG59*CH69+CG60*CH68+CG61*CH67+CG62*CH66+CG63*CH65+CG64*CH64+CG65*CH63+CG66*CH62+CG67*CH61+CG68*CH60+CG69*CH59+CG70*CH58+CG71*CH57+CG72*CH56+CG73*CH55+CG74*CH54+CG75</f>
        <v>6628.8341638774791</v>
      </c>
      <c r="CJ75" s="114">
        <f t="shared" si="146"/>
        <v>5.6901343485235512E-2</v>
      </c>
      <c r="CK75" s="114"/>
      <c r="CL75" s="169">
        <f t="shared" si="147"/>
        <v>9.0905454592813944E-3</v>
      </c>
      <c r="CM75" s="169">
        <f t="shared" si="156"/>
        <v>8.9801797552830648E-3</v>
      </c>
      <c r="CN75" s="114">
        <f>VLOOKUP($H75,RoR!$E:$F,2,FALSE)</f>
        <v>2.4766666666666666E-2</v>
      </c>
      <c r="CO75" s="169">
        <v>1.1618796630994188E-2</v>
      </c>
      <c r="CP75" s="169">
        <f t="shared" si="153"/>
        <v>1.3147870035672478E-2</v>
      </c>
      <c r="CQ75" s="169">
        <f t="shared" si="157"/>
        <v>2.1921761853250558E-2</v>
      </c>
      <c r="CR75" s="69">
        <v>4.5144642961987357E-2</v>
      </c>
      <c r="CS75" s="179">
        <f t="shared" si="148"/>
        <v>0.90346083210000006</v>
      </c>
      <c r="CT75" s="180">
        <f t="shared" si="149"/>
        <v>2.0706077233668081</v>
      </c>
      <c r="CU75" s="180">
        <f t="shared" si="150"/>
        <v>-3.4421265141318998E-2</v>
      </c>
      <c r="CV75" s="180">
        <f t="shared" si="151"/>
        <v>0.62416226176410472</v>
      </c>
      <c r="CW75" s="180">
        <f t="shared" si="152"/>
        <v>-4.4485877841158712E-2</v>
      </c>
      <c r="CX75" s="181">
        <f>INDEX('State Tax Lookup'!$D$7:$Z$91,MATCH(Calculation!$C75,'State Tax Lookup'!$B$7:$B$91,0),MATCH($H75,'State Tax Lookup'!$D$6:$Z$6,0))</f>
        <v>0.26091666999999996</v>
      </c>
      <c r="CY75" s="72">
        <v>0.37</v>
      </c>
      <c r="CZ75" s="70">
        <f t="shared" si="155"/>
        <v>21.733184934405191</v>
      </c>
      <c r="DA75" s="70">
        <v>19.952659173050833</v>
      </c>
      <c r="DB75" s="69">
        <f t="shared" si="158"/>
        <v>4.3679950855070503E-2</v>
      </c>
      <c r="DC75" s="111">
        <f>VLOOKUP($H75,RoR!$E:$F,2,FALSE)</f>
        <v>2.4766666666666666E-2</v>
      </c>
      <c r="DD75" s="216">
        <f>HLOOKUP($H75,'GDP-PI'!$D$8:$CQ$11,3,FALSE)</f>
        <v>1.1618796630994188E-2</v>
      </c>
      <c r="DE75" s="111">
        <f>VLOOKUP(H75,'HW Dx Data'!$E:$F,2,FALSE)</f>
        <v>813.080162458833</v>
      </c>
      <c r="DF75" s="72">
        <f t="shared" si="166"/>
        <v>153.15</v>
      </c>
      <c r="DG75" s="69">
        <f t="shared" si="167"/>
        <v>2.2951556467368479E-2</v>
      </c>
      <c r="DH75" s="66">
        <f>HLOOKUP(H75,'GDP-PI'!$8:$9,2,FALSE)</f>
        <v>113.623</v>
      </c>
      <c r="DI75" s="69">
        <f t="shared" si="159"/>
        <v>1.1551816731392881E-2</v>
      </c>
      <c r="DO75" s="184"/>
      <c r="DP75" s="184"/>
      <c r="DQ75" s="184"/>
      <c r="DR75" s="184"/>
      <c r="DS75" s="184"/>
      <c r="DT75" s="184"/>
      <c r="DU75" s="184"/>
      <c r="DV75" s="184"/>
      <c r="DW75" s="184"/>
      <c r="DX75" s="184"/>
      <c r="EB75">
        <f t="shared" si="154"/>
        <v>2020</v>
      </c>
    </row>
    <row r="76" spans="1:132" s="160" customFormat="1" ht="21">
      <c r="A76" s="160" t="s">
        <v>154</v>
      </c>
      <c r="B76" s="160" t="s">
        <v>154</v>
      </c>
      <c r="C76" s="160">
        <v>4007784</v>
      </c>
      <c r="D76" s="160" t="s">
        <v>155</v>
      </c>
      <c r="G76" s="161" t="s">
        <v>142</v>
      </c>
      <c r="H76" s="162">
        <v>2021</v>
      </c>
      <c r="I76" s="163"/>
      <c r="J76" s="159">
        <f>IFERROR(INDEX('Labor Expenditures'!$E$7:$X$91,MATCH($C76,'Labor Expenditures'!$D$7:$D$91,0),MATCH($G76,'Labor Expenditures'!$E$5:$X$5,0)),"NA")</f>
        <v>97613.497409951407</v>
      </c>
      <c r="K76" s="159">
        <f t="shared" si="160"/>
        <v>620.75356063562106</v>
      </c>
      <c r="L76" s="164">
        <f t="shared" si="168"/>
        <v>3.8263600646548587E-2</v>
      </c>
      <c r="M76" s="76">
        <f t="shared" si="170"/>
        <v>9.319075064635762E-4</v>
      </c>
      <c r="N76" s="166">
        <f>+N75*EXP(O76)</f>
        <v>104.38682420228739</v>
      </c>
      <c r="O76" s="114">
        <f t="shared" si="171"/>
        <v>4.7415634831956557E-2</v>
      </c>
      <c r="P76" s="114"/>
      <c r="Q76" s="159">
        <v>137599.74936101586</v>
      </c>
      <c r="R76" s="159">
        <f t="shared" si="161"/>
        <v>1161.2773175881159</v>
      </c>
      <c r="S76" s="165">
        <f t="shared" si="172"/>
        <v>-4.2389016743035867E-3</v>
      </c>
      <c r="T76" s="165">
        <f t="shared" si="173"/>
        <v>-1.0323817473254053E-4</v>
      </c>
      <c r="U76" s="165"/>
      <c r="V76" s="165"/>
      <c r="W76" s="159">
        <f t="shared" si="142"/>
        <v>137961.76519751639</v>
      </c>
      <c r="X76" s="163"/>
      <c r="Y76" s="167">
        <v>6934.6431365647632</v>
      </c>
      <c r="Z76" s="168">
        <v>3.8862560818863592E-2</v>
      </c>
      <c r="AA76" s="76">
        <f t="shared" si="162"/>
        <v>9.464951425255634E-4</v>
      </c>
      <c r="AB76" s="168"/>
      <c r="AC76" s="168"/>
      <c r="AD76" s="163">
        <f t="shared" si="102"/>
        <v>373175.01196848368</v>
      </c>
      <c r="AE76" s="168">
        <f t="shared" si="174"/>
        <v>3.5652439496478443E-2</v>
      </c>
      <c r="AF76" s="113"/>
      <c r="AG76" s="114"/>
      <c r="AH76" s="114"/>
      <c r="AI76" s="114"/>
      <c r="AJ76" s="116">
        <f t="shared" si="175"/>
        <v>550.55618045415986</v>
      </c>
      <c r="AK76" s="114">
        <f>+AV76/$AX$26</f>
        <v>1.755710904699069E-2</v>
      </c>
      <c r="AL76" s="115">
        <f t="shared" si="163"/>
        <v>0.26157565292232188</v>
      </c>
      <c r="AM76" s="115">
        <f t="shared" si="164"/>
        <v>0.368727125203755</v>
      </c>
      <c r="AN76" s="115">
        <f t="shared" si="165"/>
        <v>0.36969722187392301</v>
      </c>
      <c r="AO76" s="115">
        <f t="shared" si="169"/>
        <v>2.2831733940010264E-2</v>
      </c>
      <c r="AP76" s="166">
        <f t="shared" si="177"/>
        <v>155.20873321985968</v>
      </c>
      <c r="AQ76" s="168">
        <f t="shared" si="178"/>
        <v>2.2831733940010274E-2</v>
      </c>
      <c r="AR76" s="69">
        <f>+AD76/$AF$26</f>
        <v>2.4354934996104062E-2</v>
      </c>
      <c r="AS76" s="169">
        <f t="shared" si="179"/>
        <v>5.5606539595729311E-4</v>
      </c>
      <c r="AT76" s="115"/>
      <c r="AU76" s="115"/>
      <c r="AV76" s="113">
        <f>+AV75*(1+AW75)</f>
        <v>677814.59043952159</v>
      </c>
      <c r="AW76" s="68">
        <f t="shared" si="180"/>
        <v>-4.4065429579665883E-3</v>
      </c>
      <c r="AX76" s="113"/>
      <c r="AY76" s="113"/>
      <c r="AZ76" s="116"/>
      <c r="BA76" s="116"/>
      <c r="BB76" s="166"/>
      <c r="BC76" s="166"/>
      <c r="BD76" s="166"/>
      <c r="BE76" s="166"/>
      <c r="BF76" s="166"/>
      <c r="BG76" s="166"/>
      <c r="BH76" s="166"/>
      <c r="BI76" s="113"/>
      <c r="BJ76" s="113"/>
      <c r="BK76" s="113">
        <f>INDEX('Dist. Plant Gas Additions'!$E$7:$AE$91,MATCH($C76,'Dist. Plant Gas Additions'!$D$7:$D$91,0),MATCH(Calculation!$G76,'Dist. Plant Gas Additions'!$E$5:$AE$5,0))</f>
        <v>401846.52</v>
      </c>
      <c r="BL76" s="113">
        <f>INDEX('Gen. Plant Additions'!$E$7:$AE$91,MATCH($C76,'Gen. Plant Additions'!$D$7:$D$91,0),MATCH(Calculation!$G76,'Gen. Plant Additions'!$E$5:$AE$5,0))</f>
        <v>4808.8159999999998</v>
      </c>
      <c r="BM76" s="231">
        <v>0.99045896458813398</v>
      </c>
      <c r="BN76" s="61">
        <f t="shared" si="181"/>
        <v>4762.9349162548515</v>
      </c>
      <c r="BO76" s="113"/>
      <c r="BP76" s="113"/>
      <c r="BQ76" s="175"/>
      <c r="BR76" s="175">
        <f>SUM(BR22:BR74)</f>
        <v>1326</v>
      </c>
      <c r="BS76" s="170"/>
      <c r="BT76" s="176"/>
      <c r="BU76" s="177">
        <f>SUM(BU22:BU74)</f>
        <v>201.71943868802228</v>
      </c>
      <c r="BV76" s="177"/>
      <c r="BW76" s="113"/>
      <c r="BX76" s="113"/>
      <c r="BY76" s="113"/>
      <c r="BZ76" s="113"/>
      <c r="CA76" s="116">
        <v>2021</v>
      </c>
      <c r="CB76" s="113"/>
      <c r="CC76" s="113"/>
      <c r="CD76" s="113"/>
      <c r="CE76" s="175"/>
      <c r="CF76" s="113">
        <f t="shared" si="144"/>
        <v>406655.33600000001</v>
      </c>
      <c r="CG76" s="113">
        <f t="shared" si="145"/>
        <v>435.84729879657948</v>
      </c>
      <c r="CH76" s="178">
        <f>+(51-23)/(51-23*0.75)</f>
        <v>0.82962962962962961</v>
      </c>
      <c r="CI76" s="113">
        <f>CI53*CH76+CG54*CH75+CG55*CH74+CG56*CH73+CG57*CH72+CG58*CH71+CG59*CH70+CG60*CH69+CG61*CH68+CG62*CH67+CG63*CH66+CG64*CH65+CG65*CH64+CG66*CH63+CG67*CH62+CG58*CH61+CG69*CH60+CG70*CH59+CG71*CH58+CG72*CH57+CG73*CH56+CG74*CH55+CG76+CG75*CH54</f>
        <v>6934.6431365647632</v>
      </c>
      <c r="CJ76" s="114">
        <f>AVERAGE(CJ62:CJ75)</f>
        <v>3.8862560818863592E-2</v>
      </c>
      <c r="CK76" s="113"/>
      <c r="CL76" s="169">
        <f t="shared" si="147"/>
        <v>1.9617073363807105E-2</v>
      </c>
      <c r="CM76" s="169">
        <f t="shared" si="156"/>
        <v>1.2574343654818229E-2</v>
      </c>
      <c r="CN76" s="114">
        <f>VLOOKUP($H76,RoR!$E:$F,2,FALSE)</f>
        <v>2.7033333333333336E-2</v>
      </c>
      <c r="CO76" s="169"/>
      <c r="CP76" s="169"/>
      <c r="CQ76" s="169">
        <f>+$CP$2-CM76</f>
        <v>1.8327597953715396E-2</v>
      </c>
      <c r="CR76" s="169">
        <v>7.433422950153494E-2</v>
      </c>
      <c r="CS76" s="179">
        <f t="shared" si="148"/>
        <v>0.90346083210000006</v>
      </c>
      <c r="CT76" s="180">
        <f t="shared" si="149"/>
        <v>1.8969932656739068</v>
      </c>
      <c r="CU76" s="180">
        <f t="shared" si="150"/>
        <v>5.0215782983970621E-2</v>
      </c>
      <c r="CV76" s="180">
        <f t="shared" si="151"/>
        <v>0.655952481704143</v>
      </c>
      <c r="CW76" s="180">
        <f t="shared" si="152"/>
        <v>6.2485378865697057E-2</v>
      </c>
      <c r="CX76" s="181">
        <f>CX75</f>
        <v>0.26091666999999996</v>
      </c>
      <c r="CY76" s="72">
        <v>0.37</v>
      </c>
      <c r="CZ76" s="182">
        <f t="shared" si="155"/>
        <v>20.812372400159255</v>
      </c>
      <c r="DA76" s="182"/>
      <c r="DB76" s="169">
        <f t="shared" si="158"/>
        <v>-4.3292715271055882E-2</v>
      </c>
      <c r="DC76" s="181">
        <f>VLOOKUP($H76,RoR!$E:$F,2,FALSE)</f>
        <v>2.7033333333333336E-2</v>
      </c>
      <c r="DD76" s="183">
        <f>HLOOKUP($H76,'GDP-PI'!$D$8:$CR$11,3,FALSE)</f>
        <v>4.2834637353352578E-2</v>
      </c>
      <c r="DE76" s="181">
        <f>VLOOKUP(H76,'HW Dx Data'!$E:$F,2,FALSE)</f>
        <v>933.02249921662576</v>
      </c>
      <c r="DF76" s="72">
        <f t="shared" si="166"/>
        <v>157.25</v>
      </c>
      <c r="DG76" s="169">
        <f t="shared" si="167"/>
        <v>2.6419062301765574E-2</v>
      </c>
      <c r="DH76" s="175">
        <f>HLOOKUP(H76,'GDP-PI'!$8:$9,2,FALSE)</f>
        <v>118.49</v>
      </c>
      <c r="DI76" s="169">
        <f t="shared" si="159"/>
        <v>4.194261824609434E-2</v>
      </c>
      <c r="DO76" s="184"/>
      <c r="DP76" s="184"/>
      <c r="DQ76" s="184"/>
      <c r="DR76" s="184"/>
      <c r="DS76" s="184"/>
      <c r="DT76" s="184"/>
      <c r="DU76" s="184"/>
      <c r="DV76" s="184"/>
      <c r="DW76" s="184"/>
      <c r="DX76" s="184"/>
      <c r="EB76">
        <f t="shared" si="154"/>
        <v>2021</v>
      </c>
    </row>
    <row r="77" spans="1:132" s="160" customFormat="1" ht="21">
      <c r="G77" s="161" t="s">
        <v>144</v>
      </c>
      <c r="H77" s="162"/>
      <c r="I77" s="163"/>
      <c r="J77" s="159">
        <v>89007</v>
      </c>
      <c r="K77" s="159">
        <f t="shared" si="160"/>
        <v>547.56690249154099</v>
      </c>
      <c r="L77" s="164">
        <f t="shared" ref="L77" si="183">LN(K77/K76)</f>
        <v>-0.1254495098368939</v>
      </c>
      <c r="M77" s="76">
        <f t="shared" si="170"/>
        <v>-3.0977514378171195E-3</v>
      </c>
      <c r="N77" s="166">
        <f>+N76*EXP(O77)</f>
        <v>104.202875656328</v>
      </c>
      <c r="O77" s="114">
        <f t="shared" si="171"/>
        <v>-1.7637361170673588E-3</v>
      </c>
      <c r="P77" s="114"/>
      <c r="Q77" s="163">
        <v>125468</v>
      </c>
      <c r="R77" s="159">
        <f t="shared" si="161"/>
        <v>985.99607072691549</v>
      </c>
      <c r="S77" s="165">
        <f t="shared" ref="S77" si="184">LN(R77/R76)</f>
        <v>-0.16362344461611281</v>
      </c>
      <c r="T77" s="165">
        <f t="shared" si="173"/>
        <v>-4.0403885314431696E-3</v>
      </c>
      <c r="U77" s="166"/>
      <c r="V77" s="114"/>
      <c r="W77" s="159">
        <f>+CI76*CZ77</f>
        <v>186671.04479582235</v>
      </c>
      <c r="X77" s="165">
        <f t="shared" ref="X77" si="185">LN(W77/W76)</f>
        <v>0.30237136606754245</v>
      </c>
      <c r="Y77" s="167">
        <v>7331.8108456796281</v>
      </c>
      <c r="Z77" s="168">
        <v>5.5692937058299738E-2</v>
      </c>
      <c r="AA77" s="76">
        <f t="shared" si="162"/>
        <v>1.3752375443548243E-3</v>
      </c>
      <c r="AB77" s="166"/>
      <c r="AC77" s="114"/>
      <c r="AD77" s="163">
        <f t="shared" si="102"/>
        <v>401146.04479582235</v>
      </c>
      <c r="AE77" s="168">
        <f t="shared" si="174"/>
        <v>7.2278051895804468E-2</v>
      </c>
      <c r="AF77" s="113"/>
      <c r="AG77" s="114"/>
      <c r="AH77" s="114"/>
      <c r="AI77" s="114"/>
      <c r="AJ77" s="116">
        <f t="shared" si="175"/>
        <v>591.82267607385609</v>
      </c>
      <c r="AK77" s="114"/>
      <c r="AL77" s="115">
        <f t="shared" si="163"/>
        <v>0.22188178384085352</v>
      </c>
      <c r="AM77" s="115">
        <f t="shared" si="164"/>
        <v>0.31277386784122835</v>
      </c>
      <c r="AN77" s="115">
        <f t="shared" si="165"/>
        <v>0.46534434831791816</v>
      </c>
      <c r="AO77" s="115"/>
      <c r="AP77" s="166"/>
      <c r="AQ77" s="168"/>
      <c r="AR77" s="69">
        <f>+AD77/$AF$27</f>
        <v>2.4693212766193611E-2</v>
      </c>
      <c r="AS77" s="169"/>
      <c r="AT77" s="166"/>
      <c r="AU77" s="168"/>
      <c r="AV77" s="113">
        <v>677814.59043952159</v>
      </c>
      <c r="AW77" s="68">
        <f t="shared" si="180"/>
        <v>0</v>
      </c>
      <c r="AX77" s="113"/>
      <c r="AY77" s="113"/>
      <c r="AZ77" s="113"/>
      <c r="BA77" s="113"/>
      <c r="BB77" s="171"/>
      <c r="BC77" s="172"/>
      <c r="BD77" s="173"/>
      <c r="BE77" s="115"/>
      <c r="BF77" s="174"/>
      <c r="BG77" s="174"/>
      <c r="BH77" s="166"/>
      <c r="BI77" s="113"/>
      <c r="BJ77" s="113"/>
      <c r="BK77" s="113"/>
      <c r="BL77" s="113"/>
      <c r="BM77" s="231">
        <v>0.99045896458813398</v>
      </c>
      <c r="BN77" s="61">
        <f t="shared" si="181"/>
        <v>0</v>
      </c>
      <c r="BO77" s="113"/>
      <c r="BP77" s="113"/>
      <c r="BQ77" s="175"/>
      <c r="BR77" s="175"/>
      <c r="BS77" s="170"/>
      <c r="BT77" s="176"/>
      <c r="BU77" s="177"/>
      <c r="BV77" s="177"/>
      <c r="BW77" s="113"/>
      <c r="BX77" s="113"/>
      <c r="BY77" s="113"/>
      <c r="BZ77" s="113"/>
      <c r="CA77" s="116">
        <v>2022</v>
      </c>
      <c r="CB77" s="113"/>
      <c r="CC77" s="113"/>
      <c r="CD77" s="113"/>
      <c r="CE77" s="175"/>
      <c r="CF77" s="113">
        <v>393563</v>
      </c>
      <c r="CG77" s="113">
        <f t="shared" si="145"/>
        <v>381.79974971139205</v>
      </c>
      <c r="CH77" s="178">
        <f>+(51-24)/(51-24*0.75)</f>
        <v>0.81818181818181823</v>
      </c>
      <c r="CI77" s="113">
        <f>+CI53*CH77+CG54*CH76+CG55*CH75+CG56*CH74+CG57*CH73+CG58*CH72+CG59*CH71+CG60*CH70+CG61*CH69+CG62*CH68+CG63*CH67+CG64*CH66+CG65*CH65+CG66*CH64+CG67*CH63+CG68*CH62+CG69*CH61+CG70*CH60+CG71*CH59+CG72*CH58+CG73*CH57+CG74*CH56+CG75*CH55+CG76*CH54+CG77*CH53</f>
        <v>7319.1098280333108</v>
      </c>
      <c r="CJ77" s="114">
        <f t="shared" ref="CJ77" si="186">LN(CI77/CI76)</f>
        <v>5.3959118261390111E-2</v>
      </c>
      <c r="CK77" s="113"/>
      <c r="CL77" s="169">
        <f>+(CI76-CI77+CG77)/CI76</f>
        <v>-3.8458240815499701E-4</v>
      </c>
      <c r="CM77" s="169">
        <f t="shared" si="156"/>
        <v>9.4410121383111667E-3</v>
      </c>
      <c r="CN77" s="114"/>
      <c r="CO77" s="169"/>
      <c r="CP77" s="169"/>
      <c r="CQ77" s="69">
        <f t="shared" si="157"/>
        <v>2.1460929470222458E-2</v>
      </c>
      <c r="CR77" s="169">
        <v>0.10114668178709289</v>
      </c>
      <c r="CS77" s="179">
        <f t="shared" si="148"/>
        <v>0.90346083210000006</v>
      </c>
      <c r="CT77" s="180"/>
      <c r="CU77" s="180"/>
      <c r="CV77" s="180"/>
      <c r="CW77" s="180"/>
      <c r="CX77" s="181">
        <f>CX76</f>
        <v>0.26091666999999996</v>
      </c>
      <c r="CY77" s="72">
        <v>0.37</v>
      </c>
      <c r="CZ77" s="182">
        <f t="shared" si="155"/>
        <v>26.918623081200714</v>
      </c>
      <c r="DA77" s="182"/>
      <c r="DB77" s="169">
        <f t="shared" si="158"/>
        <v>0.25727071812599928</v>
      </c>
      <c r="DC77" s="181">
        <v>0.04</v>
      </c>
      <c r="DD77" s="183">
        <v>7.0000000000000001E-3</v>
      </c>
      <c r="DE77" s="181">
        <v>1030.81</v>
      </c>
      <c r="DF77" s="72">
        <f t="shared" si="166"/>
        <v>162.55000000000001</v>
      </c>
      <c r="DG77" s="169">
        <f t="shared" si="167"/>
        <v>3.3148751169364422E-2</v>
      </c>
      <c r="DH77" s="175">
        <v>127.25</v>
      </c>
      <c r="DI77" s="169">
        <f t="shared" si="159"/>
        <v>7.1325086601983473E-2</v>
      </c>
      <c r="DO77" s="184"/>
      <c r="DP77" s="184"/>
      <c r="DQ77" s="184"/>
      <c r="DR77" s="184"/>
      <c r="DS77" s="184"/>
      <c r="DT77" s="184"/>
      <c r="DU77" s="184"/>
      <c r="DV77" s="184"/>
      <c r="DW77" s="184"/>
      <c r="DX77" s="184"/>
      <c r="EB77">
        <f t="shared" si="154"/>
        <v>2022</v>
      </c>
    </row>
    <row r="78" spans="1:132" s="160" customFormat="1" ht="21">
      <c r="A78" s="160" t="s">
        <v>162</v>
      </c>
      <c r="B78" s="161" t="s">
        <v>163</v>
      </c>
      <c r="C78" s="161">
        <v>4057110</v>
      </c>
      <c r="D78" s="161" t="s">
        <v>164</v>
      </c>
      <c r="E78" s="161" t="s">
        <v>3</v>
      </c>
      <c r="F78" s="161"/>
      <c r="G78" s="161" t="s">
        <v>100</v>
      </c>
      <c r="H78" s="162">
        <v>1998</v>
      </c>
      <c r="I78" s="163"/>
      <c r="J78" s="159"/>
      <c r="K78" s="159"/>
      <c r="L78" s="159"/>
      <c r="M78" s="60"/>
      <c r="N78" s="131"/>
      <c r="O78" s="76"/>
      <c r="P78" s="76"/>
      <c r="Q78" s="165"/>
      <c r="R78" s="165"/>
      <c r="S78" s="165"/>
      <c r="T78" s="159"/>
      <c r="U78" s="165"/>
      <c r="V78" s="165"/>
      <c r="W78" s="159"/>
      <c r="X78" s="163"/>
      <c r="Y78" s="167">
        <v>159.72679782155851</v>
      </c>
      <c r="Z78" s="168"/>
      <c r="AA78" s="78"/>
      <c r="AB78" s="168"/>
      <c r="AC78" s="168"/>
      <c r="AD78" s="163">
        <f t="shared" si="102"/>
        <v>0</v>
      </c>
      <c r="AE78" s="163"/>
      <c r="AF78" s="163"/>
      <c r="AG78" s="114"/>
      <c r="AH78" s="114"/>
      <c r="AI78" s="114"/>
      <c r="AJ78" s="166">
        <f>+(AJ75+AJ76+AJ77)/3</f>
        <v>557.10540714143269</v>
      </c>
      <c r="AK78" s="168"/>
      <c r="AL78" s="115"/>
      <c r="AM78" s="115"/>
      <c r="AN78" s="115"/>
      <c r="AO78" s="115"/>
      <c r="AP78" s="115"/>
      <c r="AQ78" s="168">
        <f>AVERAGE(AQ87:AQ101)</f>
        <v>2.701491971173962E-2</v>
      </c>
      <c r="AR78" s="79"/>
      <c r="AS78" s="115"/>
      <c r="AT78" s="115"/>
      <c r="AU78" s="115"/>
      <c r="AV78" s="113">
        <f>IFERROR(INDEX('Total Customers'!$F$7:$AB$91,MATCH($C78,'Total Customers'!$D$7:$D$91,0),MATCH($G78,'Total Customers'!$F$5:$AB$5,0)),"NA")</f>
        <v>32854</v>
      </c>
      <c r="AW78" s="68"/>
      <c r="AX78" s="114"/>
      <c r="AY78" s="114"/>
      <c r="AZ78" s="116"/>
      <c r="BA78" s="116"/>
      <c r="BB78" s="166"/>
      <c r="BC78" s="166"/>
      <c r="BD78" s="166"/>
      <c r="BE78" s="166"/>
      <c r="BF78" s="166"/>
      <c r="BG78" s="166"/>
      <c r="BH78" s="166"/>
      <c r="BI78" s="113">
        <f>INDEX('Gross Dx Plant'!$E$7:$AD$91,MATCH($C78,'Gross Dx Plant'!$D$7:$D$91,0),MATCH(Calculation!$G78,'Gross Dx Plant'!$E$5:$AD$5,0))</f>
        <v>43857</v>
      </c>
      <c r="BJ78" s="113">
        <f>INDEX('Gross Gen Plant'!$E$7:$AD$91,MATCH($C78,'Gross Gen Plant'!$D$7:$D$91,0),MATCH(Calculation!$G78,'Gross Gen Plant'!$E$5:$AD$5,0))</f>
        <v>9239</v>
      </c>
      <c r="BK78" s="113">
        <f>INDEX('Dist. Plant Gas Additions'!$F$7:$AE$91,MATCH($C78,'Dist. Plant Gas Additions'!$D$7:$D$91,0),MATCH(Calculation!$G78,'Dist. Plant Gas Additions'!$F$5:$AE$5,0))</f>
        <v>5166</v>
      </c>
      <c r="BL78" s="113">
        <f>INDEX('Gen. Plant Additions'!$F$7:$AE$91,MATCH($C78,'Gen. Plant Additions'!$D$7:$D$91,0),MATCH(Calculation!$G78,'Gen. Plant Additions'!$F$5:$AE$5,0))</f>
        <v>294</v>
      </c>
      <c r="BM78" s="231">
        <f>+(BW78/(BW78+BX78))</f>
        <v>0.82599442519210486</v>
      </c>
      <c r="BN78" s="61">
        <f t="shared" si="181"/>
        <v>242.84236100647882</v>
      </c>
      <c r="BO78" s="113"/>
      <c r="BP78" s="113"/>
      <c r="BQ78" s="175">
        <v>1998</v>
      </c>
      <c r="BS78" s="170">
        <v>325.62124608830305</v>
      </c>
      <c r="BT78" s="113"/>
      <c r="BU78" s="113"/>
      <c r="BV78" s="113"/>
      <c r="BW78" s="113">
        <f>INDEX('Gross Dx Plant'!$E$7:$AD$91,MATCH($C78,'Gross Dx Plant'!$D$7:$D$91,0),MATCH(Calculation!$G78,'Gross Dx Plant'!$E$5:$AD$5,0))</f>
        <v>43857</v>
      </c>
      <c r="BX78" s="113">
        <f>INDEX('Gross Gen Plant'!$E$7:$AD$91,MATCH($C78,'Gross Gen Plant'!$D$7:$D$91,0),MATCH(Calculation!$G78,'Gross Gen Plant'!$E$5:$AD$5,0))</f>
        <v>9239</v>
      </c>
      <c r="BY78" s="113">
        <f>+BW78+BX78-32455</f>
        <v>20641</v>
      </c>
      <c r="BZ78" s="113"/>
      <c r="CA78" s="116">
        <v>1998</v>
      </c>
      <c r="CB78" s="113">
        <f>BI78+BJ78</f>
        <v>53096</v>
      </c>
      <c r="CC78" s="113">
        <v>20876</v>
      </c>
      <c r="CD78" s="113">
        <f>+CB78-CC78</f>
        <v>32220</v>
      </c>
      <c r="CE78" s="113">
        <f>CD78/$BV$3</f>
        <v>159.72679782155851</v>
      </c>
      <c r="CF78" s="175"/>
      <c r="CG78" s="175"/>
      <c r="CH78" s="178">
        <v>1</v>
      </c>
      <c r="CI78" s="113">
        <f>+CE78</f>
        <v>159.72679782155851</v>
      </c>
      <c r="CJ78" s="114"/>
      <c r="CK78" s="114"/>
      <c r="CL78" s="169"/>
      <c r="CM78" s="169"/>
      <c r="CN78" s="114" t="e">
        <f>VLOOKUP($H78,RoR!$E:$F,2,FALSE)</f>
        <v>#N/A</v>
      </c>
      <c r="CO78" s="169">
        <v>1.1028127770464469E-2</v>
      </c>
      <c r="CP78" s="169"/>
      <c r="CQ78" s="169"/>
      <c r="CR78" s="69"/>
      <c r="CS78" s="179"/>
      <c r="CT78" s="182" t="e">
        <f>2/(DC78*39)</f>
        <v>#N/A</v>
      </c>
      <c r="CU78" s="180" t="e">
        <f>+(DC78*40-(1+DC78))/(DC78*40)</f>
        <v>#N/A</v>
      </c>
      <c r="CV78" s="180" t="e">
        <f>+(1-(1/(1+DC78)^40))</f>
        <v>#N/A</v>
      </c>
      <c r="CW78" s="180" t="e">
        <f>+CV78*CU78*CT78</f>
        <v>#N/A</v>
      </c>
      <c r="CX78" s="181">
        <f>INDEX('State Tax Lookup'!$D$7:$Z$91,MATCH(Calculation!$C78,'State Tax Lookup'!$B$7:$B$91,0),MATCH($H78,'State Tax Lookup'!$D$6:$Z$6,0))</f>
        <v>0.40700500000000001</v>
      </c>
      <c r="CY78" s="72">
        <v>0.37</v>
      </c>
      <c r="CZ78" s="66"/>
      <c r="DA78" s="66"/>
      <c r="DB78" s="69"/>
      <c r="DC78" s="111" t="e">
        <f>VLOOKUP($H78,RoR!$E:$F,2,FALSE)</f>
        <v>#N/A</v>
      </c>
      <c r="DD78" s="216">
        <f>HLOOKUP($H78,'GDP-PI'!$D$8:$CQ$11,3,FALSE)</f>
        <v>1.1028127770464469E-2</v>
      </c>
      <c r="DE78" s="111">
        <f>VLOOKUP(H78,'HW Dx Data'!$E:$F,2,FALSE)</f>
        <v>329.24564746449528</v>
      </c>
      <c r="DF78" s="66"/>
      <c r="DG78" s="69"/>
      <c r="DH78" s="66">
        <f>HLOOKUP(H78,'GDP-PI'!$8:$9,2,FALSE)</f>
        <v>75.266999999999996</v>
      </c>
      <c r="DI78"/>
      <c r="DO78" s="184"/>
      <c r="DP78" s="184"/>
      <c r="DQ78" s="184"/>
      <c r="DR78" s="184"/>
      <c r="DS78" s="184"/>
      <c r="DT78" s="184"/>
      <c r="DU78" s="184"/>
      <c r="DV78" s="184"/>
      <c r="DW78" s="184"/>
      <c r="EB78">
        <v>1998</v>
      </c>
    </row>
    <row r="79" spans="1:132" s="160" customFormat="1" ht="21">
      <c r="A79" s="160" t="s">
        <v>162</v>
      </c>
      <c r="B79" s="161" t="s">
        <v>163</v>
      </c>
      <c r="C79" s="161">
        <v>4057110</v>
      </c>
      <c r="D79" s="161" t="s">
        <v>164</v>
      </c>
      <c r="E79" s="161" t="s">
        <v>3</v>
      </c>
      <c r="F79" s="161"/>
      <c r="G79" s="161" t="s">
        <v>106</v>
      </c>
      <c r="H79" s="162">
        <v>1999</v>
      </c>
      <c r="I79" s="163"/>
      <c r="J79" s="159"/>
      <c r="K79" s="159"/>
      <c r="L79" s="159"/>
      <c r="M79" s="60"/>
      <c r="N79" s="152"/>
      <c r="O79" s="60"/>
      <c r="P79" s="59"/>
      <c r="Q79" s="169"/>
      <c r="R79" s="169"/>
      <c r="S79" s="169"/>
      <c r="T79" s="187"/>
      <c r="U79" s="169"/>
      <c r="V79" s="169"/>
      <c r="W79" s="159">
        <f t="shared" ref="W79:W102" si="187">+CI78*CZ79</f>
        <v>0</v>
      </c>
      <c r="X79" s="163"/>
      <c r="Y79" s="167">
        <v>164.99491221001517</v>
      </c>
      <c r="Z79" s="168">
        <v>3.2449796178763021E-2</v>
      </c>
      <c r="AA79" s="78"/>
      <c r="AB79" s="168"/>
      <c r="AC79" s="168"/>
      <c r="AD79" s="163">
        <f t="shared" si="102"/>
        <v>0</v>
      </c>
      <c r="AE79" s="168"/>
      <c r="AF79" s="163"/>
      <c r="AG79" s="114"/>
      <c r="AH79" s="114"/>
      <c r="AI79" s="114"/>
      <c r="AJ79" s="167"/>
      <c r="AK79" s="168"/>
      <c r="AL79" s="115"/>
      <c r="AM79" s="115"/>
      <c r="AN79" s="115"/>
      <c r="AO79" s="115"/>
      <c r="AP79" s="115"/>
      <c r="AQ79" s="168"/>
      <c r="AR79" s="79"/>
      <c r="AS79" s="115"/>
      <c r="AT79" s="115"/>
      <c r="AU79" s="115"/>
      <c r="AV79" s="113">
        <f>IFERROR(INDEX('Total Customers'!$F$7:$AB$91,MATCH($C79,'Total Customers'!$D$7:$D$91,0),MATCH($G79,'Total Customers'!$F$5:$AB$5,0)),"NA")</f>
        <v>33944</v>
      </c>
      <c r="AW79" s="68">
        <f t="shared" si="180"/>
        <v>3.2638604781015643E-2</v>
      </c>
      <c r="AX79" s="114"/>
      <c r="AY79" s="114"/>
      <c r="AZ79" s="116"/>
      <c r="BA79" s="116"/>
      <c r="BB79" s="166"/>
      <c r="BC79" s="166"/>
      <c r="BD79" s="166"/>
      <c r="BE79" s="166"/>
      <c r="BF79" s="166"/>
      <c r="BG79" s="166"/>
      <c r="BH79" s="166"/>
      <c r="BI79" s="113"/>
      <c r="BJ79" s="113"/>
      <c r="BK79" s="113">
        <f>INDEX('Dist. Plant Gas Additions'!$F$7:$AE$91,MATCH($C79,'Dist. Plant Gas Additions'!$D$7:$D$91,0),MATCH(Calculation!$G79,'Dist. Plant Gas Additions'!$F$5:$AE$5,0))</f>
        <v>1884</v>
      </c>
      <c r="BL79" s="113">
        <f>INDEX('Gen. Plant Additions'!$F$7:$AE$91,MATCH($C79,'Gen. Plant Additions'!$D$7:$D$91,0),MATCH(Calculation!$G79,'Gen. Plant Additions'!$F$5:$AE$5,0))</f>
        <v>149</v>
      </c>
      <c r="BM79" s="231">
        <f t="shared" ref="BM79:BM100" si="188">+(BW79/(BW79+BX79))</f>
        <v>0.84656153531446421</v>
      </c>
      <c r="BN79" s="61">
        <f t="shared" si="181"/>
        <v>126.13766876185517</v>
      </c>
      <c r="BO79" s="113"/>
      <c r="BP79" s="113"/>
      <c r="BQ79" s="175">
        <v>1999</v>
      </c>
      <c r="BR79" s="113"/>
      <c r="BS79" s="170">
        <v>331.4896082321045</v>
      </c>
      <c r="BT79" s="113"/>
      <c r="BU79" s="113"/>
      <c r="BV79" s="113"/>
      <c r="BW79" s="113">
        <f>INDEX('Gross Dx Plant'!$E$7:$AD$91,MATCH($C79,'Gross Dx Plant'!$D$7:$D$91,0),MATCH(Calculation!$G79,'Gross Dx Plant'!$E$5:$AD$5,0))</f>
        <v>45523</v>
      </c>
      <c r="BX79" s="113">
        <f>INDEX('Gross Gen Plant'!$E$7:$AD$91,MATCH($C79,'Gross Gen Plant'!$D$7:$D$91,0),MATCH(Calculation!$G79,'Gross Gen Plant'!$E$5:$AD$5,0))</f>
        <v>8251</v>
      </c>
      <c r="BY79" s="113">
        <f t="shared" si="182"/>
        <v>53774</v>
      </c>
      <c r="BZ79" s="113"/>
      <c r="CA79" s="116">
        <v>1999</v>
      </c>
      <c r="CB79" s="113"/>
      <c r="CC79" s="113"/>
      <c r="CD79" s="113"/>
      <c r="CE79" s="175"/>
      <c r="CF79" s="113">
        <f t="shared" ref="CF79:CF101" si="189">+BL79+BK79</f>
        <v>2033</v>
      </c>
      <c r="CG79" s="113">
        <f t="shared" ref="CG79:CG102" si="190">+CF79/$DE79</f>
        <v>6.0627750741360646</v>
      </c>
      <c r="CH79" s="178">
        <v>0.99502487562189057</v>
      </c>
      <c r="CI79" s="61">
        <f>+CI78*CH79+CG79</f>
        <v>164.99491221001517</v>
      </c>
      <c r="CJ79" s="114">
        <f t="shared" ref="CJ79:CJ101" si="191">LN(CI79/CI78)</f>
        <v>3.2449796178763021E-2</v>
      </c>
      <c r="CK79" s="114"/>
      <c r="CL79" s="169">
        <f t="shared" ref="CL79:CL101" si="192">+(CI78-CI79+CG79)/CI78</f>
        <v>4.9751243781094683E-3</v>
      </c>
      <c r="CM79" s="169"/>
      <c r="CN79" s="114">
        <f>VLOOKUP($H79,RoR!$E:$F,2,FALSE)</f>
        <v>7.0416666666666669E-2</v>
      </c>
      <c r="CO79" s="169">
        <v>1.4335631817396832E-2</v>
      </c>
      <c r="CP79" s="169">
        <f>+CN79-CO79</f>
        <v>5.6081034849269837E-2</v>
      </c>
      <c r="CQ79" s="169"/>
      <c r="CR79" s="69"/>
      <c r="CS79" s="179">
        <f t="shared" ref="CS79:CS102" si="193">1-CX79*CY79</f>
        <v>0.84940815000000003</v>
      </c>
      <c r="CT79" s="180">
        <f t="shared" ref="CT79:CT101" si="194">2/(DC79*39)</f>
        <v>0.72826581702321336</v>
      </c>
      <c r="CU79" s="180">
        <f t="shared" ref="CU79:CU101" si="195">+(DC79*40-(1+DC79))/(DC79*40)</f>
        <v>0.61997041420118348</v>
      </c>
      <c r="CV79" s="180">
        <f t="shared" ref="CV79:CV101" si="196">+(1-(1/(1+DC79)^40))</f>
        <v>0.93425155319585029</v>
      </c>
      <c r="CW79" s="180">
        <f t="shared" ref="CW79:CW101" si="197">+CV79*CU79*CT79</f>
        <v>0.42181762214141483</v>
      </c>
      <c r="CX79" s="181">
        <f>INDEX('State Tax Lookup'!$D$7:$Z$91,MATCH(Calculation!$C79,'State Tax Lookup'!$B$7:$B$91,0),MATCH($H79,'State Tax Lookup'!$D$6:$Z$6,0))</f>
        <v>0.40700500000000001</v>
      </c>
      <c r="CY79" s="72">
        <v>0.37</v>
      </c>
      <c r="CZ79" s="70"/>
      <c r="DA79" s="70"/>
      <c r="DB79" s="69"/>
      <c r="DC79" s="111">
        <f>VLOOKUP($H79,RoR!$E:$F,2,FALSE)</f>
        <v>7.0416666666666669E-2</v>
      </c>
      <c r="DD79" s="216">
        <f>HLOOKUP($H79,'GDP-PI'!$D$8:$CQ$11,3,FALSE)</f>
        <v>1.4335631817396832E-2</v>
      </c>
      <c r="DE79" s="111">
        <f>VLOOKUP(H79,'HW Dx Data'!$E:$F,2,FALSE)</f>
        <v>335.32499146683239</v>
      </c>
      <c r="DF79" s="66"/>
      <c r="DG79" s="69"/>
      <c r="DH79" s="66">
        <f>HLOOKUP(H79,'GDP-PI'!$8:$9,2,FALSE)</f>
        <v>76.346000000000004</v>
      </c>
      <c r="DI79"/>
      <c r="DO79" s="184"/>
      <c r="DP79" s="184"/>
      <c r="DQ79" s="184"/>
      <c r="DR79" s="184"/>
      <c r="DS79" s="184"/>
      <c r="DT79" s="184"/>
      <c r="DU79" s="184"/>
      <c r="DV79" s="184"/>
      <c r="DW79" s="184"/>
      <c r="EB79">
        <f>+EB78+1</f>
        <v>1999</v>
      </c>
    </row>
    <row r="80" spans="1:132" s="160" customFormat="1" ht="21">
      <c r="A80" s="160" t="s">
        <v>162</v>
      </c>
      <c r="B80" s="161" t="s">
        <v>163</v>
      </c>
      <c r="C80" s="161">
        <v>4057110</v>
      </c>
      <c r="D80" s="161" t="s">
        <v>164</v>
      </c>
      <c r="E80" s="161" t="s">
        <v>3</v>
      </c>
      <c r="F80" s="161"/>
      <c r="G80" s="161" t="s">
        <v>107</v>
      </c>
      <c r="H80" s="162">
        <v>2000</v>
      </c>
      <c r="I80" s="163"/>
      <c r="J80" s="159"/>
      <c r="K80" s="159"/>
      <c r="L80" s="159"/>
      <c r="M80" s="60"/>
      <c r="N80" s="152"/>
      <c r="O80" s="60"/>
      <c r="P80" s="60"/>
      <c r="Q80" s="159"/>
      <c r="R80" s="159"/>
      <c r="S80" s="159"/>
      <c r="T80" s="159"/>
      <c r="U80" s="159"/>
      <c r="V80" s="159"/>
      <c r="W80" s="159">
        <f t="shared" si="187"/>
        <v>0</v>
      </c>
      <c r="X80" s="163"/>
      <c r="Y80" s="167">
        <v>171.12368382001458</v>
      </c>
      <c r="Z80" s="168">
        <v>3.647195390802533E-2</v>
      </c>
      <c r="AA80" s="78"/>
      <c r="AB80" s="168"/>
      <c r="AC80" s="168"/>
      <c r="AD80" s="163">
        <f t="shared" si="102"/>
        <v>0</v>
      </c>
      <c r="AE80" s="168"/>
      <c r="AF80" s="163"/>
      <c r="AG80" s="163"/>
      <c r="AH80" s="163"/>
      <c r="AI80" s="163"/>
      <c r="AJ80" s="167"/>
      <c r="AK80" s="168"/>
      <c r="AL80" s="115"/>
      <c r="AM80" s="115"/>
      <c r="AN80" s="115"/>
      <c r="AO80" s="115"/>
      <c r="AP80" s="115"/>
      <c r="AQ80" s="168"/>
      <c r="AR80" s="79"/>
      <c r="AS80" s="115"/>
      <c r="AT80" s="115"/>
      <c r="AU80" s="115"/>
      <c r="AV80" s="113">
        <f>IFERROR(INDEX('Total Customers'!$F$7:$AB$91,MATCH($C80,'Total Customers'!$D$7:$D$91,0),MATCH($G80,'Total Customers'!$F$5:$AB$5,0)),"NA")</f>
        <v>34005</v>
      </c>
      <c r="AW80" s="68">
        <f t="shared" si="180"/>
        <v>1.79546472757838E-3</v>
      </c>
      <c r="AX80" s="114"/>
      <c r="AY80" s="114"/>
      <c r="AZ80" s="116"/>
      <c r="BA80" s="116"/>
      <c r="BB80" s="166"/>
      <c r="BC80" s="166"/>
      <c r="BD80" s="166"/>
      <c r="BE80" s="166"/>
      <c r="BF80" s="166"/>
      <c r="BG80" s="166"/>
      <c r="BH80" s="166"/>
      <c r="BI80" s="113"/>
      <c r="BJ80" s="113"/>
      <c r="BK80" s="113">
        <f>INDEX('Dist. Plant Gas Additions'!$F$7:$AE$91,MATCH($C80,'Dist. Plant Gas Additions'!$D$7:$D$91,0),MATCH(Calculation!$G80,'Dist. Plant Gas Additions'!$F$5:$AE$5,0))</f>
        <v>2234</v>
      </c>
      <c r="BL80" s="113">
        <f>INDEX('Gen. Plant Additions'!$F$7:$AE$91,MATCH($C80,'Gen. Plant Additions'!$D$7:$D$91,0),MATCH(Calculation!$G80,'Gen. Plant Additions'!$F$5:$AE$5,0))</f>
        <v>184</v>
      </c>
      <c r="BM80" s="231">
        <f t="shared" si="188"/>
        <v>0.83992506642708309</v>
      </c>
      <c r="BN80" s="61">
        <f t="shared" si="181"/>
        <v>154.54621222258328</v>
      </c>
      <c r="BO80" s="113"/>
      <c r="BP80" s="113"/>
      <c r="BQ80" s="175">
        <v>2000</v>
      </c>
      <c r="BR80" s="113"/>
      <c r="BS80" s="170">
        <v>342.35914635260616</v>
      </c>
      <c r="BT80" s="113"/>
      <c r="BU80" s="113"/>
      <c r="BV80" s="113"/>
      <c r="BW80" s="113">
        <f>INDEX('Gross Dx Plant'!$E$7:$AD$91,MATCH($C80,'Gross Dx Plant'!$D$7:$D$91,0),MATCH(Calculation!$G80,'Gross Dx Plant'!$E$5:$AD$5,0))</f>
        <v>43939</v>
      </c>
      <c r="BX80" s="113">
        <f>INDEX('Gross Gen Plant'!$E$7:$AD$91,MATCH($C80,'Gross Gen Plant'!$D$7:$D$91,0),MATCH(Calculation!$G80,'Gross Gen Plant'!$E$5:$AD$5,0))</f>
        <v>8374</v>
      </c>
      <c r="BY80" s="113">
        <f t="shared" si="182"/>
        <v>52313</v>
      </c>
      <c r="BZ80" s="113"/>
      <c r="CA80" s="116">
        <v>2000</v>
      </c>
      <c r="CB80" s="113"/>
      <c r="CC80" s="113"/>
      <c r="CD80" s="113"/>
      <c r="CE80" s="175"/>
      <c r="CF80" s="113">
        <f t="shared" si="189"/>
        <v>2418</v>
      </c>
      <c r="CG80" s="113">
        <f t="shared" si="190"/>
        <v>6.9776759825879093</v>
      </c>
      <c r="CH80" s="178">
        <v>0.98989898989898994</v>
      </c>
      <c r="CI80" s="61">
        <f>+CI78*CH80+CG79*CH79+CG80</f>
        <v>171.12368382001458</v>
      </c>
      <c r="CJ80" s="114">
        <f t="shared" si="191"/>
        <v>3.647195390802533E-2</v>
      </c>
      <c r="CK80" s="114"/>
      <c r="CL80" s="169">
        <f t="shared" si="192"/>
        <v>5.1450336329642091E-3</v>
      </c>
      <c r="CM80" s="169"/>
      <c r="CN80" s="114">
        <f>VLOOKUP($H80,RoR!$E:$F,2,FALSE)</f>
        <v>7.6225000000000001E-2</v>
      </c>
      <c r="CO80" s="169">
        <v>2.2568307442433211E-2</v>
      </c>
      <c r="CP80" s="169">
        <f t="shared" ref="CP80:CP100" si="198">+CN80-CO80</f>
        <v>5.365669255756679E-2</v>
      </c>
      <c r="CQ80" s="169"/>
      <c r="CR80" s="69"/>
      <c r="CS80" s="179">
        <f t="shared" si="193"/>
        <v>0.84940815000000003</v>
      </c>
      <c r="CT80" s="180">
        <f t="shared" si="194"/>
        <v>0.67277207323124022</v>
      </c>
      <c r="CU80" s="180">
        <f t="shared" si="195"/>
        <v>0.6470236142997704</v>
      </c>
      <c r="CV80" s="180">
        <f t="shared" si="196"/>
        <v>0.94704866037543145</v>
      </c>
      <c r="CW80" s="180">
        <f t="shared" si="197"/>
        <v>0.41224973107878493</v>
      </c>
      <c r="CX80" s="181">
        <f>INDEX('State Tax Lookup'!$D$7:$Z$91,MATCH(Calculation!$C80,'State Tax Lookup'!$B$7:$B$91,0),MATCH($H80,'State Tax Lookup'!$D$6:$Z$6,0))</f>
        <v>0.40700500000000001</v>
      </c>
      <c r="CY80" s="72">
        <v>0.37</v>
      </c>
      <c r="CZ80" s="70"/>
      <c r="DA80" s="70"/>
      <c r="DB80" s="69"/>
      <c r="DC80" s="111">
        <f>VLOOKUP($H80,RoR!$E:$F,2,FALSE)</f>
        <v>7.6225000000000001E-2</v>
      </c>
      <c r="DD80" s="216">
        <f>HLOOKUP($H80,'GDP-PI'!$D$8:$CQ$11,3,FALSE)</f>
        <v>2.2568307442433211E-2</v>
      </c>
      <c r="DE80" s="111">
        <f>VLOOKUP(H80,'HW Dx Data'!$E:$F,2,FALSE)</f>
        <v>346.53371782150339</v>
      </c>
      <c r="DF80" s="66"/>
      <c r="DG80" s="69"/>
      <c r="DH80" s="66">
        <f>HLOOKUP(H80,'GDP-PI'!$8:$9,2,FALSE)</f>
        <v>78.069000000000003</v>
      </c>
      <c r="DI80"/>
      <c r="DO80" s="184"/>
      <c r="DP80" s="184"/>
      <c r="DQ80" s="184"/>
      <c r="DR80" s="184"/>
      <c r="DS80" s="184"/>
      <c r="DT80" s="184"/>
      <c r="DU80" s="184"/>
      <c r="DV80" s="184"/>
      <c r="DW80" s="184"/>
      <c r="EB80">
        <f t="shared" ref="EB80:EB102" si="199">+EB79+1</f>
        <v>2000</v>
      </c>
    </row>
    <row r="81" spans="1:132" s="160" customFormat="1" ht="21">
      <c r="A81" s="160" t="s">
        <v>162</v>
      </c>
      <c r="B81" s="161" t="s">
        <v>163</v>
      </c>
      <c r="C81" s="161">
        <v>4057110</v>
      </c>
      <c r="D81" s="161" t="s">
        <v>164</v>
      </c>
      <c r="E81" s="161" t="s">
        <v>3</v>
      </c>
      <c r="F81" s="161"/>
      <c r="G81" s="161" t="s">
        <v>111</v>
      </c>
      <c r="H81" s="162">
        <v>2001</v>
      </c>
      <c r="I81" s="163"/>
      <c r="J81" s="159"/>
      <c r="K81" s="159"/>
      <c r="L81" s="159"/>
      <c r="M81" s="60"/>
      <c r="N81" s="152"/>
      <c r="O81" s="60"/>
      <c r="P81" s="60"/>
      <c r="Q81" s="159"/>
      <c r="R81" s="159"/>
      <c r="S81" s="159"/>
      <c r="T81" s="159"/>
      <c r="U81" s="159"/>
      <c r="V81" s="159"/>
      <c r="W81" s="159">
        <f t="shared" si="187"/>
        <v>2231.4378406886663</v>
      </c>
      <c r="X81" s="163"/>
      <c r="Y81" s="167">
        <v>176.28634721181072</v>
      </c>
      <c r="Z81" s="168">
        <v>2.9723053503721383E-2</v>
      </c>
      <c r="AA81" s="78"/>
      <c r="AB81" s="168"/>
      <c r="AC81" s="168"/>
      <c r="AD81" s="163">
        <f t="shared" si="102"/>
        <v>2231.4378406886663</v>
      </c>
      <c r="AE81" s="168"/>
      <c r="AF81" s="163"/>
      <c r="AG81" s="163"/>
      <c r="AH81" s="163"/>
      <c r="AI81" s="163"/>
      <c r="AJ81" s="167"/>
      <c r="AK81" s="168"/>
      <c r="AL81" s="115"/>
      <c r="AM81" s="115"/>
      <c r="AN81" s="115"/>
      <c r="AO81" s="115"/>
      <c r="AP81" s="115"/>
      <c r="AQ81" s="168"/>
      <c r="AR81" s="79"/>
      <c r="AS81" s="115"/>
      <c r="AT81" s="115"/>
      <c r="AU81" s="115"/>
      <c r="AV81" s="113">
        <f>IFERROR(INDEX('Total Customers'!$F$7:$AB$91,MATCH($C81,'Total Customers'!$D$7:$D$91,0),MATCH($G81,'Total Customers'!$F$5:$AB$5,0)),"NA")</f>
        <v>33903</v>
      </c>
      <c r="AW81" s="68">
        <f t="shared" si="180"/>
        <v>-3.0040665814786006E-3</v>
      </c>
      <c r="AX81" s="114"/>
      <c r="AY81" s="114"/>
      <c r="AZ81" s="116"/>
      <c r="BA81" s="116"/>
      <c r="BB81" s="166"/>
      <c r="BC81" s="166"/>
      <c r="BD81" s="166"/>
      <c r="BE81" s="166"/>
      <c r="BF81" s="166"/>
      <c r="BG81" s="166"/>
      <c r="BH81" s="166"/>
      <c r="BI81" s="113"/>
      <c r="BJ81" s="113"/>
      <c r="BK81" s="113">
        <f>INDEX('Dist. Plant Gas Additions'!$F$7:$AE$91,MATCH($C81,'Dist. Plant Gas Additions'!$D$7:$D$91,0),MATCH(Calculation!$G81,'Dist. Plant Gas Additions'!$F$5:$AE$5,0))</f>
        <v>2035</v>
      </c>
      <c r="BL81" s="113">
        <f>INDEX('Gen. Plant Additions'!$F$7:$AE$91,MATCH($C81,'Gen. Plant Additions'!$D$7:$D$91,0),MATCH(Calculation!$G81,'Gen. Plant Additions'!$F$5:$AE$5,0))</f>
        <v>99</v>
      </c>
      <c r="BM81" s="231">
        <f t="shared" si="188"/>
        <v>0.84534515046446512</v>
      </c>
      <c r="BN81" s="61">
        <f t="shared" si="181"/>
        <v>83.689169895982047</v>
      </c>
      <c r="BO81" s="113"/>
      <c r="BP81" s="113"/>
      <c r="BQ81" s="175">
        <v>2001</v>
      </c>
      <c r="BR81" s="113"/>
      <c r="BS81" s="170">
        <v>348.81246318631145</v>
      </c>
      <c r="BT81" s="113"/>
      <c r="BU81" s="113"/>
      <c r="BV81" s="113"/>
      <c r="BW81" s="113">
        <f>INDEX('Gross Dx Plant'!$E$7:$AD$91,MATCH($C81,'Gross Dx Plant'!$D$7:$D$91,0),MATCH(Calculation!$G81,'Gross Dx Plant'!$E$5:$AD$5,0))</f>
        <v>45592</v>
      </c>
      <c r="BX81" s="113">
        <f>INDEX('Gross Gen Plant'!$E$7:$AD$91,MATCH($C81,'Gross Gen Plant'!$D$7:$D$91,0),MATCH(Calculation!$G81,'Gross Gen Plant'!$E$5:$AD$5,0))</f>
        <v>8341</v>
      </c>
      <c r="BY81" s="113">
        <f t="shared" si="182"/>
        <v>53933</v>
      </c>
      <c r="BZ81" s="113"/>
      <c r="CA81" s="116">
        <v>2001</v>
      </c>
      <c r="CB81" s="113"/>
      <c r="CC81" s="113"/>
      <c r="CD81" s="113"/>
      <c r="CE81" s="175"/>
      <c r="CF81" s="113">
        <f t="shared" si="189"/>
        <v>2134</v>
      </c>
      <c r="CG81" s="113">
        <f t="shared" si="190"/>
        <v>6.0376738368931324</v>
      </c>
      <c r="CH81" s="178">
        <v>0.98461538461538467</v>
      </c>
      <c r="CI81" s="61">
        <f>+CI78*CH81+CG79*CH80+CG80*CH78+CG81</f>
        <v>176.28634721181072</v>
      </c>
      <c r="CJ81" s="114">
        <f t="shared" si="191"/>
        <v>2.9723053503721383E-2</v>
      </c>
      <c r="CK81" s="114"/>
      <c r="CL81" s="169">
        <f t="shared" si="192"/>
        <v>5.113321695536379E-3</v>
      </c>
      <c r="CM81" s="169">
        <f>+(CL81+CL80+CL79)/3</f>
        <v>5.0778265688700185E-3</v>
      </c>
      <c r="CN81" s="114">
        <f>VLOOKUP($H81,RoR!$E:$F,2,FALSE)</f>
        <v>7.0824999999999999E-2</v>
      </c>
      <c r="CO81" s="169">
        <v>2.2454495382290052E-2</v>
      </c>
      <c r="CP81" s="169">
        <f t="shared" si="198"/>
        <v>4.8370504617709947E-2</v>
      </c>
      <c r="CQ81" s="169">
        <f>+$CP$2-CM81</f>
        <v>2.5824115039663607E-2</v>
      </c>
      <c r="CR81" s="69">
        <v>2.3947275901631187E-2</v>
      </c>
      <c r="CS81" s="179">
        <f t="shared" si="193"/>
        <v>0.84940815000000003</v>
      </c>
      <c r="CT81" s="180">
        <f t="shared" si="194"/>
        <v>0.72406708481540816</v>
      </c>
      <c r="CU81" s="180">
        <f t="shared" si="195"/>
        <v>0.62201729615248857</v>
      </c>
      <c r="CV81" s="180">
        <f t="shared" si="196"/>
        <v>0.9352469954311422</v>
      </c>
      <c r="CW81" s="180">
        <f t="shared" si="197"/>
        <v>0.42121864641655071</v>
      </c>
      <c r="CX81" s="181">
        <f>INDEX('State Tax Lookup'!$D$7:$Z$91,MATCH(Calculation!$C81,'State Tax Lookup'!$B$7:$B$91,0),MATCH($H81,'State Tax Lookup'!$D$6:$Z$6,0))</f>
        <v>0.40700500000000001</v>
      </c>
      <c r="CY81" s="72">
        <v>0.37</v>
      </c>
      <c r="CZ81" s="70">
        <f t="shared" ref="CZ81:CZ102" si="200">+(DE81*CQ81-CR81)*CS81/(1-CX81)</f>
        <v>13.039912365582666</v>
      </c>
      <c r="DA81" s="70"/>
      <c r="DB81" s="69"/>
      <c r="DC81" s="111">
        <f>VLOOKUP($H81,RoR!$E:$F,2,FALSE)</f>
        <v>7.0824999999999999E-2</v>
      </c>
      <c r="DD81" s="216">
        <f>HLOOKUP($H81,'GDP-PI'!$D$8:$CQ$11,3,FALSE)</f>
        <v>2.2454495382290052E-2</v>
      </c>
      <c r="DE81" s="111">
        <f>VLOOKUP(H81,'HW Dx Data'!$E:$F,2,FALSE)</f>
        <v>353.44738017483138</v>
      </c>
      <c r="DF81" s="66"/>
      <c r="DG81" s="69"/>
      <c r="DH81" s="66">
        <f>HLOOKUP(H81,'GDP-PI'!$8:$9,2,FALSE)</f>
        <v>79.822000000000003</v>
      </c>
      <c r="DI81"/>
      <c r="DO81" s="184"/>
      <c r="DP81" s="184"/>
      <c r="DQ81" s="184"/>
      <c r="DR81" s="184"/>
      <c r="DS81" s="184"/>
      <c r="DT81" s="184"/>
      <c r="DU81" s="184"/>
      <c r="DV81" s="184"/>
      <c r="DW81" s="184"/>
      <c r="EB81">
        <f t="shared" si="199"/>
        <v>2001</v>
      </c>
    </row>
    <row r="82" spans="1:132" s="160" customFormat="1" ht="21">
      <c r="A82" s="160" t="s">
        <v>162</v>
      </c>
      <c r="B82" s="161" t="s">
        <v>163</v>
      </c>
      <c r="C82" s="161">
        <v>4057110</v>
      </c>
      <c r="D82" s="161" t="s">
        <v>164</v>
      </c>
      <c r="E82" s="161" t="s">
        <v>3</v>
      </c>
      <c r="F82" s="161"/>
      <c r="G82" s="161" t="s">
        <v>113</v>
      </c>
      <c r="H82" s="162">
        <v>2002</v>
      </c>
      <c r="I82" s="163"/>
      <c r="J82" s="159"/>
      <c r="K82" s="159"/>
      <c r="L82" s="159"/>
      <c r="M82" s="60"/>
      <c r="N82" s="152"/>
      <c r="O82" s="60"/>
      <c r="P82" s="60"/>
      <c r="Q82" s="159"/>
      <c r="R82" s="159"/>
      <c r="S82" s="159"/>
      <c r="T82" s="159"/>
      <c r="U82" s="159"/>
      <c r="V82" s="159"/>
      <c r="W82" s="159">
        <f t="shared" si="187"/>
        <v>2328.244885773594</v>
      </c>
      <c r="X82" s="163"/>
      <c r="Y82" s="167">
        <v>181.84779406436795</v>
      </c>
      <c r="Z82" s="168">
        <v>3.1060395090188979E-2</v>
      </c>
      <c r="AA82" s="78"/>
      <c r="AB82" s="168"/>
      <c r="AC82" s="168"/>
      <c r="AD82" s="163">
        <f t="shared" si="102"/>
        <v>2328.244885773594</v>
      </c>
      <c r="AE82" s="168"/>
      <c r="AF82" s="163"/>
      <c r="AG82" s="163"/>
      <c r="AH82" s="163"/>
      <c r="AI82" s="163"/>
      <c r="AJ82" s="167"/>
      <c r="AK82" s="168"/>
      <c r="AL82" s="115"/>
      <c r="AM82" s="115"/>
      <c r="AN82" s="115"/>
      <c r="AO82" s="115"/>
      <c r="AP82" s="115"/>
      <c r="AQ82" s="168"/>
      <c r="AR82" s="79"/>
      <c r="AS82" s="115"/>
      <c r="AT82" s="115"/>
      <c r="AU82" s="115"/>
      <c r="AV82" s="113">
        <f>IFERROR(INDEX('Total Customers'!$F$7:$AB$91,MATCH($C82,'Total Customers'!$D$7:$D$91,0),MATCH($G82,'Total Customers'!$F$5:$AB$5,0)),"NA")</f>
        <v>34469</v>
      </c>
      <c r="AW82" s="68">
        <f t="shared" si="180"/>
        <v>1.655686332785956E-2</v>
      </c>
      <c r="AX82" s="114"/>
      <c r="AY82" s="114"/>
      <c r="AZ82" s="116"/>
      <c r="BA82" s="116"/>
      <c r="BB82" s="166"/>
      <c r="BC82" s="166"/>
      <c r="BD82" s="166"/>
      <c r="BE82" s="166"/>
      <c r="BF82" s="166"/>
      <c r="BG82" s="166"/>
      <c r="BH82" s="166"/>
      <c r="BI82" s="113"/>
      <c r="BJ82" s="113"/>
      <c r="BK82" s="113">
        <f>INDEX('Dist. Plant Gas Additions'!$F$7:$AE$91,MATCH($C82,'Dist. Plant Gas Additions'!$D$7:$D$91,0),MATCH(Calculation!$G82,'Dist. Plant Gas Additions'!$F$5:$AE$5,0))</f>
        <v>1930</v>
      </c>
      <c r="BL82" s="113">
        <f>INDEX('Gen. Plant Additions'!$F$7:$AE$91,MATCH($C82,'Gen. Plant Additions'!$D$7:$D$91,0),MATCH(Calculation!$G82,'Gen. Plant Additions'!$F$5:$AE$5,0))</f>
        <v>442</v>
      </c>
      <c r="BM82" s="231">
        <f t="shared" si="188"/>
        <v>0.84371074825049341</v>
      </c>
      <c r="BN82" s="61">
        <f t="shared" si="181"/>
        <v>372.92015072671808</v>
      </c>
      <c r="BO82" s="113"/>
      <c r="BP82" s="113"/>
      <c r="BQ82" s="175">
        <v>2002</v>
      </c>
      <c r="BR82" s="113"/>
      <c r="BS82" s="170">
        <v>356.65642736178768</v>
      </c>
      <c r="BT82" s="113"/>
      <c r="BU82" s="113"/>
      <c r="BV82" s="113"/>
      <c r="BW82" s="113">
        <f>INDEX('Gross Dx Plant'!$E$7:$AD$91,MATCH($C82,'Gross Dx Plant'!$D$7:$D$91,0),MATCH(Calculation!$G82,'Gross Dx Plant'!$E$5:$AD$5,0))</f>
        <v>47020</v>
      </c>
      <c r="BX82" s="113">
        <f>INDEX('Gross Gen Plant'!$E$7:$AD$91,MATCH($C82,'Gross Gen Plant'!$D$7:$D$91,0),MATCH(Calculation!$G82,'Gross Gen Plant'!$E$5:$AD$5,0))</f>
        <v>8710</v>
      </c>
      <c r="BY82" s="113">
        <f t="shared" si="182"/>
        <v>55730</v>
      </c>
      <c r="BZ82" s="113"/>
      <c r="CA82" s="116">
        <v>2002</v>
      </c>
      <c r="CB82" s="113"/>
      <c r="CC82" s="113"/>
      <c r="CD82" s="113"/>
      <c r="CE82" s="175"/>
      <c r="CF82" s="113">
        <f t="shared" si="189"/>
        <v>2372</v>
      </c>
      <c r="CG82" s="113">
        <f t="shared" si="190"/>
        <v>6.5643061870285315</v>
      </c>
      <c r="CH82" s="178">
        <v>0.97916666666666663</v>
      </c>
      <c r="CI82" s="61">
        <f>+CI78*CH82+CG79*CH81+CG80*CH80+CG81*CH79+CG82</f>
        <v>181.84779406436795</v>
      </c>
      <c r="CJ82" s="114">
        <f t="shared" si="191"/>
        <v>3.1060395090188979E-2</v>
      </c>
      <c r="CK82" s="114"/>
      <c r="CL82" s="169">
        <f t="shared" si="192"/>
        <v>5.6888088631523795E-3</v>
      </c>
      <c r="CM82" s="169">
        <f t="shared" ref="CM82:CM101" si="201">+(CL82+CL81+CL80)/3</f>
        <v>5.3157213972176562E-3</v>
      </c>
      <c r="CN82" s="114">
        <f>VLOOKUP($H82,RoR!$E:$F,2,FALSE)</f>
        <v>6.4916666666666664E-2</v>
      </c>
      <c r="CO82" s="169">
        <v>1.5246423291824351E-2</v>
      </c>
      <c r="CP82" s="169">
        <f t="shared" si="198"/>
        <v>4.9670243374842313E-2</v>
      </c>
      <c r="CQ82" s="169">
        <f t="shared" ref="CQ82:CQ102" si="202">+$CP$2-CM82</f>
        <v>2.5586220211315968E-2</v>
      </c>
      <c r="CR82" s="69">
        <v>2.5243621214759093E-2</v>
      </c>
      <c r="CS82" s="179">
        <f t="shared" si="193"/>
        <v>0.84940815000000003</v>
      </c>
      <c r="CT82" s="180">
        <f t="shared" si="194"/>
        <v>0.78996741384417901</v>
      </c>
      <c r="CU82" s="180">
        <f t="shared" si="195"/>
        <v>0.58989088575096271</v>
      </c>
      <c r="CV82" s="180">
        <f t="shared" si="196"/>
        <v>0.91920675783645744</v>
      </c>
      <c r="CW82" s="180">
        <f t="shared" si="197"/>
        <v>0.42834536472275586</v>
      </c>
      <c r="CX82" s="181">
        <f>INDEX('State Tax Lookup'!$D$7:$Z$91,MATCH(Calculation!$C82,'State Tax Lookup'!$B$7:$B$91,0),MATCH($H82,'State Tax Lookup'!$D$6:$Z$6,0))</f>
        <v>0.40700500000000001</v>
      </c>
      <c r="CY82" s="72">
        <v>0.37</v>
      </c>
      <c r="CZ82" s="70">
        <f t="shared" si="200"/>
        <v>13.207176407008834</v>
      </c>
      <c r="DA82" s="70"/>
      <c r="DB82" s="69">
        <f>LN(CZ82/CZ81)</f>
        <v>1.2745513011348547E-2</v>
      </c>
      <c r="DC82" s="111">
        <f>VLOOKUP($H82,RoR!$E:$F,2,FALSE)</f>
        <v>6.4916666666666664E-2</v>
      </c>
      <c r="DD82" s="216">
        <f>HLOOKUP($H82,'GDP-PI'!$D$8:$CQ$11,3,FALSE)</f>
        <v>1.5246423291824351E-2</v>
      </c>
      <c r="DE82" s="111">
        <f>VLOOKUP(H82,'HW Dx Data'!$E:$F,2,FALSE)</f>
        <v>361.34816573413599</v>
      </c>
      <c r="DF82" s="66"/>
      <c r="DG82" s="69"/>
      <c r="DH82" s="66">
        <f>HLOOKUP(H82,'GDP-PI'!$8:$9,2,FALSE)</f>
        <v>81.039000000000001</v>
      </c>
      <c r="DI82" s="69">
        <f>LN(DH82/DH81)</f>
        <v>1.513136459537477E-2</v>
      </c>
      <c r="DO82" s="184"/>
      <c r="DP82" s="184"/>
      <c r="DQ82" s="184"/>
      <c r="DR82" s="184"/>
      <c r="DS82" s="184"/>
      <c r="DT82" s="184"/>
      <c r="DU82" s="184"/>
      <c r="DV82" s="184"/>
      <c r="DW82" s="184"/>
      <c r="EB82">
        <f t="shared" si="199"/>
        <v>2002</v>
      </c>
    </row>
    <row r="83" spans="1:132" s="160" customFormat="1" ht="21">
      <c r="A83" s="160" t="s">
        <v>162</v>
      </c>
      <c r="B83" s="161" t="s">
        <v>163</v>
      </c>
      <c r="C83" s="161">
        <v>4057110</v>
      </c>
      <c r="D83" s="161" t="s">
        <v>164</v>
      </c>
      <c r="E83" s="161" t="s">
        <v>3</v>
      </c>
      <c r="F83" s="161"/>
      <c r="G83" s="161" t="s">
        <v>114</v>
      </c>
      <c r="H83" s="162">
        <v>2003</v>
      </c>
      <c r="I83" s="163"/>
      <c r="J83" s="159"/>
      <c r="K83" s="159"/>
      <c r="L83" s="165"/>
      <c r="M83" s="76"/>
      <c r="N83" s="152"/>
      <c r="O83" s="76"/>
      <c r="P83" s="76"/>
      <c r="Q83" s="159"/>
      <c r="R83" s="159"/>
      <c r="S83" s="159"/>
      <c r="T83" s="159"/>
      <c r="U83" s="159"/>
      <c r="V83" s="159"/>
      <c r="W83" s="159">
        <f t="shared" si="187"/>
        <v>2438.3590012026775</v>
      </c>
      <c r="X83" s="163"/>
      <c r="Y83" s="167">
        <v>187.38672749648143</v>
      </c>
      <c r="Z83" s="168">
        <v>3.0004502001386723E-2</v>
      </c>
      <c r="AA83" s="78"/>
      <c r="AB83" s="168"/>
      <c r="AC83" s="168"/>
      <c r="AD83" s="163">
        <f t="shared" si="102"/>
        <v>2438.3590012026775</v>
      </c>
      <c r="AE83" s="168"/>
      <c r="AF83" s="163"/>
      <c r="AG83" s="163"/>
      <c r="AH83" s="163"/>
      <c r="AI83" s="163"/>
      <c r="AJ83" s="167"/>
      <c r="AK83" s="168"/>
      <c r="AL83" s="115"/>
      <c r="AM83" s="115"/>
      <c r="AN83" s="115"/>
      <c r="AO83" s="115"/>
      <c r="AP83" s="115"/>
      <c r="AQ83" s="168"/>
      <c r="AR83" s="79"/>
      <c r="AS83" s="115"/>
      <c r="AT83" s="115"/>
      <c r="AU83" s="115"/>
      <c r="AV83" s="113">
        <f>IFERROR(INDEX('Total Customers'!$F$7:$AB$91,MATCH($C83,'Total Customers'!$D$7:$D$91,0),MATCH($G83,'Total Customers'!$F$5:$AB$5,0)),"NA")</f>
        <v>34508</v>
      </c>
      <c r="AW83" s="68">
        <f t="shared" si="180"/>
        <v>1.1308118403494858E-3</v>
      </c>
      <c r="AX83" s="114"/>
      <c r="AY83" s="114"/>
      <c r="AZ83" s="116"/>
      <c r="BA83" s="116"/>
      <c r="BB83" s="166"/>
      <c r="BC83" s="166"/>
      <c r="BD83" s="166"/>
      <c r="BE83" s="166"/>
      <c r="BF83" s="166"/>
      <c r="BG83" s="166"/>
      <c r="BH83" s="166"/>
      <c r="BI83" s="113"/>
      <c r="BJ83" s="113"/>
      <c r="BK83" s="113">
        <f>INDEX('Dist. Plant Gas Additions'!$F$7:$AE$91,MATCH($C83,'Dist. Plant Gas Additions'!$D$7:$D$91,0),MATCH(Calculation!$G83,'Dist. Plant Gas Additions'!$F$5:$AE$5,0))</f>
        <v>1597</v>
      </c>
      <c r="BL83" s="113">
        <f>INDEX('Gen. Plant Additions'!$F$7:$AE$91,MATCH($C83,'Gen. Plant Additions'!$D$7:$D$91,0),MATCH(Calculation!$G83,'Gen. Plant Additions'!$F$5:$AE$5,0))</f>
        <v>829</v>
      </c>
      <c r="BM83" s="231">
        <f t="shared" si="188"/>
        <v>0.83952222453366621</v>
      </c>
      <c r="BN83" s="61">
        <f>+BM83*BL83</f>
        <v>695.96392413840931</v>
      </c>
      <c r="BO83" s="113"/>
      <c r="BP83" s="113"/>
      <c r="BQ83" s="175">
        <v>2003</v>
      </c>
      <c r="BR83" s="113"/>
      <c r="BS83" s="170">
        <v>364.48397346780041</v>
      </c>
      <c r="BT83" s="113"/>
      <c r="BU83" s="113"/>
      <c r="BV83" s="113"/>
      <c r="BW83" s="113">
        <f>INDEX('Gross Dx Plant'!$E$7:$AD$91,MATCH($C83,'Gross Dx Plant'!$D$7:$D$91,0),MATCH(Calculation!$G83,'Gross Dx Plant'!$E$5:$AD$5,0))</f>
        <v>48427</v>
      </c>
      <c r="BX83" s="113">
        <f>INDEX('Gross Gen Plant'!$E$7:$AD$91,MATCH($C83,'Gross Gen Plant'!$D$7:$D$91,0),MATCH(Calculation!$G83,'Gross Gen Plant'!$E$5:$AD$5,0))</f>
        <v>9257</v>
      </c>
      <c r="BY83" s="113">
        <f t="shared" si="182"/>
        <v>57684</v>
      </c>
      <c r="BZ83" s="113"/>
      <c r="CA83" s="116">
        <v>2003</v>
      </c>
      <c r="CB83" s="113"/>
      <c r="CC83" s="113"/>
      <c r="CD83" s="113"/>
      <c r="CE83" s="175"/>
      <c r="CF83" s="113">
        <f t="shared" si="189"/>
        <v>2426</v>
      </c>
      <c r="CG83" s="113">
        <f t="shared" si="190"/>
        <v>6.5703767756878921</v>
      </c>
      <c r="CH83" s="178">
        <v>0.97354497354497349</v>
      </c>
      <c r="CI83" s="61">
        <f>+CI78*CH83+CG79*CH82+CG80*CH81+CG81*CH80+CG82*CH79+CG83</f>
        <v>187.38672749648143</v>
      </c>
      <c r="CJ83" s="114">
        <f t="shared" si="191"/>
        <v>3.0004502001386723E-2</v>
      </c>
      <c r="CK83" s="114"/>
      <c r="CL83" s="169">
        <f t="shared" si="192"/>
        <v>5.6720146036487807E-3</v>
      </c>
      <c r="CM83" s="169">
        <f t="shared" si="201"/>
        <v>5.4913817207791794E-3</v>
      </c>
      <c r="CN83" s="114">
        <f>VLOOKUP($H83,RoR!$E:$F,2,FALSE)</f>
        <v>5.6666666666666671E-2</v>
      </c>
      <c r="CO83" s="169">
        <v>1.8855119140166909E-2</v>
      </c>
      <c r="CP83" s="169">
        <f t="shared" si="198"/>
        <v>3.7811547526499761E-2</v>
      </c>
      <c r="CQ83" s="169">
        <f t="shared" si="202"/>
        <v>2.5410559887754446E-2</v>
      </c>
      <c r="CR83" s="69">
        <v>2.1375012817671957E-2</v>
      </c>
      <c r="CS83" s="179">
        <f t="shared" si="193"/>
        <v>0.84940815000000003</v>
      </c>
      <c r="CT83" s="180">
        <f t="shared" si="194"/>
        <v>0.90497737556561086</v>
      </c>
      <c r="CU83" s="180">
        <f t="shared" si="195"/>
        <v>0.5338235294117647</v>
      </c>
      <c r="CV83" s="180">
        <f t="shared" si="196"/>
        <v>0.88972433127405692</v>
      </c>
      <c r="CW83" s="180">
        <f t="shared" si="197"/>
        <v>0.42982423775949252</v>
      </c>
      <c r="CX83" s="181">
        <f>INDEX('State Tax Lookup'!$D$7:$Z$91,MATCH(Calculation!$C83,'State Tax Lookup'!$B$7:$B$91,0),MATCH($H83,'State Tax Lookup'!$D$6:$Z$6,0))</f>
        <v>0.40700500000000001</v>
      </c>
      <c r="CY83" s="72">
        <v>0.37</v>
      </c>
      <c r="CZ83" s="70">
        <f t="shared" si="200"/>
        <v>13.408790652360519</v>
      </c>
      <c r="DA83" s="70"/>
      <c r="DB83" s="69">
        <f t="shared" ref="DB83:DB102" si="203">LN(CZ83/CZ82)</f>
        <v>1.515016164695164E-2</v>
      </c>
      <c r="DC83" s="111">
        <f>VLOOKUP($H83,RoR!$E:$F,2,FALSE)</f>
        <v>5.6666666666666671E-2</v>
      </c>
      <c r="DD83" s="216">
        <f>HLOOKUP($H83,'GDP-PI'!$D$8:$CQ$11,3,FALSE)</f>
        <v>1.8855119140166909E-2</v>
      </c>
      <c r="DE83" s="111">
        <f>VLOOKUP(H83,'HW Dx Data'!$E:$F,2,FALSE)</f>
        <v>369.23301095560191</v>
      </c>
      <c r="DF83" s="72">
        <f>VLOOKUP(G83,EG$8:EH$27,2,FALSE)</f>
        <v>89.25</v>
      </c>
      <c r="DG83" s="69"/>
      <c r="DH83" s="66">
        <f>HLOOKUP(H83,'GDP-PI'!$8:$9,2,FALSE)</f>
        <v>82.566999999999993</v>
      </c>
      <c r="DI83" s="69">
        <f t="shared" ref="DI83:DI102" si="204">LN(DH83/DH82)</f>
        <v>1.8679564681853753E-2</v>
      </c>
      <c r="DO83" s="184"/>
      <c r="DP83" s="184"/>
      <c r="DQ83" s="184"/>
      <c r="DR83" s="184"/>
      <c r="DS83" s="184"/>
      <c r="DT83" s="184"/>
      <c r="DU83" s="184"/>
      <c r="DV83" s="184"/>
      <c r="DW83" s="184"/>
      <c r="EB83">
        <f t="shared" si="199"/>
        <v>2003</v>
      </c>
    </row>
    <row r="84" spans="1:132" s="160" customFormat="1" ht="21">
      <c r="A84" s="160" t="s">
        <v>162</v>
      </c>
      <c r="B84" s="161" t="s">
        <v>163</v>
      </c>
      <c r="C84" s="161">
        <v>4057110</v>
      </c>
      <c r="D84" s="161" t="s">
        <v>164</v>
      </c>
      <c r="E84" s="161" t="s">
        <v>3</v>
      </c>
      <c r="F84" s="161"/>
      <c r="G84" s="161" t="s">
        <v>115</v>
      </c>
      <c r="H84" s="162">
        <v>2004</v>
      </c>
      <c r="I84" s="163"/>
      <c r="J84" s="159">
        <f>IFERROR(INDEX('Labor Expenditures'!$F$7:$X$91,MATCH($C84,'Labor Expenditures'!$D$7:$D$91,0),MATCH($G84,'Labor Expenditures'!$F$5:$X$5,0)),"NA")</f>
        <v>3071.7901839654742</v>
      </c>
      <c r="K84" s="159">
        <f t="shared" ref="K84:K102" si="205">+J84/DF84</f>
        <v>32.557394636623997</v>
      </c>
      <c r="L84" s="165"/>
      <c r="M84" s="76"/>
      <c r="N84" s="152"/>
      <c r="O84" s="76"/>
      <c r="P84" s="76"/>
      <c r="Q84" s="159">
        <f>IFERROR(INDEX('Non-Labor Expenditures'!$F$7:$AB$91,MATCH($C84,'Non-Labor Expenditures'!$D$7:$D$91,0),MATCH($G84,'Non-Labor Expenditures'!$F$5:$AB$5,0)),"NA")</f>
        <v>4448.5259176481695</v>
      </c>
      <c r="R84" s="159">
        <f t="shared" ref="R84:R102" si="206">+Q84/DH84</f>
        <v>52.472645234001384</v>
      </c>
      <c r="S84" s="159"/>
      <c r="T84" s="159"/>
      <c r="U84" s="159"/>
      <c r="V84" s="159"/>
      <c r="W84" s="159">
        <f t="shared" si="187"/>
        <v>2787.188211046463</v>
      </c>
      <c r="X84" s="163"/>
      <c r="Y84" s="167">
        <v>193.48662445638305</v>
      </c>
      <c r="Z84" s="168">
        <v>3.203384298655218E-2</v>
      </c>
      <c r="AA84" s="76">
        <f t="shared" ref="AA84:AA102" si="207">+Z84*$AR84</f>
        <v>0</v>
      </c>
      <c r="AB84" s="168"/>
      <c r="AC84" s="168"/>
      <c r="AD84" s="163">
        <f t="shared" si="102"/>
        <v>10307.504312660107</v>
      </c>
      <c r="AE84" s="168"/>
      <c r="AF84" s="163"/>
      <c r="AG84" s="163"/>
      <c r="AH84" s="163"/>
      <c r="AI84" s="163"/>
      <c r="AJ84" s="167"/>
      <c r="AK84" s="168"/>
      <c r="AL84" s="115">
        <f t="shared" ref="AL84:AL102" si="208">+J84/AD84</f>
        <v>0.29801493075220675</v>
      </c>
      <c r="AM84" s="115">
        <f t="shared" ref="AM84:AM102" si="209">+Q84/AD84</f>
        <v>0.43158128124033907</v>
      </c>
      <c r="AN84" s="115">
        <f t="shared" ref="AN84:AN102" si="210">+W84/AD84</f>
        <v>0.27040378800745418</v>
      </c>
      <c r="AO84" s="115"/>
      <c r="AP84" s="115"/>
      <c r="AQ84" s="168"/>
      <c r="AR84" s="79"/>
      <c r="AS84" s="115"/>
      <c r="AT84" s="115"/>
      <c r="AU84" s="115"/>
      <c r="AV84" s="113">
        <f>IFERROR(INDEX('Total Customers'!$F$7:$AB$91,MATCH($C84,'Total Customers'!$D$7:$D$91,0),MATCH($G84,'Total Customers'!$F$5:$AB$5,0)),"NA")</f>
        <v>35231</v>
      </c>
      <c r="AW84" s="68">
        <f t="shared" si="180"/>
        <v>2.0735195635203884E-2</v>
      </c>
      <c r="AX84" s="114"/>
      <c r="AY84" s="114"/>
      <c r="AZ84" s="116"/>
      <c r="BA84" s="116"/>
      <c r="BB84" s="166"/>
      <c r="BC84" s="166"/>
      <c r="BD84" s="166"/>
      <c r="BE84" s="166"/>
      <c r="BF84" s="166"/>
      <c r="BG84" s="166"/>
      <c r="BH84" s="166"/>
      <c r="BI84" s="113"/>
      <c r="BJ84" s="113"/>
      <c r="BK84" s="113">
        <f>INDEX('Dist. Plant Gas Additions'!$F$7:$AE$91,MATCH($C84,'Dist. Plant Gas Additions'!$D$7:$D$91,0),MATCH(Calculation!$G84,'Dist. Plant Gas Additions'!$F$5:$AE$5,0))</f>
        <v>2293</v>
      </c>
      <c r="BL84" s="113">
        <f>INDEX('Gen. Plant Additions'!$F$7:$AE$91,MATCH($C84,'Gen. Plant Additions'!$D$7:$D$91,0),MATCH(Calculation!$G84,'Gen. Plant Additions'!$F$5:$AE$5,0))</f>
        <v>693</v>
      </c>
      <c r="BM84" s="231">
        <f t="shared" si="188"/>
        <v>0.84473107401787217</v>
      </c>
      <c r="BN84" s="61">
        <f t="shared" ref="BN84:BN101" si="211">+BM84*BL84</f>
        <v>585.39863429438537</v>
      </c>
      <c r="BO84" s="113"/>
      <c r="BP84" s="113"/>
      <c r="BQ84" s="175">
        <v>2004</v>
      </c>
      <c r="BR84" s="113"/>
      <c r="BS84" s="170">
        <v>409.97501511476293</v>
      </c>
      <c r="BT84" s="113"/>
      <c r="BU84" s="113"/>
      <c r="BV84" s="113"/>
      <c r="BW84" s="113">
        <f>INDEX('Gross Dx Plant'!$E$7:$AD$91,MATCH($C84,'Gross Dx Plant'!$D$7:$D$91,0),MATCH(Calculation!$G84,'Gross Dx Plant'!$E$5:$AD$5,0))</f>
        <v>50101</v>
      </c>
      <c r="BX84" s="113">
        <f>INDEX('Gross Gen Plant'!$E$7:$AD$91,MATCH($C84,'Gross Gen Plant'!$D$7:$D$91,0),MATCH(Calculation!$G84,'Gross Gen Plant'!$E$5:$AD$5,0))</f>
        <v>9209</v>
      </c>
      <c r="BY84" s="113">
        <f t="shared" si="182"/>
        <v>59310</v>
      </c>
      <c r="BZ84" s="113"/>
      <c r="CA84" s="116">
        <v>2004</v>
      </c>
      <c r="CB84" s="113"/>
      <c r="CC84" s="113"/>
      <c r="CD84" s="113"/>
      <c r="CE84" s="175"/>
      <c r="CF84" s="113">
        <f t="shared" si="189"/>
        <v>2986</v>
      </c>
      <c r="CG84" s="113">
        <f t="shared" si="190"/>
        <v>7.197137106757693</v>
      </c>
      <c r="CH84" s="178">
        <v>0.967741935483871</v>
      </c>
      <c r="CI84" s="61">
        <f>+CI78*CH84+CG79*CH83+CG80*CH82+CG81*CH81+CG82*CH80+CG83*CH79+CG84</f>
        <v>193.48662445638305</v>
      </c>
      <c r="CJ84" s="114">
        <f t="shared" si="191"/>
        <v>3.203384298655218E-2</v>
      </c>
      <c r="CK84" s="114"/>
      <c r="CL84" s="169">
        <f t="shared" si="192"/>
        <v>5.8554848655258587E-3</v>
      </c>
      <c r="CM84" s="169">
        <f t="shared" si="201"/>
        <v>5.7387694441090068E-3</v>
      </c>
      <c r="CN84" s="114">
        <f>VLOOKUP($H84,RoR!$E:$F,2,FALSE)</f>
        <v>5.6283333333333331E-2</v>
      </c>
      <c r="CO84" s="169">
        <v>2.6778252812867276E-2</v>
      </c>
      <c r="CP84" s="169">
        <f t="shared" si="198"/>
        <v>2.9505080520466055E-2</v>
      </c>
      <c r="CQ84" s="169">
        <f t="shared" si="202"/>
        <v>2.5163172164424617E-2</v>
      </c>
      <c r="CR84" s="69">
        <v>5.5940039414565046E-2</v>
      </c>
      <c r="CS84" s="179">
        <f t="shared" si="193"/>
        <v>0.84940815000000003</v>
      </c>
      <c r="CT84" s="180">
        <f t="shared" si="194"/>
        <v>0.91114097628755619</v>
      </c>
      <c r="CU84" s="180">
        <f t="shared" si="195"/>
        <v>0.53081877405981637</v>
      </c>
      <c r="CV84" s="180">
        <f t="shared" si="196"/>
        <v>0.88811215519385678</v>
      </c>
      <c r="CW84" s="180">
        <f t="shared" si="197"/>
        <v>0.42953609753547711</v>
      </c>
      <c r="CX84" s="181">
        <f>INDEX('State Tax Lookup'!$D$7:$Z$91,MATCH(Calculation!$C84,'State Tax Lookup'!$B$7:$B$91,0),MATCH($H84,'State Tax Lookup'!$D$6:$Z$6,0))</f>
        <v>0.40700500000000001</v>
      </c>
      <c r="CY84" s="72">
        <v>0.37</v>
      </c>
      <c r="CZ84" s="70">
        <f t="shared" si="200"/>
        <v>14.873989467043755</v>
      </c>
      <c r="DA84" s="70"/>
      <c r="DB84" s="69">
        <f t="shared" si="203"/>
        <v>0.10370350343190486</v>
      </c>
      <c r="DC84" s="111">
        <f>VLOOKUP($H84,RoR!$E:$F,2,FALSE)</f>
        <v>5.6283333333333331E-2</v>
      </c>
      <c r="DD84" s="216">
        <f>HLOOKUP($H84,'GDP-PI'!$D$8:$CQ$11,3,FALSE)</f>
        <v>2.6778252812867276E-2</v>
      </c>
      <c r="DE84" s="111">
        <f>VLOOKUP(H84,'HW Dx Data'!$E:$F,2,FALSE)</f>
        <v>414.88719135228365</v>
      </c>
      <c r="DF84" s="72">
        <f t="shared" ref="DF84:DF102" si="212">VLOOKUP(G84,EG$8:EH$27,2,FALSE)</f>
        <v>94.35</v>
      </c>
      <c r="DG84" s="69">
        <f t="shared" ref="DG84:DG102" si="213">LN(DF84/DF83)</f>
        <v>5.5569851154810786E-2</v>
      </c>
      <c r="DH84" s="66">
        <f>HLOOKUP(H84,'GDP-PI'!$8:$9,2,FALSE)</f>
        <v>84.778000000000006</v>
      </c>
      <c r="DI84" s="69">
        <f t="shared" si="204"/>
        <v>2.6425990216022755E-2</v>
      </c>
      <c r="DO84" s="184"/>
      <c r="DP84" s="184"/>
      <c r="DQ84" s="184"/>
      <c r="DR84" s="184"/>
      <c r="DS84" s="184"/>
      <c r="DT84" s="184"/>
      <c r="DU84" s="184"/>
      <c r="DV84" s="184"/>
      <c r="DW84" s="184"/>
      <c r="EB84">
        <f t="shared" si="199"/>
        <v>2004</v>
      </c>
    </row>
    <row r="85" spans="1:132" s="160" customFormat="1" ht="21">
      <c r="A85" s="160" t="s">
        <v>162</v>
      </c>
      <c r="B85" s="161" t="s">
        <v>163</v>
      </c>
      <c r="C85" s="161">
        <v>4057110</v>
      </c>
      <c r="D85" s="161" t="s">
        <v>164</v>
      </c>
      <c r="E85" s="161" t="s">
        <v>3</v>
      </c>
      <c r="F85" s="161"/>
      <c r="G85" s="161" t="s">
        <v>116</v>
      </c>
      <c r="H85" s="162">
        <v>2005</v>
      </c>
      <c r="I85" s="163"/>
      <c r="J85" s="159">
        <f>IFERROR(INDEX('Labor Expenditures'!$F$7:$X$91,MATCH($C85,'Labor Expenditures'!$D$7:$D$91,0),MATCH($G85,'Labor Expenditures'!$F$5:$X$5,0)),"NA")</f>
        <v>3042.3379951114734</v>
      </c>
      <c r="K85" s="159">
        <f t="shared" si="205"/>
        <v>30.66100272221188</v>
      </c>
      <c r="L85" s="165">
        <f t="shared" ref="L85:L101" si="214">LN(K85/K84)</f>
        <v>-6.0012943148075759E-2</v>
      </c>
      <c r="M85" s="76"/>
      <c r="N85" s="62">
        <v>100</v>
      </c>
      <c r="O85" s="77"/>
      <c r="P85" s="77"/>
      <c r="Q85" s="159">
        <f>IFERROR(INDEX('Non-Labor Expenditures'!$F$7:$AB$91,MATCH($C85,'Non-Labor Expenditures'!$D$7:$D$91,0),MATCH($G85,'Non-Labor Expenditures'!$F$5:$AB$5,0)),"NA")</f>
        <v>4405.8736472774926</v>
      </c>
      <c r="R85" s="159">
        <f t="shared" si="206"/>
        <v>50.406416502997388</v>
      </c>
      <c r="S85" s="165">
        <f>LN(R85/R84)</f>
        <v>-4.0173512104239417E-2</v>
      </c>
      <c r="T85" s="165"/>
      <c r="U85" s="165"/>
      <c r="V85" s="165"/>
      <c r="W85" s="159">
        <f t="shared" si="187"/>
        <v>3231.4542266592016</v>
      </c>
      <c r="X85" s="163"/>
      <c r="Y85" s="167">
        <v>198.57524923006878</v>
      </c>
      <c r="Z85" s="168">
        <v>2.5959731787062068E-2</v>
      </c>
      <c r="AA85" s="76">
        <f t="shared" si="207"/>
        <v>0</v>
      </c>
      <c r="AB85" s="168"/>
      <c r="AC85" s="168"/>
      <c r="AD85" s="163">
        <f t="shared" si="102"/>
        <v>10679.665869048167</v>
      </c>
      <c r="AE85" s="168">
        <f>LN(AD85/AD84)</f>
        <v>3.5469343373959912E-2</v>
      </c>
      <c r="AF85" s="163"/>
      <c r="AG85" s="163"/>
      <c r="AH85" s="163"/>
      <c r="AI85" s="163"/>
      <c r="AJ85" s="116"/>
      <c r="AK85" s="114"/>
      <c r="AL85" s="115">
        <f t="shared" si="208"/>
        <v>0.28487202056843225</v>
      </c>
      <c r="AM85" s="115">
        <f t="shared" si="209"/>
        <v>0.41254789253721935</v>
      </c>
      <c r="AN85" s="115">
        <f t="shared" si="210"/>
        <v>0.30258008689434845</v>
      </c>
      <c r="AO85" s="115">
        <f t="shared" ref="AO85:AO101" si="215">+(((AL85+AL84)/2)*L85+((AM84+AM85)/2)*S85+((AN84+AN85)/2)*Z85)</f>
        <v>-2.7008943670446373E-2</v>
      </c>
      <c r="AP85" s="166">
        <v>100</v>
      </c>
      <c r="AQ85" s="168"/>
      <c r="AR85" s="16"/>
      <c r="AS85" s="115"/>
      <c r="AT85" s="115"/>
      <c r="AU85" s="115"/>
      <c r="AV85" s="113">
        <f>IFERROR(INDEX('Total Customers'!$F$7:$AB$91,MATCH($C85,'Total Customers'!$D$7:$D$91,0),MATCH($G85,'Total Customers'!$F$5:$AB$5,0)),"NA")</f>
        <v>35229</v>
      </c>
      <c r="AW85" s="68">
        <f t="shared" si="180"/>
        <v>-5.6769798482497852E-5</v>
      </c>
      <c r="AX85" s="114"/>
      <c r="AY85" s="114"/>
      <c r="AZ85" s="116"/>
      <c r="BA85" s="116"/>
      <c r="BB85" s="166"/>
      <c r="BC85" s="166"/>
      <c r="BD85" s="166"/>
      <c r="BE85" s="166"/>
      <c r="BF85" s="166"/>
      <c r="BG85" s="166"/>
      <c r="BH85" s="166"/>
      <c r="BI85" s="113"/>
      <c r="BJ85" s="113"/>
      <c r="BK85" s="113">
        <f>INDEX('Dist. Plant Gas Additions'!$F$7:$AE$91,MATCH($C85,'Dist. Plant Gas Additions'!$D$7:$D$91,0),MATCH(Calculation!$G85,'Dist. Plant Gas Additions'!$F$5:$AE$5,0))</f>
        <v>2187</v>
      </c>
      <c r="BL85" s="113">
        <f>INDEX('Gen. Plant Additions'!$F$7:$AE$91,MATCH($C85,'Gen. Plant Additions'!$D$7:$D$91,0),MATCH(Calculation!$G85,'Gen. Plant Additions'!$F$5:$AE$5,0))</f>
        <v>749</v>
      </c>
      <c r="BM85" s="231">
        <f t="shared" si="188"/>
        <v>0.84067736069619436</v>
      </c>
      <c r="BN85" s="61">
        <f t="shared" si="211"/>
        <v>629.66734316144959</v>
      </c>
      <c r="BO85" s="113"/>
      <c r="BP85" s="113"/>
      <c r="BQ85" s="175">
        <v>2005</v>
      </c>
      <c r="BR85" s="113"/>
      <c r="BS85" s="170">
        <v>465.05637553448639</v>
      </c>
      <c r="BT85" s="113"/>
      <c r="BU85" s="113"/>
      <c r="BV85" s="113"/>
      <c r="BW85" s="113">
        <f>INDEX('Gross Dx Plant'!$E$7:$AD$91,MATCH($C85,'Gross Dx Plant'!$D$7:$D$91,0),MATCH(Calculation!$G85,'Gross Dx Plant'!$E$5:$AD$5,0))</f>
        <v>51779</v>
      </c>
      <c r="BX85" s="113">
        <f>INDEX('Gross Gen Plant'!$E$7:$AD$91,MATCH($C85,'Gross Gen Plant'!$D$7:$D$91,0),MATCH(Calculation!$G85,'Gross Gen Plant'!$E$5:$AD$5,0))</f>
        <v>9813</v>
      </c>
      <c r="BY85" s="113">
        <f t="shared" si="182"/>
        <v>61592</v>
      </c>
      <c r="BZ85" s="113"/>
      <c r="CA85" s="116">
        <v>2005</v>
      </c>
      <c r="CB85" s="113"/>
      <c r="CC85" s="113"/>
      <c r="CD85" s="113"/>
      <c r="CE85" s="175"/>
      <c r="CF85" s="113">
        <f t="shared" si="189"/>
        <v>2936</v>
      </c>
      <c r="CG85" s="113">
        <f t="shared" si="190"/>
        <v>6.2573909523111828</v>
      </c>
      <c r="CH85" s="178">
        <v>0.96174863387978138</v>
      </c>
      <c r="CI85" s="61">
        <f>+CI78*CH85+CG79*CH84+CG80*CH83+CG81*CH82+CG82*CH81+CG83*CH80+CG84*CH79+CG85</f>
        <v>198.57524923006878</v>
      </c>
      <c r="CJ85" s="114">
        <f t="shared" si="191"/>
        <v>2.5959731787062068E-2</v>
      </c>
      <c r="CK85" s="114"/>
      <c r="CL85" s="169">
        <f t="shared" si="192"/>
        <v>6.0405528387773924E-3</v>
      </c>
      <c r="CM85" s="169">
        <f t="shared" si="201"/>
        <v>5.8560174359840109E-3</v>
      </c>
      <c r="CN85" s="114">
        <f>VLOOKUP($H85,RoR!$E:$F,2,FALSE)</f>
        <v>5.2350000000000001E-2</v>
      </c>
      <c r="CO85" s="169">
        <v>3.1010403642454332E-2</v>
      </c>
      <c r="CP85" s="169">
        <f t="shared" si="198"/>
        <v>2.1339596357545669E-2</v>
      </c>
      <c r="CQ85" s="169">
        <f t="shared" si="202"/>
        <v>2.5045924172549614E-2</v>
      </c>
      <c r="CR85" s="69">
        <v>9.2129610649277341E-2</v>
      </c>
      <c r="CS85" s="179">
        <f t="shared" si="193"/>
        <v>0.84940815000000003</v>
      </c>
      <c r="CT85" s="180">
        <f t="shared" si="194"/>
        <v>0.97959983346802826</v>
      </c>
      <c r="CU85" s="180">
        <f t="shared" si="195"/>
        <v>0.49744508118433622</v>
      </c>
      <c r="CV85" s="180">
        <f t="shared" si="196"/>
        <v>0.87010519444335932</v>
      </c>
      <c r="CW85" s="180">
        <f t="shared" si="197"/>
        <v>0.42399975420741998</v>
      </c>
      <c r="CX85" s="181">
        <f>INDEX('State Tax Lookup'!$D$7:$Z$91,MATCH(Calculation!$C85,'State Tax Lookup'!$B$7:$B$91,0),MATCH($H85,'State Tax Lookup'!$D$6:$Z$6,0))</f>
        <v>0.40700500000000001</v>
      </c>
      <c r="CY85" s="72">
        <v>0.37</v>
      </c>
      <c r="CZ85" s="70">
        <f t="shared" si="200"/>
        <v>16.70117629959303</v>
      </c>
      <c r="DA85" s="70"/>
      <c r="DB85" s="69">
        <f t="shared" si="203"/>
        <v>0.11586513990815987</v>
      </c>
      <c r="DC85" s="111">
        <f>VLOOKUP($H85,RoR!$E:$F,2,FALSE)</f>
        <v>5.2350000000000001E-2</v>
      </c>
      <c r="DD85" s="216">
        <f>HLOOKUP($H85,'GDP-PI'!$D$8:$CQ$11,3,FALSE)</f>
        <v>3.1010403642454332E-2</v>
      </c>
      <c r="DE85" s="111">
        <f>VLOOKUP(H85,'HW Dx Data'!$E:$F,2,FALSE)</f>
        <v>469.20514034936258</v>
      </c>
      <c r="DF85" s="72">
        <f t="shared" si="212"/>
        <v>99.224999999999994</v>
      </c>
      <c r="DG85" s="69">
        <f t="shared" si="213"/>
        <v>5.0378726854569796E-2</v>
      </c>
      <c r="DH85" s="66">
        <f>HLOOKUP(H85,'GDP-PI'!$8:$9,2,FALSE)</f>
        <v>87.406999999999996</v>
      </c>
      <c r="DI85" s="69">
        <f t="shared" si="204"/>
        <v>3.0539295810733648E-2</v>
      </c>
      <c r="DO85" s="184"/>
      <c r="DP85" s="184"/>
      <c r="DQ85" s="184"/>
      <c r="DR85" s="184"/>
      <c r="DS85" s="184"/>
      <c r="DT85" s="184"/>
      <c r="DU85" s="184"/>
      <c r="DV85" s="184"/>
      <c r="DW85" s="184"/>
      <c r="EB85">
        <f t="shared" si="199"/>
        <v>2005</v>
      </c>
    </row>
    <row r="86" spans="1:132" s="160" customFormat="1" ht="21">
      <c r="A86" s="160" t="s">
        <v>162</v>
      </c>
      <c r="B86" s="161" t="s">
        <v>163</v>
      </c>
      <c r="C86" s="161">
        <v>4057110</v>
      </c>
      <c r="D86" s="161" t="s">
        <v>164</v>
      </c>
      <c r="E86" s="161" t="s">
        <v>3</v>
      </c>
      <c r="F86" s="161"/>
      <c r="G86" s="161" t="s">
        <v>117</v>
      </c>
      <c r="H86" s="162">
        <v>2006</v>
      </c>
      <c r="I86" s="163"/>
      <c r="J86" s="159">
        <f>IFERROR(INDEX('Labor Expenditures'!$F$7:$X$91,MATCH($C86,'Labor Expenditures'!$D$7:$D$91,0),MATCH($G86,'Labor Expenditures'!$F$5:$X$5,0)),"NA")</f>
        <v>3041.058535493924</v>
      </c>
      <c r="K86" s="159">
        <f t="shared" si="205"/>
        <v>27.797610013655611</v>
      </c>
      <c r="L86" s="165">
        <f t="shared" si="214"/>
        <v>-9.8041531212922209E-2</v>
      </c>
      <c r="M86" s="76">
        <f t="shared" ref="M86:M102" si="216">+L86*$AR86</f>
        <v>-1.3158253082984291E-4</v>
      </c>
      <c r="N86" s="62">
        <f>+N85*EXP(O86)</f>
        <v>90.285640434518811</v>
      </c>
      <c r="O86" s="96">
        <f t="shared" ref="O86:O102" si="217">+M86+M111+M136+M161+M186+M211+M236+M261+M286+M311+M336+M361+M386+M411+M436+M461+M486+M511+M536+M561+M586+M611+M636+M661+M686+M711+M736+M761+M786+M811+M836+M861+M886+M911+M936+M961+M986+M1011+M1036+M1061+M1086+M1111+M1136+M1161+M1186+M1211+M1236+M1261+M1286+M1311+M1336+M1361+M1386+M1411</f>
        <v>-0.10219175886898359</v>
      </c>
      <c r="P86" s="96"/>
      <c r="Q86" s="159">
        <f>IFERROR(INDEX('Non-Labor Expenditures'!$F$7:$AB$91,MATCH($C86,'Non-Labor Expenditures'!$D$7:$D$91,0),MATCH($G86,'Non-Labor Expenditures'!$F$5:$AB$5,0)),"NA")</f>
        <v>4404.0207507811865</v>
      </c>
      <c r="R86" s="159">
        <f t="shared" si="206"/>
        <v>48.893362688247294</v>
      </c>
      <c r="S86" s="165">
        <f t="shared" ref="S86:S101" si="218">LN(R86/R85)</f>
        <v>-3.0476823619624917E-2</v>
      </c>
      <c r="T86" s="165">
        <f t="shared" ref="T86:T102" si="219">+S86*AR86</f>
        <v>-4.0903253283710646E-5</v>
      </c>
      <c r="U86" s="165"/>
      <c r="V86" s="165"/>
      <c r="W86" s="159">
        <f t="shared" si="187"/>
        <v>3237.6151936187689</v>
      </c>
      <c r="X86" s="163"/>
      <c r="Y86" s="167">
        <v>203.89954531206709</v>
      </c>
      <c r="Z86" s="168">
        <v>2.6459330011102681E-2</v>
      </c>
      <c r="AA86" s="76">
        <f t="shared" si="207"/>
        <v>3.5511334470712763E-5</v>
      </c>
      <c r="AB86" s="168"/>
      <c r="AC86" s="168"/>
      <c r="AD86" s="163">
        <f t="shared" si="102"/>
        <v>10682.694479893878</v>
      </c>
      <c r="AE86" s="168">
        <f t="shared" ref="AE86:AE102" si="220">LN(AD86/AD85)</f>
        <v>2.8354646364275025E-4</v>
      </c>
      <c r="AF86" s="163"/>
      <c r="AG86" s="163"/>
      <c r="AH86" s="163"/>
      <c r="AI86" s="163"/>
      <c r="AJ86" s="116">
        <f t="shared" ref="AJ86:AJ102" si="221">+(AD86*1000)/AV86</f>
        <v>302.6859286514005</v>
      </c>
      <c r="AK86" s="114">
        <f>+AV86/$AX$11</f>
        <v>1.0176333751222447E-3</v>
      </c>
      <c r="AL86" s="115">
        <f t="shared" si="208"/>
        <v>0.28467148819219379</v>
      </c>
      <c r="AM86" s="115">
        <f t="shared" si="209"/>
        <v>0.41225748420214448</v>
      </c>
      <c r="AN86" s="115">
        <f t="shared" si="210"/>
        <v>0.30307102760566185</v>
      </c>
      <c r="AO86" s="115">
        <f t="shared" si="215"/>
        <v>-3.2475621484264056E-2</v>
      </c>
      <c r="AP86" s="166">
        <f>+AP85*EXP(AO86)</f>
        <v>96.804604906948796</v>
      </c>
      <c r="AQ86" s="168">
        <f>LN(AP86/AP85)</f>
        <v>-3.2475621484264104E-2</v>
      </c>
      <c r="AR86" s="69">
        <f>+AD86/$AF$11</f>
        <v>1.3421101160086724E-3</v>
      </c>
      <c r="AS86" s="169">
        <f>+AR86*AQ86</f>
        <v>-4.3585860117699432E-5</v>
      </c>
      <c r="AT86" s="115"/>
      <c r="AU86" s="115"/>
      <c r="AV86" s="113">
        <f>IFERROR(INDEX('Total Customers'!$F$7:$AB$91,MATCH($C86,'Total Customers'!$D$7:$D$91,0),MATCH($G86,'Total Customers'!$F$5:$AB$5,0)),"NA")</f>
        <v>35293</v>
      </c>
      <c r="AW86" s="68">
        <f t="shared" si="180"/>
        <v>1.8150369408103453E-3</v>
      </c>
      <c r="AX86" s="114"/>
      <c r="AY86" s="114"/>
      <c r="AZ86" s="116">
        <v>8247377</v>
      </c>
      <c r="BA86" s="116"/>
      <c r="BB86" s="166"/>
      <c r="BC86" s="166"/>
      <c r="BD86" s="166"/>
      <c r="BE86" s="166"/>
      <c r="BF86" s="166"/>
      <c r="BG86" s="166"/>
      <c r="BH86" s="166"/>
      <c r="BI86" s="113"/>
      <c r="BJ86" s="113"/>
      <c r="BK86" s="113">
        <f>INDEX('Dist. Plant Gas Additions'!$F$7:$AE$91,MATCH($C86,'Dist. Plant Gas Additions'!$D$7:$D$91,0),MATCH(Calculation!$G86,'Dist. Plant Gas Additions'!$F$5:$AE$5,0))</f>
        <v>2166</v>
      </c>
      <c r="BL86" s="113">
        <f>INDEX('Gen. Plant Additions'!$F$7:$AE$91,MATCH($C86,'Gen. Plant Additions'!$D$7:$D$91,0),MATCH(Calculation!$G86,'Gen. Plant Additions'!$F$5:$AE$5,0))</f>
        <v>860</v>
      </c>
      <c r="BM86" s="231">
        <f t="shared" si="188"/>
        <v>0.83698822342387791</v>
      </c>
      <c r="BN86" s="61">
        <f t="shared" si="211"/>
        <v>719.80987214453501</v>
      </c>
      <c r="BO86" s="113"/>
      <c r="BP86" s="113"/>
      <c r="BQ86" s="175">
        <v>2006</v>
      </c>
      <c r="BR86" s="113"/>
      <c r="BS86" s="170">
        <v>449.38250205318639</v>
      </c>
      <c r="BT86" s="113"/>
      <c r="BU86" s="113"/>
      <c r="BV86" s="113"/>
      <c r="BW86" s="113">
        <f>INDEX('Gross Dx Plant'!$E$7:$AD$91,MATCH($C86,'Gross Dx Plant'!$D$7:$D$91,0),MATCH(Calculation!$G86,'Gross Dx Plant'!$E$5:$AD$5,0))</f>
        <v>53091</v>
      </c>
      <c r="BX86" s="113">
        <f>INDEX('Gross Gen Plant'!$E$7:$AD$91,MATCH($C86,'Gross Gen Plant'!$D$7:$D$91,0),MATCH(Calculation!$G86,'Gross Gen Plant'!$E$5:$AD$5,0))</f>
        <v>10340</v>
      </c>
      <c r="BY86" s="113">
        <f t="shared" si="182"/>
        <v>63431</v>
      </c>
      <c r="BZ86" s="114"/>
      <c r="CA86" s="116">
        <v>2006</v>
      </c>
      <c r="CB86" s="113"/>
      <c r="CC86" s="113"/>
      <c r="CD86" s="113"/>
      <c r="CE86" s="175"/>
      <c r="CF86" s="113">
        <f t="shared" si="189"/>
        <v>3026</v>
      </c>
      <c r="CG86" s="113">
        <f t="shared" si="190"/>
        <v>6.5627716907478009</v>
      </c>
      <c r="CH86" s="178">
        <v>0.9555555555555556</v>
      </c>
      <c r="CI86" s="61">
        <f>+CI78*CH86+CG79*CH85+CG80*CH84+CG81*CH83+CG82*CH82+CG83*CH81+CG84*CH80+CG85*CH79+CG86</f>
        <v>203.89954531206709</v>
      </c>
      <c r="CJ86" s="114">
        <f t="shared" si="191"/>
        <v>2.6459330011102681E-2</v>
      </c>
      <c r="CK86" s="114"/>
      <c r="CL86" s="169">
        <f t="shared" si="192"/>
        <v>6.2368075253658312E-3</v>
      </c>
      <c r="CM86" s="169">
        <f t="shared" si="201"/>
        <v>6.0442817432230277E-3</v>
      </c>
      <c r="CN86" s="114">
        <f>VLOOKUP($H86,RoR!$E:$F,2,FALSE)</f>
        <v>5.5874999999999994E-2</v>
      </c>
      <c r="CO86" s="169">
        <v>3.0512430354548314E-2</v>
      </c>
      <c r="CP86" s="169">
        <f t="shared" si="198"/>
        <v>2.536256964545168E-2</v>
      </c>
      <c r="CQ86" s="169">
        <f t="shared" si="202"/>
        <v>2.4857659865310598E-2</v>
      </c>
      <c r="CR86" s="69">
        <v>7.9087823893859641E-2</v>
      </c>
      <c r="CS86" s="179">
        <f t="shared" si="193"/>
        <v>0.84940815000000003</v>
      </c>
      <c r="CT86" s="180">
        <f t="shared" si="194"/>
        <v>0.91779957551769631</v>
      </c>
      <c r="CU86" s="180">
        <f t="shared" si="195"/>
        <v>0.52757270693512304</v>
      </c>
      <c r="CV86" s="180">
        <f t="shared" si="196"/>
        <v>0.88636824549024895</v>
      </c>
      <c r="CW86" s="180">
        <f t="shared" si="197"/>
        <v>0.42918482841932087</v>
      </c>
      <c r="CX86" s="181">
        <f>INDEX('State Tax Lookup'!$D$7:$Z$91,MATCH(Calculation!$C86,'State Tax Lookup'!$B$7:$B$91,0),MATCH($H86,'State Tax Lookup'!$D$6:$Z$6,0))</f>
        <v>0.40700500000000001</v>
      </c>
      <c r="CY86" s="72">
        <v>0.37</v>
      </c>
      <c r="CZ86" s="70">
        <f t="shared" si="200"/>
        <v>16.304223241173808</v>
      </c>
      <c r="DA86" s="70">
        <v>14.788696346247992</v>
      </c>
      <c r="DB86" s="69">
        <f t="shared" si="203"/>
        <v>-2.4054985239451789E-2</v>
      </c>
      <c r="DC86" s="111">
        <f>VLOOKUP($H86,RoR!$E:$F,2,FALSE)</f>
        <v>5.5874999999999994E-2</v>
      </c>
      <c r="DD86" s="216">
        <f>HLOOKUP($H86,'GDP-PI'!$D$8:$CQ$11,3,FALSE)</f>
        <v>3.0512430354548314E-2</v>
      </c>
      <c r="DE86" s="111">
        <f>VLOOKUP(H86,'HW Dx Data'!$E:$F,2,FALSE)</f>
        <v>461.08567272971823</v>
      </c>
      <c r="DF86" s="72">
        <f t="shared" si="212"/>
        <v>109.4</v>
      </c>
      <c r="DG86" s="69">
        <f t="shared" si="213"/>
        <v>9.7620891318751846E-2</v>
      </c>
      <c r="DH86" s="66">
        <f>HLOOKUP(H86,'GDP-PI'!$8:$9,2,FALSE)</f>
        <v>90.073999999999998</v>
      </c>
      <c r="DI86" s="69">
        <f t="shared" si="204"/>
        <v>3.005618372545445E-2</v>
      </c>
      <c r="DO86" s="184"/>
      <c r="DP86" s="184"/>
      <c r="DQ86" s="184"/>
      <c r="DR86" s="184"/>
      <c r="DS86" s="184"/>
      <c r="DT86" s="184"/>
      <c r="DU86" s="184"/>
      <c r="DV86" s="184"/>
      <c r="DW86" s="184"/>
      <c r="EB86">
        <f t="shared" si="199"/>
        <v>2006</v>
      </c>
    </row>
    <row r="87" spans="1:132" s="160" customFormat="1" ht="21">
      <c r="A87" s="160" t="s">
        <v>162</v>
      </c>
      <c r="B87" s="161" t="s">
        <v>163</v>
      </c>
      <c r="C87" s="161">
        <v>4057110</v>
      </c>
      <c r="D87" s="161" t="s">
        <v>164</v>
      </c>
      <c r="E87" s="161" t="s">
        <v>3</v>
      </c>
      <c r="F87" s="161"/>
      <c r="G87" s="161" t="s">
        <v>118</v>
      </c>
      <c r="H87" s="162">
        <v>2007</v>
      </c>
      <c r="I87" s="163"/>
      <c r="J87" s="159">
        <f>IFERROR(INDEX('Labor Expenditures'!$F$7:$X$91,MATCH($C87,'Labor Expenditures'!$D$7:$D$91,0),MATCH($G87,'Labor Expenditures'!$F$5:$X$5,0)),"NA")</f>
        <v>3097.5659466271604</v>
      </c>
      <c r="K87" s="159">
        <f t="shared" si="205"/>
        <v>29.634689754864009</v>
      </c>
      <c r="L87" s="165">
        <f t="shared" si="214"/>
        <v>6.3995580040062838E-2</v>
      </c>
      <c r="M87" s="76">
        <f t="shared" si="216"/>
        <v>8.4883697190537351E-5</v>
      </c>
      <c r="N87" s="62">
        <f t="shared" ref="N87:N100" si="222">+N86*EXP(O87)</f>
        <v>97.204589856197927</v>
      </c>
      <c r="O87" s="96">
        <f t="shared" si="217"/>
        <v>7.3839503975198409E-2</v>
      </c>
      <c r="P87" s="96"/>
      <c r="Q87" s="159">
        <f>IFERROR(INDEX('Non-Labor Expenditures'!$F$7:$AB$91,MATCH($C87,'Non-Labor Expenditures'!$D$7:$D$91,0),MATCH($G87,'Non-Labor Expenditures'!$F$5:$AB$5,0)),"NA")</f>
        <v>4485.8540362306812</v>
      </c>
      <c r="R87" s="159">
        <f t="shared" si="206"/>
        <v>48.496767889367135</v>
      </c>
      <c r="S87" s="165">
        <f t="shared" si="218"/>
        <v>-8.144500655227354E-3</v>
      </c>
      <c r="T87" s="165">
        <f t="shared" si="219"/>
        <v>-1.0802860556208078E-5</v>
      </c>
      <c r="U87" s="165"/>
      <c r="V87" s="165"/>
      <c r="W87" s="159">
        <f t="shared" si="187"/>
        <v>3568.6094699864852</v>
      </c>
      <c r="X87" s="163"/>
      <c r="Y87" s="167">
        <v>209.57660099046075</v>
      </c>
      <c r="Z87" s="168">
        <v>2.7461862096784865E-2</v>
      </c>
      <c r="AA87" s="76">
        <f t="shared" si="207"/>
        <v>3.6425396645400773E-5</v>
      </c>
      <c r="AB87" s="168"/>
      <c r="AC87" s="168"/>
      <c r="AD87" s="163">
        <f t="shared" si="102"/>
        <v>11152.029452844326</v>
      </c>
      <c r="AE87" s="168">
        <f t="shared" si="220"/>
        <v>4.2996401215016439E-2</v>
      </c>
      <c r="AF87" s="163"/>
      <c r="AG87" s="163"/>
      <c r="AH87" s="163"/>
      <c r="AI87" s="163"/>
      <c r="AJ87" s="116">
        <f t="shared" si="221"/>
        <v>314.42510017041633</v>
      </c>
      <c r="AK87" s="114">
        <f>+AV87/$AX$12</f>
        <v>1.0149794750534626E-3</v>
      </c>
      <c r="AL87" s="115">
        <f t="shared" si="208"/>
        <v>0.27775804930618486</v>
      </c>
      <c r="AM87" s="115">
        <f t="shared" si="209"/>
        <v>0.40224553344293434</v>
      </c>
      <c r="AN87" s="115">
        <f t="shared" si="210"/>
        <v>0.31999641725088085</v>
      </c>
      <c r="AO87" s="115">
        <f t="shared" si="215"/>
        <v>2.3234938185312248E-2</v>
      </c>
      <c r="AP87" s="166">
        <f>+AP86*EXP(AO87)</f>
        <v>99.080188060754011</v>
      </c>
      <c r="AQ87" s="168">
        <f>LN(AP87/AP86)</f>
        <v>2.3234938185312297E-2</v>
      </c>
      <c r="AR87" s="69">
        <f>+AD87/$AF$12</f>
        <v>1.3263993722284887E-3</v>
      </c>
      <c r="AS87" s="169">
        <f>+AR87*AQ87</f>
        <v>3.0818807422765972E-5</v>
      </c>
      <c r="AT87" s="115"/>
      <c r="AU87" s="115"/>
      <c r="AV87" s="113">
        <f>IFERROR(INDEX('Total Customers'!$F$7:$AB$91,MATCH($C87,'Total Customers'!$D$7:$D$91,0),MATCH($G87,'Total Customers'!$F$5:$AB$5,0)),"NA")</f>
        <v>35468</v>
      </c>
      <c r="AW87" s="68">
        <f t="shared" si="180"/>
        <v>4.9462375258963699E-3</v>
      </c>
      <c r="AX87" s="114"/>
      <c r="AY87" s="114"/>
      <c r="AZ87" s="116">
        <v>8187757</v>
      </c>
      <c r="BA87" s="116"/>
      <c r="BB87" s="166"/>
      <c r="BC87" s="166"/>
      <c r="BD87" s="166"/>
      <c r="BE87" s="166"/>
      <c r="BF87" s="166"/>
      <c r="BG87" s="166"/>
      <c r="BH87" s="166"/>
      <c r="BI87" s="113"/>
      <c r="BJ87" s="113"/>
      <c r="BK87" s="113">
        <f>INDEX('Dist. Plant Gas Additions'!$F$7:$AE$91,MATCH($C87,'Dist. Plant Gas Additions'!$D$7:$D$91,0),MATCH(Calculation!$G87,'Dist. Plant Gas Additions'!$F$5:$AE$5,0))</f>
        <v>2552</v>
      </c>
      <c r="BL87" s="113">
        <f>INDEX('Gen. Plant Additions'!$F$7:$AE$91,MATCH($C87,'Gen. Plant Additions'!$D$7:$D$91,0),MATCH(Calculation!$G87,'Gen. Plant Additions'!$F$5:$AE$5,0))</f>
        <v>929</v>
      </c>
      <c r="BM87" s="231">
        <f t="shared" si="188"/>
        <v>0.8302700077405254</v>
      </c>
      <c r="BN87" s="61">
        <f t="shared" si="211"/>
        <v>771.32083719094805</v>
      </c>
      <c r="BO87" s="113"/>
      <c r="BP87" s="113"/>
      <c r="BQ87" s="175">
        <v>2007</v>
      </c>
      <c r="BR87" s="113"/>
      <c r="BS87" s="170">
        <v>492.91323186281352</v>
      </c>
      <c r="BT87" s="113"/>
      <c r="BU87" s="113"/>
      <c r="BV87" s="113"/>
      <c r="BW87" s="113">
        <f>INDEX('Gross Dx Plant'!$E$7:$AD$91,MATCH($C87,'Gross Dx Plant'!$D$7:$D$91,0),MATCH(Calculation!$G87,'Gross Dx Plant'!$E$5:$AD$5,0))</f>
        <v>54704</v>
      </c>
      <c r="BX87" s="113">
        <f>INDEX('Gross Gen Plant'!$E$7:$AD$91,MATCH($C87,'Gross Gen Plant'!$D$7:$D$91,0),MATCH(Calculation!$G87,'Gross Gen Plant'!$E$5:$AD$5,0))</f>
        <v>11183</v>
      </c>
      <c r="BY87" s="113">
        <f t="shared" si="182"/>
        <v>65887</v>
      </c>
      <c r="BZ87" s="113"/>
      <c r="CA87" s="116">
        <v>2007</v>
      </c>
      <c r="CB87" s="113"/>
      <c r="CC87" s="113"/>
      <c r="CD87" s="113"/>
      <c r="CE87" s="175"/>
      <c r="CF87" s="113">
        <f t="shared" si="189"/>
        <v>3481</v>
      </c>
      <c r="CG87" s="113">
        <f t="shared" si="190"/>
        <v>6.989646631926715</v>
      </c>
      <c r="CH87" s="178">
        <v>0.94915254237288138</v>
      </c>
      <c r="CI87" s="61">
        <f>+CI78*CH87+CG79*CH86+CG80*CH85+CG81*CH84+CG82*CH83+CG83*CH82+CG84*CH81+CG85*CH80+CG86*CH79+CG87</f>
        <v>209.57660099046075</v>
      </c>
      <c r="CJ87" s="114">
        <f t="shared" si="191"/>
        <v>2.7461862096784865E-2</v>
      </c>
      <c r="CK87" s="114"/>
      <c r="CL87" s="169">
        <f t="shared" si="192"/>
        <v>6.4374393357481251E-3</v>
      </c>
      <c r="CM87" s="169">
        <f t="shared" si="201"/>
        <v>6.2382665666304501E-3</v>
      </c>
      <c r="CN87" s="114">
        <f>VLOOKUP($H87,RoR!$E:$F,2,FALSE)</f>
        <v>5.5558333333333321E-2</v>
      </c>
      <c r="CO87" s="169">
        <v>2.691120634145272E-2</v>
      </c>
      <c r="CP87" s="169">
        <f t="shared" si="198"/>
        <v>2.86471269918806E-2</v>
      </c>
      <c r="CQ87" s="169">
        <f t="shared" si="202"/>
        <v>2.4663675041903175E-2</v>
      </c>
      <c r="CR87" s="69">
        <v>6.4575155250632399E-2</v>
      </c>
      <c r="CS87" s="179">
        <f t="shared" si="193"/>
        <v>0.84940815000000003</v>
      </c>
      <c r="CT87" s="180">
        <f t="shared" si="194"/>
        <v>0.92303077153834634</v>
      </c>
      <c r="CU87" s="180">
        <f t="shared" si="195"/>
        <v>0.52502249887505614</v>
      </c>
      <c r="CV87" s="180">
        <f t="shared" si="196"/>
        <v>0.88499666072084604</v>
      </c>
      <c r="CW87" s="180">
        <f t="shared" si="197"/>
        <v>0.42887993290280618</v>
      </c>
      <c r="CX87" s="181">
        <f>INDEX('State Tax Lookup'!$D$7:$Z$91,MATCH(Calculation!$C87,'State Tax Lookup'!$B$7:$B$91,0),MATCH($H87,'State Tax Lookup'!$D$6:$Z$6,0))</f>
        <v>0.40700500000000001</v>
      </c>
      <c r="CY87" s="72">
        <v>0.37</v>
      </c>
      <c r="CZ87" s="70">
        <f t="shared" si="200"/>
        <v>17.501802000219023</v>
      </c>
      <c r="DA87" s="70">
        <v>16.108943221861779</v>
      </c>
      <c r="DB87" s="69">
        <f t="shared" si="203"/>
        <v>7.0879678265299881E-2</v>
      </c>
      <c r="DC87" s="111">
        <f>VLOOKUP($H87,RoR!$E:$F,2,FALSE)</f>
        <v>5.5558333333333321E-2</v>
      </c>
      <c r="DD87" s="216">
        <f>HLOOKUP($H87,'GDP-PI'!$D$8:$CQ$11,3,FALSE)</f>
        <v>2.691120634145272E-2</v>
      </c>
      <c r="DE87" s="111">
        <f>VLOOKUP(H87,'HW Dx Data'!$E:$F,2,FALSE)</f>
        <v>498.0223154772637</v>
      </c>
      <c r="DF87" s="72">
        <f t="shared" si="212"/>
        <v>104.52499999999999</v>
      </c>
      <c r="DG87" s="69">
        <f t="shared" si="213"/>
        <v>-4.5584612745252218E-2</v>
      </c>
      <c r="DH87" s="66">
        <f>HLOOKUP(H87,'GDP-PI'!$8:$9,2,FALSE)</f>
        <v>92.498000000000005</v>
      </c>
      <c r="DI87" s="69">
        <f t="shared" si="204"/>
        <v>2.6555467950038037E-2</v>
      </c>
      <c r="DO87" s="184"/>
      <c r="DP87" s="184"/>
      <c r="DQ87" s="184"/>
      <c r="DR87" s="184"/>
      <c r="DS87" s="184"/>
      <c r="DT87" s="184"/>
      <c r="DU87" s="184"/>
      <c r="DV87" s="184"/>
      <c r="DW87" s="184"/>
      <c r="EB87">
        <f t="shared" si="199"/>
        <v>2007</v>
      </c>
    </row>
    <row r="88" spans="1:132" s="160" customFormat="1" ht="21">
      <c r="A88" s="160" t="s">
        <v>162</v>
      </c>
      <c r="B88" s="161" t="s">
        <v>163</v>
      </c>
      <c r="C88" s="161">
        <v>4057110</v>
      </c>
      <c r="D88" s="161" t="s">
        <v>164</v>
      </c>
      <c r="E88" s="161" t="s">
        <v>3</v>
      </c>
      <c r="F88" s="161"/>
      <c r="G88" s="161" t="s">
        <v>120</v>
      </c>
      <c r="H88" s="162">
        <v>2008</v>
      </c>
      <c r="I88" s="163"/>
      <c r="J88" s="159">
        <f>IFERROR(INDEX('Labor Expenditures'!$F$7:$X$91,MATCH($C88,'Labor Expenditures'!$D$7:$D$91,0),MATCH($G88,'Labor Expenditures'!$F$5:$X$5,0)),"NA")</f>
        <v>3246.3019385040448</v>
      </c>
      <c r="K88" s="159">
        <f t="shared" si="205"/>
        <v>30.086208883262692</v>
      </c>
      <c r="L88" s="165">
        <f t="shared" si="214"/>
        <v>1.5121263814905753E-2</v>
      </c>
      <c r="M88" s="76">
        <f t="shared" si="216"/>
        <v>2.0374710793437819E-5</v>
      </c>
      <c r="N88" s="62">
        <f t="shared" si="222"/>
        <v>96.171124476189277</v>
      </c>
      <c r="O88" s="96">
        <f t="shared" si="217"/>
        <v>-1.068877985025994E-2</v>
      </c>
      <c r="P88" s="96"/>
      <c r="Q88" s="159">
        <f>IFERROR(INDEX('Non-Labor Expenditures'!$F$7:$AB$91,MATCH($C88,'Non-Labor Expenditures'!$D$7:$D$91,0),MATCH($G88,'Non-Labor Expenditures'!$F$5:$AB$5,0)),"NA")</f>
        <v>4701.2515325197273</v>
      </c>
      <c r="R88" s="159">
        <f t="shared" si="206"/>
        <v>49.873244637610618</v>
      </c>
      <c r="S88" s="165">
        <f t="shared" si="218"/>
        <v>2.7987525088334079E-2</v>
      </c>
      <c r="T88" s="165">
        <f t="shared" si="219"/>
        <v>3.7710983452109438E-5</v>
      </c>
      <c r="U88" s="165"/>
      <c r="V88" s="165"/>
      <c r="W88" s="159">
        <f t="shared" si="187"/>
        <v>4164.3940401026002</v>
      </c>
      <c r="X88" s="163"/>
      <c r="Y88" s="167">
        <v>215.41950311803049</v>
      </c>
      <c r="Z88" s="168">
        <v>2.749799462772334E-2</v>
      </c>
      <c r="AA88" s="76">
        <f t="shared" si="207"/>
        <v>3.7051379752206374E-5</v>
      </c>
      <c r="AB88" s="168"/>
      <c r="AC88" s="168"/>
      <c r="AD88" s="163">
        <f t="shared" si="102"/>
        <v>12111.947511126371</v>
      </c>
      <c r="AE88" s="168">
        <f t="shared" si="220"/>
        <v>8.2570868008419035E-2</v>
      </c>
      <c r="AF88" s="163"/>
      <c r="AG88" s="163"/>
      <c r="AH88" s="163"/>
      <c r="AI88" s="163"/>
      <c r="AJ88" s="116">
        <f t="shared" si="221"/>
        <v>339.90816128662675</v>
      </c>
      <c r="AK88" s="114">
        <f>+AV88/$AX$13</f>
        <v>1.0142493306816869E-3</v>
      </c>
      <c r="AL88" s="115">
        <f t="shared" si="208"/>
        <v>0.26802476938757386</v>
      </c>
      <c r="AM88" s="115">
        <f t="shared" si="209"/>
        <v>0.38814992619486066</v>
      </c>
      <c r="AN88" s="115">
        <f t="shared" si="210"/>
        <v>0.34382530441756559</v>
      </c>
      <c r="AO88" s="115">
        <f t="shared" si="215"/>
        <v>2.4313952439817169E-2</v>
      </c>
      <c r="AP88" s="166">
        <f t="shared" ref="AP88:AP101" si="223">+AP87*EXP(AO88)</f>
        <v>101.51874438026609</v>
      </c>
      <c r="AQ88" s="168">
        <f t="shared" ref="AQ88:AQ101" si="224">LN(AP88/AP87)</f>
        <v>2.4313952439817162E-2</v>
      </c>
      <c r="AR88" s="69">
        <f>+AD88/$AF$13</f>
        <v>1.347421157572391E-3</v>
      </c>
      <c r="AS88" s="169">
        <f t="shared" ref="AS88:AS101" si="225">+AR88*AQ88</f>
        <v>3.2761133941618498E-5</v>
      </c>
      <c r="AT88" s="115"/>
      <c r="AU88" s="115"/>
      <c r="AV88" s="113">
        <f>IFERROR(INDEX('Total Customers'!$F$7:$AB$91,MATCH($C88,'Total Customers'!$D$7:$D$91,0),MATCH($G88,'Total Customers'!$F$5:$AB$5,0)),"NA")</f>
        <v>35633</v>
      </c>
      <c r="AW88" s="68">
        <f t="shared" si="180"/>
        <v>4.6412932644248001E-3</v>
      </c>
      <c r="AX88" s="114"/>
      <c r="AY88" s="114"/>
      <c r="AZ88" s="116">
        <v>8244107</v>
      </c>
      <c r="BA88" s="116"/>
      <c r="BB88" s="166"/>
      <c r="BC88" s="166"/>
      <c r="BD88" s="166"/>
      <c r="BE88" s="166"/>
      <c r="BF88" s="166"/>
      <c r="BG88" s="166"/>
      <c r="BH88" s="166"/>
      <c r="BI88" s="113"/>
      <c r="BJ88" s="113"/>
      <c r="BK88" s="113">
        <f>INDEX('Dist. Plant Gas Additions'!$F$7:$AE$91,MATCH($C88,'Dist. Plant Gas Additions'!$D$7:$D$91,0),MATCH(Calculation!$G88,'Dist. Plant Gas Additions'!$F$5:$AE$5,0))</f>
        <v>3233</v>
      </c>
      <c r="BL88" s="113">
        <f>INDEX('Gen. Plant Additions'!$F$7:$AE$91,MATCH($C88,'Gen. Plant Additions'!$D$7:$D$91,0),MATCH(Calculation!$G88,'Gen. Plant Additions'!$F$5:$AE$5,0))</f>
        <v>890</v>
      </c>
      <c r="BM88" s="231">
        <f t="shared" si="188"/>
        <v>0.82718920804744733</v>
      </c>
      <c r="BN88" s="61">
        <f t="shared" si="211"/>
        <v>736.19839516222817</v>
      </c>
      <c r="BO88" s="113"/>
      <c r="BP88" s="113"/>
      <c r="BQ88" s="175">
        <v>2008</v>
      </c>
      <c r="BR88" s="113"/>
      <c r="BS88" s="170">
        <v>564.37628257120275</v>
      </c>
      <c r="BT88" s="113"/>
      <c r="BU88" s="113"/>
      <c r="BV88" s="113"/>
      <c r="BW88" s="113">
        <f>INDEX('Gross Dx Plant'!$E$7:$AD$91,MATCH($C88,'Gross Dx Plant'!$D$7:$D$91,0),MATCH(Calculation!$G88,'Gross Dx Plant'!$E$5:$AD$5,0))</f>
        <v>56904</v>
      </c>
      <c r="BX88" s="113">
        <f>INDEX('Gross Gen Plant'!$E$7:$AD$91,MATCH($C88,'Gross Gen Plant'!$D$7:$D$91,0),MATCH(Calculation!$G88,'Gross Gen Plant'!$E$5:$AD$5,0))</f>
        <v>11888</v>
      </c>
      <c r="BY88" s="113">
        <f t="shared" si="182"/>
        <v>68792</v>
      </c>
      <c r="BZ88" s="113"/>
      <c r="CA88" s="116">
        <v>2008</v>
      </c>
      <c r="CB88" s="113"/>
      <c r="CC88" s="113"/>
      <c r="CD88" s="113"/>
      <c r="CE88" s="175"/>
      <c r="CF88" s="113">
        <f t="shared" si="189"/>
        <v>4123</v>
      </c>
      <c r="CG88" s="113">
        <f t="shared" si="190"/>
        <v>7.2348411842164895</v>
      </c>
      <c r="CH88" s="178">
        <v>0.94252873563218387</v>
      </c>
      <c r="CI88" s="61">
        <f>+CI78*CH88+CG79*CH87+CG80*CH86+CG81*CH85+CG82*CH84+CG83*CH83+CG84*CH82+CG85*CH81+CG86*CH80+CG87*CH79+CG88</f>
        <v>215.41950311803049</v>
      </c>
      <c r="CJ88" s="114">
        <f t="shared" si="191"/>
        <v>2.749799462772334E-2</v>
      </c>
      <c r="CK88" s="114"/>
      <c r="CL88" s="169">
        <f t="shared" si="192"/>
        <v>6.641672066769049E-3</v>
      </c>
      <c r="CM88" s="169">
        <f t="shared" si="201"/>
        <v>6.4386396426276684E-3</v>
      </c>
      <c r="CN88" s="114">
        <f>VLOOKUP($H88,RoR!$E:$F,2,FALSE)</f>
        <v>5.6316666666666668E-2</v>
      </c>
      <c r="CO88" s="169">
        <v>1.9092304698479889E-2</v>
      </c>
      <c r="CP88" s="169">
        <f t="shared" si="198"/>
        <v>3.7224361968186778E-2</v>
      </c>
      <c r="CQ88" s="169">
        <f t="shared" si="202"/>
        <v>2.4463301965905956E-2</v>
      </c>
      <c r="CR88" s="69">
        <v>6.9030581091053131E-2</v>
      </c>
      <c r="CS88" s="179">
        <f t="shared" si="193"/>
        <v>0.84940815000000003</v>
      </c>
      <c r="CT88" s="180">
        <f t="shared" si="194"/>
        <v>0.91060168006009956</v>
      </c>
      <c r="CU88" s="180">
        <f t="shared" si="195"/>
        <v>0.53108168097070152</v>
      </c>
      <c r="CV88" s="180">
        <f t="shared" si="196"/>
        <v>0.88825329850328805</v>
      </c>
      <c r="CW88" s="180">
        <f t="shared" si="197"/>
        <v>0.4295627335323573</v>
      </c>
      <c r="CX88" s="181">
        <f>INDEX('State Tax Lookup'!$D$7:$Z$91,MATCH(Calculation!$C88,'State Tax Lookup'!$B$7:$B$91,0),MATCH($H88,'State Tax Lookup'!$D$6:$Z$6,0))</f>
        <v>0.40700500000000001</v>
      </c>
      <c r="CY88" s="72">
        <v>0.37</v>
      </c>
      <c r="CZ88" s="70">
        <f t="shared" si="200"/>
        <v>19.870510450220298</v>
      </c>
      <c r="DA88" s="70">
        <v>18.300102035478151</v>
      </c>
      <c r="DB88" s="69">
        <f t="shared" si="203"/>
        <v>0.12693289865711321</v>
      </c>
      <c r="DC88" s="111">
        <f>VLOOKUP($H88,RoR!$E:$F,2,FALSE)</f>
        <v>5.6316666666666668E-2</v>
      </c>
      <c r="DD88" s="216">
        <f>HLOOKUP($H88,'GDP-PI'!$D$8:$CQ$11,3,FALSE)</f>
        <v>1.9092304698479889E-2</v>
      </c>
      <c r="DE88" s="111">
        <f>VLOOKUP(H88,'HW Dx Data'!$E:$F,2,FALSE)</f>
        <v>569.88120333515076</v>
      </c>
      <c r="DF88" s="72">
        <f t="shared" si="212"/>
        <v>107.9</v>
      </c>
      <c r="DG88" s="69">
        <f t="shared" si="213"/>
        <v>3.1778595021460486E-2</v>
      </c>
      <c r="DH88" s="66">
        <f>HLOOKUP(H88,'GDP-PI'!$8:$9,2,FALSE)</f>
        <v>94.263999999999996</v>
      </c>
      <c r="DI88" s="69">
        <f t="shared" si="204"/>
        <v>1.8912333748032254E-2</v>
      </c>
      <c r="DO88" s="184"/>
      <c r="DP88" s="184"/>
      <c r="DQ88" s="184"/>
      <c r="DR88" s="184"/>
      <c r="DS88" s="184"/>
      <c r="DT88" s="184"/>
      <c r="DU88" s="184"/>
      <c r="DV88" s="184"/>
      <c r="DW88" s="184"/>
      <c r="EB88">
        <f t="shared" si="199"/>
        <v>2008</v>
      </c>
    </row>
    <row r="89" spans="1:132" s="160" customFormat="1" ht="21">
      <c r="A89" s="160" t="s">
        <v>162</v>
      </c>
      <c r="B89" s="161" t="s">
        <v>163</v>
      </c>
      <c r="C89" s="161">
        <v>4057110</v>
      </c>
      <c r="D89" s="161" t="s">
        <v>164</v>
      </c>
      <c r="E89" s="161" t="s">
        <v>3</v>
      </c>
      <c r="F89" s="161"/>
      <c r="G89" s="161" t="s">
        <v>125</v>
      </c>
      <c r="H89" s="162">
        <v>2009</v>
      </c>
      <c r="I89" s="163"/>
      <c r="J89" s="159">
        <f>IFERROR(INDEX('Labor Expenditures'!$F$7:$X$91,MATCH($C89,'Labor Expenditures'!$D$7:$D$91,0),MATCH($G89,'Labor Expenditures'!$F$5:$X$5,0)),"NA")</f>
        <v>3456.5619686629871</v>
      </c>
      <c r="K89" s="159">
        <f t="shared" si="205"/>
        <v>31.161252816434413</v>
      </c>
      <c r="L89" s="165">
        <f t="shared" si="214"/>
        <v>3.5108535989206768E-2</v>
      </c>
      <c r="M89" s="76">
        <f t="shared" si="216"/>
        <v>4.7057813606380158E-5</v>
      </c>
      <c r="N89" s="62">
        <f t="shared" si="222"/>
        <v>100.98908174046385</v>
      </c>
      <c r="O89" s="96">
        <f t="shared" si="217"/>
        <v>4.888325817425028E-2</v>
      </c>
      <c r="P89" s="96"/>
      <c r="Q89" s="159">
        <f>IFERROR(INDEX('Non-Labor Expenditures'!$F$7:$AB$91,MATCH($C89,'Non-Labor Expenditures'!$D$7:$D$91,0),MATCH($G89,'Non-Labor Expenditures'!$F$5:$AB$5,0)),"NA")</f>
        <v>5005.7473273464657</v>
      </c>
      <c r="R89" s="159">
        <f t="shared" si="206"/>
        <v>52.692631789244793</v>
      </c>
      <c r="S89" s="165">
        <f t="shared" si="218"/>
        <v>5.4990952171781224E-2</v>
      </c>
      <c r="T89" s="165">
        <f t="shared" si="219"/>
        <v>7.3707259628615283E-5</v>
      </c>
      <c r="U89" s="165"/>
      <c r="V89" s="165"/>
      <c r="W89" s="159">
        <f t="shared" si="187"/>
        <v>4104.3459333751434</v>
      </c>
      <c r="X89" s="163"/>
      <c r="Y89" s="167">
        <v>219.46146582978585</v>
      </c>
      <c r="Z89" s="168">
        <v>1.8589358450650625E-2</v>
      </c>
      <c r="AA89" s="76">
        <f t="shared" si="207"/>
        <v>2.4916292872531975E-5</v>
      </c>
      <c r="AB89" s="168"/>
      <c r="AC89" s="168"/>
      <c r="AD89" s="163">
        <f t="shared" si="102"/>
        <v>12566.655229384596</v>
      </c>
      <c r="AE89" s="168">
        <f t="shared" si="220"/>
        <v>3.6854532596821532E-2</v>
      </c>
      <c r="AF89" s="163"/>
      <c r="AG89" s="163"/>
      <c r="AH89" s="163"/>
      <c r="AI89" s="163"/>
      <c r="AJ89" s="116">
        <f t="shared" si="221"/>
        <v>350.01685734853902</v>
      </c>
      <c r="AK89" s="114">
        <f>+AV89/$AX$14</f>
        <v>1.0206318121125512E-3</v>
      </c>
      <c r="AL89" s="115">
        <f t="shared" si="208"/>
        <v>0.27505823192956802</v>
      </c>
      <c r="AM89" s="115">
        <f t="shared" si="209"/>
        <v>0.39833569362526411</v>
      </c>
      <c r="AN89" s="115">
        <f t="shared" si="210"/>
        <v>0.32660607444516787</v>
      </c>
      <c r="AO89" s="115">
        <f t="shared" si="215"/>
        <v>3.7389665709217403E-2</v>
      </c>
      <c r="AP89" s="166">
        <f t="shared" si="223"/>
        <v>105.38634997460056</v>
      </c>
      <c r="AQ89" s="168">
        <f t="shared" si="224"/>
        <v>3.7389665709217305E-2</v>
      </c>
      <c r="AR89" s="69">
        <f>+AD89/$AF$14</f>
        <v>1.3403524892307355E-3</v>
      </c>
      <c r="AS89" s="169">
        <f t="shared" si="225"/>
        <v>5.0115331504854489E-5</v>
      </c>
      <c r="AT89" s="115"/>
      <c r="AU89" s="115"/>
      <c r="AV89" s="113">
        <f>IFERROR(INDEX('Total Customers'!$F$7:$AB$91,MATCH($C89,'Total Customers'!$D$7:$D$91,0),MATCH($G89,'Total Customers'!$F$5:$AB$5,0)),"NA")</f>
        <v>35903</v>
      </c>
      <c r="AW89" s="68">
        <f t="shared" si="180"/>
        <v>7.5486826802592319E-3</v>
      </c>
      <c r="AX89" s="114"/>
      <c r="AY89" s="114"/>
      <c r="AZ89" s="116">
        <v>8336812</v>
      </c>
      <c r="BA89" s="116"/>
      <c r="BB89" s="166"/>
      <c r="BC89" s="166"/>
      <c r="BD89" s="166"/>
      <c r="BE89" s="166"/>
      <c r="BF89" s="166"/>
      <c r="BG89" s="166"/>
      <c r="BH89" s="166"/>
      <c r="BI89" s="113"/>
      <c r="BJ89" s="113"/>
      <c r="BK89" s="113">
        <f>INDEX('Dist. Plant Gas Additions'!$F$7:$AE$91,MATCH($C89,'Dist. Plant Gas Additions'!$D$7:$D$91,0),MATCH(Calculation!$G89,'Dist. Plant Gas Additions'!$F$5:$AE$5,0))</f>
        <v>2270</v>
      </c>
      <c r="BL89" s="113">
        <f>INDEX('Gen. Plant Additions'!$F$7:$AE$91,MATCH($C89,'Gen. Plant Additions'!$D$7:$D$91,0),MATCH(Calculation!$G89,'Gen. Plant Additions'!$F$5:$AE$5,0))</f>
        <v>770</v>
      </c>
      <c r="BM89" s="231">
        <f t="shared" si="188"/>
        <v>0.82513777626271234</v>
      </c>
      <c r="BN89" s="61">
        <f t="shared" si="211"/>
        <v>635.35608772228852</v>
      </c>
      <c r="BO89" s="113"/>
      <c r="BP89" s="113"/>
      <c r="BQ89" s="175">
        <v>2009</v>
      </c>
      <c r="BR89" s="113"/>
      <c r="BS89" s="170">
        <v>543.92026153021129</v>
      </c>
      <c r="BT89" s="113"/>
      <c r="BU89" s="113"/>
      <c r="BV89" s="113"/>
      <c r="BW89" s="113">
        <f>INDEX('Gross Dx Plant'!$E$7:$AD$91,MATCH($C89,'Gross Dx Plant'!$D$7:$D$91,0),MATCH(Calculation!$G89,'Gross Dx Plant'!$E$5:$AD$5,0))</f>
        <v>58093</v>
      </c>
      <c r="BX89" s="113">
        <f>INDEX('Gross Gen Plant'!$E$7:$AD$91,MATCH($C89,'Gross Gen Plant'!$D$7:$D$91,0),MATCH(Calculation!$G89,'Gross Gen Plant'!$E$5:$AD$5,0))</f>
        <v>12311</v>
      </c>
      <c r="BY89" s="113">
        <f t="shared" si="182"/>
        <v>70404</v>
      </c>
      <c r="BZ89" s="113"/>
      <c r="CA89" s="116">
        <v>2009</v>
      </c>
      <c r="CB89" s="113"/>
      <c r="CC89" s="113"/>
      <c r="CD89" s="113"/>
      <c r="CE89" s="175"/>
      <c r="CF89" s="113">
        <f t="shared" si="189"/>
        <v>3040</v>
      </c>
      <c r="CG89" s="113">
        <f t="shared" si="190"/>
        <v>5.517835855554285</v>
      </c>
      <c r="CH89" s="178">
        <v>0.93567251461988299</v>
      </c>
      <c r="CI89" s="61">
        <f>+CI78*CH89+CG79*CH88+CG80*CH87+CG81*CH86+CG82*CH85+CG83*CH84+CG84*CH83+CG85*CH82+CG86*CH81+CG87*CH80+CG88*CH79+CG89</f>
        <v>219.46146582978585</v>
      </c>
      <c r="CJ89" s="114">
        <f t="shared" si="191"/>
        <v>1.8589358450650625E-2</v>
      </c>
      <c r="CK89" s="114"/>
      <c r="CL89" s="169">
        <f t="shared" si="192"/>
        <v>6.8511584254758919E-3</v>
      </c>
      <c r="CM89" s="169">
        <f t="shared" si="201"/>
        <v>6.6434232759976881E-3</v>
      </c>
      <c r="CN89" s="114">
        <f>VLOOKUP($H89,RoR!$E:$F,2,FALSE)</f>
        <v>5.3133333333333324E-2</v>
      </c>
      <c r="CO89" s="169">
        <v>7.7972502758210105E-3</v>
      </c>
      <c r="CP89" s="169">
        <f t="shared" si="198"/>
        <v>4.5336083057512314E-2</v>
      </c>
      <c r="CQ89" s="169">
        <f t="shared" si="202"/>
        <v>2.4258518332535936E-2</v>
      </c>
      <c r="CR89" s="69">
        <v>6.3720160300892073E-2</v>
      </c>
      <c r="CS89" s="179">
        <f t="shared" si="193"/>
        <v>0.84940815000000003</v>
      </c>
      <c r="CT89" s="180">
        <f t="shared" si="194"/>
        <v>0.96515780330083989</v>
      </c>
      <c r="CU89" s="180">
        <f t="shared" si="195"/>
        <v>0.50448557089084056</v>
      </c>
      <c r="CV89" s="180">
        <f t="shared" si="196"/>
        <v>0.87391435735465484</v>
      </c>
      <c r="CW89" s="180">
        <f t="shared" si="197"/>
        <v>0.42551605393279146</v>
      </c>
      <c r="CX89" s="181">
        <f>INDEX('State Tax Lookup'!$D$7:$Z$91,MATCH(Calculation!$C89,'State Tax Lookup'!$B$7:$B$91,0),MATCH($H89,'State Tax Lookup'!$D$6:$Z$6,0))</f>
        <v>0.40700500000000001</v>
      </c>
      <c r="CY89" s="72">
        <v>0.37</v>
      </c>
      <c r="CZ89" s="70">
        <f t="shared" si="200"/>
        <v>19.05280568364477</v>
      </c>
      <c r="DA89" s="70">
        <v>17.478615056163342</v>
      </c>
      <c r="DB89" s="69">
        <f t="shared" si="203"/>
        <v>-4.2022375017042639E-2</v>
      </c>
      <c r="DC89" s="111">
        <f>VLOOKUP($H89,RoR!$E:$F,2,FALSE)</f>
        <v>5.3133333333333324E-2</v>
      </c>
      <c r="DD89" s="216">
        <f>HLOOKUP($H89,'GDP-PI'!$D$8:$CQ$11,3,FALSE)</f>
        <v>7.7972502758210105E-3</v>
      </c>
      <c r="DE89" s="111">
        <f>VLOOKUP(H89,'HW Dx Data'!$E:$F,2,FALSE)</f>
        <v>550.94063679692806</v>
      </c>
      <c r="DF89" s="72">
        <f t="shared" si="212"/>
        <v>110.925</v>
      </c>
      <c r="DG89" s="69">
        <f t="shared" si="213"/>
        <v>2.7649425000884052E-2</v>
      </c>
      <c r="DH89" s="66">
        <f>HLOOKUP(H89,'GDP-PI'!$8:$9,2,FALSE)</f>
        <v>94.998999999999995</v>
      </c>
      <c r="DI89" s="69">
        <f t="shared" si="204"/>
        <v>7.7670088183096342E-3</v>
      </c>
      <c r="DO89" s="184"/>
      <c r="DP89" s="184"/>
      <c r="DQ89" s="184"/>
      <c r="DR89" s="184"/>
      <c r="DS89" s="184"/>
      <c r="DT89" s="184"/>
      <c r="DU89" s="184"/>
      <c r="DV89" s="184"/>
      <c r="DW89" s="184"/>
      <c r="EB89">
        <f t="shared" si="199"/>
        <v>2009</v>
      </c>
    </row>
    <row r="90" spans="1:132" s="160" customFormat="1" ht="21">
      <c r="A90" s="160" t="s">
        <v>162</v>
      </c>
      <c r="B90" s="161" t="s">
        <v>163</v>
      </c>
      <c r="C90" s="161">
        <v>4057110</v>
      </c>
      <c r="D90" s="161" t="s">
        <v>164</v>
      </c>
      <c r="E90" s="161" t="s">
        <v>3</v>
      </c>
      <c r="F90" s="161"/>
      <c r="G90" s="161" t="s">
        <v>126</v>
      </c>
      <c r="H90" s="162">
        <v>2010</v>
      </c>
      <c r="I90" s="163"/>
      <c r="J90" s="159">
        <f>IFERROR(INDEX('Labor Expenditures'!$F$7:$X$91,MATCH($C90,'Labor Expenditures'!$D$7:$D$91,0),MATCH($G90,'Labor Expenditures'!$F$5:$X$5,0)),"NA")</f>
        <v>3281.6767716305308</v>
      </c>
      <c r="K90" s="159">
        <f t="shared" si="205"/>
        <v>28.066510768702422</v>
      </c>
      <c r="L90" s="165">
        <f t="shared" si="214"/>
        <v>-0.10459834810781045</v>
      </c>
      <c r="M90" s="76">
        <f t="shared" si="216"/>
        <v>-1.3259832843525951E-4</v>
      </c>
      <c r="N90" s="62">
        <f t="shared" si="222"/>
        <v>98.862675010113321</v>
      </c>
      <c r="O90" s="96">
        <f t="shared" si="217"/>
        <v>-2.128064333674215E-2</v>
      </c>
      <c r="P90" s="96"/>
      <c r="Q90" s="159">
        <f>IFERROR(INDEX('Non-Labor Expenditures'!$F$7:$AB$91,MATCH($C90,'Non-Labor Expenditures'!$D$7:$D$91,0),MATCH($G90,'Non-Labor Expenditures'!$F$5:$AB$5,0)),"NA")</f>
        <v>4752.4808979943246</v>
      </c>
      <c r="R90" s="159">
        <f t="shared" si="206"/>
        <v>49.448864289445574</v>
      </c>
      <c r="S90" s="165">
        <f t="shared" si="218"/>
        <v>-6.3536540567984315E-2</v>
      </c>
      <c r="T90" s="165">
        <f t="shared" si="219"/>
        <v>-8.0544666586801321E-5</v>
      </c>
      <c r="U90" s="165"/>
      <c r="V90" s="165"/>
      <c r="W90" s="159">
        <f t="shared" si="187"/>
        <v>4285.3483563125883</v>
      </c>
      <c r="X90" s="163"/>
      <c r="Y90" s="167">
        <v>223.41986899992887</v>
      </c>
      <c r="Z90" s="168">
        <v>1.7876159005032269E-2</v>
      </c>
      <c r="AA90" s="76">
        <f t="shared" si="207"/>
        <v>2.2661436301719134E-5</v>
      </c>
      <c r="AB90" s="168"/>
      <c r="AC90" s="168"/>
      <c r="AD90" s="163">
        <f t="shared" si="102"/>
        <v>12319.506025937444</v>
      </c>
      <c r="AE90" s="168">
        <f t="shared" si="220"/>
        <v>-1.986303365264408E-2</v>
      </c>
      <c r="AF90" s="163"/>
      <c r="AG90" s="163"/>
      <c r="AH90" s="163"/>
      <c r="AI90" s="163"/>
      <c r="AJ90" s="116">
        <f t="shared" si="221"/>
        <v>342.71305048926041</v>
      </c>
      <c r="AK90" s="114">
        <f>+AV90/$AX$15</f>
        <v>1.0162914800977689E-3</v>
      </c>
      <c r="AL90" s="115">
        <f t="shared" si="208"/>
        <v>0.26638054843443398</v>
      </c>
      <c r="AM90" s="115">
        <f t="shared" si="209"/>
        <v>0.38576878715660096</v>
      </c>
      <c r="AN90" s="115">
        <f t="shared" si="210"/>
        <v>0.347850664408965</v>
      </c>
      <c r="AO90" s="115">
        <f t="shared" si="215"/>
        <v>-4.7198096137272723E-2</v>
      </c>
      <c r="AP90" s="166">
        <f t="shared" si="223"/>
        <v>100.52787223304549</v>
      </c>
      <c r="AQ90" s="168">
        <f t="shared" si="224"/>
        <v>-4.7198096137272716E-2</v>
      </c>
      <c r="AR90" s="69">
        <f>+AD90/$AF$15</f>
        <v>1.2676904638932655E-3</v>
      </c>
      <c r="AS90" s="169">
        <f t="shared" si="225"/>
        <v>-5.9832576387138192E-5</v>
      </c>
      <c r="AT90" s="115"/>
      <c r="AU90" s="115"/>
      <c r="AV90" s="113">
        <f>IFERROR(INDEX('Total Customers'!$F$7:$AB$91,MATCH($C90,'Total Customers'!$D$7:$D$91,0),MATCH($G90,'Total Customers'!$F$5:$AB$5,0)),"NA")</f>
        <v>35947</v>
      </c>
      <c r="AW90" s="68">
        <f t="shared" si="180"/>
        <v>1.2247739874811858E-3</v>
      </c>
      <c r="AX90" s="114"/>
      <c r="AY90" s="114"/>
      <c r="AZ90" s="116">
        <v>8403441</v>
      </c>
      <c r="BA90" s="116"/>
      <c r="BB90" s="166"/>
      <c r="BC90" s="166"/>
      <c r="BD90" s="166"/>
      <c r="BE90" s="166"/>
      <c r="BF90" s="166"/>
      <c r="BG90" s="166"/>
      <c r="BH90" s="166"/>
      <c r="BI90" s="113"/>
      <c r="BJ90" s="113"/>
      <c r="BK90" s="113">
        <f>INDEX('Dist. Plant Gas Additions'!$F$7:$AE$91,MATCH($C90,'Dist. Plant Gas Additions'!$D$7:$D$91,0),MATCH(Calculation!$G90,'Dist. Plant Gas Additions'!$F$5:$AE$5,0))</f>
        <v>2721</v>
      </c>
      <c r="BL90" s="113">
        <f>INDEX('Gen. Plant Additions'!$F$7:$AE$91,MATCH($C90,'Gen. Plant Additions'!$D$7:$D$91,0),MATCH(Calculation!$G90,'Gen. Plant Additions'!$F$5:$AE$5,0))</f>
        <v>416</v>
      </c>
      <c r="BM90" s="231">
        <f t="shared" si="188"/>
        <v>0.8326273548099431</v>
      </c>
      <c r="BN90" s="61">
        <f t="shared" si="211"/>
        <v>346.37297960093633</v>
      </c>
      <c r="BO90" s="113"/>
      <c r="BP90" s="113"/>
      <c r="BQ90" s="175">
        <v>2010</v>
      </c>
      <c r="BR90" s="113"/>
      <c r="BS90" s="170">
        <v>562.3890283662447</v>
      </c>
      <c r="BT90" s="113"/>
      <c r="BU90" s="113"/>
      <c r="BV90" s="113"/>
      <c r="BW90" s="113">
        <f>INDEX('Gross Dx Plant'!$E$7:$AD$91,MATCH($C90,'Gross Dx Plant'!$D$7:$D$91,0),MATCH(Calculation!$G90,'Gross Dx Plant'!$E$5:$AD$5,0))</f>
        <v>59756</v>
      </c>
      <c r="BX90" s="113">
        <f>INDEX('Gross Gen Plant'!$E$7:$AD$91,MATCH($C90,'Gross Gen Plant'!$D$7:$D$91,0),MATCH(Calculation!$G90,'Gross Gen Plant'!$E$5:$AD$5,0))</f>
        <v>12012</v>
      </c>
      <c r="BY90" s="113">
        <f t="shared" si="182"/>
        <v>71768</v>
      </c>
      <c r="BZ90" s="113"/>
      <c r="CA90" s="116">
        <v>2010</v>
      </c>
      <c r="CB90" s="113"/>
      <c r="CC90" s="113"/>
      <c r="CD90" s="113"/>
      <c r="CE90" s="175"/>
      <c r="CF90" s="113">
        <f t="shared" si="189"/>
        <v>3137</v>
      </c>
      <c r="CG90" s="113">
        <f t="shared" si="190"/>
        <v>5.5132827328125114</v>
      </c>
      <c r="CH90" s="178">
        <v>0.9285714285714286</v>
      </c>
      <c r="CI90" s="61">
        <f>+CI78*CH90+CG79*CH89+CG80*CH88+CG81*CH87+CG82*CH86+CG83*CH85+CG84*CH84+CG85*CH83+CG86*CH82+CG87*CH81+CG88*CH80+CG89*CH79+CG90</f>
        <v>223.41986899992887</v>
      </c>
      <c r="CJ90" s="114">
        <f t="shared" si="191"/>
        <v>1.7876159005032269E-2</v>
      </c>
      <c r="CK90" s="114"/>
      <c r="CL90" s="169">
        <f t="shared" si="192"/>
        <v>7.0849775690255343E-3</v>
      </c>
      <c r="CM90" s="169">
        <f t="shared" si="201"/>
        <v>6.8592693537568245E-3</v>
      </c>
      <c r="CN90" s="114">
        <f>VLOOKUP($H90,RoR!$E:$F,2,FALSE)</f>
        <v>4.9433333333333322E-2</v>
      </c>
      <c r="CO90" s="169">
        <v>1.1684333519300205E-2</v>
      </c>
      <c r="CP90" s="169">
        <f t="shared" si="198"/>
        <v>3.7748999814033117E-2</v>
      </c>
      <c r="CQ90" s="169">
        <f t="shared" si="202"/>
        <v>2.4042672254776801E-2</v>
      </c>
      <c r="CR90" s="69">
        <v>4.7937530248493419E-2</v>
      </c>
      <c r="CS90" s="179">
        <f t="shared" si="193"/>
        <v>0.84940815000000003</v>
      </c>
      <c r="CT90" s="180">
        <f t="shared" si="194"/>
        <v>1.037398205301105</v>
      </c>
      <c r="CU90" s="180">
        <f t="shared" si="195"/>
        <v>0.46926837491571133</v>
      </c>
      <c r="CV90" s="180">
        <f t="shared" si="196"/>
        <v>0.8548537519972772</v>
      </c>
      <c r="CW90" s="180">
        <f t="shared" si="197"/>
        <v>0.41615833911547367</v>
      </c>
      <c r="CX90" s="181">
        <f>INDEX('State Tax Lookup'!$D$7:$Z$91,MATCH(Calculation!$C90,'State Tax Lookup'!$B$7:$B$91,0),MATCH($H90,'State Tax Lookup'!$D$6:$Z$6,0))</f>
        <v>0.40700500000000001</v>
      </c>
      <c r="CY90" s="72">
        <v>0.37</v>
      </c>
      <c r="CZ90" s="70">
        <f t="shared" si="200"/>
        <v>19.526655124213473</v>
      </c>
      <c r="DA90" s="70">
        <v>17.956102603965455</v>
      </c>
      <c r="DB90" s="69">
        <f t="shared" si="203"/>
        <v>2.4566090909554139E-2</v>
      </c>
      <c r="DC90" s="111">
        <f>VLOOKUP($H90,RoR!$E:$F,2,FALSE)</f>
        <v>4.9433333333333322E-2</v>
      </c>
      <c r="DD90" s="216">
        <f>HLOOKUP($H90,'GDP-PI'!$D$8:$CQ$11,3,FALSE)</f>
        <v>1.1684333519300205E-2</v>
      </c>
      <c r="DE90" s="111">
        <f>VLOOKUP(H90,'HW Dx Data'!$E:$F,2,FALSE)</f>
        <v>568.98950262971744</v>
      </c>
      <c r="DF90" s="72">
        <f t="shared" si="212"/>
        <v>116.925</v>
      </c>
      <c r="DG90" s="69">
        <f t="shared" si="213"/>
        <v>5.2678406346976722E-2</v>
      </c>
      <c r="DH90" s="66">
        <f>HLOOKUP(H90,'GDP-PI'!$8:$9,2,FALSE)</f>
        <v>96.108999999999995</v>
      </c>
      <c r="DI90" s="69">
        <f t="shared" si="204"/>
        <v>1.1616598807150427E-2</v>
      </c>
      <c r="DO90" s="184"/>
      <c r="DP90" s="184"/>
      <c r="DQ90" s="184"/>
      <c r="DR90" s="184"/>
      <c r="DS90" s="184"/>
      <c r="DT90" s="184"/>
      <c r="DU90" s="184"/>
      <c r="DV90" s="184"/>
      <c r="DW90" s="184"/>
      <c r="EB90">
        <f t="shared" si="199"/>
        <v>2010</v>
      </c>
    </row>
    <row r="91" spans="1:132" s="160" customFormat="1" ht="21">
      <c r="A91" s="160" t="s">
        <v>162</v>
      </c>
      <c r="B91" s="161" t="s">
        <v>163</v>
      </c>
      <c r="C91" s="161">
        <v>4057110</v>
      </c>
      <c r="D91" s="161" t="s">
        <v>164</v>
      </c>
      <c r="E91" s="161" t="s">
        <v>3</v>
      </c>
      <c r="F91" s="161"/>
      <c r="G91" s="161" t="s">
        <v>127</v>
      </c>
      <c r="H91" s="162">
        <v>2011</v>
      </c>
      <c r="I91" s="163"/>
      <c r="J91" s="159">
        <f>IFERROR(INDEX('Labor Expenditures'!$F$7:$X$91,MATCH($C91,'Labor Expenditures'!$D$7:$D$91,0),MATCH($G91,'Labor Expenditures'!$F$5:$X$5,0)),"NA")</f>
        <v>3632.8982756353257</v>
      </c>
      <c r="K91" s="159">
        <f t="shared" si="205"/>
        <v>30.055001246207453</v>
      </c>
      <c r="L91" s="165">
        <f t="shared" si="214"/>
        <v>6.84519999499065E-2</v>
      </c>
      <c r="M91" s="76">
        <f t="shared" si="216"/>
        <v>9.0861100678581584E-5</v>
      </c>
      <c r="N91" s="62">
        <f t="shared" si="222"/>
        <v>98.036947338838132</v>
      </c>
      <c r="O91" s="96">
        <f t="shared" si="217"/>
        <v>-8.3873448011617911E-3</v>
      </c>
      <c r="P91" s="96"/>
      <c r="Q91" s="159">
        <f>IFERROR(INDEX('Non-Labor Expenditures'!$F$7:$AB$91,MATCH($C91,'Non-Labor Expenditures'!$D$7:$D$91,0),MATCH($G91,'Non-Labor Expenditures'!$F$5:$AB$5,0)),"NA")</f>
        <v>5261.1152349215063</v>
      </c>
      <c r="R91" s="159">
        <f t="shared" si="206"/>
        <v>53.623565261349341</v>
      </c>
      <c r="S91" s="165">
        <f t="shared" si="218"/>
        <v>8.1049530898566133E-2</v>
      </c>
      <c r="T91" s="165">
        <f t="shared" si="219"/>
        <v>1.0758267972178488E-4</v>
      </c>
      <c r="U91" s="165"/>
      <c r="V91" s="165"/>
      <c r="W91" s="159">
        <f t="shared" si="187"/>
        <v>4653.1421343565898</v>
      </c>
      <c r="X91" s="163"/>
      <c r="Y91" s="167">
        <v>229.51609158146954</v>
      </c>
      <c r="Z91" s="168">
        <v>2.6920321063414507E-2</v>
      </c>
      <c r="AA91" s="76">
        <f t="shared" si="207"/>
        <v>3.5733214577114586E-5</v>
      </c>
      <c r="AB91" s="168"/>
      <c r="AC91" s="168"/>
      <c r="AD91" s="163">
        <f t="shared" si="102"/>
        <v>13547.155644913422</v>
      </c>
      <c r="AE91" s="168">
        <f t="shared" si="220"/>
        <v>9.4992747781571685E-2</v>
      </c>
      <c r="AF91" s="163"/>
      <c r="AG91" s="163"/>
      <c r="AH91" s="163"/>
      <c r="AI91" s="163"/>
      <c r="AJ91" s="116">
        <f t="shared" si="221"/>
        <v>373.77650493635974</v>
      </c>
      <c r="AK91" s="114">
        <f>+AV91/$AX$16</f>
        <v>1.0197441360562185E-3</v>
      </c>
      <c r="AL91" s="115">
        <f t="shared" si="208"/>
        <v>0.26816686623065245</v>
      </c>
      <c r="AM91" s="115">
        <f t="shared" si="209"/>
        <v>0.38835570896366778</v>
      </c>
      <c r="AN91" s="115">
        <f t="shared" si="210"/>
        <v>0.34347742480567972</v>
      </c>
      <c r="AO91" s="115">
        <f t="shared" si="215"/>
        <v>5.8972020495664454E-2</v>
      </c>
      <c r="AP91" s="166">
        <f t="shared" si="223"/>
        <v>106.63449424707073</v>
      </c>
      <c r="AQ91" s="168">
        <f t="shared" si="224"/>
        <v>5.8972020495664523E-2</v>
      </c>
      <c r="AR91" s="69">
        <f>+AD91/$AF$16</f>
        <v>1.3273695545064303E-3</v>
      </c>
      <c r="AS91" s="169">
        <f t="shared" si="225"/>
        <v>7.82776645736743E-5</v>
      </c>
      <c r="AT91" s="115"/>
      <c r="AU91" s="115"/>
      <c r="AV91" s="113">
        <f>IFERROR(INDEX('Total Customers'!$F$7:$AB$91,MATCH($C91,'Total Customers'!$D$7:$D$91,0),MATCH($G91,'Total Customers'!$F$5:$AB$5,0)),"NA")</f>
        <v>36244</v>
      </c>
      <c r="AW91" s="68">
        <f t="shared" si="180"/>
        <v>8.2282189098882175E-3</v>
      </c>
      <c r="AX91" s="114"/>
      <c r="AY91" s="114"/>
      <c r="AZ91" s="116">
        <v>8437841</v>
      </c>
      <c r="BA91" s="116"/>
      <c r="BB91" s="166"/>
      <c r="BC91" s="166"/>
      <c r="BD91" s="166"/>
      <c r="BE91" s="166"/>
      <c r="BF91" s="166"/>
      <c r="BG91" s="166"/>
      <c r="BH91" s="166"/>
      <c r="BI91" s="113"/>
      <c r="BJ91" s="113"/>
      <c r="BK91" s="113">
        <f>INDEX('Dist. Plant Gas Additions'!$F$7:$AE$91,MATCH($C91,'Dist. Plant Gas Additions'!$D$7:$D$91,0),MATCH(Calculation!$G91,'Dist. Plant Gas Additions'!$F$5:$AE$5,0))</f>
        <v>3244</v>
      </c>
      <c r="BL91" s="113">
        <f>INDEX('Gen. Plant Additions'!$F$7:$AE$91,MATCH($C91,'Gen. Plant Additions'!$D$7:$D$91,0),MATCH(Calculation!$G91,'Gen. Plant Additions'!$F$5:$AE$5,0))</f>
        <v>1486</v>
      </c>
      <c r="BM91" s="231">
        <f t="shared" si="188"/>
        <v>0.82226021496825841</v>
      </c>
      <c r="BN91" s="61">
        <f t="shared" si="211"/>
        <v>1221.878679442832</v>
      </c>
      <c r="BO91" s="113"/>
      <c r="BP91" s="113"/>
      <c r="BQ91" s="175">
        <v>2011</v>
      </c>
      <c r="BR91" s="113"/>
      <c r="BS91" s="170">
        <v>604.63177932520034</v>
      </c>
      <c r="BT91" s="113"/>
      <c r="BU91" s="113"/>
      <c r="BV91" s="113"/>
      <c r="BW91" s="113">
        <f>INDEX('Gross Dx Plant'!$E$7:$AD$91,MATCH($C91,'Gross Dx Plant'!$D$7:$D$91,0),MATCH(Calculation!$G91,'Gross Dx Plant'!$E$5:$AD$5,0))</f>
        <v>62042</v>
      </c>
      <c r="BX91" s="113">
        <f>INDEX('Gross Gen Plant'!$E$7:$AD$91,MATCH($C91,'Gross Gen Plant'!$D$7:$D$91,0),MATCH(Calculation!$G91,'Gross Gen Plant'!$E$5:$AD$5,0))</f>
        <v>13411</v>
      </c>
      <c r="BY91" s="113">
        <f t="shared" si="182"/>
        <v>75453</v>
      </c>
      <c r="BZ91" s="113"/>
      <c r="CA91" s="116">
        <v>2011</v>
      </c>
      <c r="CB91" s="113"/>
      <c r="CC91" s="113"/>
      <c r="CD91" s="113"/>
      <c r="CE91" s="175"/>
      <c r="CF91" s="113">
        <f t="shared" si="189"/>
        <v>4730</v>
      </c>
      <c r="CG91" s="113">
        <f t="shared" si="190"/>
        <v>7.7336726393369055</v>
      </c>
      <c r="CH91" s="178">
        <v>0.92121212121212126</v>
      </c>
      <c r="CI91" s="61">
        <f>+CI78*CH91+CG79*CH90+CG80*CH89+CG81*CH88+CG82*CH87+CG83*CH86+CG84*CH85+CG85*CH84+CG86*CH83+CG87*CH82+CG88*CH81+CG89*CH80+CG90*CH79+CG91</f>
        <v>229.51609158146954</v>
      </c>
      <c r="CJ91" s="114">
        <f t="shared" si="191"/>
        <v>2.6920321063414507E-2</v>
      </c>
      <c r="CK91" s="114"/>
      <c r="CL91" s="169">
        <f t="shared" si="192"/>
        <v>7.3290261297071762E-3</v>
      </c>
      <c r="CM91" s="169">
        <f t="shared" si="201"/>
        <v>7.0883873747362011E-3</v>
      </c>
      <c r="CN91" s="114">
        <f>VLOOKUP($H91,RoR!$E:$F,2,FALSE)</f>
        <v>4.6391666666666664E-2</v>
      </c>
      <c r="CO91" s="169">
        <v>2.0840920205183799E-2</v>
      </c>
      <c r="CP91" s="169">
        <f t="shared" si="198"/>
        <v>2.5550746461482865E-2</v>
      </c>
      <c r="CQ91" s="169">
        <f t="shared" si="202"/>
        <v>2.3813554233797423E-2</v>
      </c>
      <c r="CR91" s="69">
        <v>2.4810540821321614E-2</v>
      </c>
      <c r="CS91" s="179">
        <f t="shared" si="193"/>
        <v>0.84940815000000003</v>
      </c>
      <c r="CT91" s="180">
        <f t="shared" si="194"/>
        <v>1.1054151524782025</v>
      </c>
      <c r="CU91" s="180">
        <f t="shared" si="195"/>
        <v>0.43611011316687626</v>
      </c>
      <c r="CV91" s="180">
        <f t="shared" si="196"/>
        <v>0.83698442246886229</v>
      </c>
      <c r="CW91" s="180">
        <f t="shared" si="197"/>
        <v>0.40349573304423936</v>
      </c>
      <c r="CX91" s="181">
        <f>INDEX('State Tax Lookup'!$D$7:$Z$91,MATCH(Calculation!$C91,'State Tax Lookup'!$B$7:$B$91,0),MATCH($H91,'State Tax Lookup'!$D$6:$Z$6,0))</f>
        <v>0.40700500000000001</v>
      </c>
      <c r="CY91" s="72">
        <v>0.37</v>
      </c>
      <c r="CZ91" s="70">
        <f t="shared" si="200"/>
        <v>20.826894918455402</v>
      </c>
      <c r="DA91" s="70">
        <v>19.146574949201604</v>
      </c>
      <c r="DB91" s="69">
        <f t="shared" si="203"/>
        <v>6.4464714777208804E-2</v>
      </c>
      <c r="DC91" s="111">
        <f>VLOOKUP($H91,RoR!$E:$F,2,FALSE)</f>
        <v>4.6391666666666664E-2</v>
      </c>
      <c r="DD91" s="216">
        <f>HLOOKUP($H91,'GDP-PI'!$D$8:$CQ$11,3,FALSE)</f>
        <v>2.0840920205183799E-2</v>
      </c>
      <c r="DE91" s="111">
        <f>VLOOKUP(H91,'HW Dx Data'!$E:$F,2,FALSE)</f>
        <v>611.61109612283201</v>
      </c>
      <c r="DF91" s="72">
        <f t="shared" si="212"/>
        <v>120.875</v>
      </c>
      <c r="DG91" s="69">
        <f t="shared" si="213"/>
        <v>3.3224250161508609E-2</v>
      </c>
      <c r="DH91" s="66">
        <f>HLOOKUP(H91,'GDP-PI'!$8:$9,2,FALSE)</f>
        <v>98.111999999999995</v>
      </c>
      <c r="DI91" s="69">
        <f t="shared" si="204"/>
        <v>2.0626719212849295E-2</v>
      </c>
      <c r="DO91" s="184"/>
      <c r="DP91" s="184"/>
      <c r="DQ91" s="184"/>
      <c r="DR91" s="184"/>
      <c r="DS91" s="184"/>
      <c r="DT91" s="184"/>
      <c r="DU91" s="184"/>
      <c r="DV91" s="184"/>
      <c r="DW91" s="184"/>
      <c r="EB91">
        <f t="shared" si="199"/>
        <v>2011</v>
      </c>
    </row>
    <row r="92" spans="1:132" s="160" customFormat="1" ht="21">
      <c r="A92" s="160" t="s">
        <v>162</v>
      </c>
      <c r="B92" s="161" t="s">
        <v>163</v>
      </c>
      <c r="C92" s="161">
        <v>4057110</v>
      </c>
      <c r="D92" s="161" t="s">
        <v>164</v>
      </c>
      <c r="E92" s="161" t="s">
        <v>3</v>
      </c>
      <c r="F92" s="161"/>
      <c r="G92" s="161" t="s">
        <v>128</v>
      </c>
      <c r="H92" s="162">
        <v>2012</v>
      </c>
      <c r="I92" s="163"/>
      <c r="J92" s="159">
        <f>IFERROR(INDEX('Labor Expenditures'!$F$7:$X$91,MATCH($C92,'Labor Expenditures'!$D$7:$D$91,0),MATCH($G92,'Labor Expenditures'!$F$5:$X$5,0)),"NA")</f>
        <v>3689.6609006826088</v>
      </c>
      <c r="K92" s="159">
        <f t="shared" si="205"/>
        <v>29.564590550341414</v>
      </c>
      <c r="L92" s="165">
        <f t="shared" si="214"/>
        <v>-1.6451697912863779E-2</v>
      </c>
      <c r="M92" s="76">
        <f t="shared" si="216"/>
        <v>-2.1839057482323374E-5</v>
      </c>
      <c r="N92" s="62">
        <f t="shared" si="222"/>
        <v>95.536790573185556</v>
      </c>
      <c r="O92" s="96">
        <f t="shared" si="217"/>
        <v>-2.5833006376165146E-2</v>
      </c>
      <c r="P92" s="96"/>
      <c r="Q92" s="159">
        <f>IFERROR(INDEX('Non-Labor Expenditures'!$F$7:$AB$91,MATCH($C92,'Non-Labor Expenditures'!$D$7:$D$91,0),MATCH($G92,'Non-Labor Expenditures'!$F$5:$AB$5,0)),"NA")</f>
        <v>5343.3181177859242</v>
      </c>
      <c r="R92" s="159">
        <f t="shared" si="206"/>
        <v>53.43318117785924</v>
      </c>
      <c r="S92" s="165">
        <f t="shared" si="218"/>
        <v>-3.5566984897373753E-3</v>
      </c>
      <c r="T92" s="165">
        <f t="shared" si="219"/>
        <v>-4.7213936929836465E-6</v>
      </c>
      <c r="U92" s="165"/>
      <c r="V92" s="165"/>
      <c r="W92" s="159">
        <f t="shared" si="187"/>
        <v>5162.9778767829412</v>
      </c>
      <c r="X92" s="163"/>
      <c r="Y92" s="167">
        <v>235.58184142389715</v>
      </c>
      <c r="Z92" s="168">
        <v>2.6085232188541398E-2</v>
      </c>
      <c r="AA92" s="76">
        <f t="shared" si="207"/>
        <v>3.4627239584789019E-5</v>
      </c>
      <c r="AB92" s="168"/>
      <c r="AC92" s="168"/>
      <c r="AD92" s="163">
        <f t="shared" si="102"/>
        <v>14195.956895251475</v>
      </c>
      <c r="AE92" s="168">
        <f t="shared" si="220"/>
        <v>4.6780588592822997E-2</v>
      </c>
      <c r="AF92" s="163"/>
      <c r="AG92" s="163"/>
      <c r="AH92" s="163"/>
      <c r="AI92" s="163"/>
      <c r="AJ92" s="116">
        <f t="shared" si="221"/>
        <v>387.16950022504432</v>
      </c>
      <c r="AK92" s="114">
        <f>+AV92/$AX$17</f>
        <v>1.026673490249416E-3</v>
      </c>
      <c r="AL92" s="115">
        <f t="shared" si="208"/>
        <v>0.25990927754343879</v>
      </c>
      <c r="AM92" s="115">
        <f t="shared" si="209"/>
        <v>0.37639717823976032</v>
      </c>
      <c r="AN92" s="115">
        <f t="shared" si="210"/>
        <v>0.36369354421680083</v>
      </c>
      <c r="AO92" s="115">
        <f t="shared" si="215"/>
        <v>3.5194871463235609E-3</v>
      </c>
      <c r="AP92" s="166">
        <f t="shared" si="223"/>
        <v>107.01045418393269</v>
      </c>
      <c r="AQ92" s="168">
        <f t="shared" si="224"/>
        <v>3.519487146323524E-3</v>
      </c>
      <c r="AR92" s="69">
        <f>+AD92/$AF$17</f>
        <v>1.3274652621263581E-3</v>
      </c>
      <c r="AS92" s="169">
        <f t="shared" si="225"/>
        <v>4.6719969272447043E-6</v>
      </c>
      <c r="AT92" s="115"/>
      <c r="AU92" s="115"/>
      <c r="AV92" s="113">
        <f>IFERROR(INDEX('Total Customers'!$F$7:$AB$91,MATCH($C92,'Total Customers'!$D$7:$D$91,0),MATCH($G92,'Total Customers'!$F$5:$AB$5,0)),"NA")</f>
        <v>36666</v>
      </c>
      <c r="AW92" s="68">
        <f t="shared" si="180"/>
        <v>1.1576044781019305E-2</v>
      </c>
      <c r="AX92" s="114"/>
      <c r="AY92" s="114"/>
      <c r="AZ92" s="116">
        <v>8485072</v>
      </c>
      <c r="BA92" s="116"/>
      <c r="BB92" s="166"/>
      <c r="BC92" s="166"/>
      <c r="BD92" s="166"/>
      <c r="BE92" s="166"/>
      <c r="BF92" s="166"/>
      <c r="BG92" s="166"/>
      <c r="BH92" s="166"/>
      <c r="BI92" s="113"/>
      <c r="BJ92" s="113"/>
      <c r="BK92" s="113">
        <f>INDEX('Dist. Plant Gas Additions'!$F$7:$AE$91,MATCH($C92,'Dist. Plant Gas Additions'!$D$7:$D$91,0),MATCH(Calculation!$G92,'Dist. Plant Gas Additions'!$F$5:$AE$5,0))</f>
        <v>4877</v>
      </c>
      <c r="BL92" s="113">
        <f>INDEX('Gen. Plant Additions'!$F$7:$AE$91,MATCH($C92,'Gen. Plant Additions'!$D$7:$D$91,0),MATCH(Calculation!$G92,'Gen. Plant Additions'!$F$5:$AE$5,0))</f>
        <v>341</v>
      </c>
      <c r="BM92" s="231">
        <f t="shared" si="188"/>
        <v>0.83101038715769593</v>
      </c>
      <c r="BN92" s="61">
        <f t="shared" si="211"/>
        <v>283.3745420207743</v>
      </c>
      <c r="BO92" s="113"/>
      <c r="BP92" s="113"/>
      <c r="BQ92" s="175">
        <v>2012</v>
      </c>
      <c r="BR92" s="113"/>
      <c r="BS92" s="170">
        <v>662.81812063483881</v>
      </c>
      <c r="BT92" s="113"/>
      <c r="BU92" s="113"/>
      <c r="BV92" s="113"/>
      <c r="BW92" s="113">
        <f>INDEX('Gross Dx Plant'!$E$7:$AD$91,MATCH($C92,'Gross Dx Plant'!$D$7:$D$91,0),MATCH(Calculation!$G92,'Gross Dx Plant'!$E$5:$AD$5,0))</f>
        <v>66003</v>
      </c>
      <c r="BX92" s="113">
        <f>INDEX('Gross Gen Plant'!$E$7:$AD$91,MATCH($C92,'Gross Gen Plant'!$D$7:$D$91,0),MATCH(Calculation!$G92,'Gross Gen Plant'!$E$5:$AD$5,0))</f>
        <v>13422</v>
      </c>
      <c r="BY92" s="113">
        <f t="shared" si="182"/>
        <v>79425</v>
      </c>
      <c r="BZ92" s="113"/>
      <c r="CA92" s="116">
        <v>2012</v>
      </c>
      <c r="CB92" s="113"/>
      <c r="CC92" s="113"/>
      <c r="CD92" s="113"/>
      <c r="CE92" s="175"/>
      <c r="CF92" s="113">
        <f t="shared" si="189"/>
        <v>5218</v>
      </c>
      <c r="CG92" s="113">
        <f t="shared" si="190"/>
        <v>7.8006417627767055</v>
      </c>
      <c r="CH92" s="178">
        <v>0.9135802469135802</v>
      </c>
      <c r="CI92" s="61">
        <f>+CI78*CH92+CG79*CH91+CG80*CH90+CG81*CH89+CG82*CH88+CG83*CH87+CG84*CH86+CG85*CH85+CG86*CH84+CG87*CH83+CG88*CH82+CG89*CH81+CG90*CH80+CG91*CH79+CG92</f>
        <v>235.58184142389715</v>
      </c>
      <c r="CJ92" s="114">
        <f t="shared" si="191"/>
        <v>2.6085232188541398E-2</v>
      </c>
      <c r="CK92" s="114"/>
      <c r="CL92" s="169">
        <f t="shared" si="192"/>
        <v>7.5589119193992431E-3</v>
      </c>
      <c r="CM92" s="169">
        <f t="shared" si="201"/>
        <v>7.3243052060439845E-3</v>
      </c>
      <c r="CN92" s="114">
        <f>VLOOKUP($H92,RoR!$E:$F,2,FALSE)</f>
        <v>3.6733333333333333E-2</v>
      </c>
      <c r="CO92" s="169">
        <v>1.924331376386168E-2</v>
      </c>
      <c r="CP92" s="169">
        <f t="shared" si="198"/>
        <v>1.7490019569471653E-2</v>
      </c>
      <c r="CQ92" s="169">
        <f t="shared" si="202"/>
        <v>2.3577636402489641E-2</v>
      </c>
      <c r="CR92" s="69">
        <v>6.7122682943869583E-2</v>
      </c>
      <c r="CS92" s="179">
        <f t="shared" si="193"/>
        <v>0.84940815000000003</v>
      </c>
      <c r="CT92" s="180">
        <f t="shared" si="194"/>
        <v>1.3960631020522127</v>
      </c>
      <c r="CU92" s="180">
        <f t="shared" si="195"/>
        <v>0.29441923774954631</v>
      </c>
      <c r="CV92" s="180">
        <f t="shared" si="196"/>
        <v>0.76377954189366437</v>
      </c>
      <c r="CW92" s="180">
        <f t="shared" si="197"/>
        <v>0.31393465103033691</v>
      </c>
      <c r="CX92" s="181">
        <f>INDEX('State Tax Lookup'!$D$7:$Z$91,MATCH(Calculation!$C92,'State Tax Lookup'!$B$7:$B$91,0),MATCH($H92,'State Tax Lookup'!$D$6:$Z$6,0))</f>
        <v>0.40700500000000001</v>
      </c>
      <c r="CY92" s="72">
        <v>0.37</v>
      </c>
      <c r="CZ92" s="70">
        <f t="shared" si="200"/>
        <v>22.49505836914393</v>
      </c>
      <c r="DA92" s="70">
        <v>20.759737328210988</v>
      </c>
      <c r="DB92" s="69">
        <f t="shared" si="203"/>
        <v>7.7050480654363415E-2</v>
      </c>
      <c r="DC92" s="111">
        <f>VLOOKUP($H92,RoR!$E:$F,2,FALSE)</f>
        <v>3.6733333333333333E-2</v>
      </c>
      <c r="DD92" s="216">
        <f>HLOOKUP($H92,'GDP-PI'!$D$8:$CQ$11,3,FALSE)</f>
        <v>1.924331376386168E-2</v>
      </c>
      <c r="DE92" s="111">
        <f>VLOOKUP(H92,'HW Dx Data'!$E:$F,2,FALSE)</f>
        <v>668.91932211262167</v>
      </c>
      <c r="DF92" s="72">
        <f t="shared" si="212"/>
        <v>124.80000000000001</v>
      </c>
      <c r="DG92" s="69">
        <f t="shared" si="213"/>
        <v>3.1955502161869064E-2</v>
      </c>
      <c r="DH92" s="66">
        <f>HLOOKUP(H92,'GDP-PI'!$8:$9,2,FALSE)</f>
        <v>100</v>
      </c>
      <c r="DI92" s="69">
        <f t="shared" si="204"/>
        <v>1.9060502738742411E-2</v>
      </c>
      <c r="DO92" s="184"/>
      <c r="DP92" s="184"/>
      <c r="DQ92" s="184"/>
      <c r="DR92" s="184"/>
      <c r="DS92" s="184"/>
      <c r="DT92" s="184"/>
      <c r="DU92" s="184"/>
      <c r="DV92" s="184"/>
      <c r="DW92" s="184"/>
      <c r="EB92">
        <f t="shared" si="199"/>
        <v>2012</v>
      </c>
    </row>
    <row r="93" spans="1:132" s="160" customFormat="1" ht="21">
      <c r="A93" s="160" t="s">
        <v>162</v>
      </c>
      <c r="B93" s="161" t="s">
        <v>163</v>
      </c>
      <c r="C93" s="161">
        <v>4057110</v>
      </c>
      <c r="D93" s="161" t="s">
        <v>164</v>
      </c>
      <c r="E93" s="161" t="s">
        <v>3</v>
      </c>
      <c r="F93" s="161"/>
      <c r="G93" s="161" t="s">
        <v>129</v>
      </c>
      <c r="H93" s="162">
        <v>2013</v>
      </c>
      <c r="I93" s="163"/>
      <c r="J93" s="159">
        <f>IFERROR(INDEX('Labor Expenditures'!$F$7:$X$91,MATCH($C93,'Labor Expenditures'!$D$7:$D$91,0),MATCH($G93,'Labor Expenditures'!$F$5:$X$5,0)),"NA")</f>
        <v>3713.808881639</v>
      </c>
      <c r="K93" s="159">
        <f t="shared" si="205"/>
        <v>29.288713577594638</v>
      </c>
      <c r="L93" s="165">
        <f t="shared" si="214"/>
        <v>-9.3751403587437228E-3</v>
      </c>
      <c r="M93" s="76">
        <f t="shared" si="216"/>
        <v>-1.2085607644835506E-5</v>
      </c>
      <c r="N93" s="62">
        <f t="shared" si="222"/>
        <v>99.110448266630129</v>
      </c>
      <c r="O93" s="96">
        <f t="shared" si="217"/>
        <v>3.6723452424453094E-2</v>
      </c>
      <c r="P93" s="96"/>
      <c r="Q93" s="159">
        <f>IFERROR(INDEX('Non-Labor Expenditures'!$F$7:$AB$91,MATCH($C93,'Non-Labor Expenditures'!$D$7:$D$91,0),MATCH($G93,'Non-Labor Expenditures'!$F$5:$AB$5,0)),"NA")</f>
        <v>5378.2889044314843</v>
      </c>
      <c r="R93" s="159">
        <f t="shared" si="206"/>
        <v>52.845930693125723</v>
      </c>
      <c r="S93" s="165">
        <f t="shared" si="218"/>
        <v>-1.1051211307455918E-2</v>
      </c>
      <c r="T93" s="165">
        <f t="shared" si="219"/>
        <v>-1.4246251122791624E-5</v>
      </c>
      <c r="U93" s="165"/>
      <c r="V93" s="165"/>
      <c r="W93" s="159">
        <f t="shared" si="187"/>
        <v>5205.7464322595297</v>
      </c>
      <c r="X93" s="163"/>
      <c r="Y93" s="167">
        <v>247.85560739076416</v>
      </c>
      <c r="Z93" s="168">
        <v>5.0787973286702183E-2</v>
      </c>
      <c r="AA93" s="76">
        <f t="shared" si="207"/>
        <v>6.5471395065248877E-5</v>
      </c>
      <c r="AB93" s="168"/>
      <c r="AC93" s="168"/>
      <c r="AD93" s="163">
        <f t="shared" si="102"/>
        <v>14297.844218330014</v>
      </c>
      <c r="AE93" s="168">
        <f t="shared" si="220"/>
        <v>7.1515735597594606E-3</v>
      </c>
      <c r="AF93" s="163"/>
      <c r="AG93" s="163"/>
      <c r="AH93" s="163"/>
      <c r="AI93" s="163"/>
      <c r="AJ93" s="116">
        <f t="shared" si="221"/>
        <v>379.65598030616076</v>
      </c>
      <c r="AK93" s="114">
        <f>+AV93/$AX$18</f>
        <v>1.0477854722958399E-3</v>
      </c>
      <c r="AL93" s="115">
        <f t="shared" si="208"/>
        <v>0.25974607254972404</v>
      </c>
      <c r="AM93" s="115">
        <f t="shared" si="209"/>
        <v>0.37616082692637337</v>
      </c>
      <c r="AN93" s="115">
        <f t="shared" si="210"/>
        <v>0.36409310052390265</v>
      </c>
      <c r="AO93" s="115">
        <f t="shared" si="215"/>
        <v>1.1887144645002755E-2</v>
      </c>
      <c r="AP93" s="166">
        <f t="shared" si="223"/>
        <v>108.29009349195242</v>
      </c>
      <c r="AQ93" s="168">
        <f t="shared" si="224"/>
        <v>1.1887144645002864E-2</v>
      </c>
      <c r="AR93" s="69">
        <f>+AD93/$AF$18</f>
        <v>1.2891121820447057E-3</v>
      </c>
      <c r="AS93" s="169">
        <f t="shared" si="225"/>
        <v>1.5323862971600682E-5</v>
      </c>
      <c r="AT93" s="115"/>
      <c r="AU93" s="115"/>
      <c r="AV93" s="113">
        <f>IFERROR(INDEX('Total Customers'!$F$7:$AB$91,MATCH($C93,'Total Customers'!$D$7:$D$91,0),MATCH($G93,'Total Customers'!$F$5:$AB$5,0)),"NA")</f>
        <v>37660</v>
      </c>
      <c r="AW93" s="68">
        <f t="shared" si="180"/>
        <v>2.6748628088172945E-2</v>
      </c>
      <c r="AX93" s="114"/>
      <c r="AY93" s="114"/>
      <c r="AZ93" s="116">
        <v>8534921</v>
      </c>
      <c r="BA93" s="116"/>
      <c r="BB93" s="166"/>
      <c r="BC93" s="166"/>
      <c r="BD93" s="166"/>
      <c r="BE93" s="166"/>
      <c r="BF93" s="166"/>
      <c r="BG93" s="166"/>
      <c r="BH93" s="166"/>
      <c r="BI93" s="113"/>
      <c r="BJ93" s="113"/>
      <c r="BK93" s="113">
        <f>INDEX('Dist. Plant Gas Additions'!$F$7:$AE$91,MATCH($C93,'Dist. Plant Gas Additions'!$D$7:$D$91,0),MATCH(Calculation!$G93,'Dist. Plant Gas Additions'!$F$5:$AE$5,0))</f>
        <v>6163</v>
      </c>
      <c r="BL93" s="113">
        <f>INDEX('Gen. Plant Additions'!$F$7:$AE$91,MATCH($C93,'Gen. Plant Additions'!$D$7:$D$91,0),MATCH(Calculation!$G93,'Gen. Plant Additions'!$F$5:$AE$5,0))</f>
        <v>3196</v>
      </c>
      <c r="BM93" s="231">
        <f t="shared" si="188"/>
        <v>0.81120199954555783</v>
      </c>
      <c r="BN93" s="61">
        <f t="shared" si="211"/>
        <v>2592.6015905476029</v>
      </c>
      <c r="BO93" s="113"/>
      <c r="BP93" s="113"/>
      <c r="BQ93" s="175">
        <v>2013</v>
      </c>
      <c r="BR93" s="113"/>
      <c r="BS93" s="170">
        <v>657.03626912475272</v>
      </c>
      <c r="BT93" s="113"/>
      <c r="BU93" s="113"/>
      <c r="BV93" s="113"/>
      <c r="BW93" s="113">
        <f>INDEX('Gross Dx Plant'!$E$7:$AD$91,MATCH($C93,'Gross Dx Plant'!$D$7:$D$91,0),MATCH(Calculation!$G93,'Gross Dx Plant'!$E$5:$AD$5,0))</f>
        <v>71402</v>
      </c>
      <c r="BX93" s="113">
        <f>INDEX('Gross Gen Plant'!$E$7:$AD$91,MATCH($C93,'Gross Gen Plant'!$D$7:$D$91,0),MATCH(Calculation!$G93,'Gross Gen Plant'!$E$5:$AD$5,0))</f>
        <v>16618</v>
      </c>
      <c r="BY93" s="113">
        <f t="shared" si="182"/>
        <v>88020</v>
      </c>
      <c r="BZ93" s="113"/>
      <c r="CA93" s="116">
        <v>2013</v>
      </c>
      <c r="CB93" s="113"/>
      <c r="CC93" s="113"/>
      <c r="CD93" s="113"/>
      <c r="CE93" s="175"/>
      <c r="CF93" s="113">
        <f t="shared" si="189"/>
        <v>9359</v>
      </c>
      <c r="CG93" s="113">
        <f t="shared" si="190"/>
        <v>14.110851865691084</v>
      </c>
      <c r="CH93" s="178">
        <v>0.90566037735849059</v>
      </c>
      <c r="CI93" s="61">
        <f>+CI78*CH93+CG79*CH92+CG80*CH91+CG81*CH90+CG82*CH89+CG83*CH88+CG84*CH87+CG85*CH86+CG86*CH85+CG87*CH84+CG88*CH83+CG89*CH82+CG90*CH81+CG91*CH80+CG92*CH79+CG93</f>
        <v>247.85560739076416</v>
      </c>
      <c r="CJ93" s="114">
        <f t="shared" si="191"/>
        <v>5.0787973286702183E-2</v>
      </c>
      <c r="CK93" s="114"/>
      <c r="CL93" s="169">
        <f t="shared" si="192"/>
        <v>7.7980793753898983E-3</v>
      </c>
      <c r="CM93" s="169">
        <f t="shared" si="201"/>
        <v>7.5620058081654383E-3</v>
      </c>
      <c r="CN93" s="114">
        <f>VLOOKUP($H93,RoR!$E:$F,2,FALSE)</f>
        <v>4.2350000000000006E-2</v>
      </c>
      <c r="CO93" s="169">
        <v>1.7730000000000024E-2</v>
      </c>
      <c r="CP93" s="169">
        <f t="shared" si="198"/>
        <v>2.4619999999999982E-2</v>
      </c>
      <c r="CQ93" s="169">
        <f t="shared" si="202"/>
        <v>2.3339935800368188E-2</v>
      </c>
      <c r="CR93" s="69">
        <v>5.3376742735721204E-2</v>
      </c>
      <c r="CS93" s="179">
        <f t="shared" si="193"/>
        <v>0.84940815000000003</v>
      </c>
      <c r="CT93" s="180">
        <f t="shared" si="194"/>
        <v>1.2109103018193925</v>
      </c>
      <c r="CU93" s="180">
        <f t="shared" si="195"/>
        <v>0.38468122786304604</v>
      </c>
      <c r="CV93" s="180">
        <f t="shared" si="196"/>
        <v>0.80969194503422559</v>
      </c>
      <c r="CW93" s="180">
        <f t="shared" si="197"/>
        <v>0.37716621754800816</v>
      </c>
      <c r="CX93" s="181">
        <f>INDEX('State Tax Lookup'!$D$7:$Z$91,MATCH(Calculation!$C93,'State Tax Lookup'!$B$7:$B$91,0),MATCH($H93,'State Tax Lookup'!$D$6:$Z$6,0))</f>
        <v>0.40700500000000001</v>
      </c>
      <c r="CY93" s="72">
        <v>0.37</v>
      </c>
      <c r="CZ93" s="70">
        <f t="shared" si="200"/>
        <v>22.097401059415713</v>
      </c>
      <c r="DA93" s="70">
        <v>20.339519021246105</v>
      </c>
      <c r="DB93" s="69">
        <f t="shared" si="203"/>
        <v>-1.783565456363009E-2</v>
      </c>
      <c r="DC93" s="111">
        <f>VLOOKUP($H93,RoR!$E:$F,2,FALSE)</f>
        <v>4.2350000000000006E-2</v>
      </c>
      <c r="DD93" s="216">
        <f>HLOOKUP($H93,'GDP-PI'!$D$8:$CQ$11,3,FALSE)</f>
        <v>1.7730000000000024E-2</v>
      </c>
      <c r="DE93" s="111">
        <f>VLOOKUP(H93,'HW Dx Data'!$E:$F,2,FALSE)</f>
        <v>663.24840548821396</v>
      </c>
      <c r="DF93" s="72">
        <f t="shared" si="212"/>
        <v>126.8</v>
      </c>
      <c r="DG93" s="69">
        <f t="shared" si="213"/>
        <v>1.5898586067798204E-2</v>
      </c>
      <c r="DH93" s="66">
        <f>HLOOKUP(H93,'GDP-PI'!$8:$9,2,FALSE)</f>
        <v>101.773</v>
      </c>
      <c r="DI93" s="69">
        <f t="shared" si="204"/>
        <v>1.7574657016510519E-2</v>
      </c>
      <c r="DO93" s="184"/>
      <c r="DP93" s="184"/>
      <c r="DQ93" s="184"/>
      <c r="DR93" s="184"/>
      <c r="DS93" s="184"/>
      <c r="DT93" s="184"/>
      <c r="DU93" s="184"/>
      <c r="DV93" s="184"/>
      <c r="DW93" s="184"/>
      <c r="EB93">
        <f t="shared" si="199"/>
        <v>2013</v>
      </c>
    </row>
    <row r="94" spans="1:132" s="160" customFormat="1" ht="21">
      <c r="A94" s="160" t="s">
        <v>162</v>
      </c>
      <c r="B94" s="161" t="s">
        <v>163</v>
      </c>
      <c r="C94" s="161">
        <v>4057110</v>
      </c>
      <c r="D94" s="161" t="s">
        <v>164</v>
      </c>
      <c r="E94" s="161" t="s">
        <v>3</v>
      </c>
      <c r="F94" s="161"/>
      <c r="G94" s="161" t="s">
        <v>130</v>
      </c>
      <c r="H94" s="162">
        <v>2014</v>
      </c>
      <c r="I94" s="163"/>
      <c r="J94" s="159">
        <f>IFERROR(INDEX('Labor Expenditures'!$F$7:$X$91,MATCH($C94,'Labor Expenditures'!$D$7:$D$91,0),MATCH($G94,'Labor Expenditures'!$F$5:$X$5,0)),"NA")</f>
        <v>4825.9965335007028</v>
      </c>
      <c r="K94" s="159">
        <f t="shared" si="205"/>
        <v>37.295181866311459</v>
      </c>
      <c r="L94" s="165">
        <f t="shared" si="214"/>
        <v>0.24166190613759087</v>
      </c>
      <c r="M94" s="76">
        <f t="shared" si="216"/>
        <v>3.697905773145912E-4</v>
      </c>
      <c r="N94" s="62">
        <f t="shared" si="222"/>
        <v>98.062327794440776</v>
      </c>
      <c r="O94" s="96">
        <f t="shared" si="217"/>
        <v>-1.0631592916606331E-2</v>
      </c>
      <c r="P94" s="96"/>
      <c r="Q94" s="159">
        <f>IFERROR(INDEX('Non-Labor Expenditures'!$F$7:$AB$91,MATCH($C94,'Non-Labor Expenditures'!$D$7:$D$91,0),MATCH($G94,'Non-Labor Expenditures'!$F$5:$AB$5,0)),"NA")</f>
        <v>6988.9443523267028</v>
      </c>
      <c r="R94" s="159">
        <f t="shared" si="206"/>
        <v>67.430261872767204</v>
      </c>
      <c r="S94" s="165">
        <f t="shared" si="218"/>
        <v>0.24371319430300944</v>
      </c>
      <c r="T94" s="165">
        <f t="shared" si="219"/>
        <v>3.7292945446346565E-4</v>
      </c>
      <c r="U94" s="165"/>
      <c r="V94" s="165"/>
      <c r="W94" s="159">
        <f t="shared" si="187"/>
        <v>5605.9681272575708</v>
      </c>
      <c r="X94" s="163"/>
      <c r="Y94" s="167">
        <v>255.15454681866169</v>
      </c>
      <c r="Z94" s="168">
        <v>2.9023079188922316E-2</v>
      </c>
      <c r="AA94" s="76">
        <f t="shared" si="207"/>
        <v>4.4411059153891325E-5</v>
      </c>
      <c r="AB94" s="168"/>
      <c r="AC94" s="168"/>
      <c r="AD94" s="163">
        <f t="shared" si="102"/>
        <v>17420.909013084976</v>
      </c>
      <c r="AE94" s="168">
        <f t="shared" si="220"/>
        <v>0.19756238027634659</v>
      </c>
      <c r="AF94" s="163"/>
      <c r="AG94" s="163"/>
      <c r="AH94" s="163"/>
      <c r="AI94" s="163"/>
      <c r="AJ94" s="116">
        <f t="shared" si="221"/>
        <v>448.42618891309888</v>
      </c>
      <c r="AK94" s="114">
        <f>+AV94/$AX$19</f>
        <v>1.0750902780833401E-3</v>
      </c>
      <c r="AL94" s="115">
        <f t="shared" si="208"/>
        <v>0.27702323282188435</v>
      </c>
      <c r="AM94" s="115">
        <f t="shared" si="209"/>
        <v>0.40118138192887948</v>
      </c>
      <c r="AN94" s="115">
        <f t="shared" si="210"/>
        <v>0.32179538524923618</v>
      </c>
      <c r="AO94" s="115">
        <f t="shared" si="215"/>
        <v>0.16953592105814405</v>
      </c>
      <c r="AP94" s="166">
        <f t="shared" si="223"/>
        <v>128.2972193103902</v>
      </c>
      <c r="AQ94" s="168">
        <f t="shared" si="224"/>
        <v>0.16953592105814383</v>
      </c>
      <c r="AR94" s="69">
        <f>+AD94/$AF$19</f>
        <v>1.5301980491043961E-3</v>
      </c>
      <c r="AS94" s="169">
        <f t="shared" si="225"/>
        <v>2.5942353565628858E-4</v>
      </c>
      <c r="AT94" s="115"/>
      <c r="AU94" s="115"/>
      <c r="AV94" s="113">
        <f>IFERROR(INDEX('Total Customers'!$F$7:$AB$91,MATCH($C94,'Total Customers'!$D$7:$D$91,0),MATCH($G94,'Total Customers'!$F$5:$AB$5,0)),"NA")</f>
        <v>38849</v>
      </c>
      <c r="AW94" s="68">
        <f t="shared" si="180"/>
        <v>3.1083813227629941E-2</v>
      </c>
      <c r="AX94" s="114"/>
      <c r="AY94" s="114"/>
      <c r="AZ94" s="116">
        <v>8599754</v>
      </c>
      <c r="BA94" s="116"/>
      <c r="BB94" s="166"/>
      <c r="BC94" s="166"/>
      <c r="BD94" s="166"/>
      <c r="BE94" s="166"/>
      <c r="BF94" s="166"/>
      <c r="BG94" s="166"/>
      <c r="BH94" s="166"/>
      <c r="BI94" s="113"/>
      <c r="BJ94" s="113"/>
      <c r="BK94" s="113">
        <f>INDEX('Dist. Plant Gas Additions'!$F$7:$AE$91,MATCH($C94,'Dist. Plant Gas Additions'!$D$7:$D$91,0),MATCH(Calculation!$G94,'Dist. Plant Gas Additions'!$F$5:$AE$5,0))</f>
        <v>4788</v>
      </c>
      <c r="BL94" s="113">
        <f>INDEX('Gen. Plant Additions'!$F$7:$AE$91,MATCH($C94,'Gen. Plant Additions'!$D$7:$D$91,0),MATCH(Calculation!$G94,'Gen. Plant Additions'!$F$5:$AE$5,0))</f>
        <v>1560</v>
      </c>
      <c r="BM94" s="231">
        <f t="shared" si="188"/>
        <v>0.80769354856055142</v>
      </c>
      <c r="BN94" s="61">
        <f t="shared" si="211"/>
        <v>1260.0019357544602</v>
      </c>
      <c r="BO94" s="113"/>
      <c r="BP94" s="113"/>
      <c r="BQ94" s="175">
        <v>2014</v>
      </c>
      <c r="BR94" s="113"/>
      <c r="BS94" s="170">
        <v>677.61141062376498</v>
      </c>
      <c r="BT94" s="113"/>
      <c r="BU94" s="113"/>
      <c r="BV94" s="113"/>
      <c r="BW94" s="113">
        <f>INDEX('Gross Dx Plant'!$E$7:$AD$91,MATCH($C94,'Gross Dx Plant'!$D$7:$D$91,0),MATCH(Calculation!$G94,'Gross Dx Plant'!$E$5:$AD$5,0))</f>
        <v>75105</v>
      </c>
      <c r="BX94" s="113">
        <f>INDEX('Gross Gen Plant'!$E$7:$AD$91,MATCH($C94,'Gross Gen Plant'!$D$7:$D$91,0),MATCH(Calculation!$G94,'Gross Gen Plant'!$E$5:$AD$5,0))</f>
        <v>17882</v>
      </c>
      <c r="BY94" s="113">
        <f t="shared" si="182"/>
        <v>92987</v>
      </c>
      <c r="BZ94" s="113"/>
      <c r="CA94" s="116">
        <v>2014</v>
      </c>
      <c r="CB94" s="113"/>
      <c r="CC94" s="113"/>
      <c r="CD94" s="113"/>
      <c r="CE94" s="175"/>
      <c r="CF94" s="113">
        <f t="shared" si="189"/>
        <v>6348</v>
      </c>
      <c r="CG94" s="113">
        <f t="shared" si="190"/>
        <v>9.2743406570004776</v>
      </c>
      <c r="CH94" s="178">
        <v>0.89743589743589747</v>
      </c>
      <c r="CI94" s="61">
        <f>+CI78*CH94+CG79*CH93+CG80*CH92+CG81*CH91+CG82*CH90+CG83*CH89+CG84*CH88+CG85*CH87+CG86*CH86+CG87*CH85+CG88*CH84+CG89*CH83+CG90*CH82+CG91*CH81+CG92*CH80+CG93*CH79+CG94</f>
        <v>255.15454681866169</v>
      </c>
      <c r="CJ94" s="114">
        <f t="shared" si="191"/>
        <v>2.9023079188922316E-2</v>
      </c>
      <c r="CK94" s="114"/>
      <c r="CL94" s="169">
        <f t="shared" si="192"/>
        <v>7.9699678772591868E-3</v>
      </c>
      <c r="CM94" s="169">
        <f t="shared" si="201"/>
        <v>7.7756530573494425E-3</v>
      </c>
      <c r="CN94" s="114">
        <f>VLOOKUP($H94,RoR!$E:$F,2,FALSE)</f>
        <v>4.1625000000000002E-2</v>
      </c>
      <c r="CO94" s="169">
        <v>1.841352814597208E-2</v>
      </c>
      <c r="CP94" s="169">
        <f t="shared" si="198"/>
        <v>2.3211471854027922E-2</v>
      </c>
      <c r="CQ94" s="169">
        <f t="shared" si="202"/>
        <v>2.3126288551184183E-2</v>
      </c>
      <c r="CR94" s="69">
        <v>3.9072621432650924E-2</v>
      </c>
      <c r="CS94" s="179">
        <f t="shared" si="193"/>
        <v>0.84940815000000003</v>
      </c>
      <c r="CT94" s="180">
        <f t="shared" si="194"/>
        <v>1.2320012320012319</v>
      </c>
      <c r="CU94" s="180">
        <f t="shared" si="195"/>
        <v>0.37439939939939942</v>
      </c>
      <c r="CV94" s="180">
        <f t="shared" si="196"/>
        <v>0.80432100613819935</v>
      </c>
      <c r="CW94" s="180">
        <f t="shared" si="197"/>
        <v>0.37100152660040037</v>
      </c>
      <c r="CX94" s="181">
        <f>INDEX('State Tax Lookup'!$D$7:$Z$91,MATCH(Calculation!$C94,'State Tax Lookup'!$B$7:$B$91,0),MATCH($H94,'State Tax Lookup'!$D$6:$Z$6,0))</f>
        <v>0.40700500000000001</v>
      </c>
      <c r="CY94" s="72">
        <v>0.37</v>
      </c>
      <c r="CZ94" s="70">
        <f t="shared" si="200"/>
        <v>22.617878958934806</v>
      </c>
      <c r="DA94" s="70">
        <v>20.763592984765573</v>
      </c>
      <c r="DB94" s="69">
        <f t="shared" si="203"/>
        <v>2.3280695410829635E-2</v>
      </c>
      <c r="DC94" s="111">
        <f>VLOOKUP($H94,RoR!$E:$F,2,FALSE)</f>
        <v>4.1625000000000002E-2</v>
      </c>
      <c r="DD94" s="216">
        <f>HLOOKUP($H94,'GDP-PI'!$D$8:$CQ$11,3,FALSE)</f>
        <v>1.841352814597208E-2</v>
      </c>
      <c r="DE94" s="111">
        <f>VLOOKUP(H94,'HW Dx Data'!$E:$F,2,FALSE)</f>
        <v>684.46914285042885</v>
      </c>
      <c r="DF94" s="72">
        <f t="shared" si="212"/>
        <v>129.4</v>
      </c>
      <c r="DG94" s="69">
        <f t="shared" si="213"/>
        <v>2.0297340063674733E-2</v>
      </c>
      <c r="DH94" s="66">
        <f>HLOOKUP(H94,'GDP-PI'!$8:$9,2,FALSE)</f>
        <v>103.64700000000001</v>
      </c>
      <c r="DI94" s="69">
        <f t="shared" si="204"/>
        <v>1.8246051898256087E-2</v>
      </c>
      <c r="DO94" s="184"/>
      <c r="DP94" s="184"/>
      <c r="DQ94" s="184"/>
      <c r="DR94" s="184"/>
      <c r="DS94" s="184"/>
      <c r="DT94" s="184"/>
      <c r="DU94" s="184"/>
      <c r="DV94" s="184"/>
      <c r="DW94" s="184"/>
      <c r="EB94">
        <f t="shared" si="199"/>
        <v>2014</v>
      </c>
    </row>
    <row r="95" spans="1:132" s="160" customFormat="1" ht="21">
      <c r="A95" s="160" t="s">
        <v>162</v>
      </c>
      <c r="B95" s="161" t="s">
        <v>163</v>
      </c>
      <c r="C95" s="161">
        <v>4057110</v>
      </c>
      <c r="D95" s="161" t="s">
        <v>164</v>
      </c>
      <c r="E95" s="161" t="s">
        <v>3</v>
      </c>
      <c r="F95" s="161"/>
      <c r="G95" s="161" t="s">
        <v>132</v>
      </c>
      <c r="H95" s="162">
        <v>2015</v>
      </c>
      <c r="I95" s="163"/>
      <c r="J95" s="159">
        <f>IFERROR(INDEX('Labor Expenditures'!$F$7:$X$91,MATCH($C95,'Labor Expenditures'!$D$7:$D$91,0),MATCH($G95,'Labor Expenditures'!$F$5:$X$5,0)),"NA")</f>
        <v>5705.7942234833481</v>
      </c>
      <c r="K95" s="159">
        <f t="shared" si="205"/>
        <v>42.740031636579388</v>
      </c>
      <c r="L95" s="165">
        <f t="shared" si="214"/>
        <v>0.13627184427948255</v>
      </c>
      <c r="M95" s="76">
        <f t="shared" si="216"/>
        <v>2.325955731949141E-4</v>
      </c>
      <c r="N95" s="62">
        <f t="shared" si="222"/>
        <v>95.894459835483531</v>
      </c>
      <c r="O95" s="96">
        <f t="shared" si="217"/>
        <v>-2.2355064415809072E-2</v>
      </c>
      <c r="P95" s="96"/>
      <c r="Q95" s="159">
        <f>IFERROR(INDEX('Non-Labor Expenditures'!$F$7:$AB$91,MATCH($C95,'Non-Labor Expenditures'!$D$7:$D$91,0),MATCH($G95,'Non-Labor Expenditures'!$F$5:$AB$5,0)),"NA")</f>
        <v>8263.055730963355</v>
      </c>
      <c r="R95" s="159">
        <f t="shared" si="206"/>
        <v>78.967265846991609</v>
      </c>
      <c r="S95" s="165">
        <f t="shared" si="218"/>
        <v>0.15793950386754349</v>
      </c>
      <c r="T95" s="165">
        <f t="shared" si="219"/>
        <v>2.6957901411276861E-4</v>
      </c>
      <c r="U95" s="165"/>
      <c r="V95" s="165"/>
      <c r="W95" s="159">
        <f t="shared" si="187"/>
        <v>5655.3439259507695</v>
      </c>
      <c r="X95" s="163"/>
      <c r="Y95" s="167">
        <v>262.35560826596935</v>
      </c>
      <c r="Z95" s="168">
        <v>2.783143941226288E-2</v>
      </c>
      <c r="AA95" s="76">
        <f t="shared" si="207"/>
        <v>4.750408741557973E-5</v>
      </c>
      <c r="AB95" s="168"/>
      <c r="AC95" s="168"/>
      <c r="AD95" s="163">
        <f t="shared" si="102"/>
        <v>19624.193880397474</v>
      </c>
      <c r="AE95" s="168">
        <f t="shared" si="220"/>
        <v>0.11909203445198181</v>
      </c>
      <c r="AF95" s="163"/>
      <c r="AG95" s="163"/>
      <c r="AH95" s="163"/>
      <c r="AI95" s="163"/>
      <c r="AJ95" s="116">
        <f t="shared" si="221"/>
        <v>497.97487516233946</v>
      </c>
      <c r="AK95" s="114">
        <f>+AV95/$AX$20</f>
        <v>1.081692130129803E-3</v>
      </c>
      <c r="AL95" s="115">
        <f t="shared" si="208"/>
        <v>0.29075304994733275</v>
      </c>
      <c r="AM95" s="115">
        <f t="shared" si="209"/>
        <v>0.42106472150263902</v>
      </c>
      <c r="AN95" s="115">
        <f t="shared" si="210"/>
        <v>0.28818222855002817</v>
      </c>
      <c r="AO95" s="115">
        <f t="shared" si="215"/>
        <v>0.112106808912698</v>
      </c>
      <c r="AP95" s="166">
        <f t="shared" si="223"/>
        <v>143.51741790442435</v>
      </c>
      <c r="AQ95" s="168">
        <f t="shared" si="224"/>
        <v>0.11210680891269799</v>
      </c>
      <c r="AR95" s="69">
        <f>+AD95/$AF$20</f>
        <v>1.7068498223145742E-3</v>
      </c>
      <c r="AS95" s="169">
        <f t="shared" si="225"/>
        <v>1.9134948687289248E-4</v>
      </c>
      <c r="AT95" s="115"/>
      <c r="AU95" s="115"/>
      <c r="AV95" s="113">
        <f>IFERROR(INDEX('Total Customers'!$F$7:$AB$91,MATCH($C95,'Total Customers'!$D$7:$D$91,0),MATCH($G95,'Total Customers'!$F$5:$AB$5,0)),"NA")</f>
        <v>39408</v>
      </c>
      <c r="AW95" s="68">
        <f t="shared" si="180"/>
        <v>1.4286504921545883E-2</v>
      </c>
      <c r="AX95" s="114"/>
      <c r="AY95" s="114"/>
      <c r="AZ95" s="116">
        <v>8659109</v>
      </c>
      <c r="BA95" s="116"/>
      <c r="BB95" s="166"/>
      <c r="BC95" s="166"/>
      <c r="BD95" s="166"/>
      <c r="BE95" s="166"/>
      <c r="BF95" s="166"/>
      <c r="BG95" s="166"/>
      <c r="BH95" s="166"/>
      <c r="BI95" s="113"/>
      <c r="BJ95" s="113"/>
      <c r="BK95" s="113">
        <f>INDEX('Dist. Plant Gas Additions'!$F$7:$AE$91,MATCH($C95,'Dist. Plant Gas Additions'!$D$7:$D$91,0),MATCH(Calculation!$G95,'Dist. Plant Gas Additions'!$F$5:$AE$5,0))</f>
        <v>4286</v>
      </c>
      <c r="BL95" s="113">
        <f>INDEX('Gen. Plant Additions'!$F$7:$AE$91,MATCH($C95,'Gen. Plant Additions'!$D$7:$D$91,0),MATCH(Calculation!$G95,'Gen. Plant Additions'!$F$5:$AE$5,0))</f>
        <v>1995</v>
      </c>
      <c r="BM95" s="231">
        <f t="shared" si="188"/>
        <v>0.80054820024824158</v>
      </c>
      <c r="BN95" s="61">
        <f t="shared" si="211"/>
        <v>1597.093659495242</v>
      </c>
      <c r="BO95" s="113"/>
      <c r="BP95" s="113"/>
      <c r="BQ95" s="175">
        <v>2015</v>
      </c>
      <c r="BR95" s="113"/>
      <c r="BS95" s="170">
        <v>667.87090625041685</v>
      </c>
      <c r="BT95" s="113"/>
      <c r="BU95" s="113"/>
      <c r="BV95" s="113"/>
      <c r="BW95" s="113">
        <f>INDEX('Gross Dx Plant'!$E$7:$AD$91,MATCH($C95,'Gross Dx Plant'!$D$7:$D$91,0),MATCH(Calculation!$G95,'Gross Dx Plant'!$E$5:$AD$5,0))</f>
        <v>77397</v>
      </c>
      <c r="BX95" s="113">
        <f>INDEX('Gross Gen Plant'!$E$7:$AD$91,MATCH($C95,'Gross Gen Plant'!$D$7:$D$91,0),MATCH(Calculation!$G95,'Gross Gen Plant'!$E$5:$AD$5,0))</f>
        <v>19283</v>
      </c>
      <c r="BY95" s="113">
        <f t="shared" si="182"/>
        <v>96680</v>
      </c>
      <c r="BZ95" s="113"/>
      <c r="CA95" s="116">
        <v>2015</v>
      </c>
      <c r="CB95" s="113"/>
      <c r="CC95" s="113"/>
      <c r="CD95" s="113"/>
      <c r="CE95" s="175"/>
      <c r="CF95" s="113">
        <f t="shared" si="189"/>
        <v>6281</v>
      </c>
      <c r="CG95" s="113">
        <f t="shared" si="190"/>
        <v>9.2967198938605087</v>
      </c>
      <c r="CH95" s="178">
        <v>0.88888888888888884</v>
      </c>
      <c r="CI95" s="61">
        <f>+CI78*CH95+CG79*CH94+CG80*CH93+CG81*CH92+CG82*CH91+CG83*CH90+CG84*CH89+CG85*CH88+CG86*CH87+CG87*CH86+CG88*CH85+CG89*CH84+CG90*CH83+CG91*CH82+CG92*CH81+CG93*CH80+CG94*CH79+CG95</f>
        <v>262.35560826596935</v>
      </c>
      <c r="CJ95" s="114">
        <f t="shared" si="191"/>
        <v>2.783143941226288E-2</v>
      </c>
      <c r="CK95" s="114"/>
      <c r="CL95" s="169">
        <f t="shared" si="192"/>
        <v>8.2132906220253529E-3</v>
      </c>
      <c r="CM95" s="169">
        <f t="shared" si="201"/>
        <v>7.9937792915581469E-3</v>
      </c>
      <c r="CN95" s="114">
        <f>VLOOKUP($H95,RoR!$E:$F,2,FALSE)</f>
        <v>3.8866666666666674E-2</v>
      </c>
      <c r="CO95" s="169">
        <v>9.5709475431029478E-3</v>
      </c>
      <c r="CP95" s="169">
        <f t="shared" si="198"/>
        <v>2.9295719123563727E-2</v>
      </c>
      <c r="CQ95" s="169">
        <f t="shared" si="202"/>
        <v>2.2908162316975476E-2</v>
      </c>
      <c r="CR95" s="69">
        <v>3.5270373279175926E-3</v>
      </c>
      <c r="CS95" s="179">
        <f t="shared" si="193"/>
        <v>0.84940815000000003</v>
      </c>
      <c r="CT95" s="180">
        <f t="shared" si="194"/>
        <v>1.3194352816994324</v>
      </c>
      <c r="CU95" s="180">
        <f t="shared" si="195"/>
        <v>0.33177530017152673</v>
      </c>
      <c r="CV95" s="180">
        <f t="shared" si="196"/>
        <v>0.78242572977668579</v>
      </c>
      <c r="CW95" s="180">
        <f t="shared" si="197"/>
        <v>0.34251158643433932</v>
      </c>
      <c r="CX95" s="181">
        <f>INDEX('State Tax Lookup'!$D$7:$Z$91,MATCH(Calculation!$C95,'State Tax Lookup'!$B$7:$B$91,0),MATCH($H95,'State Tax Lookup'!$D$6:$Z$6,0))</f>
        <v>0.40700500000000001</v>
      </c>
      <c r="CY95" s="72">
        <v>0.37</v>
      </c>
      <c r="CZ95" s="70">
        <f t="shared" si="200"/>
        <v>22.164386237530081</v>
      </c>
      <c r="DA95" s="70">
        <v>20.279488671080099</v>
      </c>
      <c r="DB95" s="69">
        <f t="shared" si="203"/>
        <v>-2.0253920698610907E-2</v>
      </c>
      <c r="DC95" s="111">
        <f>VLOOKUP($H95,RoR!$E:$F,2,FALSE)</f>
        <v>3.8866666666666674E-2</v>
      </c>
      <c r="DD95" s="216">
        <f>HLOOKUP($H95,'GDP-PI'!$D$8:$CQ$11,3,FALSE)</f>
        <v>9.5709475431029478E-3</v>
      </c>
      <c r="DE95" s="111">
        <f>VLOOKUP(H95,'HW Dx Data'!$E:$F,2,FALSE)</f>
        <v>675.61463308665782</v>
      </c>
      <c r="DF95" s="72">
        <f t="shared" si="212"/>
        <v>133.5</v>
      </c>
      <c r="DG95" s="69">
        <f t="shared" si="213"/>
        <v>3.1193095773504077E-2</v>
      </c>
      <c r="DH95" s="66">
        <f>HLOOKUP(H95,'GDP-PI'!$8:$9,2,FALSE)</f>
        <v>104.639</v>
      </c>
      <c r="DI95" s="69">
        <f t="shared" si="204"/>
        <v>9.5254361854427965E-3</v>
      </c>
      <c r="DO95" s="184"/>
      <c r="DP95" s="184"/>
      <c r="DQ95" s="184"/>
      <c r="DR95" s="184"/>
      <c r="DS95" s="184"/>
      <c r="DT95" s="184"/>
      <c r="DU95" s="184"/>
      <c r="DV95" s="184"/>
      <c r="DW95" s="184"/>
      <c r="EB95">
        <f t="shared" si="199"/>
        <v>2015</v>
      </c>
    </row>
    <row r="96" spans="1:132" s="160" customFormat="1" ht="21">
      <c r="A96" s="160" t="s">
        <v>162</v>
      </c>
      <c r="B96" s="161" t="s">
        <v>163</v>
      </c>
      <c r="C96" s="161">
        <v>4057110</v>
      </c>
      <c r="D96" s="161" t="s">
        <v>164</v>
      </c>
      <c r="E96" s="161" t="s">
        <v>3</v>
      </c>
      <c r="F96" s="161"/>
      <c r="G96" s="161" t="s">
        <v>133</v>
      </c>
      <c r="H96" s="162">
        <v>2016</v>
      </c>
      <c r="I96" s="163"/>
      <c r="J96" s="159">
        <f>IFERROR(INDEX('Labor Expenditures'!$F$7:$X$91,MATCH($C96,'Labor Expenditures'!$D$7:$D$91,0),MATCH($G96,'Labor Expenditures'!$F$5:$X$5,0)),"NA")</f>
        <v>4974.0093831415288</v>
      </c>
      <c r="K96" s="159">
        <f t="shared" si="205"/>
        <v>36.319893268649352</v>
      </c>
      <c r="L96" s="165">
        <f t="shared" si="214"/>
        <v>-0.16277037501055522</v>
      </c>
      <c r="M96" s="76">
        <f t="shared" si="216"/>
        <v>-2.4488311033920641E-4</v>
      </c>
      <c r="N96" s="62">
        <f t="shared" si="222"/>
        <v>96.922485713605909</v>
      </c>
      <c r="O96" s="96">
        <f t="shared" si="217"/>
        <v>1.0663332688861401E-2</v>
      </c>
      <c r="P96" s="96"/>
      <c r="Q96" s="159">
        <f>IFERROR(INDEX('Non-Labor Expenditures'!$F$7:$AB$91,MATCH($C96,'Non-Labor Expenditures'!$D$7:$D$91,0),MATCH($G96,'Non-Labor Expenditures'!$F$5:$AB$5,0)),"NA")</f>
        <v>7203.2946035935947</v>
      </c>
      <c r="R96" s="159">
        <f t="shared" si="206"/>
        <v>68.125279976484777</v>
      </c>
      <c r="S96" s="165">
        <f t="shared" si="218"/>
        <v>-0.14768504750897729</v>
      </c>
      <c r="T96" s="165">
        <f t="shared" si="219"/>
        <v>-2.2218769098643771E-4</v>
      </c>
      <c r="U96" s="165"/>
      <c r="V96" s="165"/>
      <c r="W96" s="159">
        <f t="shared" si="187"/>
        <v>5722.4909616892937</v>
      </c>
      <c r="X96" s="163"/>
      <c r="Y96" s="167">
        <v>279.67501213705123</v>
      </c>
      <c r="Z96" s="168">
        <v>6.3927391187550392E-2</v>
      </c>
      <c r="AA96" s="76">
        <f t="shared" si="207"/>
        <v>9.6176828178121143E-5</v>
      </c>
      <c r="AB96" s="168"/>
      <c r="AC96" s="168"/>
      <c r="AD96" s="163">
        <f t="shared" ref="AD96:AD162" si="226">+J96+Q96+W96</f>
        <v>17899.794948424416</v>
      </c>
      <c r="AE96" s="168">
        <f t="shared" si="220"/>
        <v>-9.1973929280921324E-2</v>
      </c>
      <c r="AF96" s="163"/>
      <c r="AG96" s="163"/>
      <c r="AH96" s="163"/>
      <c r="AI96" s="163"/>
      <c r="AJ96" s="116">
        <f t="shared" si="221"/>
        <v>451.74124137957847</v>
      </c>
      <c r="AK96" s="114">
        <f>+AV96/$AX$21</f>
        <v>1.0782224480885036E-3</v>
      </c>
      <c r="AL96" s="115">
        <f t="shared" si="208"/>
        <v>0.2778808024043512</v>
      </c>
      <c r="AM96" s="115">
        <f t="shared" si="209"/>
        <v>0.40242330285619538</v>
      </c>
      <c r="AN96" s="115">
        <f t="shared" si="210"/>
        <v>0.31969589473945348</v>
      </c>
      <c r="AO96" s="115">
        <f t="shared" si="215"/>
        <v>-8.765677540480396E-2</v>
      </c>
      <c r="AP96" s="166">
        <f t="shared" si="223"/>
        <v>131.47275338471877</v>
      </c>
      <c r="AQ96" s="168">
        <f t="shared" si="224"/>
        <v>-8.7656775404804044E-2</v>
      </c>
      <c r="AR96" s="69">
        <f>+AD96/$AF$21</f>
        <v>1.5044697803474766E-3</v>
      </c>
      <c r="AS96" s="169">
        <f t="shared" si="225"/>
        <v>-1.3187696963923363E-4</v>
      </c>
      <c r="AT96" s="115"/>
      <c r="AU96" s="115"/>
      <c r="AV96" s="113">
        <f>IFERROR(INDEX('Total Customers'!$F$7:$AB$91,MATCH($C96,'Total Customers'!$D$7:$D$91,0),MATCH($G96,'Total Customers'!$F$5:$AB$5,0)),"NA")</f>
        <v>39624</v>
      </c>
      <c r="AW96" s="68">
        <f t="shared" si="180"/>
        <v>5.466153907754393E-3</v>
      </c>
      <c r="AX96" s="114"/>
      <c r="AY96" s="114"/>
      <c r="AZ96" s="116">
        <v>8759079</v>
      </c>
      <c r="BA96" s="116"/>
      <c r="BB96" s="166"/>
      <c r="BC96" s="166"/>
      <c r="BD96" s="166"/>
      <c r="BE96" s="166"/>
      <c r="BF96" s="166"/>
      <c r="BG96" s="166"/>
      <c r="BH96" s="166"/>
      <c r="BI96" s="113"/>
      <c r="BJ96" s="113"/>
      <c r="BK96" s="113">
        <f>INDEX('Dist. Plant Gas Additions'!$F$7:$AE$91,MATCH($C96,'Dist. Plant Gas Additions'!$D$7:$D$91,0),MATCH(Calculation!$G96,'Dist. Plant Gas Additions'!$F$5:$AE$5,0))</f>
        <v>5372</v>
      </c>
      <c r="BL96" s="113">
        <f>INDEX('Gen. Plant Additions'!$F$7:$AE$91,MATCH($C96,'Gen. Plant Additions'!$D$7:$D$91,0),MATCH(Calculation!$G96,'Gen. Plant Additions'!$F$5:$AE$5,0))</f>
        <v>7749</v>
      </c>
      <c r="BM96" s="231">
        <f t="shared" si="188"/>
        <v>0.75728960339029894</v>
      </c>
      <c r="BN96" s="61">
        <f t="shared" si="211"/>
        <v>5868.237136671426</v>
      </c>
      <c r="BO96" s="113"/>
      <c r="BP96" s="113"/>
      <c r="BQ96" s="175">
        <v>2016</v>
      </c>
      <c r="BR96" s="113"/>
      <c r="BS96" s="170">
        <v>662.8869452508203</v>
      </c>
      <c r="BT96" s="113"/>
      <c r="BU96" s="113"/>
      <c r="BV96" s="113"/>
      <c r="BW96" s="113">
        <f>INDEX('Gross Dx Plant'!$E$7:$AD$91,MATCH($C96,'Gross Dx Plant'!$D$7:$D$91,0),MATCH(Calculation!$G96,'Gross Dx Plant'!$E$5:$AD$5,0))</f>
        <v>82200</v>
      </c>
      <c r="BX96" s="113">
        <f>INDEX('Gross Gen Plant'!$E$7:$AD$91,MATCH($C96,'Gross Gen Plant'!$D$7:$D$91,0),MATCH(Calculation!$G96,'Gross Gen Plant'!$E$5:$AD$5,0))</f>
        <v>26345</v>
      </c>
      <c r="BY96" s="113">
        <f t="shared" si="182"/>
        <v>108545</v>
      </c>
      <c r="BZ96" s="113"/>
      <c r="CA96" s="116">
        <v>2016</v>
      </c>
      <c r="CB96" s="113"/>
      <c r="CC96" s="113"/>
      <c r="CD96" s="113"/>
      <c r="CE96" s="175"/>
      <c r="CF96" s="113">
        <f t="shared" si="189"/>
        <v>13121</v>
      </c>
      <c r="CG96" s="113">
        <f t="shared" si="190"/>
        <v>19.541105155879087</v>
      </c>
      <c r="CH96" s="178">
        <v>0.88</v>
      </c>
      <c r="CI96" s="61">
        <f>+CI78*CH96+CG79*CH95+CG80*CH94+CG81*CH93+CG82*CH92+CG83*CH91+CG84*CH90+CG85*CH89+CG86*CH88+CG87*CH87+CG88*CH86+CG89*CH85+CG90*CH84+CG91*CH83+CG92*CH82+CG93*CH81+CG94*CH80+CG95*CH79+CG96</f>
        <v>279.67501213705123</v>
      </c>
      <c r="CJ96" s="114">
        <f t="shared" si="191"/>
        <v>6.3927391187550392E-2</v>
      </c>
      <c r="CK96" s="114"/>
      <c r="CL96" s="169">
        <f t="shared" si="192"/>
        <v>8.4682820370468679E-3</v>
      </c>
      <c r="CM96" s="169">
        <f t="shared" si="201"/>
        <v>8.2171801787771347E-3</v>
      </c>
      <c r="CN96" s="114">
        <f>VLOOKUP($H96,RoR!$E:$F,2,FALSE)</f>
        <v>3.6658333333333334E-2</v>
      </c>
      <c r="CO96" s="169">
        <v>1.0483662879041455E-2</v>
      </c>
      <c r="CP96" s="169">
        <f t="shared" si="198"/>
        <v>2.6174670454291879E-2</v>
      </c>
      <c r="CQ96" s="169">
        <f t="shared" si="202"/>
        <v>2.2684761429756492E-2</v>
      </c>
      <c r="CR96" s="69">
        <v>4.301363574220729E-3</v>
      </c>
      <c r="CS96" s="179">
        <f t="shared" si="193"/>
        <v>0.84940815000000003</v>
      </c>
      <c r="CT96" s="180">
        <f t="shared" si="194"/>
        <v>1.3989193348138562</v>
      </c>
      <c r="CU96" s="180">
        <f t="shared" si="195"/>
        <v>0.29302682427824522</v>
      </c>
      <c r="CV96" s="180">
        <f t="shared" si="196"/>
        <v>0.76309497491941802</v>
      </c>
      <c r="CW96" s="180">
        <f t="shared" si="197"/>
        <v>0.31280857135128509</v>
      </c>
      <c r="CX96" s="181">
        <f>INDEX('State Tax Lookup'!$D$7:$Z$91,MATCH(Calculation!$C96,'State Tax Lookup'!$B$7:$B$91,0),MATCH($H96,'State Tax Lookup'!$D$6:$Z$6,0))</f>
        <v>0.40700500000000001</v>
      </c>
      <c r="CY96" s="72">
        <v>0.37</v>
      </c>
      <c r="CZ96" s="70">
        <f t="shared" si="200"/>
        <v>21.811963538770552</v>
      </c>
      <c r="DA96" s="70">
        <v>19.909765876209278</v>
      </c>
      <c r="DB96" s="69">
        <f t="shared" si="203"/>
        <v>-1.6028171750034931E-2</v>
      </c>
      <c r="DC96" s="111">
        <f>VLOOKUP($H96,RoR!$E:$F,2,FALSE)</f>
        <v>3.6658333333333334E-2</v>
      </c>
      <c r="DD96" s="216">
        <f>HLOOKUP($H96,'GDP-PI'!$D$8:$CQ$11,3,FALSE)</f>
        <v>1.0483662879041455E-2</v>
      </c>
      <c r="DE96" s="111">
        <f>VLOOKUP(H96,'HW Dx Data'!$E:$F,2,FALSE)</f>
        <v>671.45639385971219</v>
      </c>
      <c r="DF96" s="72">
        <f t="shared" si="212"/>
        <v>136.94999999999999</v>
      </c>
      <c r="DG96" s="69">
        <f t="shared" si="213"/>
        <v>2.5514417868782811E-2</v>
      </c>
      <c r="DH96" s="66">
        <f>HLOOKUP(H96,'GDP-PI'!$8:$9,2,FALSE)</f>
        <v>105.736</v>
      </c>
      <c r="DI96" s="69">
        <f t="shared" si="204"/>
        <v>1.0429090367205095E-2</v>
      </c>
      <c r="DO96" s="184"/>
      <c r="DP96" s="184"/>
      <c r="DQ96" s="184"/>
      <c r="DR96" s="184"/>
      <c r="DS96" s="184"/>
      <c r="DT96" s="184"/>
      <c r="DU96" s="184"/>
      <c r="DV96" s="184"/>
      <c r="DW96" s="184"/>
      <c r="EB96">
        <f t="shared" si="199"/>
        <v>2016</v>
      </c>
    </row>
    <row r="97" spans="1:132" s="160" customFormat="1" ht="21">
      <c r="A97" s="160" t="s">
        <v>162</v>
      </c>
      <c r="B97" s="161" t="s">
        <v>163</v>
      </c>
      <c r="C97" s="161">
        <v>4057110</v>
      </c>
      <c r="D97" s="161" t="s">
        <v>164</v>
      </c>
      <c r="E97" s="161" t="s">
        <v>3</v>
      </c>
      <c r="F97" s="161"/>
      <c r="G97" s="161" t="s">
        <v>135</v>
      </c>
      <c r="H97" s="162">
        <v>2017</v>
      </c>
      <c r="I97" s="163"/>
      <c r="J97" s="159">
        <f>IFERROR(INDEX('Labor Expenditures'!$F$7:$X$91,MATCH($C97,'Labor Expenditures'!$D$7:$D$91,0),MATCH($G97,'Labor Expenditures'!$F$5:$X$5,0)),"NA")</f>
        <v>5336.991271977362</v>
      </c>
      <c r="K97" s="159">
        <f t="shared" si="205"/>
        <v>37.999225859575382</v>
      </c>
      <c r="L97" s="165">
        <f t="shared" si="214"/>
        <v>4.5200172312168385E-2</v>
      </c>
      <c r="M97" s="76">
        <f t="shared" si="216"/>
        <v>7.0876385516327836E-5</v>
      </c>
      <c r="N97" s="62">
        <f t="shared" si="222"/>
        <v>97.521078424459773</v>
      </c>
      <c r="O97" s="96">
        <f t="shared" si="217"/>
        <v>6.157000922025398E-3</v>
      </c>
      <c r="P97" s="96"/>
      <c r="Q97" s="159">
        <f>IFERROR(INDEX('Non-Labor Expenditures'!$F$7:$AB$91,MATCH($C97,'Non-Labor Expenditures'!$D$7:$D$91,0),MATCH($G97,'Non-Labor Expenditures'!$F$5:$AB$5,0)),"NA")</f>
        <v>7728.9601742930172</v>
      </c>
      <c r="R97" s="159">
        <f t="shared" si="206"/>
        <v>71.729823150532397</v>
      </c>
      <c r="S97" s="165">
        <f t="shared" si="218"/>
        <v>5.1558241925588798E-2</v>
      </c>
      <c r="T97" s="165">
        <f t="shared" si="219"/>
        <v>8.084619248848219E-5</v>
      </c>
      <c r="U97" s="165"/>
      <c r="V97" s="165"/>
      <c r="W97" s="159">
        <f t="shared" si="187"/>
        <v>5501.0334423822569</v>
      </c>
      <c r="X97" s="163"/>
      <c r="Y97" s="167">
        <v>293.31954952705229</v>
      </c>
      <c r="Z97" s="168">
        <v>4.7634369321404517E-2</v>
      </c>
      <c r="AA97" s="76">
        <f t="shared" si="207"/>
        <v>7.4693341886710211E-5</v>
      </c>
      <c r="AB97" s="168"/>
      <c r="AC97" s="168"/>
      <c r="AD97" s="163">
        <f t="shared" si="226"/>
        <v>18566.984888652638</v>
      </c>
      <c r="AE97" s="168">
        <f t="shared" si="220"/>
        <v>3.6595740157176787E-2</v>
      </c>
      <c r="AF97" s="163"/>
      <c r="AG97" s="163"/>
      <c r="AH97" s="163"/>
      <c r="AI97" s="163"/>
      <c r="AJ97" s="116">
        <f t="shared" si="221"/>
        <v>464.63926147779375</v>
      </c>
      <c r="AK97" s="114">
        <f>+AV97/$AX$22</f>
        <v>1.0791959115435288E-3</v>
      </c>
      <c r="AL97" s="115">
        <f t="shared" si="208"/>
        <v>0.28744523162934804</v>
      </c>
      <c r="AM97" s="115">
        <f t="shared" si="209"/>
        <v>0.41627438276295647</v>
      </c>
      <c r="AN97" s="115">
        <f t="shared" si="210"/>
        <v>0.29628038560769537</v>
      </c>
      <c r="AO97" s="115">
        <f t="shared" si="215"/>
        <v>4.8552544560615474E-2</v>
      </c>
      <c r="AP97" s="166">
        <f t="shared" si="223"/>
        <v>138.01359242146737</v>
      </c>
      <c r="AQ97" s="168">
        <f t="shared" si="224"/>
        <v>4.8552544560615418E-2</v>
      </c>
      <c r="AR97" s="69">
        <f>+AD97/$AF$22</f>
        <v>1.5680556487004172E-3</v>
      </c>
      <c r="AS97" s="169">
        <f t="shared" si="225"/>
        <v>7.6133091757051729E-5</v>
      </c>
      <c r="AT97" s="115"/>
      <c r="AU97" s="115"/>
      <c r="AV97" s="113">
        <f>IFERROR(INDEX('Total Customers'!$F$7:$AB$91,MATCH($C97,'Total Customers'!$D$7:$D$91,0),MATCH($G97,'Total Customers'!$F$5:$AB$5,0)),"NA")</f>
        <v>39960</v>
      </c>
      <c r="AW97" s="68">
        <f t="shared" si="180"/>
        <v>8.4439584944162958E-3</v>
      </c>
      <c r="AX97" s="114"/>
      <c r="AY97" s="114"/>
      <c r="AZ97" s="116">
        <v>8824403</v>
      </c>
      <c r="BA97" s="116"/>
      <c r="BB97" s="166"/>
      <c r="BC97" s="166"/>
      <c r="BD97" s="166"/>
      <c r="BE97" s="166"/>
      <c r="BF97" s="166"/>
      <c r="BG97" s="166"/>
      <c r="BH97" s="166"/>
      <c r="BI97" s="113"/>
      <c r="BJ97" s="113"/>
      <c r="BK97" s="113">
        <f>INDEX('Dist. Plant Gas Additions'!$F$7:$AE$91,MATCH($C97,'Dist. Plant Gas Additions'!$D$7:$D$91,0),MATCH(Calculation!$G97,'Dist. Plant Gas Additions'!$F$5:$AE$5,0))</f>
        <v>4743</v>
      </c>
      <c r="BL97" s="113">
        <f>INDEX('Gen. Plant Additions'!$F$7:$AE$91,MATCH($C97,'Gen. Plant Additions'!$D$7:$D$91,0),MATCH(Calculation!$G97,'Gen. Plant Additions'!$F$5:$AE$5,0))</f>
        <v>6691</v>
      </c>
      <c r="BM97" s="231">
        <f t="shared" si="188"/>
        <v>0.72532891973182334</v>
      </c>
      <c r="BN97" s="61">
        <f t="shared" si="211"/>
        <v>4853.1758019256304</v>
      </c>
      <c r="BO97" s="113"/>
      <c r="BP97" s="113"/>
      <c r="BQ97" s="175">
        <v>2017</v>
      </c>
      <c r="BR97" s="113"/>
      <c r="BS97" s="170">
        <v>704.58067642135154</v>
      </c>
      <c r="BT97" s="113"/>
      <c r="BU97" s="113"/>
      <c r="BV97" s="113"/>
      <c r="BW97" s="113">
        <f>INDEX('Gross Dx Plant'!$E$7:$AD$91,MATCH($C97,'Gross Dx Plant'!$D$7:$D$91,0),MATCH(Calculation!$G97,'Gross Dx Plant'!$E$5:$AD$5,0))</f>
        <v>86333</v>
      </c>
      <c r="BX97" s="113">
        <f>INDEX('Gross Gen Plant'!$E$7:$AD$91,MATCH($C97,'Gross Gen Plant'!$D$7:$D$91,0),MATCH(Calculation!$G97,'Gross Gen Plant'!$E$5:$AD$5,0))</f>
        <v>32693</v>
      </c>
      <c r="BY97" s="113">
        <f t="shared" si="182"/>
        <v>119026</v>
      </c>
      <c r="BZ97" s="113"/>
      <c r="CA97" s="116">
        <v>2017</v>
      </c>
      <c r="CB97" s="113"/>
      <c r="CC97" s="113"/>
      <c r="CD97" s="113"/>
      <c r="CE97" s="175"/>
      <c r="CF97" s="113">
        <f t="shared" si="189"/>
        <v>11434</v>
      </c>
      <c r="CG97" s="113">
        <f t="shared" si="190"/>
        <v>16.049327976961028</v>
      </c>
      <c r="CH97" s="178">
        <v>0.87074829931972786</v>
      </c>
      <c r="CI97" s="61">
        <f>+CI78*CH97+CG79*CH96+CG80*CH95+CG81*CH94+CG82*CH93+CG83*CH92+CG84*CH91+CG85*CH90+CG86*CH89+CG87*CH88+CG88*CH87+CG89*CH86+CG90*CH85+CG91*CH84+CG92*CH83+CG93*CH82+CG94*CH81+CG95*CH80+CG96*CH79+CG97</f>
        <v>293.31954952705229</v>
      </c>
      <c r="CJ97" s="114">
        <f t="shared" si="191"/>
        <v>4.7634369321404517E-2</v>
      </c>
      <c r="CK97" s="114"/>
      <c r="CL97" s="169">
        <f t="shared" si="192"/>
        <v>8.5985178603711927E-3</v>
      </c>
      <c r="CM97" s="169">
        <f t="shared" si="201"/>
        <v>8.4266968398144706E-3</v>
      </c>
      <c r="CN97" s="114">
        <f>VLOOKUP($H97,RoR!$E:$F,2,FALSE)</f>
        <v>3.7433333333333339E-2</v>
      </c>
      <c r="CO97" s="169">
        <v>1.9056896421275615E-2</v>
      </c>
      <c r="CP97" s="169">
        <f t="shared" si="198"/>
        <v>1.8376436912057724E-2</v>
      </c>
      <c r="CQ97" s="169">
        <f t="shared" si="202"/>
        <v>2.2475244768719156E-2</v>
      </c>
      <c r="CR97" s="69">
        <v>1.3976271617800498E-2</v>
      </c>
      <c r="CS97" s="179">
        <f t="shared" si="193"/>
        <v>0.90120814999999999</v>
      </c>
      <c r="CT97" s="180">
        <f t="shared" si="194"/>
        <v>1.3699568463593395</v>
      </c>
      <c r="CU97" s="180">
        <f t="shared" si="195"/>
        <v>0.30714603739982199</v>
      </c>
      <c r="CV97" s="180">
        <f t="shared" si="196"/>
        <v>0.77007188472689425</v>
      </c>
      <c r="CW97" s="180">
        <f t="shared" si="197"/>
        <v>0.32402839633793828</v>
      </c>
      <c r="CX97" s="181">
        <f>INDEX('State Tax Lookup'!$D$7:$Z$91,MATCH(Calculation!$C97,'State Tax Lookup'!$B$7:$B$91,0),MATCH($H97,'State Tax Lookup'!$D$6:$Z$6,0))</f>
        <v>0.26700499999999999</v>
      </c>
      <c r="CY97" s="72">
        <v>0.37</v>
      </c>
      <c r="CZ97" s="70">
        <f t="shared" si="200"/>
        <v>19.669377683575622</v>
      </c>
      <c r="DA97" s="70">
        <v>18.231812616449311</v>
      </c>
      <c r="DB97" s="69">
        <f t="shared" si="203"/>
        <v>-0.10339561139430314</v>
      </c>
      <c r="DC97" s="111">
        <f>VLOOKUP($H97,RoR!$E:$F,2,FALSE)</f>
        <v>3.7433333333333339E-2</v>
      </c>
      <c r="DD97" s="216">
        <f>HLOOKUP($H97,'GDP-PI'!$D$8:$CQ$11,3,FALSE)</f>
        <v>1.9056896421275615E-2</v>
      </c>
      <c r="DE97" s="111">
        <f>VLOOKUP(H97,'HW Dx Data'!$E:$F,2,FALSE)</f>
        <v>712.42858370229726</v>
      </c>
      <c r="DF97" s="72">
        <f t="shared" si="212"/>
        <v>140.44999999999999</v>
      </c>
      <c r="DG97" s="69">
        <f t="shared" si="213"/>
        <v>2.5235657841165486E-2</v>
      </c>
      <c r="DH97" s="66">
        <f>HLOOKUP(H97,'GDP-PI'!$8:$9,2,FALSE)</f>
        <v>107.751</v>
      </c>
      <c r="DI97" s="69">
        <f t="shared" si="204"/>
        <v>1.8877588227745139E-2</v>
      </c>
      <c r="DO97" s="184"/>
      <c r="DP97" s="184"/>
      <c r="DQ97" s="184"/>
      <c r="DR97" s="184"/>
      <c r="DS97" s="184"/>
      <c r="DT97" s="184"/>
      <c r="DU97" s="184"/>
      <c r="DV97" s="184"/>
      <c r="DW97" s="184"/>
      <c r="EB97">
        <f t="shared" si="199"/>
        <v>2017</v>
      </c>
    </row>
    <row r="98" spans="1:132" s="160" customFormat="1" ht="21">
      <c r="A98" s="160" t="s">
        <v>162</v>
      </c>
      <c r="B98" s="161" t="s">
        <v>163</v>
      </c>
      <c r="C98" s="161">
        <v>4057110</v>
      </c>
      <c r="D98" s="161" t="s">
        <v>164</v>
      </c>
      <c r="E98" s="161" t="s">
        <v>3</v>
      </c>
      <c r="F98" s="161"/>
      <c r="G98" s="161" t="s">
        <v>136</v>
      </c>
      <c r="H98" s="162">
        <v>2018</v>
      </c>
      <c r="I98" s="163"/>
      <c r="J98" s="159">
        <f>IFERROR(INDEX('Labor Expenditures'!$F$7:$X$91,MATCH($C98,'Labor Expenditures'!$D$7:$D$91,0),MATCH($G98,'Labor Expenditures'!$F$5:$X$5,0)),"NA")</f>
        <v>5275.506860945422</v>
      </c>
      <c r="K98" s="159">
        <f t="shared" si="205"/>
        <v>36.521335139809082</v>
      </c>
      <c r="L98" s="165">
        <f t="shared" si="214"/>
        <v>-3.9669173203489616E-2</v>
      </c>
      <c r="M98" s="76">
        <f t="shared" si="216"/>
        <v>-5.8467997465551549E-5</v>
      </c>
      <c r="N98" s="62">
        <f t="shared" si="222"/>
        <v>103.03189053162268</v>
      </c>
      <c r="O98" s="96">
        <f t="shared" si="217"/>
        <v>5.4970013512960603E-2</v>
      </c>
      <c r="P98" s="96"/>
      <c r="Q98" s="159">
        <f>IFERROR(INDEX('Non-Labor Expenditures'!$F$7:$AB$91,MATCH($C98,'Non-Labor Expenditures'!$D$7:$D$91,0),MATCH($G98,'Non-Labor Expenditures'!$F$5:$AB$5,0)),"NA")</f>
        <v>7639.919263414843</v>
      </c>
      <c r="R98" s="159">
        <f t="shared" si="206"/>
        <v>69.251094644901684</v>
      </c>
      <c r="S98" s="165">
        <f t="shared" si="218"/>
        <v>-3.5167652558006489E-2</v>
      </c>
      <c r="T98" s="165">
        <f t="shared" si="219"/>
        <v>-5.1833251227178156E-5</v>
      </c>
      <c r="U98" s="165"/>
      <c r="V98" s="165"/>
      <c r="W98" s="159">
        <f t="shared" si="187"/>
        <v>6054.372367505207</v>
      </c>
      <c r="X98" s="163"/>
      <c r="Y98" s="167">
        <v>300.61733515778724</v>
      </c>
      <c r="Z98" s="168">
        <v>2.4575516726974261E-2</v>
      </c>
      <c r="AA98" s="76">
        <f t="shared" si="207"/>
        <v>3.6221608207880453E-5</v>
      </c>
      <c r="AB98" s="168"/>
      <c r="AC98" s="168"/>
      <c r="AD98" s="163">
        <f t="shared" si="226"/>
        <v>18969.798491865473</v>
      </c>
      <c r="AE98" s="168">
        <f t="shared" si="220"/>
        <v>2.1463163883913759E-2</v>
      </c>
      <c r="AF98" s="163"/>
      <c r="AG98" s="163"/>
      <c r="AH98" s="163"/>
      <c r="AI98" s="163"/>
      <c r="AJ98" s="116">
        <f t="shared" si="221"/>
        <v>471.77991225510397</v>
      </c>
      <c r="AK98" s="114">
        <f>+AV98/$AX$23</f>
        <v>1.0764102717311518E-3</v>
      </c>
      <c r="AL98" s="115">
        <f t="shared" si="208"/>
        <v>0.27810031103955252</v>
      </c>
      <c r="AM98" s="115">
        <f t="shared" si="209"/>
        <v>0.40274119235852462</v>
      </c>
      <c r="AN98" s="115">
        <f t="shared" si="210"/>
        <v>0.3191584966019228</v>
      </c>
      <c r="AO98" s="115">
        <f t="shared" si="215"/>
        <v>-1.8056425363944719E-2</v>
      </c>
      <c r="AP98" s="166">
        <f t="shared" si="223"/>
        <v>135.54392408112145</v>
      </c>
      <c r="AQ98" s="168">
        <f t="shared" si="224"/>
        <v>-1.8056425363944886E-2</v>
      </c>
      <c r="AR98" s="69">
        <f>+AD98/$AF$23</f>
        <v>1.4738899942691077E-3</v>
      </c>
      <c r="AS98" s="169">
        <f t="shared" si="225"/>
        <v>-2.6613184676185298E-5</v>
      </c>
      <c r="AT98" s="115"/>
      <c r="AU98" s="115"/>
      <c r="AV98" s="113">
        <f>IFERROR(INDEX('Total Customers'!$F$7:$AB$91,MATCH($C98,'Total Customers'!$D$7:$D$91,0),MATCH($G98,'Total Customers'!$F$5:$AB$5,0)),"NA")</f>
        <v>40209</v>
      </c>
      <c r="AW98" s="68">
        <f t="shared" si="180"/>
        <v>6.2118973841164497E-3</v>
      </c>
      <c r="AX98" s="114"/>
      <c r="AY98" s="114"/>
      <c r="AZ98" s="116">
        <v>8911356</v>
      </c>
      <c r="BA98" s="116"/>
      <c r="BB98" s="166"/>
      <c r="BC98" s="166"/>
      <c r="BD98" s="166"/>
      <c r="BE98" s="166"/>
      <c r="BF98" s="166"/>
      <c r="BG98" s="166"/>
      <c r="BH98" s="166"/>
      <c r="BI98" s="113"/>
      <c r="BJ98" s="113"/>
      <c r="BK98" s="113">
        <f>INDEX('Dist. Plant Gas Additions'!$F$7:$AE$91,MATCH($C98,'Dist. Plant Gas Additions'!$D$7:$D$91,0),MATCH(Calculation!$G98,'Dist. Plant Gas Additions'!$F$5:$AE$5,0))</f>
        <v>4956</v>
      </c>
      <c r="BL98" s="113">
        <f>INDEX('Gen. Plant Additions'!$F$7:$AE$91,MATCH($C98,'Gen. Plant Additions'!$D$7:$D$91,0),MATCH(Calculation!$G98,'Gen. Plant Additions'!$F$5:$AE$5,0))</f>
        <v>2502</v>
      </c>
      <c r="BM98" s="231">
        <f t="shared" si="188"/>
        <v>0.71708360633737778</v>
      </c>
      <c r="BN98" s="61">
        <f t="shared" si="211"/>
        <v>1794.1431830561191</v>
      </c>
      <c r="BO98" s="113"/>
      <c r="BP98" s="113"/>
      <c r="BQ98" s="175">
        <v>2018</v>
      </c>
      <c r="BR98" s="113"/>
      <c r="BS98" s="170">
        <v>747.35020328085432</v>
      </c>
      <c r="BT98" s="113"/>
      <c r="BU98" s="113"/>
      <c r="BV98" s="113"/>
      <c r="BW98" s="113">
        <f>INDEX('Gross Dx Plant'!$E$7:$AD$91,MATCH($C98,'Gross Dx Plant'!$D$7:$D$91,0),MATCH(Calculation!$G98,'Gross Dx Plant'!$E$5:$AD$5,0))</f>
        <v>90838</v>
      </c>
      <c r="BX98" s="113">
        <f>INDEX('Gross Gen Plant'!$E$7:$AD$91,MATCH($C98,'Gross Gen Plant'!$D$7:$D$91,0),MATCH(Calculation!$G98,'Gross Gen Plant'!$E$5:$AD$5,0))</f>
        <v>35839</v>
      </c>
      <c r="BY98" s="113">
        <f t="shared" si="182"/>
        <v>126677</v>
      </c>
      <c r="BZ98" s="113"/>
      <c r="CA98" s="116">
        <v>2018</v>
      </c>
      <c r="CB98" s="113"/>
      <c r="CC98" s="113"/>
      <c r="CD98" s="113"/>
      <c r="CE98" s="175"/>
      <c r="CF98" s="113">
        <f t="shared" si="189"/>
        <v>7458</v>
      </c>
      <c r="CG98" s="113">
        <f t="shared" si="190"/>
        <v>9.8763572984279122</v>
      </c>
      <c r="CH98" s="178">
        <v>0.86111111111111116</v>
      </c>
      <c r="CI98" s="61">
        <f>+CI78*CH98++CG79*CH97+CG80*CH96+CG81*CH95+CG82*CH94+CG83*CH93+CG84*CH92+CG85*CH91+CG86*CH90+CG87*CH89+CG88*CH88+CG89*CH87+CG90*CH86+CG91*CH85+CG92*CH84+CG93*CH83+CG94*CH82+CG95*CH81+CG96*CH80+CG97*CH79+CG98</f>
        <v>300.61733515778724</v>
      </c>
      <c r="CJ98" s="114">
        <f t="shared" si="191"/>
        <v>2.4575516726974261E-2</v>
      </c>
      <c r="CK98" s="114"/>
      <c r="CL98" s="169">
        <f t="shared" si="192"/>
        <v>8.7909983219688053E-3</v>
      </c>
      <c r="CM98" s="169">
        <f t="shared" si="201"/>
        <v>8.6192660731289547E-3</v>
      </c>
      <c r="CN98" s="114">
        <f>VLOOKUP($H98,RoR!$E:$F,2,FALSE)</f>
        <v>3.9299999999999995E-2</v>
      </c>
      <c r="CO98" s="169">
        <v>2.386056741932796E-2</v>
      </c>
      <c r="CP98" s="169">
        <f t="shared" si="198"/>
        <v>1.5439432580672034E-2</v>
      </c>
      <c r="CQ98" s="169">
        <f t="shared" si="202"/>
        <v>2.228267553540467E-2</v>
      </c>
      <c r="CR98" s="69">
        <v>3.8270792163076606E-2</v>
      </c>
      <c r="CS98" s="179">
        <f t="shared" si="193"/>
        <v>0.90120814999999999</v>
      </c>
      <c r="CT98" s="180">
        <f t="shared" si="194"/>
        <v>1.3048868010700074</v>
      </c>
      <c r="CU98" s="180">
        <f t="shared" si="195"/>
        <v>0.33886768447837151</v>
      </c>
      <c r="CV98" s="180">
        <f t="shared" si="196"/>
        <v>0.78602506232557801</v>
      </c>
      <c r="CW98" s="180">
        <f t="shared" si="197"/>
        <v>0.34756768162358759</v>
      </c>
      <c r="CX98" s="181">
        <f>INDEX('State Tax Lookup'!$D$7:$Z$91,MATCH(Calculation!$C98,'State Tax Lookup'!$B$7:$B$91,0),MATCH($H98,'State Tax Lookup'!$D$6:$Z$6,0))</f>
        <v>0.26700499999999999</v>
      </c>
      <c r="CY98" s="72">
        <v>0.37</v>
      </c>
      <c r="CZ98" s="70">
        <f t="shared" si="200"/>
        <v>20.640875718196288</v>
      </c>
      <c r="DA98" s="70">
        <v>19.050901628905343</v>
      </c>
      <c r="DB98" s="69">
        <f t="shared" si="203"/>
        <v>4.8210373865687613E-2</v>
      </c>
      <c r="DC98" s="111">
        <f>VLOOKUP($H98,RoR!$E:$F,2,FALSE)</f>
        <v>3.9299999999999995E-2</v>
      </c>
      <c r="DD98" s="216">
        <f>HLOOKUP($H98,'GDP-PI'!$D$8:$CQ$11,3,FALSE)</f>
        <v>2.386056741932796E-2</v>
      </c>
      <c r="DE98" s="111">
        <f>VLOOKUP(H98,'HW Dx Data'!$E:$F,2,FALSE)</f>
        <v>755.13671434174842</v>
      </c>
      <c r="DF98" s="72">
        <f t="shared" si="212"/>
        <v>144.44999999999999</v>
      </c>
      <c r="DG98" s="69">
        <f t="shared" si="213"/>
        <v>2.80818733619915E-2</v>
      </c>
      <c r="DH98" s="66">
        <f>HLOOKUP(H98,'GDP-PI'!$8:$9,2,FALSE)</f>
        <v>110.322</v>
      </c>
      <c r="DI98" s="69">
        <f t="shared" si="204"/>
        <v>2.3580352716508712E-2</v>
      </c>
      <c r="DO98" s="184"/>
      <c r="DP98" s="184"/>
      <c r="DQ98" s="184"/>
      <c r="DR98" s="184"/>
      <c r="DS98" s="184"/>
      <c r="DT98" s="184"/>
      <c r="DU98" s="184"/>
      <c r="DV98" s="184"/>
      <c r="DW98" s="184"/>
      <c r="EB98">
        <f t="shared" si="199"/>
        <v>2018</v>
      </c>
    </row>
    <row r="99" spans="1:132" s="160" customFormat="1" ht="21">
      <c r="A99" s="160" t="s">
        <v>162</v>
      </c>
      <c r="B99" s="161" t="s">
        <v>163</v>
      </c>
      <c r="C99" s="161">
        <v>4057110</v>
      </c>
      <c r="D99" s="161" t="s">
        <v>164</v>
      </c>
      <c r="E99" s="161" t="s">
        <v>3</v>
      </c>
      <c r="F99" s="161"/>
      <c r="G99" s="161" t="s">
        <v>140</v>
      </c>
      <c r="H99" s="162">
        <v>2019</v>
      </c>
      <c r="I99" s="163"/>
      <c r="J99" s="159">
        <f>IFERROR(INDEX('Labor Expenditures'!$F$7:$X$91,MATCH($C99,'Labor Expenditures'!$D$7:$D$91,0),MATCH($G99,'Labor Expenditures'!$F$5:$X$5,0)),"NA")</f>
        <v>5169.9679584946898</v>
      </c>
      <c r="K99" s="159">
        <f t="shared" si="205"/>
        <v>34.541292523766089</v>
      </c>
      <c r="L99" s="165">
        <f t="shared" si="214"/>
        <v>-5.5741121110322728E-2</v>
      </c>
      <c r="M99" s="76">
        <f t="shared" si="216"/>
        <v>-7.9610466695337613E-5</v>
      </c>
      <c r="N99" s="62">
        <f t="shared" si="222"/>
        <v>101.89713142826345</v>
      </c>
      <c r="O99" s="96">
        <f t="shared" si="217"/>
        <v>-1.1074768138868984E-2</v>
      </c>
      <c r="P99" s="96"/>
      <c r="Q99" s="159">
        <f>IFERROR(INDEX('Non-Labor Expenditures'!$F$7:$AB$91,MATCH($C99,'Non-Labor Expenditures'!$D$7:$D$91,0),MATCH($G99,'Non-Labor Expenditures'!$F$5:$AB$5,0)),"NA")</f>
        <v>7487.0792207182603</v>
      </c>
      <c r="R99" s="159">
        <f t="shared" si="206"/>
        <v>66.659655805109253</v>
      </c>
      <c r="S99" s="165">
        <f t="shared" si="218"/>
        <v>-3.8139042662553087E-2</v>
      </c>
      <c r="T99" s="165">
        <f t="shared" si="219"/>
        <v>-5.4470863254972366E-5</v>
      </c>
      <c r="U99" s="165"/>
      <c r="V99" s="165"/>
      <c r="W99" s="159">
        <f t="shared" si="187"/>
        <v>6294.4663024816264</v>
      </c>
      <c r="X99" s="163"/>
      <c r="Y99" s="167">
        <v>305.78636077111298</v>
      </c>
      <c r="Z99" s="168">
        <v>1.7048546526995539E-2</v>
      </c>
      <c r="AA99" s="76">
        <f t="shared" si="207"/>
        <v>2.4349039245282483E-5</v>
      </c>
      <c r="AB99" s="168"/>
      <c r="AC99" s="168"/>
      <c r="AD99" s="163">
        <f t="shared" si="226"/>
        <v>18951.513481694576</v>
      </c>
      <c r="AE99" s="168">
        <f t="shared" si="220"/>
        <v>-9.6436597978137822E-4</v>
      </c>
      <c r="AF99" s="163"/>
      <c r="AG99" s="163"/>
      <c r="AH99" s="163"/>
      <c r="AI99" s="163"/>
      <c r="AJ99" s="116">
        <f t="shared" si="221"/>
        <v>470.89185215163184</v>
      </c>
      <c r="AK99" s="114">
        <f>+AV99/$AX$24</f>
        <v>1.0685152552283533E-3</v>
      </c>
      <c r="AL99" s="115">
        <f t="shared" si="208"/>
        <v>0.27279974042645222</v>
      </c>
      <c r="AM99" s="115">
        <f t="shared" si="209"/>
        <v>0.39506497610072633</v>
      </c>
      <c r="AN99" s="115">
        <f t="shared" si="210"/>
        <v>0.33213528347282151</v>
      </c>
      <c r="AO99" s="115">
        <f t="shared" si="215"/>
        <v>-2.5015868835708954E-2</v>
      </c>
      <c r="AP99" s="166">
        <f t="shared" si="223"/>
        <v>132.19523487042511</v>
      </c>
      <c r="AQ99" s="168">
        <f t="shared" si="224"/>
        <v>-2.5015868835708933E-2</v>
      </c>
      <c r="AR99" s="69">
        <f>+AD99/$AF$24</f>
        <v>1.4282178956855338E-3</v>
      </c>
      <c r="AS99" s="169">
        <f t="shared" si="225"/>
        <v>-3.5728111547281537E-5</v>
      </c>
      <c r="AT99" s="115"/>
      <c r="AU99" s="115"/>
      <c r="AV99" s="113">
        <f>IFERROR(INDEX('Total Customers'!$F$7:$AB$91,MATCH($C99,'Total Customers'!$D$7:$D$91,0),MATCH($G99,'Total Customers'!$F$5:$AB$5,0)),"NA")</f>
        <v>40246</v>
      </c>
      <c r="AW99" s="68">
        <f t="shared" si="180"/>
        <v>9.1976887970728744E-4</v>
      </c>
      <c r="AX99" s="114"/>
      <c r="AY99" s="114"/>
      <c r="AZ99" s="116">
        <v>8963640</v>
      </c>
      <c r="BA99" s="116"/>
      <c r="BB99" s="166"/>
      <c r="BC99" s="166"/>
      <c r="BD99" s="166"/>
      <c r="BE99" s="166"/>
      <c r="BF99" s="166"/>
      <c r="BG99" s="166"/>
      <c r="BH99" s="166"/>
      <c r="BI99" s="113"/>
      <c r="BJ99" s="113"/>
      <c r="BK99" s="113">
        <f>INDEX('Dist. Plant Gas Additions'!$F$7:$AE$91,MATCH($C99,'Dist. Plant Gas Additions'!$D$7:$D$91,0),MATCH(Calculation!$G99,'Dist. Plant Gas Additions'!$F$5:$AE$5,0))</f>
        <v>4079</v>
      </c>
      <c r="BL99" s="113">
        <f>INDEX('Gen. Plant Additions'!$F$7:$AE$91,MATCH($C99,'Gen. Plant Additions'!$D$7:$D$91,0),MATCH(Calculation!$G99,'Gen. Plant Additions'!$F$5:$AE$5,0))</f>
        <v>2031</v>
      </c>
      <c r="BM99" s="231">
        <f t="shared" si="188"/>
        <v>0.73273144474705665</v>
      </c>
      <c r="BN99" s="61">
        <f t="shared" si="211"/>
        <v>1488.177564281272</v>
      </c>
      <c r="BO99" s="113"/>
      <c r="BP99" s="113"/>
      <c r="BQ99" s="175">
        <v>2019</v>
      </c>
      <c r="BR99" s="113"/>
      <c r="BS99" s="170">
        <v>765.87924552647178</v>
      </c>
      <c r="BT99" s="113"/>
      <c r="BU99" s="113"/>
      <c r="BV99" s="113"/>
      <c r="BW99" s="113">
        <f>INDEX('Gross Dx Plant'!$E$7:$AD$91,MATCH($C99,'Gross Dx Plant'!$D$7:$D$91,0),MATCH(Calculation!$G99,'Gross Dx Plant'!$E$5:$AD$5,0))</f>
        <v>102504</v>
      </c>
      <c r="BX99" s="113">
        <f>INDEX('Gross Gen Plant'!$E$7:$AD$91,MATCH($C99,'Gross Gen Plant'!$D$7:$D$91,0),MATCH(Calculation!$G99,'Gross Gen Plant'!$E$5:$AD$5,0))</f>
        <v>37389</v>
      </c>
      <c r="BY99" s="113">
        <f t="shared" si="182"/>
        <v>139893</v>
      </c>
      <c r="BZ99" s="113"/>
      <c r="CA99" s="116">
        <v>2019</v>
      </c>
      <c r="CB99" s="113"/>
      <c r="CC99" s="113"/>
      <c r="CD99" s="113"/>
      <c r="CE99" s="175"/>
      <c r="CF99" s="113">
        <f t="shared" si="189"/>
        <v>6110</v>
      </c>
      <c r="CG99" s="113">
        <f t="shared" si="190"/>
        <v>7.8987583646703952</v>
      </c>
      <c r="CH99" s="178">
        <v>0.85106382978723405</v>
      </c>
      <c r="CI99" s="61">
        <f>CI78*CH99+CG79*CH98+CG80*CH97+CG81*CH96+CG82*CH95+CG83*CH94+CG84*CH93+CG85*CH92+CG86*CH91+CG87*CH90+CG88*CH89+CG89*CH88+CG90*CH87+CG91*CH86+CG92*CH85+CG93*CH84+CG94*CH83+CG95*CH82+CG96*CH81+CG97*CH80+CG98*CH79+CG99</f>
        <v>305.78636077111298</v>
      </c>
      <c r="CJ99" s="114">
        <f t="shared" si="191"/>
        <v>1.7048546526995539E-2</v>
      </c>
      <c r="CK99" s="114"/>
      <c r="CL99" s="169">
        <f t="shared" si="192"/>
        <v>9.080423621983998E-3</v>
      </c>
      <c r="CM99" s="169">
        <f t="shared" si="201"/>
        <v>8.8233132681079986E-3</v>
      </c>
      <c r="CN99" s="114">
        <f>VLOOKUP($H99,RoR!$E:$F,2,FALSE)</f>
        <v>3.3875000000000009E-2</v>
      </c>
      <c r="CO99" s="169">
        <v>1.8092492884465461E-2</v>
      </c>
      <c r="CP99" s="169">
        <f t="shared" si="198"/>
        <v>1.5782507115534548E-2</v>
      </c>
      <c r="CQ99" s="169">
        <f t="shared" si="202"/>
        <v>2.2078628340425628E-2</v>
      </c>
      <c r="CR99" s="69">
        <v>4.8445665544254078E-2</v>
      </c>
      <c r="CS99" s="179">
        <f t="shared" si="193"/>
        <v>0.90120814999999999</v>
      </c>
      <c r="CT99" s="180">
        <f t="shared" si="194"/>
        <v>1.513861292459078</v>
      </c>
      <c r="CU99" s="180">
        <f t="shared" si="195"/>
        <v>0.23699261992619944</v>
      </c>
      <c r="CV99" s="180">
        <f t="shared" si="196"/>
        <v>0.73619765810468829</v>
      </c>
      <c r="CW99" s="180">
        <f t="shared" si="197"/>
        <v>0.26412854465362851</v>
      </c>
      <c r="CX99" s="181">
        <f>INDEX('State Tax Lookup'!$D$7:$Z$91,MATCH(Calculation!$C99,'State Tax Lookup'!$B$7:$B$91,0),MATCH($H99,'State Tax Lookup'!$D$6:$Z$6,0))</f>
        <v>0.26700499999999999</v>
      </c>
      <c r="CY99" s="72">
        <v>0.37</v>
      </c>
      <c r="CZ99" s="70">
        <f t="shared" si="200"/>
        <v>20.938467501143283</v>
      </c>
      <c r="DA99" s="70">
        <v>19.236104090735289</v>
      </c>
      <c r="DB99" s="69">
        <f t="shared" si="203"/>
        <v>1.4314649607014687E-2</v>
      </c>
      <c r="DC99" s="111">
        <f>VLOOKUP($H99,RoR!$E:$F,2,FALSE)</f>
        <v>3.3875000000000009E-2</v>
      </c>
      <c r="DD99" s="216">
        <f>HLOOKUP($H99,'GDP-PI'!$D$8:$CQ$11,3,FALSE)</f>
        <v>1.8092492884465461E-2</v>
      </c>
      <c r="DE99" s="111">
        <f>VLOOKUP(H99,'HW Dx Data'!$E:$F,2,FALSE)</f>
        <v>773.53929793938721</v>
      </c>
      <c r="DF99" s="72">
        <f t="shared" si="212"/>
        <v>149.67500000000001</v>
      </c>
      <c r="DG99" s="69">
        <f t="shared" si="213"/>
        <v>3.5532849899171604E-2</v>
      </c>
      <c r="DH99" s="66">
        <f>HLOOKUP(H99,'GDP-PI'!$8:$9,2,FALSE)</f>
        <v>112.318</v>
      </c>
      <c r="DI99" s="69">
        <f t="shared" si="204"/>
        <v>1.7930771451401852E-2</v>
      </c>
      <c r="DO99" s="184"/>
      <c r="DP99" s="184"/>
      <c r="DQ99" s="184"/>
      <c r="DR99" s="184"/>
      <c r="DS99" s="184"/>
      <c r="DT99" s="184"/>
      <c r="DU99" s="184"/>
      <c r="DV99" s="184"/>
      <c r="DW99" s="184"/>
      <c r="EB99">
        <f t="shared" si="199"/>
        <v>2019</v>
      </c>
    </row>
    <row r="100" spans="1:132" s="160" customFormat="1" ht="21">
      <c r="A100" s="160" t="s">
        <v>162</v>
      </c>
      <c r="B100" s="160" t="s">
        <v>163</v>
      </c>
      <c r="C100" s="160">
        <v>4057110</v>
      </c>
      <c r="D100" s="160" t="s">
        <v>164</v>
      </c>
      <c r="E100" s="160" t="s">
        <v>3</v>
      </c>
      <c r="G100" s="161" t="s">
        <v>141</v>
      </c>
      <c r="H100" s="162">
        <v>2020</v>
      </c>
      <c r="I100" s="163"/>
      <c r="J100" s="159">
        <f>IFERROR(INDEX('Labor Expenditures'!$F$7:$X$91,MATCH($C100,'Labor Expenditures'!$D$7:$D$91,0),MATCH($G100,'Labor Expenditures'!$F$5:$X$5,0)),"NA")</f>
        <v>5550.8039337216997</v>
      </c>
      <c r="K100" s="159">
        <f t="shared" si="205"/>
        <v>36.244230713168129</v>
      </c>
      <c r="L100" s="165">
        <f t="shared" si="214"/>
        <v>4.812472280573122E-2</v>
      </c>
      <c r="M100" s="76">
        <f t="shared" si="216"/>
        <v>7.121273399014016E-5</v>
      </c>
      <c r="N100" s="62">
        <f t="shared" si="222"/>
        <v>98.965280990103167</v>
      </c>
      <c r="O100" s="96">
        <f t="shared" si="217"/>
        <v>-2.9194697424917045E-2</v>
      </c>
      <c r="P100" s="96"/>
      <c r="Q100" s="159">
        <f>IFERROR(INDEX('Non-Labor Expenditures'!$F$7:$AB$91,MATCH($C100,'Non-Labor Expenditures'!$D$7:$D$91,0),MATCH($G100,'Non-Labor Expenditures'!$F$5:$AB$5,0)),"NA")</f>
        <v>8038.6008431954597</v>
      </c>
      <c r="R100" s="159">
        <f t="shared" si="206"/>
        <v>70.748007385788611</v>
      </c>
      <c r="S100" s="165">
        <f t="shared" si="218"/>
        <v>5.9524462541706992E-2</v>
      </c>
      <c r="T100" s="165">
        <f t="shared" si="219"/>
        <v>8.8081540417388695E-5</v>
      </c>
      <c r="U100" s="165"/>
      <c r="V100" s="165"/>
      <c r="W100" s="159">
        <f t="shared" si="187"/>
        <v>6649.0199367459645</v>
      </c>
      <c r="X100" s="163"/>
      <c r="Y100" s="167">
        <v>310.95351025510593</v>
      </c>
      <c r="Z100" s="168">
        <v>1.6756725589660119E-2</v>
      </c>
      <c r="AA100" s="76">
        <f t="shared" si="207"/>
        <v>2.4795825770868235E-5</v>
      </c>
      <c r="AB100" s="168"/>
      <c r="AC100" s="168"/>
      <c r="AD100" s="163">
        <f t="shared" si="226"/>
        <v>20238.424713663124</v>
      </c>
      <c r="AE100" s="168">
        <f t="shared" si="220"/>
        <v>6.5699215590592414E-2</v>
      </c>
      <c r="AF100" s="163"/>
      <c r="AG100" s="163"/>
      <c r="AH100" s="163"/>
      <c r="AI100" s="163"/>
      <c r="AJ100" s="116">
        <f t="shared" si="221"/>
        <v>502.86797976601707</v>
      </c>
      <c r="AK100" s="114">
        <f>+AV100/$AX$25</f>
        <v>1.0609698618495762E-3</v>
      </c>
      <c r="AL100" s="115">
        <f t="shared" si="208"/>
        <v>0.27427055278538093</v>
      </c>
      <c r="AM100" s="115">
        <f t="shared" si="209"/>
        <v>0.39719498710631046</v>
      </c>
      <c r="AN100" s="115">
        <f t="shared" si="210"/>
        <v>0.32853446010830861</v>
      </c>
      <c r="AO100" s="115">
        <f t="shared" si="215"/>
        <v>4.2278558158930557E-2</v>
      </c>
      <c r="AP100" s="166">
        <f t="shared" si="223"/>
        <v>137.90408952300035</v>
      </c>
      <c r="AQ100" s="168">
        <f t="shared" si="224"/>
        <v>4.2278558158930529E-2</v>
      </c>
      <c r="AR100" s="69">
        <f>+AD100/$AF$25</f>
        <v>1.4797536450778135E-3</v>
      </c>
      <c r="AS100" s="169">
        <f t="shared" si="225"/>
        <v>6.2561850544311779E-5</v>
      </c>
      <c r="AT100" s="115"/>
      <c r="AU100" s="115"/>
      <c r="AV100" s="113">
        <v>40246</v>
      </c>
      <c r="AW100" s="68">
        <f t="shared" si="180"/>
        <v>0</v>
      </c>
      <c r="AX100" s="114"/>
      <c r="AY100" s="114"/>
      <c r="AZ100" s="116">
        <v>9060252</v>
      </c>
      <c r="BA100" s="116"/>
      <c r="BB100" s="166"/>
      <c r="BC100" s="166"/>
      <c r="BD100" s="166"/>
      <c r="BE100" s="166"/>
      <c r="BF100" s="166"/>
      <c r="BG100" s="166"/>
      <c r="BH100" s="166"/>
      <c r="BI100" s="113"/>
      <c r="BJ100" s="113"/>
      <c r="BK100" s="113">
        <f>INDEX('Dist. Plant Gas Additions'!$F$7:$AE$91,MATCH($C100,'Dist. Plant Gas Additions'!$D$7:$D$91,0),MATCH(Calculation!$G100,'Dist. Plant Gas Additions'!$F$5:$AE$5,0))</f>
        <v>4902</v>
      </c>
      <c r="BL100" s="113">
        <f>INDEX('Gen. Plant Additions'!$F$7:$AE$91,MATCH($C100,'Gen. Plant Additions'!$D$7:$D$91,0),MATCH(Calculation!$G100,'Gen. Plant Additions'!$F$5:$AE$5,0))</f>
        <v>1640</v>
      </c>
      <c r="BM100" s="231">
        <f t="shared" si="188"/>
        <v>0.73187966610650435</v>
      </c>
      <c r="BN100" s="61">
        <f t="shared" si="211"/>
        <v>1200.2826524146672</v>
      </c>
      <c r="BO100" s="113"/>
      <c r="BP100" s="113"/>
      <c r="BQ100" s="175">
        <v>2020</v>
      </c>
      <c r="BR100" s="113"/>
      <c r="BS100" s="170">
        <v>806.38389686319499</v>
      </c>
      <c r="BT100" s="113"/>
      <c r="BU100" s="113"/>
      <c r="BV100" s="113"/>
      <c r="BW100" s="113">
        <f>INDEX('Gross Dx Plant'!$E$7:$AD$91,MATCH($C100,'Gross Dx Plant'!$D$7:$D$91,0),MATCH(Calculation!$G100,'Gross Dx Plant'!$E$5:$AD$5,0))</f>
        <v>106266</v>
      </c>
      <c r="BX100" s="113">
        <f>INDEX('Gross Gen Plant'!$E$7:$AD$91,MATCH($C100,'Gross Gen Plant'!$D$7:$D$91,0),MATCH(Calculation!$G100,'Gross Gen Plant'!$E$5:$AD$5,0))</f>
        <v>38930</v>
      </c>
      <c r="BY100" s="113">
        <f t="shared" si="182"/>
        <v>145196</v>
      </c>
      <c r="BZ100" s="113"/>
      <c r="CA100" s="116">
        <v>2020</v>
      </c>
      <c r="CB100" s="113"/>
      <c r="CC100" s="113"/>
      <c r="CD100" s="113"/>
      <c r="CE100" s="175"/>
      <c r="CF100" s="113">
        <f t="shared" si="189"/>
        <v>6542</v>
      </c>
      <c r="CG100" s="113">
        <f t="shared" si="190"/>
        <v>8.0459471304973906</v>
      </c>
      <c r="CH100" s="178">
        <v>0.84057971014492749</v>
      </c>
      <c r="CI100" s="61">
        <f>CI78*CH100+CG79*CH99+CG80*CH98+CG81*CH97+CG82*CH96+CG83*CH95+CG84*CH94+CG85*CH93+CG86*CH92+CG87*CH91+CG88*CH90+CG89*CH89+CG90*CH88+CG91*CH87+CG92*CH86+CG93*CH85+CG94*CH84+CG95*CH83+CG96*CH82+CG97*CH81+CG98*CH80+CG99*CH79+CG100</f>
        <v>310.95351025510593</v>
      </c>
      <c r="CJ100" s="114">
        <f t="shared" si="191"/>
        <v>1.6756725589660119E-2</v>
      </c>
      <c r="CK100" s="114"/>
      <c r="CL100" s="169">
        <f t="shared" si="192"/>
        <v>9.4144082791818261E-3</v>
      </c>
      <c r="CM100" s="169">
        <f t="shared" si="201"/>
        <v>9.0952767410448776E-3</v>
      </c>
      <c r="CN100" s="114">
        <f>VLOOKUP($H100,RoR!$E:$F,2,FALSE)</f>
        <v>2.4766666666666666E-2</v>
      </c>
      <c r="CO100" s="169">
        <v>1.1618796630994188E-2</v>
      </c>
      <c r="CP100" s="169">
        <f t="shared" si="198"/>
        <v>1.3147870035672478E-2</v>
      </c>
      <c r="CQ100" s="169">
        <f t="shared" si="202"/>
        <v>2.1806664867488747E-2</v>
      </c>
      <c r="CR100" s="69">
        <v>4.5144642961987357E-2</v>
      </c>
      <c r="CS100" s="179">
        <f t="shared" si="193"/>
        <v>0.90120814999999999</v>
      </c>
      <c r="CT100" s="180">
        <f t="shared" si="194"/>
        <v>2.0706077233668081</v>
      </c>
      <c r="CU100" s="180">
        <f t="shared" si="195"/>
        <v>-3.4421265141318998E-2</v>
      </c>
      <c r="CV100" s="180">
        <f t="shared" si="196"/>
        <v>0.62416226176410472</v>
      </c>
      <c r="CW100" s="180">
        <f t="shared" si="197"/>
        <v>-4.4485877841158712E-2</v>
      </c>
      <c r="CX100" s="181">
        <f>INDEX('State Tax Lookup'!$D$7:$Z$91,MATCH(Calculation!$C100,'State Tax Lookup'!$B$7:$B$91,0),MATCH($H100,'State Tax Lookup'!$D$6:$Z$6,0))</f>
        <v>0.26700499999999999</v>
      </c>
      <c r="CY100" s="72">
        <v>0.37</v>
      </c>
      <c r="CZ100" s="70">
        <f t="shared" si="200"/>
        <v>21.744004277950399</v>
      </c>
      <c r="DA100" s="70">
        <v>19.952659173050833</v>
      </c>
      <c r="DB100" s="69">
        <f t="shared" si="203"/>
        <v>3.7750036622906463E-2</v>
      </c>
      <c r="DC100" s="111">
        <f>VLOOKUP($H100,RoR!$E:$F,2,FALSE)</f>
        <v>2.4766666666666666E-2</v>
      </c>
      <c r="DD100" s="216">
        <f>HLOOKUP($H100,'GDP-PI'!$D$8:$CQ$11,3,FALSE)</f>
        <v>1.1618796630994188E-2</v>
      </c>
      <c r="DE100" s="111">
        <f>VLOOKUP(H100,'HW Dx Data'!$E:$F,2,FALSE)</f>
        <v>813.080162458833</v>
      </c>
      <c r="DF100" s="72">
        <f t="shared" si="212"/>
        <v>153.15</v>
      </c>
      <c r="DG100" s="69">
        <f t="shared" si="213"/>
        <v>2.2951556467368479E-2</v>
      </c>
      <c r="DH100" s="66">
        <f>HLOOKUP(H100,'GDP-PI'!$8:$9,2,FALSE)</f>
        <v>113.623</v>
      </c>
      <c r="DI100" s="69">
        <f t="shared" si="204"/>
        <v>1.1551816731392881E-2</v>
      </c>
      <c r="DO100" s="184"/>
      <c r="DP100" s="184"/>
      <c r="DQ100" s="184"/>
      <c r="DR100" s="184"/>
      <c r="DS100" s="184"/>
      <c r="DT100" s="184"/>
      <c r="DU100" s="184"/>
      <c r="DV100" s="184"/>
      <c r="DW100" s="184"/>
      <c r="EB100">
        <f t="shared" si="199"/>
        <v>2020</v>
      </c>
    </row>
    <row r="101" spans="1:132" s="160" customFormat="1" ht="21">
      <c r="A101" s="160" t="s">
        <v>162</v>
      </c>
      <c r="B101" s="160" t="s">
        <v>163</v>
      </c>
      <c r="C101" s="160">
        <v>4057110</v>
      </c>
      <c r="D101" s="160" t="s">
        <v>164</v>
      </c>
      <c r="E101" s="160" t="s">
        <v>3</v>
      </c>
      <c r="G101" s="161" t="s">
        <v>142</v>
      </c>
      <c r="H101" s="162">
        <v>2021</v>
      </c>
      <c r="I101" s="163"/>
      <c r="J101" s="159">
        <v>6316.4267603490844</v>
      </c>
      <c r="K101" s="159">
        <f t="shared" si="205"/>
        <v>40.168055709692112</v>
      </c>
      <c r="L101" s="164">
        <f t="shared" si="214"/>
        <v>0.10279182975433998</v>
      </c>
      <c r="M101" s="76">
        <f t="shared" si="216"/>
        <v>1.3483932865234822E-4</v>
      </c>
      <c r="N101" s="166">
        <f>+N100*EXP(O101)</f>
        <v>103.67415119026612</v>
      </c>
      <c r="O101" s="114">
        <f t="shared" si="217"/>
        <v>4.6483727325492982E-2</v>
      </c>
      <c r="P101" s="114"/>
      <c r="Q101" s="159">
        <v>8903.8786862752168</v>
      </c>
      <c r="R101" s="159">
        <f t="shared" si="206"/>
        <v>75.144558074733879</v>
      </c>
      <c r="S101" s="165">
        <f t="shared" si="218"/>
        <v>6.0289327433487881E-2</v>
      </c>
      <c r="T101" s="165">
        <f t="shared" si="219"/>
        <v>7.9085783913578737E-5</v>
      </c>
      <c r="U101" s="165"/>
      <c r="V101" s="165"/>
      <c r="W101" s="159">
        <f t="shared" si="187"/>
        <v>4879.1164058964687</v>
      </c>
      <c r="X101" s="163"/>
      <c r="Y101" s="167">
        <v>306.39842588244659</v>
      </c>
      <c r="Z101" s="168">
        <v>-1.4757115901149444E-2</v>
      </c>
      <c r="AA101" s="76">
        <f t="shared" si="207"/>
        <v>-1.935795486578417E-5</v>
      </c>
      <c r="AB101" s="168"/>
      <c r="AC101" s="168"/>
      <c r="AD101" s="163">
        <f t="shared" si="226"/>
        <v>20099.421852520769</v>
      </c>
      <c r="AE101" s="168">
        <f t="shared" si="220"/>
        <v>-6.8919599425429339E-3</v>
      </c>
      <c r="AF101" s="113"/>
      <c r="AG101" s="114"/>
      <c r="AH101" s="114"/>
      <c r="AI101" s="114"/>
      <c r="AJ101" s="116">
        <f t="shared" si="221"/>
        <v>506.95946357910481</v>
      </c>
      <c r="AK101" s="114">
        <f>+AV101/$AX$26</f>
        <v>1.0269573895343119E-3</v>
      </c>
      <c r="AL101" s="115">
        <f t="shared" si="208"/>
        <v>0.31425912678960516</v>
      </c>
      <c r="AM101" s="115">
        <f t="shared" si="209"/>
        <v>0.44299178113715432</v>
      </c>
      <c r="AN101" s="115">
        <f t="shared" si="210"/>
        <v>0.24274909207324061</v>
      </c>
      <c r="AO101" s="115">
        <f t="shared" si="215"/>
        <v>5.1359920106099501E-2</v>
      </c>
      <c r="AP101" s="166">
        <f t="shared" si="223"/>
        <v>145.17187135593645</v>
      </c>
      <c r="AQ101" s="168">
        <f t="shared" si="224"/>
        <v>5.1359920106099403E-2</v>
      </c>
      <c r="AR101" s="69">
        <f>+AD101/$AF$26</f>
        <v>1.3117708768741433E-3</v>
      </c>
      <c r="AS101" s="169">
        <f t="shared" si="225"/>
        <v>6.7372447433763954E-5</v>
      </c>
      <c r="AT101" s="115"/>
      <c r="AU101" s="115"/>
      <c r="AV101" s="113">
        <f>INDEX('Total Customers'!$E$7:$E$91,MATCH(Calculation!$C101,'Total Customers'!$D$7:$D$91,0))</f>
        <v>39647</v>
      </c>
      <c r="AW101" s="68">
        <f t="shared" si="180"/>
        <v>-1.499533686871141E-2</v>
      </c>
      <c r="AX101" s="113"/>
      <c r="AY101" s="113"/>
      <c r="AZ101" s="116"/>
      <c r="BA101" s="116"/>
      <c r="BB101" s="166"/>
      <c r="BC101" s="166"/>
      <c r="BD101" s="166"/>
      <c r="BE101" s="166"/>
      <c r="BF101" s="166"/>
      <c r="BG101" s="166"/>
      <c r="BH101" s="166"/>
      <c r="BI101" s="113"/>
      <c r="BJ101" s="113"/>
      <c r="BK101" s="113">
        <f>INDEX('Dist. Plant Gas Additions'!$E$7:$AE$91,MATCH($C101,'Dist. Plant Gas Additions'!$D$7:$D$91,0),MATCH(Calculation!$G101,'Dist. Plant Gas Additions'!$E$5:$AE$5,0))</f>
        <v>876</v>
      </c>
      <c r="BL101" s="113">
        <f>INDEX('Gen. Plant Additions'!$E$7:$AE$91,MATCH($C101,'Gen. Plant Additions'!$D$7:$D$91,0),MATCH(Calculation!$G101,'Gen. Plant Additions'!$E$5:$AE$5,0))</f>
        <v>4430</v>
      </c>
      <c r="BM101" s="232">
        <v>0.73187966610650435</v>
      </c>
      <c r="BN101" s="61">
        <f t="shared" si="211"/>
        <v>3242.2269208518142</v>
      </c>
      <c r="BO101" s="113"/>
      <c r="BP101" s="113"/>
      <c r="BQ101" s="175"/>
      <c r="BR101" s="175"/>
      <c r="BS101" s="170"/>
      <c r="BT101" s="176"/>
      <c r="BU101" s="177"/>
      <c r="BV101" s="177"/>
      <c r="BW101" s="113"/>
      <c r="BX101" s="113"/>
      <c r="BY101" s="113"/>
      <c r="BZ101" s="113"/>
      <c r="CA101" s="116">
        <v>2021</v>
      </c>
      <c r="CB101" s="113"/>
      <c r="CC101" s="113"/>
      <c r="CD101" s="113"/>
      <c r="CE101" s="175"/>
      <c r="CF101" s="113">
        <f t="shared" si="189"/>
        <v>5306</v>
      </c>
      <c r="CG101" s="113">
        <f t="shared" si="190"/>
        <v>5.6868939435597383</v>
      </c>
      <c r="CH101" s="178">
        <f>+(51-23)/(51-23*0.75)</f>
        <v>0.82962962962962961</v>
      </c>
      <c r="CI101" s="113">
        <f>CI78*CH101+CG79*CH100+CG80*CH99+CG81*CH98+CG82*CH97+CG83*CH96+CG84*CH95+CG85*CH94+CG86*CH93+CG87*CH92+CG88*CH91+CG89*CH90+CG90*CH89+CG91*CH88+CG92*CH87+CG83*CH86+CG94*CH85+CG95*CH84+CG96*CH83+CG97*CH82+CG98*CH81+CG99*CH80+CG101+CG100*CH79</f>
        <v>306.39842588244659</v>
      </c>
      <c r="CJ101" s="114">
        <f t="shared" si="191"/>
        <v>-1.4757115901149444E-2</v>
      </c>
      <c r="CK101" s="113"/>
      <c r="CL101" s="169">
        <f t="shared" si="192"/>
        <v>3.2937329788676667E-2</v>
      </c>
      <c r="CM101" s="169">
        <f t="shared" si="201"/>
        <v>1.7144053896614164E-2</v>
      </c>
      <c r="CN101" s="114">
        <f>VLOOKUP($H101,RoR!$E:$F,2,FALSE)</f>
        <v>2.7033333333333336E-2</v>
      </c>
      <c r="CO101" s="169"/>
      <c r="CP101" s="169"/>
      <c r="CQ101" s="169">
        <f t="shared" si="202"/>
        <v>1.3757887711919461E-2</v>
      </c>
      <c r="CR101" s="169">
        <v>7.433422950153494E-2</v>
      </c>
      <c r="CS101" s="179">
        <f t="shared" si="193"/>
        <v>0.90120814999999999</v>
      </c>
      <c r="CT101" s="180">
        <f t="shared" si="194"/>
        <v>1.8969932656739068</v>
      </c>
      <c r="CU101" s="180">
        <f t="shared" si="195"/>
        <v>5.0215782983970621E-2</v>
      </c>
      <c r="CV101" s="180">
        <f t="shared" si="196"/>
        <v>0.655952481704143</v>
      </c>
      <c r="CW101" s="180">
        <f t="shared" si="197"/>
        <v>6.2485378865697057E-2</v>
      </c>
      <c r="CX101" s="181">
        <f>CX100</f>
        <v>0.26700499999999999</v>
      </c>
      <c r="CY101" s="72">
        <v>0.37</v>
      </c>
      <c r="CZ101" s="182">
        <f t="shared" si="200"/>
        <v>15.690822727467031</v>
      </c>
      <c r="DA101" s="182"/>
      <c r="DB101" s="169">
        <f t="shared" si="203"/>
        <v>-0.32626205235784383</v>
      </c>
      <c r="DC101" s="181">
        <f>VLOOKUP($H101,RoR!$E:$F,2,FALSE)</f>
        <v>2.7033333333333336E-2</v>
      </c>
      <c r="DD101" s="183">
        <f>HLOOKUP($H101,'GDP-PI'!$D$8:$CR$11,3,FALSE)</f>
        <v>4.2834637353352578E-2</v>
      </c>
      <c r="DE101" s="181">
        <f>VLOOKUP(H101,'HW Dx Data'!$E:$F,2,FALSE)</f>
        <v>933.02249921662576</v>
      </c>
      <c r="DF101" s="72">
        <f t="shared" si="212"/>
        <v>157.25</v>
      </c>
      <c r="DG101" s="169">
        <f t="shared" si="213"/>
        <v>2.6419062301765574E-2</v>
      </c>
      <c r="DH101" s="175">
        <f>HLOOKUP(H101,'GDP-PI'!$8:$9,2,FALSE)</f>
        <v>118.49</v>
      </c>
      <c r="DI101" s="169">
        <f t="shared" si="204"/>
        <v>4.194261824609434E-2</v>
      </c>
      <c r="DO101" s="184"/>
      <c r="DP101" s="184"/>
      <c r="DQ101" s="184"/>
      <c r="DR101" s="184"/>
      <c r="DS101" s="184"/>
      <c r="DT101" s="184"/>
      <c r="DU101" s="184"/>
      <c r="DV101" s="184"/>
      <c r="DW101" s="184"/>
      <c r="EB101">
        <f t="shared" si="199"/>
        <v>2021</v>
      </c>
    </row>
    <row r="102" spans="1:132" s="160" customFormat="1" ht="21">
      <c r="G102" s="161" t="s">
        <v>144</v>
      </c>
      <c r="H102" s="162"/>
      <c r="I102" s="163"/>
      <c r="J102" s="159">
        <v>6330.1197672864255</v>
      </c>
      <c r="K102" s="159">
        <f t="shared" si="205"/>
        <v>38.942600844579665</v>
      </c>
      <c r="L102" s="164">
        <f t="shared" ref="L102" si="227">LN(K102/K101)</f>
        <v>-3.0983256857003805E-2</v>
      </c>
      <c r="M102" s="76">
        <f t="shared" si="216"/>
        <v>-4.4683860397803601E-5</v>
      </c>
      <c r="N102" s="166">
        <f>+N101*EXP(O102)</f>
        <v>103.8125463864517</v>
      </c>
      <c r="O102" s="114">
        <f t="shared" si="217"/>
        <v>1.3340153207497638E-3</v>
      </c>
      <c r="P102" s="114"/>
      <c r="Q102" s="163">
        <v>8923.1808767772509</v>
      </c>
      <c r="R102" s="159">
        <f t="shared" si="206"/>
        <v>70.123228894123784</v>
      </c>
      <c r="S102" s="165">
        <f t="shared" ref="S102" si="228">LN(R102/R101)</f>
        <v>-6.9159592289622845E-2</v>
      </c>
      <c r="T102" s="165">
        <f t="shared" si="219"/>
        <v>-9.9741533993704458E-5</v>
      </c>
      <c r="U102" s="166"/>
      <c r="V102" s="114"/>
      <c r="W102" s="159">
        <f t="shared" si="187"/>
        <v>8175.4178916068804</v>
      </c>
      <c r="X102" s="165">
        <f>LN(W102/W101)</f>
        <v>0.51616769461075129</v>
      </c>
      <c r="Y102" s="167">
        <v>315.55973356330895</v>
      </c>
      <c r="Z102" s="168">
        <v>2.9461693502936388E-2</v>
      </c>
      <c r="AA102" s="76">
        <f t="shared" si="207"/>
        <v>4.2489471189033469E-5</v>
      </c>
      <c r="AB102" s="166"/>
      <c r="AC102" s="114"/>
      <c r="AD102" s="163">
        <f t="shared" si="226"/>
        <v>23428.718535670556</v>
      </c>
      <c r="AE102" s="168">
        <f t="shared" si="220"/>
        <v>0.15327150661555017</v>
      </c>
      <c r="AF102" s="113"/>
      <c r="AG102" s="114"/>
      <c r="AH102" s="114"/>
      <c r="AI102" s="114"/>
      <c r="AJ102" s="116">
        <f t="shared" si="221"/>
        <v>592.45716362803273</v>
      </c>
      <c r="AK102" s="114"/>
      <c r="AL102" s="115">
        <f t="shared" si="208"/>
        <v>0.27018634235793682</v>
      </c>
      <c r="AM102" s="115">
        <f t="shared" si="209"/>
        <v>0.38086508501058569</v>
      </c>
      <c r="AN102" s="115">
        <f t="shared" si="210"/>
        <v>0.34894857263147749</v>
      </c>
      <c r="AO102" s="115"/>
      <c r="AP102" s="166"/>
      <c r="AQ102" s="168"/>
      <c r="AR102" s="69">
        <f>+AD102/$AF$27</f>
        <v>1.4421937824042135E-3</v>
      </c>
      <c r="AS102" s="169"/>
      <c r="AT102" s="166"/>
      <c r="AU102" s="168"/>
      <c r="AV102" s="113">
        <v>39545</v>
      </c>
      <c r="AW102" s="68">
        <f t="shared" si="180"/>
        <v>-2.5760192040844799E-3</v>
      </c>
      <c r="AX102" s="113"/>
      <c r="AY102" s="113"/>
      <c r="AZ102" s="113"/>
      <c r="BA102" s="113"/>
      <c r="BB102" s="171"/>
      <c r="BC102" s="172"/>
      <c r="BD102" s="173"/>
      <c r="BE102" s="115"/>
      <c r="BF102" s="174"/>
      <c r="BG102" s="174"/>
      <c r="BH102" s="166"/>
      <c r="BI102" s="113"/>
      <c r="BJ102" s="113"/>
      <c r="BK102" s="113"/>
      <c r="BL102" s="113"/>
      <c r="BM102" s="232">
        <v>0.73187966610650435</v>
      </c>
      <c r="BN102" s="61">
        <f>+BM102*BL102</f>
        <v>0</v>
      </c>
      <c r="BO102" s="113"/>
      <c r="BP102" s="113"/>
      <c r="BQ102" s="175"/>
      <c r="BR102" s="175"/>
      <c r="BS102" s="170"/>
      <c r="BT102" s="176"/>
      <c r="BU102" s="177"/>
      <c r="BV102" s="177"/>
      <c r="BW102" s="113"/>
      <c r="BX102" s="113"/>
      <c r="BY102" s="113"/>
      <c r="BZ102" s="113"/>
      <c r="CA102" s="116">
        <v>2022</v>
      </c>
      <c r="CB102" s="113"/>
      <c r="CC102" s="113"/>
      <c r="CD102" s="113"/>
      <c r="CE102" s="175"/>
      <c r="CF102" s="113">
        <v>3075</v>
      </c>
      <c r="CG102" s="113">
        <f t="shared" si="190"/>
        <v>2.9830909672975623</v>
      </c>
      <c r="CH102" s="178">
        <f>+(51-24)/(51-24*0.75)</f>
        <v>0.81818181818181823</v>
      </c>
      <c r="CI102" s="113">
        <f>+CI78*CH102+CG79*CH101+CG80*CH100+CG81*CH99+CG82*CH98+CG83*CH97+CG84*CH96+CG85*CH95+CG86*CH94+CG87*CH93+CG88*CH92+CG89*CH91+CG90*CH90+CG91*CH89+CG92*CH88+CG93*CH87+CG94*CH86+CG95*CH85+CG96*CH84+CG97*CH83+CG98*CH82+CG99*CH81+CG100*CH80+CG101*CH79+CG102*CH78</f>
        <v>313.39541618183227</v>
      </c>
      <c r="CJ102" s="114">
        <f t="shared" ref="CJ102" si="229">LN(CI102/CI101)</f>
        <v>2.2579403326113474E-2</v>
      </c>
      <c r="CK102" s="113"/>
      <c r="CL102" s="169">
        <f>+(CI101-CI102+CG102)/CI101</f>
        <v>-1.3100260944643706E-2</v>
      </c>
      <c r="CM102" s="169">
        <f t="shared" ref="CM102" si="230">+(CL102+CL101+CL100)/3</f>
        <v>9.7504923744049284E-3</v>
      </c>
      <c r="CN102" s="114"/>
      <c r="CO102" s="169"/>
      <c r="CP102" s="169"/>
      <c r="CQ102" s="69">
        <f t="shared" si="202"/>
        <v>2.1151449234128698E-2</v>
      </c>
      <c r="CR102" s="169">
        <v>0.10114668178709289</v>
      </c>
      <c r="CS102" s="179">
        <f t="shared" si="193"/>
        <v>0.90120814999999999</v>
      </c>
      <c r="CT102" s="180"/>
      <c r="CU102" s="180"/>
      <c r="CV102" s="180"/>
      <c r="CW102" s="180"/>
      <c r="CX102" s="181">
        <f>CX101</f>
        <v>0.26700499999999999</v>
      </c>
      <c r="CY102" s="72">
        <v>0.37</v>
      </c>
      <c r="CZ102" s="182">
        <f t="shared" si="200"/>
        <v>26.682310354764933</v>
      </c>
      <c r="DA102" s="182"/>
      <c r="DB102" s="169">
        <f t="shared" si="203"/>
        <v>0.53092481051190077</v>
      </c>
      <c r="DC102" s="181">
        <v>0.04</v>
      </c>
      <c r="DD102" s="183">
        <v>7.0000000000000001E-3</v>
      </c>
      <c r="DE102" s="181">
        <v>1030.81</v>
      </c>
      <c r="DF102" s="72">
        <f t="shared" si="212"/>
        <v>162.55000000000001</v>
      </c>
      <c r="DG102" s="169">
        <f t="shared" si="213"/>
        <v>3.3148751169364422E-2</v>
      </c>
      <c r="DH102" s="175">
        <v>127.25</v>
      </c>
      <c r="DI102" s="169">
        <f t="shared" si="204"/>
        <v>7.1325086601983473E-2</v>
      </c>
      <c r="DO102" s="184"/>
      <c r="DP102" s="184"/>
      <c r="DQ102" s="184"/>
      <c r="DR102" s="184"/>
      <c r="DS102" s="184"/>
      <c r="DT102" s="184"/>
      <c r="DU102" s="184"/>
      <c r="DV102" s="184"/>
      <c r="DW102" s="184"/>
      <c r="EB102">
        <f t="shared" si="199"/>
        <v>2022</v>
      </c>
    </row>
    <row r="103" spans="1:132" s="160" customFormat="1" ht="21">
      <c r="A103" s="160" t="s">
        <v>165</v>
      </c>
      <c r="B103" s="161" t="s">
        <v>165</v>
      </c>
      <c r="C103" s="161">
        <v>4058516</v>
      </c>
      <c r="D103" s="161" t="s">
        <v>166</v>
      </c>
      <c r="E103" s="161"/>
      <c r="F103" s="161"/>
      <c r="G103" s="161" t="s">
        <v>100</v>
      </c>
      <c r="H103" s="162">
        <v>1998</v>
      </c>
      <c r="I103" s="163"/>
      <c r="J103" s="159"/>
      <c r="K103" s="159"/>
      <c r="L103" s="159"/>
      <c r="M103" s="60"/>
      <c r="N103" s="131"/>
      <c r="O103" s="76"/>
      <c r="P103" s="76"/>
      <c r="Q103" s="159"/>
      <c r="R103" s="159"/>
      <c r="S103" s="159"/>
      <c r="T103" s="159"/>
      <c r="U103" s="159"/>
      <c r="V103" s="159"/>
      <c r="W103" s="159"/>
      <c r="X103" s="163"/>
      <c r="Y103" s="167">
        <v>408.38404338119699</v>
      </c>
      <c r="Z103" s="168"/>
      <c r="AA103" s="78"/>
      <c r="AB103" s="168"/>
      <c r="AC103" s="168"/>
      <c r="AD103" s="163">
        <f t="shared" si="226"/>
        <v>0</v>
      </c>
      <c r="AE103" s="163"/>
      <c r="AF103" s="163"/>
      <c r="AG103" s="114"/>
      <c r="AH103" s="114"/>
      <c r="AI103" s="114"/>
      <c r="AJ103" s="166">
        <f>+(AJ100+AJ101+AJ102)/3</f>
        <v>534.0948689910515</v>
      </c>
      <c r="AK103" s="168"/>
      <c r="AL103" s="115"/>
      <c r="AM103" s="115"/>
      <c r="AN103" s="115"/>
      <c r="AO103" s="115"/>
      <c r="AP103" s="115"/>
      <c r="AQ103" s="168">
        <f>AVERAGE(AQ112:AQ126)</f>
        <v>1.5824036365698867E-2</v>
      </c>
      <c r="AR103" s="79"/>
      <c r="AS103" s="115"/>
      <c r="AT103" s="115"/>
      <c r="AU103" s="115"/>
      <c r="AV103" s="113">
        <f>IFERROR(INDEX('Total Customers'!$F$7:$AB$91,MATCH($C103,'Total Customers'!$D$7:$D$91,0),MATCH($G103,'Total Customers'!$F$5:$AB$5,0)),"NA")</f>
        <v>107197</v>
      </c>
      <c r="AW103" s="68"/>
      <c r="AX103" s="114"/>
      <c r="AY103" s="114"/>
      <c r="AZ103" s="116"/>
      <c r="BA103" s="116"/>
      <c r="BB103" s="166"/>
      <c r="BC103" s="166"/>
      <c r="BD103" s="166"/>
      <c r="BE103" s="166"/>
      <c r="BF103" s="166"/>
      <c r="BG103" s="166"/>
      <c r="BH103" s="166"/>
      <c r="BI103" s="113">
        <f>INDEX('Gross Dx Plant'!$E$7:$AD$91,MATCH($C103,'Gross Dx Plant'!$D$7:$D$91,0),MATCH(Calculation!$G103,'Gross Dx Plant'!$E$5:$AD$5,0))</f>
        <v>108976</v>
      </c>
      <c r="BJ103" s="113">
        <f>INDEX('Gross Gen Plant'!$E$7:$AD$91,MATCH($C103,'Gross Gen Plant'!$D$7:$D$91,0),MATCH(Calculation!$G103,'Gross Gen Plant'!$E$5:$AD$5,0))</f>
        <v>27016</v>
      </c>
      <c r="BK103" s="113">
        <f>INDEX('Dist. Plant Gas Additions'!$F$7:$AE$91,MATCH($C103,'Dist. Plant Gas Additions'!$D$7:$D$91,0),MATCH(Calculation!$G103,'Dist. Plant Gas Additions'!$F$5:$AE$5,0))</f>
        <v>5691</v>
      </c>
      <c r="BL103" s="113">
        <f>INDEX('Gen. Plant Additions'!$F$7:$AE$91,MATCH($C103,'Gen. Plant Additions'!$D$7:$D$91,0),MATCH(Calculation!$G103,'Gen. Plant Additions'!$F$5:$AE$5,0))</f>
        <v>2288</v>
      </c>
      <c r="BM103" s="231">
        <f>+(BW103/(BW103+BX103))</f>
        <v>0.80134125536796286</v>
      </c>
      <c r="BN103" s="61">
        <f t="shared" ref="BN103:BN121" si="231">+BM103*BL103</f>
        <v>1833.4687922818989</v>
      </c>
      <c r="BO103" s="113">
        <f>INDEX('Dist Plant Depreciation'!$E$7:$AD$94,MATCH($C103,'Dist Plant Depreciation'!$D$7:$D$94,0),MATCH(Calculation!$G103,'Dist Plant Depreciation'!$E$5:$AD$5,0))</f>
        <v>43585</v>
      </c>
      <c r="BP103" s="113">
        <f>INDEX('Gen. Plant Depreciation'!$E$7:$AD$94,MATCH($C103,'Gen. Plant Depreciation'!$D$7:$D$94,0),MATCH(Calculation!$G103,'Gen. Plant Depreciation'!$E$5:$AD$5,0))</f>
        <v>10028</v>
      </c>
      <c r="BQ103" s="113"/>
      <c r="BR103" s="113"/>
      <c r="BS103" s="113"/>
      <c r="BT103" s="113"/>
      <c r="BU103" s="113"/>
      <c r="BV103" s="113"/>
      <c r="BW103" s="113">
        <f>INDEX('Gross Dx Plant'!$E$7:$AD$91,MATCH($C103,'Gross Dx Plant'!$D$7:$D$91,0),MATCH(Calculation!$G103,'Gross Dx Plant'!$E$5:$AD$5,0))</f>
        <v>108976</v>
      </c>
      <c r="BX103" s="113">
        <f>INDEX('Gross Gen Plant'!$E$7:$AD$91,MATCH($C103,'Gross Gen Plant'!$D$7:$D$91,0),MATCH(Calculation!$G103,'Gross Gen Plant'!$E$5:$AD$5,0))</f>
        <v>27016</v>
      </c>
      <c r="BY103" s="113">
        <f t="shared" si="182"/>
        <v>82379</v>
      </c>
      <c r="BZ103" s="113"/>
      <c r="CA103" s="116">
        <v>1998</v>
      </c>
      <c r="CB103" s="113">
        <f>BI103+BJ103</f>
        <v>135992</v>
      </c>
      <c r="CC103" s="113">
        <f>43585+10028</f>
        <v>53613</v>
      </c>
      <c r="CD103" s="113">
        <f>+CB103-CC103</f>
        <v>82379</v>
      </c>
      <c r="CE103" s="113">
        <f>CD103/$BV$3</f>
        <v>408.38404338119699</v>
      </c>
      <c r="CF103" s="175"/>
      <c r="CG103" s="175"/>
      <c r="CH103" s="178">
        <v>1</v>
      </c>
      <c r="CI103" s="113">
        <f>+CE103</f>
        <v>408.38404338119699</v>
      </c>
      <c r="CJ103" s="114"/>
      <c r="CK103" s="114"/>
      <c r="CL103" s="169"/>
      <c r="CM103" s="169"/>
      <c r="CN103" s="114" t="e">
        <f>VLOOKUP($H103,RoR!$E:$F,2,FALSE)</f>
        <v>#N/A</v>
      </c>
      <c r="CO103" s="169">
        <v>1.1028127770464469E-2</v>
      </c>
      <c r="CP103" s="169"/>
      <c r="CQ103" s="169"/>
      <c r="CR103" s="169"/>
      <c r="CS103" s="179"/>
      <c r="CT103" s="182" t="e">
        <f>2/(DC103*39)</f>
        <v>#N/A</v>
      </c>
      <c r="CU103" s="180" t="e">
        <f>+(DC103*40-(1+DC103))/(DC103*40)</f>
        <v>#N/A</v>
      </c>
      <c r="CV103" s="180" t="e">
        <f>+(1-(1/(1+DC103)^40))</f>
        <v>#N/A</v>
      </c>
      <c r="CW103" s="180" t="e">
        <f>+CV103*CU103*CT103</f>
        <v>#N/A</v>
      </c>
      <c r="CX103" s="181">
        <f>INDEX('State Tax Lookup'!$D$7:$Z$91,MATCH(Calculation!$C103,'State Tax Lookup'!$B$7:$B$91,0),MATCH($H103,'State Tax Lookup'!$D$6:$Z$6,0))</f>
        <v>0.39224999999999999</v>
      </c>
      <c r="CY103" s="72">
        <v>0.37</v>
      </c>
      <c r="CZ103" s="66"/>
      <c r="DA103" s="66"/>
      <c r="DB103" s="69"/>
      <c r="DC103" s="111" t="e">
        <f>VLOOKUP($H103,RoR!$E:$F,2,FALSE)</f>
        <v>#N/A</v>
      </c>
      <c r="DD103" s="216">
        <f>HLOOKUP($H103,'GDP-PI'!$D$8:$CQ$11,3,FALSE)</f>
        <v>1.1028127770464469E-2</v>
      </c>
      <c r="DE103" s="111">
        <f>VLOOKUP(H103,'HW Dx Data'!$E:$F,2,FALSE)</f>
        <v>329.24564746449528</v>
      </c>
      <c r="DF103" s="66"/>
      <c r="DG103" s="69"/>
      <c r="DH103" s="66">
        <f>HLOOKUP(H103,'GDP-PI'!$8:$9,2,FALSE)</f>
        <v>75.266999999999996</v>
      </c>
      <c r="DI103"/>
      <c r="DO103" s="184"/>
      <c r="DP103" s="184"/>
      <c r="DQ103" s="184"/>
      <c r="DR103" s="184"/>
      <c r="DS103" s="184"/>
      <c r="DT103" s="184"/>
      <c r="DU103" s="184"/>
      <c r="DV103" s="184"/>
      <c r="DW103" s="184"/>
      <c r="EB103">
        <v>1998</v>
      </c>
    </row>
    <row r="104" spans="1:132" s="160" customFormat="1" ht="21">
      <c r="A104" s="160" t="s">
        <v>165</v>
      </c>
      <c r="B104" s="161" t="s">
        <v>165</v>
      </c>
      <c r="C104" s="161">
        <v>4058516</v>
      </c>
      <c r="D104" s="161" t="s">
        <v>166</v>
      </c>
      <c r="E104" s="161"/>
      <c r="F104" s="161"/>
      <c r="G104" s="161" t="s">
        <v>106</v>
      </c>
      <c r="H104" s="162">
        <v>1999</v>
      </c>
      <c r="I104" s="163"/>
      <c r="J104" s="159"/>
      <c r="K104" s="159"/>
      <c r="L104" s="159"/>
      <c r="M104" s="60"/>
      <c r="N104" s="152"/>
      <c r="O104" s="60"/>
      <c r="P104" s="60"/>
      <c r="Q104" s="159"/>
      <c r="R104" s="159"/>
      <c r="S104" s="159"/>
      <c r="T104" s="187"/>
      <c r="U104" s="159"/>
      <c r="V104" s="159"/>
      <c r="W104" s="159">
        <f t="shared" ref="W104:W127" si="232">+CI103*CZ104</f>
        <v>0</v>
      </c>
      <c r="X104" s="163"/>
      <c r="Y104" s="167">
        <v>427.42437674450576</v>
      </c>
      <c r="Z104" s="168">
        <v>4.5569361752341497E-2</v>
      </c>
      <c r="AA104" s="78"/>
      <c r="AB104" s="168"/>
      <c r="AC104" s="168"/>
      <c r="AD104" s="163">
        <f t="shared" si="226"/>
        <v>0</v>
      </c>
      <c r="AE104" s="168"/>
      <c r="AF104" s="163"/>
      <c r="AG104" s="114"/>
      <c r="AH104" s="114"/>
      <c r="AI104" s="114"/>
      <c r="AJ104" s="167"/>
      <c r="AK104" s="168"/>
      <c r="AL104" s="115"/>
      <c r="AM104" s="115"/>
      <c r="AN104" s="115"/>
      <c r="AO104" s="115"/>
      <c r="AP104" s="115"/>
      <c r="AQ104" s="168"/>
      <c r="AR104" s="79"/>
      <c r="AS104" s="115"/>
      <c r="AT104" s="115"/>
      <c r="AU104" s="115"/>
      <c r="AV104" s="113">
        <f>IFERROR(INDEX('Total Customers'!$F$7:$AB$91,MATCH($C104,'Total Customers'!$D$7:$D$91,0),MATCH($G104,'Total Customers'!$F$5:$AB$5,0)),"NA")</f>
        <v>109707</v>
      </c>
      <c r="AW104" s="68">
        <f t="shared" si="180"/>
        <v>2.3144912466880985E-2</v>
      </c>
      <c r="AX104" s="114"/>
      <c r="AY104" s="114"/>
      <c r="AZ104" s="116"/>
      <c r="BA104" s="116"/>
      <c r="BB104" s="166"/>
      <c r="BC104" s="166"/>
      <c r="BD104" s="166"/>
      <c r="BE104" s="166"/>
      <c r="BF104" s="166"/>
      <c r="BG104" s="166"/>
      <c r="BH104" s="166"/>
      <c r="BI104" s="113"/>
      <c r="BJ104" s="113"/>
      <c r="BK104" s="113">
        <f>INDEX('Dist. Plant Gas Additions'!$F$7:$AE$91,MATCH($C104,'Dist. Plant Gas Additions'!$D$7:$D$91,0),MATCH(Calculation!$G104,'Dist. Plant Gas Additions'!$F$5:$AE$5,0))</f>
        <v>4408</v>
      </c>
      <c r="BL104" s="113">
        <f>INDEX('Gen. Plant Additions'!$F$7:$AE$91,MATCH($C104,'Gen. Plant Additions'!$D$7:$D$91,0),MATCH(Calculation!$G104,'Gen. Plant Additions'!$F$5:$AE$5,0))</f>
        <v>2658</v>
      </c>
      <c r="BM104" s="231">
        <f t="shared" ref="BM104:BM125" si="233">+(BW104/(BW104+BX104))</f>
        <v>0.79857923961697541</v>
      </c>
      <c r="BN104" s="61">
        <f t="shared" si="231"/>
        <v>2122.6236189019205</v>
      </c>
      <c r="BO104" s="113">
        <f>INDEX('Dist Plant Depreciation'!$E$7:$AD$94,MATCH($C104,'Dist Plant Depreciation'!$D$7:$D$94,0),MATCH(Calculation!$G104,'Dist Plant Depreciation'!$E$5:$AD$5,0))</f>
        <v>45779</v>
      </c>
      <c r="BP104" s="113">
        <f>INDEX('Gen. Plant Depreciation'!$E$7:$AD$94,MATCH($C104,'Gen. Plant Depreciation'!$D$7:$D$94,0),MATCH(Calculation!$G104,'Gen. Plant Depreciation'!$E$5:$AD$5,0))</f>
        <v>10961</v>
      </c>
      <c r="BQ104" s="113"/>
      <c r="BR104" s="113"/>
      <c r="BS104" s="113"/>
      <c r="BT104" s="113"/>
      <c r="BU104" s="113"/>
      <c r="BV104" s="113"/>
      <c r="BW104" s="113">
        <f>INDEX('Gross Dx Plant'!$E$7:$AD$91,MATCH($C104,'Gross Dx Plant'!$D$7:$D$91,0),MATCH(Calculation!$G104,'Gross Dx Plant'!$E$5:$AD$5,0))</f>
        <v>112753</v>
      </c>
      <c r="BX104" s="113">
        <f>INDEX('Gross Gen Plant'!$E$7:$AD$91,MATCH($C104,'Gross Gen Plant'!$D$7:$D$91,0),MATCH(Calculation!$G104,'Gross Gen Plant'!$E$5:$AD$5,0))</f>
        <v>28439</v>
      </c>
      <c r="BY104" s="113">
        <f t="shared" si="182"/>
        <v>84452</v>
      </c>
      <c r="BZ104" s="113"/>
      <c r="CA104" s="116">
        <v>1999</v>
      </c>
      <c r="CB104" s="113"/>
      <c r="CC104" s="113"/>
      <c r="CD104" s="113"/>
      <c r="CE104" s="175"/>
      <c r="CF104" s="113">
        <f t="shared" ref="CF104:CF126" si="234">+BL104+BK104</f>
        <v>7066</v>
      </c>
      <c r="CG104" s="113">
        <f t="shared" ref="CG104:CG126" si="235">+CF104/$DE104</f>
        <v>21.072094773165485</v>
      </c>
      <c r="CH104" s="178">
        <v>0.99502487562189057</v>
      </c>
      <c r="CI104" s="61">
        <f>+CI103*CH104+CG104</f>
        <v>427.42437674450576</v>
      </c>
      <c r="CJ104" s="114">
        <f t="shared" ref="CJ104:CJ126" si="236">LN(CI104/CI103)</f>
        <v>4.5569361752341497E-2</v>
      </c>
      <c r="CK104" s="114"/>
      <c r="CL104" s="169">
        <f t="shared" ref="CL104:CL126" si="237">+(CI103-CI104+CG104)/CI103</f>
        <v>4.9751243781094735E-3</v>
      </c>
      <c r="CM104" s="169"/>
      <c r="CN104" s="114">
        <f>VLOOKUP($H104,RoR!$E:$F,2,FALSE)</f>
        <v>7.0416666666666669E-2</v>
      </c>
      <c r="CO104" s="169">
        <v>1.4335631817396832E-2</v>
      </c>
      <c r="CP104" s="169">
        <f>+CN104-CO104</f>
        <v>5.6081034849269837E-2</v>
      </c>
      <c r="CQ104" s="169"/>
      <c r="CR104" s="169"/>
      <c r="CS104" s="179">
        <f t="shared" ref="CS104:CS127" si="238">1-CX104*CY104</f>
        <v>0.8548675</v>
      </c>
      <c r="CT104" s="180">
        <f t="shared" ref="CT104:CT126" si="239">2/(DC104*39)</f>
        <v>0.72826581702321336</v>
      </c>
      <c r="CU104" s="180">
        <f t="shared" ref="CU104:CU126" si="240">+(DC104*40-(1+DC104))/(DC104*40)</f>
        <v>0.61997041420118348</v>
      </c>
      <c r="CV104" s="180">
        <f t="shared" ref="CV104:CV126" si="241">+(1-(1/(1+DC104)^40))</f>
        <v>0.93425155319585029</v>
      </c>
      <c r="CW104" s="180">
        <f t="shared" ref="CW104:CW126" si="242">+CV104*CU104*CT104</f>
        <v>0.42181762214141483</v>
      </c>
      <c r="CX104" s="181">
        <f>INDEX('State Tax Lookup'!$D$7:$Z$91,MATCH(Calculation!$C104,'State Tax Lookup'!$B$7:$B$91,0),MATCH($H104,'State Tax Lookup'!$D$6:$Z$6,0))</f>
        <v>0.39224999999999999</v>
      </c>
      <c r="CY104" s="72">
        <v>0.37</v>
      </c>
      <c r="CZ104" s="70"/>
      <c r="DA104" s="70"/>
      <c r="DB104" s="69"/>
      <c r="DC104" s="111">
        <f>VLOOKUP($H104,RoR!$E:$F,2,FALSE)</f>
        <v>7.0416666666666669E-2</v>
      </c>
      <c r="DD104" s="216">
        <f>HLOOKUP($H104,'GDP-PI'!$D$8:$CQ$11,3,FALSE)</f>
        <v>1.4335631817396832E-2</v>
      </c>
      <c r="DE104" s="111">
        <f>VLOOKUP(H104,'HW Dx Data'!$E:$F,2,FALSE)</f>
        <v>335.32499146683239</v>
      </c>
      <c r="DF104" s="66"/>
      <c r="DG104" s="69"/>
      <c r="DH104" s="66">
        <f>HLOOKUP(H104,'GDP-PI'!$8:$9,2,FALSE)</f>
        <v>76.346000000000004</v>
      </c>
      <c r="DI104"/>
      <c r="DO104" s="184"/>
      <c r="DP104" s="184"/>
      <c r="DQ104" s="184"/>
      <c r="DR104" s="184"/>
      <c r="DS104" s="184"/>
      <c r="DT104" s="184"/>
      <c r="DU104" s="184"/>
      <c r="DV104" s="184"/>
      <c r="DW104" s="184"/>
      <c r="EB104">
        <f>+EB103+1</f>
        <v>1999</v>
      </c>
    </row>
    <row r="105" spans="1:132" s="160" customFormat="1" ht="21">
      <c r="A105" s="160" t="s">
        <v>165</v>
      </c>
      <c r="B105" s="161" t="s">
        <v>165</v>
      </c>
      <c r="C105" s="161">
        <v>4058516</v>
      </c>
      <c r="D105" s="161" t="s">
        <v>166</v>
      </c>
      <c r="E105" s="161"/>
      <c r="F105" s="161"/>
      <c r="G105" s="161" t="s">
        <v>107</v>
      </c>
      <c r="H105" s="162">
        <v>2000</v>
      </c>
      <c r="I105" s="163"/>
      <c r="J105" s="159"/>
      <c r="K105" s="159"/>
      <c r="L105" s="159"/>
      <c r="M105" s="60"/>
      <c r="N105" s="152"/>
      <c r="O105" s="60"/>
      <c r="P105" s="60"/>
      <c r="Q105" s="159"/>
      <c r="R105" s="159"/>
      <c r="S105" s="159"/>
      <c r="T105" s="159"/>
      <c r="U105" s="159"/>
      <c r="V105" s="159"/>
      <c r="W105" s="159">
        <f t="shared" si="232"/>
        <v>0</v>
      </c>
      <c r="X105" s="163"/>
      <c r="Y105" s="167">
        <v>438.05901659183206</v>
      </c>
      <c r="Z105" s="168">
        <v>2.4576266152221752E-2</v>
      </c>
      <c r="AA105" s="78"/>
      <c r="AB105" s="168"/>
      <c r="AC105" s="168"/>
      <c r="AD105" s="163">
        <f t="shared" si="226"/>
        <v>0</v>
      </c>
      <c r="AE105" s="168"/>
      <c r="AF105" s="163"/>
      <c r="AG105" s="163"/>
      <c r="AH105" s="163"/>
      <c r="AI105" s="163"/>
      <c r="AJ105" s="167"/>
      <c r="AK105" s="168"/>
      <c r="AL105" s="115"/>
      <c r="AM105" s="115"/>
      <c r="AN105" s="115"/>
      <c r="AO105" s="115"/>
      <c r="AP105" s="115"/>
      <c r="AQ105" s="168"/>
      <c r="AR105" s="79"/>
      <c r="AS105" s="115"/>
      <c r="AT105" s="115"/>
      <c r="AU105" s="115"/>
      <c r="AV105" s="113">
        <f>IFERROR(INDEX('Total Customers'!$F$7:$AB$91,MATCH($C105,'Total Customers'!$D$7:$D$91,0),MATCH($G105,'Total Customers'!$F$5:$AB$5,0)),"NA")</f>
        <v>112401</v>
      </c>
      <c r="AW105" s="68">
        <f t="shared" si="180"/>
        <v>2.4259658579801308E-2</v>
      </c>
      <c r="AX105" s="114"/>
      <c r="AY105" s="114"/>
      <c r="AZ105" s="116"/>
      <c r="BA105" s="116"/>
      <c r="BB105" s="166"/>
      <c r="BC105" s="166"/>
      <c r="BD105" s="166"/>
      <c r="BE105" s="166"/>
      <c r="BF105" s="166"/>
      <c r="BG105" s="166"/>
      <c r="BH105" s="166"/>
      <c r="BI105" s="113"/>
      <c r="BJ105" s="113"/>
      <c r="BK105" s="113">
        <f>INDEX('Dist. Plant Gas Additions'!$F$7:$AE$91,MATCH($C105,'Dist. Plant Gas Additions'!$D$7:$D$91,0),MATCH(Calculation!$G105,'Dist. Plant Gas Additions'!$F$5:$AE$5,0))</f>
        <v>3129</v>
      </c>
      <c r="BL105" s="113">
        <f>INDEX('Gen. Plant Additions'!$F$7:$AE$91,MATCH($C105,'Gen. Plant Additions'!$D$7:$D$91,0),MATCH(Calculation!$G105,'Gen. Plant Additions'!$F$5:$AE$5,0))</f>
        <v>1318</v>
      </c>
      <c r="BM105" s="231">
        <f t="shared" si="233"/>
        <v>0.77743852120812018</v>
      </c>
      <c r="BN105" s="61">
        <f t="shared" si="231"/>
        <v>1024.6639709523024</v>
      </c>
      <c r="BO105" s="113">
        <f>INDEX('Dist Plant Depreciation'!$E$7:$AD$94,MATCH($C105,'Dist Plant Depreciation'!$D$7:$D$94,0),MATCH(Calculation!$G105,'Dist Plant Depreciation'!$E$5:$AD$5,0))</f>
        <v>35489</v>
      </c>
      <c r="BP105" s="113">
        <f>INDEX('Gen. Plant Depreciation'!$E$7:$AD$94,MATCH($C105,'Gen. Plant Depreciation'!$D$7:$D$94,0),MATCH(Calculation!$G105,'Gen. Plant Depreciation'!$E$5:$AD$5,0))</f>
        <v>10722</v>
      </c>
      <c r="BQ105" s="113"/>
      <c r="BR105" s="113"/>
      <c r="BS105" s="113"/>
      <c r="BT105" s="113"/>
      <c r="BU105" s="113"/>
      <c r="BV105" s="113"/>
      <c r="BW105" s="113">
        <f>INDEX('Gross Dx Plant'!$E$7:$AD$91,MATCH($C105,'Gross Dx Plant'!$D$7:$D$91,0),MATCH(Calculation!$G105,'Gross Dx Plant'!$E$5:$AD$5,0))</f>
        <v>84789</v>
      </c>
      <c r="BX105" s="113">
        <f>INDEX('Gross Gen Plant'!$E$7:$AD$91,MATCH($C105,'Gross Gen Plant'!$D$7:$D$91,0),MATCH(Calculation!$G105,'Gross Gen Plant'!$E$5:$AD$5,0))</f>
        <v>24273</v>
      </c>
      <c r="BY105" s="113">
        <f t="shared" si="182"/>
        <v>62851</v>
      </c>
      <c r="BZ105" s="113"/>
      <c r="CA105" s="116">
        <v>2000</v>
      </c>
      <c r="CB105" s="113"/>
      <c r="CC105" s="113"/>
      <c r="CD105" s="113"/>
      <c r="CE105" s="175"/>
      <c r="CF105" s="113">
        <f t="shared" si="234"/>
        <v>4447</v>
      </c>
      <c r="CG105" s="113">
        <f t="shared" si="235"/>
        <v>12.83280607715816</v>
      </c>
      <c r="CH105" s="178">
        <v>0.98989898989898994</v>
      </c>
      <c r="CI105" s="61">
        <f>+CI103*CH105+CG104*CH104+CG105</f>
        <v>438.05901659183206</v>
      </c>
      <c r="CJ105" s="114">
        <f t="shared" si="236"/>
        <v>2.4576266152221752E-2</v>
      </c>
      <c r="CK105" s="114"/>
      <c r="CL105" s="169">
        <f t="shared" si="237"/>
        <v>5.1428190562603851E-3</v>
      </c>
      <c r="CM105" s="169"/>
      <c r="CN105" s="114">
        <f>VLOOKUP($H105,RoR!$E:$F,2,FALSE)</f>
        <v>7.6225000000000001E-2</v>
      </c>
      <c r="CO105" s="169">
        <v>2.2568307442433211E-2</v>
      </c>
      <c r="CP105" s="169">
        <f t="shared" ref="CP105:CP125" si="243">+CN105-CO105</f>
        <v>5.365669255756679E-2</v>
      </c>
      <c r="CQ105" s="169"/>
      <c r="CR105" s="169"/>
      <c r="CS105" s="179">
        <f t="shared" si="238"/>
        <v>0.8548675</v>
      </c>
      <c r="CT105" s="180">
        <f t="shared" si="239"/>
        <v>0.67277207323124022</v>
      </c>
      <c r="CU105" s="180">
        <f t="shared" si="240"/>
        <v>0.6470236142997704</v>
      </c>
      <c r="CV105" s="180">
        <f t="shared" si="241"/>
        <v>0.94704866037543145</v>
      </c>
      <c r="CW105" s="180">
        <f t="shared" si="242"/>
        <v>0.41224973107878493</v>
      </c>
      <c r="CX105" s="181">
        <f>INDEX('State Tax Lookup'!$D$7:$Z$91,MATCH(Calculation!$C105,'State Tax Lookup'!$B$7:$B$91,0),MATCH($H105,'State Tax Lookup'!$D$6:$Z$6,0))</f>
        <v>0.39224999999999999</v>
      </c>
      <c r="CY105" s="72">
        <v>0.37</v>
      </c>
      <c r="CZ105" s="70"/>
      <c r="DA105" s="70"/>
      <c r="DB105" s="69"/>
      <c r="DC105" s="111">
        <f>VLOOKUP($H105,RoR!$E:$F,2,FALSE)</f>
        <v>7.6225000000000001E-2</v>
      </c>
      <c r="DD105" s="216">
        <f>HLOOKUP($H105,'GDP-PI'!$D$8:$CQ$11,3,FALSE)</f>
        <v>2.2568307442433211E-2</v>
      </c>
      <c r="DE105" s="111">
        <f>VLOOKUP(H105,'HW Dx Data'!$E:$F,2,FALSE)</f>
        <v>346.53371782150339</v>
      </c>
      <c r="DF105" s="66"/>
      <c r="DG105" s="69"/>
      <c r="DH105" s="66">
        <f>HLOOKUP(H105,'GDP-PI'!$8:$9,2,FALSE)</f>
        <v>78.069000000000003</v>
      </c>
      <c r="DI105"/>
      <c r="DO105" s="184"/>
      <c r="DP105" s="184"/>
      <c r="DQ105" s="184"/>
      <c r="DR105" s="184"/>
      <c r="DS105" s="184"/>
      <c r="DT105" s="184"/>
      <c r="DU105" s="184"/>
      <c r="DV105" s="184"/>
      <c r="DW105" s="184"/>
      <c r="EB105">
        <f t="shared" ref="EB105:EB106" si="244">+EB104+1</f>
        <v>2000</v>
      </c>
    </row>
    <row r="106" spans="1:132" s="160" customFormat="1" ht="21">
      <c r="A106" s="160" t="s">
        <v>165</v>
      </c>
      <c r="B106" s="161" t="s">
        <v>165</v>
      </c>
      <c r="C106" s="161">
        <v>4058516</v>
      </c>
      <c r="D106" s="161" t="s">
        <v>166</v>
      </c>
      <c r="E106" s="161"/>
      <c r="F106" s="161"/>
      <c r="G106" s="161" t="s">
        <v>111</v>
      </c>
      <c r="H106" s="162">
        <v>2001</v>
      </c>
      <c r="I106" s="163"/>
      <c r="J106" s="159"/>
      <c r="K106" s="159"/>
      <c r="L106" s="159"/>
      <c r="M106" s="60"/>
      <c r="N106" s="152"/>
      <c r="O106" s="60"/>
      <c r="P106" s="60"/>
      <c r="Q106" s="159"/>
      <c r="R106" s="159"/>
      <c r="S106" s="159"/>
      <c r="T106" s="159"/>
      <c r="U106" s="159"/>
      <c r="V106" s="159"/>
      <c r="W106" s="159">
        <f t="shared" si="232"/>
        <v>5605.27381217738</v>
      </c>
      <c r="X106" s="163"/>
      <c r="Y106" s="167">
        <v>447.79504986449592</v>
      </c>
      <c r="Z106" s="168">
        <v>2.1982007382047572E-2</v>
      </c>
      <c r="AA106" s="78"/>
      <c r="AB106" s="168"/>
      <c r="AC106" s="168"/>
      <c r="AD106" s="163">
        <f t="shared" si="226"/>
        <v>5605.27381217738</v>
      </c>
      <c r="AE106" s="168"/>
      <c r="AF106" s="163"/>
      <c r="AG106" s="163"/>
      <c r="AH106" s="163"/>
      <c r="AI106" s="163"/>
      <c r="AJ106" s="167"/>
      <c r="AK106" s="168"/>
      <c r="AL106" s="115"/>
      <c r="AM106" s="115"/>
      <c r="AN106" s="115"/>
      <c r="AO106" s="115"/>
      <c r="AP106" s="115"/>
      <c r="AQ106" s="168"/>
      <c r="AR106" s="79"/>
      <c r="AS106" s="115"/>
      <c r="AT106" s="115"/>
      <c r="AU106" s="115"/>
      <c r="AV106" s="113">
        <f>IFERROR(INDEX('Total Customers'!$F$7:$AB$91,MATCH($C106,'Total Customers'!$D$7:$D$91,0),MATCH($G106,'Total Customers'!$F$5:$AB$5,0)),"NA")</f>
        <v>114211</v>
      </c>
      <c r="AW106" s="68">
        <f t="shared" si="180"/>
        <v>1.5974780607734464E-2</v>
      </c>
      <c r="AX106" s="114"/>
      <c r="AY106" s="114"/>
      <c r="AZ106" s="116"/>
      <c r="BA106" s="116"/>
      <c r="BB106" s="166"/>
      <c r="BC106" s="166"/>
      <c r="BD106" s="166"/>
      <c r="BE106" s="166"/>
      <c r="BF106" s="166"/>
      <c r="BG106" s="166"/>
      <c r="BH106" s="166"/>
      <c r="BI106" s="113"/>
      <c r="BJ106" s="113"/>
      <c r="BK106" s="113">
        <f>INDEX('Dist. Plant Gas Additions'!$F$7:$AE$91,MATCH($C106,'Dist. Plant Gas Additions'!$D$7:$D$91,0),MATCH(Calculation!$G106,'Dist. Plant Gas Additions'!$F$5:$AE$5,0))</f>
        <v>2569</v>
      </c>
      <c r="BL106" s="113">
        <f>INDEX('Gen. Plant Additions'!$F$7:$AE$91,MATCH($C106,'Gen. Plant Additions'!$D$7:$D$91,0),MATCH(Calculation!$G106,'Gen. Plant Additions'!$F$5:$AE$5,0))</f>
        <v>1673</v>
      </c>
      <c r="BM106" s="231">
        <f t="shared" si="233"/>
        <v>0.780644179195358</v>
      </c>
      <c r="BN106" s="61">
        <f t="shared" si="231"/>
        <v>1306.017711793834</v>
      </c>
      <c r="BO106" s="113">
        <f>INDEX('Dist Plant Depreciation'!$E$7:$AD$94,MATCH($C106,'Dist Plant Depreciation'!$D$7:$D$94,0),MATCH(Calculation!$G106,'Dist Plant Depreciation'!$E$5:$AD$5,0))</f>
        <v>37457</v>
      </c>
      <c r="BP106" s="113">
        <f>INDEX('Gen. Plant Depreciation'!$E$7:$AD$94,MATCH($C106,'Gen. Plant Depreciation'!$D$7:$D$94,0),MATCH(Calculation!$G106,'Gen. Plant Depreciation'!$E$5:$AD$5,0))</f>
        <v>11128</v>
      </c>
      <c r="BQ106" s="113"/>
      <c r="BR106" s="113"/>
      <c r="BS106" s="113"/>
      <c r="BT106" s="113"/>
      <c r="BU106" s="113"/>
      <c r="BV106" s="113"/>
      <c r="BW106" s="113">
        <f>INDEX('Gross Dx Plant'!$E$7:$AD$91,MATCH($C106,'Gross Dx Plant'!$D$7:$D$91,0),MATCH(Calculation!$G106,'Gross Dx Plant'!$E$5:$AD$5,0))</f>
        <v>87180</v>
      </c>
      <c r="BX106" s="113">
        <f>INDEX('Gross Gen Plant'!$E$7:$AD$91,MATCH($C106,'Gross Gen Plant'!$D$7:$D$91,0),MATCH(Calculation!$G106,'Gross Gen Plant'!$E$5:$AD$5,0))</f>
        <v>24497</v>
      </c>
      <c r="BY106" s="113">
        <f t="shared" si="182"/>
        <v>63092</v>
      </c>
      <c r="BZ106" s="113"/>
      <c r="CA106" s="116">
        <v>2001</v>
      </c>
      <c r="CB106" s="113"/>
      <c r="CC106" s="113"/>
      <c r="CD106" s="113"/>
      <c r="CE106" s="175"/>
      <c r="CF106" s="113">
        <f t="shared" si="234"/>
        <v>4242</v>
      </c>
      <c r="CG106" s="113">
        <f t="shared" si="235"/>
        <v>12.001786511762264</v>
      </c>
      <c r="CH106" s="178">
        <v>0.98461538461538467</v>
      </c>
      <c r="CI106" s="61">
        <f>+CI103*CH106+CG104*CH105+CG105*CH103+CG106</f>
        <v>447.79504986449592</v>
      </c>
      <c r="CJ106" s="114">
        <f t="shared" si="236"/>
        <v>2.1982007382047572E-2</v>
      </c>
      <c r="CK106" s="114"/>
      <c r="CL106" s="169">
        <f t="shared" si="237"/>
        <v>5.1722556853784664E-3</v>
      </c>
      <c r="CM106" s="169">
        <f>+(CL106+CL105+CL104)/3</f>
        <v>5.0967330399161086E-3</v>
      </c>
      <c r="CN106" s="114">
        <f>VLOOKUP($H106,RoR!$E:$F,2,FALSE)</f>
        <v>7.0824999999999999E-2</v>
      </c>
      <c r="CO106" s="169">
        <v>2.2454495382290052E-2</v>
      </c>
      <c r="CP106" s="169">
        <f t="shared" si="243"/>
        <v>4.8370504617709947E-2</v>
      </c>
      <c r="CQ106" s="169">
        <f>+$CP$2-CM106</f>
        <v>2.5805208568617517E-2</v>
      </c>
      <c r="CR106" s="169">
        <v>2.3947275901631187E-2</v>
      </c>
      <c r="CS106" s="179">
        <f t="shared" si="238"/>
        <v>0.8548675</v>
      </c>
      <c r="CT106" s="180">
        <f t="shared" si="239"/>
        <v>0.72406708481540816</v>
      </c>
      <c r="CU106" s="180">
        <f t="shared" si="240"/>
        <v>0.62201729615248857</v>
      </c>
      <c r="CV106" s="180">
        <f t="shared" si="241"/>
        <v>0.9352469954311422</v>
      </c>
      <c r="CW106" s="180">
        <f t="shared" si="242"/>
        <v>0.42121864641655071</v>
      </c>
      <c r="CX106" s="181">
        <f>INDEX('State Tax Lookup'!$D$7:$Z$91,MATCH(Calculation!$C106,'State Tax Lookup'!$B$7:$B$91,0),MATCH($H106,'State Tax Lookup'!$D$6:$Z$6,0))</f>
        <v>0.39224999999999999</v>
      </c>
      <c r="CY106" s="72">
        <v>0.37</v>
      </c>
      <c r="CZ106" s="70">
        <f t="shared" ref="CZ106:CZ127" si="245">+(DE106*CQ106-CR106)*CS106/(1-CX106)</f>
        <v>12.795704687891806</v>
      </c>
      <c r="DA106" s="70"/>
      <c r="DB106" s="69"/>
      <c r="DC106" s="111">
        <f>VLOOKUP($H106,RoR!$E:$F,2,FALSE)</f>
        <v>7.0824999999999999E-2</v>
      </c>
      <c r="DD106" s="216">
        <f>HLOOKUP($H106,'GDP-PI'!$D$8:$CQ$11,3,FALSE)</f>
        <v>2.2454495382290052E-2</v>
      </c>
      <c r="DE106" s="111">
        <f>VLOOKUP(H106,'HW Dx Data'!$E:$F,2,FALSE)</f>
        <v>353.44738017483138</v>
      </c>
      <c r="DF106" s="66"/>
      <c r="DG106" s="69"/>
      <c r="DH106" s="66">
        <f>HLOOKUP(H106,'GDP-PI'!$8:$9,2,FALSE)</f>
        <v>79.822000000000003</v>
      </c>
      <c r="DI106"/>
      <c r="DO106" s="184"/>
      <c r="DP106" s="184"/>
      <c r="DQ106" s="184"/>
      <c r="DR106" s="184"/>
      <c r="DS106" s="184"/>
      <c r="DT106" s="184"/>
      <c r="DU106" s="184"/>
      <c r="DV106" s="184"/>
      <c r="DW106" s="184"/>
      <c r="EB106">
        <f t="shared" si="244"/>
        <v>2001</v>
      </c>
    </row>
    <row r="107" spans="1:132" s="160" customFormat="1" ht="21">
      <c r="A107" s="160" t="s">
        <v>165</v>
      </c>
      <c r="B107" s="161" t="s">
        <v>165</v>
      </c>
      <c r="C107" s="161">
        <v>4058516</v>
      </c>
      <c r="D107" s="161" t="s">
        <v>166</v>
      </c>
      <c r="E107" s="161"/>
      <c r="F107" s="161"/>
      <c r="G107" s="161" t="s">
        <v>113</v>
      </c>
      <c r="H107" s="162">
        <v>2002</v>
      </c>
      <c r="I107" s="163"/>
      <c r="J107" s="159"/>
      <c r="K107" s="159"/>
      <c r="L107" s="159"/>
      <c r="M107" s="60"/>
      <c r="N107" s="152"/>
      <c r="O107" s="60"/>
      <c r="P107" s="60"/>
      <c r="Q107" s="159"/>
      <c r="R107" s="159"/>
      <c r="S107" s="159"/>
      <c r="T107" s="159"/>
      <c r="U107" s="159"/>
      <c r="V107" s="159"/>
      <c r="W107" s="159">
        <f t="shared" si="232"/>
        <v>5806.9665682381692</v>
      </c>
      <c r="X107" s="163"/>
      <c r="Y107" s="167">
        <v>459.24741757683756</v>
      </c>
      <c r="Z107" s="168">
        <v>2.5253451188907202E-2</v>
      </c>
      <c r="AA107" s="78"/>
      <c r="AB107" s="168"/>
      <c r="AC107" s="168"/>
      <c r="AD107" s="163">
        <f t="shared" si="226"/>
        <v>5806.9665682381692</v>
      </c>
      <c r="AE107" s="168"/>
      <c r="AF107" s="163"/>
      <c r="AG107" s="163"/>
      <c r="AH107" s="163"/>
      <c r="AI107" s="163"/>
      <c r="AJ107" s="167"/>
      <c r="AK107" s="168"/>
      <c r="AL107" s="115"/>
      <c r="AM107" s="115"/>
      <c r="AN107" s="115"/>
      <c r="AO107" s="115"/>
      <c r="AP107" s="115"/>
      <c r="AQ107" s="168"/>
      <c r="AR107" s="79"/>
      <c r="AS107" s="115"/>
      <c r="AT107" s="115"/>
      <c r="AU107" s="115"/>
      <c r="AV107" s="113">
        <f>IFERROR(INDEX('Total Customers'!$F$7:$AB$91,MATCH($C107,'Total Customers'!$D$7:$D$91,0),MATCH($G107,'Total Customers'!$F$5:$AB$5,0)),"NA")</f>
        <v>117277</v>
      </c>
      <c r="AW107" s="68">
        <f t="shared" si="180"/>
        <v>2.6491043177266478E-2</v>
      </c>
      <c r="AX107" s="114"/>
      <c r="AY107" s="114"/>
      <c r="AZ107" s="116"/>
      <c r="BA107" s="116"/>
      <c r="BB107" s="166"/>
      <c r="BC107" s="166"/>
      <c r="BD107" s="166"/>
      <c r="BE107" s="166"/>
      <c r="BF107" s="166"/>
      <c r="BG107" s="166"/>
      <c r="BH107" s="166"/>
      <c r="BI107" s="113"/>
      <c r="BJ107" s="113"/>
      <c r="BK107" s="113">
        <f>INDEX('Dist. Plant Gas Additions'!$F$7:$AE$91,MATCH($C107,'Dist. Plant Gas Additions'!$D$7:$D$91,0),MATCH(Calculation!$G107,'Dist. Plant Gas Additions'!$F$5:$AE$5,0))</f>
        <v>3179</v>
      </c>
      <c r="BL107" s="113">
        <f>INDEX('Gen. Plant Additions'!$F$7:$AE$91,MATCH($C107,'Gen. Plant Additions'!$D$7:$D$91,0),MATCH(Calculation!$G107,'Gen. Plant Additions'!$F$5:$AE$5,0))</f>
        <v>1872</v>
      </c>
      <c r="BM107" s="231">
        <f t="shared" si="233"/>
        <v>0.77604830651552215</v>
      </c>
      <c r="BN107" s="61">
        <f t="shared" si="231"/>
        <v>1452.7624297970574</v>
      </c>
      <c r="BO107" s="113">
        <f>INDEX('Dist Plant Depreciation'!$E$7:$AD$94,MATCH($C107,'Dist Plant Depreciation'!$D$7:$D$94,0),MATCH(Calculation!$G107,'Dist Plant Depreciation'!$E$5:$AD$5,0))</f>
        <v>39436</v>
      </c>
      <c r="BP107" s="113">
        <f>INDEX('Gen. Plant Depreciation'!$E$7:$AD$94,MATCH($C107,'Gen. Plant Depreciation'!$D$7:$D$94,0),MATCH(Calculation!$G107,'Gen. Plant Depreciation'!$E$5:$AD$5,0))</f>
        <v>12040</v>
      </c>
      <c r="BQ107" s="113"/>
      <c r="BR107" s="113"/>
      <c r="BS107" s="113"/>
      <c r="BT107" s="113"/>
      <c r="BU107" s="113"/>
      <c r="BV107" s="113"/>
      <c r="BW107" s="113">
        <f>INDEX('Gross Dx Plant'!$E$7:$AD$91,MATCH($C107,'Gross Dx Plant'!$D$7:$D$91,0),MATCH(Calculation!$G107,'Gross Dx Plant'!$E$5:$AD$5,0))</f>
        <v>90093</v>
      </c>
      <c r="BX107" s="113">
        <f>INDEX('Gross Gen Plant'!$E$7:$AD$91,MATCH($C107,'Gross Gen Plant'!$D$7:$D$91,0),MATCH(Calculation!$G107,'Gross Gen Plant'!$E$5:$AD$5,0))</f>
        <v>25999</v>
      </c>
      <c r="BY107" s="113">
        <f t="shared" si="182"/>
        <v>64616</v>
      </c>
      <c r="BZ107" s="113"/>
      <c r="CA107" s="116">
        <v>2002</v>
      </c>
      <c r="CB107" s="113"/>
      <c r="CC107" s="113"/>
      <c r="CD107" s="113"/>
      <c r="CE107" s="175"/>
      <c r="CF107" s="113">
        <f t="shared" si="234"/>
        <v>5051</v>
      </c>
      <c r="CG107" s="113">
        <f t="shared" si="235"/>
        <v>13.978208495228124</v>
      </c>
      <c r="CH107" s="178">
        <v>0.97916666666666663</v>
      </c>
      <c r="CI107" s="61">
        <f>+CI103*CH107+CG104*CH106+CG105*CH105+CG106*CH104+CG107</f>
        <v>459.24741757683756</v>
      </c>
      <c r="CJ107" s="114">
        <f t="shared" si="236"/>
        <v>2.5253451188907202E-2</v>
      </c>
      <c r="CK107" s="114"/>
      <c r="CL107" s="169">
        <f t="shared" si="237"/>
        <v>5.6406179202981585E-3</v>
      </c>
      <c r="CM107" s="169">
        <f t="shared" ref="CM107:CM127" si="246">+(CL107+CL106+CL105)/3</f>
        <v>5.3185642206456697E-3</v>
      </c>
      <c r="CN107" s="114">
        <f>VLOOKUP($H107,RoR!$E:$F,2,FALSE)</f>
        <v>6.4916666666666664E-2</v>
      </c>
      <c r="CO107" s="169">
        <v>1.5246423291824351E-2</v>
      </c>
      <c r="CP107" s="169">
        <f t="shared" si="243"/>
        <v>4.9670243374842313E-2</v>
      </c>
      <c r="CQ107" s="169">
        <f t="shared" ref="CQ107:CQ127" si="247">+$CP$2-CM107</f>
        <v>2.5583377387887955E-2</v>
      </c>
      <c r="CR107" s="169">
        <v>2.5243621214759093E-2</v>
      </c>
      <c r="CS107" s="179">
        <f t="shared" si="238"/>
        <v>0.8548675</v>
      </c>
      <c r="CT107" s="180">
        <f t="shared" si="239"/>
        <v>0.78996741384417901</v>
      </c>
      <c r="CU107" s="180">
        <f t="shared" si="240"/>
        <v>0.58989088575096271</v>
      </c>
      <c r="CV107" s="180">
        <f t="shared" si="241"/>
        <v>0.91920675783645744</v>
      </c>
      <c r="CW107" s="180">
        <f t="shared" si="242"/>
        <v>0.42834536472275586</v>
      </c>
      <c r="CX107" s="181">
        <f>INDEX('State Tax Lookup'!$D$7:$Z$91,MATCH(Calculation!$C107,'State Tax Lookup'!$B$7:$B$91,0),MATCH($H107,'State Tax Lookup'!$D$6:$Z$6,0))</f>
        <v>0.39224999999999999</v>
      </c>
      <c r="CY107" s="72">
        <v>0.37</v>
      </c>
      <c r="CZ107" s="70">
        <f t="shared" si="245"/>
        <v>12.967911480922744</v>
      </c>
      <c r="DA107" s="70"/>
      <c r="DB107" s="69">
        <f>LN(CZ107/CZ106)</f>
        <v>1.3368415097435889E-2</v>
      </c>
      <c r="DC107" s="111">
        <f>VLOOKUP($H107,RoR!$E:$F,2,FALSE)</f>
        <v>6.4916666666666664E-2</v>
      </c>
      <c r="DD107" s="216">
        <f>HLOOKUP($H107,'GDP-PI'!$D$8:$CQ$11,3,FALSE)</f>
        <v>1.5246423291824351E-2</v>
      </c>
      <c r="DE107" s="111">
        <f>VLOOKUP(H107,'HW Dx Data'!$E:$F,2,FALSE)</f>
        <v>361.34816573413599</v>
      </c>
      <c r="DF107" s="66"/>
      <c r="DG107" s="69"/>
      <c r="DH107" s="66">
        <f>HLOOKUP(H107,'GDP-PI'!$8:$9,2,FALSE)</f>
        <v>81.039000000000001</v>
      </c>
      <c r="DI107" s="69">
        <f>LN(DH107/DH106)</f>
        <v>1.513136459537477E-2</v>
      </c>
      <c r="DO107" s="184"/>
      <c r="DP107" s="184"/>
      <c r="DQ107" s="184"/>
      <c r="DR107" s="184"/>
      <c r="DS107" s="184"/>
      <c r="DT107" s="184"/>
      <c r="DU107" s="184"/>
      <c r="DV107" s="184"/>
      <c r="DW107" s="184"/>
      <c r="EB107"/>
    </row>
    <row r="108" spans="1:132" s="160" customFormat="1" ht="21">
      <c r="A108" s="160" t="s">
        <v>165</v>
      </c>
      <c r="B108" s="161" t="s">
        <v>165</v>
      </c>
      <c r="C108" s="161">
        <v>4058516</v>
      </c>
      <c r="D108" s="161" t="s">
        <v>166</v>
      </c>
      <c r="E108" s="161"/>
      <c r="F108" s="161"/>
      <c r="G108" s="161" t="s">
        <v>114</v>
      </c>
      <c r="H108" s="162">
        <v>2003</v>
      </c>
      <c r="I108" s="163"/>
      <c r="J108" s="159"/>
      <c r="K108" s="159"/>
      <c r="L108" s="165"/>
      <c r="M108" s="76"/>
      <c r="N108" s="152"/>
      <c r="O108" s="76"/>
      <c r="P108" s="76"/>
      <c r="Q108" s="159"/>
      <c r="R108" s="159"/>
      <c r="S108" s="159"/>
      <c r="T108" s="159"/>
      <c r="U108" s="159"/>
      <c r="V108" s="159"/>
      <c r="W108" s="159">
        <f t="shared" si="232"/>
        <v>6045.4105729917455</v>
      </c>
      <c r="X108" s="163"/>
      <c r="Y108" s="167">
        <v>474.26635995265502</v>
      </c>
      <c r="Z108" s="168">
        <v>3.2180003745960431E-2</v>
      </c>
      <c r="AA108" s="78"/>
      <c r="AB108" s="168"/>
      <c r="AC108" s="168"/>
      <c r="AD108" s="163">
        <f t="shared" si="226"/>
        <v>6045.4105729917455</v>
      </c>
      <c r="AE108" s="168"/>
      <c r="AF108" s="163"/>
      <c r="AG108" s="163"/>
      <c r="AH108" s="163"/>
      <c r="AI108" s="163"/>
      <c r="AJ108" s="167"/>
      <c r="AK108" s="168"/>
      <c r="AL108" s="115"/>
      <c r="AM108" s="115"/>
      <c r="AN108" s="115"/>
      <c r="AO108" s="115"/>
      <c r="AP108" s="115"/>
      <c r="AQ108" s="168"/>
      <c r="AR108" s="79"/>
      <c r="AS108" s="115"/>
      <c r="AT108" s="115"/>
      <c r="AU108" s="115"/>
      <c r="AV108" s="113">
        <f>IFERROR(INDEX('Total Customers'!$F$7:$AB$91,MATCH($C108,'Total Customers'!$D$7:$D$91,0),MATCH($G108,'Total Customers'!$F$5:$AB$5,0)),"NA")</f>
        <v>120059</v>
      </c>
      <c r="AW108" s="68">
        <f t="shared" si="180"/>
        <v>2.3444630618091936E-2</v>
      </c>
      <c r="AX108" s="114"/>
      <c r="AY108" s="114"/>
      <c r="AZ108" s="116"/>
      <c r="BA108" s="116"/>
      <c r="BB108" s="166"/>
      <c r="BC108" s="166"/>
      <c r="BD108" s="166"/>
      <c r="BE108" s="166"/>
      <c r="BF108" s="166"/>
      <c r="BG108" s="166"/>
      <c r="BH108" s="166"/>
      <c r="BI108" s="113"/>
      <c r="BJ108" s="113"/>
      <c r="BK108" s="113">
        <f>INDEX('Dist. Plant Gas Additions'!$F$7:$AE$91,MATCH($C108,'Dist. Plant Gas Additions'!$D$7:$D$91,0),MATCH(Calculation!$G108,'Dist. Plant Gas Additions'!$F$5:$AE$5,0))</f>
        <v>4413</v>
      </c>
      <c r="BL108" s="113">
        <f>INDEX('Gen. Plant Additions'!$F$7:$AE$91,MATCH($C108,'Gen. Plant Additions'!$D$7:$D$91,0),MATCH(Calculation!$G108,'Gen. Plant Additions'!$F$5:$AE$5,0))</f>
        <v>2096</v>
      </c>
      <c r="BM108" s="231">
        <f t="shared" si="233"/>
        <v>0.77684393206892277</v>
      </c>
      <c r="BN108" s="61">
        <f t="shared" si="231"/>
        <v>1628.2648816164622</v>
      </c>
      <c r="BO108" s="113">
        <f>INDEX('Dist Plant Depreciation'!$E$7:$AD$94,MATCH($C108,'Dist Plant Depreciation'!$D$7:$D$94,0),MATCH(Calculation!$G108,'Dist Plant Depreciation'!$E$5:$AD$5,0))</f>
        <v>41287</v>
      </c>
      <c r="BP108" s="113">
        <f>INDEX('Gen. Plant Depreciation'!$E$7:$AD$94,MATCH($C108,'Gen. Plant Depreciation'!$D$7:$D$94,0),MATCH(Calculation!$G108,'Gen. Plant Depreciation'!$E$5:$AD$5,0))</f>
        <v>12736</v>
      </c>
      <c r="BQ108" s="113"/>
      <c r="BR108" s="113"/>
      <c r="BS108" s="113"/>
      <c r="BT108" s="113"/>
      <c r="BU108" s="113"/>
      <c r="BV108" s="113"/>
      <c r="BW108" s="113">
        <f>INDEX('Gross Dx Plant'!$E$7:$AD$91,MATCH($C108,'Gross Dx Plant'!$D$7:$D$91,0),MATCH(Calculation!$G108,'Gross Dx Plant'!$E$5:$AD$5,0))</f>
        <v>94002</v>
      </c>
      <c r="BX108" s="113">
        <f>INDEX('Gross Gen Plant'!$E$7:$AD$91,MATCH($C108,'Gross Gen Plant'!$D$7:$D$91,0),MATCH(Calculation!$G108,'Gross Gen Plant'!$E$5:$AD$5,0))</f>
        <v>27003</v>
      </c>
      <c r="BY108" s="113">
        <f t="shared" si="182"/>
        <v>66982</v>
      </c>
      <c r="BZ108" s="113"/>
      <c r="CA108" s="116">
        <v>2003</v>
      </c>
      <c r="CB108" s="113"/>
      <c r="CC108" s="113"/>
      <c r="CD108" s="113"/>
      <c r="CE108" s="175"/>
      <c r="CF108" s="113">
        <f t="shared" si="234"/>
        <v>6509</v>
      </c>
      <c r="CG108" s="113">
        <f t="shared" si="235"/>
        <v>17.628434638480005</v>
      </c>
      <c r="CH108" s="178">
        <v>0.97354497354497349</v>
      </c>
      <c r="CI108" s="61">
        <f>+CI103*CH108+CG104*CH107+CG105*CH106+CG106*CH105+CG107*CH104+CG108</f>
        <v>474.26635995265502</v>
      </c>
      <c r="CJ108" s="114">
        <f t="shared" si="236"/>
        <v>3.2180003745960431E-2</v>
      </c>
      <c r="CK108" s="114"/>
      <c r="CL108" s="169">
        <f t="shared" si="237"/>
        <v>5.6821054681835993E-3</v>
      </c>
      <c r="CM108" s="169">
        <f t="shared" si="246"/>
        <v>5.4983263579534078E-3</v>
      </c>
      <c r="CN108" s="114">
        <f>VLOOKUP($H108,RoR!$E:$F,2,FALSE)</f>
        <v>5.6666666666666671E-2</v>
      </c>
      <c r="CO108" s="169">
        <v>1.8855119140166909E-2</v>
      </c>
      <c r="CP108" s="169">
        <f t="shared" si="243"/>
        <v>3.7811547526499761E-2</v>
      </c>
      <c r="CQ108" s="169">
        <f t="shared" si="247"/>
        <v>2.5403615250580217E-2</v>
      </c>
      <c r="CR108" s="169">
        <v>2.1375012817671957E-2</v>
      </c>
      <c r="CS108" s="179">
        <f t="shared" si="238"/>
        <v>0.8548675</v>
      </c>
      <c r="CT108" s="180">
        <f t="shared" si="239"/>
        <v>0.90497737556561086</v>
      </c>
      <c r="CU108" s="180">
        <f t="shared" si="240"/>
        <v>0.5338235294117647</v>
      </c>
      <c r="CV108" s="180">
        <f t="shared" si="241"/>
        <v>0.88972433127405692</v>
      </c>
      <c r="CW108" s="180">
        <f t="shared" si="242"/>
        <v>0.42982423775949252</v>
      </c>
      <c r="CX108" s="181">
        <f>INDEX('State Tax Lookup'!$D$7:$Z$91,MATCH(Calculation!$C108,'State Tax Lookup'!$B$7:$B$91,0),MATCH($H108,'State Tax Lookup'!$D$6:$Z$6,0))</f>
        <v>0.39224999999999999</v>
      </c>
      <c r="CY108" s="72">
        <v>0.37</v>
      </c>
      <c r="CZ108" s="70">
        <f t="shared" si="245"/>
        <v>13.163733407341972</v>
      </c>
      <c r="DA108" s="70"/>
      <c r="DB108" s="69">
        <f t="shared" ref="DB108:DB127" si="248">LN(CZ108/CZ107)</f>
        <v>1.4987620782858672E-2</v>
      </c>
      <c r="DC108" s="111">
        <f>VLOOKUP($H108,RoR!$E:$F,2,FALSE)</f>
        <v>5.6666666666666671E-2</v>
      </c>
      <c r="DD108" s="216">
        <f>HLOOKUP($H108,'GDP-PI'!$D$8:$CQ$11,3,FALSE)</f>
        <v>1.8855119140166909E-2</v>
      </c>
      <c r="DE108" s="111">
        <f>VLOOKUP(H108,'HW Dx Data'!$E:$F,2,FALSE)</f>
        <v>369.23301095560191</v>
      </c>
      <c r="DF108" s="72">
        <f>VLOOKUP(G108,EG$8:EH$27,2,FALSE)</f>
        <v>89.25</v>
      </c>
      <c r="DG108" s="69"/>
      <c r="DH108" s="66">
        <f>HLOOKUP(H108,'GDP-PI'!$8:$9,2,FALSE)</f>
        <v>82.566999999999993</v>
      </c>
      <c r="DI108" s="69">
        <f t="shared" ref="DI108:DI127" si="249">LN(DH108/DH107)</f>
        <v>1.8679564681853753E-2</v>
      </c>
      <c r="DO108" s="184"/>
      <c r="DP108" s="184"/>
      <c r="DQ108" s="184"/>
      <c r="DR108" s="184"/>
      <c r="DS108" s="184"/>
      <c r="DT108" s="184"/>
      <c r="DU108" s="184"/>
      <c r="DV108" s="184"/>
      <c r="DW108" s="184"/>
      <c r="EB108"/>
    </row>
    <row r="109" spans="1:132" s="160" customFormat="1" ht="21">
      <c r="A109" s="160" t="s">
        <v>165</v>
      </c>
      <c r="B109" s="161" t="s">
        <v>165</v>
      </c>
      <c r="C109" s="161">
        <v>4058516</v>
      </c>
      <c r="D109" s="161" t="s">
        <v>166</v>
      </c>
      <c r="E109" s="161"/>
      <c r="F109" s="161"/>
      <c r="G109" s="161" t="s">
        <v>115</v>
      </c>
      <c r="H109" s="162">
        <v>2004</v>
      </c>
      <c r="I109" s="163"/>
      <c r="J109" s="159">
        <f>IFERROR(INDEX('Labor Expenditures'!$F$7:$X$91,MATCH($C109,'Labor Expenditures'!$D$7:$D$91,0),MATCH($G109,'Labor Expenditures'!$F$5:$X$5,0)),"NA")</f>
        <v>7779.1706362206651</v>
      </c>
      <c r="K109" s="159">
        <f t="shared" ref="K109:K127" si="250">+J109/DF109</f>
        <v>82.450139228623911</v>
      </c>
      <c r="L109" s="165"/>
      <c r="M109" s="76"/>
      <c r="N109" s="152"/>
      <c r="O109" s="76"/>
      <c r="P109" s="76"/>
      <c r="Q109" s="159"/>
      <c r="R109" s="159">
        <f t="shared" ref="R109:R127" si="251">+Q109/DH109</f>
        <v>0</v>
      </c>
      <c r="S109" s="159"/>
      <c r="T109" s="159"/>
      <c r="U109" s="159"/>
      <c r="V109" s="159"/>
      <c r="W109" s="159">
        <f t="shared" si="232"/>
        <v>6929.9530730435035</v>
      </c>
      <c r="X109" s="163"/>
      <c r="Y109" s="167">
        <v>487.78133753155674</v>
      </c>
      <c r="Z109" s="168">
        <v>2.8098121913214189E-2</v>
      </c>
      <c r="AA109" s="76">
        <f t="shared" ref="AA109:AA127" si="252">+Z109*$AR109</f>
        <v>0</v>
      </c>
      <c r="AB109" s="168"/>
      <c r="AC109" s="168"/>
      <c r="AD109" s="163">
        <f t="shared" si="226"/>
        <v>14709.123709264168</v>
      </c>
      <c r="AE109" s="168"/>
      <c r="AF109" s="163"/>
      <c r="AG109" s="163"/>
      <c r="AH109" s="163"/>
      <c r="AI109" s="163"/>
      <c r="AJ109" s="167"/>
      <c r="AK109" s="168"/>
      <c r="AL109" s="115">
        <f t="shared" ref="AL109:AL127" si="253">+J109/AD109</f>
        <v>0.52886703450057682</v>
      </c>
      <c r="AM109" s="115">
        <f t="shared" ref="AM109:AM127" si="254">+Q109/AD109</f>
        <v>0</v>
      </c>
      <c r="AN109" s="115">
        <f t="shared" ref="AN109:AN127" si="255">+W109/AD109</f>
        <v>0.47113296549942324</v>
      </c>
      <c r="AO109" s="115"/>
      <c r="AP109" s="115"/>
      <c r="AQ109" s="168"/>
      <c r="AR109" s="79"/>
      <c r="AS109" s="115"/>
      <c r="AT109" s="115"/>
      <c r="AU109" s="115"/>
      <c r="AV109" s="113">
        <f>IFERROR(INDEX('Total Customers'!$F$7:$AB$91,MATCH($C109,'Total Customers'!$D$7:$D$91,0),MATCH($G109,'Total Customers'!$F$5:$AB$5,0)),"NA")</f>
        <v>141596</v>
      </c>
      <c r="AW109" s="68">
        <f t="shared" si="180"/>
        <v>0.16499464365278943</v>
      </c>
      <c r="AX109" s="114"/>
      <c r="AY109" s="114"/>
      <c r="AZ109" s="116"/>
      <c r="BA109" s="116"/>
      <c r="BB109" s="166"/>
      <c r="BC109" s="166"/>
      <c r="BD109" s="166"/>
      <c r="BE109" s="166"/>
      <c r="BF109" s="166"/>
      <c r="BG109" s="166"/>
      <c r="BH109" s="166"/>
      <c r="BI109" s="113"/>
      <c r="BJ109" s="113"/>
      <c r="BK109" s="113">
        <f>INDEX('Dist. Plant Gas Additions'!$F$7:$AE$91,MATCH($C109,'Dist. Plant Gas Additions'!$D$7:$D$91,0),MATCH(Calculation!$G109,'Dist. Plant Gas Additions'!$F$5:$AE$5,0))</f>
        <v>5319</v>
      </c>
      <c r="BL109" s="113">
        <f>INDEX('Gen. Plant Additions'!$F$7:$AE$91,MATCH($C109,'Gen. Plant Additions'!$D$7:$D$91,0),MATCH(Calculation!$G109,'Gen. Plant Additions'!$F$5:$AE$5,0))</f>
        <v>1442</v>
      </c>
      <c r="BM109" s="231">
        <f t="shared" si="233"/>
        <v>0.78720141833776569</v>
      </c>
      <c r="BN109" s="61">
        <f t="shared" si="231"/>
        <v>1135.144445243058</v>
      </c>
      <c r="BO109" s="113">
        <f>INDEX('Dist Plant Depreciation'!$E$7:$AD$94,MATCH($C109,'Dist Plant Depreciation'!$D$7:$D$94,0),MATCH(Calculation!$G109,'Dist Plant Depreciation'!$E$5:$AD$5,0))</f>
        <v>42994</v>
      </c>
      <c r="BP109" s="113">
        <f>INDEX('Gen. Plant Depreciation'!$E$7:$AD$94,MATCH($C109,'Gen. Plant Depreciation'!$D$7:$D$94,0),MATCH(Calculation!$G109,'Gen. Plant Depreciation'!$E$5:$AD$5,0))</f>
        <v>12681</v>
      </c>
      <c r="BQ109" s="113"/>
      <c r="BR109" s="113"/>
      <c r="BS109" s="113"/>
      <c r="BT109" s="113"/>
      <c r="BU109" s="113"/>
      <c r="BV109" s="113"/>
      <c r="BW109" s="113">
        <f>INDEX('Gross Dx Plant'!$E$7:$AD$91,MATCH($C109,'Gross Dx Plant'!$D$7:$D$91,0),MATCH(Calculation!$G109,'Gross Dx Plant'!$E$5:$AD$5,0))</f>
        <v>98571</v>
      </c>
      <c r="BX109" s="113">
        <f>INDEX('Gross Gen Plant'!$E$7:$AD$91,MATCH($C109,'Gross Gen Plant'!$D$7:$D$91,0),MATCH(Calculation!$G109,'Gross Gen Plant'!$E$5:$AD$5,0))</f>
        <v>26646</v>
      </c>
      <c r="BY109" s="113">
        <f t="shared" si="182"/>
        <v>69542</v>
      </c>
      <c r="BZ109" s="113"/>
      <c r="CA109" s="116">
        <v>2004</v>
      </c>
      <c r="CB109" s="113"/>
      <c r="CC109" s="113"/>
      <c r="CD109" s="113"/>
      <c r="CE109" s="175"/>
      <c r="CF109" s="113">
        <f t="shared" si="234"/>
        <v>6761</v>
      </c>
      <c r="CG109" s="113">
        <f t="shared" si="235"/>
        <v>16.295995974142251</v>
      </c>
      <c r="CH109" s="178">
        <v>0.967741935483871</v>
      </c>
      <c r="CI109" s="61">
        <f>+CI103*CH109+CG104*CH108+CG105*CH107+CG106*CH106+CG107*CH105+CG108*CH104+CG109</f>
        <v>487.78133753155674</v>
      </c>
      <c r="CJ109" s="114">
        <f t="shared" si="236"/>
        <v>2.8098121913214189E-2</v>
      </c>
      <c r="CK109" s="114"/>
      <c r="CL109" s="169">
        <f t="shared" si="237"/>
        <v>5.863832289345069E-3</v>
      </c>
      <c r="CM109" s="169">
        <f t="shared" si="246"/>
        <v>5.7288518926089417E-3</v>
      </c>
      <c r="CN109" s="114">
        <f>VLOOKUP($H109,RoR!$E:$F,2,FALSE)</f>
        <v>5.6283333333333331E-2</v>
      </c>
      <c r="CO109" s="169">
        <v>2.6778252812867276E-2</v>
      </c>
      <c r="CP109" s="169">
        <f t="shared" si="243"/>
        <v>2.9505080520466055E-2</v>
      </c>
      <c r="CQ109" s="169">
        <f t="shared" si="247"/>
        <v>2.5173089715924683E-2</v>
      </c>
      <c r="CR109" s="169">
        <v>5.5940039414565046E-2</v>
      </c>
      <c r="CS109" s="179">
        <f t="shared" si="238"/>
        <v>0.8548675</v>
      </c>
      <c r="CT109" s="180">
        <f t="shared" si="239"/>
        <v>0.91114097628755619</v>
      </c>
      <c r="CU109" s="180">
        <f t="shared" si="240"/>
        <v>0.53081877405981637</v>
      </c>
      <c r="CV109" s="180">
        <f t="shared" si="241"/>
        <v>0.88811215519385678</v>
      </c>
      <c r="CW109" s="180">
        <f t="shared" si="242"/>
        <v>0.42953609753547711</v>
      </c>
      <c r="CX109" s="181">
        <f>INDEX('State Tax Lookup'!$D$7:$Z$91,MATCH(Calculation!$C109,'State Tax Lookup'!$B$7:$B$91,0),MATCH($H109,'State Tax Lookup'!$D$6:$Z$6,0))</f>
        <v>0.39224999999999999</v>
      </c>
      <c r="CY109" s="72">
        <v>0.37</v>
      </c>
      <c r="CZ109" s="70">
        <f t="shared" si="245"/>
        <v>14.611943115120596</v>
      </c>
      <c r="DA109" s="70"/>
      <c r="DB109" s="69">
        <f t="shared" si="248"/>
        <v>0.10437363666980855</v>
      </c>
      <c r="DC109" s="111">
        <f>VLOOKUP($H109,RoR!$E:$F,2,FALSE)</f>
        <v>5.6283333333333331E-2</v>
      </c>
      <c r="DD109" s="216">
        <f>HLOOKUP($H109,'GDP-PI'!$D$8:$CQ$11,3,FALSE)</f>
        <v>2.6778252812867276E-2</v>
      </c>
      <c r="DE109" s="111">
        <f>VLOOKUP(H109,'HW Dx Data'!$E:$F,2,FALSE)</f>
        <v>414.88719135228365</v>
      </c>
      <c r="DF109" s="72">
        <f t="shared" ref="DF109:DF127" si="256">VLOOKUP(G109,EG$8:EH$27,2,FALSE)</f>
        <v>94.35</v>
      </c>
      <c r="DG109" s="69">
        <f t="shared" ref="DG109:DG127" si="257">LN(DF109/DF108)</f>
        <v>5.5569851154810786E-2</v>
      </c>
      <c r="DH109" s="66">
        <f>HLOOKUP(H109,'GDP-PI'!$8:$9,2,FALSE)</f>
        <v>84.778000000000006</v>
      </c>
      <c r="DI109" s="69">
        <f t="shared" si="249"/>
        <v>2.6425990216022755E-2</v>
      </c>
      <c r="DO109" s="184"/>
      <c r="DP109" s="184"/>
      <c r="DQ109" s="184"/>
      <c r="DR109" s="184"/>
      <c r="DS109" s="184"/>
      <c r="DT109" s="184"/>
      <c r="DU109" s="184"/>
      <c r="DV109" s="184"/>
      <c r="DW109" s="184"/>
      <c r="EB109"/>
    </row>
    <row r="110" spans="1:132" s="160" customFormat="1" ht="21">
      <c r="A110" s="160" t="s">
        <v>165</v>
      </c>
      <c r="B110" s="161" t="s">
        <v>165</v>
      </c>
      <c r="C110" s="161">
        <v>4058516</v>
      </c>
      <c r="D110" s="161" t="s">
        <v>166</v>
      </c>
      <c r="E110" s="161"/>
      <c r="F110" s="161"/>
      <c r="G110" s="161" t="s">
        <v>116</v>
      </c>
      <c r="H110" s="162">
        <v>2005</v>
      </c>
      <c r="I110" s="163"/>
      <c r="J110" s="159">
        <f>IFERROR(INDEX('Labor Expenditures'!$F$7:$X$91,MATCH($C110,'Labor Expenditures'!$D$7:$D$91,0),MATCH($G110,'Labor Expenditures'!$F$5:$X$5,0)),"NA")</f>
        <v>8779.939894970048</v>
      </c>
      <c r="K110" s="159">
        <f t="shared" si="250"/>
        <v>88.485158931418979</v>
      </c>
      <c r="L110" s="165">
        <f t="shared" ref="L110:L126" si="258">LN(K110/K109)</f>
        <v>7.0641104613922506E-2</v>
      </c>
      <c r="M110" s="76"/>
      <c r="N110" s="62">
        <v>100</v>
      </c>
      <c r="O110" s="77"/>
      <c r="P110" s="77"/>
      <c r="Q110" s="159">
        <f>IFERROR(INDEX('Non-Labor Expenditures'!$F$7:$AB$91,MATCH($C110,'Non-Labor Expenditures'!$D$7:$D$91,0),MATCH($G110,'Non-Labor Expenditures'!$F$5:$AB$5,0)),"NA")</f>
        <v>12714.992834486642</v>
      </c>
      <c r="R110" s="159">
        <f t="shared" si="251"/>
        <v>145.46881639327106</v>
      </c>
      <c r="S110" s="165"/>
      <c r="T110" s="165"/>
      <c r="U110" s="165"/>
      <c r="V110" s="165"/>
      <c r="W110" s="159">
        <f t="shared" si="232"/>
        <v>7996.4839759328252</v>
      </c>
      <c r="X110" s="163"/>
      <c r="Y110" s="167">
        <v>503.99298431293994</v>
      </c>
      <c r="Z110" s="168">
        <v>3.2695121353422341E-2</v>
      </c>
      <c r="AA110" s="76">
        <f t="shared" si="252"/>
        <v>0</v>
      </c>
      <c r="AB110" s="168"/>
      <c r="AC110" s="168"/>
      <c r="AD110" s="163">
        <f t="shared" si="226"/>
        <v>29491.416705389514</v>
      </c>
      <c r="AE110" s="168">
        <f>LN(AD110/AD109)</f>
        <v>0.69563130012082586</v>
      </c>
      <c r="AF110" s="163"/>
      <c r="AG110" s="163"/>
      <c r="AH110" s="163"/>
      <c r="AI110" s="163"/>
      <c r="AJ110" s="116"/>
      <c r="AK110" s="114"/>
      <c r="AL110" s="115">
        <f t="shared" si="253"/>
        <v>0.29771170312633799</v>
      </c>
      <c r="AM110" s="115">
        <f t="shared" si="254"/>
        <v>0.43114215100297287</v>
      </c>
      <c r="AN110" s="115">
        <f t="shared" si="255"/>
        <v>0.27114614587068919</v>
      </c>
      <c r="AO110" s="115">
        <f t="shared" ref="AO110:AO126" si="259">+(((AL110+AL109)/2)*L110+((AM109+AM110)/2)*S110+((AN109+AN110)/2)*Z110)</f>
        <v>4.1329670350351608E-2</v>
      </c>
      <c r="AP110" s="166">
        <v>100</v>
      </c>
      <c r="AQ110" s="168"/>
      <c r="AR110" s="16"/>
      <c r="AS110" s="115"/>
      <c r="AT110" s="115"/>
      <c r="AU110" s="115"/>
      <c r="AV110" s="113">
        <f>IFERROR(INDEX('Total Customers'!$F$7:$AB$91,MATCH($C110,'Total Customers'!$D$7:$D$91,0),MATCH($G110,'Total Customers'!$F$5:$AB$5,0)),"NA")</f>
        <v>144867</v>
      </c>
      <c r="AW110" s="68">
        <f t="shared" si="180"/>
        <v>2.2838147844928269E-2</v>
      </c>
      <c r="AX110" s="114"/>
      <c r="AY110" s="114"/>
      <c r="AZ110" s="116"/>
      <c r="BA110" s="116"/>
      <c r="BB110" s="166"/>
      <c r="BC110" s="166"/>
      <c r="BD110" s="166"/>
      <c r="BE110" s="166"/>
      <c r="BF110" s="166"/>
      <c r="BG110" s="166"/>
      <c r="BH110" s="166"/>
      <c r="BI110" s="113"/>
      <c r="BJ110" s="113"/>
      <c r="BK110" s="113">
        <f>INDEX('Dist. Plant Gas Additions'!$F$7:$AE$91,MATCH($C110,'Dist. Plant Gas Additions'!$D$7:$D$91,0),MATCH(Calculation!$G110,'Dist. Plant Gas Additions'!$F$5:$AE$5,0))</f>
        <v>7170</v>
      </c>
      <c r="BL110" s="113">
        <f>INDEX('Gen. Plant Additions'!$F$7:$AE$91,MATCH($C110,'Gen. Plant Additions'!$D$7:$D$91,0),MATCH(Calculation!$G110,'Gen. Plant Additions'!$F$5:$AE$5,0))</f>
        <v>1822</v>
      </c>
      <c r="BM110" s="231">
        <f t="shared" si="233"/>
        <v>0.79427385892116187</v>
      </c>
      <c r="BN110" s="61">
        <f t="shared" si="231"/>
        <v>1447.1669709543569</v>
      </c>
      <c r="BO110" s="113">
        <f>INDEX('Dist Plant Depreciation'!$E$7:$AD$94,MATCH($C110,'Dist Plant Depreciation'!$D$7:$D$94,0),MATCH(Calculation!$G110,'Dist Plant Depreciation'!$E$5:$AD$5,0))</f>
        <v>45069</v>
      </c>
      <c r="BP110" s="113">
        <f>INDEX('Gen. Plant Depreciation'!$E$7:$AD$94,MATCH($C110,'Gen. Plant Depreciation'!$D$7:$D$94,0),MATCH(Calculation!$G110,'Gen. Plant Depreciation'!$E$5:$AD$5,0))</f>
        <v>13053</v>
      </c>
      <c r="BQ110" s="113"/>
      <c r="BR110" s="113"/>
      <c r="BS110" s="113"/>
      <c r="BT110" s="113"/>
      <c r="BU110" s="113"/>
      <c r="BV110" s="113"/>
      <c r="BW110" s="113">
        <f>INDEX('Gross Dx Plant'!$E$7:$AD$91,MATCH($C110,'Gross Dx Plant'!$D$7:$D$91,0),MATCH(Calculation!$G110,'Gross Dx Plant'!$E$5:$AD$5,0))</f>
        <v>105281</v>
      </c>
      <c r="BX110" s="113">
        <f>INDEX('Gross Gen Plant'!$E$7:$AD$91,MATCH($C110,'Gross Gen Plant'!$D$7:$D$91,0),MATCH(Calculation!$G110,'Gross Gen Plant'!$E$5:$AD$5,0))</f>
        <v>27269</v>
      </c>
      <c r="BY110" s="113">
        <f t="shared" si="182"/>
        <v>74428</v>
      </c>
      <c r="BZ110" s="113"/>
      <c r="CA110" s="116">
        <v>2005</v>
      </c>
      <c r="CB110" s="113"/>
      <c r="CC110" s="113"/>
      <c r="CD110" s="113"/>
      <c r="CE110" s="175"/>
      <c r="CF110" s="113">
        <f t="shared" si="234"/>
        <v>8992</v>
      </c>
      <c r="CG110" s="113">
        <f t="shared" si="235"/>
        <v>19.164325423427165</v>
      </c>
      <c r="CH110" s="178">
        <v>0.96174863387978138</v>
      </c>
      <c r="CI110" s="61">
        <f>+CI103*CH110+CG104*CH109+CG105*CH108+CG106*CH107+CG107*CH106+CG108*CH105+CG109*CH104+CG110</f>
        <v>503.99298431293994</v>
      </c>
      <c r="CJ110" s="114">
        <f t="shared" si="236"/>
        <v>3.2695121353422341E-2</v>
      </c>
      <c r="CK110" s="114"/>
      <c r="CL110" s="169">
        <f t="shared" si="237"/>
        <v>6.0532833359024287E-3</v>
      </c>
      <c r="CM110" s="169">
        <f t="shared" si="246"/>
        <v>5.8664070311436993E-3</v>
      </c>
      <c r="CN110" s="114">
        <f>VLOOKUP($H110,RoR!$E:$F,2,FALSE)</f>
        <v>5.2350000000000001E-2</v>
      </c>
      <c r="CO110" s="169">
        <v>3.1010403642454332E-2</v>
      </c>
      <c r="CP110" s="169">
        <f t="shared" si="243"/>
        <v>2.1339596357545669E-2</v>
      </c>
      <c r="CQ110" s="169">
        <f t="shared" si="247"/>
        <v>2.5035534577389926E-2</v>
      </c>
      <c r="CR110" s="169">
        <v>9.2129610649277341E-2</v>
      </c>
      <c r="CS110" s="179">
        <f t="shared" si="238"/>
        <v>0.8548675</v>
      </c>
      <c r="CT110" s="180">
        <f t="shared" si="239"/>
        <v>0.97959983346802826</v>
      </c>
      <c r="CU110" s="180">
        <f t="shared" si="240"/>
        <v>0.49744508118433622</v>
      </c>
      <c r="CV110" s="180">
        <f t="shared" si="241"/>
        <v>0.87010519444335932</v>
      </c>
      <c r="CW110" s="180">
        <f t="shared" si="242"/>
        <v>0.42399975420741998</v>
      </c>
      <c r="CX110" s="181">
        <f>INDEX('State Tax Lookup'!$D$7:$Z$91,MATCH(Calculation!$C110,'State Tax Lookup'!$B$7:$B$91,0),MATCH($H110,'State Tax Lookup'!$D$6:$Z$6,0))</f>
        <v>0.39224999999999999</v>
      </c>
      <c r="CY110" s="72">
        <v>0.37</v>
      </c>
      <c r="CZ110" s="70">
        <f t="shared" si="245"/>
        <v>16.393583273192565</v>
      </c>
      <c r="DA110" s="70"/>
      <c r="DB110" s="69">
        <f t="shared" si="248"/>
        <v>0.11505077853617926</v>
      </c>
      <c r="DC110" s="111">
        <f>VLOOKUP($H110,RoR!$E:$F,2,FALSE)</f>
        <v>5.2350000000000001E-2</v>
      </c>
      <c r="DD110" s="216">
        <f>HLOOKUP($H110,'GDP-PI'!$D$8:$CQ$11,3,FALSE)</f>
        <v>3.1010403642454332E-2</v>
      </c>
      <c r="DE110" s="111">
        <f>VLOOKUP(H110,'HW Dx Data'!$E:$F,2,FALSE)</f>
        <v>469.20514034936258</v>
      </c>
      <c r="DF110" s="72">
        <f t="shared" si="256"/>
        <v>99.224999999999994</v>
      </c>
      <c r="DG110" s="69">
        <f t="shared" si="257"/>
        <v>5.0378726854569796E-2</v>
      </c>
      <c r="DH110" s="66">
        <f>HLOOKUP(H110,'GDP-PI'!$8:$9,2,FALSE)</f>
        <v>87.406999999999996</v>
      </c>
      <c r="DI110" s="69">
        <f t="shared" si="249"/>
        <v>3.0539295810733648E-2</v>
      </c>
      <c r="DO110" s="184"/>
      <c r="DP110" s="184"/>
      <c r="DQ110" s="184"/>
      <c r="DR110" s="184"/>
      <c r="DS110" s="184"/>
      <c r="DT110" s="184"/>
      <c r="DU110" s="184"/>
      <c r="DV110" s="184"/>
      <c r="DW110" s="184"/>
      <c r="EB110"/>
    </row>
    <row r="111" spans="1:132" s="160" customFormat="1" ht="21">
      <c r="A111" s="160" t="s">
        <v>165</v>
      </c>
      <c r="B111" s="161" t="s">
        <v>165</v>
      </c>
      <c r="C111" s="161">
        <v>4058516</v>
      </c>
      <c r="D111" s="161" t="s">
        <v>166</v>
      </c>
      <c r="E111" s="161"/>
      <c r="F111" s="161"/>
      <c r="G111" s="161" t="s">
        <v>117</v>
      </c>
      <c r="H111" s="162">
        <v>2006</v>
      </c>
      <c r="I111" s="163"/>
      <c r="J111" s="159">
        <f>IFERROR(INDEX('Labor Expenditures'!$F$7:$X$91,MATCH($C111,'Labor Expenditures'!$D$7:$D$91,0),MATCH($G111,'Labor Expenditures'!$F$5:$X$5,0)),"NA")</f>
        <v>9770.3134732770995</v>
      </c>
      <c r="K111" s="159">
        <f t="shared" si="250"/>
        <v>89.308167031783356</v>
      </c>
      <c r="L111" s="165">
        <f t="shared" si="258"/>
        <v>9.2580975623825952E-3</v>
      </c>
      <c r="M111" s="76">
        <f t="shared" ref="M111:M127" si="260">+L111*$AR111</f>
        <v>3.7203965277090426E-5</v>
      </c>
      <c r="N111" s="62">
        <f>+N110*EXP(O111)</f>
        <v>90.297521229220152</v>
      </c>
      <c r="O111" s="96">
        <f t="shared" ref="O111:O127" si="261">+M111+M136+M161+M186+M211+M236+M261+M286+M311+M336+M361+M386+M411+M436+M461+M486+M511+M536+M561+M586+M611+M636+M661+M686+M711+M736+M761+M786+M811+M836+M861+M886+M911+M936+M961+M986+M1011+M1036+M1061+M1086+M1111+M1136+M1161+M1186+M1211+M1236+M1261+M1286+M1311+M1336+M1361+M1386+M1411+M1436</f>
        <v>-0.10206017633815374</v>
      </c>
      <c r="P111" s="96"/>
      <c r="Q111" s="159">
        <f>IFERROR(INDEX('Non-Labor Expenditures'!$F$7:$AB$91,MATCH($C111,'Non-Labor Expenditures'!$D$7:$D$91,0),MATCH($G111,'Non-Labor Expenditures'!$F$5:$AB$5,0)),"NA")</f>
        <v>14149.238752144149</v>
      </c>
      <c r="R111" s="159">
        <f t="shared" si="251"/>
        <v>157.08460545933508</v>
      </c>
      <c r="S111" s="165">
        <f t="shared" ref="S111:S126" si="262">LN(R111/R110)</f>
        <v>7.6822805155679935E-2</v>
      </c>
      <c r="T111" s="165">
        <f t="shared" ref="T111:T127" si="263">+S111*AR111</f>
        <v>3.0871493373688938E-4</v>
      </c>
      <c r="U111" s="165"/>
      <c r="V111" s="165"/>
      <c r="W111" s="159">
        <f t="shared" si="232"/>
        <v>8066.4626887419799</v>
      </c>
      <c r="X111" s="163"/>
      <c r="Y111" s="167">
        <v>523.64361495205196</v>
      </c>
      <c r="Z111" s="168">
        <v>3.8248980833917916E-2</v>
      </c>
      <c r="AA111" s="76">
        <f t="shared" si="252"/>
        <v>1.5370476982346285E-4</v>
      </c>
      <c r="AB111" s="168"/>
      <c r="AC111" s="168"/>
      <c r="AD111" s="163">
        <f t="shared" si="226"/>
        <v>31986.014914163228</v>
      </c>
      <c r="AE111" s="168">
        <f t="shared" ref="AE111:AE127" si="264">LN(AD111/AD110)</f>
        <v>8.1199511470552044E-2</v>
      </c>
      <c r="AF111" s="163"/>
      <c r="AG111" s="163"/>
      <c r="AH111" s="163"/>
      <c r="AI111" s="163"/>
      <c r="AJ111" s="116">
        <f t="shared" ref="AJ111:AJ127" si="265">+(AD111*1000)/AV111</f>
        <v>216.20206775601221</v>
      </c>
      <c r="AK111" s="114">
        <f>+AV111/$AX$11</f>
        <v>4.2658252254685206E-3</v>
      </c>
      <c r="AL111" s="115">
        <f t="shared" si="253"/>
        <v>0.30545579058524291</v>
      </c>
      <c r="AM111" s="115">
        <f t="shared" si="254"/>
        <v>0.44235703603948939</v>
      </c>
      <c r="AN111" s="115">
        <f t="shared" si="255"/>
        <v>0.25218717337526769</v>
      </c>
      <c r="AO111" s="115">
        <f t="shared" si="259"/>
        <v>4.6352903725318383E-2</v>
      </c>
      <c r="AP111" s="166">
        <f>+AP110*EXP(AO111)</f>
        <v>104.74439926267878</v>
      </c>
      <c r="AQ111" s="168">
        <f>LN(AP111/AP110)</f>
        <v>4.6352903725318348E-2</v>
      </c>
      <c r="AR111" s="69">
        <f>+AD111/$AF$11</f>
        <v>4.0185324281153817E-3</v>
      </c>
      <c r="AS111" s="169">
        <f>+AR111*AQ111</f>
        <v>1.8627064675750206E-4</v>
      </c>
      <c r="AT111" s="115"/>
      <c r="AU111" s="115"/>
      <c r="AV111" s="113">
        <f>IFERROR(INDEX('Total Customers'!$F$7:$AB$91,MATCH($C111,'Total Customers'!$D$7:$D$91,0),MATCH($G111,'Total Customers'!$F$5:$AB$5,0)),"NA")</f>
        <v>147945</v>
      </c>
      <c r="AW111" s="68">
        <f t="shared" si="180"/>
        <v>2.1024502956088233E-2</v>
      </c>
      <c r="AX111" s="114"/>
      <c r="AY111" s="114"/>
      <c r="AZ111" s="116"/>
      <c r="BA111" s="116"/>
      <c r="BB111" s="166"/>
      <c r="BC111" s="166"/>
      <c r="BD111" s="166"/>
      <c r="BE111" s="166"/>
      <c r="BF111" s="166"/>
      <c r="BG111" s="166"/>
      <c r="BH111" s="166"/>
      <c r="BI111" s="113"/>
      <c r="BJ111" s="113"/>
      <c r="BK111" s="113">
        <f>INDEX('Dist. Plant Gas Additions'!$F$7:$AE$91,MATCH($C111,'Dist. Plant Gas Additions'!$D$7:$D$91,0),MATCH(Calculation!$G111,'Dist. Plant Gas Additions'!$F$5:$AE$5,0))</f>
        <v>7575</v>
      </c>
      <c r="BL111" s="113">
        <f>INDEX('Gen. Plant Additions'!$F$7:$AE$91,MATCH($C111,'Gen. Plant Additions'!$D$7:$D$91,0),MATCH(Calculation!$G111,'Gen. Plant Additions'!$F$5:$AE$5,0))</f>
        <v>2936</v>
      </c>
      <c r="BM111" s="231">
        <f t="shared" si="233"/>
        <v>0.79692431812713194</v>
      </c>
      <c r="BN111" s="61">
        <f t="shared" si="231"/>
        <v>2339.7697980212592</v>
      </c>
      <c r="BO111" s="113">
        <f>INDEX('Dist Plant Depreciation'!$E$7:$AD$94,MATCH($C111,'Dist Plant Depreciation'!$D$7:$D$94,0),MATCH(Calculation!$G111,'Dist Plant Depreciation'!$E$5:$AD$5,0))</f>
        <v>47471</v>
      </c>
      <c r="BP111" s="113">
        <f>INDEX('Gen. Plant Depreciation'!$E$7:$AD$94,MATCH($C111,'Gen. Plant Depreciation'!$D$7:$D$94,0),MATCH(Calculation!$G111,'Gen. Plant Depreciation'!$E$5:$AD$5,0))</f>
        <v>13768</v>
      </c>
      <c r="BQ111" s="113"/>
      <c r="BR111" s="113"/>
      <c r="BS111" s="113"/>
      <c r="BT111" s="113"/>
      <c r="BU111" s="113"/>
      <c r="BV111" s="113"/>
      <c r="BW111" s="113">
        <f>INDEX('Gross Dx Plant'!$E$7:$AD$91,MATCH($C111,'Gross Dx Plant'!$D$7:$D$91,0),MATCH(Calculation!$G111,'Gross Dx Plant'!$E$5:$AD$5,0))</f>
        <v>112607</v>
      </c>
      <c r="BX111" s="113">
        <f>INDEX('Gross Gen Plant'!$E$7:$AD$91,MATCH($C111,'Gross Gen Plant'!$D$7:$D$91,0),MATCH(Calculation!$G111,'Gross Gen Plant'!$E$5:$AD$5,0))</f>
        <v>28695</v>
      </c>
      <c r="BY111" s="113">
        <f t="shared" si="182"/>
        <v>80063</v>
      </c>
      <c r="BZ111" s="114"/>
      <c r="CA111" s="116">
        <v>2006</v>
      </c>
      <c r="CB111" s="113"/>
      <c r="CC111" s="113"/>
      <c r="CD111" s="113"/>
      <c r="CE111" s="175"/>
      <c r="CF111" s="113">
        <f t="shared" si="234"/>
        <v>10511</v>
      </c>
      <c r="CG111" s="113">
        <f t="shared" si="235"/>
        <v>22.796197369943865</v>
      </c>
      <c r="CH111" s="178">
        <v>0.9555555555555556</v>
      </c>
      <c r="CI111" s="61">
        <f>+CI103*CH111+CG104*CH110+CG105*CH109+CG106*CH108+CG107*CH107+CG108*CH106+CG109*CH105+CG110*CH104+CG111</f>
        <v>523.64361495205196</v>
      </c>
      <c r="CJ111" s="114">
        <f t="shared" si="236"/>
        <v>3.8248980833917916E-2</v>
      </c>
      <c r="CK111" s="114"/>
      <c r="CL111" s="169">
        <f t="shared" si="237"/>
        <v>6.2412907098696692E-3</v>
      </c>
      <c r="CM111" s="169">
        <f t="shared" si="246"/>
        <v>6.0528021117057214E-3</v>
      </c>
      <c r="CN111" s="114">
        <f>VLOOKUP($H111,RoR!$E:$F,2,FALSE)</f>
        <v>5.5874999999999994E-2</v>
      </c>
      <c r="CO111" s="169">
        <v>3.0512430354548314E-2</v>
      </c>
      <c r="CP111" s="169">
        <f t="shared" si="243"/>
        <v>2.536256964545168E-2</v>
      </c>
      <c r="CQ111" s="169">
        <f t="shared" si="247"/>
        <v>2.4849139496827904E-2</v>
      </c>
      <c r="CR111" s="169">
        <v>7.9087823893859641E-2</v>
      </c>
      <c r="CS111" s="179">
        <f t="shared" si="238"/>
        <v>0.8548675</v>
      </c>
      <c r="CT111" s="180">
        <f t="shared" si="239"/>
        <v>0.91779957551769631</v>
      </c>
      <c r="CU111" s="180">
        <f t="shared" si="240"/>
        <v>0.52757270693512304</v>
      </c>
      <c r="CV111" s="180">
        <f t="shared" si="241"/>
        <v>0.88636824549024895</v>
      </c>
      <c r="CW111" s="180">
        <f t="shared" si="242"/>
        <v>0.42918482841932087</v>
      </c>
      <c r="CX111" s="181">
        <f>INDEX('State Tax Lookup'!$D$7:$Z$91,MATCH(Calculation!$C111,'State Tax Lookup'!$B$7:$B$91,0),MATCH($H111,'State Tax Lookup'!$D$6:$Z$6,0))</f>
        <v>0.39224999999999999</v>
      </c>
      <c r="CY111" s="72">
        <v>0.37</v>
      </c>
      <c r="CZ111" s="70">
        <f t="shared" si="245"/>
        <v>16.005109078529042</v>
      </c>
      <c r="DA111" s="70">
        <v>14.788696346247992</v>
      </c>
      <c r="DB111" s="69">
        <f t="shared" si="248"/>
        <v>-2.3982005759874005E-2</v>
      </c>
      <c r="DC111" s="111">
        <f>VLOOKUP($H111,RoR!$E:$F,2,FALSE)</f>
        <v>5.5874999999999994E-2</v>
      </c>
      <c r="DD111" s="216">
        <f>HLOOKUP($H111,'GDP-PI'!$D$8:$CQ$11,3,FALSE)</f>
        <v>3.0512430354548314E-2</v>
      </c>
      <c r="DE111" s="111">
        <f>VLOOKUP(H111,'HW Dx Data'!$E:$F,2,FALSE)</f>
        <v>461.08567272971823</v>
      </c>
      <c r="DF111" s="72">
        <f t="shared" si="256"/>
        <v>109.4</v>
      </c>
      <c r="DG111" s="69">
        <f t="shared" si="257"/>
        <v>9.7620891318751846E-2</v>
      </c>
      <c r="DH111" s="66">
        <f>HLOOKUP(H111,'GDP-PI'!$8:$9,2,FALSE)</f>
        <v>90.073999999999998</v>
      </c>
      <c r="DI111" s="69">
        <f t="shared" si="249"/>
        <v>3.005618372545445E-2</v>
      </c>
      <c r="DO111" s="184"/>
      <c r="DP111" s="184"/>
      <c r="DQ111" s="184"/>
      <c r="DR111" s="184"/>
      <c r="DS111" s="184"/>
      <c r="DT111" s="184"/>
      <c r="DU111" s="184"/>
      <c r="DV111" s="184"/>
      <c r="DW111" s="184"/>
      <c r="EB111"/>
    </row>
    <row r="112" spans="1:132" s="160" customFormat="1" ht="21">
      <c r="A112" s="160" t="s">
        <v>165</v>
      </c>
      <c r="B112" s="161" t="s">
        <v>165</v>
      </c>
      <c r="C112" s="161">
        <v>4058516</v>
      </c>
      <c r="D112" s="161" t="s">
        <v>166</v>
      </c>
      <c r="E112" s="161"/>
      <c r="F112" s="161"/>
      <c r="G112" s="161" t="s">
        <v>118</v>
      </c>
      <c r="H112" s="162">
        <v>2007</v>
      </c>
      <c r="I112" s="163"/>
      <c r="J112" s="159">
        <f>IFERROR(INDEX('Labor Expenditures'!$F$7:$X$91,MATCH($C112,'Labor Expenditures'!$D$7:$D$91,0),MATCH($G112,'Labor Expenditures'!$F$5:$X$5,0)),"NA")</f>
        <v>9781.1791531573144</v>
      </c>
      <c r="K112" s="159">
        <f t="shared" si="250"/>
        <v>93.577413567637549</v>
      </c>
      <c r="L112" s="165">
        <f t="shared" si="258"/>
        <v>4.6696106502425824E-2</v>
      </c>
      <c r="M112" s="76">
        <f t="shared" si="260"/>
        <v>1.8297599086276273E-4</v>
      </c>
      <c r="N112" s="62">
        <f t="shared" ref="N112:N125" si="266">+N111*EXP(O112)</f>
        <v>97.209129303161205</v>
      </c>
      <c r="O112" s="96">
        <f t="shared" si="261"/>
        <v>7.3754620278007874E-2</v>
      </c>
      <c r="P112" s="96"/>
      <c r="Q112" s="159">
        <f>IFERROR(INDEX('Non-Labor Expenditures'!$F$7:$AB$91,MATCH($C112,'Non-Labor Expenditures'!$D$7:$D$91,0),MATCH($G112,'Non-Labor Expenditures'!$F$5:$AB$5,0)),"NA")</f>
        <v>14164.97428603976</v>
      </c>
      <c r="R112" s="159">
        <f t="shared" si="251"/>
        <v>153.13816824190533</v>
      </c>
      <c r="S112" s="165">
        <f t="shared" si="262"/>
        <v>-2.5443974192864604E-2</v>
      </c>
      <c r="T112" s="165">
        <f t="shared" si="263"/>
        <v>-9.9700740342968596E-5</v>
      </c>
      <c r="U112" s="165"/>
      <c r="V112" s="165"/>
      <c r="W112" s="159">
        <f t="shared" si="232"/>
        <v>8999.1139659028504</v>
      </c>
      <c r="X112" s="163"/>
      <c r="Y112" s="167">
        <v>536.30868666886613</v>
      </c>
      <c r="Z112" s="168">
        <v>2.3898574469361757E-2</v>
      </c>
      <c r="AA112" s="76">
        <f t="shared" si="252"/>
        <v>9.3645180964109395E-5</v>
      </c>
      <c r="AB112" s="168"/>
      <c r="AC112" s="168"/>
      <c r="AD112" s="163">
        <f t="shared" si="226"/>
        <v>32945.267405099927</v>
      </c>
      <c r="AE112" s="168">
        <f t="shared" si="264"/>
        <v>2.9548847705378731E-2</v>
      </c>
      <c r="AF112" s="163"/>
      <c r="AG112" s="163"/>
      <c r="AH112" s="163"/>
      <c r="AI112" s="163"/>
      <c r="AJ112" s="116">
        <f t="shared" si="265"/>
        <v>218.86180432538316</v>
      </c>
      <c r="AK112" s="114">
        <f>+AV112/$AX$12</f>
        <v>4.3076818647738166E-3</v>
      </c>
      <c r="AL112" s="115">
        <f t="shared" si="253"/>
        <v>0.29689178214541334</v>
      </c>
      <c r="AM112" s="115">
        <f t="shared" si="254"/>
        <v>0.42995475228247876</v>
      </c>
      <c r="AN112" s="115">
        <f t="shared" si="255"/>
        <v>0.27315346557210785</v>
      </c>
      <c r="AO112" s="115">
        <f t="shared" si="259"/>
        <v>9.2435500795893105E-3</v>
      </c>
      <c r="AP112" s="166">
        <f>+AP111*EXP(AO112)</f>
        <v>105.71709803184621</v>
      </c>
      <c r="AQ112" s="168">
        <f>LN(AP112/AP111)</f>
        <v>9.2435500795893452E-3</v>
      </c>
      <c r="AR112" s="69">
        <f>+AD112/$AF$12</f>
        <v>3.9184421265027157E-3</v>
      </c>
      <c r="AS112" s="169">
        <f t="shared" ref="AS112:AS126" si="267">+AR112*AQ112</f>
        <v>3.6220316030300422E-5</v>
      </c>
      <c r="AT112" s="115"/>
      <c r="AU112" s="115"/>
      <c r="AV112" s="113">
        <f>IFERROR(INDEX('Total Customers'!$F$7:$AB$91,MATCH($C112,'Total Customers'!$D$7:$D$91,0),MATCH($G112,'Total Customers'!$F$5:$AB$5,0)),"NA")</f>
        <v>150530</v>
      </c>
      <c r="AW112" s="68">
        <f t="shared" si="180"/>
        <v>1.7321816798346133E-2</v>
      </c>
      <c r="AX112" s="114"/>
      <c r="AY112" s="114"/>
      <c r="AZ112" s="116"/>
      <c r="BA112" s="116"/>
      <c r="BB112" s="166"/>
      <c r="BC112" s="166"/>
      <c r="BD112" s="166"/>
      <c r="BE112" s="166"/>
      <c r="BF112" s="166"/>
      <c r="BG112" s="166"/>
      <c r="BH112" s="166"/>
      <c r="BI112" s="113"/>
      <c r="BJ112" s="113"/>
      <c r="BK112" s="113">
        <f>INDEX('Dist. Plant Gas Additions'!$F$7:$AE$91,MATCH($C112,'Dist. Plant Gas Additions'!$D$7:$D$91,0),MATCH(Calculation!$G112,'Dist. Plant Gas Additions'!$F$5:$AE$5,0))</f>
        <v>5232</v>
      </c>
      <c r="BL112" s="113">
        <f>INDEX('Gen. Plant Additions'!$F$7:$AE$91,MATCH($C112,'Gen. Plant Additions'!$D$7:$D$91,0),MATCH(Calculation!$G112,'Gen. Plant Additions'!$F$5:$AE$5,0))</f>
        <v>2751</v>
      </c>
      <c r="BM112" s="231">
        <f t="shared" si="233"/>
        <v>0.79503256998144667</v>
      </c>
      <c r="BN112" s="61">
        <f t="shared" si="231"/>
        <v>2187.1346000189596</v>
      </c>
      <c r="BO112" s="113">
        <f>INDEX('Dist Plant Depreciation'!$E$7:$AD$94,MATCH($C112,'Dist Plant Depreciation'!$D$7:$D$94,0),MATCH(Calculation!$G112,'Dist Plant Depreciation'!$E$5:$AD$5,0))</f>
        <v>49719</v>
      </c>
      <c r="BP112" s="113">
        <f>INDEX('Gen. Plant Depreciation'!$E$7:$AD$94,MATCH($C112,'Gen. Plant Depreciation'!$D$7:$D$94,0),MATCH(Calculation!$G112,'Gen. Plant Depreciation'!$E$5:$AD$5,0))</f>
        <v>14622</v>
      </c>
      <c r="BQ112" s="113"/>
      <c r="BR112" s="113"/>
      <c r="BS112" s="113"/>
      <c r="BT112" s="113"/>
      <c r="BU112" s="113"/>
      <c r="BV112" s="113"/>
      <c r="BW112" s="113">
        <f>INDEX('Gross Dx Plant'!$E$7:$AD$91,MATCH($C112,'Gross Dx Plant'!$D$7:$D$91,0),MATCH(Calculation!$G112,'Gross Dx Plant'!$E$5:$AD$5,0))</f>
        <v>117412</v>
      </c>
      <c r="BX112" s="113">
        <f>INDEX('Gross Gen Plant'!$E$7:$AD$91,MATCH($C112,'Gross Gen Plant'!$D$7:$D$91,0),MATCH(Calculation!$G112,'Gross Gen Plant'!$E$5:$AD$5,0))</f>
        <v>30270</v>
      </c>
      <c r="BY112" s="113">
        <f t="shared" si="182"/>
        <v>83341</v>
      </c>
      <c r="BZ112" s="113"/>
      <c r="CA112" s="116">
        <v>2007</v>
      </c>
      <c r="CB112" s="113"/>
      <c r="CC112" s="113"/>
      <c r="CD112" s="113"/>
      <c r="CE112" s="175"/>
      <c r="CF112" s="113">
        <f t="shared" si="234"/>
        <v>7983</v>
      </c>
      <c r="CG112" s="113">
        <f t="shared" si="235"/>
        <v>16.029402201284391</v>
      </c>
      <c r="CH112" s="178">
        <v>0.94915254237288138</v>
      </c>
      <c r="CI112" s="61">
        <f>+CI103*CH112+CG104*CH111+CG105*CH110+CG106*CH109+CG107*CH108+CG108*CH107+CG109*CH106+CG110*CH105+CG111*CH104+CG112</f>
        <v>536.30868666886613</v>
      </c>
      <c r="CJ112" s="114">
        <f t="shared" si="236"/>
        <v>2.3898574469361757E-2</v>
      </c>
      <c r="CK112" s="114"/>
      <c r="CL112" s="169">
        <f t="shared" si="237"/>
        <v>6.4248477178095289E-3</v>
      </c>
      <c r="CM112" s="169">
        <f t="shared" si="246"/>
        <v>6.2398072545272092E-3</v>
      </c>
      <c r="CN112" s="114">
        <f>VLOOKUP($H112,RoR!$E:$F,2,FALSE)</f>
        <v>5.5558333333333321E-2</v>
      </c>
      <c r="CO112" s="169">
        <v>2.691120634145272E-2</v>
      </c>
      <c r="CP112" s="169">
        <f t="shared" si="243"/>
        <v>2.86471269918806E-2</v>
      </c>
      <c r="CQ112" s="169">
        <f t="shared" si="247"/>
        <v>2.4662134354006417E-2</v>
      </c>
      <c r="CR112" s="169">
        <v>6.4575155250632399E-2</v>
      </c>
      <c r="CS112" s="179">
        <f t="shared" si="238"/>
        <v>0.8548675</v>
      </c>
      <c r="CT112" s="180">
        <f t="shared" si="239"/>
        <v>0.92303077153834634</v>
      </c>
      <c r="CU112" s="180">
        <f t="shared" si="240"/>
        <v>0.52502249887505614</v>
      </c>
      <c r="CV112" s="180">
        <f t="shared" si="241"/>
        <v>0.88499666072084604</v>
      </c>
      <c r="CW112" s="180">
        <f t="shared" si="242"/>
        <v>0.42887993290280618</v>
      </c>
      <c r="CX112" s="181">
        <f>INDEX('State Tax Lookup'!$D$7:$Z$91,MATCH(Calculation!$C112,'State Tax Lookup'!$B$7:$B$91,0),MATCH($H112,'State Tax Lookup'!$D$6:$Z$6,0))</f>
        <v>0.39224999999999999</v>
      </c>
      <c r="CY112" s="72">
        <v>0.37</v>
      </c>
      <c r="CZ112" s="70">
        <f t="shared" si="245"/>
        <v>17.185569935244725</v>
      </c>
      <c r="DA112" s="70">
        <v>16.108943221861779</v>
      </c>
      <c r="DB112" s="69">
        <f t="shared" si="248"/>
        <v>7.1162085767707092E-2</v>
      </c>
      <c r="DC112" s="111">
        <f>VLOOKUP($H112,RoR!$E:$F,2,FALSE)</f>
        <v>5.5558333333333321E-2</v>
      </c>
      <c r="DD112" s="216">
        <f>HLOOKUP($H112,'GDP-PI'!$D$8:$CQ$11,3,FALSE)</f>
        <v>2.691120634145272E-2</v>
      </c>
      <c r="DE112" s="111">
        <f>VLOOKUP(H112,'HW Dx Data'!$E:$F,2,FALSE)</f>
        <v>498.0223154772637</v>
      </c>
      <c r="DF112" s="72">
        <f t="shared" si="256"/>
        <v>104.52499999999999</v>
      </c>
      <c r="DG112" s="69">
        <f t="shared" si="257"/>
        <v>-4.5584612745252218E-2</v>
      </c>
      <c r="DH112" s="66">
        <f>HLOOKUP(H112,'GDP-PI'!$8:$9,2,FALSE)</f>
        <v>92.498000000000005</v>
      </c>
      <c r="DI112" s="69">
        <f t="shared" si="249"/>
        <v>2.6555467950038037E-2</v>
      </c>
      <c r="DO112" s="184"/>
      <c r="DP112" s="184"/>
      <c r="DQ112" s="184"/>
      <c r="DR112" s="184"/>
      <c r="DS112" s="184"/>
      <c r="DT112" s="184"/>
      <c r="DU112" s="184"/>
      <c r="DV112" s="184"/>
      <c r="DW112" s="184"/>
      <c r="EB112"/>
    </row>
    <row r="113" spans="1:132" s="160" customFormat="1" ht="21">
      <c r="A113" s="160" t="s">
        <v>165</v>
      </c>
      <c r="B113" s="161" t="s">
        <v>165</v>
      </c>
      <c r="C113" s="161">
        <v>4058516</v>
      </c>
      <c r="D113" s="161" t="s">
        <v>166</v>
      </c>
      <c r="E113" s="161"/>
      <c r="F113" s="161"/>
      <c r="G113" s="161" t="s">
        <v>120</v>
      </c>
      <c r="H113" s="162">
        <v>2008</v>
      </c>
      <c r="I113" s="163"/>
      <c r="J113" s="159">
        <f>IFERROR(INDEX('Labor Expenditures'!$F$7:$X$91,MATCH($C113,'Labor Expenditures'!$D$7:$D$91,0),MATCH($G113,'Labor Expenditures'!$F$5:$X$5,0)),"NA")</f>
        <v>9465.3921147019773</v>
      </c>
      <c r="K113" s="159">
        <f t="shared" si="250"/>
        <v>87.72374527063927</v>
      </c>
      <c r="L113" s="165">
        <f t="shared" si="258"/>
        <v>-6.4596427944044923E-2</v>
      </c>
      <c r="M113" s="76">
        <f t="shared" si="260"/>
        <v>-2.4174327126953626E-4</v>
      </c>
      <c r="N113" s="62">
        <f t="shared" si="266"/>
        <v>96.173656130005838</v>
      </c>
      <c r="O113" s="96">
        <f t="shared" si="261"/>
        <v>-1.0709154561053378E-2</v>
      </c>
      <c r="P113" s="96"/>
      <c r="Q113" s="159">
        <f>IFERROR(INDEX('Non-Labor Expenditures'!$F$7:$AB$91,MATCH($C113,'Non-Labor Expenditures'!$D$7:$D$91,0),MATCH($G113,'Non-Labor Expenditures'!$F$5:$AB$5,0)),"NA")</f>
        <v>13707.655673473442</v>
      </c>
      <c r="R113" s="159">
        <f t="shared" si="251"/>
        <v>145.41771698075027</v>
      </c>
      <c r="S113" s="165">
        <f t="shared" si="262"/>
        <v>-5.1730166670616778E-2</v>
      </c>
      <c r="T113" s="165">
        <f t="shared" si="263"/>
        <v>-1.935930532429092E-4</v>
      </c>
      <c r="U113" s="165"/>
      <c r="V113" s="165"/>
      <c r="W113" s="159">
        <f t="shared" si="232"/>
        <v>10466.992655933103</v>
      </c>
      <c r="X113" s="163"/>
      <c r="Y113" s="167">
        <v>537.89536610575408</v>
      </c>
      <c r="Z113" s="168">
        <v>2.9541511907413419E-3</v>
      </c>
      <c r="AA113" s="76">
        <f t="shared" si="252"/>
        <v>1.1055505627853284E-5</v>
      </c>
      <c r="AB113" s="168"/>
      <c r="AC113" s="168"/>
      <c r="AD113" s="163">
        <f t="shared" si="226"/>
        <v>33640.040444108527</v>
      </c>
      <c r="AE113" s="168">
        <f t="shared" si="264"/>
        <v>2.0869416320922211E-2</v>
      </c>
      <c r="AF113" s="163"/>
      <c r="AG113" s="163"/>
      <c r="AH113" s="163"/>
      <c r="AI113" s="163"/>
      <c r="AJ113" s="116">
        <f t="shared" si="265"/>
        <v>221.93806618620954</v>
      </c>
      <c r="AK113" s="114">
        <f>+AV113/$AX$13</f>
        <v>4.3143666839375308E-3</v>
      </c>
      <c r="AL113" s="115">
        <f t="shared" si="253"/>
        <v>0.2813727923552386</v>
      </c>
      <c r="AM113" s="115">
        <f t="shared" si="254"/>
        <v>0.40748035651883713</v>
      </c>
      <c r="AN113" s="115">
        <f t="shared" si="255"/>
        <v>0.31114685112592416</v>
      </c>
      <c r="AO113" s="115">
        <f t="shared" si="259"/>
        <v>-3.9474186098559641E-2</v>
      </c>
      <c r="AP113" s="166">
        <f t="shared" ref="AP113:AP126" si="268">+AP112*EXP(AO113)</f>
        <v>101.62529327253766</v>
      </c>
      <c r="AQ113" s="168">
        <f t="shared" ref="AQ113:AQ126" si="269">LN(AP113/AP112)</f>
        <v>-3.9474186098559592E-2</v>
      </c>
      <c r="AR113" s="69">
        <f>+AD113/$AF$13</f>
        <v>3.7423628358976826E-3</v>
      </c>
      <c r="AS113" s="169">
        <f t="shared" si="267"/>
        <v>-1.4772672703255836E-4</v>
      </c>
      <c r="AT113" s="115"/>
      <c r="AU113" s="115"/>
      <c r="AV113" s="113">
        <f>IFERROR(INDEX('Total Customers'!$F$7:$AB$91,MATCH($C113,'Total Customers'!$D$7:$D$91,0),MATCH($G113,'Total Customers'!$F$5:$AB$5,0)),"NA")</f>
        <v>151574</v>
      </c>
      <c r="AW113" s="68">
        <f t="shared" si="180"/>
        <v>6.9115546695896106E-3</v>
      </c>
      <c r="AX113" s="114"/>
      <c r="AY113" s="114"/>
      <c r="AZ113" s="116"/>
      <c r="BA113" s="116"/>
      <c r="BB113" s="166"/>
      <c r="BC113" s="166"/>
      <c r="BD113" s="166"/>
      <c r="BE113" s="166"/>
      <c r="BF113" s="166"/>
      <c r="BG113" s="166"/>
      <c r="BH113" s="166"/>
      <c r="BI113" s="113"/>
      <c r="BJ113" s="113"/>
      <c r="BK113" s="113">
        <f>INDEX('Dist. Plant Gas Additions'!$F$7:$AE$91,MATCH($C113,'Dist. Plant Gas Additions'!$D$7:$D$91,0),MATCH(Calculation!$G113,'Dist. Plant Gas Additions'!$F$5:$AE$5,0))</f>
        <v>1868</v>
      </c>
      <c r="BL113" s="113">
        <f>INDEX('Gen. Plant Additions'!$F$7:$AE$91,MATCH($C113,'Gen. Plant Additions'!$D$7:$D$91,0),MATCH(Calculation!$G113,'Gen. Plant Additions'!$F$5:$AE$5,0))</f>
        <v>1064</v>
      </c>
      <c r="BM113" s="231">
        <f t="shared" si="233"/>
        <v>0.81473061904371813</v>
      </c>
      <c r="BN113" s="61">
        <f t="shared" si="231"/>
        <v>866.87337866251607</v>
      </c>
      <c r="BO113" s="113">
        <f>INDEX('Dist Plant Depreciation'!$E$7:$AD$94,MATCH($C113,'Dist Plant Depreciation'!$D$7:$D$94,0),MATCH(Calculation!$G113,'Dist Plant Depreciation'!$E$5:$AD$5,0))</f>
        <v>52312</v>
      </c>
      <c r="BP113" s="113">
        <f>INDEX('Gen. Plant Depreciation'!$E$7:$AD$94,MATCH($C113,'Gen. Plant Depreciation'!$D$7:$D$94,0),MATCH(Calculation!$G113,'Gen. Plant Depreciation'!$E$5:$AD$5,0))</f>
        <v>14172</v>
      </c>
      <c r="BQ113" s="113"/>
      <c r="BR113" s="113"/>
      <c r="BS113" s="113"/>
      <c r="BT113" s="113"/>
      <c r="BU113" s="113"/>
      <c r="BV113" s="113"/>
      <c r="BW113" s="113">
        <f>INDEX('Gross Dx Plant'!$E$7:$AD$91,MATCH($C113,'Gross Dx Plant'!$D$7:$D$91,0),MATCH(Calculation!$G113,'Gross Dx Plant'!$E$5:$AD$5,0))</f>
        <v>119345</v>
      </c>
      <c r="BX113" s="113">
        <f>INDEX('Gross Gen Plant'!$E$7:$AD$91,MATCH($C113,'Gross Gen Plant'!$D$7:$D$91,0),MATCH(Calculation!$G113,'Gross Gen Plant'!$E$5:$AD$5,0))</f>
        <v>27139</v>
      </c>
      <c r="BY113" s="113">
        <f t="shared" si="182"/>
        <v>80000</v>
      </c>
      <c r="BZ113" s="113"/>
      <c r="CA113" s="116">
        <v>2008</v>
      </c>
      <c r="CB113" s="113"/>
      <c r="CC113" s="113"/>
      <c r="CD113" s="113"/>
      <c r="CE113" s="175"/>
      <c r="CF113" s="113">
        <f t="shared" si="234"/>
        <v>2932</v>
      </c>
      <c r="CG113" s="113">
        <f t="shared" si="235"/>
        <v>5.1449319311478892</v>
      </c>
      <c r="CH113" s="178">
        <v>0.94252873563218387</v>
      </c>
      <c r="CI113" s="61">
        <f>+CI103*CH113+CG104*CH112+CG105*CH111+CG106*CH110+CG107*CH109+CG108*CH108+CG109*CH107+CG110*CH106+CG111*CH105+CG112*CH104+CG113</f>
        <v>537.89536610575408</v>
      </c>
      <c r="CJ113" s="114">
        <f t="shared" si="236"/>
        <v>2.9541511907413419E-3</v>
      </c>
      <c r="CK113" s="114"/>
      <c r="CL113" s="169">
        <f t="shared" si="237"/>
        <v>6.6347097906637453E-3</v>
      </c>
      <c r="CM113" s="169">
        <f t="shared" si="246"/>
        <v>6.4336160727809814E-3</v>
      </c>
      <c r="CN113" s="114">
        <f>VLOOKUP($H113,RoR!$E:$F,2,FALSE)</f>
        <v>5.6316666666666668E-2</v>
      </c>
      <c r="CO113" s="169">
        <v>1.9092304698479889E-2</v>
      </c>
      <c r="CP113" s="169">
        <f t="shared" si="243"/>
        <v>3.7224361968186778E-2</v>
      </c>
      <c r="CQ113" s="169">
        <f t="shared" si="247"/>
        <v>2.4468325535752643E-2</v>
      </c>
      <c r="CR113" s="169">
        <v>6.9030581091053131E-2</v>
      </c>
      <c r="CS113" s="179">
        <f t="shared" si="238"/>
        <v>0.8548675</v>
      </c>
      <c r="CT113" s="180">
        <f t="shared" si="239"/>
        <v>0.91060168006009956</v>
      </c>
      <c r="CU113" s="180">
        <f t="shared" si="240"/>
        <v>0.53108168097070152</v>
      </c>
      <c r="CV113" s="180">
        <f t="shared" si="241"/>
        <v>0.88825329850328805</v>
      </c>
      <c r="CW113" s="180">
        <f t="shared" si="242"/>
        <v>0.4295627335323573</v>
      </c>
      <c r="CX113" s="181">
        <f>INDEX('State Tax Lookup'!$D$7:$Z$91,MATCH(Calculation!$C113,'State Tax Lookup'!$B$7:$B$91,0),MATCH($H113,'State Tax Lookup'!$D$6:$Z$6,0))</f>
        <v>0.39224999999999999</v>
      </c>
      <c r="CY113" s="72">
        <v>0.37</v>
      </c>
      <c r="CZ113" s="70">
        <f t="shared" si="245"/>
        <v>19.516731531883156</v>
      </c>
      <c r="DA113" s="70">
        <v>18.300102035478151</v>
      </c>
      <c r="DB113" s="69">
        <f t="shared" si="248"/>
        <v>0.12720205050618455</v>
      </c>
      <c r="DC113" s="111">
        <f>VLOOKUP($H113,RoR!$E:$F,2,FALSE)</f>
        <v>5.6316666666666668E-2</v>
      </c>
      <c r="DD113" s="216">
        <f>HLOOKUP($H113,'GDP-PI'!$D$8:$CQ$11,3,FALSE)</f>
        <v>1.9092304698479889E-2</v>
      </c>
      <c r="DE113" s="111">
        <f>VLOOKUP(H113,'HW Dx Data'!$E:$F,2,FALSE)</f>
        <v>569.88120333515076</v>
      </c>
      <c r="DF113" s="72">
        <f t="shared" si="256"/>
        <v>107.9</v>
      </c>
      <c r="DG113" s="69">
        <f t="shared" si="257"/>
        <v>3.1778595021460486E-2</v>
      </c>
      <c r="DH113" s="66">
        <f>HLOOKUP(H113,'GDP-PI'!$8:$9,2,FALSE)</f>
        <v>94.263999999999996</v>
      </c>
      <c r="DI113" s="69">
        <f t="shared" si="249"/>
        <v>1.8912333748032254E-2</v>
      </c>
      <c r="DO113" s="184"/>
      <c r="DP113" s="184"/>
      <c r="DQ113" s="184"/>
      <c r="DR113" s="184"/>
      <c r="DS113" s="184"/>
      <c r="DT113" s="184"/>
      <c r="DU113" s="184"/>
      <c r="DV113" s="184"/>
      <c r="DW113" s="184"/>
      <c r="EB113"/>
    </row>
    <row r="114" spans="1:132" s="160" customFormat="1" ht="21">
      <c r="A114" s="160" t="s">
        <v>165</v>
      </c>
      <c r="B114" s="161" t="s">
        <v>165</v>
      </c>
      <c r="C114" s="161">
        <v>4058516</v>
      </c>
      <c r="D114" s="161" t="s">
        <v>166</v>
      </c>
      <c r="E114" s="161"/>
      <c r="F114" s="161"/>
      <c r="G114" s="161" t="s">
        <v>125</v>
      </c>
      <c r="H114" s="162">
        <v>2009</v>
      </c>
      <c r="I114" s="163"/>
      <c r="J114" s="159">
        <f>IFERROR(INDEX('Labor Expenditures'!$F$7:$X$91,MATCH($C114,'Labor Expenditures'!$D$7:$D$91,0),MATCH($G114,'Labor Expenditures'!$F$5:$X$5,0)),"NA")</f>
        <v>8610.090797554356</v>
      </c>
      <c r="K114" s="159">
        <f t="shared" si="250"/>
        <v>77.620832071709316</v>
      </c>
      <c r="L114" s="165">
        <f t="shared" si="258"/>
        <v>-0.12235677268793253</v>
      </c>
      <c r="M114" s="76">
        <f t="shared" si="260"/>
        <v>-4.0639584023242123E-4</v>
      </c>
      <c r="N114" s="62">
        <f t="shared" si="266"/>
        <v>100.98698788577957</v>
      </c>
      <c r="O114" s="96">
        <f t="shared" si="261"/>
        <v>4.88362003606439E-2</v>
      </c>
      <c r="P114" s="96"/>
      <c r="Q114" s="159">
        <f>IFERROR(INDEX('Non-Labor Expenditures'!$F$7:$AB$91,MATCH($C114,'Non-Labor Expenditures'!$D$7:$D$91,0),MATCH($G114,'Non-Labor Expenditures'!$F$5:$AB$5,0)),"NA")</f>
        <v>12469.019617993239</v>
      </c>
      <c r="R114" s="159">
        <f t="shared" si="251"/>
        <v>131.25421970750472</v>
      </c>
      <c r="S114" s="165">
        <f t="shared" si="262"/>
        <v>-0.10247435650535781</v>
      </c>
      <c r="T114" s="165">
        <f t="shared" si="263"/>
        <v>-3.4035837411702856E-4</v>
      </c>
      <c r="U114" s="165"/>
      <c r="V114" s="165"/>
      <c r="W114" s="159">
        <f t="shared" si="232"/>
        <v>10061.126728665029</v>
      </c>
      <c r="X114" s="163"/>
      <c r="Y114" s="167">
        <v>544.26450254380973</v>
      </c>
      <c r="Z114" s="168">
        <v>1.1771292147233207E-2</v>
      </c>
      <c r="AA114" s="76">
        <f t="shared" si="252"/>
        <v>3.9097175070129524E-5</v>
      </c>
      <c r="AB114" s="168"/>
      <c r="AC114" s="168"/>
      <c r="AD114" s="163">
        <f t="shared" si="226"/>
        <v>31140.237144212624</v>
      </c>
      <c r="AE114" s="168">
        <f t="shared" si="264"/>
        <v>-7.7216255568524683E-2</v>
      </c>
      <c r="AF114" s="163"/>
      <c r="AG114" s="163"/>
      <c r="AH114" s="163"/>
      <c r="AI114" s="163"/>
      <c r="AJ114" s="116">
        <f t="shared" si="265"/>
        <v>201.99160089911283</v>
      </c>
      <c r="AK114" s="114">
        <f>+AV114/$AX$14</f>
        <v>4.3825508716860313E-3</v>
      </c>
      <c r="AL114" s="115">
        <f t="shared" si="253"/>
        <v>0.27649406642860236</v>
      </c>
      <c r="AM114" s="115">
        <f t="shared" si="254"/>
        <v>0.4004150501567581</v>
      </c>
      <c r="AN114" s="115">
        <f t="shared" si="255"/>
        <v>0.32309088341463954</v>
      </c>
      <c r="AO114" s="115">
        <f t="shared" si="259"/>
        <v>-7.1790776344492532E-2</v>
      </c>
      <c r="AP114" s="166">
        <f t="shared" si="268"/>
        <v>94.585262590298527</v>
      </c>
      <c r="AQ114" s="168">
        <f t="shared" si="269"/>
        <v>-7.179077634449256E-2</v>
      </c>
      <c r="AR114" s="69">
        <f>+AD114/$AF$14</f>
        <v>3.3214004529926776E-3</v>
      </c>
      <c r="AS114" s="169">
        <f t="shared" si="267"/>
        <v>-2.384459170712936E-4</v>
      </c>
      <c r="AT114" s="115"/>
      <c r="AU114" s="115"/>
      <c r="AV114" s="113">
        <f>IFERROR(INDEX('Total Customers'!$F$7:$AB$91,MATCH($C114,'Total Customers'!$D$7:$D$91,0),MATCH($G114,'Total Customers'!$F$5:$AB$5,0)),"NA")</f>
        <v>154166</v>
      </c>
      <c r="AW114" s="68">
        <f t="shared" si="180"/>
        <v>1.6955989408693729E-2</v>
      </c>
      <c r="AX114" s="114"/>
      <c r="AY114" s="114"/>
      <c r="AZ114" s="116"/>
      <c r="BA114" s="116"/>
      <c r="BB114" s="166"/>
      <c r="BC114" s="166"/>
      <c r="BD114" s="166"/>
      <c r="BE114" s="166"/>
      <c r="BF114" s="166"/>
      <c r="BG114" s="166"/>
      <c r="BH114" s="166"/>
      <c r="BI114" s="113"/>
      <c r="BJ114" s="113"/>
      <c r="BK114" s="113">
        <f>INDEX('Dist. Plant Gas Additions'!$F$7:$AE$91,MATCH($C114,'Dist. Plant Gas Additions'!$D$7:$D$91,0),MATCH(Calculation!$G114,'Dist. Plant Gas Additions'!$F$5:$AE$5,0))</f>
        <v>3673</v>
      </c>
      <c r="BL114" s="113">
        <f>INDEX('Gen. Plant Additions'!$F$7:$AE$91,MATCH($C114,'Gen. Plant Additions'!$D$7:$D$91,0),MATCH(Calculation!$G114,'Gen. Plant Additions'!$F$5:$AE$5,0))</f>
        <v>1878</v>
      </c>
      <c r="BM114" s="231">
        <f t="shared" si="233"/>
        <v>0.81177255492581879</v>
      </c>
      <c r="BN114" s="61">
        <f t="shared" si="231"/>
        <v>1524.5088581506877</v>
      </c>
      <c r="BO114" s="113">
        <f>INDEX('Dist Plant Depreciation'!$E$7:$AD$94,MATCH($C114,'Dist Plant Depreciation'!$D$7:$D$94,0),MATCH(Calculation!$G114,'Dist Plant Depreciation'!$E$5:$AD$5,0))</f>
        <v>55117</v>
      </c>
      <c r="BP114" s="113">
        <f>INDEX('Gen. Plant Depreciation'!$E$7:$AD$94,MATCH($C114,'Gen. Plant Depreciation'!$D$7:$D$94,0),MATCH(Calculation!$G114,'Gen. Plant Depreciation'!$E$5:$AD$5,0))</f>
        <v>15529</v>
      </c>
      <c r="BQ114" s="113"/>
      <c r="BR114" s="113"/>
      <c r="BS114" s="113"/>
      <c r="BT114" s="113"/>
      <c r="BU114" s="113"/>
      <c r="BV114" s="113"/>
      <c r="BW114" s="113">
        <f>INDEX('Gross Dx Plant'!$E$7:$AD$91,MATCH($C114,'Gross Dx Plant'!$D$7:$D$91,0),MATCH(Calculation!$G114,'Gross Dx Plant'!$E$5:$AD$5,0))</f>
        <v>122891</v>
      </c>
      <c r="BX114" s="113">
        <f>INDEX('Gross Gen Plant'!$E$7:$AD$91,MATCH($C114,'Gross Gen Plant'!$D$7:$D$91,0),MATCH(Calculation!$G114,'Gross Gen Plant'!$E$5:$AD$5,0))</f>
        <v>28495</v>
      </c>
      <c r="BY114" s="113">
        <f t="shared" si="182"/>
        <v>80740</v>
      </c>
      <c r="BZ114" s="113"/>
      <c r="CA114" s="116">
        <v>2009</v>
      </c>
      <c r="CB114" s="113"/>
      <c r="CC114" s="113"/>
      <c r="CD114" s="113"/>
      <c r="CE114" s="175"/>
      <c r="CF114" s="113">
        <f t="shared" si="234"/>
        <v>5551</v>
      </c>
      <c r="CG114" s="113">
        <f t="shared" si="235"/>
        <v>10.075495669138762</v>
      </c>
      <c r="CH114" s="178">
        <v>0.93567251461988299</v>
      </c>
      <c r="CI114" s="61">
        <f>+CI103*CH114+CG104*CH113+CG105*CH112+CG106*CH111+CG107*CH110+CG108*CH109+CG109*CH108+CG110*CH107+CG111*CH106+CG112*CH105+CG113*CH104+CG114</f>
        <v>544.26450254380973</v>
      </c>
      <c r="CJ114" s="114">
        <f t="shared" si="236"/>
        <v>1.1771292147233207E-2</v>
      </c>
      <c r="CK114" s="114"/>
      <c r="CL114" s="169">
        <f t="shared" si="237"/>
        <v>6.8904836602634309E-3</v>
      </c>
      <c r="CM114" s="169">
        <f t="shared" si="246"/>
        <v>6.6500137229122342E-3</v>
      </c>
      <c r="CN114" s="114">
        <f>VLOOKUP($H114,RoR!$E:$F,2,FALSE)</f>
        <v>5.3133333333333324E-2</v>
      </c>
      <c r="CO114" s="169">
        <v>7.7972502758210105E-3</v>
      </c>
      <c r="CP114" s="169">
        <f t="shared" si="243"/>
        <v>4.5336083057512314E-2</v>
      </c>
      <c r="CQ114" s="169">
        <f t="shared" si="247"/>
        <v>2.4251927885621392E-2</v>
      </c>
      <c r="CR114" s="169">
        <v>6.3720160300892073E-2</v>
      </c>
      <c r="CS114" s="179">
        <f t="shared" si="238"/>
        <v>0.8548675</v>
      </c>
      <c r="CT114" s="180">
        <f t="shared" si="239"/>
        <v>0.96515780330083989</v>
      </c>
      <c r="CU114" s="180">
        <f t="shared" si="240"/>
        <v>0.50448557089084056</v>
      </c>
      <c r="CV114" s="180">
        <f t="shared" si="241"/>
        <v>0.87391435735465484</v>
      </c>
      <c r="CW114" s="180">
        <f t="shared" si="242"/>
        <v>0.42551605393279146</v>
      </c>
      <c r="CX114" s="181">
        <f>INDEX('State Tax Lookup'!$D$7:$Z$91,MATCH(Calculation!$C114,'State Tax Lookup'!$B$7:$B$91,0),MATCH($H114,'State Tax Lookup'!$D$6:$Z$6,0))</f>
        <v>0.39224999999999999</v>
      </c>
      <c r="CY114" s="72">
        <v>0.37</v>
      </c>
      <c r="CZ114" s="70">
        <f t="shared" si="245"/>
        <v>18.704616850495306</v>
      </c>
      <c r="DA114" s="70">
        <v>17.478615056163342</v>
      </c>
      <c r="DB114" s="69">
        <f t="shared" si="248"/>
        <v>-4.250174116184486E-2</v>
      </c>
      <c r="DC114" s="111">
        <f>VLOOKUP($H114,RoR!$E:$F,2,FALSE)</f>
        <v>5.3133333333333324E-2</v>
      </c>
      <c r="DD114" s="216">
        <f>HLOOKUP($H114,'GDP-PI'!$D$8:$CQ$11,3,FALSE)</f>
        <v>7.7972502758210105E-3</v>
      </c>
      <c r="DE114" s="111">
        <f>VLOOKUP(H114,'HW Dx Data'!$E:$F,2,FALSE)</f>
        <v>550.94063679692806</v>
      </c>
      <c r="DF114" s="72">
        <f t="shared" si="256"/>
        <v>110.925</v>
      </c>
      <c r="DG114" s="69">
        <f t="shared" si="257"/>
        <v>2.7649425000884052E-2</v>
      </c>
      <c r="DH114" s="66">
        <f>HLOOKUP(H114,'GDP-PI'!$8:$9,2,FALSE)</f>
        <v>94.998999999999995</v>
      </c>
      <c r="DI114" s="69">
        <f t="shared" si="249"/>
        <v>7.7670088183096342E-3</v>
      </c>
      <c r="DO114" s="184"/>
      <c r="DP114" s="184"/>
      <c r="DQ114" s="184"/>
      <c r="DR114" s="184"/>
      <c r="DS114" s="184"/>
      <c r="DT114" s="184"/>
      <c r="DU114" s="184"/>
      <c r="DV114" s="184"/>
      <c r="DW114" s="184"/>
      <c r="EB114"/>
    </row>
    <row r="115" spans="1:132" s="160" customFormat="1" ht="21">
      <c r="A115" s="160" t="s">
        <v>165</v>
      </c>
      <c r="B115" s="161" t="s">
        <v>165</v>
      </c>
      <c r="C115" s="161">
        <v>4058516</v>
      </c>
      <c r="D115" s="161" t="s">
        <v>166</v>
      </c>
      <c r="E115" s="161"/>
      <c r="F115" s="161"/>
      <c r="G115" s="161" t="s">
        <v>126</v>
      </c>
      <c r="H115" s="162">
        <v>2010</v>
      </c>
      <c r="I115" s="163"/>
      <c r="J115" s="159">
        <f>IFERROR(INDEX('Labor Expenditures'!$F$7:$X$91,MATCH($C115,'Labor Expenditures'!$D$7:$D$91,0),MATCH($G115,'Labor Expenditures'!$F$5:$X$5,0)),"NA")</f>
        <v>8981.9195396377472</v>
      </c>
      <c r="K115" s="159">
        <f t="shared" si="250"/>
        <v>76.817785243855013</v>
      </c>
      <c r="L115" s="165">
        <f t="shared" si="258"/>
        <v>-1.0399653654591189E-2</v>
      </c>
      <c r="M115" s="76">
        <f t="shared" si="260"/>
        <v>-3.4686279741231962E-5</v>
      </c>
      <c r="N115" s="62">
        <f t="shared" si="266"/>
        <v>98.873734866024719</v>
      </c>
      <c r="O115" s="96">
        <f t="shared" si="261"/>
        <v>-2.1148045008306887E-2</v>
      </c>
      <c r="P115" s="96"/>
      <c r="Q115" s="159">
        <f>IFERROR(INDEX('Non-Labor Expenditures'!$F$7:$AB$91,MATCH($C115,'Non-Labor Expenditures'!$D$7:$D$91,0),MATCH($G115,'Non-Labor Expenditures'!$F$5:$AB$5,0)),"NA")</f>
        <v>13007.497084559385</v>
      </c>
      <c r="R115" s="159">
        <f t="shared" si="251"/>
        <v>135.34109276508326</v>
      </c>
      <c r="S115" s="165">
        <f t="shared" si="262"/>
        <v>3.0662153885235174E-2</v>
      </c>
      <c r="T115" s="165">
        <f t="shared" si="263"/>
        <v>1.0226841031984139E-4</v>
      </c>
      <c r="U115" s="165"/>
      <c r="V115" s="165"/>
      <c r="W115" s="159">
        <f t="shared" si="232"/>
        <v>10423.560092017378</v>
      </c>
      <c r="X115" s="163"/>
      <c r="Y115" s="167">
        <v>557.54907387649621</v>
      </c>
      <c r="Z115" s="168">
        <v>2.4115177749156443E-2</v>
      </c>
      <c r="AA115" s="76">
        <f t="shared" si="252"/>
        <v>8.0432082567239536E-5</v>
      </c>
      <c r="AB115" s="168"/>
      <c r="AC115" s="168"/>
      <c r="AD115" s="163">
        <f t="shared" si="226"/>
        <v>32412.976716214511</v>
      </c>
      <c r="AE115" s="168">
        <f t="shared" si="264"/>
        <v>4.0058076747792506E-2</v>
      </c>
      <c r="AF115" s="163"/>
      <c r="AG115" s="163"/>
      <c r="AH115" s="163"/>
      <c r="AI115" s="163"/>
      <c r="AJ115" s="116">
        <f t="shared" si="265"/>
        <v>211.07145370148285</v>
      </c>
      <c r="AK115" s="114">
        <f>+AV115/$AX$15</f>
        <v>4.3415524202223771E-3</v>
      </c>
      <c r="AL115" s="115">
        <f t="shared" si="253"/>
        <v>0.27710875240732097</v>
      </c>
      <c r="AM115" s="115">
        <f t="shared" si="254"/>
        <v>0.40130523026144704</v>
      </c>
      <c r="AN115" s="115">
        <f t="shared" si="255"/>
        <v>0.32158601733123199</v>
      </c>
      <c r="AO115" s="115">
        <f t="shared" si="259"/>
        <v>1.7185845542629943E-2</v>
      </c>
      <c r="AP115" s="166">
        <f t="shared" si="268"/>
        <v>96.224838700358461</v>
      </c>
      <c r="AQ115" s="168">
        <f t="shared" si="269"/>
        <v>1.7185845542630019E-2</v>
      </c>
      <c r="AR115" s="69">
        <f>+AD115/$AF$15</f>
        <v>3.3353302805347591E-3</v>
      </c>
      <c r="AS115" s="169">
        <f t="shared" si="267"/>
        <v>5.7320471034927222E-5</v>
      </c>
      <c r="AT115" s="115"/>
      <c r="AU115" s="115"/>
      <c r="AV115" s="113">
        <f>IFERROR(INDEX('Total Customers'!$F$7:$AB$91,MATCH($C115,'Total Customers'!$D$7:$D$91,0),MATCH($G115,'Total Customers'!$F$5:$AB$5,0)),"NA")</f>
        <v>153564</v>
      </c>
      <c r="AW115" s="68">
        <f t="shared" si="180"/>
        <v>-3.9125257072367848E-3</v>
      </c>
      <c r="AX115" s="114"/>
      <c r="AY115" s="114"/>
      <c r="AZ115" s="116"/>
      <c r="BA115" s="116"/>
      <c r="BB115" s="166"/>
      <c r="BC115" s="166"/>
      <c r="BD115" s="166"/>
      <c r="BE115" s="166"/>
      <c r="BF115" s="166"/>
      <c r="BG115" s="166"/>
      <c r="BH115" s="166"/>
      <c r="BI115" s="113"/>
      <c r="BJ115" s="113"/>
      <c r="BK115" s="113">
        <f>INDEX('Dist. Plant Gas Additions'!$F$7:$AE$91,MATCH($C115,'Dist. Plant Gas Additions'!$D$7:$D$91,0),MATCH(Calculation!$G115,'Dist. Plant Gas Additions'!$F$5:$AE$5,0))</f>
        <v>5455</v>
      </c>
      <c r="BL115" s="113">
        <f>INDEX('Gen. Plant Additions'!$F$7:$AE$91,MATCH($C115,'Gen. Plant Additions'!$D$7:$D$91,0),MATCH(Calculation!$G115,'Gen. Plant Additions'!$F$5:$AE$5,0))</f>
        <v>4315</v>
      </c>
      <c r="BM115" s="231">
        <f t="shared" si="233"/>
        <v>0.80512066536660987</v>
      </c>
      <c r="BN115" s="61">
        <f t="shared" si="231"/>
        <v>3474.0956710569217</v>
      </c>
      <c r="BO115" s="113">
        <f>INDEX('Dist Plant Depreciation'!$E$7:$AD$94,MATCH($C115,'Dist Plant Depreciation'!$D$7:$D$94,0),MATCH(Calculation!$G115,'Dist Plant Depreciation'!$E$5:$AD$5,0))</f>
        <v>59359</v>
      </c>
      <c r="BP115" s="113">
        <f>INDEX('Gen. Plant Depreciation'!$E$7:$AD$94,MATCH($C115,'Gen. Plant Depreciation'!$D$7:$D$94,0),MATCH(Calculation!$G115,'Gen. Plant Depreciation'!$E$5:$AD$5,0))</f>
        <v>16460</v>
      </c>
      <c r="BQ115" s="113"/>
      <c r="BR115" s="113"/>
      <c r="BS115" s="113"/>
      <c r="BT115" s="113"/>
      <c r="BU115" s="113"/>
      <c r="BV115" s="113"/>
      <c r="BW115" s="113">
        <f>INDEX('Gross Dx Plant'!$E$7:$AD$91,MATCH($C115,'Gross Dx Plant'!$D$7:$D$91,0),MATCH(Calculation!$G115,'Gross Dx Plant'!$E$5:$AD$5,0))</f>
        <v>130878</v>
      </c>
      <c r="BX115" s="113">
        <f>INDEX('Gross Gen Plant'!$E$7:$AD$91,MATCH($C115,'Gross Gen Plant'!$D$7:$D$91,0),MATCH(Calculation!$G115,'Gross Gen Plant'!$E$5:$AD$5,0))</f>
        <v>31679</v>
      </c>
      <c r="BY115" s="113">
        <f t="shared" si="182"/>
        <v>86738</v>
      </c>
      <c r="BZ115" s="113"/>
      <c r="CA115" s="116">
        <v>2010</v>
      </c>
      <c r="CB115" s="113"/>
      <c r="CC115" s="113"/>
      <c r="CD115" s="113"/>
      <c r="CE115" s="175"/>
      <c r="CF115" s="113">
        <f t="shared" si="234"/>
        <v>9770</v>
      </c>
      <c r="CG115" s="113">
        <f t="shared" si="235"/>
        <v>17.170791297283465</v>
      </c>
      <c r="CH115" s="178">
        <v>0.9285714285714286</v>
      </c>
      <c r="CI115" s="61">
        <f>+CI103*CH115+CG104*CH114+CG105*CH113+CG106*CH112+CG107*CH111+CG108*CH110+CG109*CH109+CG110*CH108+CG111*CH107+CG112*CH106+CG113*CH105+CG114*CH104+CG115</f>
        <v>557.54907387649621</v>
      </c>
      <c r="CJ115" s="114">
        <f t="shared" si="236"/>
        <v>2.4115177749156443E-2</v>
      </c>
      <c r="CK115" s="114"/>
      <c r="CL115" s="169">
        <f t="shared" si="237"/>
        <v>7.1403149506046783E-3</v>
      </c>
      <c r="CM115" s="169">
        <f t="shared" si="246"/>
        <v>6.8885028005106182E-3</v>
      </c>
      <c r="CN115" s="114">
        <f>VLOOKUP($H115,RoR!$E:$F,2,FALSE)</f>
        <v>4.9433333333333322E-2</v>
      </c>
      <c r="CO115" s="169">
        <v>1.1684333519300205E-2</v>
      </c>
      <c r="CP115" s="169">
        <f t="shared" si="243"/>
        <v>3.7748999814033117E-2</v>
      </c>
      <c r="CQ115" s="169">
        <f t="shared" si="247"/>
        <v>2.4013438808023008E-2</v>
      </c>
      <c r="CR115" s="169">
        <v>4.7937530248493419E-2</v>
      </c>
      <c r="CS115" s="179">
        <f t="shared" si="238"/>
        <v>0.8548675</v>
      </c>
      <c r="CT115" s="180">
        <f t="shared" si="239"/>
        <v>1.037398205301105</v>
      </c>
      <c r="CU115" s="180">
        <f t="shared" si="240"/>
        <v>0.46926837491571133</v>
      </c>
      <c r="CV115" s="180">
        <f t="shared" si="241"/>
        <v>0.8548537519972772</v>
      </c>
      <c r="CW115" s="180">
        <f t="shared" si="242"/>
        <v>0.41615833911547367</v>
      </c>
      <c r="CX115" s="181">
        <f>INDEX('State Tax Lookup'!$D$7:$Z$91,MATCH(Calculation!$C115,'State Tax Lookup'!$B$7:$B$91,0),MATCH($H115,'State Tax Lookup'!$D$6:$Z$6,0))</f>
        <v>0.39224999999999999</v>
      </c>
      <c r="CY115" s="72">
        <v>0.37</v>
      </c>
      <c r="CZ115" s="70">
        <f t="shared" si="245"/>
        <v>19.151644179069624</v>
      </c>
      <c r="DA115" s="70">
        <v>17.956102603965455</v>
      </c>
      <c r="DB115" s="69">
        <f t="shared" si="248"/>
        <v>2.3618186066998101E-2</v>
      </c>
      <c r="DC115" s="111">
        <f>VLOOKUP($H115,RoR!$E:$F,2,FALSE)</f>
        <v>4.9433333333333322E-2</v>
      </c>
      <c r="DD115" s="216">
        <f>HLOOKUP($H115,'GDP-PI'!$D$8:$CQ$11,3,FALSE)</f>
        <v>1.1684333519300205E-2</v>
      </c>
      <c r="DE115" s="111">
        <f>VLOOKUP(H115,'HW Dx Data'!$E:$F,2,FALSE)</f>
        <v>568.98950262971744</v>
      </c>
      <c r="DF115" s="72">
        <f t="shared" si="256"/>
        <v>116.925</v>
      </c>
      <c r="DG115" s="69">
        <f t="shared" si="257"/>
        <v>5.2678406346976722E-2</v>
      </c>
      <c r="DH115" s="66">
        <f>HLOOKUP(H115,'GDP-PI'!$8:$9,2,FALSE)</f>
        <v>96.108999999999995</v>
      </c>
      <c r="DI115" s="69">
        <f t="shared" si="249"/>
        <v>1.1616598807150427E-2</v>
      </c>
      <c r="DO115" s="184"/>
      <c r="DP115" s="184"/>
      <c r="DQ115" s="184"/>
      <c r="DR115" s="184"/>
      <c r="DS115" s="184"/>
      <c r="DT115" s="184"/>
      <c r="DU115" s="184"/>
      <c r="DV115" s="184"/>
      <c r="DW115" s="184"/>
      <c r="EB115"/>
    </row>
    <row r="116" spans="1:132" s="160" customFormat="1" ht="21">
      <c r="A116" s="160" t="s">
        <v>165</v>
      </c>
      <c r="B116" s="161" t="s">
        <v>165</v>
      </c>
      <c r="C116" s="161">
        <v>4058516</v>
      </c>
      <c r="D116" s="161" t="s">
        <v>166</v>
      </c>
      <c r="E116" s="161"/>
      <c r="F116" s="161"/>
      <c r="G116" s="161" t="s">
        <v>127</v>
      </c>
      <c r="H116" s="162">
        <v>2011</v>
      </c>
      <c r="I116" s="163"/>
      <c r="J116" s="159">
        <f>IFERROR(INDEX('Labor Expenditures'!$F$7:$X$91,MATCH($C116,'Labor Expenditures'!$D$7:$D$91,0),MATCH($G116,'Labor Expenditures'!$F$5:$X$5,0)),"NA")</f>
        <v>8739.1160143126126</v>
      </c>
      <c r="K116" s="159">
        <f t="shared" si="250"/>
        <v>72.298788122544877</v>
      </c>
      <c r="L116" s="165">
        <f t="shared" si="258"/>
        <v>-6.0628824805736718E-2</v>
      </c>
      <c r="M116" s="76">
        <f t="shared" si="260"/>
        <v>-1.9470588525806535E-4</v>
      </c>
      <c r="N116" s="62">
        <f t="shared" si="266"/>
        <v>98.039006483113113</v>
      </c>
      <c r="O116" s="96">
        <f t="shared" si="261"/>
        <v>-8.4782059018403723E-3</v>
      </c>
      <c r="P116" s="96"/>
      <c r="Q116" s="159">
        <f>IFERROR(INDEX('Non-Labor Expenditures'!$F$7:$AB$91,MATCH($C116,'Non-Labor Expenditures'!$D$7:$D$91,0),MATCH($G116,'Non-Labor Expenditures'!$F$5:$AB$5,0)),"NA")</f>
        <v>12655.872230445535</v>
      </c>
      <c r="R116" s="159">
        <f t="shared" si="251"/>
        <v>128.99413150731343</v>
      </c>
      <c r="S116" s="165">
        <f t="shared" si="262"/>
        <v>-4.8031293857077897E-2</v>
      </c>
      <c r="T116" s="165">
        <f t="shared" si="263"/>
        <v>-1.5424965963793086E-4</v>
      </c>
      <c r="U116" s="165"/>
      <c r="V116" s="165"/>
      <c r="W116" s="159">
        <f t="shared" si="232"/>
        <v>11381.030327752202</v>
      </c>
      <c r="X116" s="163"/>
      <c r="Y116" s="167">
        <v>578.34884893896731</v>
      </c>
      <c r="Z116" s="168">
        <v>3.6626707138638109E-2</v>
      </c>
      <c r="AA116" s="76">
        <f t="shared" si="252"/>
        <v>1.176245038620913E-4</v>
      </c>
      <c r="AB116" s="168"/>
      <c r="AC116" s="168"/>
      <c r="AD116" s="163">
        <f t="shared" si="226"/>
        <v>32776.018572510351</v>
      </c>
      <c r="AE116" s="168">
        <f t="shared" si="264"/>
        <v>1.1138248348369033E-2</v>
      </c>
      <c r="AF116" s="163"/>
      <c r="AG116" s="163"/>
      <c r="AH116" s="163"/>
      <c r="AI116" s="163"/>
      <c r="AJ116" s="116">
        <f t="shared" si="265"/>
        <v>213.66792422609535</v>
      </c>
      <c r="AK116" s="114">
        <f>+AV116/$AX$16</f>
        <v>4.3159058392731424E-3</v>
      </c>
      <c r="AL116" s="115">
        <f t="shared" si="253"/>
        <v>0.26663140902788651</v>
      </c>
      <c r="AM116" s="115">
        <f t="shared" si="254"/>
        <v>0.38613208015021599</v>
      </c>
      <c r="AN116" s="115">
        <f t="shared" si="255"/>
        <v>0.34723651082189744</v>
      </c>
      <c r="AO116" s="115">
        <f t="shared" si="259"/>
        <v>-2.3145596485759812E-2</v>
      </c>
      <c r="AP116" s="166">
        <f t="shared" si="268"/>
        <v>94.023234419867507</v>
      </c>
      <c r="AQ116" s="168">
        <f t="shared" si="269"/>
        <v>-2.3145596485759808E-2</v>
      </c>
      <c r="AR116" s="69">
        <f>+AD116/$AF$16</f>
        <v>3.2114408597219294E-3</v>
      </c>
      <c r="AS116" s="169">
        <f t="shared" si="267"/>
        <v>-7.4330714277005342E-5</v>
      </c>
      <c r="AT116" s="115"/>
      <c r="AU116" s="115"/>
      <c r="AV116" s="113">
        <f>IFERROR(INDEX('Total Customers'!$F$7:$AB$91,MATCH($C116,'Total Customers'!$D$7:$D$91,0),MATCH($G116,'Total Customers'!$F$5:$AB$5,0)),"NA")</f>
        <v>153397</v>
      </c>
      <c r="AW116" s="68">
        <f t="shared" si="180"/>
        <v>-1.0880862160104197E-3</v>
      </c>
      <c r="AX116" s="114"/>
      <c r="AY116" s="114"/>
      <c r="AZ116" s="116"/>
      <c r="BA116" s="116"/>
      <c r="BB116" s="166"/>
      <c r="BC116" s="166"/>
      <c r="BD116" s="166"/>
      <c r="BE116" s="166"/>
      <c r="BF116" s="166"/>
      <c r="BG116" s="166"/>
      <c r="BH116" s="166"/>
      <c r="BI116" s="113"/>
      <c r="BJ116" s="113"/>
      <c r="BK116" s="113">
        <f>INDEX('Dist. Plant Gas Additions'!$F$7:$AE$91,MATCH($C116,'Dist. Plant Gas Additions'!$D$7:$D$91,0),MATCH(Calculation!$G116,'Dist. Plant Gas Additions'!$F$5:$AE$5,0))</f>
        <v>11183</v>
      </c>
      <c r="BL116" s="113">
        <f>INDEX('Gen. Plant Additions'!$F$7:$AE$91,MATCH($C116,'Gen. Plant Additions'!$D$7:$D$91,0),MATCH(Calculation!$G116,'Gen. Plant Additions'!$F$5:$AE$5,0))</f>
        <v>4052</v>
      </c>
      <c r="BM116" s="231">
        <f t="shared" si="233"/>
        <v>0.82330610702555007</v>
      </c>
      <c r="BN116" s="61">
        <f t="shared" si="231"/>
        <v>3336.0363456675291</v>
      </c>
      <c r="BO116" s="113">
        <f>INDEX('Dist Plant Depreciation'!$E$7:$AD$94,MATCH($C116,'Dist Plant Depreciation'!$D$7:$D$94,0),MATCH(Calculation!$G116,'Dist Plant Depreciation'!$E$5:$AD$5,0))</f>
        <v>62200</v>
      </c>
      <c r="BP116" s="113">
        <f>INDEX('Gen. Plant Depreciation'!$E$7:$AD$94,MATCH($C116,'Gen. Plant Depreciation'!$D$7:$D$94,0),MATCH(Calculation!$G116,'Gen. Plant Depreciation'!$E$5:$AD$5,0))</f>
        <v>13381</v>
      </c>
      <c r="BQ116" s="113"/>
      <c r="BR116" s="113"/>
      <c r="BS116" s="113"/>
      <c r="BT116" s="113"/>
      <c r="BU116" s="113"/>
      <c r="BV116" s="113"/>
      <c r="BW116" s="113">
        <f>INDEX('Gross Dx Plant'!$E$7:$AD$91,MATCH($C116,'Gross Dx Plant'!$D$7:$D$91,0),MATCH(Calculation!$G116,'Gross Dx Plant'!$E$5:$AD$5,0))</f>
        <v>141621</v>
      </c>
      <c r="BX116" s="113">
        <f>INDEX('Gross Gen Plant'!$E$7:$AD$91,MATCH($C116,'Gross Gen Plant'!$D$7:$D$91,0),MATCH(Calculation!$G116,'Gross Gen Plant'!$E$5:$AD$5,0))</f>
        <v>30394</v>
      </c>
      <c r="BY116" s="113">
        <f t="shared" si="182"/>
        <v>96434</v>
      </c>
      <c r="BZ116" s="113"/>
      <c r="CA116" s="116">
        <v>2011</v>
      </c>
      <c r="CB116" s="113"/>
      <c r="CC116" s="113"/>
      <c r="CD116" s="113"/>
      <c r="CE116" s="175"/>
      <c r="CF116" s="113">
        <f t="shared" si="234"/>
        <v>15235</v>
      </c>
      <c r="CG116" s="113">
        <f t="shared" si="235"/>
        <v>24.90962001274794</v>
      </c>
      <c r="CH116" s="178">
        <v>0.92121212121212126</v>
      </c>
      <c r="CI116" s="61">
        <f>+CI103*CH116+CG104*CH115+CG105*CH114+CG106*CH113+CG107*CH112+CG108*CH111+CG109*CH110+CG110*CH109+CG111*CH108+CG112*CH107+CG113*CH106+CG114*CH105+CG115*CH104+CG116</f>
        <v>578.34884893896731</v>
      </c>
      <c r="CJ116" s="114">
        <f t="shared" si="236"/>
        <v>3.6626707138638109E-2</v>
      </c>
      <c r="CK116" s="114"/>
      <c r="CL116" s="169">
        <f t="shared" si="237"/>
        <v>7.3712703380567736E-3</v>
      </c>
      <c r="CM116" s="169">
        <f t="shared" si="246"/>
        <v>7.1340229829749613E-3</v>
      </c>
      <c r="CN116" s="114">
        <f>VLOOKUP($H116,RoR!$E:$F,2,FALSE)</f>
        <v>4.6391666666666664E-2</v>
      </c>
      <c r="CO116" s="169">
        <v>2.0840920205183799E-2</v>
      </c>
      <c r="CP116" s="169">
        <f t="shared" si="243"/>
        <v>2.5550746461482865E-2</v>
      </c>
      <c r="CQ116" s="169">
        <f t="shared" si="247"/>
        <v>2.3767918625558663E-2</v>
      </c>
      <c r="CR116" s="169">
        <v>2.4810540821321614E-2</v>
      </c>
      <c r="CS116" s="179">
        <f t="shared" si="238"/>
        <v>0.8548675</v>
      </c>
      <c r="CT116" s="180">
        <f t="shared" si="239"/>
        <v>1.1054151524782025</v>
      </c>
      <c r="CU116" s="180">
        <f t="shared" si="240"/>
        <v>0.43611011316687626</v>
      </c>
      <c r="CV116" s="180">
        <f t="shared" si="241"/>
        <v>0.83698442246886229</v>
      </c>
      <c r="CW116" s="180">
        <f t="shared" si="242"/>
        <v>0.40349573304423936</v>
      </c>
      <c r="CX116" s="181">
        <f>INDEX('State Tax Lookup'!$D$7:$Z$91,MATCH(Calculation!$C116,'State Tax Lookup'!$B$7:$B$91,0),MATCH($H116,'State Tax Lookup'!$D$6:$Z$6,0))</f>
        <v>0.39224999999999999</v>
      </c>
      <c r="CY116" s="72">
        <v>0.37</v>
      </c>
      <c r="CZ116" s="70">
        <f t="shared" si="245"/>
        <v>20.412607357811225</v>
      </c>
      <c r="DA116" s="70">
        <v>19.146574949201604</v>
      </c>
      <c r="DB116" s="69">
        <f t="shared" si="248"/>
        <v>6.3764147841939095E-2</v>
      </c>
      <c r="DC116" s="111">
        <f>VLOOKUP($H116,RoR!$E:$F,2,FALSE)</f>
        <v>4.6391666666666664E-2</v>
      </c>
      <c r="DD116" s="216">
        <f>HLOOKUP($H116,'GDP-PI'!$D$8:$CQ$11,3,FALSE)</f>
        <v>2.0840920205183799E-2</v>
      </c>
      <c r="DE116" s="111">
        <f>VLOOKUP(H116,'HW Dx Data'!$E:$F,2,FALSE)</f>
        <v>611.61109612283201</v>
      </c>
      <c r="DF116" s="72">
        <f t="shared" si="256"/>
        <v>120.875</v>
      </c>
      <c r="DG116" s="69">
        <f t="shared" si="257"/>
        <v>3.3224250161508609E-2</v>
      </c>
      <c r="DH116" s="66">
        <f>HLOOKUP(H116,'GDP-PI'!$8:$9,2,FALSE)</f>
        <v>98.111999999999995</v>
      </c>
      <c r="DI116" s="69">
        <f t="shared" si="249"/>
        <v>2.0626719212849295E-2</v>
      </c>
      <c r="DO116" s="184"/>
      <c r="DP116" s="184"/>
      <c r="DQ116" s="184"/>
      <c r="DR116" s="184"/>
      <c r="DS116" s="184"/>
      <c r="DT116" s="184"/>
      <c r="DU116" s="184"/>
      <c r="DV116" s="184"/>
      <c r="DW116" s="184"/>
      <c r="EB116"/>
    </row>
    <row r="117" spans="1:132" s="160" customFormat="1" ht="21">
      <c r="A117" s="160" t="s">
        <v>165</v>
      </c>
      <c r="B117" s="161" t="s">
        <v>165</v>
      </c>
      <c r="C117" s="161">
        <v>4058516</v>
      </c>
      <c r="D117" s="161" t="s">
        <v>166</v>
      </c>
      <c r="E117" s="161"/>
      <c r="F117" s="161"/>
      <c r="G117" s="161" t="s">
        <v>128</v>
      </c>
      <c r="H117" s="162">
        <v>2012</v>
      </c>
      <c r="I117" s="163"/>
      <c r="J117" s="159">
        <f>IFERROR(INDEX('Labor Expenditures'!$F$7:$X$91,MATCH($C117,'Labor Expenditures'!$D$7:$D$91,0),MATCH($G117,'Labor Expenditures'!$F$5:$X$5,0)),"NA")</f>
        <v>9569.287539562838</v>
      </c>
      <c r="K117" s="159">
        <f t="shared" si="250"/>
        <v>76.67698349008684</v>
      </c>
      <c r="L117" s="165">
        <f t="shared" si="258"/>
        <v>5.8794211230014798E-2</v>
      </c>
      <c r="M117" s="76">
        <f t="shared" si="260"/>
        <v>1.9892419517649439E-4</v>
      </c>
      <c r="N117" s="62">
        <f t="shared" si="266"/>
        <v>95.540883704841406</v>
      </c>
      <c r="O117" s="96">
        <f t="shared" si="261"/>
        <v>-2.5811167318682826E-2</v>
      </c>
      <c r="P117" s="96"/>
      <c r="Q117" s="159">
        <f>IFERROR(INDEX('Non-Labor Expenditures'!$F$7:$AB$91,MATCH($C117,'Non-Labor Expenditures'!$D$7:$D$91,0),MATCH($G117,'Non-Labor Expenditures'!$F$5:$AB$5,0)),"NA")</f>
        <v>13858.11565366062</v>
      </c>
      <c r="R117" s="159">
        <f t="shared" si="251"/>
        <v>138.58115653660619</v>
      </c>
      <c r="S117" s="165">
        <f t="shared" si="262"/>
        <v>7.168921065314128E-2</v>
      </c>
      <c r="T117" s="165">
        <f t="shared" si="263"/>
        <v>2.4255310571687902E-4</v>
      </c>
      <c r="U117" s="165"/>
      <c r="V117" s="165"/>
      <c r="W117" s="159">
        <f t="shared" si="232"/>
        <v>12754.761676949502</v>
      </c>
      <c r="X117" s="163"/>
      <c r="Y117" s="167">
        <v>601.964164946305</v>
      </c>
      <c r="Z117" s="168">
        <v>4.0020685380246522E-2</v>
      </c>
      <c r="AA117" s="76">
        <f t="shared" si="252"/>
        <v>1.354058922320069E-4</v>
      </c>
      <c r="AB117" s="168"/>
      <c r="AC117" s="168"/>
      <c r="AD117" s="163">
        <f t="shared" si="226"/>
        <v>36182.164870172957</v>
      </c>
      <c r="AE117" s="168">
        <f t="shared" si="264"/>
        <v>9.8869207385009997E-2</v>
      </c>
      <c r="AF117" s="163"/>
      <c r="AG117" s="163"/>
      <c r="AH117" s="163"/>
      <c r="AI117" s="163"/>
      <c r="AJ117" s="116">
        <f t="shared" si="265"/>
        <v>234.57441275736781</v>
      </c>
      <c r="AK117" s="114">
        <f>+AV117/$AX$17</f>
        <v>4.3189952320136201E-3</v>
      </c>
      <c r="AL117" s="115">
        <f t="shared" si="253"/>
        <v>0.26447526216020734</v>
      </c>
      <c r="AM117" s="115">
        <f t="shared" si="254"/>
        <v>0.38300957677313174</v>
      </c>
      <c r="AN117" s="115">
        <f t="shared" si="255"/>
        <v>0.35251516106666098</v>
      </c>
      <c r="AO117" s="115">
        <f t="shared" si="259"/>
        <v>5.7184848790870151E-2</v>
      </c>
      <c r="AP117" s="166">
        <f t="shared" si="268"/>
        <v>99.55664465538409</v>
      </c>
      <c r="AQ117" s="168">
        <f t="shared" si="269"/>
        <v>5.7184848790870157E-2</v>
      </c>
      <c r="AR117" s="69">
        <f>+AD117/$AF$17</f>
        <v>3.3833976341354909E-3</v>
      </c>
      <c r="AS117" s="169">
        <f t="shared" si="267"/>
        <v>1.9347908210742587E-4</v>
      </c>
      <c r="AT117" s="115"/>
      <c r="AU117" s="115"/>
      <c r="AV117" s="113">
        <f>IFERROR(INDEX('Total Customers'!$F$7:$AB$91,MATCH($C117,'Total Customers'!$D$7:$D$91,0),MATCH($G117,'Total Customers'!$F$5:$AB$5,0)),"NA")</f>
        <v>154246</v>
      </c>
      <c r="AW117" s="68">
        <f t="shared" si="180"/>
        <v>5.5193984931228152E-3</v>
      </c>
      <c r="AX117" s="114"/>
      <c r="AY117" s="114"/>
      <c r="AZ117" s="116"/>
      <c r="BA117" s="116"/>
      <c r="BB117" s="166"/>
      <c r="BC117" s="166"/>
      <c r="BD117" s="166"/>
      <c r="BE117" s="166"/>
      <c r="BF117" s="166"/>
      <c r="BG117" s="166"/>
      <c r="BH117" s="166"/>
      <c r="BI117" s="113"/>
      <c r="BJ117" s="113"/>
      <c r="BK117" s="113">
        <f>INDEX('Dist. Plant Gas Additions'!$F$7:$AE$91,MATCH($C117,'Dist. Plant Gas Additions'!$D$7:$D$91,0),MATCH(Calculation!$G117,'Dist. Plant Gas Additions'!$F$5:$AE$5,0))</f>
        <v>15379</v>
      </c>
      <c r="BL117" s="113">
        <f>INDEX('Gen. Plant Additions'!$F$7:$AE$91,MATCH($C117,'Gen. Plant Additions'!$D$7:$D$91,0),MATCH(Calculation!$G117,'Gen. Plant Additions'!$F$5:$AE$5,0))</f>
        <v>3349</v>
      </c>
      <c r="BM117" s="231">
        <f t="shared" si="233"/>
        <v>0.83609099757211458</v>
      </c>
      <c r="BN117" s="61">
        <f t="shared" si="231"/>
        <v>2800.0687508690116</v>
      </c>
      <c r="BO117" s="113">
        <f>INDEX('Dist Plant Depreciation'!$E$7:$AD$94,MATCH($C117,'Dist Plant Depreciation'!$D$7:$D$94,0),MATCH(Calculation!$G117,'Dist Plant Depreciation'!$E$5:$AD$5,0))</f>
        <v>65264</v>
      </c>
      <c r="BP117" s="113">
        <f>INDEX('Gen. Plant Depreciation'!$E$7:$AD$94,MATCH($C117,'Gen. Plant Depreciation'!$D$7:$D$94,0),MATCH(Calculation!$G117,'Gen. Plant Depreciation'!$E$5:$AD$5,0))</f>
        <v>12638</v>
      </c>
      <c r="BQ117" s="113"/>
      <c r="BR117" s="113"/>
      <c r="BS117" s="113"/>
      <c r="BT117" s="113"/>
      <c r="BU117" s="113"/>
      <c r="BV117" s="113"/>
      <c r="BW117" s="113">
        <f>INDEX('Gross Dx Plant'!$E$7:$AD$91,MATCH($C117,'Gross Dx Plant'!$D$7:$D$91,0),MATCH(Calculation!$G117,'Gross Dx Plant'!$E$5:$AD$5,0))</f>
        <v>156344</v>
      </c>
      <c r="BX117" s="113">
        <f>INDEX('Gross Gen Plant'!$E$7:$AD$91,MATCH($C117,'Gross Gen Plant'!$D$7:$D$91,0),MATCH(Calculation!$G117,'Gross Gen Plant'!$E$5:$AD$5,0))</f>
        <v>30650</v>
      </c>
      <c r="BY117" s="113">
        <f t="shared" si="182"/>
        <v>109092</v>
      </c>
      <c r="BZ117" s="113"/>
      <c r="CA117" s="116">
        <v>2012</v>
      </c>
      <c r="CB117" s="113"/>
      <c r="CC117" s="113"/>
      <c r="CD117" s="113"/>
      <c r="CE117" s="175"/>
      <c r="CF117" s="113">
        <f t="shared" si="234"/>
        <v>18728</v>
      </c>
      <c r="CG117" s="113">
        <f t="shared" si="235"/>
        <v>27.997397265864727</v>
      </c>
      <c r="CH117" s="178">
        <v>0.9135802469135802</v>
      </c>
      <c r="CI117" s="61">
        <f>+CI103*CH117+CG104*CH116+CG105*CH115+CG106*CH114+CG107*CH113+CG108*CH112+CG109*CH111+CG110*CH110+CG111*CH109+CG112*CH108+CG113*CH107+CG114*CH106+CG115*CH105+CG116*CH104+CG117</f>
        <v>601.964164946305</v>
      </c>
      <c r="CJ117" s="114">
        <f t="shared" si="236"/>
        <v>4.0020685380246522E-2</v>
      </c>
      <c r="CK117" s="114"/>
      <c r="CL117" s="169">
        <f t="shared" si="237"/>
        <v>7.5768824759768266E-3</v>
      </c>
      <c r="CM117" s="169">
        <f t="shared" si="246"/>
        <v>7.3628225882127587E-3</v>
      </c>
      <c r="CN117" s="114">
        <f>VLOOKUP($H117,RoR!$E:$F,2,FALSE)</f>
        <v>3.6733333333333333E-2</v>
      </c>
      <c r="CO117" s="169">
        <v>1.924331376386168E-2</v>
      </c>
      <c r="CP117" s="169">
        <f t="shared" si="243"/>
        <v>1.7490019569471653E-2</v>
      </c>
      <c r="CQ117" s="169">
        <f t="shared" si="247"/>
        <v>2.3539119020320867E-2</v>
      </c>
      <c r="CR117" s="169">
        <v>6.7122682943869583E-2</v>
      </c>
      <c r="CS117" s="179">
        <f t="shared" si="238"/>
        <v>0.8548675</v>
      </c>
      <c r="CT117" s="180">
        <f t="shared" si="239"/>
        <v>1.3960631020522127</v>
      </c>
      <c r="CU117" s="180">
        <f t="shared" si="240"/>
        <v>0.29441923774954631</v>
      </c>
      <c r="CV117" s="180">
        <f t="shared" si="241"/>
        <v>0.76377954189366437</v>
      </c>
      <c r="CW117" s="180">
        <f t="shared" si="242"/>
        <v>0.31393465103033691</v>
      </c>
      <c r="CX117" s="181">
        <f>INDEX('State Tax Lookup'!$D$7:$Z$91,MATCH(Calculation!$C117,'State Tax Lookup'!$B$7:$B$91,0),MATCH($H117,'State Tax Lookup'!$D$6:$Z$6,0))</f>
        <v>0.39224999999999999</v>
      </c>
      <c r="CY117" s="72">
        <v>0.37</v>
      </c>
      <c r="CZ117" s="70">
        <f t="shared" si="245"/>
        <v>22.053751296210329</v>
      </c>
      <c r="DA117" s="70">
        <v>20.759737328210988</v>
      </c>
      <c r="DB117" s="69">
        <f t="shared" si="248"/>
        <v>7.7329996537312595E-2</v>
      </c>
      <c r="DC117" s="111">
        <f>VLOOKUP($H117,RoR!$E:$F,2,FALSE)</f>
        <v>3.6733333333333333E-2</v>
      </c>
      <c r="DD117" s="216">
        <f>HLOOKUP($H117,'GDP-PI'!$D$8:$CQ$11,3,FALSE)</f>
        <v>1.924331376386168E-2</v>
      </c>
      <c r="DE117" s="111">
        <f>VLOOKUP(H117,'HW Dx Data'!$E:$F,2,FALSE)</f>
        <v>668.91932211262167</v>
      </c>
      <c r="DF117" s="72">
        <f t="shared" si="256"/>
        <v>124.80000000000001</v>
      </c>
      <c r="DG117" s="69">
        <f t="shared" si="257"/>
        <v>3.1955502161869064E-2</v>
      </c>
      <c r="DH117" s="66">
        <f>HLOOKUP(H117,'GDP-PI'!$8:$9,2,FALSE)</f>
        <v>100</v>
      </c>
      <c r="DI117" s="69">
        <f t="shared" si="249"/>
        <v>1.9060502738742411E-2</v>
      </c>
      <c r="DO117" s="184"/>
      <c r="DP117" s="184"/>
      <c r="DQ117" s="184"/>
      <c r="DR117" s="184"/>
      <c r="DS117" s="184"/>
      <c r="DT117" s="184"/>
      <c r="DU117" s="184"/>
      <c r="DV117" s="184"/>
      <c r="DW117" s="184"/>
      <c r="EB117"/>
    </row>
    <row r="118" spans="1:132" s="160" customFormat="1" ht="21">
      <c r="A118" s="160" t="s">
        <v>165</v>
      </c>
      <c r="B118" s="161" t="s">
        <v>165</v>
      </c>
      <c r="C118" s="161">
        <v>4058516</v>
      </c>
      <c r="D118" s="161" t="s">
        <v>166</v>
      </c>
      <c r="E118" s="161"/>
      <c r="F118" s="161"/>
      <c r="G118" s="161" t="s">
        <v>129</v>
      </c>
      <c r="H118" s="162">
        <v>2013</v>
      </c>
      <c r="I118" s="163"/>
      <c r="J118" s="159">
        <f>IFERROR(INDEX('Labor Expenditures'!$F$7:$X$91,MATCH($C118,'Labor Expenditures'!$D$7:$D$91,0),MATCH($G118,'Labor Expenditures'!$F$5:$X$5,0)),"NA")</f>
        <v>10265.820404773485</v>
      </c>
      <c r="K118" s="159">
        <f t="shared" si="250"/>
        <v>80.960728744270384</v>
      </c>
      <c r="L118" s="165">
        <f t="shared" si="258"/>
        <v>5.4362628322842554E-2</v>
      </c>
      <c r="M118" s="76">
        <f t="shared" si="260"/>
        <v>1.8717284683355027E-4</v>
      </c>
      <c r="N118" s="62">
        <f t="shared" si="266"/>
        <v>99.115892374881213</v>
      </c>
      <c r="O118" s="96">
        <f t="shared" si="261"/>
        <v>3.6735538032097934E-2</v>
      </c>
      <c r="P118" s="96"/>
      <c r="Q118" s="159">
        <f>IFERROR(INDEX('Non-Labor Expenditures'!$F$7:$AB$91,MATCH($C118,'Non-Labor Expenditures'!$D$7:$D$91,0),MATCH($G118,'Non-Labor Expenditures'!$F$5:$AB$5,0)),"NA")</f>
        <v>14866.825336879703</v>
      </c>
      <c r="R118" s="159">
        <f t="shared" si="251"/>
        <v>146.0782853692011</v>
      </c>
      <c r="S118" s="165">
        <f t="shared" si="262"/>
        <v>5.2686557374130555E-2</v>
      </c>
      <c r="T118" s="165">
        <f t="shared" si="263"/>
        <v>1.8140206310502302E-4</v>
      </c>
      <c r="U118" s="165"/>
      <c r="V118" s="165"/>
      <c r="W118" s="159">
        <f t="shared" si="232"/>
        <v>13054.944024992068</v>
      </c>
      <c r="X118" s="163"/>
      <c r="Y118" s="167">
        <v>625.21324419495397</v>
      </c>
      <c r="Z118" s="168">
        <v>3.7894865386241802E-2</v>
      </c>
      <c r="AA118" s="76">
        <f t="shared" si="252"/>
        <v>1.30473637010238E-4</v>
      </c>
      <c r="AB118" s="168"/>
      <c r="AC118" s="168"/>
      <c r="AD118" s="163">
        <f t="shared" si="226"/>
        <v>38187.589766645258</v>
      </c>
      <c r="AE118" s="168">
        <f t="shared" si="264"/>
        <v>5.3944273331320139E-2</v>
      </c>
      <c r="AF118" s="163"/>
      <c r="AG118" s="163"/>
      <c r="AH118" s="163"/>
      <c r="AI118" s="163"/>
      <c r="AJ118" s="116">
        <f t="shared" si="265"/>
        <v>244.43186178483813</v>
      </c>
      <c r="AK118" s="114">
        <f>+AV118/$AX$18</f>
        <v>4.3466681980026305E-3</v>
      </c>
      <c r="AL118" s="115">
        <f t="shared" si="253"/>
        <v>0.26882608898611637</v>
      </c>
      <c r="AM118" s="115">
        <f t="shared" si="254"/>
        <v>0.38931038663940637</v>
      </c>
      <c r="AN118" s="115">
        <f t="shared" si="255"/>
        <v>0.3418635243744772</v>
      </c>
      <c r="AO118" s="115">
        <f t="shared" si="259"/>
        <v>4.7997965005912961E-2</v>
      </c>
      <c r="AP118" s="166">
        <f t="shared" si="268"/>
        <v>104.45169755619158</v>
      </c>
      <c r="AQ118" s="168">
        <f t="shared" si="269"/>
        <v>4.7997965005912871E-2</v>
      </c>
      <c r="AR118" s="69">
        <f>+AD118/$AF$18</f>
        <v>3.4430426307203101E-3</v>
      </c>
      <c r="AS118" s="169">
        <f t="shared" si="267"/>
        <v>1.6525903970317964E-4</v>
      </c>
      <c r="AT118" s="115"/>
      <c r="AU118" s="115"/>
      <c r="AV118" s="113">
        <f>IFERROR(INDEX('Total Customers'!$F$7:$AB$91,MATCH($C118,'Total Customers'!$D$7:$D$91,0),MATCH($G118,'Total Customers'!$F$5:$AB$5,0)),"NA")</f>
        <v>156230</v>
      </c>
      <c r="AW118" s="68">
        <f t="shared" si="180"/>
        <v>1.2780549903240073E-2</v>
      </c>
      <c r="AX118" s="114"/>
      <c r="AY118" s="114"/>
      <c r="AZ118" s="116"/>
      <c r="BA118" s="116"/>
      <c r="BB118" s="166"/>
      <c r="BC118" s="166"/>
      <c r="BD118" s="166"/>
      <c r="BE118" s="166"/>
      <c r="BF118" s="166"/>
      <c r="BG118" s="166"/>
      <c r="BH118" s="166"/>
      <c r="BI118" s="113"/>
      <c r="BJ118" s="113"/>
      <c r="BK118" s="113">
        <f>INDEX('Dist. Plant Gas Additions'!$F$7:$AE$91,MATCH($C118,'Dist. Plant Gas Additions'!$D$7:$D$91,0),MATCH(Calculation!$G118,'Dist. Plant Gas Additions'!$F$5:$AE$5,0))</f>
        <v>15461</v>
      </c>
      <c r="BL118" s="113">
        <f>INDEX('Gen. Plant Additions'!$F$7:$AE$91,MATCH($C118,'Gen. Plant Additions'!$D$7:$D$91,0),MATCH(Calculation!$G118,'Gen. Plant Additions'!$F$5:$AE$5,0))</f>
        <v>3064</v>
      </c>
      <c r="BM118" s="231">
        <f t="shared" si="233"/>
        <v>0.83540774963182596</v>
      </c>
      <c r="BN118" s="61">
        <f t="shared" si="231"/>
        <v>2559.6893448719147</v>
      </c>
      <c r="BO118" s="113">
        <f>INDEX('Dist Plant Depreciation'!$E$7:$AD$94,MATCH($C118,'Dist Plant Depreciation'!$D$7:$D$94,0),MATCH(Calculation!$G118,'Dist Plant Depreciation'!$E$5:$AD$5,0))</f>
        <v>67914</v>
      </c>
      <c r="BP118" s="113">
        <f>INDEX('Gen. Plant Depreciation'!$E$7:$AD$94,MATCH($C118,'Gen. Plant Depreciation'!$D$7:$D$94,0),MATCH(Calculation!$G118,'Gen. Plant Depreciation'!$E$5:$AD$5,0))</f>
        <v>14151</v>
      </c>
      <c r="BQ118" s="113"/>
      <c r="BR118" s="113"/>
      <c r="BS118" s="113"/>
      <c r="BT118" s="113"/>
      <c r="BU118" s="113"/>
      <c r="BV118" s="113"/>
      <c r="BW118" s="113">
        <f>INDEX('Gross Dx Plant'!$E$7:$AD$91,MATCH($C118,'Gross Dx Plant'!$D$7:$D$91,0),MATCH(Calculation!$G118,'Gross Dx Plant'!$E$5:$AD$5,0))</f>
        <v>169612</v>
      </c>
      <c r="BX118" s="113">
        <f>INDEX('Gross Gen Plant'!$E$7:$AD$91,MATCH($C118,'Gross Gen Plant'!$D$7:$D$91,0),MATCH(Calculation!$G118,'Gross Gen Plant'!$E$5:$AD$5,0))</f>
        <v>33417</v>
      </c>
      <c r="BY118" s="113">
        <f t="shared" si="182"/>
        <v>120964</v>
      </c>
      <c r="BZ118" s="113"/>
      <c r="CA118" s="116">
        <v>2013</v>
      </c>
      <c r="CB118" s="113"/>
      <c r="CC118" s="113"/>
      <c r="CD118" s="113"/>
      <c r="CE118" s="175"/>
      <c r="CF118" s="113">
        <f t="shared" si="234"/>
        <v>18525</v>
      </c>
      <c r="CG118" s="113">
        <f t="shared" si="235"/>
        <v>27.930711701242366</v>
      </c>
      <c r="CH118" s="178">
        <v>0.90566037735849059</v>
      </c>
      <c r="CI118" s="61">
        <f>+CI103*CH118+CG104*CH117+CG105*CH116+CG106*CH115+CG107*CH114+CG108*CH113+CG109*CH112+CG110*CH111+CG111*CH110+CG112*CH109+CG113*CH108+CG114*CH107+CG115*CH106+CG116*CH105+CG117*CH104+CG118</f>
        <v>625.21324419495397</v>
      </c>
      <c r="CJ118" s="114">
        <f t="shared" si="236"/>
        <v>3.7894865386241802E-2</v>
      </c>
      <c r="CK118" s="114"/>
      <c r="CL118" s="169">
        <f t="shared" si="237"/>
        <v>7.7772610484396487E-3</v>
      </c>
      <c r="CM118" s="169">
        <f t="shared" si="246"/>
        <v>7.5751379541577494E-3</v>
      </c>
      <c r="CN118" s="114">
        <f>VLOOKUP($H118,RoR!$E:$F,2,FALSE)</f>
        <v>4.2350000000000006E-2</v>
      </c>
      <c r="CO118" s="169">
        <v>1.7730000000000024E-2</v>
      </c>
      <c r="CP118" s="169">
        <f t="shared" si="243"/>
        <v>2.4619999999999982E-2</v>
      </c>
      <c r="CQ118" s="169">
        <f t="shared" si="247"/>
        <v>2.3326803654375877E-2</v>
      </c>
      <c r="CR118" s="169">
        <v>5.3376742735721204E-2</v>
      </c>
      <c r="CS118" s="179">
        <f t="shared" si="238"/>
        <v>0.8548675</v>
      </c>
      <c r="CT118" s="180">
        <f t="shared" si="239"/>
        <v>1.2109103018193925</v>
      </c>
      <c r="CU118" s="180">
        <f t="shared" si="240"/>
        <v>0.38468122786304604</v>
      </c>
      <c r="CV118" s="180">
        <f t="shared" si="241"/>
        <v>0.80969194503422559</v>
      </c>
      <c r="CW118" s="180">
        <f t="shared" si="242"/>
        <v>0.37716621754800816</v>
      </c>
      <c r="CX118" s="181">
        <f>INDEX('State Tax Lookup'!$D$7:$Z$91,MATCH(Calculation!$C118,'State Tax Lookup'!$B$7:$B$91,0),MATCH($H118,'State Tax Lookup'!$D$6:$Z$6,0))</f>
        <v>0.39224999999999999</v>
      </c>
      <c r="CY118" s="72">
        <v>0.37</v>
      </c>
      <c r="CZ118" s="70">
        <f t="shared" si="245"/>
        <v>21.687244499274414</v>
      </c>
      <c r="DA118" s="70">
        <v>20.339519021246105</v>
      </c>
      <c r="DB118" s="69">
        <f t="shared" si="248"/>
        <v>-1.675843761079204E-2</v>
      </c>
      <c r="DC118" s="111">
        <f>VLOOKUP($H118,RoR!$E:$F,2,FALSE)</f>
        <v>4.2350000000000006E-2</v>
      </c>
      <c r="DD118" s="216">
        <f>HLOOKUP($H118,'GDP-PI'!$D$8:$CQ$11,3,FALSE)</f>
        <v>1.7730000000000024E-2</v>
      </c>
      <c r="DE118" s="111">
        <f>VLOOKUP(H118,'HW Dx Data'!$E:$F,2,FALSE)</f>
        <v>663.24840548821396</v>
      </c>
      <c r="DF118" s="72">
        <f t="shared" si="256"/>
        <v>126.8</v>
      </c>
      <c r="DG118" s="69">
        <f t="shared" si="257"/>
        <v>1.5898586067798204E-2</v>
      </c>
      <c r="DH118" s="66">
        <f>HLOOKUP(H118,'GDP-PI'!$8:$9,2,FALSE)</f>
        <v>101.773</v>
      </c>
      <c r="DI118" s="69">
        <f t="shared" si="249"/>
        <v>1.7574657016510519E-2</v>
      </c>
      <c r="DO118" s="184"/>
      <c r="DP118" s="184"/>
      <c r="DQ118" s="184"/>
      <c r="DR118" s="184"/>
      <c r="DS118" s="184"/>
      <c r="DT118" s="184"/>
      <c r="DU118" s="184"/>
      <c r="DV118" s="184"/>
      <c r="DW118" s="184"/>
      <c r="EB118"/>
    </row>
    <row r="119" spans="1:132" s="160" customFormat="1" ht="21">
      <c r="A119" s="160" t="s">
        <v>165</v>
      </c>
      <c r="B119" s="161" t="s">
        <v>165</v>
      </c>
      <c r="C119" s="161">
        <v>4058516</v>
      </c>
      <c r="D119" s="161" t="s">
        <v>166</v>
      </c>
      <c r="E119" s="161"/>
      <c r="F119" s="161"/>
      <c r="G119" s="161" t="s">
        <v>130</v>
      </c>
      <c r="H119" s="162">
        <v>2014</v>
      </c>
      <c r="I119" s="163"/>
      <c r="J119" s="159">
        <f>IFERROR(INDEX('Labor Expenditures'!$F$7:$X$91,MATCH($C119,'Labor Expenditures'!$D$7:$D$91,0),MATCH($G119,'Labor Expenditures'!$F$5:$X$5,0)),"NA")</f>
        <v>10681.722252101341</v>
      </c>
      <c r="K119" s="159">
        <f t="shared" si="250"/>
        <v>82.548085410365843</v>
      </c>
      <c r="L119" s="165">
        <f t="shared" si="258"/>
        <v>1.9416770219942196E-2</v>
      </c>
      <c r="M119" s="76">
        <f t="shared" si="260"/>
        <v>6.8278679516449347E-5</v>
      </c>
      <c r="N119" s="62">
        <f t="shared" si="266"/>
        <v>98.031456517351472</v>
      </c>
      <c r="O119" s="96">
        <f t="shared" si="261"/>
        <v>-1.1001383493920922E-2</v>
      </c>
      <c r="P119" s="96"/>
      <c r="Q119" s="159">
        <f>IFERROR(INDEX('Non-Labor Expenditures'!$F$7:$AB$91,MATCH($C119,'Non-Labor Expenditures'!$D$7:$D$91,0),MATCH($G119,'Non-Labor Expenditures'!$F$5:$AB$5,0)),"NA")</f>
        <v>15469.128891560415</v>
      </c>
      <c r="R119" s="159">
        <f t="shared" si="251"/>
        <v>149.24820681312931</v>
      </c>
      <c r="S119" s="165">
        <f t="shared" si="262"/>
        <v>2.1468058385360943E-2</v>
      </c>
      <c r="T119" s="165">
        <f t="shared" si="263"/>
        <v>7.5491992835605924E-5</v>
      </c>
      <c r="U119" s="165"/>
      <c r="V119" s="165"/>
      <c r="W119" s="159">
        <f t="shared" si="232"/>
        <v>13883.361428484064</v>
      </c>
      <c r="X119" s="163"/>
      <c r="Y119" s="167">
        <v>650.55948491081381</v>
      </c>
      <c r="Z119" s="168">
        <v>3.97399564208877E-2</v>
      </c>
      <c r="AA119" s="76">
        <f t="shared" si="252"/>
        <v>1.3974475248579895E-4</v>
      </c>
      <c r="AB119" s="168"/>
      <c r="AC119" s="168"/>
      <c r="AD119" s="163">
        <f t="shared" si="226"/>
        <v>40034.212572145821</v>
      </c>
      <c r="AE119" s="168">
        <f t="shared" si="264"/>
        <v>4.722381523430827E-2</v>
      </c>
      <c r="AF119" s="163"/>
      <c r="AG119" s="163"/>
      <c r="AH119" s="163"/>
      <c r="AI119" s="163"/>
      <c r="AJ119" s="116">
        <f t="shared" si="265"/>
        <v>252.67583878002424</v>
      </c>
      <c r="AK119" s="114">
        <f>+AV119/$AX$19</f>
        <v>4.3846271139489426E-3</v>
      </c>
      <c r="AL119" s="115">
        <f t="shared" si="253"/>
        <v>0.26681484574853981</v>
      </c>
      <c r="AM119" s="115">
        <f t="shared" si="254"/>
        <v>0.38639773078297551</v>
      </c>
      <c r="AN119" s="115">
        <f t="shared" si="255"/>
        <v>0.34678742346848462</v>
      </c>
      <c r="AO119" s="115">
        <f t="shared" si="259"/>
        <v>2.7210161380721153E-2</v>
      </c>
      <c r="AP119" s="166">
        <f t="shared" si="268"/>
        <v>107.33286586634574</v>
      </c>
      <c r="AQ119" s="168">
        <f t="shared" si="269"/>
        <v>2.7210161380721125E-2</v>
      </c>
      <c r="AR119" s="69">
        <f>+AD119/$AF$19</f>
        <v>3.5164797617228336E-3</v>
      </c>
      <c r="AS119" s="169">
        <f t="shared" si="267"/>
        <v>9.568398180851807E-5</v>
      </c>
      <c r="AT119" s="115"/>
      <c r="AU119" s="115"/>
      <c r="AV119" s="113">
        <f>IFERROR(INDEX('Total Customers'!$F$7:$AB$91,MATCH($C119,'Total Customers'!$D$7:$D$91,0),MATCH($G119,'Total Customers'!$F$5:$AB$5,0)),"NA")</f>
        <v>158441</v>
      </c>
      <c r="AW119" s="68">
        <f t="shared" si="180"/>
        <v>1.4053003847477052E-2</v>
      </c>
      <c r="AX119" s="114"/>
      <c r="AY119" s="114"/>
      <c r="AZ119" s="116"/>
      <c r="BA119" s="116"/>
      <c r="BB119" s="166"/>
      <c r="BC119" s="166"/>
      <c r="BD119" s="166"/>
      <c r="BE119" s="166"/>
      <c r="BF119" s="166"/>
      <c r="BG119" s="166"/>
      <c r="BH119" s="166"/>
      <c r="BI119" s="113"/>
      <c r="BJ119" s="113"/>
      <c r="BK119" s="113">
        <f>INDEX('Dist. Plant Gas Additions'!$F$7:$AE$91,MATCH($C119,'Dist. Plant Gas Additions'!$D$7:$D$91,0),MATCH(Calculation!$G119,'Dist. Plant Gas Additions'!$F$5:$AE$5,0))</f>
        <v>16710</v>
      </c>
      <c r="BL119" s="113">
        <f>INDEX('Gen. Plant Additions'!$F$7:$AE$91,MATCH($C119,'Gen. Plant Additions'!$D$7:$D$91,0),MATCH(Calculation!$G119,'Gen. Plant Additions'!$F$5:$AE$5,0))</f>
        <v>4057</v>
      </c>
      <c r="BM119" s="231">
        <f t="shared" si="233"/>
        <v>0.83621165880296677</v>
      </c>
      <c r="BN119" s="61">
        <f t="shared" si="231"/>
        <v>3392.5106997636362</v>
      </c>
      <c r="BO119" s="113">
        <f>INDEX('Dist Plant Depreciation'!$E$7:$AD$94,MATCH($C119,'Dist Plant Depreciation'!$D$7:$D$94,0),MATCH(Calculation!$G119,'Dist Plant Depreciation'!$E$5:$AD$5,0))</f>
        <v>70110</v>
      </c>
      <c r="BP119" s="113">
        <f>INDEX('Gen. Plant Depreciation'!$E$7:$AD$94,MATCH($C119,'Gen. Plant Depreciation'!$D$7:$D$94,0),MATCH(Calculation!$G119,'Gen. Plant Depreciation'!$E$5:$AD$5,0))</f>
        <v>16013</v>
      </c>
      <c r="BQ119" s="113"/>
      <c r="BR119" s="113"/>
      <c r="BS119" s="113"/>
      <c r="BT119" s="113"/>
      <c r="BU119" s="113"/>
      <c r="BV119" s="113"/>
      <c r="BW119" s="113">
        <f>INDEX('Gross Dx Plant'!$E$7:$AD$91,MATCH($C119,'Gross Dx Plant'!$D$7:$D$91,0),MATCH(Calculation!$G119,'Gross Dx Plant'!$E$5:$AD$5,0))</f>
        <v>184674</v>
      </c>
      <c r="BX119" s="113">
        <f>INDEX('Gross Gen Plant'!$E$7:$AD$91,MATCH($C119,'Gross Gen Plant'!$D$7:$D$91,0),MATCH(Calculation!$G119,'Gross Gen Plant'!$E$5:$AD$5,0))</f>
        <v>36172</v>
      </c>
      <c r="BY119" s="113">
        <f t="shared" si="182"/>
        <v>134723</v>
      </c>
      <c r="BZ119" s="113"/>
      <c r="CA119" s="116">
        <v>2014</v>
      </c>
      <c r="CB119" s="113"/>
      <c r="CC119" s="113"/>
      <c r="CD119" s="113"/>
      <c r="CE119" s="175"/>
      <c r="CF119" s="113">
        <f t="shared" si="234"/>
        <v>20767</v>
      </c>
      <c r="CG119" s="113">
        <f t="shared" si="235"/>
        <v>30.340301264008964</v>
      </c>
      <c r="CH119" s="178">
        <v>0.89743589743589747</v>
      </c>
      <c r="CI119" s="61">
        <f>+CI103*CH119+CG104*CH118+CG105*CH117+CG106*CH116+CG107*CH115+CG108*CH114+CG109*CH113+CG110*CH112+CG111*CH111+CG112*CH110+CG113*CH109+CG114*CH108+CG115*CH107+CG116*CH106+CG117*CH105+CG118*CH104+CG119</f>
        <v>650.55948491081381</v>
      </c>
      <c r="CJ119" s="114">
        <f t="shared" si="236"/>
        <v>3.97399564208877E-2</v>
      </c>
      <c r="CK119" s="114"/>
      <c r="CL119" s="169">
        <f t="shared" si="237"/>
        <v>7.9877715235857696E-3</v>
      </c>
      <c r="CM119" s="169">
        <f t="shared" si="246"/>
        <v>7.7806383493340819E-3</v>
      </c>
      <c r="CN119" s="114">
        <f>VLOOKUP($H119,RoR!$E:$F,2,FALSE)</f>
        <v>4.1625000000000002E-2</v>
      </c>
      <c r="CO119" s="169">
        <v>1.841352814597208E-2</v>
      </c>
      <c r="CP119" s="169">
        <f t="shared" si="243"/>
        <v>2.3211471854027922E-2</v>
      </c>
      <c r="CQ119" s="169">
        <f t="shared" si="247"/>
        <v>2.3121303259199543E-2</v>
      </c>
      <c r="CR119" s="169">
        <v>3.9072621432650924E-2</v>
      </c>
      <c r="CS119" s="179">
        <f t="shared" si="238"/>
        <v>0.8548675</v>
      </c>
      <c r="CT119" s="180">
        <f t="shared" si="239"/>
        <v>1.2320012320012319</v>
      </c>
      <c r="CU119" s="180">
        <f t="shared" si="240"/>
        <v>0.37439939939939942</v>
      </c>
      <c r="CV119" s="180">
        <f t="shared" si="241"/>
        <v>0.80432100613819935</v>
      </c>
      <c r="CW119" s="180">
        <f t="shared" si="242"/>
        <v>0.37100152660040037</v>
      </c>
      <c r="CX119" s="181">
        <f>INDEX('State Tax Lookup'!$D$7:$Z$91,MATCH(Calculation!$C119,'State Tax Lookup'!$B$7:$B$91,0),MATCH($H119,'State Tax Lookup'!$D$6:$Z$6,0))</f>
        <v>0.39224999999999999</v>
      </c>
      <c r="CY119" s="72">
        <v>0.37</v>
      </c>
      <c r="CZ119" s="70">
        <f t="shared" si="245"/>
        <v>22.205801872224821</v>
      </c>
      <c r="DA119" s="70">
        <v>20.763592984765573</v>
      </c>
      <c r="DB119" s="69">
        <f t="shared" si="248"/>
        <v>2.3629323704737453E-2</v>
      </c>
      <c r="DC119" s="111">
        <f>VLOOKUP($H119,RoR!$E:$F,2,FALSE)</f>
        <v>4.1625000000000002E-2</v>
      </c>
      <c r="DD119" s="216">
        <f>HLOOKUP($H119,'GDP-PI'!$D$8:$CQ$11,3,FALSE)</f>
        <v>1.841352814597208E-2</v>
      </c>
      <c r="DE119" s="111">
        <f>VLOOKUP(H119,'HW Dx Data'!$E:$F,2,FALSE)</f>
        <v>684.46914285042885</v>
      </c>
      <c r="DF119" s="72">
        <f t="shared" si="256"/>
        <v>129.4</v>
      </c>
      <c r="DG119" s="69">
        <f t="shared" si="257"/>
        <v>2.0297340063674733E-2</v>
      </c>
      <c r="DH119" s="66">
        <f>HLOOKUP(H119,'GDP-PI'!$8:$9,2,FALSE)</f>
        <v>103.64700000000001</v>
      </c>
      <c r="DI119" s="69">
        <f t="shared" si="249"/>
        <v>1.8246051898256087E-2</v>
      </c>
      <c r="DO119" s="184"/>
      <c r="DP119" s="184"/>
      <c r="DQ119" s="184"/>
      <c r="DR119" s="184"/>
      <c r="DS119" s="184"/>
      <c r="DT119" s="184"/>
      <c r="DU119" s="184"/>
      <c r="DV119" s="184"/>
      <c r="DW119" s="184"/>
      <c r="EB119"/>
    </row>
    <row r="120" spans="1:132" s="160" customFormat="1" ht="21">
      <c r="A120" s="160" t="s">
        <v>165</v>
      </c>
      <c r="B120" s="161" t="s">
        <v>165</v>
      </c>
      <c r="C120" s="161">
        <v>4058516</v>
      </c>
      <c r="D120" s="161" t="s">
        <v>166</v>
      </c>
      <c r="E120" s="161"/>
      <c r="F120" s="161"/>
      <c r="G120" s="161" t="s">
        <v>132</v>
      </c>
      <c r="H120" s="162">
        <v>2015</v>
      </c>
      <c r="I120" s="163"/>
      <c r="J120" s="159">
        <f>IFERROR(INDEX('Labor Expenditures'!$F$7:$X$91,MATCH($C120,'Labor Expenditures'!$D$7:$D$91,0),MATCH($G120,'Labor Expenditures'!$F$5:$X$5,0)),"NA")</f>
        <v>9892.2026216182639</v>
      </c>
      <c r="K120" s="159">
        <f t="shared" si="250"/>
        <v>74.098896042084377</v>
      </c>
      <c r="L120" s="165">
        <f t="shared" si="258"/>
        <v>-0.10798034303293412</v>
      </c>
      <c r="M120" s="76">
        <f t="shared" si="260"/>
        <v>-3.6047148316848857E-4</v>
      </c>
      <c r="N120" s="62">
        <f t="shared" si="266"/>
        <v>95.841976018892467</v>
      </c>
      <c r="O120" s="96">
        <f t="shared" si="261"/>
        <v>-2.2587659989003989E-2</v>
      </c>
      <c r="P120" s="96"/>
      <c r="Q120" s="159">
        <f>IFERROR(INDEX('Non-Labor Expenditures'!$F$7:$AB$91,MATCH($C120,'Non-Labor Expenditures'!$D$7:$D$91,0),MATCH($G120,'Non-Labor Expenditures'!$F$5:$AB$5,0)),"NA")</f>
        <v>14325.757004694766</v>
      </c>
      <c r="R120" s="159">
        <f t="shared" si="251"/>
        <v>136.90647850891892</v>
      </c>
      <c r="S120" s="165">
        <f t="shared" si="262"/>
        <v>-8.6312683444873223E-2</v>
      </c>
      <c r="T120" s="165">
        <f t="shared" si="263"/>
        <v>-2.8813819389456952E-4</v>
      </c>
      <c r="U120" s="165"/>
      <c r="V120" s="165"/>
      <c r="W120" s="159">
        <f t="shared" si="232"/>
        <v>14163.609462164666</v>
      </c>
      <c r="X120" s="163"/>
      <c r="Y120" s="167">
        <v>692.40618999359947</v>
      </c>
      <c r="Z120" s="168">
        <v>6.2340024495070756E-2</v>
      </c>
      <c r="AA120" s="76">
        <f t="shared" si="252"/>
        <v>2.081101102229703E-4</v>
      </c>
      <c r="AB120" s="168"/>
      <c r="AC120" s="168"/>
      <c r="AD120" s="163">
        <f t="shared" si="226"/>
        <v>38381.5690884777</v>
      </c>
      <c r="AE120" s="168">
        <f t="shared" si="264"/>
        <v>-4.2157030128551709E-2</v>
      </c>
      <c r="AF120" s="163"/>
      <c r="AG120" s="163"/>
      <c r="AH120" s="163"/>
      <c r="AI120" s="163"/>
      <c r="AJ120" s="116">
        <f t="shared" si="265"/>
        <v>237.93227507068681</v>
      </c>
      <c r="AK120" s="114">
        <f>+AV120/$AX$20</f>
        <v>4.4278066024063369E-3</v>
      </c>
      <c r="AL120" s="115">
        <f t="shared" si="253"/>
        <v>0.25773314787664431</v>
      </c>
      <c r="AM120" s="115">
        <f t="shared" si="254"/>
        <v>0.373245736037285</v>
      </c>
      <c r="AN120" s="115">
        <f t="shared" si="255"/>
        <v>0.36902111608607058</v>
      </c>
      <c r="AO120" s="115">
        <f t="shared" si="259"/>
        <v>-3.8792108240948059E-2</v>
      </c>
      <c r="AP120" s="166">
        <f t="shared" si="268"/>
        <v>103.24892223073051</v>
      </c>
      <c r="AQ120" s="168">
        <f t="shared" si="269"/>
        <v>-3.879210824094801E-2</v>
      </c>
      <c r="AR120" s="69">
        <f>+AD120/$AF$20</f>
        <v>3.3383065199056126E-3</v>
      </c>
      <c r="AS120" s="169">
        <f t="shared" si="267"/>
        <v>-1.29499947861641E-4</v>
      </c>
      <c r="AT120" s="115"/>
      <c r="AU120" s="115"/>
      <c r="AV120" s="113">
        <f>IFERROR(INDEX('Total Customers'!$F$7:$AB$91,MATCH($C120,'Total Customers'!$D$7:$D$91,0),MATCH($G120,'Total Customers'!$F$5:$AB$5,0)),"NA")</f>
        <v>161313</v>
      </c>
      <c r="AW120" s="68">
        <f t="shared" si="180"/>
        <v>1.79642927765487E-2</v>
      </c>
      <c r="AX120" s="114"/>
      <c r="AY120" s="114"/>
      <c r="AZ120" s="116"/>
      <c r="BA120" s="116"/>
      <c r="BB120" s="166"/>
      <c r="BC120" s="166"/>
      <c r="BD120" s="166"/>
      <c r="BE120" s="166"/>
      <c r="BF120" s="166"/>
      <c r="BG120" s="166"/>
      <c r="BH120" s="166"/>
      <c r="BI120" s="113"/>
      <c r="BJ120" s="113"/>
      <c r="BK120" s="113">
        <f>INDEX('Dist. Plant Gas Additions'!$F$7:$AE$91,MATCH($C120,'Dist. Plant Gas Additions'!$D$7:$D$91,0),MATCH(Calculation!$G120,'Dist. Plant Gas Additions'!$F$5:$AE$5,0))</f>
        <v>24837</v>
      </c>
      <c r="BL120" s="113">
        <f>INDEX('Gen. Plant Additions'!$F$7:$AE$91,MATCH($C120,'Gen. Plant Additions'!$D$7:$D$91,0),MATCH(Calculation!$G120,'Gen. Plant Additions'!$F$5:$AE$5,0))</f>
        <v>7038</v>
      </c>
      <c r="BM120" s="231">
        <f t="shared" si="233"/>
        <v>0.84229616779687744</v>
      </c>
      <c r="BN120" s="61">
        <f t="shared" si="231"/>
        <v>5928.080428954423</v>
      </c>
      <c r="BO120" s="113">
        <f>INDEX('Dist Plant Depreciation'!$E$7:$AD$94,MATCH($C120,'Dist Plant Depreciation'!$D$7:$D$94,0),MATCH(Calculation!$G120,'Dist Plant Depreciation'!$E$5:$AD$5,0))</f>
        <v>73761</v>
      </c>
      <c r="BP120" s="113">
        <f>INDEX('Gen. Plant Depreciation'!$E$7:$AD$94,MATCH($C120,'Gen. Plant Depreciation'!$D$7:$D$94,0),MATCH(Calculation!$G120,'Gen. Plant Depreciation'!$E$5:$AD$5,0))</f>
        <v>15451</v>
      </c>
      <c r="BQ120" s="113"/>
      <c r="BR120" s="113"/>
      <c r="BS120" s="113"/>
      <c r="BT120" s="113"/>
      <c r="BU120" s="113"/>
      <c r="BV120" s="113"/>
      <c r="BW120" s="113">
        <f>INDEX('Gross Dx Plant'!$E$7:$AD$91,MATCH($C120,'Gross Dx Plant'!$D$7:$D$91,0),MATCH(Calculation!$G120,'Gross Dx Plant'!$E$5:$AD$5,0))</f>
        <v>208299</v>
      </c>
      <c r="BX120" s="113">
        <f>INDEX('Gross Gen Plant'!$E$7:$AD$91,MATCH($C120,'Gross Gen Plant'!$D$7:$D$91,0),MATCH(Calculation!$G120,'Gross Gen Plant'!$E$5:$AD$5,0))</f>
        <v>39000</v>
      </c>
      <c r="BY120" s="113">
        <f t="shared" si="182"/>
        <v>158087</v>
      </c>
      <c r="BZ120" s="113"/>
      <c r="CA120" s="116">
        <v>2015</v>
      </c>
      <c r="CB120" s="113"/>
      <c r="CC120" s="113"/>
      <c r="CD120" s="113"/>
      <c r="CE120" s="175"/>
      <c r="CF120" s="113">
        <f t="shared" si="234"/>
        <v>31875</v>
      </c>
      <c r="CG120" s="113">
        <f t="shared" si="235"/>
        <v>47.179262317593334</v>
      </c>
      <c r="CH120" s="178">
        <v>0.88888888888888884</v>
      </c>
      <c r="CI120" s="61">
        <f>+CI103*CH120+CG104*CH119+CG105*CH118+CG106*CH117+CG107*CH116+CG108*CH115+CG109*CH114+CG110*CH113+CG111*CH112+CG112*CH111+CG113*CH110+CG114*CH109+CG115*CH108+CG116*CH107+CG117*CH106+CG118*CH105+CG119*CH104+CG120</f>
        <v>692.40618999359947</v>
      </c>
      <c r="CJ120" s="114">
        <f t="shared" si="236"/>
        <v>6.2340024495070756E-2</v>
      </c>
      <c r="CK120" s="114"/>
      <c r="CL120" s="169">
        <f t="shared" si="237"/>
        <v>8.1968787766405742E-3</v>
      </c>
      <c r="CM120" s="169">
        <f t="shared" si="246"/>
        <v>7.9873037828886648E-3</v>
      </c>
      <c r="CN120" s="114">
        <f>VLOOKUP($H120,RoR!$E:$F,2,FALSE)</f>
        <v>3.8866666666666674E-2</v>
      </c>
      <c r="CO120" s="169">
        <v>9.5709475431029478E-3</v>
      </c>
      <c r="CP120" s="169">
        <f t="shared" si="243"/>
        <v>2.9295719123563727E-2</v>
      </c>
      <c r="CQ120" s="169">
        <f t="shared" si="247"/>
        <v>2.291463782564496E-2</v>
      </c>
      <c r="CR120" s="169">
        <v>3.5270373279175926E-3</v>
      </c>
      <c r="CS120" s="179">
        <f t="shared" si="238"/>
        <v>0.8548675</v>
      </c>
      <c r="CT120" s="180">
        <f t="shared" si="239"/>
        <v>1.3194352816994324</v>
      </c>
      <c r="CU120" s="180">
        <f t="shared" si="240"/>
        <v>0.33177530017152673</v>
      </c>
      <c r="CV120" s="180">
        <f t="shared" si="241"/>
        <v>0.78242572977668579</v>
      </c>
      <c r="CW120" s="180">
        <f t="shared" si="242"/>
        <v>0.34251158643433932</v>
      </c>
      <c r="CX120" s="181">
        <f>INDEX('State Tax Lookup'!$D$7:$Z$91,MATCH(Calculation!$C120,'State Tax Lookup'!$B$7:$B$91,0),MATCH($H120,'State Tax Lookup'!$D$6:$Z$6,0))</f>
        <v>0.39224999999999999</v>
      </c>
      <c r="CY120" s="72">
        <v>0.37</v>
      </c>
      <c r="CZ120" s="70">
        <f t="shared" si="245"/>
        <v>21.771428732772033</v>
      </c>
      <c r="DA120" s="70">
        <v>20.279488671080099</v>
      </c>
      <c r="DB120" s="69">
        <f t="shared" si="248"/>
        <v>-1.9755098721113709E-2</v>
      </c>
      <c r="DC120" s="111">
        <f>VLOOKUP($H120,RoR!$E:$F,2,FALSE)</f>
        <v>3.8866666666666674E-2</v>
      </c>
      <c r="DD120" s="216">
        <f>HLOOKUP($H120,'GDP-PI'!$D$8:$CQ$11,3,FALSE)</f>
        <v>9.5709475431029478E-3</v>
      </c>
      <c r="DE120" s="111">
        <f>VLOOKUP(H120,'HW Dx Data'!$E:$F,2,FALSE)</f>
        <v>675.61463308665782</v>
      </c>
      <c r="DF120" s="72">
        <f t="shared" si="256"/>
        <v>133.5</v>
      </c>
      <c r="DG120" s="69">
        <f t="shared" si="257"/>
        <v>3.1193095773504077E-2</v>
      </c>
      <c r="DH120" s="66">
        <f>HLOOKUP(H120,'GDP-PI'!$8:$9,2,FALSE)</f>
        <v>104.639</v>
      </c>
      <c r="DI120" s="69">
        <f t="shared" si="249"/>
        <v>9.5254361854427965E-3</v>
      </c>
      <c r="DO120" s="184"/>
      <c r="DP120" s="184"/>
      <c r="DQ120" s="184"/>
      <c r="DR120" s="184"/>
      <c r="DS120" s="184"/>
      <c r="DT120" s="184"/>
      <c r="DU120" s="184"/>
      <c r="DV120" s="184"/>
      <c r="DW120" s="184"/>
      <c r="EB120"/>
    </row>
    <row r="121" spans="1:132" s="160" customFormat="1" ht="21">
      <c r="A121" s="160" t="s">
        <v>165</v>
      </c>
      <c r="B121" s="161" t="s">
        <v>165</v>
      </c>
      <c r="C121" s="161">
        <v>4058516</v>
      </c>
      <c r="D121" s="161" t="s">
        <v>166</v>
      </c>
      <c r="E121" s="161"/>
      <c r="F121" s="161"/>
      <c r="G121" s="161" t="s">
        <v>133</v>
      </c>
      <c r="H121" s="162">
        <v>2016</v>
      </c>
      <c r="I121" s="163"/>
      <c r="J121" s="159">
        <f>IFERROR(INDEX('Labor Expenditures'!$F$7:$X$91,MATCH($C121,'Labor Expenditures'!$D$7:$D$91,0),MATCH($G121,'Labor Expenditures'!$F$5:$X$5,0)),"NA")</f>
        <v>10902.244467678827</v>
      </c>
      <c r="K121" s="159">
        <f t="shared" si="250"/>
        <v>79.607480596413495</v>
      </c>
      <c r="L121" s="165">
        <f t="shared" si="258"/>
        <v>7.170743180304473E-2</v>
      </c>
      <c r="M121" s="76">
        <f t="shared" si="260"/>
        <v>2.5042437057969926E-4</v>
      </c>
      <c r="N121" s="62">
        <f t="shared" si="266"/>
        <v>96.893163844441574</v>
      </c>
      <c r="O121" s="96">
        <f t="shared" si="261"/>
        <v>1.0908215799200609E-2</v>
      </c>
      <c r="P121" s="96"/>
      <c r="Q121" s="159">
        <f>IFERROR(INDEX('Non-Labor Expenditures'!$F$7:$AB$91,MATCH($C121,'Non-Labor Expenditures'!$D$7:$D$91,0),MATCH($G121,'Non-Labor Expenditures'!$F$5:$AB$5,0)),"NA")</f>
        <v>15788.486247585051</v>
      </c>
      <c r="R121" s="159">
        <f t="shared" si="251"/>
        <v>149.31987447591217</v>
      </c>
      <c r="S121" s="165">
        <f t="shared" si="262"/>
        <v>8.6792759304622852E-2</v>
      </c>
      <c r="T121" s="165">
        <f t="shared" si="263"/>
        <v>3.0310696636624818E-4</v>
      </c>
      <c r="U121" s="165"/>
      <c r="V121" s="165"/>
      <c r="W121" s="159">
        <f t="shared" si="232"/>
        <v>14859.841550980716</v>
      </c>
      <c r="X121" s="163"/>
      <c r="Y121" s="167">
        <v>753.34468056589003</v>
      </c>
      <c r="Z121" s="168">
        <v>8.4350103010893421E-2</v>
      </c>
      <c r="AA121" s="76">
        <f t="shared" si="252"/>
        <v>2.9457646053834651E-4</v>
      </c>
      <c r="AB121" s="168"/>
      <c r="AC121" s="168"/>
      <c r="AD121" s="163">
        <f t="shared" si="226"/>
        <v>41550.572266244591</v>
      </c>
      <c r="AE121" s="168">
        <f t="shared" si="264"/>
        <v>7.9333921444563263E-2</v>
      </c>
      <c r="AF121" s="163"/>
      <c r="AG121" s="163"/>
      <c r="AH121" s="163"/>
      <c r="AI121" s="163"/>
      <c r="AJ121" s="116">
        <f t="shared" si="265"/>
        <v>252.98230223659206</v>
      </c>
      <c r="AK121" s="114">
        <f>+AV121/$AX$21</f>
        <v>4.4692734085756127E-3</v>
      </c>
      <c r="AL121" s="115">
        <f t="shared" si="253"/>
        <v>0.26238494136302759</v>
      </c>
      <c r="AM121" s="115">
        <f t="shared" si="254"/>
        <v>0.37998240184074461</v>
      </c>
      <c r="AN121" s="115">
        <f t="shared" si="255"/>
        <v>0.35763265679622785</v>
      </c>
      <c r="AO121" s="115">
        <f t="shared" si="259"/>
        <v>8.198220074093851E-2</v>
      </c>
      <c r="AP121" s="166">
        <f t="shared" si="268"/>
        <v>112.07014771064078</v>
      </c>
      <c r="AQ121" s="168">
        <f t="shared" si="269"/>
        <v>8.1982200740938579E-2</v>
      </c>
      <c r="AR121" s="69">
        <f>+AD121/$AF$21</f>
        <v>3.4923070633393694E-3</v>
      </c>
      <c r="AS121" s="169">
        <f t="shared" si="267"/>
        <v>2.8630701871568587E-4</v>
      </c>
      <c r="AT121" s="115"/>
      <c r="AU121" s="115"/>
      <c r="AV121" s="113">
        <f>IFERROR(INDEX('Total Customers'!$F$7:$AB$91,MATCH($C121,'Total Customers'!$D$7:$D$91,0),MATCH($G121,'Total Customers'!$F$5:$AB$5,0)),"NA")</f>
        <v>164243</v>
      </c>
      <c r="AW121" s="68">
        <f t="shared" si="180"/>
        <v>1.8000461448285064E-2</v>
      </c>
      <c r="AX121" s="114"/>
      <c r="AY121" s="114"/>
      <c r="AZ121" s="116"/>
      <c r="BA121" s="116"/>
      <c r="BB121" s="166"/>
      <c r="BC121" s="166"/>
      <c r="BD121" s="166"/>
      <c r="BE121" s="166"/>
      <c r="BF121" s="166"/>
      <c r="BG121" s="166"/>
      <c r="BH121" s="166"/>
      <c r="BI121" s="113"/>
      <c r="BJ121" s="113"/>
      <c r="BK121" s="113">
        <f>INDEX('Dist. Plant Gas Additions'!$F$7:$AE$91,MATCH($C121,'Dist. Plant Gas Additions'!$D$7:$D$91,0),MATCH(Calculation!$G121,'Dist. Plant Gas Additions'!$F$5:$AE$5,0))</f>
        <v>35697</v>
      </c>
      <c r="BL121" s="113">
        <f>INDEX('Gen. Plant Additions'!$F$7:$AE$91,MATCH($C121,'Gen. Plant Additions'!$D$7:$D$91,0),MATCH(Calculation!$G121,'Gen. Plant Additions'!$F$5:$AE$5,0))</f>
        <v>9095</v>
      </c>
      <c r="BM121" s="231">
        <f t="shared" si="233"/>
        <v>0.85047389614728586</v>
      </c>
      <c r="BN121" s="61">
        <f t="shared" si="231"/>
        <v>7735.060085459565</v>
      </c>
      <c r="BO121" s="113">
        <f>INDEX('Dist Plant Depreciation'!$E$7:$AD$94,MATCH($C121,'Dist Plant Depreciation'!$D$7:$D$94,0),MATCH(Calculation!$G121,'Dist Plant Depreciation'!$E$5:$AD$5,0))</f>
        <v>68437</v>
      </c>
      <c r="BP121" s="113">
        <f>INDEX('Gen. Plant Depreciation'!$E$7:$AD$94,MATCH($C121,'Gen. Plant Depreciation'!$D$7:$D$94,0),MATCH(Calculation!$G121,'Gen. Plant Depreciation'!$E$5:$AD$5,0))</f>
        <v>17573</v>
      </c>
      <c r="BQ121" s="113"/>
      <c r="BR121" s="113"/>
      <c r="BS121" s="113"/>
      <c r="BT121" s="113"/>
      <c r="BU121" s="113"/>
      <c r="BV121" s="113"/>
      <c r="BW121" s="113">
        <f>INDEX('Gross Dx Plant'!$E$7:$AD$91,MATCH($C121,'Gross Dx Plant'!$D$7:$D$91,0),MATCH(Calculation!$G121,'Gross Dx Plant'!$E$5:$AD$5,0))</f>
        <v>241828</v>
      </c>
      <c r="BX121" s="113">
        <f>INDEX('Gross Gen Plant'!$E$7:$AD$91,MATCH($C121,'Gross Gen Plant'!$D$7:$D$91,0),MATCH(Calculation!$G121,'Gross Gen Plant'!$E$5:$AD$5,0))</f>
        <v>42517</v>
      </c>
      <c r="BY121" s="113">
        <f t="shared" si="182"/>
        <v>198335</v>
      </c>
      <c r="BZ121" s="113"/>
      <c r="CA121" s="116">
        <v>2016</v>
      </c>
      <c r="CB121" s="113"/>
      <c r="CC121" s="113"/>
      <c r="CD121" s="113"/>
      <c r="CE121" s="175"/>
      <c r="CF121" s="113">
        <f t="shared" si="234"/>
        <v>44792</v>
      </c>
      <c r="CG121" s="113">
        <f t="shared" si="235"/>
        <v>66.708725108005183</v>
      </c>
      <c r="CH121" s="178">
        <v>0.88</v>
      </c>
      <c r="CI121" s="61">
        <f>+CI103*CH121+CG104*CH120+CG105*CH119+CG106*CH118+CG107*CH117+CG108*CH116+CG109*CH115+CG110*CH114+CG111*CH113+CG112*CH112+CG113*CH111+CG114*CH110+CG115*CH109+CG116*CH108+CG117*CH107+CG118*CH106+CG119*CH105+CG120*CH104+CG121</f>
        <v>753.34468056589003</v>
      </c>
      <c r="CJ121" s="114">
        <f t="shared" si="236"/>
        <v>8.4350103010893421E-2</v>
      </c>
      <c r="CK121" s="114"/>
      <c r="CL121" s="169">
        <f t="shared" si="237"/>
        <v>8.3335975603683748E-3</v>
      </c>
      <c r="CM121" s="169">
        <f t="shared" si="246"/>
        <v>8.1727492868649068E-3</v>
      </c>
      <c r="CN121" s="114">
        <f>VLOOKUP($H121,RoR!$E:$F,2,FALSE)</f>
        <v>3.6658333333333334E-2</v>
      </c>
      <c r="CO121" s="169">
        <v>1.0483662879041455E-2</v>
      </c>
      <c r="CP121" s="169">
        <f t="shared" si="243"/>
        <v>2.6174670454291879E-2</v>
      </c>
      <c r="CQ121" s="169">
        <f t="shared" si="247"/>
        <v>2.2729192321668718E-2</v>
      </c>
      <c r="CR121" s="169">
        <v>4.301363574220729E-3</v>
      </c>
      <c r="CS121" s="179">
        <f t="shared" si="238"/>
        <v>0.8548675</v>
      </c>
      <c r="CT121" s="180">
        <f t="shared" si="239"/>
        <v>1.3989193348138562</v>
      </c>
      <c r="CU121" s="180">
        <f t="shared" si="240"/>
        <v>0.29302682427824522</v>
      </c>
      <c r="CV121" s="180">
        <f t="shared" si="241"/>
        <v>0.76309497491941802</v>
      </c>
      <c r="CW121" s="180">
        <f t="shared" si="242"/>
        <v>0.31280857135128509</v>
      </c>
      <c r="CX121" s="181">
        <f>INDEX('State Tax Lookup'!$D$7:$Z$91,MATCH(Calculation!$C121,'State Tax Lookup'!$B$7:$B$91,0),MATCH($H121,'State Tax Lookup'!$D$6:$Z$6,0))</f>
        <v>0.39224999999999999</v>
      </c>
      <c r="CY121" s="72">
        <v>0.37</v>
      </c>
      <c r="CZ121" s="70">
        <f t="shared" si="245"/>
        <v>21.461162198908244</v>
      </c>
      <c r="DA121" s="70">
        <v>19.909765876209278</v>
      </c>
      <c r="DB121" s="69">
        <f t="shared" si="248"/>
        <v>-1.4353609352391021E-2</v>
      </c>
      <c r="DC121" s="111">
        <f>VLOOKUP($H121,RoR!$E:$F,2,FALSE)</f>
        <v>3.6658333333333334E-2</v>
      </c>
      <c r="DD121" s="216">
        <f>HLOOKUP($H121,'GDP-PI'!$D$8:$CQ$11,3,FALSE)</f>
        <v>1.0483662879041455E-2</v>
      </c>
      <c r="DE121" s="111">
        <f>VLOOKUP(H121,'HW Dx Data'!$E:$F,2,FALSE)</f>
        <v>671.45639385971219</v>
      </c>
      <c r="DF121" s="72">
        <f t="shared" si="256"/>
        <v>136.94999999999999</v>
      </c>
      <c r="DG121" s="69">
        <f t="shared" si="257"/>
        <v>2.5514417868782811E-2</v>
      </c>
      <c r="DH121" s="66">
        <f>HLOOKUP(H121,'GDP-PI'!$8:$9,2,FALSE)</f>
        <v>105.736</v>
      </c>
      <c r="DI121" s="69">
        <f t="shared" si="249"/>
        <v>1.0429090367205095E-2</v>
      </c>
      <c r="DO121" s="184"/>
      <c r="DP121" s="184"/>
      <c r="DQ121" s="184"/>
      <c r="DR121" s="184"/>
      <c r="DS121" s="184"/>
      <c r="DT121" s="184"/>
      <c r="DU121" s="184"/>
      <c r="DV121" s="184"/>
      <c r="DW121" s="184"/>
      <c r="EB121"/>
    </row>
    <row r="122" spans="1:132" s="160" customFormat="1" ht="21">
      <c r="A122" s="160" t="s">
        <v>165</v>
      </c>
      <c r="B122" s="161" t="s">
        <v>165</v>
      </c>
      <c r="C122" s="161">
        <v>4058516</v>
      </c>
      <c r="D122" s="161" t="s">
        <v>166</v>
      </c>
      <c r="E122" s="161"/>
      <c r="F122" s="161"/>
      <c r="G122" s="161" t="s">
        <v>135</v>
      </c>
      <c r="H122" s="162">
        <v>2017</v>
      </c>
      <c r="I122" s="163"/>
      <c r="J122" s="159">
        <f>IFERROR(INDEX('Labor Expenditures'!$F$7:$X$91,MATCH($C122,'Labor Expenditures'!$D$7:$D$91,0),MATCH($G122,'Labor Expenditures'!$F$5:$X$5,0)),"NA")</f>
        <v>11987.861328271578</v>
      </c>
      <c r="K122" s="159">
        <f t="shared" si="250"/>
        <v>85.353231244368658</v>
      </c>
      <c r="L122" s="165">
        <f t="shared" si="258"/>
        <v>6.9690241497861558E-2</v>
      </c>
      <c r="M122" s="76">
        <f t="shared" si="260"/>
        <v>2.5919636101008289E-4</v>
      </c>
      <c r="N122" s="62">
        <f t="shared" si="266"/>
        <v>97.484665857980843</v>
      </c>
      <c r="O122" s="96">
        <f t="shared" si="261"/>
        <v>6.0861245365090699E-3</v>
      </c>
      <c r="P122" s="96"/>
      <c r="Q122" s="159">
        <f>IFERROR(INDEX('Non-Labor Expenditures'!$F$7:$AB$91,MATCH($C122,'Non-Labor Expenditures'!$D$7:$D$91,0),MATCH($G122,'Non-Labor Expenditures'!$F$5:$AB$5,0)),"NA")</f>
        <v>17360.662226983575</v>
      </c>
      <c r="R122" s="159">
        <f t="shared" si="251"/>
        <v>161.11833975539508</v>
      </c>
      <c r="S122" s="165">
        <f t="shared" si="262"/>
        <v>7.6048311111282144E-2</v>
      </c>
      <c r="T122" s="165">
        <f t="shared" si="263"/>
        <v>2.8284369629586994E-4</v>
      </c>
      <c r="U122" s="165"/>
      <c r="V122" s="165"/>
      <c r="W122" s="159">
        <f t="shared" si="232"/>
        <v>14690.415025440592</v>
      </c>
      <c r="X122" s="163"/>
      <c r="Y122" s="167">
        <v>794.58326005333674</v>
      </c>
      <c r="Z122" s="168">
        <v>5.3294909839218224E-2</v>
      </c>
      <c r="AA122" s="76">
        <f t="shared" si="252"/>
        <v>1.9821780487171511E-4</v>
      </c>
      <c r="AB122" s="168"/>
      <c r="AC122" s="168"/>
      <c r="AD122" s="163">
        <f t="shared" si="226"/>
        <v>44038.938580695743</v>
      </c>
      <c r="AE122" s="168">
        <f t="shared" si="264"/>
        <v>5.8162916147513344E-2</v>
      </c>
      <c r="AF122" s="163"/>
      <c r="AG122" s="163"/>
      <c r="AH122" s="163"/>
      <c r="AI122" s="163"/>
      <c r="AJ122" s="116">
        <f t="shared" si="265"/>
        <v>264.12692420679491</v>
      </c>
      <c r="AK122" s="114">
        <f>+AV122/$AX$22</f>
        <v>4.5029692471295979E-3</v>
      </c>
      <c r="AL122" s="115">
        <f t="shared" si="253"/>
        <v>0.27221049631578537</v>
      </c>
      <c r="AM122" s="115">
        <f t="shared" si="254"/>
        <v>0.39421164057286201</v>
      </c>
      <c r="AN122" s="115">
        <f t="shared" si="255"/>
        <v>0.33357786311135268</v>
      </c>
      <c r="AO122" s="115">
        <f t="shared" si="259"/>
        <v>6.6485118445928124E-2</v>
      </c>
      <c r="AP122" s="166">
        <f t="shared" si="268"/>
        <v>119.77441666855073</v>
      </c>
      <c r="AQ122" s="168">
        <f t="shared" si="269"/>
        <v>6.6485118445928096E-2</v>
      </c>
      <c r="AR122" s="69">
        <f>+AD122/$AF$22</f>
        <v>3.7192633493462112E-3</v>
      </c>
      <c r="AS122" s="169">
        <f t="shared" si="267"/>
        <v>2.4727566431288208E-4</v>
      </c>
      <c r="AT122" s="115"/>
      <c r="AU122" s="115"/>
      <c r="AV122" s="113">
        <f>IFERROR(INDEX('Total Customers'!$F$7:$AB$91,MATCH($C122,'Total Customers'!$D$7:$D$91,0),MATCH($G122,'Total Customers'!$F$5:$AB$5,0)),"NA")</f>
        <v>166734</v>
      </c>
      <c r="AW122" s="68">
        <f t="shared" si="180"/>
        <v>1.5052689671932495E-2</v>
      </c>
      <c r="AX122" s="114"/>
      <c r="AY122" s="114"/>
      <c r="AZ122" s="116"/>
      <c r="BA122" s="116"/>
      <c r="BB122" s="166"/>
      <c r="BC122" s="166"/>
      <c r="BD122" s="166"/>
      <c r="BE122" s="166"/>
      <c r="BF122" s="166"/>
      <c r="BG122" s="166"/>
      <c r="BH122" s="166"/>
      <c r="BI122" s="113"/>
      <c r="BJ122" s="113"/>
      <c r="BK122" s="113">
        <f>INDEX('Dist. Plant Gas Additions'!$F$7:$AE$91,MATCH($C122,'Dist. Plant Gas Additions'!$D$7:$D$91,0),MATCH(Calculation!$G122,'Dist. Plant Gas Additions'!$F$5:$AE$5,0))</f>
        <v>32070</v>
      </c>
      <c r="BL122" s="113">
        <f>INDEX('Gen. Plant Additions'!$F$7:$AE$91,MATCH($C122,'Gen. Plant Additions'!$D$7:$D$91,0),MATCH(Calculation!$G122,'Gen. Plant Additions'!$F$5:$AE$5,0))</f>
        <v>1815</v>
      </c>
      <c r="BM122" s="231">
        <f t="shared" si="233"/>
        <v>0.8672175782182947</v>
      </c>
      <c r="BN122" s="61">
        <f>+BM122*BL122</f>
        <v>1573.999904466205</v>
      </c>
      <c r="BO122" s="113">
        <f>INDEX('Dist Plant Depreciation'!$E$7:$AD$94,MATCH($C122,'Dist Plant Depreciation'!$D$7:$D$94,0),MATCH(Calculation!$G122,'Dist Plant Depreciation'!$E$5:$AD$5,0))</f>
        <v>79851</v>
      </c>
      <c r="BP122" s="113">
        <f>INDEX('Gen. Plant Depreciation'!$E$7:$AD$94,MATCH($C122,'Gen. Plant Depreciation'!$D$7:$D$94,0),MATCH(Calculation!$G122,'Gen. Plant Depreciation'!$E$5:$AD$5,0))</f>
        <v>15693</v>
      </c>
      <c r="BQ122" s="113"/>
      <c r="BR122" s="113"/>
      <c r="BS122" s="113"/>
      <c r="BT122" s="113"/>
      <c r="BU122" s="113"/>
      <c r="BV122" s="113"/>
      <c r="BW122" s="113">
        <f>INDEX('Gross Dx Plant'!$E$7:$AD$91,MATCH($C122,'Gross Dx Plant'!$D$7:$D$91,0),MATCH(Calculation!$G122,'Gross Dx Plant'!$E$5:$AD$5,0))</f>
        <v>272328</v>
      </c>
      <c r="BX122" s="113">
        <f>INDEX('Gross Gen Plant'!$E$7:$AD$91,MATCH($C122,'Gross Gen Plant'!$D$7:$D$91,0),MATCH(Calculation!$G122,'Gross Gen Plant'!$E$5:$AD$5,0))</f>
        <v>41697</v>
      </c>
      <c r="BY122" s="113">
        <f t="shared" si="182"/>
        <v>218481</v>
      </c>
      <c r="BZ122" s="113"/>
      <c r="CA122" s="116">
        <v>2017</v>
      </c>
      <c r="CB122" s="113"/>
      <c r="CC122" s="113"/>
      <c r="CD122" s="113"/>
      <c r="CE122" s="175"/>
      <c r="CF122" s="113">
        <f t="shared" si="234"/>
        <v>33885</v>
      </c>
      <c r="CG122" s="113">
        <f t="shared" si="235"/>
        <v>47.562662104191396</v>
      </c>
      <c r="CH122" s="178">
        <v>0.87074829931972786</v>
      </c>
      <c r="CI122" s="61">
        <f>+CI103*CH122+CG104*CH121+CG105*CH120+CG106*CH119+CG107*CH118+CG108*CH117+CG109*CH116+CG110*CH115+CG111*CH114+CG112*CH113+CG113*CH112+CG114*CH111+CG115*CH110+CG116*CH109+CG117*CH108+CG118*CH107+CG119*CH106+CG120*CH105+CG121*CH104+CG122</f>
        <v>794.58326005333674</v>
      </c>
      <c r="CJ122" s="114">
        <f t="shared" si="236"/>
        <v>5.3294909839218224E-2</v>
      </c>
      <c r="CK122" s="114"/>
      <c r="CL122" s="169">
        <f t="shared" si="237"/>
        <v>8.3946734872996261E-3</v>
      </c>
      <c r="CM122" s="169">
        <f t="shared" si="246"/>
        <v>8.3083832747695239E-3</v>
      </c>
      <c r="CN122" s="114">
        <f>VLOOKUP($H122,RoR!$E:$F,2,FALSE)</f>
        <v>3.7433333333333339E-2</v>
      </c>
      <c r="CO122" s="169">
        <v>1.9056896421275615E-2</v>
      </c>
      <c r="CP122" s="169">
        <f t="shared" si="243"/>
        <v>1.8376436912057724E-2</v>
      </c>
      <c r="CQ122" s="169">
        <f t="shared" si="247"/>
        <v>2.2593558333764099E-2</v>
      </c>
      <c r="CR122" s="169">
        <v>1.3976271617800498E-2</v>
      </c>
      <c r="CS122" s="179">
        <f t="shared" si="238"/>
        <v>0.90666749999999996</v>
      </c>
      <c r="CT122" s="180">
        <f t="shared" si="239"/>
        <v>1.3699568463593395</v>
      </c>
      <c r="CU122" s="180">
        <f t="shared" si="240"/>
        <v>0.30714603739982199</v>
      </c>
      <c r="CV122" s="180">
        <f t="shared" si="241"/>
        <v>0.77007188472689425</v>
      </c>
      <c r="CW122" s="180">
        <f t="shared" si="242"/>
        <v>0.32402839633793828</v>
      </c>
      <c r="CX122" s="181">
        <f>INDEX('State Tax Lookup'!$D$7:$Z$91,MATCH(Calculation!$C122,'State Tax Lookup'!$B$7:$B$91,0),MATCH($H122,'State Tax Lookup'!$D$6:$Z$6,0))</f>
        <v>0.25224999999999997</v>
      </c>
      <c r="CY122" s="72">
        <v>0.37</v>
      </c>
      <c r="CZ122" s="70">
        <f t="shared" si="245"/>
        <v>19.5002571922398</v>
      </c>
      <c r="DA122" s="70">
        <v>18.231812616449311</v>
      </c>
      <c r="DB122" s="69">
        <f t="shared" si="248"/>
        <v>-9.5817237427277296E-2</v>
      </c>
      <c r="DC122" s="111">
        <f>VLOOKUP($H122,RoR!$E:$F,2,FALSE)</f>
        <v>3.7433333333333339E-2</v>
      </c>
      <c r="DD122" s="216">
        <f>HLOOKUP($H122,'GDP-PI'!$D$8:$CQ$11,3,FALSE)</f>
        <v>1.9056896421275615E-2</v>
      </c>
      <c r="DE122" s="111">
        <f>VLOOKUP(H122,'HW Dx Data'!$E:$F,2,FALSE)</f>
        <v>712.42858370229726</v>
      </c>
      <c r="DF122" s="72">
        <f t="shared" si="256"/>
        <v>140.44999999999999</v>
      </c>
      <c r="DG122" s="69">
        <f t="shared" si="257"/>
        <v>2.5235657841165486E-2</v>
      </c>
      <c r="DH122" s="66">
        <f>HLOOKUP(H122,'GDP-PI'!$8:$9,2,FALSE)</f>
        <v>107.751</v>
      </c>
      <c r="DI122" s="69">
        <f t="shared" si="249"/>
        <v>1.8877588227745139E-2</v>
      </c>
      <c r="DO122" s="184"/>
      <c r="DP122" s="184"/>
      <c r="DQ122" s="184"/>
      <c r="DR122" s="184"/>
      <c r="DS122" s="184"/>
      <c r="DT122" s="184"/>
      <c r="DU122" s="184"/>
      <c r="DV122" s="184"/>
      <c r="DW122" s="184"/>
      <c r="EB122"/>
    </row>
    <row r="123" spans="1:132" s="160" customFormat="1" ht="21">
      <c r="A123" s="160" t="s">
        <v>165</v>
      </c>
      <c r="B123" s="161" t="s">
        <v>165</v>
      </c>
      <c r="C123" s="161">
        <v>4058516</v>
      </c>
      <c r="D123" s="161" t="s">
        <v>166</v>
      </c>
      <c r="E123" s="161"/>
      <c r="F123" s="161"/>
      <c r="G123" s="161" t="s">
        <v>136</v>
      </c>
      <c r="H123" s="162">
        <v>2018</v>
      </c>
      <c r="I123" s="163"/>
      <c r="J123" s="159">
        <f>IFERROR(INDEX('Labor Expenditures'!$F$7:$X$91,MATCH($C123,'Labor Expenditures'!$D$7:$D$91,0),MATCH($G123,'Labor Expenditures'!$F$5:$X$5,0)),"NA")</f>
        <v>14418.510979358207</v>
      </c>
      <c r="K123" s="159">
        <f t="shared" si="250"/>
        <v>99.816621525498149</v>
      </c>
      <c r="L123" s="165">
        <f t="shared" si="258"/>
        <v>0.15653641052698292</v>
      </c>
      <c r="M123" s="76">
        <f t="shared" si="260"/>
        <v>6.2770742811541868E-4</v>
      </c>
      <c r="N123" s="62">
        <f t="shared" si="266"/>
        <v>102.99944232494073</v>
      </c>
      <c r="O123" s="96">
        <f t="shared" si="261"/>
        <v>5.502848151042615E-2</v>
      </c>
      <c r="P123" s="96"/>
      <c r="Q123" s="159">
        <f>IFERROR(INDEX('Non-Labor Expenditures'!$F$7:$AB$91,MATCH($C123,'Non-Labor Expenditures'!$D$7:$D$91,0),MATCH($G123,'Non-Labor Expenditures'!$F$5:$AB$5,0)),"NA")</f>
        <v>20880.696904489683</v>
      </c>
      <c r="R123" s="159">
        <f t="shared" si="251"/>
        <v>189.27047102563117</v>
      </c>
      <c r="S123" s="165">
        <f t="shared" si="262"/>
        <v>0.16103793117246559</v>
      </c>
      <c r="T123" s="165">
        <f t="shared" si="263"/>
        <v>6.4575842300837569E-4</v>
      </c>
      <c r="U123" s="165"/>
      <c r="V123" s="165"/>
      <c r="W123" s="159">
        <f t="shared" si="232"/>
        <v>16311.467701096799</v>
      </c>
      <c r="X123" s="163"/>
      <c r="Y123" s="167">
        <v>815.43856342494644</v>
      </c>
      <c r="Z123" s="168">
        <v>2.5908307118856663E-2</v>
      </c>
      <c r="AA123" s="76">
        <f t="shared" si="252"/>
        <v>1.0389171933643264E-4</v>
      </c>
      <c r="AB123" s="168"/>
      <c r="AC123" s="168"/>
      <c r="AD123" s="163">
        <f t="shared" si="226"/>
        <v>51610.675584944693</v>
      </c>
      <c r="AE123" s="168">
        <f t="shared" si="264"/>
        <v>0.15865433196132081</v>
      </c>
      <c r="AF123" s="163"/>
      <c r="AG123" s="163"/>
      <c r="AH123" s="163"/>
      <c r="AI123" s="163"/>
      <c r="AJ123" s="116">
        <f t="shared" si="265"/>
        <v>306.51491922950424</v>
      </c>
      <c r="AK123" s="114">
        <f>+AV123/$AX$23</f>
        <v>4.5075700749538563E-3</v>
      </c>
      <c r="AL123" s="115">
        <f t="shared" si="253"/>
        <v>0.27937070801615738</v>
      </c>
      <c r="AM123" s="115">
        <f t="shared" si="254"/>
        <v>0.40458096445807373</v>
      </c>
      <c r="AN123" s="115">
        <f t="shared" si="255"/>
        <v>0.31604832752576878</v>
      </c>
      <c r="AO123" s="115">
        <f t="shared" si="259"/>
        <v>0.11590458262489922</v>
      </c>
      <c r="AP123" s="166">
        <f t="shared" si="268"/>
        <v>134.49334189203395</v>
      </c>
      <c r="AQ123" s="168">
        <f t="shared" si="269"/>
        <v>0.11590458262489919</v>
      </c>
      <c r="AR123" s="69">
        <f>+AD123/$AF$23</f>
        <v>4.0099771420733952E-3</v>
      </c>
      <c r="AS123" s="169">
        <f t="shared" si="267"/>
        <v>4.6477472698740299E-4</v>
      </c>
      <c r="AT123" s="115"/>
      <c r="AU123" s="115"/>
      <c r="AV123" s="113">
        <f>IFERROR(INDEX('Total Customers'!$F$7:$AB$91,MATCH($C123,'Total Customers'!$D$7:$D$91,0),MATCH($G123,'Total Customers'!$F$5:$AB$5,0)),"NA")</f>
        <v>168379</v>
      </c>
      <c r="AW123" s="68">
        <f t="shared" si="180"/>
        <v>9.8176627762086299E-3</v>
      </c>
      <c r="AX123" s="114"/>
      <c r="AY123" s="114"/>
      <c r="AZ123" s="116"/>
      <c r="BA123" s="116"/>
      <c r="BB123" s="166"/>
      <c r="BC123" s="166"/>
      <c r="BD123" s="166"/>
      <c r="BE123" s="166"/>
      <c r="BF123" s="166"/>
      <c r="BG123" s="166"/>
      <c r="BH123" s="166"/>
      <c r="BI123" s="113"/>
      <c r="BJ123" s="113"/>
      <c r="BK123" s="113">
        <f>INDEX('Dist. Plant Gas Additions'!$F$7:$AE$91,MATCH($C123,'Dist. Plant Gas Additions'!$D$7:$D$91,0),MATCH(Calculation!$G123,'Dist. Plant Gas Additions'!$F$5:$AE$5,0))</f>
        <v>17938</v>
      </c>
      <c r="BL123" s="113">
        <f>INDEX('Gen. Plant Additions'!$F$7:$AE$91,MATCH($C123,'Gen. Plant Additions'!$D$7:$D$91,0),MATCH(Calculation!$G123,'Gen. Plant Additions'!$F$5:$AE$5,0))</f>
        <v>2950</v>
      </c>
      <c r="BM123" s="231">
        <f t="shared" si="233"/>
        <v>0.87317607040754763</v>
      </c>
      <c r="BN123" s="61">
        <f t="shared" ref="BN123:BN141" si="270">+BM123*BL123</f>
        <v>2575.8694077022656</v>
      </c>
      <c r="BO123" s="113">
        <f>INDEX('Dist Plant Depreciation'!$E$7:$AD$94,MATCH($C123,'Dist Plant Depreciation'!$D$7:$D$94,0),MATCH(Calculation!$G123,'Dist Plant Depreciation'!$E$5:$AD$5,0))</f>
        <v>83231</v>
      </c>
      <c r="BP123" s="113">
        <f>INDEX('Gen. Plant Depreciation'!$E$7:$AD$94,MATCH($C123,'Gen. Plant Depreciation'!$D$7:$D$94,0),MATCH(Calculation!$G123,'Gen. Plant Depreciation'!$E$5:$AD$5,0))</f>
        <v>13768</v>
      </c>
      <c r="BQ123" s="113"/>
      <c r="BR123" s="113"/>
      <c r="BS123" s="113"/>
      <c r="BT123" s="113"/>
      <c r="BU123" s="113"/>
      <c r="BV123" s="113"/>
      <c r="BW123" s="113">
        <f>INDEX('Gross Dx Plant'!$E$7:$AD$91,MATCH($C123,'Gross Dx Plant'!$D$7:$D$91,0),MATCH(Calculation!$G123,'Gross Dx Plant'!$E$5:$AD$5,0))</f>
        <v>288018</v>
      </c>
      <c r="BX123" s="113">
        <f>INDEX('Gross Gen Plant'!$E$7:$AD$91,MATCH($C123,'Gross Gen Plant'!$D$7:$D$91,0),MATCH(Calculation!$G123,'Gross Gen Plant'!$E$5:$AD$5,0))</f>
        <v>41833</v>
      </c>
      <c r="BY123" s="113">
        <f t="shared" si="182"/>
        <v>232852</v>
      </c>
      <c r="BZ123" s="113"/>
      <c r="CA123" s="116">
        <v>2018</v>
      </c>
      <c r="CB123" s="113"/>
      <c r="CC123" s="113"/>
      <c r="CD123" s="113"/>
      <c r="CE123" s="175"/>
      <c r="CF123" s="113">
        <f t="shared" si="234"/>
        <v>20888</v>
      </c>
      <c r="CG123" s="113">
        <f t="shared" si="235"/>
        <v>27.661216311284825</v>
      </c>
      <c r="CH123" s="178">
        <v>0.86111111111111116</v>
      </c>
      <c r="CI123" s="61">
        <f>+CI103*CH123++CG104*CH122+CG105*CH121+CG106*CH120+CG107*CH119+CG108*CH118+CG109*CH117+CG110*CH116+CG111*CH115+CG112*CH114+CG113*CH113+CG114*CH112+CG115*CH111+CG116*CH110+CG117*CH109+CG118*CH108+CG119*CH107+CG120*CH106+CG121*CH105+CG122*CH104+CG123</f>
        <v>815.43856342494644</v>
      </c>
      <c r="CJ123" s="114">
        <f t="shared" si="236"/>
        <v>2.5908307118856663E-2</v>
      </c>
      <c r="CK123" s="114"/>
      <c r="CL123" s="169">
        <f t="shared" si="237"/>
        <v>8.5653867654074192E-3</v>
      </c>
      <c r="CM123" s="169">
        <f t="shared" si="246"/>
        <v>8.43121927102514E-3</v>
      </c>
      <c r="CN123" s="114">
        <f>VLOOKUP($H123,RoR!$E:$F,2,FALSE)</f>
        <v>3.9299999999999995E-2</v>
      </c>
      <c r="CO123" s="169">
        <v>2.386056741932796E-2</v>
      </c>
      <c r="CP123" s="169">
        <f t="shared" si="243"/>
        <v>1.5439432580672034E-2</v>
      </c>
      <c r="CQ123" s="169">
        <f t="shared" si="247"/>
        <v>2.2470722337508485E-2</v>
      </c>
      <c r="CR123" s="169">
        <v>3.8270792163076606E-2</v>
      </c>
      <c r="CS123" s="179">
        <f t="shared" si="238"/>
        <v>0.90666749999999996</v>
      </c>
      <c r="CT123" s="180">
        <f t="shared" si="239"/>
        <v>1.3048868010700074</v>
      </c>
      <c r="CU123" s="180">
        <f t="shared" si="240"/>
        <v>0.33886768447837151</v>
      </c>
      <c r="CV123" s="180">
        <f t="shared" si="241"/>
        <v>0.78602506232557801</v>
      </c>
      <c r="CW123" s="180">
        <f t="shared" si="242"/>
        <v>0.34756768162358759</v>
      </c>
      <c r="CX123" s="181">
        <f>INDEX('State Tax Lookup'!$D$7:$Z$91,MATCH(Calculation!$C123,'State Tax Lookup'!$B$7:$B$91,0),MATCH($H123,'State Tax Lookup'!$D$6:$Z$6,0))</f>
        <v>0.25224999999999997</v>
      </c>
      <c r="CY123" s="72">
        <v>0.37</v>
      </c>
      <c r="CZ123" s="70">
        <f t="shared" si="245"/>
        <v>20.528330410587664</v>
      </c>
      <c r="DA123" s="70">
        <v>19.050901628905343</v>
      </c>
      <c r="DB123" s="69">
        <f t="shared" si="248"/>
        <v>5.1378248520795006E-2</v>
      </c>
      <c r="DC123" s="111">
        <f>VLOOKUP($H123,RoR!$E:$F,2,FALSE)</f>
        <v>3.9299999999999995E-2</v>
      </c>
      <c r="DD123" s="216">
        <f>HLOOKUP($H123,'GDP-PI'!$D$8:$CQ$11,3,FALSE)</f>
        <v>2.386056741932796E-2</v>
      </c>
      <c r="DE123" s="111">
        <f>VLOOKUP(H123,'HW Dx Data'!$E:$F,2,FALSE)</f>
        <v>755.13671434174842</v>
      </c>
      <c r="DF123" s="72">
        <f t="shared" si="256"/>
        <v>144.44999999999999</v>
      </c>
      <c r="DG123" s="69">
        <f t="shared" si="257"/>
        <v>2.80818733619915E-2</v>
      </c>
      <c r="DH123" s="66">
        <f>HLOOKUP(H123,'GDP-PI'!$8:$9,2,FALSE)</f>
        <v>110.322</v>
      </c>
      <c r="DI123" s="69">
        <f t="shared" si="249"/>
        <v>2.3580352716508712E-2</v>
      </c>
      <c r="DO123" s="184"/>
      <c r="DP123" s="184"/>
      <c r="DQ123" s="184"/>
      <c r="DR123" s="184"/>
      <c r="DS123" s="184"/>
      <c r="DT123" s="184"/>
      <c r="DU123" s="184"/>
      <c r="DV123" s="184"/>
      <c r="DW123" s="184"/>
      <c r="EB123"/>
    </row>
    <row r="124" spans="1:132" s="160" customFormat="1" ht="21">
      <c r="A124" s="160" t="s">
        <v>165</v>
      </c>
      <c r="B124" s="161" t="s">
        <v>165</v>
      </c>
      <c r="C124" s="161">
        <v>4058516</v>
      </c>
      <c r="D124" s="161" t="s">
        <v>166</v>
      </c>
      <c r="E124" s="161"/>
      <c r="F124" s="161"/>
      <c r="G124" s="161" t="s">
        <v>140</v>
      </c>
      <c r="H124" s="162">
        <v>2019</v>
      </c>
      <c r="I124" s="163"/>
      <c r="J124" s="159">
        <f>IFERROR(INDEX('Labor Expenditures'!$F$7:$X$91,MATCH($C124,'Labor Expenditures'!$D$7:$D$91,0),MATCH($G124,'Labor Expenditures'!$F$5:$X$5,0)),"NA")</f>
        <v>13706.657012895954</v>
      </c>
      <c r="K124" s="159">
        <f t="shared" si="250"/>
        <v>91.576128364095226</v>
      </c>
      <c r="L124" s="165">
        <f t="shared" si="258"/>
        <v>-8.616408746425866E-2</v>
      </c>
      <c r="M124" s="76">
        <f t="shared" si="260"/>
        <v>-3.283428412978753E-4</v>
      </c>
      <c r="N124" s="62">
        <f t="shared" si="266"/>
        <v>101.87315044161016</v>
      </c>
      <c r="O124" s="96">
        <f t="shared" si="261"/>
        <v>-1.0995157672173649E-2</v>
      </c>
      <c r="P124" s="96"/>
      <c r="Q124" s="159">
        <f>IFERROR(INDEX('Non-Labor Expenditures'!$F$7:$AB$91,MATCH($C124,'Non-Labor Expenditures'!$D$7:$D$91,0),MATCH($G124,'Non-Labor Expenditures'!$F$5:$AB$5,0)),"NA")</f>
        <v>19849.799405071291</v>
      </c>
      <c r="R124" s="159">
        <f t="shared" si="251"/>
        <v>176.72856892992479</v>
      </c>
      <c r="S124" s="165">
        <f t="shared" si="262"/>
        <v>-6.8562009016488526E-2</v>
      </c>
      <c r="T124" s="165">
        <f t="shared" si="263"/>
        <v>-2.6126714166040956E-4</v>
      </c>
      <c r="U124" s="165"/>
      <c r="V124" s="165"/>
      <c r="W124" s="159">
        <f t="shared" si="232"/>
        <v>17008.62226312366</v>
      </c>
      <c r="X124" s="163"/>
      <c r="Y124" s="167">
        <v>849.72680641251361</v>
      </c>
      <c r="Z124" s="168">
        <v>4.1188810461444125E-2</v>
      </c>
      <c r="AA124" s="76">
        <f t="shared" si="252"/>
        <v>1.5695693478097897E-4</v>
      </c>
      <c r="AB124" s="168"/>
      <c r="AC124" s="168"/>
      <c r="AD124" s="163">
        <f t="shared" si="226"/>
        <v>50565.078681090905</v>
      </c>
      <c r="AE124" s="168">
        <f t="shared" si="264"/>
        <v>-2.046734887808159E-2</v>
      </c>
      <c r="AF124" s="163"/>
      <c r="AG124" s="163"/>
      <c r="AH124" s="163"/>
      <c r="AI124" s="163"/>
      <c r="AJ124" s="116">
        <f t="shared" si="265"/>
        <v>295.50175717694958</v>
      </c>
      <c r="AK124" s="114">
        <f>+AV124/$AX$24</f>
        <v>4.5430615816144434E-3</v>
      </c>
      <c r="AL124" s="115">
        <f t="shared" si="253"/>
        <v>0.27106962691272612</v>
      </c>
      <c r="AM124" s="115">
        <f t="shared" si="254"/>
        <v>0.39255944859222053</v>
      </c>
      <c r="AN124" s="115">
        <f t="shared" si="255"/>
        <v>0.33637092449505335</v>
      </c>
      <c r="AO124" s="115">
        <f t="shared" si="259"/>
        <v>-3.7604682218373514E-2</v>
      </c>
      <c r="AP124" s="166">
        <f t="shared" si="268"/>
        <v>129.52967596745796</v>
      </c>
      <c r="AQ124" s="168">
        <f t="shared" si="269"/>
        <v>-3.7604682218373486E-2</v>
      </c>
      <c r="AR124" s="69">
        <f>+AD124/$AF$24</f>
        <v>3.8106692818405778E-3</v>
      </c>
      <c r="AS124" s="169">
        <f t="shared" si="267"/>
        <v>-1.4329900738293245E-4</v>
      </c>
      <c r="AT124" s="115"/>
      <c r="AU124" s="115"/>
      <c r="AV124" s="113">
        <f>IFERROR(INDEX('Total Customers'!$F$7:$AB$91,MATCH($C124,'Total Customers'!$D$7:$D$91,0),MATCH($G124,'Total Customers'!$F$5:$AB$5,0)),"NA")</f>
        <v>171116</v>
      </c>
      <c r="AW124" s="68">
        <f t="shared" si="180"/>
        <v>1.6124298147607637E-2</v>
      </c>
      <c r="AX124" s="114"/>
      <c r="AY124" s="114"/>
      <c r="AZ124" s="116"/>
      <c r="BA124" s="116"/>
      <c r="BB124" s="166"/>
      <c r="BC124" s="166"/>
      <c r="BD124" s="166"/>
      <c r="BE124" s="166"/>
      <c r="BF124" s="166"/>
      <c r="BG124" s="166"/>
      <c r="BH124" s="166"/>
      <c r="BI124" s="113"/>
      <c r="BJ124" s="113"/>
      <c r="BK124" s="113">
        <f>INDEX('Dist. Plant Gas Additions'!$F$7:$AE$91,MATCH($C124,'Dist. Plant Gas Additions'!$D$7:$D$91,0),MATCH(Calculation!$G124,'Dist. Plant Gas Additions'!$F$5:$AE$5,0))</f>
        <v>22039</v>
      </c>
      <c r="BL124" s="113">
        <f>INDEX('Gen. Plant Additions'!$F$7:$AE$91,MATCH($C124,'Gen. Plant Additions'!$D$7:$D$91,0),MATCH(Calculation!$G124,'Gen. Plant Additions'!$F$5:$AE$5,0))</f>
        <v>10062</v>
      </c>
      <c r="BM124" s="231">
        <f t="shared" si="233"/>
        <v>0.87476273762078161</v>
      </c>
      <c r="BN124" s="61">
        <f t="shared" si="270"/>
        <v>8801.8626659403053</v>
      </c>
      <c r="BO124" s="113">
        <f>INDEX('Dist Plant Depreciation'!$E$7:$AD$94,MATCH($C124,'Dist Plant Depreciation'!$D$7:$D$94,0),MATCH(Calculation!$G124,'Dist Plant Depreciation'!$E$5:$AD$5,0))</f>
        <v>83109</v>
      </c>
      <c r="BP124" s="113">
        <f>INDEX('Gen. Plant Depreciation'!$E$7:$AD$94,MATCH($C124,'Gen. Plant Depreciation'!$D$7:$D$94,0),MATCH(Calculation!$G124,'Gen. Plant Depreciation'!$E$5:$AD$5,0))</f>
        <v>9052</v>
      </c>
      <c r="BQ124" s="113"/>
      <c r="BR124" s="113"/>
      <c r="BS124" s="113"/>
      <c r="BT124" s="113"/>
      <c r="BU124" s="113"/>
      <c r="BV124" s="113"/>
      <c r="BW124" s="113">
        <f>INDEX('Gross Dx Plant'!$E$7:$AD$91,MATCH($C124,'Gross Dx Plant'!$D$7:$D$91,0),MATCH(Calculation!$G124,'Gross Dx Plant'!$E$5:$AD$5,0))</f>
        <v>305091</v>
      </c>
      <c r="BX124" s="113">
        <f>INDEX('Gross Gen Plant'!$E$7:$AD$91,MATCH($C124,'Gross Gen Plant'!$D$7:$D$91,0),MATCH(Calculation!$G124,'Gross Gen Plant'!$E$5:$AD$5,0))</f>
        <v>43679</v>
      </c>
      <c r="BY124" s="113">
        <f t="shared" si="182"/>
        <v>256609</v>
      </c>
      <c r="BZ124" s="113"/>
      <c r="CA124" s="116">
        <v>2019</v>
      </c>
      <c r="CB124" s="113"/>
      <c r="CC124" s="113"/>
      <c r="CD124" s="113"/>
      <c r="CE124" s="175"/>
      <c r="CF124" s="113">
        <f t="shared" si="234"/>
        <v>32101</v>
      </c>
      <c r="CG124" s="113">
        <f t="shared" si="235"/>
        <v>41.498861254383691</v>
      </c>
      <c r="CH124" s="178">
        <v>0.85106382978723405</v>
      </c>
      <c r="CI124" s="61">
        <f>CI103*CH124+CG104*CH123+CG105*CH122+CG106*CH121+CG107*CH120+CG108*CH119+CG109*CH118+CG110*CH117+CG111*CH116+CG112*CH115+CG113*CH114+CG114*CH113+CG115*CH112+CG116*CH111+CG117*CH110+CG118*CH109+CG119*CH108+CG120*CH107+CG121*CH106+CG122*CH105+CG123*CH104+CG124</f>
        <v>849.72680641251361</v>
      </c>
      <c r="CJ124" s="114">
        <f t="shared" si="236"/>
        <v>4.1188810461444125E-2</v>
      </c>
      <c r="CK124" s="114"/>
      <c r="CL124" s="169">
        <f t="shared" si="237"/>
        <v>8.8426260300113798E-3</v>
      </c>
      <c r="CM124" s="169">
        <f t="shared" si="246"/>
        <v>8.6008954275728095E-3</v>
      </c>
      <c r="CN124" s="114">
        <f>VLOOKUP($H124,RoR!$E:$F,2,FALSE)</f>
        <v>3.3875000000000009E-2</v>
      </c>
      <c r="CO124" s="169">
        <v>1.8092492884465461E-2</v>
      </c>
      <c r="CP124" s="169">
        <f t="shared" si="243"/>
        <v>1.5782507115534548E-2</v>
      </c>
      <c r="CQ124" s="169">
        <f t="shared" si="247"/>
        <v>2.2301046180960814E-2</v>
      </c>
      <c r="CR124" s="169">
        <v>4.8445665544254078E-2</v>
      </c>
      <c r="CS124" s="179">
        <f t="shared" si="238"/>
        <v>0.90666749999999996</v>
      </c>
      <c r="CT124" s="180">
        <f t="shared" si="239"/>
        <v>1.513861292459078</v>
      </c>
      <c r="CU124" s="180">
        <f t="shared" si="240"/>
        <v>0.23699261992619944</v>
      </c>
      <c r="CV124" s="180">
        <f t="shared" si="241"/>
        <v>0.73619765810468829</v>
      </c>
      <c r="CW124" s="180">
        <f t="shared" si="242"/>
        <v>0.26412854465362851</v>
      </c>
      <c r="CX124" s="181">
        <f>INDEX('State Tax Lookup'!$D$7:$Z$91,MATCH(Calculation!$C124,'State Tax Lookup'!$B$7:$B$91,0),MATCH($H124,'State Tax Lookup'!$D$6:$Z$6,0))</f>
        <v>0.25224999999999997</v>
      </c>
      <c r="CY124" s="72">
        <v>0.37</v>
      </c>
      <c r="CZ124" s="70">
        <f t="shared" si="245"/>
        <v>20.858251039398073</v>
      </c>
      <c r="DA124" s="70">
        <v>19.236104090735289</v>
      </c>
      <c r="DB124" s="69">
        <f t="shared" si="248"/>
        <v>1.5943699918353808E-2</v>
      </c>
      <c r="DC124" s="111">
        <f>VLOOKUP($H124,RoR!$E:$F,2,FALSE)</f>
        <v>3.3875000000000009E-2</v>
      </c>
      <c r="DD124" s="216">
        <f>HLOOKUP($H124,'GDP-PI'!$D$8:$CQ$11,3,FALSE)</f>
        <v>1.8092492884465461E-2</v>
      </c>
      <c r="DE124" s="111">
        <f>VLOOKUP(H124,'HW Dx Data'!$E:$F,2,FALSE)</f>
        <v>773.53929793938721</v>
      </c>
      <c r="DF124" s="72">
        <f t="shared" si="256"/>
        <v>149.67500000000001</v>
      </c>
      <c r="DG124" s="69">
        <f t="shared" si="257"/>
        <v>3.5532849899171604E-2</v>
      </c>
      <c r="DH124" s="66">
        <f>HLOOKUP(H124,'GDP-PI'!$8:$9,2,FALSE)</f>
        <v>112.318</v>
      </c>
      <c r="DI124" s="69">
        <f t="shared" si="249"/>
        <v>1.7930771451401852E-2</v>
      </c>
      <c r="DO124" s="184"/>
      <c r="DP124" s="184"/>
      <c r="DQ124" s="184"/>
      <c r="DR124" s="184"/>
      <c r="DS124" s="184"/>
      <c r="DT124" s="184"/>
      <c r="DU124" s="184"/>
      <c r="DV124" s="184"/>
      <c r="DW124" s="184"/>
      <c r="EB124"/>
    </row>
    <row r="125" spans="1:132" s="160" customFormat="1" ht="21">
      <c r="A125" s="160" t="s">
        <v>165</v>
      </c>
      <c r="B125" s="160" t="s">
        <v>165</v>
      </c>
      <c r="C125" s="160">
        <v>4058516</v>
      </c>
      <c r="D125" s="160" t="s">
        <v>166</v>
      </c>
      <c r="G125" s="161" t="s">
        <v>141</v>
      </c>
      <c r="H125" s="162">
        <v>2020</v>
      </c>
      <c r="I125" s="163"/>
      <c r="J125" s="159">
        <f>IFERROR(INDEX('Labor Expenditures'!$F$7:$X$91,MATCH($C125,'Labor Expenditures'!$D$7:$D$91,0),MATCH($G125,'Labor Expenditures'!$F$5:$X$5,0)),"NA")</f>
        <v>13876.030263034538</v>
      </c>
      <c r="K125" s="159">
        <f t="shared" si="250"/>
        <v>90.60418062706195</v>
      </c>
      <c r="L125" s="165">
        <f t="shared" si="258"/>
        <v>-1.0670274566309933E-2</v>
      </c>
      <c r="M125" s="76">
        <f t="shared" si="260"/>
        <v>-4.0895706678675898E-5</v>
      </c>
      <c r="N125" s="62">
        <f t="shared" si="266"/>
        <v>98.934944321230972</v>
      </c>
      <c r="O125" s="96">
        <f t="shared" si="261"/>
        <v>-2.9265910158907178E-2</v>
      </c>
      <c r="P125" s="96"/>
      <c r="Q125" s="159">
        <f>IFERROR(INDEX('Non-Labor Expenditures'!$F$7:$AB$91,MATCH($C125,'Non-Labor Expenditures'!$D$7:$D$91,0),MATCH($G125,'Non-Labor Expenditures'!$F$5:$AB$5,0)),"NA")</f>
        <v>20095.083505831426</v>
      </c>
      <c r="R125" s="159">
        <f t="shared" si="251"/>
        <v>176.85753329723229</v>
      </c>
      <c r="S125" s="165">
        <f t="shared" si="262"/>
        <v>7.2946516966526729E-4</v>
      </c>
      <c r="T125" s="165">
        <f t="shared" si="263"/>
        <v>2.7958037467125853E-6</v>
      </c>
      <c r="U125" s="165"/>
      <c r="V125" s="165"/>
      <c r="W125" s="159">
        <f t="shared" si="232"/>
        <v>18447.968054383422</v>
      </c>
      <c r="X125" s="163"/>
      <c r="Y125" s="167">
        <v>894.9997627286549</v>
      </c>
      <c r="Z125" s="168">
        <v>5.1908559564788515E-2</v>
      </c>
      <c r="AA125" s="76">
        <f t="shared" si="252"/>
        <v>1.9894869741934871E-4</v>
      </c>
      <c r="AB125" s="168"/>
      <c r="AC125" s="168"/>
      <c r="AD125" s="163">
        <f t="shared" si="226"/>
        <v>52419.081823249391</v>
      </c>
      <c r="AE125" s="168">
        <f t="shared" si="264"/>
        <v>3.6009488578688478E-2</v>
      </c>
      <c r="AF125" s="163"/>
      <c r="AG125" s="163"/>
      <c r="AH125" s="163"/>
      <c r="AI125" s="163"/>
      <c r="AJ125" s="116">
        <f t="shared" si="265"/>
        <v>306.33653091031459</v>
      </c>
      <c r="AK125" s="114">
        <f>+AV125/$AX$25</f>
        <v>4.5109804422862419E-3</v>
      </c>
      <c r="AL125" s="115">
        <f t="shared" si="253"/>
        <v>0.26471334064611779</v>
      </c>
      <c r="AM125" s="115">
        <f t="shared" si="254"/>
        <v>0.3833543588876574</v>
      </c>
      <c r="AN125" s="115">
        <f t="shared" si="255"/>
        <v>0.3519323004662247</v>
      </c>
      <c r="AO125" s="115">
        <f t="shared" si="259"/>
        <v>1.5288939838476137E-2</v>
      </c>
      <c r="AP125" s="166">
        <f t="shared" si="268"/>
        <v>131.52526372871912</v>
      </c>
      <c r="AQ125" s="168">
        <f t="shared" si="269"/>
        <v>1.5288939838476168E-2</v>
      </c>
      <c r="AR125" s="69">
        <f>+AD125/$AF$25</f>
        <v>3.8326761344828941E-3</v>
      </c>
      <c r="AS125" s="169">
        <f t="shared" si="267"/>
        <v>5.8597554840472362E-5</v>
      </c>
      <c r="AT125" s="115"/>
      <c r="AU125" s="115"/>
      <c r="AV125" s="113">
        <v>171116</v>
      </c>
      <c r="AW125" s="68">
        <f t="shared" si="180"/>
        <v>0</v>
      </c>
      <c r="AX125" s="114"/>
      <c r="AY125" s="114"/>
      <c r="AZ125" s="116"/>
      <c r="BA125" s="116"/>
      <c r="BB125" s="166"/>
      <c r="BC125" s="166"/>
      <c r="BD125" s="166"/>
      <c r="BE125" s="166"/>
      <c r="BF125" s="166"/>
      <c r="BG125" s="166"/>
      <c r="BH125" s="166"/>
      <c r="BI125" s="113"/>
      <c r="BJ125" s="113"/>
      <c r="BK125" s="113">
        <f>INDEX('Dist. Plant Gas Additions'!$F$7:$AE$91,MATCH($C125,'Dist. Plant Gas Additions'!$D$7:$D$91,0),MATCH(Calculation!$G125,'Dist. Plant Gas Additions'!$F$5:$AE$5,0))</f>
        <v>23450</v>
      </c>
      <c r="BL125" s="113">
        <f>INDEX('Gen. Plant Additions'!$F$7:$AE$91,MATCH($C125,'Gen. Plant Additions'!$D$7:$D$91,0),MATCH(Calculation!$G125,'Gen. Plant Additions'!$F$5:$AE$5,0))</f>
        <v>19625</v>
      </c>
      <c r="BM125" s="231">
        <f t="shared" si="233"/>
        <v>0.85054998903890544</v>
      </c>
      <c r="BN125" s="61">
        <f t="shared" si="270"/>
        <v>16692.043534888518</v>
      </c>
      <c r="BO125" s="113">
        <f>INDEX('Dist Plant Depreciation'!$E$7:$AD$94,MATCH($C125,'Dist Plant Depreciation'!$D$7:$D$94,0),MATCH(Calculation!$G125,'Dist Plant Depreciation'!$E$5:$AD$5,0))</f>
        <v>90953</v>
      </c>
      <c r="BP125" s="113">
        <f>INDEX('Gen. Plant Depreciation'!$E$7:$AD$94,MATCH($C125,'Gen. Plant Depreciation'!$D$7:$D$94,0),MATCH(Calculation!$G125,'Gen. Plant Depreciation'!$E$5:$AD$5,0))</f>
        <v>8181</v>
      </c>
      <c r="BQ125" s="113"/>
      <c r="BR125" s="113"/>
      <c r="BS125" s="113"/>
      <c r="BT125" s="113"/>
      <c r="BU125" s="113"/>
      <c r="BV125" s="113"/>
      <c r="BW125" s="113">
        <f>INDEX('Gross Dx Plant'!$E$7:$AD$91,MATCH($C125,'Gross Dx Plant'!$D$7:$D$91,0),MATCH(Calculation!$G125,'Gross Dx Plant'!$E$5:$AD$5,0))</f>
        <v>329788</v>
      </c>
      <c r="BX125" s="113">
        <f>INDEX('Gross Gen Plant'!$E$7:$AD$91,MATCH($C125,'Gross Gen Plant'!$D$7:$D$91,0),MATCH(Calculation!$G125,'Gross Gen Plant'!$E$5:$AD$5,0))</f>
        <v>57947</v>
      </c>
      <c r="BY125" s="113">
        <f t="shared" si="182"/>
        <v>288601</v>
      </c>
      <c r="BZ125" s="113"/>
      <c r="CA125" s="116">
        <v>2020</v>
      </c>
      <c r="CB125" s="113"/>
      <c r="CC125" s="113"/>
      <c r="CD125" s="113"/>
      <c r="CE125" s="175"/>
      <c r="CF125" s="113">
        <f t="shared" si="234"/>
        <v>43075</v>
      </c>
      <c r="CG125" s="113">
        <f t="shared" si="235"/>
        <v>52.977556197825606</v>
      </c>
      <c r="CH125" s="178">
        <v>0.84057971014492749</v>
      </c>
      <c r="CI125" s="61">
        <f>CI103*CH125+CG104*CH124+CG105*CH123+CG106*CH122+CG107*CH121+CG108*CH120+CG109*CH119+CG110*CH118+CG111*CH117+CG112*CH116+CG113*CH115+CG114*CH114+CG115*CH113+CG116*CH112+CG117*CH111+CG118*CH110+CG119*CH109+CG120*CH108+CG121*CH107+CG122*CH106+CG123*CH105+CG124*CH104+CG125</f>
        <v>894.9997627286549</v>
      </c>
      <c r="CJ125" s="114">
        <f t="shared" si="236"/>
        <v>5.1908559564788515E-2</v>
      </c>
      <c r="CK125" s="114"/>
      <c r="CL125" s="169">
        <f t="shared" si="237"/>
        <v>9.0671493750004092E-3</v>
      </c>
      <c r="CM125" s="169">
        <f t="shared" si="246"/>
        <v>8.8250540568064039E-3</v>
      </c>
      <c r="CN125" s="114">
        <f>VLOOKUP($H125,RoR!$E:$F,2,FALSE)</f>
        <v>2.4766666666666666E-2</v>
      </c>
      <c r="CO125" s="169">
        <v>1.1618796630994188E-2</v>
      </c>
      <c r="CP125" s="169">
        <f t="shared" si="243"/>
        <v>1.3147870035672478E-2</v>
      </c>
      <c r="CQ125" s="169">
        <f t="shared" si="247"/>
        <v>2.2076887551727223E-2</v>
      </c>
      <c r="CR125" s="169">
        <v>4.5144642961987357E-2</v>
      </c>
      <c r="CS125" s="179">
        <f t="shared" si="238"/>
        <v>0.90666749999999996</v>
      </c>
      <c r="CT125" s="180">
        <f t="shared" si="239"/>
        <v>2.0706077233668081</v>
      </c>
      <c r="CU125" s="180">
        <f t="shared" si="240"/>
        <v>-3.4421265141318998E-2</v>
      </c>
      <c r="CV125" s="180">
        <f t="shared" si="241"/>
        <v>0.62416226176410472</v>
      </c>
      <c r="CW125" s="180">
        <f t="shared" si="242"/>
        <v>-4.4485877841158712E-2</v>
      </c>
      <c r="CX125" s="181">
        <f>INDEX('State Tax Lookup'!$D$7:$Z$91,MATCH(Calculation!$C125,'State Tax Lookup'!$B$7:$B$91,0),MATCH($H125,'State Tax Lookup'!$D$6:$Z$6,0))</f>
        <v>0.25224999999999997</v>
      </c>
      <c r="CY125" s="72">
        <v>0.37</v>
      </c>
      <c r="CZ125" s="70">
        <f t="shared" si="245"/>
        <v>21.7104696652674</v>
      </c>
      <c r="DA125" s="70">
        <v>19.952659173050833</v>
      </c>
      <c r="DB125" s="69">
        <f t="shared" si="248"/>
        <v>4.0045013980008509E-2</v>
      </c>
      <c r="DC125" s="111">
        <f>VLOOKUP($H125,RoR!$E:$F,2,FALSE)</f>
        <v>2.4766666666666666E-2</v>
      </c>
      <c r="DD125" s="216">
        <f>HLOOKUP($H125,'GDP-PI'!$D$8:$CQ$11,3,FALSE)</f>
        <v>1.1618796630994188E-2</v>
      </c>
      <c r="DE125" s="111">
        <f>VLOOKUP(H125,'HW Dx Data'!$E:$F,2,FALSE)</f>
        <v>813.080162458833</v>
      </c>
      <c r="DF125" s="72">
        <f t="shared" si="256"/>
        <v>153.15</v>
      </c>
      <c r="DG125" s="69">
        <f t="shared" si="257"/>
        <v>2.2951556467368479E-2</v>
      </c>
      <c r="DH125" s="66">
        <f>HLOOKUP(H125,'GDP-PI'!$8:$9,2,FALSE)</f>
        <v>113.623</v>
      </c>
      <c r="DI125" s="69">
        <f t="shared" si="249"/>
        <v>1.1551816731392881E-2</v>
      </c>
      <c r="DO125" s="184"/>
      <c r="DP125" s="184"/>
      <c r="DQ125" s="184"/>
      <c r="DR125" s="184"/>
      <c r="DS125" s="184"/>
      <c r="DT125" s="184"/>
      <c r="DU125" s="184"/>
      <c r="DV125" s="184"/>
      <c r="DW125" s="184"/>
      <c r="EB125"/>
    </row>
    <row r="126" spans="1:132" s="160" customFormat="1" ht="21">
      <c r="A126" s="160" t="s">
        <v>165</v>
      </c>
      <c r="B126" s="160" t="s">
        <v>165</v>
      </c>
      <c r="C126" s="160">
        <v>4058516</v>
      </c>
      <c r="D126" s="160" t="s">
        <v>166</v>
      </c>
      <c r="G126" s="161" t="s">
        <v>142</v>
      </c>
      <c r="H126" s="162">
        <v>2021</v>
      </c>
      <c r="I126" s="163"/>
      <c r="J126" s="159">
        <v>14319.025296046017</v>
      </c>
      <c r="K126" s="159">
        <f t="shared" si="250"/>
        <v>91.058984394569265</v>
      </c>
      <c r="L126" s="164">
        <f t="shared" si="258"/>
        <v>5.0071209280250053E-3</v>
      </c>
      <c r="M126" s="76">
        <f t="shared" si="260"/>
        <v>1.7264927747111007E-5</v>
      </c>
      <c r="N126" s="166">
        <f>+N125*EXP(O126)</f>
        <v>103.62839694579883</v>
      </c>
      <c r="O126" s="114">
        <f t="shared" si="261"/>
        <v>4.6348887996840629E-2</v>
      </c>
      <c r="P126" s="114"/>
      <c r="Q126" s="159">
        <f>IFERROR(INDEX('Non-Labor Expenditures'!$E$7:$AB$91,MATCH($C126,'Non-Labor Expenditures'!$D$7:$D$91,0),MATCH($G126,'Non-Labor Expenditures'!$E$5:$AB$5,0)),"NA")</f>
        <v>20184.650116113062</v>
      </c>
      <c r="R126" s="159">
        <f t="shared" si="251"/>
        <v>170.34897557695217</v>
      </c>
      <c r="S126" s="165">
        <f t="shared" si="262"/>
        <v>-3.7495381392826668E-2</v>
      </c>
      <c r="T126" s="165">
        <f t="shared" si="263"/>
        <v>-1.2928688160380894E-4</v>
      </c>
      <c r="U126" s="165"/>
      <c r="V126" s="165"/>
      <c r="W126" s="159">
        <f t="shared" si="232"/>
        <v>18328.95887496768</v>
      </c>
      <c r="X126" s="163"/>
      <c r="Y126" s="167">
        <v>955.05270720709757</v>
      </c>
      <c r="Z126" s="168">
        <v>6.4943076583374684E-2</v>
      </c>
      <c r="AA126" s="76">
        <f t="shared" si="252"/>
        <v>2.2392858910426163E-4</v>
      </c>
      <c r="AB126" s="168"/>
      <c r="AC126" s="168"/>
      <c r="AD126" s="163">
        <f t="shared" si="226"/>
        <v>52832.634287126755</v>
      </c>
      <c r="AE126" s="168">
        <f t="shared" si="264"/>
        <v>7.8583914330152965E-3</v>
      </c>
      <c r="AF126" s="113"/>
      <c r="AG126" s="114"/>
      <c r="AH126" s="114"/>
      <c r="AI126" s="114"/>
      <c r="AJ126" s="116">
        <f t="shared" si="265"/>
        <v>295.40357668830552</v>
      </c>
      <c r="AK126" s="114">
        <f>+AV126/$AX$26</f>
        <v>4.6326406073806886E-3</v>
      </c>
      <c r="AL126" s="115">
        <f t="shared" si="253"/>
        <v>0.27102614679834358</v>
      </c>
      <c r="AM126" s="115">
        <f t="shared" si="254"/>
        <v>0.3820489057277856</v>
      </c>
      <c r="AN126" s="115">
        <f t="shared" si="255"/>
        <v>0.34692494747387093</v>
      </c>
      <c r="AO126" s="115">
        <f t="shared" si="259"/>
        <v>9.6846824236509928E-3</v>
      </c>
      <c r="AP126" s="166">
        <f t="shared" si="268"/>
        <v>132.80523217825947</v>
      </c>
      <c r="AQ126" s="168">
        <f t="shared" si="269"/>
        <v>9.6846824236508852E-3</v>
      </c>
      <c r="AR126" s="69">
        <f>+AD126/$AF$26</f>
        <v>3.4480748508546478E-3</v>
      </c>
      <c r="AS126" s="169">
        <f t="shared" si="267"/>
        <v>3.3393509903504657E-5</v>
      </c>
      <c r="AT126" s="115"/>
      <c r="AU126" s="115"/>
      <c r="AV126" s="113">
        <f>INDEX('Total Customers'!$E$7:$E$91,MATCH(Calculation!$C126,'Total Customers'!$D$7:$D$91,0))</f>
        <v>178849</v>
      </c>
      <c r="AW126" s="68">
        <f t="shared" si="180"/>
        <v>4.4200185319917158E-2</v>
      </c>
      <c r="AX126" s="113"/>
      <c r="AY126" s="113"/>
      <c r="AZ126" s="116"/>
      <c r="BA126" s="116"/>
      <c r="BB126" s="166"/>
      <c r="BC126" s="166"/>
      <c r="BD126" s="166"/>
      <c r="BE126" s="166"/>
      <c r="BF126" s="166"/>
      <c r="BG126" s="166"/>
      <c r="BH126" s="166"/>
      <c r="BI126" s="113"/>
      <c r="BJ126" s="113"/>
      <c r="BK126" s="113">
        <f>INDEX('Dist. Plant Gas Additions'!$E$7:$AE$91,MATCH($C126,'Dist. Plant Gas Additions'!$D$7:$D$91,0),MATCH(Calculation!$G126,'Dist. Plant Gas Additions'!$E$5:$AE$5,0))</f>
        <v>58721</v>
      </c>
      <c r="BL126" s="113">
        <f>INDEX('Gen. Plant Additions'!$E$7:$AE$91,MATCH($C126,'Gen. Plant Additions'!$D$7:$D$91,0),MATCH(Calculation!$G126,'Gen. Plant Additions'!$E$5:$AE$5,0))</f>
        <v>14220</v>
      </c>
      <c r="BM126" s="232">
        <v>0.85054998903890544</v>
      </c>
      <c r="BN126" s="61">
        <f t="shared" si="270"/>
        <v>12094.820844133235</v>
      </c>
      <c r="BO126" s="113"/>
      <c r="BP126" s="113"/>
      <c r="BQ126" s="175"/>
      <c r="BR126" s="175"/>
      <c r="BS126" s="170"/>
      <c r="BT126" s="176"/>
      <c r="BU126" s="177"/>
      <c r="BV126" s="177"/>
      <c r="BW126" s="113"/>
      <c r="BX126" s="113"/>
      <c r="BY126" s="113"/>
      <c r="BZ126" s="113"/>
      <c r="CA126" s="116">
        <v>2021</v>
      </c>
      <c r="CB126" s="113"/>
      <c r="CC126" s="113"/>
      <c r="CD126" s="113"/>
      <c r="CE126" s="175"/>
      <c r="CF126" s="113">
        <f t="shared" si="234"/>
        <v>72941</v>
      </c>
      <c r="CG126" s="113">
        <f t="shared" si="235"/>
        <v>78.177107262945896</v>
      </c>
      <c r="CH126" s="178">
        <f>+(51-23)/(51-23*0.75)</f>
        <v>0.82962962962962961</v>
      </c>
      <c r="CI126" s="113">
        <f>CI103*CH126+CG104*CH125+CG105*CH124+CG106*CH123+CG107*CH122+CG108*CH121+CG109*CH120+CG110*CH119+CG111*CH118+CG112*CH117+CG113*CH116+CG114*CH115+CG115*CH114+CG116*CH113+CG117*CH112+CG108*CH111+CG119*CH110+CG120*CH109+CG121*CH108+CG122*CH107+CG123*CH106+CG124*CH105+CG126+CG125*CH104</f>
        <v>955.05270720709757</v>
      </c>
      <c r="CJ126" s="114">
        <f t="shared" si="236"/>
        <v>6.4943076583374684E-2</v>
      </c>
      <c r="CK126" s="113"/>
      <c r="CL126" s="169">
        <f t="shared" si="237"/>
        <v>2.025046658028902E-2</v>
      </c>
      <c r="CM126" s="169">
        <f t="shared" si="246"/>
        <v>1.2720080661766936E-2</v>
      </c>
      <c r="CN126" s="114">
        <f>VLOOKUP($H126,RoR!$E:$F,2,FALSE)</f>
        <v>2.7033333333333336E-2</v>
      </c>
      <c r="CO126" s="169"/>
      <c r="CP126" s="169"/>
      <c r="CQ126" s="169">
        <f t="shared" si="247"/>
        <v>1.8181860946766687E-2</v>
      </c>
      <c r="CR126" s="169">
        <v>7.433422950153494E-2</v>
      </c>
      <c r="CS126" s="179">
        <f t="shared" si="238"/>
        <v>0.90666749999999996</v>
      </c>
      <c r="CT126" s="180">
        <f t="shared" si="239"/>
        <v>1.8969932656739068</v>
      </c>
      <c r="CU126" s="180">
        <f t="shared" si="240"/>
        <v>5.0215782983970621E-2</v>
      </c>
      <c r="CV126" s="180">
        <f t="shared" si="241"/>
        <v>0.655952481704143</v>
      </c>
      <c r="CW126" s="180">
        <f t="shared" si="242"/>
        <v>6.2485378865697057E-2</v>
      </c>
      <c r="CX126" s="181">
        <f>CX125</f>
        <v>0.25224999999999997</v>
      </c>
      <c r="CY126" s="72">
        <v>0.37</v>
      </c>
      <c r="CZ126" s="182">
        <f t="shared" si="245"/>
        <v>20.47928908839793</v>
      </c>
      <c r="DA126" s="182"/>
      <c r="DB126" s="169">
        <f t="shared" si="248"/>
        <v>-5.8380530159265379E-2</v>
      </c>
      <c r="DC126" s="181">
        <f>VLOOKUP($H126,RoR!$E:$F,2,FALSE)</f>
        <v>2.7033333333333336E-2</v>
      </c>
      <c r="DD126" s="183">
        <f>HLOOKUP($H126,'GDP-PI'!$D$8:$CR$11,3,FALSE)</f>
        <v>4.2834637353352578E-2</v>
      </c>
      <c r="DE126" s="181">
        <f>VLOOKUP(H126,'HW Dx Data'!$E:$F,2,FALSE)</f>
        <v>933.02249921662576</v>
      </c>
      <c r="DF126" s="72">
        <f t="shared" si="256"/>
        <v>157.25</v>
      </c>
      <c r="DG126" s="169">
        <f t="shared" si="257"/>
        <v>2.6419062301765574E-2</v>
      </c>
      <c r="DH126" s="175">
        <f>HLOOKUP(H126,'GDP-PI'!$8:$9,2,FALSE)</f>
        <v>118.49</v>
      </c>
      <c r="DI126" s="169">
        <f t="shared" si="249"/>
        <v>4.194261824609434E-2</v>
      </c>
      <c r="DO126" s="184"/>
      <c r="DP126" s="184"/>
      <c r="DQ126" s="184"/>
      <c r="DR126" s="184"/>
      <c r="DS126" s="184"/>
      <c r="DT126" s="184"/>
      <c r="DU126" s="184"/>
      <c r="DV126" s="184"/>
      <c r="DW126" s="184"/>
      <c r="EB126"/>
    </row>
    <row r="127" spans="1:132" s="160" customFormat="1" ht="21">
      <c r="G127" s="161" t="s">
        <v>144</v>
      </c>
      <c r="H127" s="162"/>
      <c r="I127" s="163"/>
      <c r="J127" s="159">
        <v>16214</v>
      </c>
      <c r="K127" s="159">
        <f t="shared" si="250"/>
        <v>99.747769916948627</v>
      </c>
      <c r="L127" s="164">
        <f t="shared" ref="L127" si="271">LN(K127/K126)</f>
        <v>9.1137222098815376E-2</v>
      </c>
      <c r="M127" s="76">
        <f t="shared" si="260"/>
        <v>3.6198450843884911E-4</v>
      </c>
      <c r="N127" s="166">
        <f>+N126*EXP(O127)</f>
        <v>103.7713678661103</v>
      </c>
      <c r="O127" s="114">
        <f t="shared" si="261"/>
        <v>1.3786991811475656E-3</v>
      </c>
      <c r="P127" s="114"/>
      <c r="Q127" s="163">
        <v>22856</v>
      </c>
      <c r="R127" s="159">
        <f t="shared" si="251"/>
        <v>179.61493123772101</v>
      </c>
      <c r="S127" s="165">
        <f t="shared" ref="S127" si="272">LN(R127/R126)</f>
        <v>5.2966158027994391E-2</v>
      </c>
      <c r="T127" s="165">
        <f t="shared" si="263"/>
        <v>2.1037429313864467E-4</v>
      </c>
      <c r="U127" s="166"/>
      <c r="V127" s="114"/>
      <c r="W127" s="159">
        <f t="shared" si="232"/>
        <v>25453.677797526037</v>
      </c>
      <c r="X127" s="165">
        <f>LN(W127/W126)</f>
        <v>0.3283779819908772</v>
      </c>
      <c r="Y127" s="167">
        <v>1034.0662934664135</v>
      </c>
      <c r="Z127" s="168">
        <v>7.9487636866519856E-2</v>
      </c>
      <c r="AA127" s="76">
        <f t="shared" si="252"/>
        <v>3.1571395852833365E-4</v>
      </c>
      <c r="AB127" s="166"/>
      <c r="AC127" s="114"/>
      <c r="AD127" s="163">
        <f t="shared" si="226"/>
        <v>64523.677797526034</v>
      </c>
      <c r="AE127" s="168">
        <f t="shared" si="264"/>
        <v>0.19990318067072887</v>
      </c>
      <c r="AF127" s="113"/>
      <c r="AG127" s="114"/>
      <c r="AH127" s="114"/>
      <c r="AI127" s="114"/>
      <c r="AJ127" s="116">
        <f t="shared" si="265"/>
        <v>358.20816080434594</v>
      </c>
      <c r="AK127" s="114"/>
      <c r="AL127" s="115">
        <f t="shared" si="253"/>
        <v>0.25128759787808741</v>
      </c>
      <c r="AM127" s="115">
        <f t="shared" si="254"/>
        <v>0.35422655341689691</v>
      </c>
      <c r="AN127" s="115">
        <f t="shared" si="255"/>
        <v>0.39448584870501574</v>
      </c>
      <c r="AO127" s="115"/>
      <c r="AP127" s="166"/>
      <c r="AQ127" s="168"/>
      <c r="AR127" s="69">
        <f>+AD127/$AF$27</f>
        <v>3.9718624301097087E-3</v>
      </c>
      <c r="AS127" s="169"/>
      <c r="AT127" s="166"/>
      <c r="AU127" s="168"/>
      <c r="AV127" s="113">
        <v>180129</v>
      </c>
      <c r="AW127" s="68">
        <f t="shared" si="180"/>
        <v>7.1313864621630266E-3</v>
      </c>
      <c r="AX127" s="113"/>
      <c r="AY127" s="113"/>
      <c r="AZ127" s="113"/>
      <c r="BA127" s="113"/>
      <c r="BB127" s="171"/>
      <c r="BC127" s="172"/>
      <c r="BD127" s="173"/>
      <c r="BE127" s="115"/>
      <c r="BF127" s="174"/>
      <c r="BG127" s="174"/>
      <c r="BH127" s="166"/>
      <c r="BI127" s="113"/>
      <c r="BJ127" s="113"/>
      <c r="BK127" s="113"/>
      <c r="BL127" s="113"/>
      <c r="BM127" s="232">
        <v>0.85054998903890544</v>
      </c>
      <c r="BN127" s="61">
        <f t="shared" si="270"/>
        <v>0</v>
      </c>
      <c r="BO127" s="113"/>
      <c r="BP127" s="113"/>
      <c r="BQ127" s="175"/>
      <c r="BR127" s="175"/>
      <c r="BS127" s="170"/>
      <c r="BT127" s="176"/>
      <c r="BU127" s="177"/>
      <c r="BV127" s="177"/>
      <c r="BW127" s="113"/>
      <c r="BX127" s="113"/>
      <c r="BY127" s="113"/>
      <c r="BZ127" s="113"/>
      <c r="CA127" s="116">
        <v>2022</v>
      </c>
      <c r="CB127" s="113"/>
      <c r="CC127" s="113"/>
      <c r="CD127" s="113"/>
      <c r="CE127" s="175"/>
      <c r="CF127" s="238">
        <v>60589</v>
      </c>
      <c r="CG127" s="113">
        <v>78.177107262945896</v>
      </c>
      <c r="CH127" s="178">
        <f>+(51-24)/(51-24*0.75)</f>
        <v>0.81818181818181823</v>
      </c>
      <c r="CI127" s="113">
        <f>+CI103*CH127+CG104*CH126+CG105*CH125+CG106*CH124+CG107*CH123+CG108*CH122+CG109*CH121+CG110*CH120+CG111*CH119+CG112*CH118+CG113*CH117+CG114*CH116+CG115*CH115+CG116*CH114+CG117*CH113+CG118*CH112+CG119*CH111+CG120*CH110+CG121*CH109+CG122*CH108+CG123*CH107+CG124*CH106+CG125*CH105+CG126*CH104+CG127*CH103</f>
        <v>1034.0662934664135</v>
      </c>
      <c r="CJ127" s="114">
        <f t="shared" ref="CJ127" si="273">LN(CI127/CI126)</f>
        <v>7.9487636866519856E-2</v>
      </c>
      <c r="CK127" s="113"/>
      <c r="CL127" s="169">
        <f>+(CI126-CI127+CG127)/CI126</f>
        <v>-8.7584589840723423E-4</v>
      </c>
      <c r="CM127" s="169">
        <f t="shared" si="246"/>
        <v>9.4805900189607311E-3</v>
      </c>
      <c r="CN127" s="114"/>
      <c r="CO127" s="169"/>
      <c r="CP127" s="169"/>
      <c r="CQ127" s="69">
        <f t="shared" si="247"/>
        <v>2.1421351589572896E-2</v>
      </c>
      <c r="CR127" s="169">
        <v>0.10114668178709289</v>
      </c>
      <c r="CS127" s="179">
        <f t="shared" si="238"/>
        <v>0.90666749999999996</v>
      </c>
      <c r="CT127" s="180"/>
      <c r="CU127" s="180"/>
      <c r="CV127" s="180"/>
      <c r="CW127" s="180"/>
      <c r="CX127" s="181">
        <f>CX126</f>
        <v>0.25224999999999997</v>
      </c>
      <c r="CY127" s="72">
        <v>0.37</v>
      </c>
      <c r="CZ127" s="182">
        <f t="shared" si="245"/>
        <v>26.651594833924236</v>
      </c>
      <c r="DA127" s="182"/>
      <c r="DB127" s="169">
        <f t="shared" si="248"/>
        <v>0.26343490540750253</v>
      </c>
      <c r="DC127" s="181">
        <v>0.04</v>
      </c>
      <c r="DD127" s="183">
        <v>7.0000000000000001E-3</v>
      </c>
      <c r="DE127" s="181">
        <v>1030.81</v>
      </c>
      <c r="DF127" s="72">
        <f t="shared" si="256"/>
        <v>162.55000000000001</v>
      </c>
      <c r="DG127" s="169">
        <f t="shared" si="257"/>
        <v>3.3148751169364422E-2</v>
      </c>
      <c r="DH127" s="175">
        <v>127.25</v>
      </c>
      <c r="DI127" s="169">
        <f t="shared" si="249"/>
        <v>7.1325086601983473E-2</v>
      </c>
      <c r="DO127" s="184"/>
      <c r="DP127" s="184"/>
      <c r="DQ127" s="184"/>
      <c r="DR127" s="184"/>
      <c r="DS127" s="184"/>
      <c r="DT127" s="184"/>
      <c r="DU127" s="184"/>
      <c r="DV127" s="184"/>
      <c r="DW127" s="184"/>
      <c r="EB127"/>
    </row>
    <row r="128" spans="1:132" s="160" customFormat="1" ht="21">
      <c r="A128" s="160" t="s">
        <v>167</v>
      </c>
      <c r="B128" s="161" t="s">
        <v>167</v>
      </c>
      <c r="C128" s="161">
        <v>4058793</v>
      </c>
      <c r="D128" s="161" t="s">
        <v>168</v>
      </c>
      <c r="E128" s="161"/>
      <c r="F128" s="161"/>
      <c r="G128" s="161" t="s">
        <v>100</v>
      </c>
      <c r="H128" s="162">
        <v>1998</v>
      </c>
      <c r="I128" s="163"/>
      <c r="J128" s="159"/>
      <c r="K128" s="159"/>
      <c r="L128" s="159"/>
      <c r="M128" s="60"/>
      <c r="N128" s="131"/>
      <c r="O128" s="76"/>
      <c r="P128" s="76"/>
      <c r="Q128" s="165"/>
      <c r="R128" s="165"/>
      <c r="S128" s="165"/>
      <c r="T128" s="159"/>
      <c r="U128" s="165"/>
      <c r="V128" s="165"/>
      <c r="W128" s="159"/>
      <c r="X128" s="163"/>
      <c r="Y128" s="167">
        <v>15.486856498899712</v>
      </c>
      <c r="Z128" s="168"/>
      <c r="AA128" s="78"/>
      <c r="AB128" s="168"/>
      <c r="AC128" s="168"/>
      <c r="AD128" s="163">
        <f t="shared" si="226"/>
        <v>0</v>
      </c>
      <c r="AE128" s="163"/>
      <c r="AF128" s="163"/>
      <c r="AG128" s="114"/>
      <c r="AH128" s="114"/>
      <c r="AI128" s="114"/>
      <c r="AJ128" s="166">
        <f>+(AJ125+AJ126+AJ127)/3</f>
        <v>319.98275613432202</v>
      </c>
      <c r="AK128" s="168"/>
      <c r="AL128" s="115"/>
      <c r="AM128" s="115"/>
      <c r="AN128" s="115"/>
      <c r="AO128" s="115"/>
      <c r="AP128" s="115"/>
      <c r="AQ128" s="168">
        <f>AVERAGE(AQ137:AQ151)</f>
        <v>-6.0626322706513304E-3</v>
      </c>
      <c r="AR128" s="79"/>
      <c r="AS128" s="115"/>
      <c r="AT128" s="115"/>
      <c r="AU128" s="115"/>
      <c r="AV128" s="113">
        <f>IFERROR(INDEX('Total Customers'!$F$7:$AB$91,MATCH($C128,'Total Customers'!$D$7:$D$91,0),MATCH($G128,'Total Customers'!$F$5:$AB$5,0)),"NA")</f>
        <v>4192</v>
      </c>
      <c r="AW128" s="68"/>
      <c r="AX128" s="114"/>
      <c r="AY128" s="114"/>
      <c r="AZ128" s="116"/>
      <c r="BA128" s="116"/>
      <c r="BB128" s="166"/>
      <c r="BC128" s="166"/>
      <c r="BD128" s="166"/>
      <c r="BE128" s="166"/>
      <c r="BF128" s="166"/>
      <c r="BG128" s="166"/>
      <c r="BH128" s="166"/>
      <c r="BI128" s="113">
        <f>INDEX('Gross Dx Plant'!$E$7:$AD$91,MATCH($C128,'Gross Dx Plant'!$D$7:$D$91,0),MATCH(Calculation!$G128,'Gross Dx Plant'!$E$5:$AD$5,0))</f>
        <v>3722</v>
      </c>
      <c r="BJ128" s="113">
        <f>INDEX('Gross Gen Plant'!$E$7:$AD$91,MATCH($C128,'Gross Gen Plant'!$D$7:$D$91,0),MATCH(Calculation!$G128,'Gross Gen Plant'!$E$5:$AD$5,0))</f>
        <v>803</v>
      </c>
      <c r="BK128" s="113">
        <f>INDEX('Dist. Plant Gas Additions'!$F$7:$AE$91,MATCH($C128,'Dist. Plant Gas Additions'!$D$7:$D$91,0),MATCH(Calculation!$G128,'Dist. Plant Gas Additions'!$F$5:$AE$5,0))</f>
        <v>440</v>
      </c>
      <c r="BL128" s="113">
        <f>INDEX('Gen. Plant Additions'!$F$7:$AE$91,MATCH($C128,'Gen. Plant Additions'!$D$7:$D$91,0),MATCH(Calculation!$G128,'Gen. Plant Additions'!$F$5:$AE$5,0))</f>
        <v>83</v>
      </c>
      <c r="BM128" s="231">
        <f>+(BW128/(BW128+BX128))</f>
        <v>0.82254143646408839</v>
      </c>
      <c r="BN128" s="61">
        <f t="shared" si="270"/>
        <v>68.270939226519332</v>
      </c>
      <c r="BO128" s="113">
        <f>INDEX('Dist Plant Depreciation'!$E$7:$AD$94,MATCH($C128,'Dist Plant Depreciation'!$D$7:$D$94,0),MATCH(Calculation!$G128,'Dist Plant Depreciation'!$E$5:$AD$5,0))</f>
        <v>1227</v>
      </c>
      <c r="BP128" s="113">
        <f>INDEX('Gen. Plant Depreciation'!$E$7:$AD$94,MATCH($C128,'Gen. Plant Depreciation'!$D$7:$D$94,0),MATCH(Calculation!$G128,'Gen. Plant Depreciation'!$E$5:$AD$5,0))</f>
        <v>174</v>
      </c>
      <c r="BQ128" s="113"/>
      <c r="BR128" s="113"/>
      <c r="BS128" s="113"/>
      <c r="BT128" s="113"/>
      <c r="BU128" s="113"/>
      <c r="BV128" s="113"/>
      <c r="BW128" s="113">
        <f>INDEX('Gross Dx Plant'!$E$7:$AD$91,MATCH($C128,'Gross Dx Plant'!$D$7:$D$91,0),MATCH(Calculation!$G128,'Gross Dx Plant'!$E$5:$AD$5,0))</f>
        <v>3722</v>
      </c>
      <c r="BX128" s="113">
        <f>INDEX('Gross Gen Plant'!$E$7:$AD$91,MATCH($C128,'Gross Gen Plant'!$D$7:$D$91,0),MATCH(Calculation!$G128,'Gross Gen Plant'!$E$5:$AD$5,0))</f>
        <v>803</v>
      </c>
      <c r="BY128" s="113">
        <f t="shared" si="182"/>
        <v>3124</v>
      </c>
      <c r="BZ128" s="113"/>
      <c r="CA128" s="116">
        <v>1998</v>
      </c>
      <c r="CB128" s="113">
        <f>BI128+BJ128</f>
        <v>4525</v>
      </c>
      <c r="CC128" s="113">
        <f>1227+174</f>
        <v>1401</v>
      </c>
      <c r="CD128" s="113">
        <f>+CB128-CC128</f>
        <v>3124</v>
      </c>
      <c r="CE128" s="113">
        <f>CD128/$BV$3</f>
        <v>15.486856498899712</v>
      </c>
      <c r="CF128" s="175"/>
      <c r="CG128" s="175"/>
      <c r="CH128" s="178">
        <v>1</v>
      </c>
      <c r="CI128" s="113">
        <f>+CE128</f>
        <v>15.486856498899712</v>
      </c>
      <c r="CJ128" s="114"/>
      <c r="CK128" s="114"/>
      <c r="CL128" s="169"/>
      <c r="CM128" s="169"/>
      <c r="CN128" s="114" t="e">
        <f>VLOOKUP($H128,RoR!$E:$F,2,FALSE)</f>
        <v>#N/A</v>
      </c>
      <c r="CO128" s="169">
        <v>1.1028127770464469E-2</v>
      </c>
      <c r="CP128" s="169"/>
      <c r="CQ128" s="169"/>
      <c r="CR128" s="169"/>
      <c r="CS128" s="179"/>
      <c r="CT128" s="182" t="e">
        <f>2/(DC128*39)</f>
        <v>#N/A</v>
      </c>
      <c r="CU128" s="180" t="e">
        <f>+(DC128*40-(1+DC128))/(DC128*40)</f>
        <v>#N/A</v>
      </c>
      <c r="CV128" s="180" t="e">
        <f>+(1-(1/(1+DC128)^40))</f>
        <v>#N/A</v>
      </c>
      <c r="CW128" s="180" t="e">
        <f>+CV128*CU128*CT128</f>
        <v>#N/A</v>
      </c>
      <c r="CX128" s="181">
        <f>INDEX('State Tax Lookup'!$D$7:$Z$91,MATCH(Calculation!$C128,'State Tax Lookup'!$B$7:$B$91,0),MATCH($H128,'State Tax Lookup'!$D$6:$Z$6,0))</f>
        <v>0.40200000000000002</v>
      </c>
      <c r="CY128" s="72">
        <v>0.37</v>
      </c>
      <c r="CZ128" s="66"/>
      <c r="DA128" s="66"/>
      <c r="DB128" s="69"/>
      <c r="DC128" s="111" t="e">
        <f>VLOOKUP($H128,RoR!$E:$F,2,FALSE)</f>
        <v>#N/A</v>
      </c>
      <c r="DD128" s="216">
        <f>HLOOKUP($H128,'GDP-PI'!$D$8:$CQ$11,3,FALSE)</f>
        <v>1.1028127770464469E-2</v>
      </c>
      <c r="DE128" s="111">
        <f>VLOOKUP(H128,'HW Dx Data'!$E:$F,2,FALSE)</f>
        <v>329.24564746449528</v>
      </c>
      <c r="DF128" s="66"/>
      <c r="DG128" s="69"/>
      <c r="DH128" s="66">
        <f>HLOOKUP(H128,'GDP-PI'!$8:$9,2,FALSE)</f>
        <v>75.266999999999996</v>
      </c>
      <c r="DI128"/>
      <c r="DO128" s="184"/>
      <c r="DP128" s="184"/>
      <c r="DQ128" s="184"/>
      <c r="DR128" s="184"/>
      <c r="DS128" s="184"/>
      <c r="DT128" s="184"/>
      <c r="DU128" s="184"/>
      <c r="DV128" s="184"/>
      <c r="DW128" s="184"/>
      <c r="EB128"/>
    </row>
    <row r="129" spans="1:132" s="160" customFormat="1" ht="21">
      <c r="A129" s="160" t="s">
        <v>167</v>
      </c>
      <c r="B129" s="161" t="s">
        <v>167</v>
      </c>
      <c r="C129" s="161">
        <v>4058793</v>
      </c>
      <c r="D129" s="161" t="s">
        <v>168</v>
      </c>
      <c r="E129" s="161"/>
      <c r="F129" s="161"/>
      <c r="G129" s="161" t="s">
        <v>106</v>
      </c>
      <c r="H129" s="162">
        <v>1999</v>
      </c>
      <c r="I129" s="163"/>
      <c r="J129" s="159"/>
      <c r="K129" s="159"/>
      <c r="L129" s="159"/>
      <c r="M129" s="60"/>
      <c r="N129" s="152"/>
      <c r="O129" s="60"/>
      <c r="P129" s="59"/>
      <c r="Q129" s="169"/>
      <c r="R129" s="169"/>
      <c r="S129" s="169"/>
      <c r="T129" s="187"/>
      <c r="U129" s="169"/>
      <c r="V129" s="169"/>
      <c r="W129" s="159">
        <f t="shared" ref="W129:W152" si="274">+CI128*CZ129</f>
        <v>0</v>
      </c>
      <c r="X129" s="163"/>
      <c r="Y129" s="167">
        <v>17.10965094032149</v>
      </c>
      <c r="Z129" s="168">
        <v>9.965099039546424E-2</v>
      </c>
      <c r="AA129" s="78"/>
      <c r="AB129" s="168"/>
      <c r="AC129" s="168"/>
      <c r="AD129" s="163">
        <f t="shared" si="226"/>
        <v>0</v>
      </c>
      <c r="AE129" s="168"/>
      <c r="AF129" s="163"/>
      <c r="AG129" s="114"/>
      <c r="AH129" s="114"/>
      <c r="AI129" s="114"/>
      <c r="AJ129" s="167"/>
      <c r="AK129" s="168"/>
      <c r="AL129" s="115"/>
      <c r="AM129" s="115"/>
      <c r="AN129" s="115"/>
      <c r="AO129" s="115"/>
      <c r="AP129" s="115"/>
      <c r="AQ129" s="168"/>
      <c r="AR129" s="79"/>
      <c r="AS129" s="115"/>
      <c r="AT129" s="115"/>
      <c r="AU129" s="115"/>
      <c r="AV129" s="113">
        <f>IFERROR(INDEX('Total Customers'!$F$7:$AB$91,MATCH($C129,'Total Customers'!$D$7:$D$91,0),MATCH($G129,'Total Customers'!$F$5:$AB$5,0)),"NA")</f>
        <v>4194</v>
      </c>
      <c r="AW129" s="68">
        <f t="shared" si="180"/>
        <v>4.7698546098713239E-4</v>
      </c>
      <c r="AX129" s="114"/>
      <c r="AY129" s="114"/>
      <c r="AZ129" s="116"/>
      <c r="BA129" s="116"/>
      <c r="BB129" s="166"/>
      <c r="BC129" s="166"/>
      <c r="BD129" s="166"/>
      <c r="BE129" s="166"/>
      <c r="BF129" s="166"/>
      <c r="BG129" s="166"/>
      <c r="BH129" s="166"/>
      <c r="BI129" s="113"/>
      <c r="BJ129" s="113"/>
      <c r="BK129" s="113">
        <f>INDEX('Dist. Plant Gas Additions'!$F$7:$AE$91,MATCH($C129,'Dist. Plant Gas Additions'!$D$7:$D$91,0),MATCH(Calculation!$G129,'Dist. Plant Gas Additions'!$F$5:$AE$5,0))</f>
        <v>483</v>
      </c>
      <c r="BL129" s="113">
        <f>INDEX('Gen. Plant Additions'!$F$7:$AE$91,MATCH($C129,'Gen. Plant Additions'!$D$7:$D$91,0),MATCH(Calculation!$G129,'Gen. Plant Additions'!$F$5:$AE$5,0))</f>
        <v>87</v>
      </c>
      <c r="BM129" s="231">
        <f t="shared" ref="BM129:BM150" si="275">+(BW129/(BW129+BX129))</f>
        <v>0.83487903225806448</v>
      </c>
      <c r="BN129" s="61">
        <f t="shared" si="270"/>
        <v>72.634475806451604</v>
      </c>
      <c r="BO129" s="113">
        <f>INDEX('Dist Plant Depreciation'!$E$7:$AD$94,MATCH($C129,'Dist Plant Depreciation'!$D$7:$D$94,0),MATCH(Calculation!$G129,'Dist Plant Depreciation'!$E$5:$AD$5,0))</f>
        <v>1315</v>
      </c>
      <c r="BP129" s="113">
        <f>INDEX('Gen. Plant Depreciation'!$E$7:$AD$94,MATCH($C129,'Gen. Plant Depreciation'!$D$7:$D$94,0),MATCH(Calculation!$G129,'Gen. Plant Depreciation'!$E$5:$AD$5,0))</f>
        <v>191</v>
      </c>
      <c r="BQ129" s="113"/>
      <c r="BR129" s="113"/>
      <c r="BS129" s="113"/>
      <c r="BT129" s="113"/>
      <c r="BU129" s="113"/>
      <c r="BV129" s="113"/>
      <c r="BW129" s="113">
        <f>INDEX('Gross Dx Plant'!$E$7:$AD$91,MATCH($C129,'Gross Dx Plant'!$D$7:$D$91,0),MATCH(Calculation!$G129,'Gross Dx Plant'!$E$5:$AD$5,0))</f>
        <v>4141</v>
      </c>
      <c r="BX129" s="113">
        <f>INDEX('Gross Gen Plant'!$E$7:$AD$91,MATCH($C129,'Gross Gen Plant'!$D$7:$D$91,0),MATCH(Calculation!$G129,'Gross Gen Plant'!$E$5:$AD$5,0))</f>
        <v>819</v>
      </c>
      <c r="BY129" s="113">
        <f t="shared" si="182"/>
        <v>3454</v>
      </c>
      <c r="BZ129" s="113"/>
      <c r="CA129" s="116">
        <v>1999</v>
      </c>
      <c r="CB129" s="113"/>
      <c r="CC129" s="113"/>
      <c r="CD129" s="113"/>
      <c r="CE129" s="175"/>
      <c r="CF129" s="113">
        <f t="shared" ref="CF129:CF151" si="276">+BL129+BK129</f>
        <v>570</v>
      </c>
      <c r="CG129" s="113">
        <f t="shared" ref="CG129:CG151" si="277">+CF129/$DE129</f>
        <v>1.6998434787297378</v>
      </c>
      <c r="CH129" s="178">
        <v>0.99502487562189057</v>
      </c>
      <c r="CI129" s="61">
        <f>+CI128*CH129+CG129</f>
        <v>17.10965094032149</v>
      </c>
      <c r="CJ129" s="114">
        <f t="shared" ref="CJ129:CJ150" si="278">LN(CI129/CI128)</f>
        <v>9.965099039546424E-2</v>
      </c>
      <c r="CK129" s="114"/>
      <c r="CL129" s="169">
        <f t="shared" ref="CL129:CL151" si="279">+(CI128-CI129+CG129)/CI128</f>
        <v>4.9751243781095168E-3</v>
      </c>
      <c r="CM129" s="169"/>
      <c r="CN129" s="114">
        <f>VLOOKUP($H129,RoR!$E:$F,2,FALSE)</f>
        <v>7.0416666666666669E-2</v>
      </c>
      <c r="CO129" s="169">
        <v>1.4335631817396832E-2</v>
      </c>
      <c r="CP129" s="169">
        <f>+CN129-CO129</f>
        <v>5.6081034849269837E-2</v>
      </c>
      <c r="CQ129" s="169"/>
      <c r="CR129" s="169"/>
      <c r="CS129" s="179">
        <f t="shared" ref="CS129:CS152" si="280">1-CX129*CY129</f>
        <v>0.85126000000000002</v>
      </c>
      <c r="CT129" s="180">
        <f t="shared" ref="CT129:CT151" si="281">2/(DC129*39)</f>
        <v>0.72826581702321336</v>
      </c>
      <c r="CU129" s="180">
        <f t="shared" ref="CU129:CU151" si="282">+(DC129*40-(1+DC129))/(DC129*40)</f>
        <v>0.61997041420118348</v>
      </c>
      <c r="CV129" s="180">
        <f t="shared" ref="CV129:CV151" si="283">+(1-(1/(1+DC129)^40))</f>
        <v>0.93425155319585029</v>
      </c>
      <c r="CW129" s="180">
        <f t="shared" ref="CW129:CW151" si="284">+CV129*CU129*CT129</f>
        <v>0.42181762214141483</v>
      </c>
      <c r="CX129" s="181">
        <f>INDEX('State Tax Lookup'!$D$7:$Z$91,MATCH(Calculation!$C129,'State Tax Lookup'!$B$7:$B$91,0),MATCH($H129,'State Tax Lookup'!$D$6:$Z$6,0))</f>
        <v>0.40200000000000002</v>
      </c>
      <c r="CY129" s="72">
        <v>0.37</v>
      </c>
      <c r="CZ129" s="70"/>
      <c r="DA129" s="70"/>
      <c r="DB129" s="69"/>
      <c r="DC129" s="111">
        <f>VLOOKUP($H129,RoR!$E:$F,2,FALSE)</f>
        <v>7.0416666666666669E-2</v>
      </c>
      <c r="DD129" s="216">
        <f>HLOOKUP($H129,'GDP-PI'!$D$8:$CQ$11,3,FALSE)</f>
        <v>1.4335631817396832E-2</v>
      </c>
      <c r="DE129" s="111">
        <f>VLOOKUP(H129,'HW Dx Data'!$E:$F,2,FALSE)</f>
        <v>335.32499146683239</v>
      </c>
      <c r="DF129" s="66"/>
      <c r="DG129" s="69"/>
      <c r="DH129" s="66">
        <f>HLOOKUP(H129,'GDP-PI'!$8:$9,2,FALSE)</f>
        <v>76.346000000000004</v>
      </c>
      <c r="DI129"/>
      <c r="DO129" s="184"/>
      <c r="DP129" s="184"/>
      <c r="DQ129" s="184"/>
      <c r="DR129" s="184"/>
      <c r="DS129" s="184"/>
      <c r="DT129" s="184"/>
      <c r="DU129" s="184"/>
      <c r="DV129" s="184"/>
      <c r="DW129" s="184"/>
      <c r="EB129"/>
    </row>
    <row r="130" spans="1:132" s="160" customFormat="1" ht="21">
      <c r="A130" s="160" t="s">
        <v>167</v>
      </c>
      <c r="B130" s="161" t="s">
        <v>167</v>
      </c>
      <c r="C130" s="161">
        <v>4058793</v>
      </c>
      <c r="D130" s="161" t="s">
        <v>168</v>
      </c>
      <c r="E130" s="161"/>
      <c r="F130" s="161"/>
      <c r="G130" s="161" t="s">
        <v>107</v>
      </c>
      <c r="H130" s="162">
        <v>2000</v>
      </c>
      <c r="I130" s="163"/>
      <c r="J130" s="159"/>
      <c r="K130" s="159"/>
      <c r="L130" s="159"/>
      <c r="M130" s="60"/>
      <c r="N130" s="152"/>
      <c r="O130" s="60"/>
      <c r="P130" s="60"/>
      <c r="Q130" s="159"/>
      <c r="R130" s="159"/>
      <c r="S130" s="159"/>
      <c r="T130" s="159"/>
      <c r="U130" s="159"/>
      <c r="V130" s="159"/>
      <c r="W130" s="159">
        <f t="shared" si="274"/>
        <v>0</v>
      </c>
      <c r="X130" s="163"/>
      <c r="Y130" s="167">
        <v>18.554128573946432</v>
      </c>
      <c r="Z130" s="168">
        <v>8.1049642143176781E-2</v>
      </c>
      <c r="AA130" s="78"/>
      <c r="AB130" s="168"/>
      <c r="AC130" s="168"/>
      <c r="AD130" s="163">
        <f t="shared" si="226"/>
        <v>0</v>
      </c>
      <c r="AE130" s="168"/>
      <c r="AF130" s="163"/>
      <c r="AG130" s="163"/>
      <c r="AH130" s="163"/>
      <c r="AI130" s="163"/>
      <c r="AJ130" s="167"/>
      <c r="AK130" s="168"/>
      <c r="AL130" s="115"/>
      <c r="AM130" s="115"/>
      <c r="AN130" s="115"/>
      <c r="AO130" s="115"/>
      <c r="AP130" s="115"/>
      <c r="AQ130" s="168"/>
      <c r="AR130" s="79"/>
      <c r="AS130" s="115"/>
      <c r="AT130" s="115"/>
      <c r="AU130" s="115"/>
      <c r="AV130" s="113">
        <f>IFERROR(INDEX('Total Customers'!$F$7:$AB$91,MATCH($C130,'Total Customers'!$D$7:$D$91,0),MATCH($G130,'Total Customers'!$F$5:$AB$5,0)),"NA")</f>
        <v>4288</v>
      </c>
      <c r="AW130" s="68">
        <f t="shared" si="180"/>
        <v>2.2165491288772619E-2</v>
      </c>
      <c r="AX130" s="114"/>
      <c r="AY130" s="114"/>
      <c r="AZ130" s="116"/>
      <c r="BA130" s="116"/>
      <c r="BB130" s="166"/>
      <c r="BC130" s="166"/>
      <c r="BD130" s="166"/>
      <c r="BE130" s="166"/>
      <c r="BF130" s="166"/>
      <c r="BG130" s="166"/>
      <c r="BH130" s="166"/>
      <c r="BI130" s="113"/>
      <c r="BJ130" s="113"/>
      <c r="BK130" s="113">
        <f>INDEX('Dist. Plant Gas Additions'!$F$7:$AE$91,MATCH($C130,'Dist. Plant Gas Additions'!$D$7:$D$91,0),MATCH(Calculation!$G130,'Dist. Plant Gas Additions'!$F$5:$AE$5,0))</f>
        <v>409</v>
      </c>
      <c r="BL130" s="113">
        <f>INDEX('Gen. Plant Additions'!$F$7:$AE$91,MATCH($C130,'Gen. Plant Additions'!$D$7:$D$91,0),MATCH(Calculation!$G130,'Gen. Plant Additions'!$F$5:$AE$5,0))</f>
        <v>122</v>
      </c>
      <c r="BM130" s="231">
        <f t="shared" si="275"/>
        <v>0.82748974263334574</v>
      </c>
      <c r="BN130" s="61">
        <f t="shared" si="270"/>
        <v>100.95374860126817</v>
      </c>
      <c r="BO130" s="113"/>
      <c r="BP130" s="113"/>
      <c r="BQ130" s="113"/>
      <c r="BR130" s="113"/>
      <c r="BS130" s="113"/>
      <c r="BT130" s="113"/>
      <c r="BU130" s="113"/>
      <c r="BV130" s="113"/>
      <c r="BW130" s="113">
        <f>INDEX('Gross Dx Plant'!$E$7:$AD$91,MATCH($C130,'Gross Dx Plant'!$D$7:$D$91,0),MATCH(Calculation!$G130,'Gross Dx Plant'!$E$5:$AD$5,0))</f>
        <v>4437</v>
      </c>
      <c r="BX130" s="113">
        <f>INDEX('Gross Gen Plant'!$E$7:$AD$91,MATCH($C130,'Gross Gen Plant'!$D$7:$D$91,0),MATCH(Calculation!$G130,'Gross Gen Plant'!$E$5:$AD$5,0))</f>
        <v>925</v>
      </c>
      <c r="BY130" s="113">
        <f t="shared" si="182"/>
        <v>5362</v>
      </c>
      <c r="BZ130" s="113"/>
      <c r="CA130" s="116">
        <v>2000</v>
      </c>
      <c r="CB130" s="113"/>
      <c r="CC130" s="113"/>
      <c r="CD130" s="113"/>
      <c r="CE130" s="175"/>
      <c r="CF130" s="113">
        <f t="shared" si="276"/>
        <v>531</v>
      </c>
      <c r="CG130" s="113">
        <f t="shared" si="277"/>
        <v>1.5323184229752604</v>
      </c>
      <c r="CH130" s="178">
        <v>0.98989898989898994</v>
      </c>
      <c r="CI130" s="61">
        <f>+CI128*CH130+CG129*CH129+CG130</f>
        <v>18.554128573946432</v>
      </c>
      <c r="CJ130" s="114">
        <f t="shared" si="278"/>
        <v>8.1049642143176781E-2</v>
      </c>
      <c r="CK130" s="114"/>
      <c r="CL130" s="169">
        <f t="shared" si="279"/>
        <v>5.1339907317050184E-3</v>
      </c>
      <c r="CM130" s="169"/>
      <c r="CN130" s="114">
        <f>VLOOKUP($H130,RoR!$E:$F,2,FALSE)</f>
        <v>7.6225000000000001E-2</v>
      </c>
      <c r="CO130" s="169">
        <v>2.2568307442433211E-2</v>
      </c>
      <c r="CP130" s="169">
        <f t="shared" ref="CP130:CP150" si="285">+CN130-CO130</f>
        <v>5.365669255756679E-2</v>
      </c>
      <c r="CQ130" s="169"/>
      <c r="CR130" s="169"/>
      <c r="CS130" s="179">
        <f t="shared" si="280"/>
        <v>0.85126000000000002</v>
      </c>
      <c r="CT130" s="180">
        <f t="shared" si="281"/>
        <v>0.67277207323124022</v>
      </c>
      <c r="CU130" s="180">
        <f t="shared" si="282"/>
        <v>0.6470236142997704</v>
      </c>
      <c r="CV130" s="180">
        <f t="shared" si="283"/>
        <v>0.94704866037543145</v>
      </c>
      <c r="CW130" s="180">
        <f t="shared" si="284"/>
        <v>0.41224973107878493</v>
      </c>
      <c r="CX130" s="181">
        <f>INDEX('State Tax Lookup'!$D$7:$Z$91,MATCH(Calculation!$C130,'State Tax Lookup'!$B$7:$B$91,0),MATCH($H130,'State Tax Lookup'!$D$6:$Z$6,0))</f>
        <v>0.40200000000000002</v>
      </c>
      <c r="CY130" s="72">
        <v>0.37</v>
      </c>
      <c r="CZ130" s="70"/>
      <c r="DA130" s="70"/>
      <c r="DB130" s="69"/>
      <c r="DC130" s="111">
        <f>VLOOKUP($H130,RoR!$E:$F,2,FALSE)</f>
        <v>7.6225000000000001E-2</v>
      </c>
      <c r="DD130" s="216">
        <f>HLOOKUP($H130,'GDP-PI'!$D$8:$CQ$11,3,FALSE)</f>
        <v>2.2568307442433211E-2</v>
      </c>
      <c r="DE130" s="111">
        <f>VLOOKUP(H130,'HW Dx Data'!$E:$F,2,FALSE)</f>
        <v>346.53371782150339</v>
      </c>
      <c r="DF130" s="66"/>
      <c r="DG130" s="69"/>
      <c r="DH130" s="66">
        <f>HLOOKUP(H130,'GDP-PI'!$8:$9,2,FALSE)</f>
        <v>78.069000000000003</v>
      </c>
      <c r="DI130"/>
      <c r="DO130" s="184"/>
      <c r="DP130" s="184"/>
      <c r="DQ130" s="184"/>
      <c r="DR130" s="184"/>
      <c r="DS130" s="184"/>
      <c r="DT130" s="184"/>
      <c r="DU130" s="184"/>
      <c r="DV130" s="184"/>
      <c r="DW130" s="184"/>
      <c r="EB130"/>
    </row>
    <row r="131" spans="1:132" s="160" customFormat="1" ht="21">
      <c r="A131" s="160" t="s">
        <v>167</v>
      </c>
      <c r="B131" s="161" t="s">
        <v>167</v>
      </c>
      <c r="C131" s="161">
        <v>4058793</v>
      </c>
      <c r="D131" s="161" t="s">
        <v>168</v>
      </c>
      <c r="E131" s="161"/>
      <c r="F131" s="161"/>
      <c r="G131" s="161" t="s">
        <v>111</v>
      </c>
      <c r="H131" s="162">
        <v>2001</v>
      </c>
      <c r="I131" s="163"/>
      <c r="J131" s="159"/>
      <c r="K131" s="159"/>
      <c r="L131" s="159"/>
      <c r="M131" s="60"/>
      <c r="N131" s="152"/>
      <c r="O131" s="60"/>
      <c r="P131" s="60"/>
      <c r="Q131" s="159"/>
      <c r="R131" s="159"/>
      <c r="S131" s="159"/>
      <c r="T131" s="159"/>
      <c r="U131" s="159"/>
      <c r="V131" s="159"/>
      <c r="W131" s="159">
        <f t="shared" si="274"/>
        <v>241.20346451172256</v>
      </c>
      <c r="X131" s="163"/>
      <c r="Y131" s="167">
        <v>20.291300882453839</v>
      </c>
      <c r="Z131" s="168">
        <v>8.9499937322616532E-2</v>
      </c>
      <c r="AA131" s="78"/>
      <c r="AB131" s="168"/>
      <c r="AC131" s="168"/>
      <c r="AD131" s="163">
        <f t="shared" si="226"/>
        <v>241.20346451172256</v>
      </c>
      <c r="AE131" s="168"/>
      <c r="AF131" s="163"/>
      <c r="AG131" s="163"/>
      <c r="AH131" s="163"/>
      <c r="AI131" s="163"/>
      <c r="AJ131" s="167"/>
      <c r="AK131" s="168"/>
      <c r="AL131" s="115"/>
      <c r="AM131" s="115"/>
      <c r="AN131" s="115"/>
      <c r="AO131" s="115"/>
      <c r="AP131" s="115"/>
      <c r="AQ131" s="168"/>
      <c r="AR131" s="79"/>
      <c r="AS131" s="115"/>
      <c r="AT131" s="115"/>
      <c r="AU131" s="115"/>
      <c r="AV131" s="113">
        <f>IFERROR(INDEX('Total Customers'!$F$7:$AB$91,MATCH($C131,'Total Customers'!$D$7:$D$91,0),MATCH($G131,'Total Customers'!$F$5:$AB$5,0)),"NA")</f>
        <v>4236</v>
      </c>
      <c r="AW131" s="68">
        <f t="shared" si="180"/>
        <v>-1.2200996029340832E-2</v>
      </c>
      <c r="AX131" s="114"/>
      <c r="AY131" s="114"/>
      <c r="AZ131" s="116"/>
      <c r="BA131" s="116"/>
      <c r="BB131" s="166"/>
      <c r="BC131" s="166"/>
      <c r="BD131" s="166"/>
      <c r="BE131" s="166"/>
      <c r="BF131" s="166"/>
      <c r="BG131" s="166"/>
      <c r="BH131" s="166"/>
      <c r="BI131" s="113"/>
      <c r="BJ131" s="113"/>
      <c r="BK131" s="113">
        <f>INDEX('Dist. Plant Gas Additions'!$F$7:$AE$91,MATCH($C131,'Dist. Plant Gas Additions'!$D$7:$D$91,0),MATCH(Calculation!$G131,'Dist. Plant Gas Additions'!$F$5:$AE$5,0))</f>
        <v>613</v>
      </c>
      <c r="BL131" s="113">
        <f>INDEX('Gen. Plant Additions'!$F$7:$AE$91,MATCH($C131,'Gen. Plant Additions'!$D$7:$D$91,0),MATCH(Calculation!$G131,'Gen. Plant Additions'!$F$5:$AE$5,0))</f>
        <v>33</v>
      </c>
      <c r="BM131" s="231">
        <f t="shared" si="275"/>
        <v>0.83696763202725721</v>
      </c>
      <c r="BN131" s="61">
        <f t="shared" si="270"/>
        <v>27.619931856899488</v>
      </c>
      <c r="BO131" s="113"/>
      <c r="BP131" s="113"/>
      <c r="BQ131" s="113"/>
      <c r="BR131" s="113"/>
      <c r="BS131" s="113"/>
      <c r="BT131" s="113"/>
      <c r="BU131" s="113"/>
      <c r="BV131" s="113"/>
      <c r="BW131" s="113">
        <f>INDEX('Gross Dx Plant'!$E$7:$AD$91,MATCH($C131,'Gross Dx Plant'!$D$7:$D$91,0),MATCH(Calculation!$G131,'Gross Dx Plant'!$E$5:$AD$5,0))</f>
        <v>4913</v>
      </c>
      <c r="BX131" s="113">
        <f>INDEX('Gross Gen Plant'!$E$7:$AD$91,MATCH($C131,'Gross Gen Plant'!$D$7:$D$91,0),MATCH(Calculation!$G131,'Gross Gen Plant'!$E$5:$AD$5,0))</f>
        <v>957</v>
      </c>
      <c r="BY131" s="113">
        <f t="shared" si="182"/>
        <v>5870</v>
      </c>
      <c r="BZ131" s="113"/>
      <c r="CA131" s="116">
        <v>2001</v>
      </c>
      <c r="CB131" s="113"/>
      <c r="CC131" s="113"/>
      <c r="CD131" s="113"/>
      <c r="CE131" s="175"/>
      <c r="CF131" s="113">
        <f t="shared" si="276"/>
        <v>646</v>
      </c>
      <c r="CG131" s="113">
        <f t="shared" si="277"/>
        <v>1.8277119487502174</v>
      </c>
      <c r="CH131" s="178">
        <v>0.98461538461538467</v>
      </c>
      <c r="CI131" s="61">
        <f>+CI128*CH131+CG129*CH130+CG130*CH128+CG131</f>
        <v>20.291300882453839</v>
      </c>
      <c r="CJ131" s="114">
        <f t="shared" si="278"/>
        <v>8.9499937322616532E-2</v>
      </c>
      <c r="CK131" s="114"/>
      <c r="CL131" s="169">
        <f t="shared" si="279"/>
        <v>4.8797570784297091E-3</v>
      </c>
      <c r="CM131" s="169">
        <f>+(CL131+CL130+CL129)/3</f>
        <v>4.9962907294147478E-3</v>
      </c>
      <c r="CN131" s="114">
        <f>VLOOKUP($H131,RoR!$E:$F,2,FALSE)</f>
        <v>7.0824999999999999E-2</v>
      </c>
      <c r="CO131" s="169">
        <v>2.2454495382290052E-2</v>
      </c>
      <c r="CP131" s="169">
        <f t="shared" si="285"/>
        <v>4.8370504617709947E-2</v>
      </c>
      <c r="CQ131" s="169">
        <f>+$CP$2-CM131</f>
        <v>2.5905650879118877E-2</v>
      </c>
      <c r="CR131" s="169">
        <f>+((DE129/DE128-1)+(DE130/DE129-1)+(DE131/DE130-1))/3</f>
        <v>2.3947275901631187E-2</v>
      </c>
      <c r="CS131" s="179">
        <f t="shared" si="280"/>
        <v>0.85126000000000002</v>
      </c>
      <c r="CT131" s="180">
        <f t="shared" si="281"/>
        <v>0.72406708481540816</v>
      </c>
      <c r="CU131" s="180">
        <f t="shared" si="282"/>
        <v>0.62201729615248857</v>
      </c>
      <c r="CV131" s="180">
        <f t="shared" si="283"/>
        <v>0.9352469954311422</v>
      </c>
      <c r="CW131" s="180">
        <f t="shared" si="284"/>
        <v>0.42121864641655071</v>
      </c>
      <c r="CX131" s="181">
        <f>INDEX('State Tax Lookup'!$D$7:$Z$91,MATCH(Calculation!$C131,'State Tax Lookup'!$B$7:$B$91,0),MATCH($H131,'State Tax Lookup'!$D$6:$Z$6,0))</f>
        <v>0.40200000000000002</v>
      </c>
      <c r="CY131" s="72">
        <v>0.37</v>
      </c>
      <c r="CZ131" s="70">
        <f t="shared" ref="CZ131:CZ152" si="286">+(DE131*CQ131-CR131)*CS131/(1-CX131)</f>
        <v>12.999988846170801</v>
      </c>
      <c r="DA131" s="70"/>
      <c r="DB131" s="69"/>
      <c r="DC131" s="111">
        <f>VLOOKUP($H131,RoR!$E:$F,2,FALSE)</f>
        <v>7.0824999999999999E-2</v>
      </c>
      <c r="DD131" s="216">
        <f>HLOOKUP($H131,'GDP-PI'!$D$8:$CQ$11,3,FALSE)</f>
        <v>2.2454495382290052E-2</v>
      </c>
      <c r="DE131" s="111">
        <f>VLOOKUP(H131,'HW Dx Data'!$E:$F,2,FALSE)</f>
        <v>353.44738017483138</v>
      </c>
      <c r="DF131" s="66"/>
      <c r="DG131" s="69"/>
      <c r="DH131" s="66">
        <f>HLOOKUP(H131,'GDP-PI'!$8:$9,2,FALSE)</f>
        <v>79.822000000000003</v>
      </c>
      <c r="DI131"/>
      <c r="DO131" s="184"/>
      <c r="DP131" s="184"/>
      <c r="DQ131" s="184"/>
      <c r="DR131" s="184"/>
      <c r="DS131" s="184"/>
      <c r="DT131" s="184"/>
      <c r="DU131" s="184"/>
      <c r="DV131" s="184"/>
      <c r="DW131" s="184"/>
      <c r="EB131"/>
    </row>
    <row r="132" spans="1:132" s="160" customFormat="1" ht="21">
      <c r="A132" s="160" t="s">
        <v>167</v>
      </c>
      <c r="B132" s="161" t="s">
        <v>167</v>
      </c>
      <c r="C132" s="161">
        <v>4058793</v>
      </c>
      <c r="D132" s="161" t="s">
        <v>168</v>
      </c>
      <c r="E132" s="161"/>
      <c r="F132" s="161"/>
      <c r="G132" s="161" t="s">
        <v>113</v>
      </c>
      <c r="H132" s="162">
        <v>2002</v>
      </c>
      <c r="I132" s="163"/>
      <c r="J132" s="159"/>
      <c r="K132" s="159"/>
      <c r="L132" s="159"/>
      <c r="M132" s="60"/>
      <c r="N132" s="152"/>
      <c r="O132" s="60"/>
      <c r="P132" s="60"/>
      <c r="Q132" s="159"/>
      <c r="R132" s="159"/>
      <c r="S132" s="159"/>
      <c r="T132" s="159"/>
      <c r="U132" s="159"/>
      <c r="V132" s="159"/>
      <c r="W132" s="159">
        <f t="shared" si="274"/>
        <v>266.74914049196025</v>
      </c>
      <c r="X132" s="163"/>
      <c r="Y132" s="167">
        <v>21.645629297505831</v>
      </c>
      <c r="Z132" s="168">
        <v>6.4611287799700781E-2</v>
      </c>
      <c r="AA132" s="78"/>
      <c r="AB132" s="168"/>
      <c r="AC132" s="168"/>
      <c r="AD132" s="163">
        <f t="shared" si="226"/>
        <v>266.74914049196025</v>
      </c>
      <c r="AE132" s="168"/>
      <c r="AF132" s="163"/>
      <c r="AG132" s="163"/>
      <c r="AH132" s="163"/>
      <c r="AI132" s="163"/>
      <c r="AJ132" s="167"/>
      <c r="AK132" s="168"/>
      <c r="AL132" s="115"/>
      <c r="AM132" s="115"/>
      <c r="AN132" s="115"/>
      <c r="AO132" s="115"/>
      <c r="AP132" s="115"/>
      <c r="AQ132" s="168"/>
      <c r="AR132" s="79"/>
      <c r="AS132" s="115"/>
      <c r="AT132" s="115"/>
      <c r="AU132" s="115"/>
      <c r="AV132" s="113">
        <f>IFERROR(INDEX('Total Customers'!$F$7:$AB$91,MATCH($C132,'Total Customers'!$D$7:$D$91,0),MATCH($G132,'Total Customers'!$F$5:$AB$5,0)),"NA")</f>
        <v>4175</v>
      </c>
      <c r="AW132" s="68">
        <f t="shared" ref="AW132:AW195" si="287">LN(AV132/AV131)</f>
        <v>-1.4505069436341188E-2</v>
      </c>
      <c r="AX132" s="114"/>
      <c r="AY132" s="114"/>
      <c r="AZ132" s="116"/>
      <c r="BA132" s="116"/>
      <c r="BB132" s="166"/>
      <c r="BC132" s="166"/>
      <c r="BD132" s="166"/>
      <c r="BE132" s="166"/>
      <c r="BF132" s="166"/>
      <c r="BG132" s="166"/>
      <c r="BH132" s="166"/>
      <c r="BI132" s="113"/>
      <c r="BJ132" s="113"/>
      <c r="BK132" s="113">
        <f>INDEX('Dist. Plant Gas Additions'!$F$7:$AE$91,MATCH($C132,'Dist. Plant Gas Additions'!$D$7:$D$91,0),MATCH(Calculation!$G132,'Dist. Plant Gas Additions'!$F$5:$AE$5,0))</f>
        <v>475</v>
      </c>
      <c r="BL132" s="113">
        <f>INDEX('Gen. Plant Additions'!$F$7:$AE$91,MATCH($C132,'Gen. Plant Additions'!$D$7:$D$91,0),MATCH(Calculation!$G132,'Gen. Plant Additions'!$F$5:$AE$5,0))</f>
        <v>57</v>
      </c>
      <c r="BM132" s="231">
        <f t="shared" si="275"/>
        <v>0.8413552881570614</v>
      </c>
      <c r="BN132" s="61">
        <f t="shared" si="270"/>
        <v>47.957251424952503</v>
      </c>
      <c r="BO132" s="113"/>
      <c r="BP132" s="113"/>
      <c r="BQ132" s="113"/>
      <c r="BR132" s="113"/>
      <c r="BS132" s="113"/>
      <c r="BT132" s="113"/>
      <c r="BU132" s="113"/>
      <c r="BV132" s="113"/>
      <c r="BW132" s="113">
        <f>INDEX('Gross Dx Plant'!$E$7:$AD$91,MATCH($C132,'Gross Dx Plant'!$D$7:$D$91,0),MATCH(Calculation!$G132,'Gross Dx Plant'!$E$5:$AD$5,0))</f>
        <v>5314</v>
      </c>
      <c r="BX132" s="113">
        <f>INDEX('Gross Gen Plant'!$E$7:$AD$91,MATCH($C132,'Gross Gen Plant'!$D$7:$D$91,0),MATCH(Calculation!$G132,'Gross Gen Plant'!$E$5:$AD$5,0))</f>
        <v>1002</v>
      </c>
      <c r="BY132" s="113">
        <f t="shared" si="182"/>
        <v>6316</v>
      </c>
      <c r="BZ132" s="113"/>
      <c r="CA132" s="116">
        <v>2002</v>
      </c>
      <c r="CB132" s="113"/>
      <c r="CC132" s="113"/>
      <c r="CD132" s="113"/>
      <c r="CE132" s="175"/>
      <c r="CF132" s="113">
        <f t="shared" si="276"/>
        <v>532</v>
      </c>
      <c r="CG132" s="113">
        <f t="shared" si="277"/>
        <v>1.4722642881531107</v>
      </c>
      <c r="CH132" s="178">
        <v>0.97916666666666663</v>
      </c>
      <c r="CI132" s="61">
        <f>+CI128*CH132+CG129*CH131+CG130*CH130+CG131*CH129+CG132</f>
        <v>21.645629297505831</v>
      </c>
      <c r="CJ132" s="114">
        <f t="shared" si="278"/>
        <v>6.4611287799700781E-2</v>
      </c>
      <c r="CK132" s="114"/>
      <c r="CL132" s="169">
        <f t="shared" si="279"/>
        <v>5.8121395855452434E-3</v>
      </c>
      <c r="CM132" s="169">
        <f t="shared" ref="CM132:CM152" si="288">+(CL132+CL131+CL130)/3</f>
        <v>5.2752957985599909E-3</v>
      </c>
      <c r="CN132" s="114">
        <f>VLOOKUP($H132,RoR!$E:$F,2,FALSE)</f>
        <v>6.4916666666666664E-2</v>
      </c>
      <c r="CO132" s="169">
        <v>1.5246423291824351E-2</v>
      </c>
      <c r="CP132" s="169">
        <f t="shared" si="285"/>
        <v>4.9670243374842313E-2</v>
      </c>
      <c r="CQ132" s="169">
        <f t="shared" ref="CQ132:CQ152" si="289">+$CP$2-CM132</f>
        <v>2.5626645809973633E-2</v>
      </c>
      <c r="CR132" s="169">
        <f t="shared" ref="CR132:CR152" si="290">+((DE130/DE129-1)+(DE131/DE130-1)+(DE132/DE131-1))/3</f>
        <v>2.5243621214759093E-2</v>
      </c>
      <c r="CS132" s="179">
        <f t="shared" si="280"/>
        <v>0.85126000000000002</v>
      </c>
      <c r="CT132" s="180">
        <f t="shared" si="281"/>
        <v>0.78996741384417901</v>
      </c>
      <c r="CU132" s="180">
        <f t="shared" si="282"/>
        <v>0.58989088575096271</v>
      </c>
      <c r="CV132" s="180">
        <f t="shared" si="283"/>
        <v>0.91920675783645744</v>
      </c>
      <c r="CW132" s="180">
        <f t="shared" si="284"/>
        <v>0.42834536472275586</v>
      </c>
      <c r="CX132" s="181">
        <f>INDEX('State Tax Lookup'!$D$7:$Z$91,MATCH(Calculation!$C132,'State Tax Lookup'!$B$7:$B$91,0),MATCH($H132,'State Tax Lookup'!$D$6:$Z$6,0))</f>
        <v>0.40200000000000002</v>
      </c>
      <c r="CY132" s="72">
        <v>0.37</v>
      </c>
      <c r="CZ132" s="70">
        <f t="shared" si="286"/>
        <v>13.145985170552658</v>
      </c>
      <c r="DA132" s="70"/>
      <c r="DB132" s="69">
        <f>LN(CZ132/CZ131)</f>
        <v>1.1167902308678753E-2</v>
      </c>
      <c r="DC132" s="111">
        <f>VLOOKUP($H132,RoR!$E:$F,2,FALSE)</f>
        <v>6.4916666666666664E-2</v>
      </c>
      <c r="DD132" s="216">
        <f>HLOOKUP($H132,'GDP-PI'!$D$8:$CQ$11,3,FALSE)</f>
        <v>1.5246423291824351E-2</v>
      </c>
      <c r="DE132" s="111">
        <f>VLOOKUP(H132,'HW Dx Data'!$E:$F,2,FALSE)</f>
        <v>361.34816573413599</v>
      </c>
      <c r="DF132" s="66"/>
      <c r="DG132" s="69"/>
      <c r="DH132" s="66">
        <f>HLOOKUP(H132,'GDP-PI'!$8:$9,2,FALSE)</f>
        <v>81.039000000000001</v>
      </c>
      <c r="DI132" s="69">
        <f>LN(DH132/DH131)</f>
        <v>1.513136459537477E-2</v>
      </c>
      <c r="DO132" s="184"/>
      <c r="DP132" s="184"/>
      <c r="DQ132" s="184"/>
      <c r="DR132" s="184"/>
      <c r="DS132" s="184"/>
      <c r="DT132" s="184"/>
      <c r="DU132" s="184"/>
      <c r="DV132" s="184"/>
      <c r="DW132" s="184"/>
      <c r="EB132"/>
    </row>
    <row r="133" spans="1:132" s="160" customFormat="1" ht="21">
      <c r="A133" s="160" t="s">
        <v>167</v>
      </c>
      <c r="B133" s="161" t="s">
        <v>167</v>
      </c>
      <c r="C133" s="161">
        <v>4058793</v>
      </c>
      <c r="D133" s="161" t="s">
        <v>168</v>
      </c>
      <c r="E133" s="161"/>
      <c r="F133" s="161"/>
      <c r="G133" s="161" t="s">
        <v>114</v>
      </c>
      <c r="H133" s="162">
        <v>2003</v>
      </c>
      <c r="I133" s="163"/>
      <c r="J133" s="159"/>
      <c r="K133" s="159"/>
      <c r="L133" s="165"/>
      <c r="M133" s="76"/>
      <c r="N133" s="152"/>
      <c r="O133" s="76"/>
      <c r="P133" s="76"/>
      <c r="Q133" s="159"/>
      <c r="R133" s="159"/>
      <c r="S133" s="159"/>
      <c r="T133" s="159"/>
      <c r="U133" s="159"/>
      <c r="V133" s="159"/>
      <c r="W133" s="159">
        <f t="shared" si="274"/>
        <v>289.14896441343211</v>
      </c>
      <c r="X133" s="163"/>
      <c r="Y133" s="167">
        <v>23.152213919952004</v>
      </c>
      <c r="Z133" s="168">
        <v>6.7286855605705825E-2</v>
      </c>
      <c r="AA133" s="78"/>
      <c r="AB133" s="168"/>
      <c r="AC133" s="168"/>
      <c r="AD133" s="163">
        <f t="shared" si="226"/>
        <v>289.14896441343211</v>
      </c>
      <c r="AE133" s="168"/>
      <c r="AF133" s="163"/>
      <c r="AG133" s="163"/>
      <c r="AH133" s="163"/>
      <c r="AI133" s="163"/>
      <c r="AJ133" s="167"/>
      <c r="AK133" s="168"/>
      <c r="AL133" s="115"/>
      <c r="AM133" s="115"/>
      <c r="AN133" s="115"/>
      <c r="AO133" s="115"/>
      <c r="AP133" s="115"/>
      <c r="AQ133" s="168"/>
      <c r="AR133" s="79"/>
      <c r="AS133" s="115"/>
      <c r="AT133" s="115"/>
      <c r="AU133" s="115"/>
      <c r="AV133" s="113">
        <f>IFERROR(INDEX('Total Customers'!$F$7:$AB$91,MATCH($C133,'Total Customers'!$D$7:$D$91,0),MATCH($G133,'Total Customers'!$F$5:$AB$5,0)),"NA")</f>
        <v>4136</v>
      </c>
      <c r="AW133" s="68">
        <f t="shared" si="287"/>
        <v>-9.3852210966907778E-3</v>
      </c>
      <c r="AX133" s="114"/>
      <c r="AY133" s="114"/>
      <c r="AZ133" s="116"/>
      <c r="BA133" s="116"/>
      <c r="BB133" s="166"/>
      <c r="BC133" s="166"/>
      <c r="BD133" s="166"/>
      <c r="BE133" s="166"/>
      <c r="BF133" s="166"/>
      <c r="BG133" s="166"/>
      <c r="BH133" s="166"/>
      <c r="BI133" s="113"/>
      <c r="BJ133" s="113"/>
      <c r="BK133" s="113">
        <f>INDEX('Dist. Plant Gas Additions'!$F$7:$AE$91,MATCH($C133,'Dist. Plant Gas Additions'!$D$7:$D$91,0),MATCH(Calculation!$G133,'Dist. Plant Gas Additions'!$F$5:$AE$5,0))</f>
        <v>391</v>
      </c>
      <c r="BL133" s="113">
        <f>INDEX('Gen. Plant Additions'!$F$7:$AE$91,MATCH($C133,'Gen. Plant Additions'!$D$7:$D$91,0),MATCH(Calculation!$G133,'Gen. Plant Additions'!$F$5:$AE$5,0))</f>
        <v>210</v>
      </c>
      <c r="BM133" s="231">
        <f t="shared" si="275"/>
        <v>0.83416937149601655</v>
      </c>
      <c r="BN133" s="61">
        <f t="shared" si="270"/>
        <v>175.17556801416347</v>
      </c>
      <c r="BO133" s="113">
        <f>INDEX('Dist Plant Depreciation'!$E$7:$AD$94,MATCH($C133,'Dist Plant Depreciation'!$D$7:$D$94,0),MATCH(Calculation!$G133,'Dist Plant Depreciation'!$E$5:$AD$5,0))</f>
        <v>1719</v>
      </c>
      <c r="BP133" s="113">
        <f>INDEX('Gen. Plant Depreciation'!$E$7:$AD$94,MATCH($C133,'Gen. Plant Depreciation'!$D$7:$D$94,0),MATCH(Calculation!$G133,'Gen. Plant Depreciation'!$E$5:$AD$5,0))</f>
        <v>353</v>
      </c>
      <c r="BQ133" s="113"/>
      <c r="BR133" s="113"/>
      <c r="BS133" s="113"/>
      <c r="BT133" s="113"/>
      <c r="BU133" s="113"/>
      <c r="BV133" s="113"/>
      <c r="BW133" s="113">
        <f>INDEX('Gross Dx Plant'!$E$7:$AD$91,MATCH($C133,'Gross Dx Plant'!$D$7:$D$91,0),MATCH(Calculation!$G133,'Gross Dx Plant'!$E$5:$AD$5,0))</f>
        <v>5654</v>
      </c>
      <c r="BX133" s="113">
        <f>INDEX('Gross Gen Plant'!$E$7:$AD$91,MATCH($C133,'Gross Gen Plant'!$D$7:$D$91,0),MATCH(Calculation!$G133,'Gross Gen Plant'!$E$5:$AD$5,0))</f>
        <v>1124</v>
      </c>
      <c r="BY133" s="113">
        <f t="shared" si="182"/>
        <v>4706</v>
      </c>
      <c r="BZ133" s="113"/>
      <c r="CA133" s="116">
        <v>2003</v>
      </c>
      <c r="CB133" s="113"/>
      <c r="CC133" s="113"/>
      <c r="CD133" s="113"/>
      <c r="CE133" s="175"/>
      <c r="CF133" s="113">
        <f t="shared" si="276"/>
        <v>601</v>
      </c>
      <c r="CG133" s="113">
        <f t="shared" si="277"/>
        <v>1.6276984510257311</v>
      </c>
      <c r="CH133" s="178">
        <v>0.97354497354497349</v>
      </c>
      <c r="CI133" s="61">
        <f>+CI128*CH133+CG129*CH132+CG130*CH131+CG131*CH130+CG132*CH129+CG133</f>
        <v>23.152213919952004</v>
      </c>
      <c r="CJ133" s="114">
        <f t="shared" si="278"/>
        <v>6.7286855605705825E-2</v>
      </c>
      <c r="CK133" s="114"/>
      <c r="CL133" s="169">
        <f t="shared" si="279"/>
        <v>5.595301800419992E-3</v>
      </c>
      <c r="CM133" s="169">
        <f t="shared" si="288"/>
        <v>5.4290661547983154E-3</v>
      </c>
      <c r="CN133" s="114">
        <f>VLOOKUP($H133,RoR!$E:$F,2,FALSE)</f>
        <v>5.6666666666666671E-2</v>
      </c>
      <c r="CO133" s="169">
        <v>1.8855119140166909E-2</v>
      </c>
      <c r="CP133" s="169">
        <f t="shared" si="285"/>
        <v>3.7811547526499761E-2</v>
      </c>
      <c r="CQ133" s="169">
        <f t="shared" si="289"/>
        <v>2.5472875453735309E-2</v>
      </c>
      <c r="CR133" s="169">
        <f t="shared" si="290"/>
        <v>2.1375012817671957E-2</v>
      </c>
      <c r="CS133" s="179">
        <f t="shared" si="280"/>
        <v>0.85126000000000002</v>
      </c>
      <c r="CT133" s="180">
        <f t="shared" si="281"/>
        <v>0.90497737556561086</v>
      </c>
      <c r="CU133" s="180">
        <f t="shared" si="282"/>
        <v>0.5338235294117647</v>
      </c>
      <c r="CV133" s="180">
        <f t="shared" si="283"/>
        <v>0.88972433127405692</v>
      </c>
      <c r="CW133" s="180">
        <f t="shared" si="284"/>
        <v>0.42982423775949252</v>
      </c>
      <c r="CX133" s="181">
        <f>INDEX('State Tax Lookup'!$D$7:$Z$91,MATCH(Calculation!$C133,'State Tax Lookup'!$B$7:$B$91,0),MATCH($H133,'State Tax Lookup'!$D$6:$Z$6,0))</f>
        <v>0.40200000000000002</v>
      </c>
      <c r="CY133" s="72">
        <v>0.37</v>
      </c>
      <c r="CZ133" s="70">
        <f t="shared" si="286"/>
        <v>13.358307140867002</v>
      </c>
      <c r="DA133" s="70"/>
      <c r="DB133" s="69">
        <f t="shared" ref="DB133:DB152" si="291">LN(CZ133/CZ132)</f>
        <v>1.6022047284046107E-2</v>
      </c>
      <c r="DC133" s="111">
        <f>VLOOKUP($H133,RoR!$E:$F,2,FALSE)</f>
        <v>5.6666666666666671E-2</v>
      </c>
      <c r="DD133" s="216">
        <f>HLOOKUP($H133,'GDP-PI'!$D$8:$CQ$11,3,FALSE)</f>
        <v>1.8855119140166909E-2</v>
      </c>
      <c r="DE133" s="111">
        <f>VLOOKUP(H133,'HW Dx Data'!$E:$F,2,FALSE)</f>
        <v>369.23301095560191</v>
      </c>
      <c r="DF133" s="72">
        <f>VLOOKUP(G133,EG$8:EH$27,2,FALSE)</f>
        <v>89.25</v>
      </c>
      <c r="DG133" s="69"/>
      <c r="DH133" s="66">
        <f>HLOOKUP(H133,'GDP-PI'!$8:$9,2,FALSE)</f>
        <v>82.566999999999993</v>
      </c>
      <c r="DI133" s="69">
        <f t="shared" ref="DI133:DI152" si="292">LN(DH133/DH132)</f>
        <v>1.8679564681853753E-2</v>
      </c>
      <c r="DO133" s="184"/>
      <c r="DP133" s="184"/>
      <c r="DQ133" s="184"/>
      <c r="DR133" s="184"/>
      <c r="DS133" s="184"/>
      <c r="DT133" s="184"/>
      <c r="DU133" s="184"/>
      <c r="DV133" s="184"/>
      <c r="DW133" s="184"/>
      <c r="EB133"/>
    </row>
    <row r="134" spans="1:132" s="160" customFormat="1" ht="21">
      <c r="A134" s="160" t="s">
        <v>167</v>
      </c>
      <c r="B134" s="161" t="s">
        <v>167</v>
      </c>
      <c r="C134" s="161">
        <v>4058793</v>
      </c>
      <c r="D134" s="161" t="s">
        <v>168</v>
      </c>
      <c r="E134" s="161"/>
      <c r="F134" s="161"/>
      <c r="G134" s="161" t="s">
        <v>115</v>
      </c>
      <c r="H134" s="162">
        <v>2004</v>
      </c>
      <c r="I134" s="163"/>
      <c r="J134" s="159">
        <f>IFERROR(INDEX('Labor Expenditures'!$F$7:$X$91,MATCH($C134,'Labor Expenditures'!$D$7:$D$91,0),MATCH($G134,'Labor Expenditures'!$F$5:$X$5,0)),"NA")</f>
        <v>389.36101945422627</v>
      </c>
      <c r="K134" s="159">
        <f t="shared" ref="K134:K152" si="293">+J134/DF134</f>
        <v>4.1267728612000667</v>
      </c>
      <c r="L134" s="165"/>
      <c r="M134" s="76"/>
      <c r="N134" s="152"/>
      <c r="O134" s="76"/>
      <c r="P134" s="76"/>
      <c r="Q134" s="159">
        <f>IFERROR(INDEX('Non-Labor Expenditures'!$F$7:$AB$91,MATCH($C134,'Non-Labor Expenditures'!$D$7:$D$91,0),MATCH($G134,'Non-Labor Expenditures'!$F$5:$AB$5,0)),"NA")</f>
        <v>563.86747877683388</v>
      </c>
      <c r="R134" s="159">
        <f t="shared" ref="R134:R152" si="294">+Q134/DH134</f>
        <v>6.6511061687800357</v>
      </c>
      <c r="S134" s="159"/>
      <c r="T134" s="159"/>
      <c r="U134" s="159"/>
      <c r="V134" s="159"/>
      <c r="W134" s="159">
        <f t="shared" si="274"/>
        <v>342.50577816252968</v>
      </c>
      <c r="X134" s="163"/>
      <c r="Y134" s="167">
        <v>24.822036081006072</v>
      </c>
      <c r="Z134" s="168">
        <v>6.9641400645210766E-2</v>
      </c>
      <c r="AA134" s="76">
        <f t="shared" ref="AA134:AA152" si="295">+Z134*$AR134</f>
        <v>0</v>
      </c>
      <c r="AB134" s="168"/>
      <c r="AC134" s="168"/>
      <c r="AD134" s="163">
        <f t="shared" si="226"/>
        <v>1295.7342763935899</v>
      </c>
      <c r="AE134" s="168"/>
      <c r="AF134" s="163"/>
      <c r="AG134" s="163"/>
      <c r="AH134" s="163"/>
      <c r="AI134" s="163"/>
      <c r="AJ134" s="167"/>
      <c r="AK134" s="168"/>
      <c r="AL134" s="115">
        <f t="shared" ref="AL134:AL152" si="296">+J134/AD134</f>
        <v>0.30049449686391927</v>
      </c>
      <c r="AM134" s="115">
        <f t="shared" ref="AM134:AM152" si="297">+Q134/AD134</f>
        <v>0.43517215608916604</v>
      </c>
      <c r="AN134" s="115">
        <f t="shared" ref="AN134:AN152" si="298">+W134/AD134</f>
        <v>0.26433334704691469</v>
      </c>
      <c r="AO134" s="115"/>
      <c r="AP134" s="115"/>
      <c r="AQ134" s="168"/>
      <c r="AR134" s="79"/>
      <c r="AS134" s="115"/>
      <c r="AT134" s="115"/>
      <c r="AU134" s="115"/>
      <c r="AV134" s="113">
        <f>IFERROR(INDEX('Total Customers'!$F$7:$AB$91,MATCH($C134,'Total Customers'!$D$7:$D$91,0),MATCH($G134,'Total Customers'!$F$5:$AB$5,0)),"NA")</f>
        <v>3980</v>
      </c>
      <c r="AW134" s="68">
        <f t="shared" si="287"/>
        <v>-3.8447317909781682E-2</v>
      </c>
      <c r="AX134" s="114"/>
      <c r="AY134" s="114"/>
      <c r="AZ134" s="116"/>
      <c r="BA134" s="116"/>
      <c r="BB134" s="166"/>
      <c r="BC134" s="166"/>
      <c r="BD134" s="166"/>
      <c r="BE134" s="166"/>
      <c r="BF134" s="166"/>
      <c r="BG134" s="166"/>
      <c r="BH134" s="166"/>
      <c r="BI134" s="113"/>
      <c r="BJ134" s="113"/>
      <c r="BK134" s="113">
        <f>INDEX('Dist. Plant Gas Additions'!$F$7:$AE$91,MATCH($C134,'Dist. Plant Gas Additions'!$D$7:$D$91,0),MATCH(Calculation!$G134,'Dist. Plant Gas Additions'!$F$5:$AE$5,0))</f>
        <v>748</v>
      </c>
      <c r="BL134" s="113">
        <f>INDEX('Gen. Plant Additions'!$F$7:$AE$91,MATCH($C134,'Gen. Plant Additions'!$D$7:$D$91,0),MATCH(Calculation!$G134,'Gen. Plant Additions'!$F$5:$AE$5,0))</f>
        <v>0</v>
      </c>
      <c r="BM134" s="231">
        <f t="shared" si="275"/>
        <v>0.85772801747678862</v>
      </c>
      <c r="BN134" s="61">
        <f t="shared" si="270"/>
        <v>0</v>
      </c>
      <c r="BO134" s="113">
        <f>INDEX('Dist Plant Depreciation'!$E$7:$AD$94,MATCH($C134,'Dist Plant Depreciation'!$D$7:$D$94,0),MATCH(Calculation!$G134,'Dist Plant Depreciation'!$E$5:$AD$5,0))</f>
        <v>1782</v>
      </c>
      <c r="BP134" s="113">
        <f>INDEX('Gen. Plant Depreciation'!$E$7:$AD$94,MATCH($C134,'Gen. Plant Depreciation'!$D$7:$D$94,0),MATCH(Calculation!$G134,'Gen. Plant Depreciation'!$E$5:$AD$5,0))</f>
        <v>347</v>
      </c>
      <c r="BQ134" s="113"/>
      <c r="BR134" s="113"/>
      <c r="BS134" s="113"/>
      <c r="BT134" s="113"/>
      <c r="BU134" s="113"/>
      <c r="BV134" s="113"/>
      <c r="BW134" s="113">
        <f>INDEX('Gross Dx Plant'!$E$7:$AD$91,MATCH($C134,'Gross Dx Plant'!$D$7:$D$91,0),MATCH(Calculation!$G134,'Gross Dx Plant'!$E$5:$AD$5,0))</f>
        <v>6282</v>
      </c>
      <c r="BX134" s="113">
        <f>INDEX('Gross Gen Plant'!$E$7:$AD$91,MATCH($C134,'Gross Gen Plant'!$D$7:$D$91,0),MATCH(Calculation!$G134,'Gross Gen Plant'!$E$5:$AD$5,0))</f>
        <v>1042</v>
      </c>
      <c r="BY134" s="113">
        <f t="shared" si="182"/>
        <v>5195</v>
      </c>
      <c r="BZ134" s="113"/>
      <c r="CA134" s="116">
        <v>2004</v>
      </c>
      <c r="CB134" s="113"/>
      <c r="CC134" s="113"/>
      <c r="CD134" s="113"/>
      <c r="CE134" s="175"/>
      <c r="CF134" s="113">
        <f t="shared" si="276"/>
        <v>748</v>
      </c>
      <c r="CG134" s="113">
        <f t="shared" si="277"/>
        <v>1.80289971729898</v>
      </c>
      <c r="CH134" s="178">
        <v>0.967741935483871</v>
      </c>
      <c r="CI134" s="61">
        <f>+CI128*CH134+CG129*CH133+CG130*CH132+CG131*CH131+CG132*CH130+CG133*CH129+CG134</f>
        <v>24.822036081006072</v>
      </c>
      <c r="CJ134" s="114">
        <f t="shared" si="278"/>
        <v>6.9641400645210766E-2</v>
      </c>
      <c r="CK134" s="114"/>
      <c r="CL134" s="169">
        <f t="shared" si="279"/>
        <v>5.7479408537353446E-3</v>
      </c>
      <c r="CM134" s="169">
        <f t="shared" si="288"/>
        <v>5.7184607465668611E-3</v>
      </c>
      <c r="CN134" s="114">
        <f>VLOOKUP($H134,RoR!$E:$F,2,FALSE)</f>
        <v>5.6283333333333331E-2</v>
      </c>
      <c r="CO134" s="169">
        <v>2.6778252812867276E-2</v>
      </c>
      <c r="CP134" s="169">
        <f t="shared" si="285"/>
        <v>2.9505080520466055E-2</v>
      </c>
      <c r="CQ134" s="169">
        <f t="shared" si="289"/>
        <v>2.5183480861966763E-2</v>
      </c>
      <c r="CR134" s="169">
        <f t="shared" si="290"/>
        <v>5.5940039414565046E-2</v>
      </c>
      <c r="CS134" s="179">
        <f t="shared" si="280"/>
        <v>0.85126000000000002</v>
      </c>
      <c r="CT134" s="180">
        <f t="shared" si="281"/>
        <v>0.91114097628755619</v>
      </c>
      <c r="CU134" s="180">
        <f t="shared" si="282"/>
        <v>0.53081877405981637</v>
      </c>
      <c r="CV134" s="180">
        <f t="shared" si="283"/>
        <v>0.88811215519385678</v>
      </c>
      <c r="CW134" s="180">
        <f t="shared" si="284"/>
        <v>0.42953609753547711</v>
      </c>
      <c r="CX134" s="181">
        <f>INDEX('State Tax Lookup'!$D$7:$Z$91,MATCH(Calculation!$C134,'State Tax Lookup'!$B$7:$B$91,0),MATCH($H134,'State Tax Lookup'!$D$6:$Z$6,0))</f>
        <v>0.40200000000000002</v>
      </c>
      <c r="CY134" s="72">
        <v>0.37</v>
      </c>
      <c r="CZ134" s="70">
        <f t="shared" si="286"/>
        <v>14.793651239865518</v>
      </c>
      <c r="DA134" s="70"/>
      <c r="DB134" s="69">
        <f t="shared" si="291"/>
        <v>0.10205966938960929</v>
      </c>
      <c r="DC134" s="111">
        <f>VLOOKUP($H134,RoR!$E:$F,2,FALSE)</f>
        <v>5.6283333333333331E-2</v>
      </c>
      <c r="DD134" s="216">
        <f>HLOOKUP($H134,'GDP-PI'!$D$8:$CQ$11,3,FALSE)</f>
        <v>2.6778252812867276E-2</v>
      </c>
      <c r="DE134" s="111">
        <f>VLOOKUP(H134,'HW Dx Data'!$E:$F,2,FALSE)</f>
        <v>414.88719135228365</v>
      </c>
      <c r="DF134" s="72">
        <f t="shared" ref="DF134:DF152" si="299">VLOOKUP(G134,EG$8:EH$27,2,FALSE)</f>
        <v>94.35</v>
      </c>
      <c r="DG134" s="69">
        <f t="shared" ref="DG134:DG152" si="300">LN(DF134/DF133)</f>
        <v>5.5569851154810786E-2</v>
      </c>
      <c r="DH134" s="66">
        <f>HLOOKUP(H134,'GDP-PI'!$8:$9,2,FALSE)</f>
        <v>84.778000000000006</v>
      </c>
      <c r="DI134" s="69">
        <f t="shared" si="292"/>
        <v>2.6425990216022755E-2</v>
      </c>
      <c r="DO134" s="184"/>
      <c r="DP134" s="184"/>
      <c r="DQ134" s="184"/>
      <c r="DR134" s="184"/>
      <c r="DS134" s="184"/>
      <c r="DT134" s="184"/>
      <c r="DU134" s="184"/>
      <c r="DV134" s="184"/>
      <c r="DW134" s="184"/>
      <c r="EB134"/>
    </row>
    <row r="135" spans="1:132" s="160" customFormat="1" ht="21">
      <c r="A135" s="160" t="s">
        <v>167</v>
      </c>
      <c r="B135" s="161" t="s">
        <v>167</v>
      </c>
      <c r="C135" s="161">
        <v>4058793</v>
      </c>
      <c r="D135" s="161" t="s">
        <v>168</v>
      </c>
      <c r="E135" s="161"/>
      <c r="F135" s="161"/>
      <c r="G135" s="161" t="s">
        <v>116</v>
      </c>
      <c r="H135" s="162">
        <v>2005</v>
      </c>
      <c r="I135" s="163"/>
      <c r="J135" s="159">
        <f>IFERROR(INDEX('Labor Expenditures'!$F$7:$X$91,MATCH($C135,'Labor Expenditures'!$D$7:$D$91,0),MATCH($G135,'Labor Expenditures'!$F$5:$X$5,0)),"NA")</f>
        <v>362.92232194645453</v>
      </c>
      <c r="K135" s="159">
        <f t="shared" si="293"/>
        <v>3.6575693821764128</v>
      </c>
      <c r="L135" s="165">
        <f t="shared" ref="L135:L151" si="301">LN(K135/K134)</f>
        <v>-0.12069688842051822</v>
      </c>
      <c r="M135" s="76"/>
      <c r="N135" s="62">
        <v>100</v>
      </c>
      <c r="O135" s="77"/>
      <c r="P135" s="77"/>
      <c r="Q135" s="159">
        <f>IFERROR(INDEX('Non-Labor Expenditures'!$F$7:$AB$91,MATCH($C135,'Non-Labor Expenditures'!$D$7:$D$91,0),MATCH($G135,'Non-Labor Expenditures'!$F$5:$AB$5,0)),"NA")</f>
        <v>525.57930671804058</v>
      </c>
      <c r="R135" s="159">
        <f t="shared" si="294"/>
        <v>6.0130116205571706</v>
      </c>
      <c r="S135" s="165">
        <f>LN(R135/R134)</f>
        <v>-0.10085745737668182</v>
      </c>
      <c r="T135" s="165"/>
      <c r="U135" s="165"/>
      <c r="V135" s="165"/>
      <c r="W135" s="159">
        <f t="shared" si="274"/>
        <v>413.80184490213901</v>
      </c>
      <c r="X135" s="163"/>
      <c r="Y135" s="167">
        <v>26.101505183343161</v>
      </c>
      <c r="Z135" s="168">
        <v>5.026117222962128E-2</v>
      </c>
      <c r="AA135" s="76">
        <f t="shared" si="295"/>
        <v>0</v>
      </c>
      <c r="AB135" s="168"/>
      <c r="AC135" s="168"/>
      <c r="AD135" s="163">
        <f t="shared" si="226"/>
        <v>1302.3034735666342</v>
      </c>
      <c r="AE135" s="168">
        <f>LN(AD135/AD134)</f>
        <v>5.0570559824174785E-3</v>
      </c>
      <c r="AF135" s="163"/>
      <c r="AG135" s="163"/>
      <c r="AH135" s="163"/>
      <c r="AI135" s="163"/>
      <c r="AJ135" s="116"/>
      <c r="AK135" s="114"/>
      <c r="AL135" s="115">
        <f t="shared" si="296"/>
        <v>0.27867722793713723</v>
      </c>
      <c r="AM135" s="115">
        <f t="shared" si="297"/>
        <v>0.4035766757794404</v>
      </c>
      <c r="AN135" s="115">
        <f t="shared" si="298"/>
        <v>0.31774609628342226</v>
      </c>
      <c r="AO135" s="115">
        <f t="shared" ref="AO135:AO151" si="302">+(((AL135+AL134)/2)*L135+((AM134+AM135)/2)*S135+((AN134+AN135)/2)*Z135)</f>
        <v>-6.2621152226006851E-2</v>
      </c>
      <c r="AP135" s="166">
        <v>100</v>
      </c>
      <c r="AQ135" s="168"/>
      <c r="AR135" s="16"/>
      <c r="AS135" s="115"/>
      <c r="AT135" s="115"/>
      <c r="AU135" s="115"/>
      <c r="AV135" s="113">
        <f>IFERROR(INDEX('Total Customers'!$F$7:$AB$91,MATCH($C135,'Total Customers'!$D$7:$D$91,0),MATCH($G135,'Total Customers'!$F$5:$AB$5,0)),"NA")</f>
        <v>3886</v>
      </c>
      <c r="AW135" s="68">
        <f t="shared" si="287"/>
        <v>-2.3901468341097951E-2</v>
      </c>
      <c r="AX135" s="114"/>
      <c r="AY135" s="114"/>
      <c r="AZ135" s="116"/>
      <c r="BA135" s="116"/>
      <c r="BB135" s="166"/>
      <c r="BC135" s="166"/>
      <c r="BD135" s="166"/>
      <c r="BE135" s="166"/>
      <c r="BF135" s="166"/>
      <c r="BG135" s="166"/>
      <c r="BH135" s="166"/>
      <c r="BI135" s="113"/>
      <c r="BJ135" s="113"/>
      <c r="BK135" s="113">
        <f>INDEX('Dist. Plant Gas Additions'!$F$7:$AE$91,MATCH($C135,'Dist. Plant Gas Additions'!$D$7:$D$91,0),MATCH(Calculation!$G135,'Dist. Plant Gas Additions'!$F$5:$AE$5,0))</f>
        <v>652</v>
      </c>
      <c r="BL135" s="113">
        <f>INDEX('Gen. Plant Additions'!$F$7:$AE$91,MATCH($C135,'Gen. Plant Additions'!$D$7:$D$91,0),MATCH(Calculation!$G135,'Gen. Plant Additions'!$F$5:$AE$5,0))</f>
        <v>17</v>
      </c>
      <c r="BM135" s="231">
        <f t="shared" si="275"/>
        <v>0.87143966856551014</v>
      </c>
      <c r="BN135" s="61">
        <f t="shared" si="270"/>
        <v>14.814474365613673</v>
      </c>
      <c r="BO135" s="113">
        <f>INDEX('Dist Plant Depreciation'!$E$7:$AD$94,MATCH($C135,'Dist Plant Depreciation'!$D$7:$D$94,0),MATCH(Calculation!$G135,'Dist Plant Depreciation'!$E$5:$AD$5,0))</f>
        <v>1749</v>
      </c>
      <c r="BP135" s="113">
        <f>INDEX('Gen. Plant Depreciation'!$E$7:$AD$94,MATCH($C135,'Gen. Plant Depreciation'!$D$7:$D$94,0),MATCH(Calculation!$G135,'Gen. Plant Depreciation'!$E$5:$AD$5,0))</f>
        <v>349</v>
      </c>
      <c r="BQ135" s="113"/>
      <c r="BR135" s="113"/>
      <c r="BS135" s="113"/>
      <c r="BT135" s="113"/>
      <c r="BU135" s="113"/>
      <c r="BV135" s="113"/>
      <c r="BW135" s="113">
        <f>INDEX('Gross Dx Plant'!$E$7:$AD$91,MATCH($C135,'Gross Dx Plant'!$D$7:$D$91,0),MATCH(Calculation!$G135,'Gross Dx Plant'!$E$5:$AD$5,0))</f>
        <v>6731</v>
      </c>
      <c r="BX135" s="113">
        <f>INDEX('Gross Gen Plant'!$E$7:$AD$91,MATCH($C135,'Gross Gen Plant'!$D$7:$D$91,0),MATCH(Calculation!$G135,'Gross Gen Plant'!$E$5:$AD$5,0))</f>
        <v>993</v>
      </c>
      <c r="BY135" s="113">
        <f t="shared" si="182"/>
        <v>5626</v>
      </c>
      <c r="BZ135" s="113"/>
      <c r="CA135" s="116">
        <v>2005</v>
      </c>
      <c r="CB135" s="113"/>
      <c r="CC135" s="113"/>
      <c r="CD135" s="113"/>
      <c r="CE135" s="175"/>
      <c r="CF135" s="113">
        <f t="shared" si="276"/>
        <v>669</v>
      </c>
      <c r="CG135" s="113">
        <f t="shared" si="277"/>
        <v>1.4258155814360289</v>
      </c>
      <c r="CH135" s="178">
        <v>0.96174863387978138</v>
      </c>
      <c r="CI135" s="61">
        <f>+CI128*CH135+CG129*CH134+CG130*CH133+CG131*CH132+CG132*CH131+CG133*CH130+CG134*CH129+CG135</f>
        <v>26.101505183343161</v>
      </c>
      <c r="CJ135" s="114">
        <f t="shared" si="278"/>
        <v>5.026117222962128E-2</v>
      </c>
      <c r="CK135" s="114"/>
      <c r="CL135" s="169">
        <f t="shared" si="279"/>
        <v>5.8958289570340732E-3</v>
      </c>
      <c r="CM135" s="169">
        <f t="shared" si="288"/>
        <v>5.7463572037298035E-3</v>
      </c>
      <c r="CN135" s="114">
        <f>VLOOKUP($H135,RoR!$E:$F,2,FALSE)</f>
        <v>5.2350000000000001E-2</v>
      </c>
      <c r="CO135" s="169">
        <v>3.1010403642454332E-2</v>
      </c>
      <c r="CP135" s="169">
        <f t="shared" si="285"/>
        <v>2.1339596357545669E-2</v>
      </c>
      <c r="CQ135" s="169">
        <f t="shared" si="289"/>
        <v>2.5155584404803821E-2</v>
      </c>
      <c r="CR135" s="169">
        <f t="shared" si="290"/>
        <v>9.2129610649277341E-2</v>
      </c>
      <c r="CS135" s="179">
        <f t="shared" si="280"/>
        <v>0.85126000000000002</v>
      </c>
      <c r="CT135" s="180">
        <f t="shared" si="281"/>
        <v>0.97959983346802826</v>
      </c>
      <c r="CU135" s="180">
        <f t="shared" si="282"/>
        <v>0.49744508118433622</v>
      </c>
      <c r="CV135" s="180">
        <f t="shared" si="283"/>
        <v>0.87010519444335932</v>
      </c>
      <c r="CW135" s="180">
        <f t="shared" si="284"/>
        <v>0.42399975420741998</v>
      </c>
      <c r="CX135" s="181">
        <f>INDEX('State Tax Lookup'!$D$7:$Z$91,MATCH(Calculation!$C135,'State Tax Lookup'!$B$7:$B$91,0),MATCH($H135,'State Tax Lookup'!$D$6:$Z$6,0))</f>
        <v>0.40200000000000002</v>
      </c>
      <c r="CY135" s="72">
        <v>0.37</v>
      </c>
      <c r="CZ135" s="70">
        <f t="shared" si="286"/>
        <v>16.670745443754388</v>
      </c>
      <c r="DA135" s="70"/>
      <c r="DB135" s="69">
        <f t="shared" si="291"/>
        <v>0.11945729498798244</v>
      </c>
      <c r="DC135" s="111">
        <f>VLOOKUP($H135,RoR!$E:$F,2,FALSE)</f>
        <v>5.2350000000000001E-2</v>
      </c>
      <c r="DD135" s="216">
        <f>HLOOKUP($H135,'GDP-PI'!$D$8:$CQ$11,3,FALSE)</f>
        <v>3.1010403642454332E-2</v>
      </c>
      <c r="DE135" s="111">
        <f>VLOOKUP(H135,'HW Dx Data'!$E:$F,2,FALSE)</f>
        <v>469.20514034936258</v>
      </c>
      <c r="DF135" s="72">
        <f t="shared" si="299"/>
        <v>99.224999999999994</v>
      </c>
      <c r="DG135" s="69">
        <f t="shared" si="300"/>
        <v>5.0378726854569796E-2</v>
      </c>
      <c r="DH135" s="66">
        <f>HLOOKUP(H135,'GDP-PI'!$8:$9,2,FALSE)</f>
        <v>87.406999999999996</v>
      </c>
      <c r="DI135" s="69">
        <f t="shared" si="292"/>
        <v>3.0539295810733648E-2</v>
      </c>
      <c r="DO135" s="184"/>
      <c r="DP135" s="184"/>
      <c r="DQ135" s="184"/>
      <c r="DR135" s="184"/>
      <c r="DS135" s="184"/>
      <c r="DT135" s="184"/>
      <c r="DU135" s="184"/>
      <c r="DV135" s="184"/>
      <c r="DW135" s="184"/>
      <c r="EB135"/>
    </row>
    <row r="136" spans="1:132" s="160" customFormat="1" ht="21">
      <c r="A136" s="160" t="s">
        <v>167</v>
      </c>
      <c r="B136" s="161" t="s">
        <v>167</v>
      </c>
      <c r="C136" s="161">
        <v>4058793</v>
      </c>
      <c r="D136" s="161" t="s">
        <v>168</v>
      </c>
      <c r="E136" s="161"/>
      <c r="F136" s="161"/>
      <c r="G136" s="161" t="s">
        <v>117</v>
      </c>
      <c r="H136" s="162">
        <v>2006</v>
      </c>
      <c r="I136" s="163"/>
      <c r="J136" s="159">
        <f>IFERROR(INDEX('Labor Expenditures'!$F$7:$X$91,MATCH($C136,'Labor Expenditures'!$D$7:$D$91,0),MATCH($G136,'Labor Expenditures'!$F$5:$X$5,0)),"NA")</f>
        <v>391.12473505935804</v>
      </c>
      <c r="K136" s="159">
        <f t="shared" si="293"/>
        <v>3.5751803935955944</v>
      </c>
      <c r="L136" s="165">
        <f t="shared" si="301"/>
        <v>-2.278318894861692E-2</v>
      </c>
      <c r="M136" s="76">
        <f t="shared" ref="M136:M152" si="303">+L136*$AR136</f>
        <v>-3.9583621940916972E-6</v>
      </c>
      <c r="N136" s="62">
        <f>+N135*EXP(O136)</f>
        <v>105.11541853306494</v>
      </c>
      <c r="O136" s="96">
        <f t="shared" ref="O136:O152" si="304">+M136+M161+M186+M211+M236+M261+M286+M311+M336+M361+M386+M411+M436+M461+M486+M511+M536+M561+M586+M611+M636+M661+M686+M711+M736+M761+M786+M811+M836+M861+M886+M911+M936+M961+M986+M1011+M1036+M1061+M1086+M1111+M1136+M1161+M1186+M1211+M1236+M1261+M1286+M1311+M1336+M1361+M1386+M1411+M1436+M1461</f>
        <v>4.988878458938599E-2</v>
      </c>
      <c r="P136" s="96"/>
      <c r="Q136" s="159">
        <f>IFERROR(INDEX('Non-Labor Expenditures'!$F$7:$AB$91,MATCH($C136,'Non-Labor Expenditures'!$D$7:$D$91,0),MATCH($G136,'Non-Labor Expenditures'!$F$5:$AB$5,0)),"NA")</f>
        <v>566.42166838970024</v>
      </c>
      <c r="R136" s="159">
        <f t="shared" si="294"/>
        <v>6.2884036280136364</v>
      </c>
      <c r="S136" s="165">
        <f t="shared" ref="S136:S151" si="305">LN(R136/R135)</f>
        <v>4.4781518644680586E-2</v>
      </c>
      <c r="T136" s="165">
        <f t="shared" ref="T136:T152" si="306">+S136*AR136</f>
        <v>7.7803625645599957E-6</v>
      </c>
      <c r="U136" s="165"/>
      <c r="V136" s="165"/>
      <c r="W136" s="159">
        <f t="shared" si="274"/>
        <v>425.36282977068078</v>
      </c>
      <c r="X136" s="163"/>
      <c r="Y136" s="167">
        <v>27.005991348313799</v>
      </c>
      <c r="Z136" s="168">
        <v>3.4065760651471932E-2</v>
      </c>
      <c r="AA136" s="76">
        <f t="shared" si="295"/>
        <v>5.9186016224453485E-6</v>
      </c>
      <c r="AB136" s="168"/>
      <c r="AC136" s="168"/>
      <c r="AD136" s="163">
        <f t="shared" si="226"/>
        <v>1382.909233219739</v>
      </c>
      <c r="AE136" s="168">
        <f t="shared" ref="AE136:AE152" si="307">LN(AD136/AD135)</f>
        <v>6.0054820931056963E-2</v>
      </c>
      <c r="AF136" s="163"/>
      <c r="AG136" s="163"/>
      <c r="AH136" s="163"/>
      <c r="AI136" s="163"/>
      <c r="AJ136" s="116">
        <f t="shared" ref="AJ136:AJ152" si="308">+(AD136*1000)/AV136</f>
        <v>370.25682281652985</v>
      </c>
      <c r="AK136" s="114">
        <f>+AV136/$AX$11</f>
        <v>1.0769446224694937E-4</v>
      </c>
      <c r="AL136" s="115">
        <f t="shared" si="296"/>
        <v>0.28282748112739647</v>
      </c>
      <c r="AM136" s="115">
        <f t="shared" si="297"/>
        <v>0.40958701755930643</v>
      </c>
      <c r="AN136" s="115">
        <f t="shared" si="298"/>
        <v>0.30758550131329715</v>
      </c>
      <c r="AO136" s="115">
        <f t="shared" si="302"/>
        <v>2.2462116871901687E-2</v>
      </c>
      <c r="AP136" s="166">
        <f>+AP135*EXP(AO136)</f>
        <v>102.27162897383582</v>
      </c>
      <c r="AQ136" s="168">
        <f>LN(AP136/AP135)</f>
        <v>2.2462116871901704E-2</v>
      </c>
      <c r="AR136" s="69">
        <f>+AD136/$AF$11</f>
        <v>1.7374048044894059E-4</v>
      </c>
      <c r="AS136" s="169">
        <f>+AR136*AQ136</f>
        <v>3.9025789772244569E-6</v>
      </c>
      <c r="AT136" s="115"/>
      <c r="AU136" s="115"/>
      <c r="AV136" s="113">
        <f>IFERROR(INDEX('Total Customers'!$F$7:$AB$91,MATCH($C136,'Total Customers'!$D$7:$D$91,0),MATCH($G136,'Total Customers'!$F$5:$AB$5,0)),"NA")</f>
        <v>3735</v>
      </c>
      <c r="AW136" s="68">
        <f t="shared" si="287"/>
        <v>-3.9632532370467745E-2</v>
      </c>
      <c r="AX136" s="114"/>
      <c r="AY136" s="114"/>
      <c r="AZ136" s="116"/>
      <c r="BA136" s="116"/>
      <c r="BB136" s="166"/>
      <c r="BC136" s="166"/>
      <c r="BD136" s="166"/>
      <c r="BE136" s="166"/>
      <c r="BF136" s="166"/>
      <c r="BG136" s="166"/>
      <c r="BH136" s="166"/>
      <c r="BI136" s="113"/>
      <c r="BJ136" s="113"/>
      <c r="BK136" s="113">
        <f>INDEX('Dist. Plant Gas Additions'!$F$7:$AE$91,MATCH($C136,'Dist. Plant Gas Additions'!$D$7:$D$91,0),MATCH(Calculation!$G136,'Dist. Plant Gas Additions'!$F$5:$AE$5,0))</f>
        <v>466</v>
      </c>
      <c r="BL136" s="113">
        <f>INDEX('Gen. Plant Additions'!$F$7:$AE$91,MATCH($C136,'Gen. Plant Additions'!$D$7:$D$91,0),MATCH(Calculation!$G136,'Gen. Plant Additions'!$F$5:$AE$5,0))</f>
        <v>24</v>
      </c>
      <c r="BM136" s="231">
        <f t="shared" si="275"/>
        <v>0.87459078317804084</v>
      </c>
      <c r="BN136" s="61">
        <f t="shared" si="270"/>
        <v>20.990178796272978</v>
      </c>
      <c r="BO136" s="113">
        <f>INDEX('Dist Plant Depreciation'!$E$7:$AD$94,MATCH($C136,'Dist Plant Depreciation'!$D$7:$D$94,0),MATCH(Calculation!$G136,'Dist Plant Depreciation'!$E$5:$AD$5,0))</f>
        <v>1757</v>
      </c>
      <c r="BP136" s="113">
        <f>INDEX('Gen. Plant Depreciation'!$E$7:$AD$94,MATCH($C136,'Gen. Plant Depreciation'!$D$7:$D$94,0),MATCH(Calculation!$G136,'Gen. Plant Depreciation'!$E$5:$AD$5,0))</f>
        <v>393</v>
      </c>
      <c r="BQ136" s="113"/>
      <c r="BR136" s="113"/>
      <c r="BS136" s="113"/>
      <c r="BT136" s="113"/>
      <c r="BU136" s="113"/>
      <c r="BV136" s="113"/>
      <c r="BW136" s="113">
        <f>INDEX('Gross Dx Plant'!$E$7:$AD$91,MATCH($C136,'Gross Dx Plant'!$D$7:$D$91,0),MATCH(Calculation!$G136,'Gross Dx Plant'!$E$5:$AD$5,0))</f>
        <v>6946</v>
      </c>
      <c r="BX136" s="113">
        <f>INDEX('Gross Gen Plant'!$E$7:$AD$91,MATCH($C136,'Gross Gen Plant'!$D$7:$D$91,0),MATCH(Calculation!$G136,'Gross Gen Plant'!$E$5:$AD$5,0))</f>
        <v>996</v>
      </c>
      <c r="BY136" s="113">
        <f t="shared" si="182"/>
        <v>5792</v>
      </c>
      <c r="BZ136" s="114"/>
      <c r="CA136" s="116">
        <v>2006</v>
      </c>
      <c r="CB136" s="113"/>
      <c r="CC136" s="113"/>
      <c r="CD136" s="113"/>
      <c r="CE136" s="175"/>
      <c r="CF136" s="113">
        <f t="shared" si="276"/>
        <v>490</v>
      </c>
      <c r="CG136" s="113">
        <f t="shared" si="277"/>
        <v>1.0627092294998091</v>
      </c>
      <c r="CH136" s="178">
        <v>0.9555555555555556</v>
      </c>
      <c r="CI136" s="61">
        <f>+CI128*CH136+CG129*CH135+CG130*CH134+CG131*CH133+CG132*CH132+CG133*CH131+CG134*CH130+CG135*CH129+CG136</f>
        <v>27.005991348313799</v>
      </c>
      <c r="CJ136" s="114">
        <f t="shared" si="278"/>
        <v>3.4065760651471932E-2</v>
      </c>
      <c r="CK136" s="114"/>
      <c r="CL136" s="169">
        <f t="shared" si="279"/>
        <v>6.0618367951493354E-3</v>
      </c>
      <c r="CM136" s="169">
        <f t="shared" si="288"/>
        <v>5.9018688686395841E-3</v>
      </c>
      <c r="CN136" s="114">
        <f>VLOOKUP($H136,RoR!$E:$F,2,FALSE)</f>
        <v>5.5874999999999994E-2</v>
      </c>
      <c r="CO136" s="169">
        <v>3.0512430354548314E-2</v>
      </c>
      <c r="CP136" s="169">
        <f t="shared" si="285"/>
        <v>2.536256964545168E-2</v>
      </c>
      <c r="CQ136" s="169">
        <f t="shared" si="289"/>
        <v>2.500007273989404E-2</v>
      </c>
      <c r="CR136" s="169">
        <f t="shared" si="290"/>
        <v>7.9087823893859641E-2</v>
      </c>
      <c r="CS136" s="179">
        <f t="shared" si="280"/>
        <v>0.85126000000000002</v>
      </c>
      <c r="CT136" s="180">
        <f t="shared" si="281"/>
        <v>0.91779957551769631</v>
      </c>
      <c r="CU136" s="180">
        <f t="shared" si="282"/>
        <v>0.52757270693512304</v>
      </c>
      <c r="CV136" s="180">
        <f t="shared" si="283"/>
        <v>0.88636824549024895</v>
      </c>
      <c r="CW136" s="180">
        <f t="shared" si="284"/>
        <v>0.42918482841932087</v>
      </c>
      <c r="CX136" s="181">
        <f>INDEX('State Tax Lookup'!$D$7:$Z$91,MATCH(Calculation!$C136,'State Tax Lookup'!$B$7:$B$91,0),MATCH($H136,'State Tax Lookup'!$D$6:$Z$6,0))</f>
        <v>0.40200000000000002</v>
      </c>
      <c r="CY136" s="72">
        <v>0.37</v>
      </c>
      <c r="CZ136" s="70">
        <f t="shared" si="286"/>
        <v>16.296486611895805</v>
      </c>
      <c r="DA136" s="70">
        <v>14.788696346247992</v>
      </c>
      <c r="DB136" s="69">
        <f t="shared" si="291"/>
        <v>-2.2705874147596124E-2</v>
      </c>
      <c r="DC136" s="111">
        <f>VLOOKUP($H136,RoR!$E:$F,2,FALSE)</f>
        <v>5.5874999999999994E-2</v>
      </c>
      <c r="DD136" s="216">
        <f>HLOOKUP($H136,'GDP-PI'!$D$8:$CQ$11,3,FALSE)</f>
        <v>3.0512430354548314E-2</v>
      </c>
      <c r="DE136" s="111">
        <f>VLOOKUP(H136,'HW Dx Data'!$E:$F,2,FALSE)</f>
        <v>461.08567272971823</v>
      </c>
      <c r="DF136" s="72">
        <f t="shared" si="299"/>
        <v>109.4</v>
      </c>
      <c r="DG136" s="69">
        <f t="shared" si="300"/>
        <v>9.7620891318751846E-2</v>
      </c>
      <c r="DH136" s="66">
        <f>HLOOKUP(H136,'GDP-PI'!$8:$9,2,FALSE)</f>
        <v>90.073999999999998</v>
      </c>
      <c r="DI136" s="69">
        <f t="shared" si="292"/>
        <v>3.005618372545445E-2</v>
      </c>
      <c r="DO136" s="184"/>
      <c r="DP136" s="184"/>
      <c r="DQ136" s="184"/>
      <c r="DR136" s="184"/>
      <c r="DS136" s="184"/>
      <c r="DT136" s="184"/>
      <c r="DU136" s="184"/>
      <c r="DV136" s="184"/>
      <c r="DW136" s="184"/>
      <c r="EB136"/>
    </row>
    <row r="137" spans="1:132" s="160" customFormat="1" ht="21">
      <c r="A137" s="160" t="s">
        <v>167</v>
      </c>
      <c r="B137" s="161" t="s">
        <v>167</v>
      </c>
      <c r="C137" s="161">
        <v>4058793</v>
      </c>
      <c r="D137" s="161" t="s">
        <v>168</v>
      </c>
      <c r="E137" s="161"/>
      <c r="F137" s="161"/>
      <c r="G137" s="161" t="s">
        <v>118</v>
      </c>
      <c r="H137" s="162">
        <v>2007</v>
      </c>
      <c r="I137" s="163"/>
      <c r="J137" s="159">
        <f>IFERROR(INDEX('Labor Expenditures'!$F$7:$X$91,MATCH($C137,'Labor Expenditures'!$D$7:$D$91,0),MATCH($G137,'Labor Expenditures'!$F$5:$X$5,0)),"NA")</f>
        <v>391.40797931382116</v>
      </c>
      <c r="K137" s="159">
        <f t="shared" si="293"/>
        <v>3.744635056817232</v>
      </c>
      <c r="L137" s="165">
        <f t="shared" si="301"/>
        <v>4.6308529487978048E-2</v>
      </c>
      <c r="M137" s="76">
        <f t="shared" si="303"/>
        <v>7.8828515888894935E-6</v>
      </c>
      <c r="N137" s="62">
        <f t="shared" ref="N137:N150" si="309">+N136*EXP(O137)</f>
        <v>116.95828573985222</v>
      </c>
      <c r="O137" s="96">
        <f t="shared" si="304"/>
        <v>0.10675836850956996</v>
      </c>
      <c r="P137" s="96"/>
      <c r="Q137" s="159">
        <f>IFERROR(INDEX('Non-Labor Expenditures'!$F$7:$AB$91,MATCH($C137,'Non-Labor Expenditures'!$D$7:$D$91,0),MATCH($G137,'Non-Labor Expenditures'!$F$5:$AB$5,0)),"NA")</f>
        <v>566.83185897289218</v>
      </c>
      <c r="R137" s="159">
        <f t="shared" si="294"/>
        <v>6.1280444871553135</v>
      </c>
      <c r="S137" s="165">
        <f t="shared" si="305"/>
        <v>-2.5831551207312006E-2</v>
      </c>
      <c r="T137" s="165">
        <f t="shared" si="306"/>
        <v>-4.3971658510750657E-6</v>
      </c>
      <c r="U137" s="165"/>
      <c r="V137" s="165"/>
      <c r="W137" s="159">
        <f t="shared" si="274"/>
        <v>472.96554099327182</v>
      </c>
      <c r="X137" s="163"/>
      <c r="Y137" s="167">
        <v>27.797040981906356</v>
      </c>
      <c r="Z137" s="168">
        <v>2.8870832354565928E-2</v>
      </c>
      <c r="AA137" s="76">
        <f t="shared" si="295"/>
        <v>4.9145263132968717E-6</v>
      </c>
      <c r="AB137" s="168"/>
      <c r="AC137" s="168"/>
      <c r="AD137" s="163">
        <f t="shared" si="226"/>
        <v>1431.2053792799852</v>
      </c>
      <c r="AE137" s="168">
        <f t="shared" si="307"/>
        <v>3.4327591611146832E-2</v>
      </c>
      <c r="AF137" s="163"/>
      <c r="AG137" s="163"/>
      <c r="AH137" s="163"/>
      <c r="AI137" s="163"/>
      <c r="AJ137" s="116">
        <f t="shared" si="308"/>
        <v>389.4436406204041</v>
      </c>
      <c r="AK137" s="114">
        <f>+AV137/$AX$12</f>
        <v>1.051666169736516E-4</v>
      </c>
      <c r="AL137" s="115">
        <f t="shared" si="296"/>
        <v>0.27348135004266949</v>
      </c>
      <c r="AM137" s="115">
        <f t="shared" si="297"/>
        <v>0.39605207413212457</v>
      </c>
      <c r="AN137" s="115">
        <f t="shared" si="298"/>
        <v>0.33046657582520589</v>
      </c>
      <c r="AO137" s="115">
        <f t="shared" si="302"/>
        <v>1.1686015506785177E-2</v>
      </c>
      <c r="AP137" s="166">
        <f>+AP136*EXP(AO137)</f>
        <v>103.47378735584752</v>
      </c>
      <c r="AQ137" s="168">
        <f>LN(AP137/AP136)</f>
        <v>1.1686015506785215E-2</v>
      </c>
      <c r="AR137" s="69">
        <f>+AD137/$AF$12</f>
        <v>1.7022461468865958E-4</v>
      </c>
      <c r="AS137" s="169">
        <f t="shared" ref="AS137:AS151" si="310">+AR137*AQ137</f>
        <v>1.989247486888214E-6</v>
      </c>
      <c r="AT137" s="115"/>
      <c r="AU137" s="115"/>
      <c r="AV137" s="113">
        <f>IFERROR(INDEX('Total Customers'!$F$7:$AB$91,MATCH($C137,'Total Customers'!$D$7:$D$91,0),MATCH($G137,'Total Customers'!$F$5:$AB$5,0)),"NA")</f>
        <v>3675</v>
      </c>
      <c r="AW137" s="68">
        <f t="shared" si="287"/>
        <v>-1.6194685919980606E-2</v>
      </c>
      <c r="AX137" s="114"/>
      <c r="AY137" s="114"/>
      <c r="AZ137" s="116"/>
      <c r="BA137" s="116"/>
      <c r="BB137" s="166"/>
      <c r="BC137" s="166"/>
      <c r="BD137" s="166"/>
      <c r="BE137" s="166"/>
      <c r="BF137" s="166"/>
      <c r="BG137" s="166"/>
      <c r="BH137" s="166"/>
      <c r="BI137" s="113"/>
      <c r="BJ137" s="113"/>
      <c r="BK137" s="113">
        <f>INDEX('Dist. Plant Gas Additions'!$F$7:$AE$91,MATCH($C137,'Dist. Plant Gas Additions'!$D$7:$D$91,0),MATCH(Calculation!$G137,'Dist. Plant Gas Additions'!$F$5:$AE$5,0))</f>
        <v>374</v>
      </c>
      <c r="BL137" s="113">
        <f>INDEX('Gen. Plant Additions'!$F$7:$AE$91,MATCH($C137,'Gen. Plant Additions'!$D$7:$D$91,0),MATCH(Calculation!$G137,'Gen. Plant Additions'!$F$5:$AE$5,0))</f>
        <v>104</v>
      </c>
      <c r="BM137" s="231">
        <f t="shared" si="275"/>
        <v>0.87220678825945164</v>
      </c>
      <c r="BN137" s="61">
        <f t="shared" si="270"/>
        <v>90.709505978982975</v>
      </c>
      <c r="BO137" s="113">
        <f>INDEX('Dist Plant Depreciation'!$E$7:$AD$94,MATCH($C137,'Dist Plant Depreciation'!$D$7:$D$94,0),MATCH(Calculation!$G137,'Dist Plant Depreciation'!$E$5:$AD$5,0))</f>
        <v>1878</v>
      </c>
      <c r="BP137" s="113">
        <f>INDEX('Gen. Plant Depreciation'!$E$7:$AD$94,MATCH($C137,'Gen. Plant Depreciation'!$D$7:$D$94,0),MATCH(Calculation!$G137,'Gen. Plant Depreciation'!$E$5:$AD$5,0))</f>
        <v>498</v>
      </c>
      <c r="BQ137" s="113"/>
      <c r="BR137" s="113"/>
      <c r="BS137" s="113"/>
      <c r="BT137" s="113"/>
      <c r="BU137" s="113"/>
      <c r="BV137" s="113"/>
      <c r="BW137" s="113">
        <f>INDEX('Gross Dx Plant'!$E$7:$AD$91,MATCH($C137,'Gross Dx Plant'!$D$7:$D$91,0),MATCH(Calculation!$G137,'Gross Dx Plant'!$E$5:$AD$5,0))</f>
        <v>7221</v>
      </c>
      <c r="BX137" s="113">
        <f>INDEX('Gross Gen Plant'!$E$7:$AD$91,MATCH($C137,'Gross Gen Plant'!$D$7:$D$91,0),MATCH(Calculation!$G137,'Gross Gen Plant'!$E$5:$AD$5,0))</f>
        <v>1058</v>
      </c>
      <c r="BY137" s="113">
        <f t="shared" si="182"/>
        <v>5903</v>
      </c>
      <c r="BZ137" s="113"/>
      <c r="CA137" s="116">
        <v>2007</v>
      </c>
      <c r="CB137" s="113"/>
      <c r="CC137" s="113"/>
      <c r="CD137" s="113"/>
      <c r="CE137" s="175"/>
      <c r="CF137" s="113">
        <f t="shared" si="276"/>
        <v>478</v>
      </c>
      <c r="CG137" s="113">
        <f t="shared" si="277"/>
        <v>0.95979634876787412</v>
      </c>
      <c r="CH137" s="178">
        <v>0.94915254237288138</v>
      </c>
      <c r="CI137" s="61">
        <f>+CI128*CH137+CG129*CH136+CG130*CH135+CG131*CH134+CG132*CH133+CG133*CH132+CG134*CH131+CG135*CH130+CG136*CH129+CG137</f>
        <v>27.797040981906356</v>
      </c>
      <c r="CJ137" s="114">
        <f t="shared" si="278"/>
        <v>2.8870832354565928E-2</v>
      </c>
      <c r="CK137" s="114"/>
      <c r="CL137" s="169">
        <f t="shared" si="279"/>
        <v>6.2484917883176743E-3</v>
      </c>
      <c r="CM137" s="169">
        <f t="shared" si="288"/>
        <v>6.0687191801670273E-3</v>
      </c>
      <c r="CN137" s="114">
        <f>VLOOKUP($H137,RoR!$E:$F,2,FALSE)</f>
        <v>5.5558333333333321E-2</v>
      </c>
      <c r="CO137" s="169">
        <v>2.691120634145272E-2</v>
      </c>
      <c r="CP137" s="169">
        <f t="shared" si="285"/>
        <v>2.86471269918806E-2</v>
      </c>
      <c r="CQ137" s="169">
        <f t="shared" si="289"/>
        <v>2.4833222428366598E-2</v>
      </c>
      <c r="CR137" s="169">
        <f t="shared" si="290"/>
        <v>6.4575155250632399E-2</v>
      </c>
      <c r="CS137" s="179">
        <f t="shared" si="280"/>
        <v>0.85126000000000002</v>
      </c>
      <c r="CT137" s="180">
        <f t="shared" si="281"/>
        <v>0.92303077153834634</v>
      </c>
      <c r="CU137" s="180">
        <f t="shared" si="282"/>
        <v>0.52502249887505614</v>
      </c>
      <c r="CV137" s="180">
        <f t="shared" si="283"/>
        <v>0.88499666072084604</v>
      </c>
      <c r="CW137" s="180">
        <f t="shared" si="284"/>
        <v>0.42887993290280618</v>
      </c>
      <c r="CX137" s="181">
        <f>INDEX('State Tax Lookup'!$D$7:$Z$91,MATCH(Calculation!$C137,'State Tax Lookup'!$B$7:$B$91,0),MATCH($H137,'State Tax Lookup'!$D$6:$Z$6,0))</f>
        <v>0.40200000000000002</v>
      </c>
      <c r="CY137" s="72">
        <v>0.37</v>
      </c>
      <c r="CZ137" s="70">
        <f t="shared" si="286"/>
        <v>17.513356013972167</v>
      </c>
      <c r="DA137" s="70">
        <v>16.108943221861779</v>
      </c>
      <c r="DB137" s="69">
        <f t="shared" si="291"/>
        <v>7.2014251341218041E-2</v>
      </c>
      <c r="DC137" s="111">
        <f>VLOOKUP($H137,RoR!$E:$F,2,FALSE)</f>
        <v>5.5558333333333321E-2</v>
      </c>
      <c r="DD137" s="216">
        <f>HLOOKUP($H137,'GDP-PI'!$D$8:$CQ$11,3,FALSE)</f>
        <v>2.691120634145272E-2</v>
      </c>
      <c r="DE137" s="111">
        <f>VLOOKUP(H137,'HW Dx Data'!$E:$F,2,FALSE)</f>
        <v>498.0223154772637</v>
      </c>
      <c r="DF137" s="72">
        <f t="shared" si="299"/>
        <v>104.52499999999999</v>
      </c>
      <c r="DG137" s="69">
        <f t="shared" si="300"/>
        <v>-4.5584612745252218E-2</v>
      </c>
      <c r="DH137" s="66">
        <f>HLOOKUP(H137,'GDP-PI'!$8:$9,2,FALSE)</f>
        <v>92.498000000000005</v>
      </c>
      <c r="DI137" s="69">
        <f t="shared" si="292"/>
        <v>2.6555467950038037E-2</v>
      </c>
      <c r="DO137" s="184"/>
      <c r="DP137" s="184"/>
      <c r="DQ137" s="184"/>
      <c r="DR137" s="184"/>
      <c r="DS137" s="184"/>
      <c r="DT137" s="184"/>
      <c r="DU137" s="184"/>
      <c r="DV137" s="184"/>
      <c r="DW137" s="184"/>
      <c r="EB137"/>
    </row>
    <row r="138" spans="1:132" s="160" customFormat="1" ht="21">
      <c r="A138" s="160" t="s">
        <v>167</v>
      </c>
      <c r="B138" s="161" t="s">
        <v>167</v>
      </c>
      <c r="C138" s="161">
        <v>4058793</v>
      </c>
      <c r="D138" s="161" t="s">
        <v>168</v>
      </c>
      <c r="E138" s="161"/>
      <c r="F138" s="161"/>
      <c r="G138" s="161" t="s">
        <v>120</v>
      </c>
      <c r="H138" s="162">
        <v>2008</v>
      </c>
      <c r="I138" s="163"/>
      <c r="J138" s="159">
        <f>IFERROR(INDEX('Labor Expenditures'!$F$7:$X$91,MATCH($C138,'Labor Expenditures'!$D$7:$D$91,0),MATCH($G138,'Labor Expenditures'!$F$5:$X$5,0)),"NA")</f>
        <v>314.41990659111622</v>
      </c>
      <c r="K138" s="159">
        <f t="shared" si="293"/>
        <v>2.9139935735969993</v>
      </c>
      <c r="L138" s="165">
        <f t="shared" si="301"/>
        <v>-0.25079966169183282</v>
      </c>
      <c r="M138" s="76">
        <f t="shared" si="303"/>
        <v>-3.6909287157670555E-5</v>
      </c>
      <c r="N138" s="62">
        <f t="shared" si="309"/>
        <v>109.92103504242019</v>
      </c>
      <c r="O138" s="96">
        <f t="shared" si="304"/>
        <v>-6.2055094332558E-2</v>
      </c>
      <c r="P138" s="96"/>
      <c r="Q138" s="159">
        <f>IFERROR(INDEX('Non-Labor Expenditures'!$F$7:$AB$91,MATCH($C138,'Non-Labor Expenditures'!$D$7:$D$91,0),MATCH($G138,'Non-Labor Expenditures'!$F$5:$AB$5,0)),"NA")</f>
        <v>455.33875028191636</v>
      </c>
      <c r="R138" s="159">
        <f t="shared" si="294"/>
        <v>4.8304628520104851</v>
      </c>
      <c r="S138" s="165">
        <f t="shared" si="305"/>
        <v>-0.23793340041840497</v>
      </c>
      <c r="T138" s="165">
        <f t="shared" si="306"/>
        <v>-3.5015805608360996E-5</v>
      </c>
      <c r="U138" s="165"/>
      <c r="V138" s="165"/>
      <c r="W138" s="159">
        <f t="shared" si="274"/>
        <v>553.11792623452288</v>
      </c>
      <c r="X138" s="163"/>
      <c r="Y138" s="167">
        <v>28.418024489231243</v>
      </c>
      <c r="Z138" s="168">
        <v>2.2094033434472485E-2</v>
      </c>
      <c r="AA138" s="76">
        <f t="shared" si="295"/>
        <v>3.2514996990152428E-6</v>
      </c>
      <c r="AB138" s="168"/>
      <c r="AC138" s="168"/>
      <c r="AD138" s="163">
        <f t="shared" si="226"/>
        <v>1322.8765831075555</v>
      </c>
      <c r="AE138" s="168">
        <f t="shared" si="307"/>
        <v>-7.8708416637056647E-2</v>
      </c>
      <c r="AF138" s="163"/>
      <c r="AG138" s="163"/>
      <c r="AH138" s="163"/>
      <c r="AI138" s="163"/>
      <c r="AJ138" s="116">
        <f t="shared" si="308"/>
        <v>370.44989725778646</v>
      </c>
      <c r="AK138" s="114">
        <f>+AV138/$AX$13</f>
        <v>1.0164410405703433E-4</v>
      </c>
      <c r="AL138" s="115">
        <f t="shared" si="296"/>
        <v>0.23767894194068787</v>
      </c>
      <c r="AM138" s="115">
        <f t="shared" si="297"/>
        <v>0.34420350023301866</v>
      </c>
      <c r="AN138" s="115">
        <f t="shared" si="298"/>
        <v>0.41811755782629351</v>
      </c>
      <c r="AO138" s="115">
        <f t="shared" si="302"/>
        <v>-0.1438955557048453</v>
      </c>
      <c r="AP138" s="166">
        <f t="shared" ref="AP138:AP151" si="311">+AP137*EXP(AO138)</f>
        <v>89.606043067999977</v>
      </c>
      <c r="AQ138" s="168">
        <f t="shared" ref="AQ138:AQ151" si="312">LN(AP138/AP137)</f>
        <v>-0.1438955557048453</v>
      </c>
      <c r="AR138" s="69">
        <f>+AD138/$AF$13</f>
        <v>1.471664152522758E-4</v>
      </c>
      <c r="AS138" s="169">
        <f t="shared" si="310"/>
        <v>-2.1176593103816248E-5</v>
      </c>
      <c r="AT138" s="115"/>
      <c r="AU138" s="115"/>
      <c r="AV138" s="113">
        <f>IFERROR(INDEX('Total Customers'!$F$7:$AB$91,MATCH($C138,'Total Customers'!$D$7:$D$91,0),MATCH($G138,'Total Customers'!$F$5:$AB$5,0)),"NA")</f>
        <v>3571</v>
      </c>
      <c r="AW138" s="68">
        <f t="shared" si="287"/>
        <v>-2.8707464052488574E-2</v>
      </c>
      <c r="AX138" s="114"/>
      <c r="AY138" s="114"/>
      <c r="AZ138" s="116"/>
      <c r="BA138" s="116"/>
      <c r="BB138" s="166"/>
      <c r="BC138" s="166"/>
      <c r="BD138" s="166"/>
      <c r="BE138" s="166"/>
      <c r="BF138" s="166"/>
      <c r="BG138" s="166"/>
      <c r="BH138" s="166"/>
      <c r="BI138" s="113"/>
      <c r="BJ138" s="113"/>
      <c r="BK138" s="113">
        <f>INDEX('Dist. Plant Gas Additions'!$F$7:$AE$91,MATCH($C138,'Dist. Plant Gas Additions'!$D$7:$D$91,0),MATCH(Calculation!$G138,'Dist. Plant Gas Additions'!$F$5:$AE$5,0))</f>
        <v>366</v>
      </c>
      <c r="BL138" s="113">
        <f>INDEX('Gen. Plant Additions'!$F$7:$AE$91,MATCH($C138,'Gen. Plant Additions'!$D$7:$D$91,0),MATCH(Calculation!$G138,'Gen. Plant Additions'!$F$5:$AE$5,0))</f>
        <v>90</v>
      </c>
      <c r="BM138" s="231">
        <f t="shared" si="275"/>
        <v>0.86740586740586745</v>
      </c>
      <c r="BN138" s="61">
        <f t="shared" si="270"/>
        <v>78.066528066528065</v>
      </c>
      <c r="BO138" s="113"/>
      <c r="BP138" s="113"/>
      <c r="BQ138" s="113"/>
      <c r="BR138" s="113"/>
      <c r="BS138" s="113"/>
      <c r="BT138" s="113"/>
      <c r="BU138" s="113"/>
      <c r="BV138" s="113"/>
      <c r="BW138" s="113">
        <f>INDEX('Gross Dx Plant'!$E$7:$AD$91,MATCH($C138,'Gross Dx Plant'!$D$7:$D$91,0),MATCH(Calculation!$G138,'Gross Dx Plant'!$E$5:$AD$5,0))</f>
        <v>7510</v>
      </c>
      <c r="BX138" s="113">
        <f>INDEX('Gross Gen Plant'!$E$7:$AD$91,MATCH($C138,'Gross Gen Plant'!$D$7:$D$91,0),MATCH(Calculation!$G138,'Gross Gen Plant'!$E$5:$AD$5,0))</f>
        <v>1148</v>
      </c>
      <c r="BY138" s="113">
        <f t="shared" si="182"/>
        <v>8658</v>
      </c>
      <c r="BZ138" s="113"/>
      <c r="CA138" s="116">
        <v>2008</v>
      </c>
      <c r="CB138" s="113"/>
      <c r="CC138" s="113"/>
      <c r="CD138" s="113"/>
      <c r="CE138" s="175"/>
      <c r="CF138" s="113">
        <f t="shared" si="276"/>
        <v>456</v>
      </c>
      <c r="CG138" s="113">
        <f t="shared" si="277"/>
        <v>0.80016676691795274</v>
      </c>
      <c r="CH138" s="178">
        <v>0.94252873563218387</v>
      </c>
      <c r="CI138" s="61">
        <f>+CI128*CH138+CG129*CH137+CG130*CH136+CG131*CH135+CG132*CH134+CG133*CH133+CG134*CH132+CG135*CH131+CG136*CH130+CG137*CH129+CG138</f>
        <v>28.418024489231243</v>
      </c>
      <c r="CJ138" s="114">
        <f t="shared" si="278"/>
        <v>2.2094033434472485E-2</v>
      </c>
      <c r="CK138" s="114"/>
      <c r="CL138" s="169">
        <f t="shared" si="279"/>
        <v>6.4461271151019222E-3</v>
      </c>
      <c r="CM138" s="169">
        <f t="shared" si="288"/>
        <v>6.2521518995229779E-3</v>
      </c>
      <c r="CN138" s="114">
        <f>VLOOKUP($H138,RoR!$E:$F,2,FALSE)</f>
        <v>5.6316666666666668E-2</v>
      </c>
      <c r="CO138" s="169">
        <v>1.9092304698479889E-2</v>
      </c>
      <c r="CP138" s="169">
        <f t="shared" si="285"/>
        <v>3.7224361968186778E-2</v>
      </c>
      <c r="CQ138" s="169">
        <f t="shared" si="289"/>
        <v>2.4649789709010647E-2</v>
      </c>
      <c r="CR138" s="169">
        <f t="shared" si="290"/>
        <v>6.9030581091053131E-2</v>
      </c>
      <c r="CS138" s="179">
        <f t="shared" si="280"/>
        <v>0.85126000000000002</v>
      </c>
      <c r="CT138" s="180">
        <f t="shared" si="281"/>
        <v>0.91060168006009956</v>
      </c>
      <c r="CU138" s="180">
        <f t="shared" si="282"/>
        <v>0.53108168097070152</v>
      </c>
      <c r="CV138" s="180">
        <f t="shared" si="283"/>
        <v>0.88825329850328805</v>
      </c>
      <c r="CW138" s="180">
        <f t="shared" si="284"/>
        <v>0.4295627335323573</v>
      </c>
      <c r="CX138" s="181">
        <f>INDEX('State Tax Lookup'!$D$7:$Z$91,MATCH(Calculation!$C138,'State Tax Lookup'!$B$7:$B$91,0),MATCH($H138,'State Tax Lookup'!$D$6:$Z$6,0))</f>
        <v>0.40200000000000002</v>
      </c>
      <c r="CY138" s="72">
        <v>0.37</v>
      </c>
      <c r="CZ138" s="70">
        <f t="shared" si="286"/>
        <v>19.898446262483777</v>
      </c>
      <c r="DA138" s="70">
        <v>18.300102035478151</v>
      </c>
      <c r="DB138" s="69">
        <f t="shared" si="291"/>
        <v>0.12767786078189106</v>
      </c>
      <c r="DC138" s="111">
        <f>VLOOKUP($H138,RoR!$E:$F,2,FALSE)</f>
        <v>5.6316666666666668E-2</v>
      </c>
      <c r="DD138" s="216">
        <f>HLOOKUP($H138,'GDP-PI'!$D$8:$CQ$11,3,FALSE)</f>
        <v>1.9092304698479889E-2</v>
      </c>
      <c r="DE138" s="111">
        <f>VLOOKUP(H138,'HW Dx Data'!$E:$F,2,FALSE)</f>
        <v>569.88120333515076</v>
      </c>
      <c r="DF138" s="72">
        <f t="shared" si="299"/>
        <v>107.9</v>
      </c>
      <c r="DG138" s="69">
        <f t="shared" si="300"/>
        <v>3.1778595021460486E-2</v>
      </c>
      <c r="DH138" s="66">
        <f>HLOOKUP(H138,'GDP-PI'!$8:$9,2,FALSE)</f>
        <v>94.263999999999996</v>
      </c>
      <c r="DI138" s="69">
        <f t="shared" si="292"/>
        <v>1.8912333748032254E-2</v>
      </c>
      <c r="DO138" s="184"/>
      <c r="DP138" s="184"/>
      <c r="DQ138" s="184"/>
      <c r="DR138" s="184"/>
      <c r="DS138" s="184"/>
      <c r="DT138" s="184"/>
      <c r="DU138" s="184"/>
      <c r="DV138" s="184"/>
      <c r="DW138" s="184"/>
      <c r="EB138"/>
    </row>
    <row r="139" spans="1:132" s="160" customFormat="1" ht="21">
      <c r="A139" s="160" t="s">
        <v>167</v>
      </c>
      <c r="B139" s="161" t="s">
        <v>167</v>
      </c>
      <c r="C139" s="161">
        <v>4058793</v>
      </c>
      <c r="D139" s="161" t="s">
        <v>168</v>
      </c>
      <c r="E139" s="161"/>
      <c r="F139" s="161"/>
      <c r="G139" s="161" t="s">
        <v>125</v>
      </c>
      <c r="H139" s="162">
        <v>2009</v>
      </c>
      <c r="I139" s="163"/>
      <c r="J139" s="159">
        <f>IFERROR(INDEX('Labor Expenditures'!$F$7:$X$91,MATCH($C139,'Labor Expenditures'!$D$7:$D$91,0),MATCH($G139,'Labor Expenditures'!$F$5:$X$5,0)),"NA")</f>
        <v>324.0143888387704</v>
      </c>
      <c r="K139" s="159">
        <f t="shared" si="293"/>
        <v>2.9210222117536211</v>
      </c>
      <c r="L139" s="165">
        <f t="shared" si="301"/>
        <v>2.4091251213810335E-3</v>
      </c>
      <c r="M139" s="76">
        <f t="shared" si="303"/>
        <v>3.431922320472387E-7</v>
      </c>
      <c r="N139" s="62">
        <f t="shared" si="309"/>
        <v>118.37475953520138</v>
      </c>
      <c r="O139" s="96">
        <f t="shared" si="304"/>
        <v>7.4093275368075334E-2</v>
      </c>
      <c r="P139" s="96"/>
      <c r="Q139" s="159">
        <f>IFERROR(INDEX('Non-Labor Expenditures'!$F$7:$AB$91,MATCH($C139,'Non-Labor Expenditures'!$D$7:$D$91,0),MATCH($G139,'Non-Labor Expenditures'!$F$5:$AB$5,0)),"NA")</f>
        <v>469.23335257861572</v>
      </c>
      <c r="R139" s="159">
        <f t="shared" si="294"/>
        <v>4.9393504413584957</v>
      </c>
      <c r="S139" s="165">
        <f t="shared" si="305"/>
        <v>2.2291541303955612E-2</v>
      </c>
      <c r="T139" s="165">
        <f t="shared" si="306"/>
        <v>3.1755444115298617E-6</v>
      </c>
      <c r="U139" s="165"/>
      <c r="V139" s="165"/>
      <c r="W139" s="159">
        <f t="shared" si="274"/>
        <v>542.35950903189291</v>
      </c>
      <c r="X139" s="163"/>
      <c r="Y139" s="167">
        <v>29.031028209874897</v>
      </c>
      <c r="Z139" s="168">
        <v>2.1341587315812371E-2</v>
      </c>
      <c r="AA139" s="76">
        <f t="shared" si="295"/>
        <v>3.0402185927753064E-6</v>
      </c>
      <c r="AB139" s="168"/>
      <c r="AC139" s="168"/>
      <c r="AD139" s="163">
        <f t="shared" si="226"/>
        <v>1335.607250449279</v>
      </c>
      <c r="AE139" s="168">
        <f t="shared" si="307"/>
        <v>9.5774625324982939E-3</v>
      </c>
      <c r="AF139" s="163"/>
      <c r="AG139" s="163"/>
      <c r="AH139" s="163"/>
      <c r="AI139" s="163"/>
      <c r="AJ139" s="116">
        <f t="shared" si="308"/>
        <v>381.92943964806381</v>
      </c>
      <c r="AK139" s="114">
        <f>+AV139/$AX$14</f>
        <v>9.9410897333303391E-5</v>
      </c>
      <c r="AL139" s="115">
        <f t="shared" si="296"/>
        <v>0.24259705742820475</v>
      </c>
      <c r="AM139" s="115">
        <f t="shared" si="297"/>
        <v>0.35132585003620814</v>
      </c>
      <c r="AN139" s="115">
        <f t="shared" si="298"/>
        <v>0.4060770925355871</v>
      </c>
      <c r="AO139" s="115">
        <f t="shared" si="302"/>
        <v>1.712554415541969E-2</v>
      </c>
      <c r="AP139" s="166">
        <f t="shared" si="311"/>
        <v>91.153810668541098</v>
      </c>
      <c r="AQ139" s="168">
        <f t="shared" si="312"/>
        <v>1.7125544155419687E-2</v>
      </c>
      <c r="AR139" s="69">
        <f>+AD139/$AF$14</f>
        <v>1.4245512987324767E-4</v>
      </c>
      <c r="AS139" s="169">
        <f t="shared" si="310"/>
        <v>2.4396216168103492E-6</v>
      </c>
      <c r="AT139" s="115"/>
      <c r="AU139" s="115"/>
      <c r="AV139" s="113">
        <f>IFERROR(INDEX('Total Customers'!$F$7:$AB$91,MATCH($C139,'Total Customers'!$D$7:$D$91,0),MATCH($G139,'Total Customers'!$F$5:$AB$5,0)),"NA")</f>
        <v>3497</v>
      </c>
      <c r="AW139" s="68">
        <f t="shared" si="287"/>
        <v>-2.0940210531072614E-2</v>
      </c>
      <c r="AX139" s="114"/>
      <c r="AY139" s="114"/>
      <c r="AZ139" s="116"/>
      <c r="BA139" s="116"/>
      <c r="BB139" s="166"/>
      <c r="BC139" s="166"/>
      <c r="BD139" s="166"/>
      <c r="BE139" s="166"/>
      <c r="BF139" s="166"/>
      <c r="BG139" s="166"/>
      <c r="BH139" s="166"/>
      <c r="BI139" s="113"/>
      <c r="BJ139" s="113"/>
      <c r="BK139" s="113">
        <f>INDEX('Dist. Plant Gas Additions'!$F$7:$AE$91,MATCH($C139,'Dist. Plant Gas Additions'!$D$7:$D$91,0),MATCH(Calculation!$G139,'Dist. Plant Gas Additions'!$F$5:$AE$5,0))</f>
        <v>440</v>
      </c>
      <c r="BL139" s="113">
        <f>INDEX('Gen. Plant Additions'!$F$7:$AE$91,MATCH($C139,'Gen. Plant Additions'!$D$7:$D$91,0),MATCH(Calculation!$G139,'Gen. Plant Additions'!$F$5:$AE$5,0))</f>
        <v>2</v>
      </c>
      <c r="BM139" s="231">
        <f t="shared" si="275"/>
        <v>0.87458745874587462</v>
      </c>
      <c r="BN139" s="61">
        <f t="shared" si="270"/>
        <v>1.7491749174917492</v>
      </c>
      <c r="BO139" s="113"/>
      <c r="BP139" s="113"/>
      <c r="BQ139" s="113"/>
      <c r="BR139" s="113"/>
      <c r="BS139" s="113"/>
      <c r="BT139" s="113"/>
      <c r="BU139" s="113"/>
      <c r="BV139" s="113"/>
      <c r="BW139" s="113">
        <f>INDEX('Gross Dx Plant'!$E$7:$AD$91,MATCH($C139,'Gross Dx Plant'!$D$7:$D$91,0),MATCH(Calculation!$G139,'Gross Dx Plant'!$E$5:$AD$5,0))</f>
        <v>7950</v>
      </c>
      <c r="BX139" s="113">
        <f>INDEX('Gross Gen Plant'!$E$7:$AD$91,MATCH($C139,'Gross Gen Plant'!$D$7:$D$91,0),MATCH(Calculation!$G139,'Gross Gen Plant'!$E$5:$AD$5,0))</f>
        <v>1140</v>
      </c>
      <c r="BY139" s="113">
        <f t="shared" si="182"/>
        <v>9090</v>
      </c>
      <c r="BZ139" s="113"/>
      <c r="CA139" s="116">
        <v>2009</v>
      </c>
      <c r="CB139" s="113"/>
      <c r="CC139" s="113"/>
      <c r="CD139" s="113"/>
      <c r="CE139" s="175"/>
      <c r="CF139" s="113">
        <f t="shared" si="276"/>
        <v>442</v>
      </c>
      <c r="CG139" s="113">
        <f t="shared" si="277"/>
        <v>0.80226429215624795</v>
      </c>
      <c r="CH139" s="178">
        <v>0.93567251461988299</v>
      </c>
      <c r="CI139" s="61">
        <f>+CI128*CH139+CG129*CH138+CG130*CH137+CG131*CH136+CG132*CH135+CG133*CH134+CG134*CH133+CG135*CH132+CG136*CH131+CG137*CH130+CG138*CH129+CG139</f>
        <v>29.031028209874897</v>
      </c>
      <c r="CJ139" s="114">
        <f t="shared" si="278"/>
        <v>2.1341587315812371E-2</v>
      </c>
      <c r="CK139" s="114"/>
      <c r="CL139" s="169">
        <f t="shared" si="279"/>
        <v>6.6598778385989679E-3</v>
      </c>
      <c r="CM139" s="169">
        <f t="shared" si="288"/>
        <v>6.4514989140061875E-3</v>
      </c>
      <c r="CN139" s="114">
        <f>VLOOKUP($H139,RoR!$E:$F,2,FALSE)</f>
        <v>5.3133333333333324E-2</v>
      </c>
      <c r="CO139" s="169">
        <v>7.7972502758210105E-3</v>
      </c>
      <c r="CP139" s="169">
        <f t="shared" si="285"/>
        <v>4.5336083057512314E-2</v>
      </c>
      <c r="CQ139" s="169">
        <f t="shared" si="289"/>
        <v>2.4450442694527438E-2</v>
      </c>
      <c r="CR139" s="169">
        <f t="shared" si="290"/>
        <v>6.3720160300892073E-2</v>
      </c>
      <c r="CS139" s="179">
        <f t="shared" si="280"/>
        <v>0.85126000000000002</v>
      </c>
      <c r="CT139" s="180">
        <f t="shared" si="281"/>
        <v>0.96515780330083989</v>
      </c>
      <c r="CU139" s="180">
        <f t="shared" si="282"/>
        <v>0.50448557089084056</v>
      </c>
      <c r="CV139" s="180">
        <f t="shared" si="283"/>
        <v>0.87391435735465484</v>
      </c>
      <c r="CW139" s="180">
        <f t="shared" si="284"/>
        <v>0.42551605393279146</v>
      </c>
      <c r="CX139" s="181">
        <f>INDEX('State Tax Lookup'!$D$7:$Z$91,MATCH(Calculation!$C139,'State Tax Lookup'!$B$7:$B$91,0),MATCH($H139,'State Tax Lookup'!$D$6:$Z$6,0))</f>
        <v>0.40200000000000002</v>
      </c>
      <c r="CY139" s="72">
        <v>0.37</v>
      </c>
      <c r="CZ139" s="70">
        <f t="shared" si="286"/>
        <v>19.085053193525653</v>
      </c>
      <c r="DA139" s="70">
        <v>17.478615056163342</v>
      </c>
      <c r="DB139" s="69">
        <f t="shared" si="291"/>
        <v>-4.1736178036592034E-2</v>
      </c>
      <c r="DC139" s="111">
        <f>VLOOKUP($H139,RoR!$E:$F,2,FALSE)</f>
        <v>5.3133333333333324E-2</v>
      </c>
      <c r="DD139" s="216">
        <f>HLOOKUP($H139,'GDP-PI'!$D$8:$CQ$11,3,FALSE)</f>
        <v>7.7972502758210105E-3</v>
      </c>
      <c r="DE139" s="111">
        <f>VLOOKUP(H139,'HW Dx Data'!$E:$F,2,FALSE)</f>
        <v>550.94063679692806</v>
      </c>
      <c r="DF139" s="72">
        <f t="shared" si="299"/>
        <v>110.925</v>
      </c>
      <c r="DG139" s="69">
        <f t="shared" si="300"/>
        <v>2.7649425000884052E-2</v>
      </c>
      <c r="DH139" s="66">
        <f>HLOOKUP(H139,'GDP-PI'!$8:$9,2,FALSE)</f>
        <v>94.998999999999995</v>
      </c>
      <c r="DI139" s="69">
        <f t="shared" si="292"/>
        <v>7.7670088183096342E-3</v>
      </c>
      <c r="DO139" s="184"/>
      <c r="DP139" s="184"/>
      <c r="DQ139" s="184"/>
      <c r="DR139" s="184"/>
      <c r="DS139" s="184"/>
      <c r="DT139" s="184"/>
      <c r="DU139" s="184"/>
      <c r="DV139" s="184"/>
      <c r="DW139" s="184"/>
      <c r="EB139"/>
    </row>
    <row r="140" spans="1:132" s="160" customFormat="1" ht="21">
      <c r="A140" s="160" t="s">
        <v>167</v>
      </c>
      <c r="B140" s="161" t="s">
        <v>167</v>
      </c>
      <c r="C140" s="161">
        <v>4058793</v>
      </c>
      <c r="D140" s="161" t="s">
        <v>168</v>
      </c>
      <c r="E140" s="161"/>
      <c r="F140" s="161"/>
      <c r="G140" s="161" t="s">
        <v>126</v>
      </c>
      <c r="H140" s="162">
        <v>2010</v>
      </c>
      <c r="I140" s="163"/>
      <c r="J140" s="159">
        <f>IFERROR(INDEX('Labor Expenditures'!$F$7:$X$91,MATCH($C140,'Labor Expenditures'!$D$7:$D$91,0),MATCH($G140,'Labor Expenditures'!$F$5:$X$5,0)),"NA")</f>
        <v>343.59380139919244</v>
      </c>
      <c r="K140" s="159">
        <f t="shared" si="293"/>
        <v>2.9385828642223002</v>
      </c>
      <c r="L140" s="165">
        <f t="shared" si="301"/>
        <v>5.993818632627745E-3</v>
      </c>
      <c r="M140" s="76">
        <f t="shared" si="303"/>
        <v>8.6913191627013661E-7</v>
      </c>
      <c r="N140" s="62">
        <f t="shared" si="309"/>
        <v>97.457756455705692</v>
      </c>
      <c r="O140" s="96">
        <f t="shared" si="304"/>
        <v>-0.1944365031270491</v>
      </c>
      <c r="P140" s="96"/>
      <c r="Q140" s="159">
        <f>IFERROR(INDEX('Non-Labor Expenditures'!$F$7:$AB$91,MATCH($C140,'Non-Labor Expenditures'!$D$7:$D$91,0),MATCH($G140,'Non-Labor Expenditures'!$F$5:$AB$5,0)),"NA")</f>
        <v>497.58799889593797</v>
      </c>
      <c r="R140" s="159">
        <f t="shared" si="294"/>
        <v>5.1773298951808675</v>
      </c>
      <c r="S140" s="165">
        <f t="shared" si="305"/>
        <v>4.7055626172453943E-2</v>
      </c>
      <c r="T140" s="165">
        <f t="shared" si="306"/>
        <v>6.823287298672605E-6</v>
      </c>
      <c r="U140" s="165"/>
      <c r="V140" s="165"/>
      <c r="W140" s="159">
        <f t="shared" si="274"/>
        <v>567.98425081617347</v>
      </c>
      <c r="X140" s="163"/>
      <c r="Y140" s="167">
        <v>29.217892483788013</v>
      </c>
      <c r="Z140" s="168">
        <v>6.41608162784416E-3</v>
      </c>
      <c r="AA140" s="76">
        <f t="shared" si="295"/>
        <v>9.3036203828360723E-7</v>
      </c>
      <c r="AB140" s="168"/>
      <c r="AC140" s="168"/>
      <c r="AD140" s="163">
        <f t="shared" si="226"/>
        <v>1409.1660511113039</v>
      </c>
      <c r="AE140" s="168">
        <f t="shared" si="307"/>
        <v>5.3612018619184298E-2</v>
      </c>
      <c r="AF140" s="163"/>
      <c r="AG140" s="163"/>
      <c r="AH140" s="163"/>
      <c r="AI140" s="163"/>
      <c r="AJ140" s="116">
        <f t="shared" si="308"/>
        <v>402.96426969153674</v>
      </c>
      <c r="AK140" s="114">
        <f>+AV140/$AX$15</f>
        <v>9.88669793279522E-5</v>
      </c>
      <c r="AL140" s="115">
        <f t="shared" si="296"/>
        <v>0.24382775977907337</v>
      </c>
      <c r="AM140" s="115">
        <f t="shared" si="297"/>
        <v>0.35310813690375775</v>
      </c>
      <c r="AN140" s="115">
        <f t="shared" si="298"/>
        <v>0.40306410331716885</v>
      </c>
      <c r="AO140" s="115">
        <f t="shared" si="302"/>
        <v>2.0627320223205292E-2</v>
      </c>
      <c r="AP140" s="166">
        <f t="shared" si="311"/>
        <v>93.053595889240583</v>
      </c>
      <c r="AQ140" s="168">
        <f t="shared" si="312"/>
        <v>2.0627320223205271E-2</v>
      </c>
      <c r="AR140" s="69">
        <f>+AD140/$AF$15</f>
        <v>1.450047072727493E-4</v>
      </c>
      <c r="AS140" s="169">
        <f t="shared" si="310"/>
        <v>2.991058530787142E-6</v>
      </c>
      <c r="AT140" s="115"/>
      <c r="AU140" s="115"/>
      <c r="AV140" s="113">
        <f>IFERROR(INDEX('Total Customers'!$F$7:$AB$91,MATCH($C140,'Total Customers'!$D$7:$D$91,0),MATCH($G140,'Total Customers'!$F$5:$AB$5,0)),"NA")</f>
        <v>3497</v>
      </c>
      <c r="AW140" s="68">
        <f t="shared" si="287"/>
        <v>0</v>
      </c>
      <c r="AX140" s="114"/>
      <c r="AY140" s="114"/>
      <c r="AZ140" s="116"/>
      <c r="BA140" s="116"/>
      <c r="BB140" s="166"/>
      <c r="BC140" s="166"/>
      <c r="BD140" s="166"/>
      <c r="BE140" s="166"/>
      <c r="BF140" s="166"/>
      <c r="BG140" s="166"/>
      <c r="BH140" s="166"/>
      <c r="BI140" s="113"/>
      <c r="BJ140" s="113"/>
      <c r="BK140" s="113">
        <f>INDEX('Dist. Plant Gas Additions'!$F$7:$AE$91,MATCH($C140,'Dist. Plant Gas Additions'!$D$7:$D$91,0),MATCH(Calculation!$G140,'Dist. Plant Gas Additions'!$F$5:$AE$5,0))</f>
        <v>202</v>
      </c>
      <c r="BL140" s="113">
        <f>INDEX('Gen. Plant Additions'!$F$7:$AE$91,MATCH($C140,'Gen. Plant Additions'!$D$7:$D$91,0),MATCH(Calculation!$G140,'Gen. Plant Additions'!$F$5:$AE$5,0))</f>
        <v>18</v>
      </c>
      <c r="BM140" s="231">
        <f t="shared" si="275"/>
        <v>0.87721941246099211</v>
      </c>
      <c r="BN140" s="61">
        <f t="shared" si="270"/>
        <v>15.789949424297857</v>
      </c>
      <c r="BO140" s="113"/>
      <c r="BP140" s="113"/>
      <c r="BQ140" s="113"/>
      <c r="BR140" s="113"/>
      <c r="BS140" s="113"/>
      <c r="BT140" s="113"/>
      <c r="BU140" s="113"/>
      <c r="BV140" s="113"/>
      <c r="BW140" s="113">
        <f>INDEX('Gross Dx Plant'!$E$7:$AD$91,MATCH($C140,'Gross Dx Plant'!$D$7:$D$91,0),MATCH(Calculation!$G140,'Gross Dx Plant'!$E$5:$AD$5,0))</f>
        <v>8152</v>
      </c>
      <c r="BX140" s="113">
        <f>INDEX('Gross Gen Plant'!$E$7:$AD$91,MATCH($C140,'Gross Gen Plant'!$D$7:$D$91,0),MATCH(Calculation!$G140,'Gross Gen Plant'!$E$5:$AD$5,0))</f>
        <v>1141</v>
      </c>
      <c r="BY140" s="113">
        <f t="shared" si="182"/>
        <v>9293</v>
      </c>
      <c r="BZ140" s="113"/>
      <c r="CA140" s="116">
        <v>2010</v>
      </c>
      <c r="CB140" s="113"/>
      <c r="CC140" s="113"/>
      <c r="CD140" s="113"/>
      <c r="CE140" s="175"/>
      <c r="CF140" s="113">
        <f t="shared" si="276"/>
        <v>220</v>
      </c>
      <c r="CG140" s="113">
        <f t="shared" si="277"/>
        <v>0.38665036698079452</v>
      </c>
      <c r="CH140" s="178">
        <v>0.9285714285714286</v>
      </c>
      <c r="CI140" s="61">
        <f>+CI128*CH140+CG129*CH139+CG130*CH138+CG131*CH137+CG132*CH136+CG133*CH135+CG134*CH134+CG135*CH133+CG136*CH132+CG137*CH131+CG138*CH130+CG139*CH129+CG140</f>
        <v>29.217892483788013</v>
      </c>
      <c r="CJ140" s="114">
        <f t="shared" si="278"/>
        <v>6.41608162784416E-3</v>
      </c>
      <c r="CK140" s="114"/>
      <c r="CL140" s="169">
        <f t="shared" si="279"/>
        <v>6.8818125084429919E-3</v>
      </c>
      <c r="CM140" s="169">
        <f t="shared" si="288"/>
        <v>6.6626058207146276E-3</v>
      </c>
      <c r="CN140" s="114">
        <f>VLOOKUP($H140,RoR!$E:$F,2,FALSE)</f>
        <v>4.9433333333333322E-2</v>
      </c>
      <c r="CO140" s="169">
        <v>1.1684333519300205E-2</v>
      </c>
      <c r="CP140" s="169">
        <f t="shared" si="285"/>
        <v>3.7748999814033117E-2</v>
      </c>
      <c r="CQ140" s="169">
        <f t="shared" si="289"/>
        <v>2.4239335787818998E-2</v>
      </c>
      <c r="CR140" s="169">
        <f t="shared" si="290"/>
        <v>4.7937530248493419E-2</v>
      </c>
      <c r="CS140" s="179">
        <f t="shared" si="280"/>
        <v>0.85126000000000002</v>
      </c>
      <c r="CT140" s="180">
        <f t="shared" si="281"/>
        <v>1.037398205301105</v>
      </c>
      <c r="CU140" s="180">
        <f t="shared" si="282"/>
        <v>0.46926837491571133</v>
      </c>
      <c r="CV140" s="180">
        <f t="shared" si="283"/>
        <v>0.8548537519972772</v>
      </c>
      <c r="CW140" s="180">
        <f t="shared" si="284"/>
        <v>0.41615833911547367</v>
      </c>
      <c r="CX140" s="181">
        <f>INDEX('State Tax Lookup'!$D$7:$Z$91,MATCH(Calculation!$C140,'State Tax Lookup'!$B$7:$B$91,0),MATCH($H140,'State Tax Lookup'!$D$6:$Z$6,0))</f>
        <v>0.40200000000000002</v>
      </c>
      <c r="CY140" s="72">
        <v>0.37</v>
      </c>
      <c r="CZ140" s="70">
        <f t="shared" si="286"/>
        <v>19.564730767027182</v>
      </c>
      <c r="DA140" s="70">
        <v>17.956102603965455</v>
      </c>
      <c r="DB140" s="69">
        <f t="shared" si="291"/>
        <v>2.4823021234860368E-2</v>
      </c>
      <c r="DC140" s="111">
        <f>VLOOKUP($H140,RoR!$E:$F,2,FALSE)</f>
        <v>4.9433333333333322E-2</v>
      </c>
      <c r="DD140" s="216">
        <f>HLOOKUP($H140,'GDP-PI'!$D$8:$CQ$11,3,FALSE)</f>
        <v>1.1684333519300205E-2</v>
      </c>
      <c r="DE140" s="111">
        <f>VLOOKUP(H140,'HW Dx Data'!$E:$F,2,FALSE)</f>
        <v>568.98950262971744</v>
      </c>
      <c r="DF140" s="72">
        <f t="shared" si="299"/>
        <v>116.925</v>
      </c>
      <c r="DG140" s="69">
        <f t="shared" si="300"/>
        <v>5.2678406346976722E-2</v>
      </c>
      <c r="DH140" s="66">
        <f>HLOOKUP(H140,'GDP-PI'!$8:$9,2,FALSE)</f>
        <v>96.108999999999995</v>
      </c>
      <c r="DI140" s="69">
        <f t="shared" si="292"/>
        <v>1.1616598807150427E-2</v>
      </c>
      <c r="DO140" s="184"/>
      <c r="DP140" s="184"/>
      <c r="DQ140" s="184"/>
      <c r="DR140" s="184"/>
      <c r="DS140" s="184"/>
      <c r="DT140" s="184"/>
      <c r="DU140" s="184"/>
      <c r="DV140" s="184"/>
      <c r="DW140" s="184"/>
      <c r="EB140"/>
    </row>
    <row r="141" spans="1:132" s="160" customFormat="1" ht="21">
      <c r="A141" s="160" t="s">
        <v>167</v>
      </c>
      <c r="B141" s="161" t="s">
        <v>167</v>
      </c>
      <c r="C141" s="161">
        <v>4058793</v>
      </c>
      <c r="D141" s="161" t="s">
        <v>168</v>
      </c>
      <c r="E141" s="161"/>
      <c r="F141" s="161"/>
      <c r="G141" s="161" t="s">
        <v>127</v>
      </c>
      <c r="H141" s="162">
        <v>2011</v>
      </c>
      <c r="I141" s="163"/>
      <c r="J141" s="159">
        <f>IFERROR(INDEX('Labor Expenditures'!$F$7:$X$91,MATCH($C141,'Labor Expenditures'!$D$7:$D$91,0),MATCH($G141,'Labor Expenditures'!$F$5:$X$5,0)),"NA")</f>
        <v>356.69351114804113</v>
      </c>
      <c r="K141" s="159">
        <f t="shared" si="293"/>
        <v>2.9509287375225739</v>
      </c>
      <c r="L141" s="165">
        <f t="shared" si="301"/>
        <v>4.192500913078847E-3</v>
      </c>
      <c r="M141" s="76">
        <f t="shared" si="303"/>
        <v>6.0916166486777232E-7</v>
      </c>
      <c r="N141" s="62">
        <f t="shared" si="309"/>
        <v>116.91897865714628</v>
      </c>
      <c r="O141" s="96">
        <f t="shared" si="304"/>
        <v>0.18206218781035349</v>
      </c>
      <c r="P141" s="96"/>
      <c r="Q141" s="159">
        <f>IFERROR(INDEX('Non-Labor Expenditures'!$F$7:$AB$91,MATCH($C141,'Non-Labor Expenditures'!$D$7:$D$91,0),MATCH($G141,'Non-Labor Expenditures'!$F$5:$AB$5,0)),"NA")</f>
        <v>516.55882530055703</v>
      </c>
      <c r="R141" s="159">
        <f t="shared" si="294"/>
        <v>5.264991288533075</v>
      </c>
      <c r="S141" s="165">
        <f t="shared" si="305"/>
        <v>1.6790031861738341E-2</v>
      </c>
      <c r="T141" s="165">
        <f t="shared" si="306"/>
        <v>2.4395567166539861E-6</v>
      </c>
      <c r="U141" s="165"/>
      <c r="V141" s="165"/>
      <c r="W141" s="159">
        <f t="shared" si="274"/>
        <v>609.66064647967266</v>
      </c>
      <c r="X141" s="163"/>
      <c r="Y141" s="167">
        <v>29.422844072895522</v>
      </c>
      <c r="Z141" s="168">
        <v>6.9901040015011599E-3</v>
      </c>
      <c r="AA141" s="76">
        <f t="shared" si="295"/>
        <v>1.0156475763356007E-6</v>
      </c>
      <c r="AB141" s="168"/>
      <c r="AC141" s="168"/>
      <c r="AD141" s="163">
        <f t="shared" si="226"/>
        <v>1482.9129829282708</v>
      </c>
      <c r="AE141" s="168">
        <f t="shared" si="307"/>
        <v>5.1010308754004419E-2</v>
      </c>
      <c r="AF141" s="163"/>
      <c r="AG141" s="163"/>
      <c r="AH141" s="163"/>
      <c r="AI141" s="163"/>
      <c r="AJ141" s="116">
        <f t="shared" si="308"/>
        <v>431.70683636922001</v>
      </c>
      <c r="AK141" s="114">
        <f>+AV141/$AX$16</f>
        <v>9.6645544292934299E-5</v>
      </c>
      <c r="AL141" s="115">
        <f t="shared" si="296"/>
        <v>0.24053569916401127</v>
      </c>
      <c r="AM141" s="115">
        <f t="shared" si="297"/>
        <v>0.34834061826104007</v>
      </c>
      <c r="AN141" s="115">
        <f t="shared" si="298"/>
        <v>0.41112368257494863</v>
      </c>
      <c r="AO141" s="115">
        <f t="shared" si="302"/>
        <v>9.7496492463062124E-3</v>
      </c>
      <c r="AP141" s="166">
        <f t="shared" si="311"/>
        <v>93.965272853924105</v>
      </c>
      <c r="AQ141" s="168">
        <f t="shared" si="312"/>
        <v>9.7496492463061066E-3</v>
      </c>
      <c r="AR141" s="69">
        <f>+AD141/$AF$16</f>
        <v>1.4529792061999152E-4</v>
      </c>
      <c r="AS141" s="169">
        <f t="shared" si="310"/>
        <v>1.4166037622625449E-6</v>
      </c>
      <c r="AT141" s="115"/>
      <c r="AU141" s="115"/>
      <c r="AV141" s="113">
        <f>IFERROR(INDEX('Total Customers'!$F$7:$AB$91,MATCH($C141,'Total Customers'!$D$7:$D$91,0),MATCH($G141,'Total Customers'!$F$5:$AB$5,0)),"NA")</f>
        <v>3435</v>
      </c>
      <c r="AW141" s="68">
        <f t="shared" si="287"/>
        <v>-1.7888532406926099E-2</v>
      </c>
      <c r="AX141" s="114"/>
      <c r="AY141" s="114"/>
      <c r="AZ141" s="116"/>
      <c r="BA141" s="116"/>
      <c r="BB141" s="166"/>
      <c r="BC141" s="166"/>
      <c r="BD141" s="166"/>
      <c r="BE141" s="166"/>
      <c r="BF141" s="166"/>
      <c r="BG141" s="166"/>
      <c r="BH141" s="166"/>
      <c r="BI141" s="113"/>
      <c r="BJ141" s="113"/>
      <c r="BK141" s="113">
        <f>INDEX('Dist. Plant Gas Additions'!$F$7:$AE$91,MATCH($C141,'Dist. Plant Gas Additions'!$D$7:$D$91,0),MATCH(Calculation!$G141,'Dist. Plant Gas Additions'!$F$5:$AE$5,0))</f>
        <v>226</v>
      </c>
      <c r="BL141" s="113">
        <f>INDEX('Gen. Plant Additions'!$F$7:$AE$91,MATCH($C141,'Gen. Plant Additions'!$D$7:$D$91,0),MATCH(Calculation!$G141,'Gen. Plant Additions'!$F$5:$AE$5,0))</f>
        <v>27</v>
      </c>
      <c r="BM141" s="231">
        <f t="shared" si="275"/>
        <v>0.8777498428661219</v>
      </c>
      <c r="BN141" s="61">
        <f t="shared" si="270"/>
        <v>23.699245757385292</v>
      </c>
      <c r="BO141" s="113"/>
      <c r="BP141" s="113"/>
      <c r="BQ141" s="113"/>
      <c r="BR141" s="113"/>
      <c r="BS141" s="113"/>
      <c r="BT141" s="113"/>
      <c r="BU141" s="113"/>
      <c r="BV141" s="113"/>
      <c r="BW141" s="113">
        <f>INDEX('Gross Dx Plant'!$E$7:$AD$91,MATCH($C141,'Gross Dx Plant'!$D$7:$D$91,0),MATCH(Calculation!$G141,'Gross Dx Plant'!$E$5:$AD$5,0))</f>
        <v>8379</v>
      </c>
      <c r="BX141" s="113">
        <f>INDEX('Gross Gen Plant'!$E$7:$AD$91,MATCH($C141,'Gross Gen Plant'!$D$7:$D$91,0),MATCH(Calculation!$G141,'Gross Gen Plant'!$E$5:$AD$5,0))</f>
        <v>1167</v>
      </c>
      <c r="BY141" s="113">
        <f t="shared" si="182"/>
        <v>9546</v>
      </c>
      <c r="BZ141" s="113"/>
      <c r="CA141" s="116">
        <v>2011</v>
      </c>
      <c r="CB141" s="113"/>
      <c r="CC141" s="113"/>
      <c r="CD141" s="113"/>
      <c r="CE141" s="175"/>
      <c r="CF141" s="113">
        <f t="shared" si="276"/>
        <v>253</v>
      </c>
      <c r="CG141" s="113">
        <f t="shared" si="277"/>
        <v>0.41366155977848562</v>
      </c>
      <c r="CH141" s="178">
        <v>0.92121212121212126</v>
      </c>
      <c r="CI141" s="61">
        <f>+CI128*CH141+CG129*CH140+CG130*CH139+CG131*CH138+CG132*CH137+CG133*CH136+CG134*CH135+CG135*CH134+CG136*CH133+CG137*CH132+CG138*CH131+CG139*CH130+CG140*CH129+CG141</f>
        <v>29.422844072895522</v>
      </c>
      <c r="CJ141" s="114">
        <f t="shared" si="278"/>
        <v>6.9901040015011599E-3</v>
      </c>
      <c r="CK141" s="114"/>
      <c r="CL141" s="169">
        <f t="shared" si="279"/>
        <v>7.1432246794248628E-3</v>
      </c>
      <c r="CM141" s="169">
        <f t="shared" si="288"/>
        <v>6.8949716754889397E-3</v>
      </c>
      <c r="CN141" s="114">
        <f>VLOOKUP($H141,RoR!$E:$F,2,FALSE)</f>
        <v>4.6391666666666664E-2</v>
      </c>
      <c r="CO141" s="169">
        <v>2.0840920205183799E-2</v>
      </c>
      <c r="CP141" s="169">
        <f t="shared" si="285"/>
        <v>2.5550746461482865E-2</v>
      </c>
      <c r="CQ141" s="169">
        <f t="shared" si="289"/>
        <v>2.4006969933044686E-2</v>
      </c>
      <c r="CR141" s="169">
        <f t="shared" si="290"/>
        <v>2.4810540821321614E-2</v>
      </c>
      <c r="CS141" s="179">
        <f t="shared" si="280"/>
        <v>0.85126000000000002</v>
      </c>
      <c r="CT141" s="180">
        <f t="shared" si="281"/>
        <v>1.1054151524782025</v>
      </c>
      <c r="CU141" s="180">
        <f t="shared" si="282"/>
        <v>0.43611011316687626</v>
      </c>
      <c r="CV141" s="180">
        <f t="shared" si="283"/>
        <v>0.83698442246886229</v>
      </c>
      <c r="CW141" s="180">
        <f t="shared" si="284"/>
        <v>0.40349573304423936</v>
      </c>
      <c r="CX141" s="181">
        <f>INDEX('State Tax Lookup'!$D$7:$Z$91,MATCH(Calculation!$C141,'State Tax Lookup'!$B$7:$B$91,0),MATCH($H141,'State Tax Lookup'!$D$6:$Z$6,0))</f>
        <v>0.40200000000000002</v>
      </c>
      <c r="CY141" s="72">
        <v>0.37</v>
      </c>
      <c r="CZ141" s="70">
        <f t="shared" si="286"/>
        <v>20.866003488032273</v>
      </c>
      <c r="DA141" s="70">
        <v>19.146574949201604</v>
      </c>
      <c r="DB141" s="69">
        <f t="shared" si="291"/>
        <v>6.4392712590795306E-2</v>
      </c>
      <c r="DC141" s="111">
        <f>VLOOKUP($H141,RoR!$E:$F,2,FALSE)</f>
        <v>4.6391666666666664E-2</v>
      </c>
      <c r="DD141" s="216">
        <f>HLOOKUP($H141,'GDP-PI'!$D$8:$CQ$11,3,FALSE)</f>
        <v>2.0840920205183799E-2</v>
      </c>
      <c r="DE141" s="111">
        <f>VLOOKUP(H141,'HW Dx Data'!$E:$F,2,FALSE)</f>
        <v>611.61109612283201</v>
      </c>
      <c r="DF141" s="72">
        <f t="shared" si="299"/>
        <v>120.875</v>
      </c>
      <c r="DG141" s="69">
        <f t="shared" si="300"/>
        <v>3.3224250161508609E-2</v>
      </c>
      <c r="DH141" s="66">
        <f>HLOOKUP(H141,'GDP-PI'!$8:$9,2,FALSE)</f>
        <v>98.111999999999995</v>
      </c>
      <c r="DI141" s="69">
        <f t="shared" si="292"/>
        <v>2.0626719212849295E-2</v>
      </c>
      <c r="DO141" s="184"/>
      <c r="DP141" s="184"/>
      <c r="DQ141" s="184"/>
      <c r="DR141" s="184"/>
      <c r="DS141" s="184"/>
      <c r="DT141" s="184"/>
      <c r="DU141" s="184"/>
      <c r="DV141" s="184"/>
      <c r="DW141" s="184"/>
      <c r="EB141"/>
    </row>
    <row r="142" spans="1:132" s="160" customFormat="1" ht="21">
      <c r="A142" s="160" t="s">
        <v>167</v>
      </c>
      <c r="B142" s="161" t="s">
        <v>167</v>
      </c>
      <c r="C142" s="161">
        <v>4058793</v>
      </c>
      <c r="D142" s="161" t="s">
        <v>168</v>
      </c>
      <c r="E142" s="161"/>
      <c r="F142" s="161"/>
      <c r="G142" s="161" t="s">
        <v>128</v>
      </c>
      <c r="H142" s="162">
        <v>2012</v>
      </c>
      <c r="I142" s="163"/>
      <c r="J142" s="159">
        <f>IFERROR(INDEX('Labor Expenditures'!$F$7:$X$91,MATCH($C142,'Labor Expenditures'!$D$7:$D$91,0),MATCH($G142,'Labor Expenditures'!$F$5:$X$5,0)),"NA")</f>
        <v>371.48257582712938</v>
      </c>
      <c r="K142" s="159">
        <f t="shared" si="293"/>
        <v>2.9766232037430238</v>
      </c>
      <c r="L142" s="165">
        <f t="shared" si="301"/>
        <v>8.6695578243752344E-3</v>
      </c>
      <c r="M142" s="76">
        <f t="shared" si="303"/>
        <v>1.2745566180110881E-6</v>
      </c>
      <c r="N142" s="62">
        <f t="shared" si="309"/>
        <v>114.16933526649461</v>
      </c>
      <c r="O142" s="96">
        <f t="shared" si="304"/>
        <v>-2.3798461447847072E-2</v>
      </c>
      <c r="P142" s="96"/>
      <c r="Q142" s="159">
        <f>IFERROR(INDEX('Non-Labor Expenditures'!$F$7:$AB$91,MATCH($C142,'Non-Labor Expenditures'!$D$7:$D$91,0),MATCH($G142,'Non-Labor Expenditures'!$F$5:$AB$5,0)),"NA")</f>
        <v>537.97615317214024</v>
      </c>
      <c r="R142" s="159">
        <f t="shared" si="294"/>
        <v>5.3797615317214023</v>
      </c>
      <c r="S142" s="165">
        <f t="shared" si="305"/>
        <v>2.1564557247501843E-2</v>
      </c>
      <c r="T142" s="165">
        <f t="shared" si="306"/>
        <v>3.1703173000363665E-6</v>
      </c>
      <c r="U142" s="165"/>
      <c r="V142" s="165"/>
      <c r="W142" s="159">
        <f t="shared" si="274"/>
        <v>662.72642762840542</v>
      </c>
      <c r="X142" s="163"/>
      <c r="Y142" s="167">
        <v>29.899793126747984</v>
      </c>
      <c r="Z142" s="168">
        <v>1.6080179623480795E-2</v>
      </c>
      <c r="AA142" s="76">
        <f t="shared" si="295"/>
        <v>2.3640305276343731E-6</v>
      </c>
      <c r="AB142" s="168"/>
      <c r="AC142" s="168"/>
      <c r="AD142" s="163">
        <f t="shared" si="226"/>
        <v>1572.185156627675</v>
      </c>
      <c r="AE142" s="168">
        <f t="shared" si="307"/>
        <v>5.8458086131166397E-2</v>
      </c>
      <c r="AF142" s="163"/>
      <c r="AG142" s="163"/>
      <c r="AH142" s="163"/>
      <c r="AI142" s="163"/>
      <c r="AJ142" s="116">
        <f t="shared" si="308"/>
        <v>460.51117651660076</v>
      </c>
      <c r="AK142" s="114">
        <f>+AV142/$AX$17</f>
        <v>9.5594373417103194E-5</v>
      </c>
      <c r="AL142" s="115">
        <f t="shared" si="296"/>
        <v>0.23628424060684852</v>
      </c>
      <c r="AM142" s="115">
        <f t="shared" si="297"/>
        <v>0.34218371220734262</v>
      </c>
      <c r="AN142" s="115">
        <f t="shared" si="298"/>
        <v>0.42153204718580889</v>
      </c>
      <c r="AO142" s="115">
        <f t="shared" si="302"/>
        <v>1.6206961596955186E-2</v>
      </c>
      <c r="AP142" s="166">
        <f t="shared" si="311"/>
        <v>95.50057208463987</v>
      </c>
      <c r="AQ142" s="168">
        <f t="shared" si="312"/>
        <v>1.6206961596955234E-2</v>
      </c>
      <c r="AR142" s="69">
        <f>+AD142/$AF$17</f>
        <v>1.4701518160794297E-4</v>
      </c>
      <c r="AS142" s="169">
        <f t="shared" si="310"/>
        <v>2.3826694024893312E-6</v>
      </c>
      <c r="AT142" s="115"/>
      <c r="AU142" s="115"/>
      <c r="AV142" s="113">
        <f>IFERROR(INDEX('Total Customers'!$F$7:$AB$91,MATCH($C142,'Total Customers'!$D$7:$D$91,0),MATCH($G142,'Total Customers'!$F$5:$AB$5,0)),"NA")</f>
        <v>3414</v>
      </c>
      <c r="AW142" s="68">
        <f t="shared" si="287"/>
        <v>-6.1323013020638294E-3</v>
      </c>
      <c r="AX142" s="114"/>
      <c r="AY142" s="114"/>
      <c r="AZ142" s="116"/>
      <c r="BA142" s="116"/>
      <c r="BB142" s="166"/>
      <c r="BC142" s="166"/>
      <c r="BD142" s="166"/>
      <c r="BE142" s="166"/>
      <c r="BF142" s="166"/>
      <c r="BG142" s="166"/>
      <c r="BH142" s="166"/>
      <c r="BI142" s="113"/>
      <c r="BJ142" s="113"/>
      <c r="BK142" s="113">
        <f>INDEX('Dist. Plant Gas Additions'!$F$7:$AE$91,MATCH($C142,'Dist. Plant Gas Additions'!$D$7:$D$91,0),MATCH(Calculation!$G142,'Dist. Plant Gas Additions'!$F$5:$AE$5,0))</f>
        <v>420</v>
      </c>
      <c r="BL142" s="113">
        <f>INDEX('Gen. Plant Additions'!$F$7:$AE$91,MATCH($C142,'Gen. Plant Additions'!$D$7:$D$91,0),MATCH(Calculation!$G142,'Gen. Plant Additions'!$F$5:$AE$5,0))</f>
        <v>45</v>
      </c>
      <c r="BM142" s="231">
        <f t="shared" si="275"/>
        <v>0.87893317350913991</v>
      </c>
      <c r="BN142" s="61">
        <f>+BM142*BL142</f>
        <v>39.551992807911297</v>
      </c>
      <c r="BO142" s="113"/>
      <c r="BP142" s="113"/>
      <c r="BQ142" s="113"/>
      <c r="BR142" s="113"/>
      <c r="BS142" s="113"/>
      <c r="BT142" s="113"/>
      <c r="BU142" s="113"/>
      <c r="BV142" s="113"/>
      <c r="BW142" s="113">
        <f>INDEX('Gross Dx Plant'!$E$7:$AD$91,MATCH($C142,'Gross Dx Plant'!$D$7:$D$91,0),MATCH(Calculation!$G142,'Gross Dx Plant'!$E$5:$AD$5,0))</f>
        <v>8799</v>
      </c>
      <c r="BX142" s="113">
        <f>INDEX('Gross Gen Plant'!$E$7:$AD$91,MATCH($C142,'Gross Gen Plant'!$D$7:$D$91,0),MATCH(Calculation!$G142,'Gross Gen Plant'!$E$5:$AD$5,0))</f>
        <v>1212</v>
      </c>
      <c r="BY142" s="113">
        <f t="shared" ref="BY142:BY211" si="313">IF(OR(BO142="NA",BP142="NA"),"NA",(SUM(BW142:BX142)-SUM(BO142:BP142)))</f>
        <v>10011</v>
      </c>
      <c r="BZ142" s="113"/>
      <c r="CA142" s="116">
        <v>2012</v>
      </c>
      <c r="CB142" s="113"/>
      <c r="CC142" s="113"/>
      <c r="CD142" s="113"/>
      <c r="CE142" s="175"/>
      <c r="CF142" s="113">
        <f t="shared" si="276"/>
        <v>465</v>
      </c>
      <c r="CG142" s="113">
        <f t="shared" si="277"/>
        <v>0.69515109614625681</v>
      </c>
      <c r="CH142" s="178">
        <v>0.9135802469135802</v>
      </c>
      <c r="CI142" s="61">
        <f>+CI128*CH142+CG129*CH141+CG130*CH140+CG131*CH139+CG132*CH138+CG133*CH137+CG134*CH136+CG135*CH135+CG136*CH134+CG137*CH133+CG138*CH132+CG139*CH131+CG140*CH130+CG141*CH129+CG142</f>
        <v>29.899793126747984</v>
      </c>
      <c r="CJ142" s="114">
        <f t="shared" si="278"/>
        <v>1.6080179623480795E-2</v>
      </c>
      <c r="CK142" s="114"/>
      <c r="CL142" s="169">
        <f t="shared" si="279"/>
        <v>7.4160758135140385E-3</v>
      </c>
      <c r="CM142" s="169">
        <f t="shared" si="288"/>
        <v>7.1470376671272972E-3</v>
      </c>
      <c r="CN142" s="114">
        <f>VLOOKUP($H142,RoR!$E:$F,2,FALSE)</f>
        <v>3.6733333333333333E-2</v>
      </c>
      <c r="CO142" s="169">
        <v>1.924331376386168E-2</v>
      </c>
      <c r="CP142" s="169">
        <f t="shared" si="285"/>
        <v>1.7490019569471653E-2</v>
      </c>
      <c r="CQ142" s="169">
        <f t="shared" si="289"/>
        <v>2.3754903941406329E-2</v>
      </c>
      <c r="CR142" s="169">
        <f t="shared" si="290"/>
        <v>6.7122682943869583E-2</v>
      </c>
      <c r="CS142" s="179">
        <f t="shared" si="280"/>
        <v>0.85126000000000002</v>
      </c>
      <c r="CT142" s="180">
        <f t="shared" si="281"/>
        <v>1.3960631020522127</v>
      </c>
      <c r="CU142" s="180">
        <f t="shared" si="282"/>
        <v>0.29441923774954631</v>
      </c>
      <c r="CV142" s="180">
        <f t="shared" si="283"/>
        <v>0.76377954189366437</v>
      </c>
      <c r="CW142" s="180">
        <f t="shared" si="284"/>
        <v>0.31393465103033691</v>
      </c>
      <c r="CX142" s="181">
        <f>INDEX('State Tax Lookup'!$D$7:$Z$91,MATCH(Calculation!$C142,'State Tax Lookup'!$B$7:$B$91,0),MATCH($H142,'State Tax Lookup'!$D$6:$Z$6,0))</f>
        <v>0.40200000000000002</v>
      </c>
      <c r="CY142" s="72">
        <v>0.37</v>
      </c>
      <c r="CZ142" s="70">
        <f t="shared" si="286"/>
        <v>22.524213702335881</v>
      </c>
      <c r="DA142" s="70">
        <v>20.759737328210988</v>
      </c>
      <c r="DB142" s="69">
        <f t="shared" si="291"/>
        <v>7.6469687899479069E-2</v>
      </c>
      <c r="DC142" s="111">
        <f>VLOOKUP($H142,RoR!$E:$F,2,FALSE)</f>
        <v>3.6733333333333333E-2</v>
      </c>
      <c r="DD142" s="216">
        <f>HLOOKUP($H142,'GDP-PI'!$D$8:$CQ$11,3,FALSE)</f>
        <v>1.924331376386168E-2</v>
      </c>
      <c r="DE142" s="111">
        <f>VLOOKUP(H142,'HW Dx Data'!$E:$F,2,FALSE)</f>
        <v>668.91932211262167</v>
      </c>
      <c r="DF142" s="72">
        <f t="shared" si="299"/>
        <v>124.80000000000001</v>
      </c>
      <c r="DG142" s="69">
        <f t="shared" si="300"/>
        <v>3.1955502161869064E-2</v>
      </c>
      <c r="DH142" s="66">
        <f>HLOOKUP(H142,'GDP-PI'!$8:$9,2,FALSE)</f>
        <v>100</v>
      </c>
      <c r="DI142" s="69">
        <f t="shared" si="292"/>
        <v>1.9060502738742411E-2</v>
      </c>
      <c r="DO142" s="184"/>
      <c r="DP142" s="184"/>
      <c r="DQ142" s="184"/>
      <c r="DR142" s="184"/>
      <c r="DS142" s="184"/>
      <c r="DT142" s="184"/>
      <c r="DU142" s="184"/>
      <c r="DV142" s="184"/>
      <c r="DW142" s="184"/>
      <c r="EB142"/>
    </row>
    <row r="143" spans="1:132" s="160" customFormat="1" ht="21">
      <c r="A143" s="160" t="s">
        <v>167</v>
      </c>
      <c r="B143" s="161" t="s">
        <v>167</v>
      </c>
      <c r="C143" s="161">
        <v>4058793</v>
      </c>
      <c r="D143" s="161" t="s">
        <v>168</v>
      </c>
      <c r="E143" s="161"/>
      <c r="F143" s="161"/>
      <c r="G143" s="161" t="s">
        <v>129</v>
      </c>
      <c r="H143" s="162">
        <v>2013</v>
      </c>
      <c r="I143" s="163"/>
      <c r="J143" s="159">
        <f>IFERROR(INDEX('Labor Expenditures'!$F$7:$X$91,MATCH($C143,'Labor Expenditures'!$D$7:$D$91,0),MATCH($G143,'Labor Expenditures'!$F$5:$X$5,0)),"NA")</f>
        <v>349.83340447168922</v>
      </c>
      <c r="K143" s="159">
        <f t="shared" si="293"/>
        <v>2.7589385210701045</v>
      </c>
      <c r="L143" s="165">
        <f t="shared" si="301"/>
        <v>-7.5943492968838067E-2</v>
      </c>
      <c r="M143" s="76">
        <f t="shared" si="303"/>
        <v>-1.0389124346667203E-5</v>
      </c>
      <c r="N143" s="62">
        <f t="shared" si="309"/>
        <v>108.09633821164127</v>
      </c>
      <c r="O143" s="96">
        <f t="shared" si="304"/>
        <v>-5.465989336947346E-2</v>
      </c>
      <c r="P143" s="96"/>
      <c r="Q143" s="159">
        <f>IFERROR(INDEX('Non-Labor Expenditures'!$F$7:$AB$91,MATCH($C143,'Non-Labor Expenditures'!$D$7:$D$91,0),MATCH($G143,'Non-Labor Expenditures'!$F$5:$AB$5,0)),"NA")</f>
        <v>506.62410954201306</v>
      </c>
      <c r="R143" s="159">
        <f t="shared" si="294"/>
        <v>4.9779814837138838</v>
      </c>
      <c r="S143" s="165">
        <f t="shared" si="305"/>
        <v>-7.7619563917550385E-2</v>
      </c>
      <c r="T143" s="165">
        <f t="shared" si="306"/>
        <v>-1.0618412055452915E-5</v>
      </c>
      <c r="U143" s="165"/>
      <c r="V143" s="165"/>
      <c r="W143" s="159">
        <f t="shared" si="274"/>
        <v>660.83118948718845</v>
      </c>
      <c r="X143" s="163"/>
      <c r="Y143" s="167">
        <v>29.926544797024413</v>
      </c>
      <c r="Z143" s="168">
        <v>8.94310866678646E-4</v>
      </c>
      <c r="AA143" s="76">
        <f t="shared" si="295"/>
        <v>1.2234236845430052E-7</v>
      </c>
      <c r="AB143" s="168"/>
      <c r="AC143" s="168"/>
      <c r="AD143" s="163">
        <f t="shared" si="226"/>
        <v>1517.2887035008907</v>
      </c>
      <c r="AE143" s="168">
        <f t="shared" si="307"/>
        <v>-3.554147679617909E-2</v>
      </c>
      <c r="AF143" s="163"/>
      <c r="AG143" s="163"/>
      <c r="AH143" s="163"/>
      <c r="AI143" s="163"/>
      <c r="AJ143" s="116">
        <f t="shared" si="308"/>
        <v>443.00400102215787</v>
      </c>
      <c r="AK143" s="114">
        <f>+AV143/$AX$18</f>
        <v>9.5291164169231316E-5</v>
      </c>
      <c r="AL143" s="115">
        <f t="shared" si="296"/>
        <v>0.23056482504912015</v>
      </c>
      <c r="AM143" s="115">
        <f t="shared" si="297"/>
        <v>0.33390093024027817</v>
      </c>
      <c r="AN143" s="115">
        <f t="shared" si="298"/>
        <v>0.43553424471060165</v>
      </c>
      <c r="AO143" s="115">
        <f t="shared" si="302"/>
        <v>-4.3582530077491521E-2</v>
      </c>
      <c r="AP143" s="166">
        <f t="shared" si="311"/>
        <v>91.427810792459923</v>
      </c>
      <c r="AQ143" s="168">
        <f t="shared" si="312"/>
        <v>-4.3582530077491501E-2</v>
      </c>
      <c r="AR143" s="69">
        <f>+AD143/$AF$18</f>
        <v>1.3680071775115977E-4</v>
      </c>
      <c r="AS143" s="169">
        <f t="shared" si="310"/>
        <v>-5.9621213960123457E-6</v>
      </c>
      <c r="AT143" s="115"/>
      <c r="AU143" s="115"/>
      <c r="AV143" s="113">
        <f>IFERROR(INDEX('Total Customers'!$F$7:$AB$91,MATCH($C143,'Total Customers'!$D$7:$D$91,0),MATCH($G143,'Total Customers'!$F$5:$AB$5,0)),"NA")</f>
        <v>3425</v>
      </c>
      <c r="AW143" s="68">
        <f t="shared" si="287"/>
        <v>3.2168473419397748E-3</v>
      </c>
      <c r="AX143" s="114"/>
      <c r="AY143" s="114"/>
      <c r="AZ143" s="116"/>
      <c r="BA143" s="116"/>
      <c r="BB143" s="166"/>
      <c r="BC143" s="166"/>
      <c r="BD143" s="166"/>
      <c r="BE143" s="166"/>
      <c r="BF143" s="166"/>
      <c r="BG143" s="166"/>
      <c r="BH143" s="166"/>
      <c r="BI143" s="113"/>
      <c r="BJ143" s="113"/>
      <c r="BK143" s="113">
        <f>INDEX('Dist. Plant Gas Additions'!$F$7:$AE$91,MATCH($C143,'Dist. Plant Gas Additions'!$D$7:$D$91,0),MATCH(Calculation!$G143,'Dist. Plant Gas Additions'!$F$5:$AE$5,0))</f>
        <v>56</v>
      </c>
      <c r="BL143" s="113">
        <f>INDEX('Gen. Plant Additions'!$F$7:$AE$91,MATCH($C143,'Gen. Plant Additions'!$D$7:$D$91,0),MATCH(Calculation!$G143,'Gen. Plant Additions'!$F$5:$AE$5,0))</f>
        <v>114</v>
      </c>
      <c r="BM143" s="231">
        <f t="shared" si="275"/>
        <v>0.86957804662142224</v>
      </c>
      <c r="BN143" s="61">
        <f t="shared" ref="BN143:BN161" si="314">+BM143*BL143</f>
        <v>99.131897314842135</v>
      </c>
      <c r="BO143" s="113"/>
      <c r="BP143" s="113"/>
      <c r="BQ143" s="113"/>
      <c r="BR143" s="113"/>
      <c r="BS143" s="113"/>
      <c r="BT143" s="113"/>
      <c r="BU143" s="113"/>
      <c r="BV143" s="113"/>
      <c r="BW143" s="113">
        <f>INDEX('Gross Dx Plant'!$E$7:$AD$91,MATCH($C143,'Gross Dx Plant'!$D$7:$D$91,0),MATCH(Calculation!$G143,'Gross Dx Plant'!$E$5:$AD$5,0))</f>
        <v>8841</v>
      </c>
      <c r="BX143" s="113">
        <f>INDEX('Gross Gen Plant'!$E$7:$AD$91,MATCH($C143,'Gross Gen Plant'!$D$7:$D$91,0),MATCH(Calculation!$G143,'Gross Gen Plant'!$E$5:$AD$5,0))</f>
        <v>1326</v>
      </c>
      <c r="BY143" s="113">
        <f t="shared" si="313"/>
        <v>10167</v>
      </c>
      <c r="BZ143" s="113"/>
      <c r="CA143" s="116">
        <v>2013</v>
      </c>
      <c r="CB143" s="113"/>
      <c r="CC143" s="113"/>
      <c r="CD143" s="113"/>
      <c r="CE143" s="175"/>
      <c r="CF143" s="113">
        <f t="shared" si="276"/>
        <v>170</v>
      </c>
      <c r="CG143" s="113">
        <f t="shared" si="277"/>
        <v>0.25631422343920118</v>
      </c>
      <c r="CH143" s="178">
        <v>0.90566037735849059</v>
      </c>
      <c r="CI143" s="61">
        <f>+CI128*CH143+CG129*CH142+CG130*CH141+CG131*CH140+CG132*CH139+CG133*CH138+CG134*CH137+CG135*CH136+CG136*CH135+CG137*CH134+CG138*CH133+CG139*CH132+CG140*CH131+CG141*CH130+CG142*CH129+CG143</f>
        <v>29.926544797024413</v>
      </c>
      <c r="CJ143" s="114">
        <f t="shared" si="278"/>
        <v>8.94310866678646E-4</v>
      </c>
      <c r="CK143" s="114"/>
      <c r="CL143" s="169">
        <f t="shared" si="279"/>
        <v>7.6777304842757721E-3</v>
      </c>
      <c r="CM143" s="169">
        <f t="shared" si="288"/>
        <v>7.4123436590715587E-3</v>
      </c>
      <c r="CN143" s="114">
        <f>VLOOKUP($H143,RoR!$E:$F,2,FALSE)</f>
        <v>4.2350000000000006E-2</v>
      </c>
      <c r="CO143" s="169">
        <v>1.7730000000000024E-2</v>
      </c>
      <c r="CP143" s="169">
        <f t="shared" si="285"/>
        <v>2.4619999999999982E-2</v>
      </c>
      <c r="CQ143" s="169">
        <f t="shared" si="289"/>
        <v>2.3489597949462065E-2</v>
      </c>
      <c r="CR143" s="169">
        <f t="shared" si="290"/>
        <v>5.3376742735721204E-2</v>
      </c>
      <c r="CS143" s="179">
        <f t="shared" si="280"/>
        <v>0.85126000000000002</v>
      </c>
      <c r="CT143" s="180">
        <f t="shared" si="281"/>
        <v>1.2109103018193925</v>
      </c>
      <c r="CU143" s="180">
        <f t="shared" si="282"/>
        <v>0.38468122786304604</v>
      </c>
      <c r="CV143" s="180">
        <f t="shared" si="283"/>
        <v>0.80969194503422559</v>
      </c>
      <c r="CW143" s="180">
        <f t="shared" si="284"/>
        <v>0.37716621754800816</v>
      </c>
      <c r="CX143" s="181">
        <f>INDEX('State Tax Lookup'!$D$7:$Z$91,MATCH(Calculation!$C143,'State Tax Lookup'!$B$7:$B$91,0),MATCH($H143,'State Tax Lookup'!$D$6:$Z$6,0))</f>
        <v>0.40200000000000002</v>
      </c>
      <c r="CY143" s="72">
        <v>0.37</v>
      </c>
      <c r="CZ143" s="70">
        <f t="shared" si="286"/>
        <v>22.101530491728287</v>
      </c>
      <c r="DA143" s="70">
        <v>20.339519021246105</v>
      </c>
      <c r="DB143" s="69">
        <f t="shared" si="291"/>
        <v>-1.8944035963472522E-2</v>
      </c>
      <c r="DC143" s="111">
        <f>VLOOKUP($H143,RoR!$E:$F,2,FALSE)</f>
        <v>4.2350000000000006E-2</v>
      </c>
      <c r="DD143" s="216">
        <f>HLOOKUP($H143,'GDP-PI'!$D$8:$CQ$11,3,FALSE)</f>
        <v>1.7730000000000024E-2</v>
      </c>
      <c r="DE143" s="111">
        <f>VLOOKUP(H143,'HW Dx Data'!$E:$F,2,FALSE)</f>
        <v>663.24840548821396</v>
      </c>
      <c r="DF143" s="72">
        <f t="shared" si="299"/>
        <v>126.8</v>
      </c>
      <c r="DG143" s="69">
        <f t="shared" si="300"/>
        <v>1.5898586067798204E-2</v>
      </c>
      <c r="DH143" s="66">
        <f>HLOOKUP(H143,'GDP-PI'!$8:$9,2,FALSE)</f>
        <v>101.773</v>
      </c>
      <c r="DI143" s="69">
        <f t="shared" si="292"/>
        <v>1.7574657016510519E-2</v>
      </c>
      <c r="DO143" s="184"/>
      <c r="DP143" s="184"/>
      <c r="DQ143" s="184"/>
      <c r="DR143" s="184"/>
      <c r="DS143" s="184"/>
      <c r="DT143" s="184"/>
      <c r="DU143" s="184"/>
      <c r="DV143" s="184"/>
      <c r="DW143" s="184"/>
      <c r="EB143"/>
    </row>
    <row r="144" spans="1:132" s="160" customFormat="1" ht="21">
      <c r="A144" s="160" t="s">
        <v>167</v>
      </c>
      <c r="B144" s="161" t="s">
        <v>167</v>
      </c>
      <c r="C144" s="161">
        <v>4058793</v>
      </c>
      <c r="D144" s="161" t="s">
        <v>168</v>
      </c>
      <c r="E144" s="161"/>
      <c r="F144" s="161"/>
      <c r="G144" s="161" t="s">
        <v>130</v>
      </c>
      <c r="H144" s="162">
        <v>2014</v>
      </c>
      <c r="I144" s="163"/>
      <c r="J144" s="159">
        <f>IFERROR(INDEX('Labor Expenditures'!$F$7:$X$91,MATCH($C144,'Labor Expenditures'!$D$7:$D$91,0),MATCH($G144,'Labor Expenditures'!$F$5:$X$5,0)),"NA")</f>
        <v>319.63122605974127</v>
      </c>
      <c r="K144" s="159">
        <f t="shared" si="293"/>
        <v>2.4701022106626063</v>
      </c>
      <c r="L144" s="165">
        <f t="shared" si="301"/>
        <v>-0.1105864813199243</v>
      </c>
      <c r="M144" s="76">
        <f t="shared" si="303"/>
        <v>-1.4157510703926401E-5</v>
      </c>
      <c r="N144" s="62">
        <f t="shared" si="309"/>
        <v>121.74976212350805</v>
      </c>
      <c r="O144" s="96">
        <f t="shared" si="304"/>
        <v>0.11894495816121999</v>
      </c>
      <c r="P144" s="96"/>
      <c r="Q144" s="159">
        <f>IFERROR(INDEX('Non-Labor Expenditures'!$F$7:$AB$91,MATCH($C144,'Non-Labor Expenditures'!$D$7:$D$91,0),MATCH($G144,'Non-Labor Expenditures'!$F$5:$AB$5,0)),"NA")</f>
        <v>462.88571421270024</v>
      </c>
      <c r="R144" s="159">
        <f t="shared" si="294"/>
        <v>4.4659827511910644</v>
      </c>
      <c r="S144" s="165">
        <f t="shared" si="305"/>
        <v>-0.10853519315450544</v>
      </c>
      <c r="T144" s="165">
        <f t="shared" si="306"/>
        <v>-1.3894900538451114E-5</v>
      </c>
      <c r="U144" s="165"/>
      <c r="V144" s="165"/>
      <c r="W144" s="159">
        <f t="shared" si="274"/>
        <v>674.98126104965615</v>
      </c>
      <c r="X144" s="163"/>
      <c r="Y144" s="167">
        <v>29.906409481867019</v>
      </c>
      <c r="Z144" s="168">
        <v>-6.7305103550941196E-4</v>
      </c>
      <c r="AA144" s="76">
        <f t="shared" si="295"/>
        <v>-8.6165389528461857E-8</v>
      </c>
      <c r="AB144" s="168"/>
      <c r="AC144" s="168"/>
      <c r="AD144" s="163">
        <f t="shared" si="226"/>
        <v>1457.4982013220977</v>
      </c>
      <c r="AE144" s="168">
        <f t="shared" si="307"/>
        <v>-4.0203589231703842E-2</v>
      </c>
      <c r="AF144" s="163"/>
      <c r="AG144" s="163"/>
      <c r="AH144" s="163"/>
      <c r="AI144" s="163"/>
      <c r="AJ144" s="116">
        <f t="shared" si="308"/>
        <v>429.94047236640046</v>
      </c>
      <c r="AK144" s="114">
        <f>+AV144/$AX$19</f>
        <v>9.3813381108973784E-5</v>
      </c>
      <c r="AL144" s="115">
        <f t="shared" si="296"/>
        <v>0.21930128337023233</v>
      </c>
      <c r="AM144" s="115">
        <f t="shared" si="297"/>
        <v>0.31758921814985175</v>
      </c>
      <c r="AN144" s="115">
        <f t="shared" si="298"/>
        <v>0.46310949847991589</v>
      </c>
      <c r="AO144" s="115">
        <f t="shared" si="302"/>
        <v>-6.0531776095436168E-2</v>
      </c>
      <c r="AP144" s="166">
        <f t="shared" si="311"/>
        <v>86.057693992991361</v>
      </c>
      <c r="AQ144" s="168">
        <f t="shared" si="312"/>
        <v>-6.0531776095436314E-2</v>
      </c>
      <c r="AR144" s="69">
        <f>+AD144/$AF$19</f>
        <v>1.2802207408127065E-4</v>
      </c>
      <c r="AS144" s="169">
        <f t="shared" si="310"/>
        <v>-7.749403523560835E-6</v>
      </c>
      <c r="AT144" s="115"/>
      <c r="AU144" s="115"/>
      <c r="AV144" s="113">
        <f>IFERROR(INDEX('Total Customers'!$F$7:$AB$91,MATCH($C144,'Total Customers'!$D$7:$D$91,0),MATCH($G144,'Total Customers'!$F$5:$AB$5,0)),"NA")</f>
        <v>3390</v>
      </c>
      <c r="AW144" s="68">
        <f t="shared" si="287"/>
        <v>-1.0271550321829685E-2</v>
      </c>
      <c r="AX144" s="114"/>
      <c r="AY144" s="114"/>
      <c r="AZ144" s="116"/>
      <c r="BA144" s="116"/>
      <c r="BB144" s="166"/>
      <c r="BC144" s="166"/>
      <c r="BD144" s="166"/>
      <c r="BE144" s="166"/>
      <c r="BF144" s="166"/>
      <c r="BG144" s="166"/>
      <c r="BH144" s="166"/>
      <c r="BI144" s="113"/>
      <c r="BJ144" s="113"/>
      <c r="BK144" s="113">
        <f>INDEX('Dist. Plant Gas Additions'!$F$7:$AE$91,MATCH($C144,'Dist. Plant Gas Additions'!$D$7:$D$91,0),MATCH(Calculation!$G144,'Dist. Plant Gas Additions'!$F$5:$AE$5,0))</f>
        <v>103</v>
      </c>
      <c r="BL144" s="113">
        <f>INDEX('Gen. Plant Additions'!$F$7:$AE$91,MATCH($C144,'Gen. Plant Additions'!$D$7:$D$91,0),MATCH(Calculation!$G144,'Gen. Plant Additions'!$F$5:$AE$5,0))</f>
        <v>47</v>
      </c>
      <c r="BM144" s="231">
        <f t="shared" si="275"/>
        <v>0.87089864667510464</v>
      </c>
      <c r="BN144" s="61">
        <f t="shared" si="314"/>
        <v>40.932236393729916</v>
      </c>
      <c r="BO144" s="113"/>
      <c r="BP144" s="113"/>
      <c r="BQ144" s="113"/>
      <c r="BR144" s="113"/>
      <c r="BS144" s="113"/>
      <c r="BT144" s="113"/>
      <c r="BU144" s="113"/>
      <c r="BV144" s="113"/>
      <c r="BW144" s="113">
        <f>INDEX('Gross Dx Plant'!$E$7:$AD$91,MATCH($C144,'Gross Dx Plant'!$D$7:$D$91,0),MATCH(Calculation!$G144,'Gross Dx Plant'!$E$5:$AD$5,0))</f>
        <v>8945</v>
      </c>
      <c r="BX144" s="113">
        <f>INDEX('Gross Gen Plant'!$E$7:$AD$91,MATCH($C144,'Gross Gen Plant'!$D$7:$D$91,0),MATCH(Calculation!$G144,'Gross Gen Plant'!$E$5:$AD$5,0))</f>
        <v>1326</v>
      </c>
      <c r="BY144" s="113">
        <f t="shared" si="313"/>
        <v>10271</v>
      </c>
      <c r="BZ144" s="113"/>
      <c r="CA144" s="116">
        <v>2014</v>
      </c>
      <c r="CB144" s="113"/>
      <c r="CC144" s="113"/>
      <c r="CD144" s="113"/>
      <c r="CE144" s="175"/>
      <c r="CF144" s="113">
        <f t="shared" si="276"/>
        <v>150</v>
      </c>
      <c r="CG144" s="113">
        <f t="shared" si="277"/>
        <v>0.2191479361295009</v>
      </c>
      <c r="CH144" s="178">
        <v>0.89743589743589747</v>
      </c>
      <c r="CI144" s="61">
        <f>+CI128*CH144+CG129*CH143+CG130*CH142+CG131*CH141+CG132*CH140+CG133*CH139+CG134*CH138+CG135*CH137+CG136*CH136+CG137*CH135+CG138*CH134+CG139*CH133+CG140*CH132+CG141*CH131+CG142*CH130+CG143*CH129+CG144</f>
        <v>29.906409481867019</v>
      </c>
      <c r="CJ144" s="114">
        <f t="shared" si="278"/>
        <v>-6.7305103550941196E-4</v>
      </c>
      <c r="CK144" s="114"/>
      <c r="CL144" s="169">
        <f t="shared" si="279"/>
        <v>7.9956858671732158E-3</v>
      </c>
      <c r="CM144" s="169">
        <f t="shared" si="288"/>
        <v>7.6964973883210082E-3</v>
      </c>
      <c r="CN144" s="114">
        <f>VLOOKUP($H144,RoR!$E:$F,2,FALSE)</f>
        <v>4.1625000000000002E-2</v>
      </c>
      <c r="CO144" s="169">
        <v>1.841352814597208E-2</v>
      </c>
      <c r="CP144" s="169">
        <f t="shared" si="285"/>
        <v>2.3211471854027922E-2</v>
      </c>
      <c r="CQ144" s="169">
        <f t="shared" si="289"/>
        <v>2.3205444220212618E-2</v>
      </c>
      <c r="CR144" s="169">
        <f t="shared" si="290"/>
        <v>3.9072621432650924E-2</v>
      </c>
      <c r="CS144" s="179">
        <f t="shared" si="280"/>
        <v>0.85126000000000002</v>
      </c>
      <c r="CT144" s="180">
        <f t="shared" si="281"/>
        <v>1.2320012320012319</v>
      </c>
      <c r="CU144" s="180">
        <f t="shared" si="282"/>
        <v>0.37439939939939942</v>
      </c>
      <c r="CV144" s="180">
        <f t="shared" si="283"/>
        <v>0.80432100613819935</v>
      </c>
      <c r="CW144" s="180">
        <f t="shared" si="284"/>
        <v>0.37100152660040037</v>
      </c>
      <c r="CX144" s="181">
        <f>INDEX('State Tax Lookup'!$D$7:$Z$91,MATCH(Calculation!$C144,'State Tax Lookup'!$B$7:$B$91,0),MATCH($H144,'State Tax Lookup'!$D$6:$Z$6,0))</f>
        <v>0.40200000000000002</v>
      </c>
      <c r="CY144" s="72">
        <v>0.37</v>
      </c>
      <c r="CZ144" s="70">
        <f t="shared" si="286"/>
        <v>22.554600460149658</v>
      </c>
      <c r="DA144" s="70">
        <v>20.763592984765573</v>
      </c>
      <c r="DB144" s="69">
        <f t="shared" si="291"/>
        <v>2.0292197532526954E-2</v>
      </c>
      <c r="DC144" s="111">
        <f>VLOOKUP($H144,RoR!$E:$F,2,FALSE)</f>
        <v>4.1625000000000002E-2</v>
      </c>
      <c r="DD144" s="216">
        <f>HLOOKUP($H144,'GDP-PI'!$D$8:$CQ$11,3,FALSE)</f>
        <v>1.841352814597208E-2</v>
      </c>
      <c r="DE144" s="111">
        <f>VLOOKUP(H144,'HW Dx Data'!$E:$F,2,FALSE)</f>
        <v>684.46914285042885</v>
      </c>
      <c r="DF144" s="72">
        <f t="shared" si="299"/>
        <v>129.4</v>
      </c>
      <c r="DG144" s="69">
        <f t="shared" si="300"/>
        <v>2.0297340063674733E-2</v>
      </c>
      <c r="DH144" s="66">
        <f>HLOOKUP(H144,'GDP-PI'!$8:$9,2,FALSE)</f>
        <v>103.64700000000001</v>
      </c>
      <c r="DI144" s="69">
        <f t="shared" si="292"/>
        <v>1.8246051898256087E-2</v>
      </c>
      <c r="DO144" s="184"/>
      <c r="DP144" s="184"/>
      <c r="DQ144" s="184"/>
      <c r="DR144" s="184"/>
      <c r="DS144" s="184"/>
      <c r="DT144" s="184"/>
      <c r="DU144" s="184"/>
      <c r="DV144" s="184"/>
      <c r="DW144" s="184"/>
      <c r="EB144"/>
    </row>
    <row r="145" spans="1:132" s="160" customFormat="1" ht="21">
      <c r="A145" s="160" t="s">
        <v>167</v>
      </c>
      <c r="B145" s="161" t="s">
        <v>167</v>
      </c>
      <c r="C145" s="161">
        <v>4058793</v>
      </c>
      <c r="D145" s="161" t="s">
        <v>168</v>
      </c>
      <c r="E145" s="161"/>
      <c r="F145" s="161"/>
      <c r="G145" s="161" t="s">
        <v>132</v>
      </c>
      <c r="H145" s="162">
        <v>2015</v>
      </c>
      <c r="I145" s="163"/>
      <c r="J145" s="159">
        <f>IFERROR(INDEX('Labor Expenditures'!$F$7:$X$91,MATCH($C145,'Labor Expenditures'!$D$7:$D$91,0),MATCH($G145,'Labor Expenditures'!$F$5:$X$5,0)),"NA")</f>
        <v>310.39871495196576</v>
      </c>
      <c r="K145" s="159">
        <f t="shared" si="293"/>
        <v>2.3250840071308296</v>
      </c>
      <c r="L145" s="165">
        <f t="shared" si="301"/>
        <v>-6.0503360132933316E-2</v>
      </c>
      <c r="M145" s="76">
        <f t="shared" si="303"/>
        <v>-7.4640477706809724E-6</v>
      </c>
      <c r="N145" s="62">
        <f t="shared" si="309"/>
        <v>119.11795025258496</v>
      </c>
      <c r="O145" s="96">
        <f t="shared" si="304"/>
        <v>-2.1853627338241338E-2</v>
      </c>
      <c r="P145" s="96"/>
      <c r="Q145" s="159">
        <f>IFERROR(INDEX('Non-Labor Expenditures'!$F$7:$AB$91,MATCH($C145,'Non-Labor Expenditures'!$D$7:$D$91,0),MATCH($G145,'Non-Labor Expenditures'!$F$5:$AB$5,0)),"NA")</f>
        <v>449.51531373342846</v>
      </c>
      <c r="R145" s="159">
        <f t="shared" si="294"/>
        <v>4.2958678287581922</v>
      </c>
      <c r="S145" s="165">
        <f t="shared" si="305"/>
        <v>-3.8835700544872474E-2</v>
      </c>
      <c r="T145" s="165">
        <f t="shared" si="306"/>
        <v>-4.790998771603856E-6</v>
      </c>
      <c r="U145" s="165"/>
      <c r="V145" s="165"/>
      <c r="W145" s="159">
        <f t="shared" si="274"/>
        <v>658.4621555697488</v>
      </c>
      <c r="X145" s="163"/>
      <c r="Y145" s="167">
        <v>30.146999381159588</v>
      </c>
      <c r="Z145" s="168">
        <v>8.0125738414871528E-3</v>
      </c>
      <c r="AA145" s="76">
        <f t="shared" si="295"/>
        <v>9.8847789259253067E-7</v>
      </c>
      <c r="AB145" s="168"/>
      <c r="AC145" s="168"/>
      <c r="AD145" s="163">
        <f t="shared" si="226"/>
        <v>1418.376184255143</v>
      </c>
      <c r="AE145" s="168">
        <f t="shared" si="307"/>
        <v>-2.7208720090787095E-2</v>
      </c>
      <c r="AF145" s="163"/>
      <c r="AG145" s="163"/>
      <c r="AH145" s="163"/>
      <c r="AI145" s="163"/>
      <c r="AJ145" s="116">
        <f t="shared" si="308"/>
        <v>407.57936329170775</v>
      </c>
      <c r="AK145" s="114">
        <f>+AV145/$AX$20</f>
        <v>9.5520925011462508E-5</v>
      </c>
      <c r="AL145" s="115">
        <f t="shared" si="296"/>
        <v>0.21884089594677658</v>
      </c>
      <c r="AM145" s="115">
        <f t="shared" si="297"/>
        <v>0.31692249117217824</v>
      </c>
      <c r="AN145" s="115">
        <f t="shared" si="298"/>
        <v>0.46423661288104517</v>
      </c>
      <c r="AO145" s="115">
        <f t="shared" si="302"/>
        <v>-2.1860175803097549E-2</v>
      </c>
      <c r="AP145" s="166">
        <f t="shared" si="311"/>
        <v>84.196870736481415</v>
      </c>
      <c r="AQ145" s="168">
        <f t="shared" si="312"/>
        <v>-2.186017580309756E-2</v>
      </c>
      <c r="AR145" s="69">
        <f>+AD145/$AF$20</f>
        <v>1.2336583876137693E-4</v>
      </c>
      <c r="AS145" s="169">
        <f t="shared" si="310"/>
        <v>-2.6967989234202869E-6</v>
      </c>
      <c r="AT145" s="115"/>
      <c r="AU145" s="115"/>
      <c r="AV145" s="113">
        <f>IFERROR(INDEX('Total Customers'!$F$7:$AB$91,MATCH($C145,'Total Customers'!$D$7:$D$91,0),MATCH($G145,'Total Customers'!$F$5:$AB$5,0)),"NA")</f>
        <v>3480</v>
      </c>
      <c r="AW145" s="68">
        <f t="shared" si="287"/>
        <v>2.6202372394024117E-2</v>
      </c>
      <c r="AX145" s="114"/>
      <c r="AY145" s="114"/>
      <c r="AZ145" s="116"/>
      <c r="BA145" s="116"/>
      <c r="BB145" s="166"/>
      <c r="BC145" s="166"/>
      <c r="BD145" s="166"/>
      <c r="BE145" s="166"/>
      <c r="BF145" s="166"/>
      <c r="BG145" s="166"/>
      <c r="BH145" s="166"/>
      <c r="BI145" s="113"/>
      <c r="BJ145" s="113"/>
      <c r="BK145" s="113">
        <f>INDEX('Dist. Plant Gas Additions'!$F$7:$AE$91,MATCH($C145,'Dist. Plant Gas Additions'!$D$7:$D$91,0),MATCH(Calculation!$G145,'Dist. Plant Gas Additions'!$F$5:$AE$5,0))</f>
        <v>270</v>
      </c>
      <c r="BL145" s="113">
        <f>INDEX('Gen. Plant Additions'!$F$7:$AE$91,MATCH($C145,'Gen. Plant Additions'!$D$7:$D$91,0),MATCH(Calculation!$G145,'Gen. Plant Additions'!$F$5:$AE$5,0))</f>
        <v>61</v>
      </c>
      <c r="BM145" s="231">
        <f t="shared" si="275"/>
        <v>0.86924528301886794</v>
      </c>
      <c r="BN145" s="61">
        <f t="shared" si="314"/>
        <v>53.023962264150946</v>
      </c>
      <c r="BO145" s="113"/>
      <c r="BP145" s="113"/>
      <c r="BQ145" s="113"/>
      <c r="BR145" s="113"/>
      <c r="BS145" s="113"/>
      <c r="BT145" s="113"/>
      <c r="BU145" s="113"/>
      <c r="BV145" s="113"/>
      <c r="BW145" s="113">
        <f>INDEX('Gross Dx Plant'!$E$7:$AD$91,MATCH($C145,'Gross Dx Plant'!$D$7:$D$91,0),MATCH(Calculation!$G145,'Gross Dx Plant'!$E$5:$AD$5,0))</f>
        <v>9214</v>
      </c>
      <c r="BX145" s="113">
        <f>INDEX('Gross Gen Plant'!$E$7:$AD$91,MATCH($C145,'Gross Gen Plant'!$D$7:$D$91,0),MATCH(Calculation!$G145,'Gross Gen Plant'!$E$5:$AD$5,0))</f>
        <v>1386</v>
      </c>
      <c r="BY145" s="113">
        <f t="shared" si="313"/>
        <v>10600</v>
      </c>
      <c r="BZ145" s="113"/>
      <c r="CA145" s="116">
        <v>2015</v>
      </c>
      <c r="CB145" s="113"/>
      <c r="CC145" s="113"/>
      <c r="CD145" s="113"/>
      <c r="CE145" s="175"/>
      <c r="CF145" s="113">
        <f t="shared" si="276"/>
        <v>331</v>
      </c>
      <c r="CG145" s="113">
        <f t="shared" si="277"/>
        <v>0.48992426124308686</v>
      </c>
      <c r="CH145" s="178">
        <v>0.88888888888888884</v>
      </c>
      <c r="CI145" s="61">
        <f>+CI128*CH145+CG129*CH144+CG130*CH143+CG131*CH142+CG132*CH141+CG133*CH140+CG134*CH139+CG135*CH138+CG136*CH137+CG137*CH136+CG138*CH135+CG139*CH134+CG140*CH133+CG141*CH132+CG142*CH131+CG143*CH130+CG144*CH129+CG145</f>
        <v>30.146999381159588</v>
      </c>
      <c r="CJ145" s="114">
        <f t="shared" si="278"/>
        <v>8.0125738414871528E-3</v>
      </c>
      <c r="CK145" s="114"/>
      <c r="CL145" s="169">
        <f t="shared" si="279"/>
        <v>8.3371546859108935E-3</v>
      </c>
      <c r="CM145" s="169">
        <f t="shared" si="288"/>
        <v>8.0035236791199602E-3</v>
      </c>
      <c r="CN145" s="114">
        <f>VLOOKUP($H145,RoR!$E:$F,2,FALSE)</f>
        <v>3.8866666666666674E-2</v>
      </c>
      <c r="CO145" s="169">
        <v>9.5709475431029478E-3</v>
      </c>
      <c r="CP145" s="169">
        <f t="shared" si="285"/>
        <v>2.9295719123563727E-2</v>
      </c>
      <c r="CQ145" s="169">
        <f t="shared" si="289"/>
        <v>2.2898417929413665E-2</v>
      </c>
      <c r="CR145" s="169">
        <f t="shared" si="290"/>
        <v>3.5270373279175926E-3</v>
      </c>
      <c r="CS145" s="179">
        <f t="shared" si="280"/>
        <v>0.85126000000000002</v>
      </c>
      <c r="CT145" s="180">
        <f t="shared" si="281"/>
        <v>1.3194352816994324</v>
      </c>
      <c r="CU145" s="180">
        <f t="shared" si="282"/>
        <v>0.33177530017152673</v>
      </c>
      <c r="CV145" s="180">
        <f t="shared" si="283"/>
        <v>0.78242572977668579</v>
      </c>
      <c r="CW145" s="180">
        <f t="shared" si="284"/>
        <v>0.34251158643433932</v>
      </c>
      <c r="CX145" s="181">
        <f>INDEX('State Tax Lookup'!$D$7:$Z$91,MATCH(Calculation!$C145,'State Tax Lookup'!$B$7:$B$91,0),MATCH($H145,'State Tax Lookup'!$D$6:$Z$6,0))</f>
        <v>0.40200000000000002</v>
      </c>
      <c r="CY145" s="72">
        <v>0.37</v>
      </c>
      <c r="CZ145" s="70">
        <f t="shared" si="286"/>
        <v>22.017425929013324</v>
      </c>
      <c r="DA145" s="70">
        <v>20.279488671080099</v>
      </c>
      <c r="DB145" s="69">
        <f t="shared" si="291"/>
        <v>-2.4104829172888222E-2</v>
      </c>
      <c r="DC145" s="111">
        <f>VLOOKUP($H145,RoR!$E:$F,2,FALSE)</f>
        <v>3.8866666666666674E-2</v>
      </c>
      <c r="DD145" s="216">
        <f>HLOOKUP($H145,'GDP-PI'!$D$8:$CQ$11,3,FALSE)</f>
        <v>9.5709475431029478E-3</v>
      </c>
      <c r="DE145" s="111">
        <f>VLOOKUP(H145,'HW Dx Data'!$E:$F,2,FALSE)</f>
        <v>675.61463308665782</v>
      </c>
      <c r="DF145" s="72">
        <f t="shared" si="299"/>
        <v>133.5</v>
      </c>
      <c r="DG145" s="69">
        <f t="shared" si="300"/>
        <v>3.1193095773504077E-2</v>
      </c>
      <c r="DH145" s="66">
        <f>HLOOKUP(H145,'GDP-PI'!$8:$9,2,FALSE)</f>
        <v>104.639</v>
      </c>
      <c r="DI145" s="69">
        <f t="shared" si="292"/>
        <v>9.5254361854427965E-3</v>
      </c>
      <c r="DO145" s="184"/>
      <c r="DP145" s="184"/>
      <c r="DQ145" s="184"/>
      <c r="DR145" s="184"/>
      <c r="DS145" s="184"/>
      <c r="DT145" s="184"/>
      <c r="DU145" s="184"/>
      <c r="DV145" s="184"/>
      <c r="DW145" s="184"/>
      <c r="EB145"/>
    </row>
    <row r="146" spans="1:132" s="160" customFormat="1" ht="21">
      <c r="A146" s="160" t="s">
        <v>167</v>
      </c>
      <c r="B146" s="161" t="s">
        <v>167</v>
      </c>
      <c r="C146" s="161">
        <v>4058793</v>
      </c>
      <c r="D146" s="161" t="s">
        <v>168</v>
      </c>
      <c r="E146" s="161"/>
      <c r="F146" s="161"/>
      <c r="G146" s="161" t="s">
        <v>133</v>
      </c>
      <c r="H146" s="162">
        <v>2016</v>
      </c>
      <c r="I146" s="163"/>
      <c r="J146" s="159">
        <f>IFERROR(INDEX('Labor Expenditures'!$F$7:$X$91,MATCH($C146,'Labor Expenditures'!$D$7:$D$91,0),MATCH($G146,'Labor Expenditures'!$F$5:$X$5,0)),"NA")</f>
        <v>379.30064563295048</v>
      </c>
      <c r="K146" s="159">
        <f t="shared" si="293"/>
        <v>2.7696286647166888</v>
      </c>
      <c r="L146" s="165">
        <f t="shared" si="301"/>
        <v>0.17495708466812088</v>
      </c>
      <c r="M146" s="76">
        <f t="shared" si="303"/>
        <v>2.3215440597583134E-5</v>
      </c>
      <c r="N146" s="62">
        <f t="shared" si="309"/>
        <v>299.31111152514598</v>
      </c>
      <c r="O146" s="96">
        <f t="shared" si="304"/>
        <v>0.9213693584002608</v>
      </c>
      <c r="P146" s="96"/>
      <c r="Q146" s="159">
        <f>IFERROR(INDEX('Non-Labor Expenditures'!$F$7:$AB$91,MATCH($C146,'Non-Labor Expenditures'!$D$7:$D$91,0),MATCH($G146,'Non-Labor Expenditures'!$F$5:$AB$5,0)),"NA")</f>
        <v>549.2981784649877</v>
      </c>
      <c r="R146" s="159">
        <f t="shared" si="294"/>
        <v>5.1949967699268713</v>
      </c>
      <c r="S146" s="165">
        <f t="shared" si="305"/>
        <v>0.19004241216969867</v>
      </c>
      <c r="T146" s="165">
        <f t="shared" si="306"/>
        <v>2.5217145902471419E-5</v>
      </c>
      <c r="U146" s="165"/>
      <c r="V146" s="165"/>
      <c r="W146" s="159">
        <f t="shared" si="274"/>
        <v>650.13889155052664</v>
      </c>
      <c r="X146" s="163"/>
      <c r="Y146" s="167">
        <v>30.829934757970936</v>
      </c>
      <c r="Z146" s="168">
        <v>2.2400730501841694E-2</v>
      </c>
      <c r="AA146" s="76">
        <f t="shared" si="295"/>
        <v>2.9724022282061498E-6</v>
      </c>
      <c r="AB146" s="168"/>
      <c r="AC146" s="168"/>
      <c r="AD146" s="163">
        <f t="shared" si="226"/>
        <v>1578.7377156484649</v>
      </c>
      <c r="AE146" s="168">
        <f t="shared" si="307"/>
        <v>0.10711292852371522</v>
      </c>
      <c r="AF146" s="163"/>
      <c r="AG146" s="163"/>
      <c r="AH146" s="163"/>
      <c r="AI146" s="163"/>
      <c r="AJ146" s="116">
        <f t="shared" si="308"/>
        <v>480.4436140135316</v>
      </c>
      <c r="AK146" s="114">
        <f>+AV146/$AX$21</f>
        <v>8.9416489108086578E-5</v>
      </c>
      <c r="AL146" s="115">
        <f t="shared" si="296"/>
        <v>0.24025564339998878</v>
      </c>
      <c r="AM146" s="115">
        <f t="shared" si="297"/>
        <v>0.34793504520753404</v>
      </c>
      <c r="AN146" s="115">
        <f t="shared" si="298"/>
        <v>0.41180931139247706</v>
      </c>
      <c r="AO146" s="115">
        <f t="shared" si="302"/>
        <v>0.1131486953625125</v>
      </c>
      <c r="AP146" s="166">
        <f t="shared" si="311"/>
        <v>94.283523611363933</v>
      </c>
      <c r="AQ146" s="168">
        <f t="shared" si="312"/>
        <v>0.11314869536251256</v>
      </c>
      <c r="AR146" s="69">
        <f>+AD146/$AF$21</f>
        <v>1.3269220072808659E-4</v>
      </c>
      <c r="AS146" s="169">
        <f t="shared" si="310"/>
        <v>1.5013949397163636E-5</v>
      </c>
      <c r="AT146" s="115"/>
      <c r="AU146" s="115"/>
      <c r="AV146" s="113">
        <f>IFERROR(INDEX('Total Customers'!$F$7:$AB$91,MATCH($C146,'Total Customers'!$D$7:$D$91,0),MATCH($G146,'Total Customers'!$F$5:$AB$5,0)),"NA")</f>
        <v>3286</v>
      </c>
      <c r="AW146" s="68">
        <f t="shared" si="287"/>
        <v>-5.7361274171306612E-2</v>
      </c>
      <c r="AX146" s="114"/>
      <c r="AY146" s="114"/>
      <c r="AZ146" s="116"/>
      <c r="BA146" s="116"/>
      <c r="BB146" s="166"/>
      <c r="BC146" s="166"/>
      <c r="BD146" s="166"/>
      <c r="BE146" s="166"/>
      <c r="BF146" s="166"/>
      <c r="BG146" s="166"/>
      <c r="BH146" s="166"/>
      <c r="BI146" s="113"/>
      <c r="BJ146" s="113"/>
      <c r="BK146" s="113">
        <f>INDEX('Dist. Plant Gas Additions'!$F$7:$AE$91,MATCH($C146,'Dist. Plant Gas Additions'!$D$7:$D$91,0),MATCH(Calculation!$G146,'Dist. Plant Gas Additions'!$F$5:$AE$5,0))</f>
        <v>465</v>
      </c>
      <c r="BL146" s="113">
        <f>INDEX('Gen. Plant Additions'!$F$7:$AE$91,MATCH($C146,'Gen. Plant Additions'!$D$7:$D$91,0),MATCH(Calculation!$G146,'Gen. Plant Additions'!$F$5:$AE$5,0))</f>
        <v>169</v>
      </c>
      <c r="BM146" s="231">
        <f t="shared" si="275"/>
        <v>0.86158091507922374</v>
      </c>
      <c r="BN146" s="61">
        <f t="shared" si="314"/>
        <v>145.60717464838882</v>
      </c>
      <c r="BO146" s="113"/>
      <c r="BP146" s="113"/>
      <c r="BQ146" s="113"/>
      <c r="BR146" s="113"/>
      <c r="BS146" s="113"/>
      <c r="BT146" s="113"/>
      <c r="BU146" s="113"/>
      <c r="BV146" s="113"/>
      <c r="BW146" s="113">
        <f>INDEX('Gross Dx Plant'!$E$7:$AD$91,MATCH($C146,'Gross Dx Plant'!$D$7:$D$91,0),MATCH(Calculation!$G146,'Gross Dx Plant'!$E$5:$AD$5,0))</f>
        <v>9679</v>
      </c>
      <c r="BX146" s="113">
        <f>INDEX('Gross Gen Plant'!$E$7:$AD$91,MATCH($C146,'Gross Gen Plant'!$D$7:$D$91,0),MATCH(Calculation!$G146,'Gross Gen Plant'!$E$5:$AD$5,0))</f>
        <v>1555</v>
      </c>
      <c r="BY146" s="113">
        <f t="shared" si="313"/>
        <v>11234</v>
      </c>
      <c r="BZ146" s="113"/>
      <c r="CA146" s="116">
        <v>2016</v>
      </c>
      <c r="CB146" s="113"/>
      <c r="CC146" s="113"/>
      <c r="CD146" s="113"/>
      <c r="CE146" s="175"/>
      <c r="CF146" s="113">
        <f t="shared" si="276"/>
        <v>634</v>
      </c>
      <c r="CG146" s="113">
        <f t="shared" si="277"/>
        <v>0.94421619303615123</v>
      </c>
      <c r="CH146" s="178">
        <v>0.88</v>
      </c>
      <c r="CI146" s="61">
        <f>+CI128*CH146+CG129*CH145+CG130*CH144+CG131*CH143+CG132*CH142+CG133*CH141+CG134*CH140+CG135*CH139+CG136*CH138+CG137*CH137+CG138*CH136+CG139*CH135+CG140*CH134+CG141*CH133+CG142*CH132+CG143*CH131+CG144*CH130+CG145*CH129+CG146</f>
        <v>30.829934757970936</v>
      </c>
      <c r="CJ146" s="114">
        <f t="shared" si="278"/>
        <v>2.2400730501841694E-2</v>
      </c>
      <c r="CK146" s="114"/>
      <c r="CL146" s="169">
        <f t="shared" si="279"/>
        <v>8.6668929441811038E-3</v>
      </c>
      <c r="CM146" s="169">
        <f t="shared" si="288"/>
        <v>8.3332444990884044E-3</v>
      </c>
      <c r="CN146" s="114">
        <f>VLOOKUP($H146,RoR!$E:$F,2,FALSE)</f>
        <v>3.6658333333333334E-2</v>
      </c>
      <c r="CO146" s="169">
        <v>1.0483662879041455E-2</v>
      </c>
      <c r="CP146" s="169">
        <f t="shared" si="285"/>
        <v>2.6174670454291879E-2</v>
      </c>
      <c r="CQ146" s="169">
        <f t="shared" si="289"/>
        <v>2.2568697109445222E-2</v>
      </c>
      <c r="CR146" s="169">
        <f t="shared" si="290"/>
        <v>4.301363574220729E-3</v>
      </c>
      <c r="CS146" s="179">
        <f t="shared" si="280"/>
        <v>0.85126000000000002</v>
      </c>
      <c r="CT146" s="180">
        <f t="shared" si="281"/>
        <v>1.3989193348138562</v>
      </c>
      <c r="CU146" s="180">
        <f t="shared" si="282"/>
        <v>0.29302682427824522</v>
      </c>
      <c r="CV146" s="180">
        <f t="shared" si="283"/>
        <v>0.76309497491941802</v>
      </c>
      <c r="CW146" s="180">
        <f t="shared" si="284"/>
        <v>0.31280857135128509</v>
      </c>
      <c r="CX146" s="181">
        <f>INDEX('State Tax Lookup'!$D$7:$Z$91,MATCH(Calculation!$C146,'State Tax Lookup'!$B$7:$B$91,0),MATCH($H146,'State Tax Lookup'!$D$6:$Z$6,0))</f>
        <v>0.40200000000000002</v>
      </c>
      <c r="CY146" s="72">
        <v>0.37</v>
      </c>
      <c r="CZ146" s="70">
        <f t="shared" si="286"/>
        <v>21.565625266069826</v>
      </c>
      <c r="DA146" s="70">
        <v>19.909765876209278</v>
      </c>
      <c r="DB146" s="69">
        <f t="shared" si="291"/>
        <v>-2.0733603340334091E-2</v>
      </c>
      <c r="DC146" s="111">
        <f>VLOOKUP($H146,RoR!$E:$F,2,FALSE)</f>
        <v>3.6658333333333334E-2</v>
      </c>
      <c r="DD146" s="216">
        <f>HLOOKUP($H146,'GDP-PI'!$D$8:$CQ$11,3,FALSE)</f>
        <v>1.0483662879041455E-2</v>
      </c>
      <c r="DE146" s="111">
        <f>VLOOKUP(H146,'HW Dx Data'!$E:$F,2,FALSE)</f>
        <v>671.45639385971219</v>
      </c>
      <c r="DF146" s="72">
        <f t="shared" si="299"/>
        <v>136.94999999999999</v>
      </c>
      <c r="DG146" s="69">
        <f t="shared" si="300"/>
        <v>2.5514417868782811E-2</v>
      </c>
      <c r="DH146" s="66">
        <f>HLOOKUP(H146,'GDP-PI'!$8:$9,2,FALSE)</f>
        <v>105.736</v>
      </c>
      <c r="DI146" s="69">
        <f t="shared" si="292"/>
        <v>1.0429090367205095E-2</v>
      </c>
      <c r="DO146" s="184"/>
      <c r="DP146" s="184"/>
      <c r="DQ146" s="184"/>
      <c r="DR146" s="184"/>
      <c r="DS146" s="184"/>
      <c r="DT146" s="184"/>
      <c r="DU146" s="184"/>
      <c r="DV146" s="184"/>
      <c r="DW146" s="184"/>
      <c r="EB146"/>
    </row>
    <row r="147" spans="1:132" s="160" customFormat="1" ht="21">
      <c r="A147" s="160" t="s">
        <v>167</v>
      </c>
      <c r="B147" s="161" t="s">
        <v>167</v>
      </c>
      <c r="C147" s="161">
        <v>4058793</v>
      </c>
      <c r="D147" s="161" t="s">
        <v>168</v>
      </c>
      <c r="E147" s="161"/>
      <c r="F147" s="161"/>
      <c r="G147" s="161" t="s">
        <v>135</v>
      </c>
      <c r="H147" s="162">
        <v>2017</v>
      </c>
      <c r="I147" s="163"/>
      <c r="J147" s="159">
        <f>IFERROR(INDEX('Labor Expenditures'!$F$7:$X$91,MATCH($C147,'Labor Expenditures'!$D$7:$D$91,0),MATCH($G147,'Labor Expenditures'!$F$5:$X$5,0)),"NA")</f>
        <v>335.69612530334604</v>
      </c>
      <c r="K147" s="159">
        <f t="shared" si="293"/>
        <v>2.3901468515724176</v>
      </c>
      <c r="L147" s="165">
        <f t="shared" si="301"/>
        <v>-0.14735844692561029</v>
      </c>
      <c r="M147" s="76">
        <f t="shared" si="303"/>
        <v>-1.7663001880853773E-5</v>
      </c>
      <c r="N147" s="62">
        <f t="shared" si="309"/>
        <v>169.29621657199175</v>
      </c>
      <c r="O147" s="96">
        <f t="shared" si="304"/>
        <v>-0.56983359780030551</v>
      </c>
      <c r="P147" s="96"/>
      <c r="Q147" s="159">
        <f>IFERROR(INDEX('Non-Labor Expenditures'!$F$7:$AB$91,MATCH($C147,'Non-Labor Expenditures'!$D$7:$D$91,0),MATCH($G147,'Non-Labor Expenditures'!$F$5:$AB$5,0)),"NA")</f>
        <v>486.15068882672989</v>
      </c>
      <c r="R147" s="159">
        <f t="shared" si="294"/>
        <v>4.5117974666288934</v>
      </c>
      <c r="S147" s="165">
        <f t="shared" si="305"/>
        <v>-0.14100037731218976</v>
      </c>
      <c r="T147" s="165">
        <f t="shared" si="306"/>
        <v>-1.6900896973510804E-5</v>
      </c>
      <c r="U147" s="165"/>
      <c r="V147" s="165"/>
      <c r="W147" s="159">
        <f t="shared" si="274"/>
        <v>597.4374646654461</v>
      </c>
      <c r="X147" s="163"/>
      <c r="Y147" s="167">
        <v>30.712428749694521</v>
      </c>
      <c r="Z147" s="168">
        <v>-3.8187077770033876E-3</v>
      </c>
      <c r="AA147" s="76">
        <f t="shared" si="295"/>
        <v>-4.5772634046348147E-7</v>
      </c>
      <c r="AB147" s="168"/>
      <c r="AC147" s="168"/>
      <c r="AD147" s="163">
        <f t="shared" si="226"/>
        <v>1419.2842787955219</v>
      </c>
      <c r="AE147" s="168">
        <f t="shared" si="307"/>
        <v>-0.106472898059745</v>
      </c>
      <c r="AF147" s="163"/>
      <c r="AG147" s="163"/>
      <c r="AH147" s="163"/>
      <c r="AI147" s="163"/>
      <c r="AJ147" s="116">
        <f t="shared" si="308"/>
        <v>428.52786195516967</v>
      </c>
      <c r="AK147" s="114">
        <f>+AV147/$AX$22</f>
        <v>8.9446868344148333E-5</v>
      </c>
      <c r="AL147" s="115">
        <f t="shared" si="296"/>
        <v>0.23652493747639841</v>
      </c>
      <c r="AM147" s="115">
        <f t="shared" si="297"/>
        <v>0.34253228623042492</v>
      </c>
      <c r="AN147" s="115">
        <f t="shared" si="298"/>
        <v>0.42094277629317678</v>
      </c>
      <c r="AO147" s="115">
        <f t="shared" si="302"/>
        <v>-8.5396918525144375E-2</v>
      </c>
      <c r="AP147" s="166">
        <f t="shared" si="311"/>
        <v>86.566208102136102</v>
      </c>
      <c r="AQ147" s="168">
        <f t="shared" si="312"/>
        <v>-8.5396918525144361E-2</v>
      </c>
      <c r="AR147" s="69">
        <f>+AD147/$AF$22</f>
        <v>1.1986419678927829E-4</v>
      </c>
      <c r="AS147" s="169">
        <f t="shared" si="310"/>
        <v>-1.0236033047295869E-5</v>
      </c>
      <c r="AT147" s="115"/>
      <c r="AU147" s="115"/>
      <c r="AV147" s="113">
        <f>IFERROR(INDEX('Total Customers'!$F$7:$AB$91,MATCH($C147,'Total Customers'!$D$7:$D$91,0),MATCH($G147,'Total Customers'!$F$5:$AB$5,0)),"NA")</f>
        <v>3312</v>
      </c>
      <c r="AW147" s="68">
        <f t="shared" si="287"/>
        <v>7.8812169079368766E-3</v>
      </c>
      <c r="AX147" s="114"/>
      <c r="AY147" s="114"/>
      <c r="AZ147" s="116"/>
      <c r="BA147" s="116"/>
      <c r="BB147" s="166"/>
      <c r="BC147" s="166"/>
      <c r="BD147" s="166"/>
      <c r="BE147" s="166"/>
      <c r="BF147" s="166"/>
      <c r="BG147" s="166"/>
      <c r="BH147" s="166"/>
      <c r="BI147" s="113"/>
      <c r="BJ147" s="113"/>
      <c r="BK147" s="113">
        <f>INDEX('Dist. Plant Gas Additions'!$F$7:$AE$91,MATCH($C147,'Dist. Plant Gas Additions'!$D$7:$D$91,0),MATCH(Calculation!$G147,'Dist. Plant Gas Additions'!$F$5:$AE$5,0))</f>
        <v>68</v>
      </c>
      <c r="BL147" s="113">
        <f>INDEX('Gen. Plant Additions'!$F$7:$AE$91,MATCH($C147,'Gen. Plant Additions'!$D$7:$D$91,0),MATCH(Calculation!$G147,'Gen. Plant Additions'!$F$5:$AE$5,0))</f>
        <v>45</v>
      </c>
      <c r="BM147" s="231">
        <f t="shared" si="275"/>
        <v>0.85293579659776841</v>
      </c>
      <c r="BN147" s="61">
        <f t="shared" si="314"/>
        <v>38.382110846899579</v>
      </c>
      <c r="BO147" s="113"/>
      <c r="BP147" s="113"/>
      <c r="BQ147" s="113"/>
      <c r="BR147" s="113"/>
      <c r="BS147" s="113"/>
      <c r="BT147" s="113"/>
      <c r="BU147" s="113"/>
      <c r="BV147" s="113"/>
      <c r="BW147" s="113">
        <f>INDEX('Gross Dx Plant'!$E$7:$AD$91,MATCH($C147,'Gross Dx Plant'!$D$7:$D$91,0),MATCH(Calculation!$G147,'Gross Dx Plant'!$E$5:$AD$5,0))</f>
        <v>9326</v>
      </c>
      <c r="BX147" s="113">
        <f>INDEX('Gross Gen Plant'!$E$7:$AD$91,MATCH($C147,'Gross Gen Plant'!$D$7:$D$91,0),MATCH(Calculation!$G147,'Gross Gen Plant'!$E$5:$AD$5,0))</f>
        <v>1608</v>
      </c>
      <c r="BY147" s="113">
        <f t="shared" si="313"/>
        <v>10934</v>
      </c>
      <c r="BZ147" s="113"/>
      <c r="CA147" s="116">
        <v>2017</v>
      </c>
      <c r="CB147" s="113"/>
      <c r="CC147" s="113"/>
      <c r="CD147" s="113"/>
      <c r="CE147" s="175"/>
      <c r="CF147" s="113">
        <f t="shared" si="276"/>
        <v>113</v>
      </c>
      <c r="CG147" s="113">
        <f t="shared" si="277"/>
        <v>0.15861238948719572</v>
      </c>
      <c r="CH147" s="178">
        <v>0.87074829931972786</v>
      </c>
      <c r="CI147" s="61">
        <f>+CI128*CH147+CG129*CH146+CG130*CH145+CG131*CH144+CG132*CH143+CG133*CH142+CG134*CH141+CG135*CH140+CG136*CH139+CG137*CH138+CG138*CH137+CG139*CH136+CG140*CH135+CG141*CH134+CG142*CH133+CG143*CH132+CG144*CH131+CG145*CH130+CG146*CH129+CG147</f>
        <v>30.712428749694521</v>
      </c>
      <c r="CJ147" s="114">
        <f t="shared" si="278"/>
        <v>-3.8187077770033876E-3</v>
      </c>
      <c r="CK147" s="114"/>
      <c r="CL147" s="169">
        <f t="shared" si="279"/>
        <v>8.9561784652243334E-3</v>
      </c>
      <c r="CM147" s="169">
        <f t="shared" si="288"/>
        <v>8.6534086984387769E-3</v>
      </c>
      <c r="CN147" s="114">
        <f>VLOOKUP($H147,RoR!$E:$F,2,FALSE)</f>
        <v>3.7433333333333339E-2</v>
      </c>
      <c r="CO147" s="169">
        <v>1.9056896421275615E-2</v>
      </c>
      <c r="CP147" s="169">
        <f t="shared" si="285"/>
        <v>1.8376436912057724E-2</v>
      </c>
      <c r="CQ147" s="169">
        <f t="shared" si="289"/>
        <v>2.2248532910094848E-2</v>
      </c>
      <c r="CR147" s="169">
        <f t="shared" si="290"/>
        <v>1.3976271617800498E-2</v>
      </c>
      <c r="CS147" s="179">
        <f t="shared" si="280"/>
        <v>0.90305999999999997</v>
      </c>
      <c r="CT147" s="180">
        <f t="shared" si="281"/>
        <v>1.3699568463593395</v>
      </c>
      <c r="CU147" s="180">
        <f t="shared" si="282"/>
        <v>0.30714603739982199</v>
      </c>
      <c r="CV147" s="180">
        <f t="shared" si="283"/>
        <v>0.77007188472689425</v>
      </c>
      <c r="CW147" s="180">
        <f t="shared" si="284"/>
        <v>0.32402839633793828</v>
      </c>
      <c r="CX147" s="181">
        <f>INDEX('State Tax Lookup'!$D$7:$Z$91,MATCH(Calculation!$C147,'State Tax Lookup'!$B$7:$B$91,0),MATCH($H147,'State Tax Lookup'!$D$6:$Z$6,0))</f>
        <v>0.26200000000000001</v>
      </c>
      <c r="CY147" s="72">
        <v>0.37</v>
      </c>
      <c r="CZ147" s="70">
        <f t="shared" si="286"/>
        <v>19.378486180901874</v>
      </c>
      <c r="DA147" s="70">
        <v>18.231812616449311</v>
      </c>
      <c r="DB147" s="69">
        <f t="shared" si="291"/>
        <v>-0.10693713319339085</v>
      </c>
      <c r="DC147" s="111">
        <f>VLOOKUP($H147,RoR!$E:$F,2,FALSE)</f>
        <v>3.7433333333333339E-2</v>
      </c>
      <c r="DD147" s="216">
        <f>HLOOKUP($H147,'GDP-PI'!$D$8:$CQ$11,3,FALSE)</f>
        <v>1.9056896421275615E-2</v>
      </c>
      <c r="DE147" s="111">
        <f>VLOOKUP(H147,'HW Dx Data'!$E:$F,2,FALSE)</f>
        <v>712.42858370229726</v>
      </c>
      <c r="DF147" s="72">
        <f t="shared" si="299"/>
        <v>140.44999999999999</v>
      </c>
      <c r="DG147" s="69">
        <f t="shared" si="300"/>
        <v>2.5235657841165486E-2</v>
      </c>
      <c r="DH147" s="66">
        <f>HLOOKUP(H147,'GDP-PI'!$8:$9,2,FALSE)</f>
        <v>107.751</v>
      </c>
      <c r="DI147" s="69">
        <f t="shared" si="292"/>
        <v>1.8877588227745139E-2</v>
      </c>
      <c r="DO147" s="184"/>
      <c r="DP147" s="184"/>
      <c r="DQ147" s="184"/>
      <c r="DR147" s="184"/>
      <c r="DS147" s="184"/>
      <c r="DT147" s="184"/>
      <c r="DU147" s="184"/>
      <c r="DV147" s="184"/>
      <c r="DW147" s="184"/>
      <c r="EB147"/>
    </row>
    <row r="148" spans="1:132" s="160" customFormat="1" ht="21">
      <c r="A148" s="160" t="s">
        <v>167</v>
      </c>
      <c r="B148" s="161" t="s">
        <v>167</v>
      </c>
      <c r="C148" s="161">
        <v>4058793</v>
      </c>
      <c r="D148" s="161" t="s">
        <v>168</v>
      </c>
      <c r="E148" s="161"/>
      <c r="F148" s="161"/>
      <c r="G148" s="161" t="s">
        <v>136</v>
      </c>
      <c r="H148" s="162">
        <v>2018</v>
      </c>
      <c r="I148" s="163"/>
      <c r="J148" s="159">
        <f>IFERROR(INDEX('Labor Expenditures'!$F$7:$X$91,MATCH($C148,'Labor Expenditures'!$D$7:$D$91,0),MATCH($G148,'Labor Expenditures'!$F$5:$X$5,0)),"NA")</f>
        <v>336.69365941473939</v>
      </c>
      <c r="K148" s="159">
        <f t="shared" si="293"/>
        <v>2.3308664549306988</v>
      </c>
      <c r="L148" s="165">
        <f t="shared" si="301"/>
        <v>-2.5114740707950018E-2</v>
      </c>
      <c r="M148" s="76">
        <f t="shared" si="303"/>
        <v>-2.818638980324314E-6</v>
      </c>
      <c r="N148" s="62">
        <f t="shared" si="309"/>
        <v>122.94220816564821</v>
      </c>
      <c r="O148" s="96">
        <f t="shared" si="304"/>
        <v>-0.31993554876605262</v>
      </c>
      <c r="P148" s="96"/>
      <c r="Q148" s="159">
        <f>IFERROR(INDEX('Non-Labor Expenditures'!$F$7:$AB$91,MATCH($C148,'Non-Labor Expenditures'!$D$7:$D$91,0),MATCH($G148,'Non-Labor Expenditures'!$F$5:$AB$5,0)),"NA")</f>
        <v>487.59530453369939</v>
      </c>
      <c r="R148" s="159">
        <f t="shared" si="294"/>
        <v>4.41974678245227</v>
      </c>
      <c r="S148" s="165">
        <f t="shared" si="305"/>
        <v>-2.0613220062467436E-2</v>
      </c>
      <c r="T148" s="165">
        <f t="shared" si="306"/>
        <v>-2.3134312336213803E-6</v>
      </c>
      <c r="U148" s="165"/>
      <c r="V148" s="165"/>
      <c r="W148" s="159">
        <f t="shared" si="274"/>
        <v>620.18062195011817</v>
      </c>
      <c r="X148" s="163"/>
      <c r="Y148" s="167">
        <v>32.646747980812613</v>
      </c>
      <c r="Z148" s="168">
        <v>6.1077830404107851E-2</v>
      </c>
      <c r="AA148" s="76">
        <f t="shared" si="295"/>
        <v>6.8547931914805798E-6</v>
      </c>
      <c r="AB148" s="168"/>
      <c r="AC148" s="168"/>
      <c r="AD148" s="163">
        <f t="shared" si="226"/>
        <v>1444.4695858985569</v>
      </c>
      <c r="AE148" s="168">
        <f t="shared" si="307"/>
        <v>1.7589470065311145E-2</v>
      </c>
      <c r="AF148" s="163"/>
      <c r="AG148" s="163"/>
      <c r="AH148" s="163"/>
      <c r="AI148" s="163"/>
      <c r="AJ148" s="116">
        <f t="shared" si="308"/>
        <v>437.32049224903329</v>
      </c>
      <c r="AK148" s="114">
        <f>+AV148/$AX$23</f>
        <v>8.8422570258598672E-5</v>
      </c>
      <c r="AL148" s="115">
        <f t="shared" si="296"/>
        <v>0.23309155326056474</v>
      </c>
      <c r="AM148" s="115">
        <f t="shared" si="297"/>
        <v>0.33756010461818231</v>
      </c>
      <c r="AN148" s="115">
        <f t="shared" si="298"/>
        <v>0.42934834212125295</v>
      </c>
      <c r="AO148" s="115">
        <f t="shared" si="302"/>
        <v>1.3060373106113765E-2</v>
      </c>
      <c r="AP148" s="166">
        <f t="shared" si="311"/>
        <v>87.704210268753513</v>
      </c>
      <c r="AQ148" s="168">
        <f t="shared" si="312"/>
        <v>1.3060373106113665E-2</v>
      </c>
      <c r="AR148" s="69">
        <f>+AD148/$AF$23</f>
        <v>1.1223046310138013E-4</v>
      </c>
      <c r="AS148" s="169">
        <f t="shared" si="310"/>
        <v>1.4657717219759472E-6</v>
      </c>
      <c r="AT148" s="115"/>
      <c r="AU148" s="115"/>
      <c r="AV148" s="113">
        <f>IFERROR(INDEX('Total Customers'!$F$7:$AB$91,MATCH($C148,'Total Customers'!$D$7:$D$91,0),MATCH($G148,'Total Customers'!$F$5:$AB$5,0)),"NA")</f>
        <v>3303</v>
      </c>
      <c r="AW148" s="68">
        <f t="shared" si="287"/>
        <v>-2.7210901143606132E-3</v>
      </c>
      <c r="AX148" s="114"/>
      <c r="AY148" s="114"/>
      <c r="AZ148" s="116"/>
      <c r="BA148" s="116"/>
      <c r="BB148" s="166"/>
      <c r="BC148" s="166"/>
      <c r="BD148" s="166"/>
      <c r="BE148" s="166"/>
      <c r="BF148" s="166"/>
      <c r="BG148" s="166"/>
      <c r="BH148" s="166"/>
      <c r="BI148" s="113"/>
      <c r="BJ148" s="113"/>
      <c r="BK148" s="113">
        <f>INDEX('Dist. Plant Gas Additions'!$F$7:$AE$91,MATCH($C148,'Dist. Plant Gas Additions'!$D$7:$D$91,0),MATCH(Calculation!$G148,'Dist. Plant Gas Additions'!$F$5:$AE$5,0))</f>
        <v>1603</v>
      </c>
      <c r="BL148" s="113">
        <f>INDEX('Gen. Plant Additions'!$F$7:$AE$91,MATCH($C148,'Gen. Plant Additions'!$D$7:$D$91,0),MATCH(Calculation!$G148,'Gen. Plant Additions'!$F$5:$AE$5,0))</f>
        <v>75</v>
      </c>
      <c r="BM148" s="231">
        <f t="shared" si="275"/>
        <v>0.87782363977485933</v>
      </c>
      <c r="BN148" s="61">
        <f t="shared" si="314"/>
        <v>65.836772983114443</v>
      </c>
      <c r="BO148" s="113"/>
      <c r="BP148" s="113"/>
      <c r="BQ148" s="113"/>
      <c r="BR148" s="113"/>
      <c r="BS148" s="113"/>
      <c r="BT148" s="113"/>
      <c r="BU148" s="113"/>
      <c r="BV148" s="113"/>
      <c r="BW148" s="113">
        <f>INDEX('Gross Dx Plant'!$E$7:$AD$91,MATCH($C148,'Gross Dx Plant'!$D$7:$D$91,0),MATCH(Calculation!$G148,'Gross Dx Plant'!$E$5:$AD$5,0))</f>
        <v>11697</v>
      </c>
      <c r="BX148" s="113">
        <f>INDEX('Gross Gen Plant'!$E$7:$AD$91,MATCH($C148,'Gross Gen Plant'!$D$7:$D$91,0),MATCH(Calculation!$G148,'Gross Gen Plant'!$E$5:$AD$5,0))</f>
        <v>1628</v>
      </c>
      <c r="BY148" s="113">
        <f t="shared" si="313"/>
        <v>13325</v>
      </c>
      <c r="BZ148" s="113"/>
      <c r="CA148" s="116">
        <v>2018</v>
      </c>
      <c r="CB148" s="113"/>
      <c r="CC148" s="113"/>
      <c r="CD148" s="113"/>
      <c r="CE148" s="175"/>
      <c r="CF148" s="113">
        <f t="shared" si="276"/>
        <v>1678</v>
      </c>
      <c r="CG148" s="113">
        <f t="shared" si="277"/>
        <v>2.2221141789705063</v>
      </c>
      <c r="CH148" s="178">
        <v>0.86111111111111116</v>
      </c>
      <c r="CI148" s="61">
        <f>+CI128*CH148++CG129*CH147+CG130*CH146+CG131*CH145+CG132*CH144+CG133*CH143+CG134*CH142+CG135*CH141+CG136*CH140+CG137*CH139+CG138*CH138+CG139*CH137+CG140*CH136+CG141*CH135+CG142*CH134+CG143*CH133+CG144*CH132+CG145*CH131+CG146*CH130+CG147*CH129+CG148</f>
        <v>32.646747980812613</v>
      </c>
      <c r="CJ148" s="114">
        <f t="shared" si="278"/>
        <v>6.1077830404107851E-2</v>
      </c>
      <c r="CK148" s="114"/>
      <c r="CL148" s="169">
        <f t="shared" si="279"/>
        <v>9.370634611737658E-3</v>
      </c>
      <c r="CM148" s="169">
        <f t="shared" si="288"/>
        <v>8.9979020070476978E-3</v>
      </c>
      <c r="CN148" s="114">
        <f>VLOOKUP($H148,RoR!$E:$F,2,FALSE)</f>
        <v>3.9299999999999995E-2</v>
      </c>
      <c r="CO148" s="169">
        <v>2.386056741932796E-2</v>
      </c>
      <c r="CP148" s="169">
        <f t="shared" si="285"/>
        <v>1.5439432580672034E-2</v>
      </c>
      <c r="CQ148" s="169">
        <f t="shared" si="289"/>
        <v>2.1904039601485927E-2</v>
      </c>
      <c r="CR148" s="169">
        <f t="shared" si="290"/>
        <v>3.8270792163076606E-2</v>
      </c>
      <c r="CS148" s="179">
        <f t="shared" si="280"/>
        <v>0.90305999999999997</v>
      </c>
      <c r="CT148" s="180">
        <f t="shared" si="281"/>
        <v>1.3048868010700074</v>
      </c>
      <c r="CU148" s="180">
        <f t="shared" si="282"/>
        <v>0.33886768447837151</v>
      </c>
      <c r="CV148" s="180">
        <f t="shared" si="283"/>
        <v>0.78602506232557801</v>
      </c>
      <c r="CW148" s="180">
        <f t="shared" si="284"/>
        <v>0.34756768162358759</v>
      </c>
      <c r="CX148" s="181">
        <f>INDEX('State Tax Lookup'!$D$7:$Z$91,MATCH(Calculation!$C148,'State Tax Lookup'!$B$7:$B$91,0),MATCH($H148,'State Tax Lookup'!$D$6:$Z$6,0))</f>
        <v>0.26200000000000001</v>
      </c>
      <c r="CY148" s="72">
        <v>0.37</v>
      </c>
      <c r="CZ148" s="70">
        <f t="shared" si="286"/>
        <v>20.193148090129043</v>
      </c>
      <c r="DA148" s="70">
        <v>19.050901628905343</v>
      </c>
      <c r="DB148" s="69">
        <f t="shared" si="291"/>
        <v>4.1179852434573949E-2</v>
      </c>
      <c r="DC148" s="111">
        <f>VLOOKUP($H148,RoR!$E:$F,2,FALSE)</f>
        <v>3.9299999999999995E-2</v>
      </c>
      <c r="DD148" s="216">
        <f>HLOOKUP($H148,'GDP-PI'!$D$8:$CQ$11,3,FALSE)</f>
        <v>2.386056741932796E-2</v>
      </c>
      <c r="DE148" s="111">
        <f>VLOOKUP(H148,'HW Dx Data'!$E:$F,2,FALSE)</f>
        <v>755.13671434174842</v>
      </c>
      <c r="DF148" s="72">
        <f t="shared" si="299"/>
        <v>144.44999999999999</v>
      </c>
      <c r="DG148" s="69">
        <f t="shared" si="300"/>
        <v>2.80818733619915E-2</v>
      </c>
      <c r="DH148" s="66">
        <f>HLOOKUP(H148,'GDP-PI'!$8:$9,2,FALSE)</f>
        <v>110.322</v>
      </c>
      <c r="DI148" s="69">
        <f t="shared" si="292"/>
        <v>2.3580352716508712E-2</v>
      </c>
      <c r="DO148" s="184"/>
      <c r="DP148" s="184"/>
      <c r="DQ148" s="184"/>
      <c r="DR148" s="184"/>
      <c r="DS148" s="184"/>
      <c r="DT148" s="184"/>
      <c r="DU148" s="184"/>
      <c r="DV148" s="184"/>
      <c r="DW148" s="184"/>
      <c r="EB148"/>
    </row>
    <row r="149" spans="1:132" s="160" customFormat="1" ht="21">
      <c r="A149" s="160" t="s">
        <v>167</v>
      </c>
      <c r="B149" s="161" t="s">
        <v>167</v>
      </c>
      <c r="C149" s="161">
        <v>4058793</v>
      </c>
      <c r="D149" s="161" t="s">
        <v>168</v>
      </c>
      <c r="E149" s="161"/>
      <c r="F149" s="161"/>
      <c r="G149" s="161" t="s">
        <v>140</v>
      </c>
      <c r="H149" s="162">
        <v>2019</v>
      </c>
      <c r="I149" s="163"/>
      <c r="J149" s="159">
        <f>IFERROR(INDEX('Labor Expenditures'!$F$7:$X$91,MATCH($C149,'Labor Expenditures'!$D$7:$D$91,0),MATCH($G149,'Labor Expenditures'!$F$5:$X$5,0)),"NA")</f>
        <v>388.22007731561581</v>
      </c>
      <c r="K149" s="159">
        <f t="shared" si="293"/>
        <v>2.5937536483421799</v>
      </c>
      <c r="L149" s="165">
        <f t="shared" si="301"/>
        <v>0.10686604406522518</v>
      </c>
      <c r="M149" s="76">
        <f t="shared" si="303"/>
        <v>1.3020286105746513E-5</v>
      </c>
      <c r="N149" s="62">
        <f t="shared" si="309"/>
        <v>120.6308462759204</v>
      </c>
      <c r="O149" s="96">
        <f t="shared" si="304"/>
        <v>-1.8979367624616474E-2</v>
      </c>
      <c r="P149" s="96"/>
      <c r="Q149" s="159">
        <f>IFERROR(INDEX('Non-Labor Expenditures'!$F$7:$AB$91,MATCH($C149,'Non-Labor Expenditures'!$D$7:$D$91,0),MATCH($G149,'Non-Labor Expenditures'!$F$5:$AB$5,0)),"NA")</f>
        <v>562.21518146152926</v>
      </c>
      <c r="R149" s="159">
        <f t="shared" si="294"/>
        <v>5.0055661733785257</v>
      </c>
      <c r="S149" s="165">
        <f t="shared" si="305"/>
        <v>0.12446812251299511</v>
      </c>
      <c r="T149" s="165">
        <f t="shared" si="306"/>
        <v>1.5164878426445476E-5</v>
      </c>
      <c r="U149" s="165"/>
      <c r="V149" s="165"/>
      <c r="W149" s="159">
        <f t="shared" si="274"/>
        <v>666.26766077670095</v>
      </c>
      <c r="X149" s="163"/>
      <c r="Y149" s="167">
        <v>34.365957223596006</v>
      </c>
      <c r="Z149" s="168">
        <v>5.1321210456957769E-2</v>
      </c>
      <c r="AA149" s="76">
        <f t="shared" si="295"/>
        <v>6.252845319463467E-6</v>
      </c>
      <c r="AB149" s="168"/>
      <c r="AC149" s="168"/>
      <c r="AD149" s="163">
        <f t="shared" si="226"/>
        <v>1616.702919553846</v>
      </c>
      <c r="AE149" s="168">
        <f t="shared" si="307"/>
        <v>0.11264665490023486</v>
      </c>
      <c r="AF149" s="163"/>
      <c r="AG149" s="163"/>
      <c r="AH149" s="163"/>
      <c r="AI149" s="163"/>
      <c r="AJ149" s="116">
        <f t="shared" si="308"/>
        <v>488.57749155450165</v>
      </c>
      <c r="AK149" s="114">
        <f>+AV149/$AX$24</f>
        <v>8.7852630809288402E-5</v>
      </c>
      <c r="AL149" s="115">
        <f t="shared" si="296"/>
        <v>0.24013074549450997</v>
      </c>
      <c r="AM149" s="115">
        <f t="shared" si="297"/>
        <v>0.3477541697126898</v>
      </c>
      <c r="AN149" s="115">
        <f t="shared" si="298"/>
        <v>0.41211508479280023</v>
      </c>
      <c r="AO149" s="115">
        <f t="shared" si="302"/>
        <v>8.9528048856607659E-2</v>
      </c>
      <c r="AP149" s="166">
        <f t="shared" si="311"/>
        <v>95.918411960534712</v>
      </c>
      <c r="AQ149" s="168">
        <f t="shared" si="312"/>
        <v>8.9528048856607659E-2</v>
      </c>
      <c r="AR149" s="69">
        <f>+AD149/$AF$24</f>
        <v>1.2183744817764232E-4</v>
      </c>
      <c r="AS149" s="169">
        <f t="shared" si="310"/>
        <v>1.0907869013012365E-5</v>
      </c>
      <c r="AT149" s="115"/>
      <c r="AU149" s="115"/>
      <c r="AV149" s="113">
        <f>IFERROR(INDEX('Total Customers'!$F$7:$AB$91,MATCH($C149,'Total Customers'!$D$7:$D$91,0),MATCH($G149,'Total Customers'!$F$5:$AB$5,0)),"NA")</f>
        <v>3309</v>
      </c>
      <c r="AW149" s="68">
        <f t="shared" si="287"/>
        <v>1.8148825308225342E-3</v>
      </c>
      <c r="AX149" s="114"/>
      <c r="AY149" s="114"/>
      <c r="AZ149" s="116"/>
      <c r="BA149" s="116"/>
      <c r="BB149" s="166"/>
      <c r="BC149" s="166"/>
      <c r="BD149" s="166"/>
      <c r="BE149" s="166"/>
      <c r="BF149" s="166"/>
      <c r="BG149" s="166"/>
      <c r="BH149" s="166"/>
      <c r="BI149" s="113"/>
      <c r="BJ149" s="113"/>
      <c r="BK149" s="113">
        <f>INDEX('Dist. Plant Gas Additions'!$F$7:$AE$91,MATCH($C149,'Dist. Plant Gas Additions'!$D$7:$D$91,0),MATCH(Calculation!$G149,'Dist. Plant Gas Additions'!$F$5:$AE$5,0))</f>
        <v>1570</v>
      </c>
      <c r="BL149" s="113">
        <f>INDEX('Gen. Plant Additions'!$F$7:$AE$91,MATCH($C149,'Gen. Plant Additions'!$D$7:$D$91,0),MATCH(Calculation!$G149,'Gen. Plant Additions'!$F$5:$AE$5,0))</f>
        <v>0</v>
      </c>
      <c r="BM149" s="231">
        <f t="shared" si="275"/>
        <v>0.88227343380414947</v>
      </c>
      <c r="BN149" s="61">
        <f t="shared" si="314"/>
        <v>0</v>
      </c>
      <c r="BO149" s="113"/>
      <c r="BP149" s="113"/>
      <c r="BQ149" s="113"/>
      <c r="BR149" s="113"/>
      <c r="BS149" s="113"/>
      <c r="BT149" s="113"/>
      <c r="BU149" s="113"/>
      <c r="BV149" s="113"/>
      <c r="BW149" s="113">
        <f>INDEX('Gross Dx Plant'!$E$7:$AD$91,MATCH($C149,'Gross Dx Plant'!$D$7:$D$91,0),MATCH(Calculation!$G149,'Gross Dx Plant'!$E$5:$AD$5,0))</f>
        <v>13055</v>
      </c>
      <c r="BX149" s="113">
        <f>INDEX('Gross Gen Plant'!$E$7:$AD$91,MATCH($C149,'Gross Gen Plant'!$D$7:$D$91,0),MATCH(Calculation!$G149,'Gross Gen Plant'!$E$5:$AD$5,0))</f>
        <v>1742</v>
      </c>
      <c r="BY149" s="113">
        <f t="shared" si="313"/>
        <v>14797</v>
      </c>
      <c r="BZ149" s="113"/>
      <c r="CA149" s="116">
        <v>2019</v>
      </c>
      <c r="CB149" s="113"/>
      <c r="CC149" s="113"/>
      <c r="CD149" s="113"/>
      <c r="CE149" s="175"/>
      <c r="CF149" s="113">
        <f t="shared" si="276"/>
        <v>1570</v>
      </c>
      <c r="CG149" s="113">
        <f t="shared" si="277"/>
        <v>2.0296318547516403</v>
      </c>
      <c r="CH149" s="178">
        <v>0.85106382978723405</v>
      </c>
      <c r="CI149" s="61">
        <f>CI128*CH149+CG129*CH148+CG130*CH147+CG131*CH146+CG132*CH145+CG133*CH144+CG134*CH143+CG135*CH142+CG136*CH141+CG137*CH140+CG138*CH139+CG139*CH138+CG140*CH137+CG141*CH136+CG142*CH135+CG143*CH134+CG144*CH133+CG145*CH132+CG146*CH131+CG147*CH130+CG148*CH129+CG149</f>
        <v>34.365957223596006</v>
      </c>
      <c r="CJ149" s="114">
        <f t="shared" si="278"/>
        <v>5.1321210456957769E-2</v>
      </c>
      <c r="CK149" s="114"/>
      <c r="CL149" s="169">
        <f t="shared" si="279"/>
        <v>9.5085309002505072E-3</v>
      </c>
      <c r="CM149" s="169">
        <f t="shared" si="288"/>
        <v>9.2784479924041662E-3</v>
      </c>
      <c r="CN149" s="114">
        <f>VLOOKUP($H149,RoR!$E:$F,2,FALSE)</f>
        <v>3.3875000000000009E-2</v>
      </c>
      <c r="CO149" s="169">
        <v>1.8092492884465461E-2</v>
      </c>
      <c r="CP149" s="169">
        <f t="shared" si="285"/>
        <v>1.5782507115534548E-2</v>
      </c>
      <c r="CQ149" s="169">
        <f t="shared" si="289"/>
        <v>2.1623493616129461E-2</v>
      </c>
      <c r="CR149" s="169">
        <f t="shared" si="290"/>
        <v>4.8445665544254078E-2</v>
      </c>
      <c r="CS149" s="179">
        <f t="shared" si="280"/>
        <v>0.90305999999999997</v>
      </c>
      <c r="CT149" s="180">
        <f t="shared" si="281"/>
        <v>1.513861292459078</v>
      </c>
      <c r="CU149" s="180">
        <f t="shared" si="282"/>
        <v>0.23699261992619944</v>
      </c>
      <c r="CV149" s="180">
        <f t="shared" si="283"/>
        <v>0.73619765810468829</v>
      </c>
      <c r="CW149" s="180">
        <f t="shared" si="284"/>
        <v>0.26412854465362851</v>
      </c>
      <c r="CX149" s="181">
        <f>INDEX('State Tax Lookup'!$D$7:$Z$91,MATCH(Calculation!$C149,'State Tax Lookup'!$B$7:$B$91,0),MATCH($H149,'State Tax Lookup'!$D$6:$Z$6,0))</f>
        <v>0.26200000000000001</v>
      </c>
      <c r="CY149" s="72">
        <v>0.37</v>
      </c>
      <c r="CZ149" s="70">
        <f t="shared" si="286"/>
        <v>20.408392932989365</v>
      </c>
      <c r="DA149" s="70">
        <v>19.236104090735289</v>
      </c>
      <c r="DB149" s="69">
        <f t="shared" si="291"/>
        <v>1.0602891118972092E-2</v>
      </c>
      <c r="DC149" s="111">
        <f>VLOOKUP($H149,RoR!$E:$F,2,FALSE)</f>
        <v>3.3875000000000009E-2</v>
      </c>
      <c r="DD149" s="216">
        <f>HLOOKUP($H149,'GDP-PI'!$D$8:$CQ$11,3,FALSE)</f>
        <v>1.8092492884465461E-2</v>
      </c>
      <c r="DE149" s="111">
        <f>VLOOKUP(H149,'HW Dx Data'!$E:$F,2,FALSE)</f>
        <v>773.53929793938721</v>
      </c>
      <c r="DF149" s="72">
        <f t="shared" si="299"/>
        <v>149.67500000000001</v>
      </c>
      <c r="DG149" s="69">
        <f t="shared" si="300"/>
        <v>3.5532849899171604E-2</v>
      </c>
      <c r="DH149" s="66">
        <f>HLOOKUP(H149,'GDP-PI'!$8:$9,2,FALSE)</f>
        <v>112.318</v>
      </c>
      <c r="DI149" s="69">
        <f t="shared" si="292"/>
        <v>1.7930771451401852E-2</v>
      </c>
      <c r="DO149" s="184"/>
      <c r="DP149" s="184"/>
      <c r="DQ149" s="184"/>
      <c r="DR149" s="184"/>
      <c r="DS149" s="184"/>
      <c r="DT149" s="184"/>
      <c r="DU149" s="184"/>
      <c r="DV149" s="184"/>
      <c r="DW149" s="184"/>
      <c r="EB149"/>
    </row>
    <row r="150" spans="1:132" s="160" customFormat="1" ht="21">
      <c r="A150" s="160" t="s">
        <v>167</v>
      </c>
      <c r="B150" s="160" t="s">
        <v>167</v>
      </c>
      <c r="C150" s="160">
        <v>4058793</v>
      </c>
      <c r="D150" s="160" t="s">
        <v>168</v>
      </c>
      <c r="G150" s="161" t="s">
        <v>141</v>
      </c>
      <c r="H150" s="162">
        <v>2020</v>
      </c>
      <c r="I150" s="163"/>
      <c r="J150" s="159">
        <v>368</v>
      </c>
      <c r="K150" s="159">
        <f t="shared" si="293"/>
        <v>2.4028730003264771</v>
      </c>
      <c r="L150" s="165">
        <f t="shared" si="301"/>
        <v>-7.6441006695491628E-2</v>
      </c>
      <c r="M150" s="76">
        <f t="shared" si="303"/>
        <v>-9.2724722049458352E-6</v>
      </c>
      <c r="N150" s="62">
        <f t="shared" si="309"/>
        <v>117.15642533997072</v>
      </c>
      <c r="O150" s="96">
        <f t="shared" si="304"/>
        <v>-2.9225014452228505E-2</v>
      </c>
      <c r="P150" s="96"/>
      <c r="Q150" s="159">
        <v>562</v>
      </c>
      <c r="R150" s="159">
        <f t="shared" si="294"/>
        <v>4.9461816709645055</v>
      </c>
      <c r="S150" s="165">
        <f t="shared" si="305"/>
        <v>-1.1934628612437333E-2</v>
      </c>
      <c r="T150" s="165">
        <f t="shared" si="306"/>
        <v>-1.4476982560684042E-6</v>
      </c>
      <c r="U150" s="165"/>
      <c r="V150" s="165"/>
      <c r="W150" s="159">
        <f t="shared" si="274"/>
        <v>729.03836598369526</v>
      </c>
      <c r="X150" s="163"/>
      <c r="Y150" s="167">
        <v>37.098930846674051</v>
      </c>
      <c r="Z150" s="168">
        <v>7.652169225578527E-2</v>
      </c>
      <c r="AA150" s="76">
        <f t="shared" si="295"/>
        <v>9.2822595513912271E-6</v>
      </c>
      <c r="AB150" s="168"/>
      <c r="AC150" s="168"/>
      <c r="AD150" s="163">
        <f t="shared" si="226"/>
        <v>1659.0383659836953</v>
      </c>
      <c r="AE150" s="168">
        <f t="shared" si="307"/>
        <v>2.5849296414429998E-2</v>
      </c>
      <c r="AF150" s="163"/>
      <c r="AG150" s="163"/>
      <c r="AH150" s="163"/>
      <c r="AI150" s="163"/>
      <c r="AJ150" s="116">
        <f t="shared" si="308"/>
        <v>486.37888184804905</v>
      </c>
      <c r="AK150" s="114">
        <f>+AV150/$AX$25</f>
        <v>8.9921189652857541E-5</v>
      </c>
      <c r="AL150" s="115">
        <f t="shared" si="296"/>
        <v>0.22181524402650049</v>
      </c>
      <c r="AM150" s="115">
        <f t="shared" si="297"/>
        <v>0.33875045419264477</v>
      </c>
      <c r="AN150" s="115">
        <f t="shared" si="298"/>
        <v>0.43943430178085474</v>
      </c>
      <c r="AO150" s="115">
        <f t="shared" si="302"/>
        <v>1.0828602947514879E-2</v>
      </c>
      <c r="AP150" s="166">
        <f t="shared" si="311"/>
        <v>96.962718344127509</v>
      </c>
      <c r="AQ150" s="168">
        <f t="shared" si="312"/>
        <v>1.0828602947514863E-2</v>
      </c>
      <c r="AR150" s="69">
        <f>+AD150/$AF$25</f>
        <v>1.2130232980687198E-4</v>
      </c>
      <c r="AS150" s="169">
        <f t="shared" si="310"/>
        <v>1.3135347660871141E-6</v>
      </c>
      <c r="AT150" s="115"/>
      <c r="AU150" s="115"/>
      <c r="AV150" s="113">
        <f>IFERROR(INDEX('Total Customers'!$F$7:$AB$91,MATCH($C150,'Total Customers'!$D$7:$D$91,0),MATCH($G150,'Total Customers'!$F$5:$AB$5,0)),"NA")</f>
        <v>3411</v>
      </c>
      <c r="AW150" s="68">
        <f t="shared" si="287"/>
        <v>3.0359474497033561E-2</v>
      </c>
      <c r="AX150" s="114"/>
      <c r="AY150" s="114"/>
      <c r="AZ150" s="116"/>
      <c r="BA150" s="116"/>
      <c r="BB150" s="166"/>
      <c r="BC150" s="166"/>
      <c r="BD150" s="166"/>
      <c r="BE150" s="166"/>
      <c r="BF150" s="166"/>
      <c r="BG150" s="166"/>
      <c r="BH150" s="166"/>
      <c r="BI150" s="113"/>
      <c r="BJ150" s="113"/>
      <c r="BK150" s="113">
        <f>INDEX('Dist. Plant Gas Additions'!$F$7:$AE$91,MATCH($C150,'Dist. Plant Gas Additions'!$D$7:$D$91,0),MATCH(Calculation!$G150,'Dist. Plant Gas Additions'!$F$5:$AE$5,0))</f>
        <v>2423</v>
      </c>
      <c r="BL150" s="113">
        <f>INDEX('Gen. Plant Additions'!$F$7:$AE$91,MATCH($C150,'Gen. Plant Additions'!$D$7:$D$91,0),MATCH(Calculation!$G150,'Gen. Plant Additions'!$F$5:$AE$5,0))</f>
        <v>70</v>
      </c>
      <c r="BM150" s="231">
        <f t="shared" si="275"/>
        <v>0.8948049655821616</v>
      </c>
      <c r="BN150" s="61">
        <f t="shared" si="314"/>
        <v>62.636347590751313</v>
      </c>
      <c r="BO150" s="113"/>
      <c r="BP150" s="113"/>
      <c r="BQ150" s="113"/>
      <c r="BR150" s="113"/>
      <c r="BS150" s="113"/>
      <c r="BT150" s="113"/>
      <c r="BU150" s="113"/>
      <c r="BV150" s="113"/>
      <c r="BW150" s="113">
        <f>INDEX('Gross Dx Plant'!$E$7:$AD$91,MATCH($C150,'Gross Dx Plant'!$D$7:$D$91,0),MATCH(Calculation!$G150,'Gross Dx Plant'!$E$5:$AD$5,0))</f>
        <v>15209</v>
      </c>
      <c r="BX150" s="113">
        <f>INDEX('Gross Gen Plant'!$E$7:$AD$91,MATCH($C150,'Gross Gen Plant'!$D$7:$D$91,0),MATCH(Calculation!$G150,'Gross Gen Plant'!$E$5:$AD$5,0))</f>
        <v>1788</v>
      </c>
      <c r="BY150" s="113">
        <f t="shared" si="313"/>
        <v>16997</v>
      </c>
      <c r="BZ150" s="113"/>
      <c r="CA150" s="116">
        <v>2020</v>
      </c>
      <c r="CB150" s="113"/>
      <c r="CC150" s="113"/>
      <c r="CD150" s="113"/>
      <c r="CE150" s="175"/>
      <c r="CF150" s="113">
        <f t="shared" si="276"/>
        <v>2493</v>
      </c>
      <c r="CG150" s="113">
        <f t="shared" si="277"/>
        <v>3.0661183424533776</v>
      </c>
      <c r="CH150" s="178">
        <v>0.84057971014492749</v>
      </c>
      <c r="CI150" s="61">
        <f>CI128*CH150+CG129*CH149+CG130*CH148+CG131*CH147+CG132*CH146+CG133*CH145+CG134*CH144+CG135*CH143+CG136*CH142+CG137*CH141+CG138*CH140+CG139*CH139+CG140*CH138+CG141*CH137+CG142*CH136+CG143*CH135+CG144*CH134+CG145*CH133+CG146*CH132+CG147*CH131+CG148*CH130+CG149*CH129+CG150</f>
        <v>37.098930846674051</v>
      </c>
      <c r="CJ150" s="114">
        <f t="shared" si="278"/>
        <v>7.652169225578527E-2</v>
      </c>
      <c r="CK150" s="114"/>
      <c r="CL150" s="169">
        <f t="shared" si="279"/>
        <v>9.6940328828260206E-3</v>
      </c>
      <c r="CM150" s="169">
        <f t="shared" si="288"/>
        <v>9.5243994649380614E-3</v>
      </c>
      <c r="CN150" s="114">
        <f>VLOOKUP($H150,RoR!$E:$F,2,FALSE)</f>
        <v>2.4766666666666666E-2</v>
      </c>
      <c r="CO150" s="169">
        <v>1.1618796630994188E-2</v>
      </c>
      <c r="CP150" s="169">
        <f t="shared" si="285"/>
        <v>1.3147870035672478E-2</v>
      </c>
      <c r="CQ150" s="169">
        <f t="shared" si="289"/>
        <v>2.1377542143595565E-2</v>
      </c>
      <c r="CR150" s="169">
        <f t="shared" si="290"/>
        <v>4.5144642961987357E-2</v>
      </c>
      <c r="CS150" s="179">
        <f t="shared" si="280"/>
        <v>0.90305999999999997</v>
      </c>
      <c r="CT150" s="180">
        <f t="shared" si="281"/>
        <v>2.0706077233668081</v>
      </c>
      <c r="CU150" s="180">
        <f t="shared" si="282"/>
        <v>-3.4421265141318998E-2</v>
      </c>
      <c r="CV150" s="180">
        <f t="shared" si="283"/>
        <v>0.62416226176410472</v>
      </c>
      <c r="CW150" s="180">
        <f t="shared" si="284"/>
        <v>-4.4485877841158712E-2</v>
      </c>
      <c r="CX150" s="181">
        <f>INDEX('State Tax Lookup'!$D$7:$Z$91,MATCH(Calculation!$C150,'State Tax Lookup'!$B$7:$B$91,0),MATCH($H150,'State Tax Lookup'!$D$6:$Z$6,0))</f>
        <v>0.26200000000000001</v>
      </c>
      <c r="CY150" s="72">
        <v>0.37</v>
      </c>
      <c r="CZ150" s="70">
        <f t="shared" si="286"/>
        <v>21.213969430280567</v>
      </c>
      <c r="DA150" s="70">
        <v>19.952659173050833</v>
      </c>
      <c r="DB150" s="69">
        <f t="shared" si="291"/>
        <v>3.8713665541290306E-2</v>
      </c>
      <c r="DC150" s="111">
        <f>VLOOKUP($H150,RoR!$E:$F,2,FALSE)</f>
        <v>2.4766666666666666E-2</v>
      </c>
      <c r="DD150" s="216">
        <f>HLOOKUP($H150,'GDP-PI'!$D$8:$CQ$11,3,FALSE)</f>
        <v>1.1618796630994188E-2</v>
      </c>
      <c r="DE150" s="111">
        <f>VLOOKUP(H150,'HW Dx Data'!$E:$F,2,FALSE)</f>
        <v>813.080162458833</v>
      </c>
      <c r="DF150" s="72">
        <f t="shared" si="299"/>
        <v>153.15</v>
      </c>
      <c r="DG150" s="69">
        <f t="shared" si="300"/>
        <v>2.2951556467368479E-2</v>
      </c>
      <c r="DH150" s="66">
        <f>HLOOKUP(H150,'GDP-PI'!$8:$9,2,FALSE)</f>
        <v>113.623</v>
      </c>
      <c r="DI150" s="69">
        <f t="shared" si="292"/>
        <v>1.1551816731392881E-2</v>
      </c>
      <c r="DO150" s="184"/>
      <c r="DP150" s="184"/>
      <c r="DQ150" s="184"/>
      <c r="DR150" s="184"/>
      <c r="DS150" s="184"/>
      <c r="DT150" s="184"/>
      <c r="DU150" s="184"/>
      <c r="DV150" s="184"/>
      <c r="DW150" s="184"/>
      <c r="EB150"/>
    </row>
    <row r="151" spans="1:132" s="160" customFormat="1" ht="21">
      <c r="A151" s="160" t="s">
        <v>167</v>
      </c>
      <c r="B151" s="160" t="s">
        <v>167</v>
      </c>
      <c r="C151" s="160">
        <v>4058793</v>
      </c>
      <c r="D151" s="160" t="s">
        <v>168</v>
      </c>
      <c r="G151" s="161" t="s">
        <v>142</v>
      </c>
      <c r="H151" s="162">
        <v>2021</v>
      </c>
      <c r="I151" s="163"/>
      <c r="J151" s="159">
        <f>IFERROR(INDEX('Labor Expenditures'!$E$7:$X$91,MATCH($C151,'Labor Expenditures'!$D$7:$D$91,0),MATCH($G151,'Labor Expenditures'!$E$5:$X$5,0)),"NA")</f>
        <v>369.55714928415188</v>
      </c>
      <c r="K151" s="159">
        <f t="shared" si="293"/>
        <v>2.3501249557020789</v>
      </c>
      <c r="L151" s="164">
        <f t="shared" si="301"/>
        <v>-2.219660550851113E-2</v>
      </c>
      <c r="M151" s="76">
        <f t="shared" si="303"/>
        <v>-3.3112844893736901E-6</v>
      </c>
      <c r="N151" s="166">
        <f>+N150*EXP(O151)</f>
        <v>122.71218249642449</v>
      </c>
      <c r="O151" s="114">
        <f t="shared" si="304"/>
        <v>4.6331623069093511E-2</v>
      </c>
      <c r="P151" s="114"/>
      <c r="Q151" s="159">
        <f>IFERROR(INDEX('Non-Labor Expenditures'!$E$7:$AB$91,MATCH($C151,'Non-Labor Expenditures'!$D$7:$D$91,0),MATCH($G151,'Non-Labor Expenditures'!$E$5:$AB$5,0)),"NA")</f>
        <v>520.942005617419</v>
      </c>
      <c r="R151" s="159">
        <f t="shared" si="294"/>
        <v>4.3965060816728752</v>
      </c>
      <c r="S151" s="165">
        <f t="shared" si="305"/>
        <v>-0.11780574617644199</v>
      </c>
      <c r="T151" s="165">
        <f t="shared" si="306"/>
        <v>-1.7574234038784431E-5</v>
      </c>
      <c r="U151" s="165"/>
      <c r="V151" s="165"/>
      <c r="W151" s="159">
        <f t="shared" si="274"/>
        <v>1395.2865476315676</v>
      </c>
      <c r="X151" s="163"/>
      <c r="Y151" s="167">
        <v>40.60130670366874</v>
      </c>
      <c r="Z151" s="168"/>
      <c r="AA151" s="76">
        <f t="shared" si="295"/>
        <v>0</v>
      </c>
      <c r="AB151" s="168"/>
      <c r="AC151" s="168"/>
      <c r="AD151" s="163">
        <f t="shared" si="226"/>
        <v>2285.7857025331386</v>
      </c>
      <c r="AE151" s="168">
        <f t="shared" si="307"/>
        <v>0.32047168064402171</v>
      </c>
      <c r="AF151" s="113"/>
      <c r="AG151" s="114"/>
      <c r="AH151" s="114"/>
      <c r="AI151" s="114"/>
      <c r="AJ151" s="116">
        <f t="shared" si="308"/>
        <v>662.16271799917104</v>
      </c>
      <c r="AK151" s="114">
        <f>+AV151/$AX$26</f>
        <v>8.9415514633451329E-5</v>
      </c>
      <c r="AL151" s="115">
        <f t="shared" si="296"/>
        <v>0.16167620126182591</v>
      </c>
      <c r="AM151" s="115">
        <f t="shared" si="297"/>
        <v>0.22790500659799562</v>
      </c>
      <c r="AN151" s="115">
        <f t="shared" si="298"/>
        <v>0.61041879214017836</v>
      </c>
      <c r="AO151" s="115">
        <f t="shared" si="302"/>
        <v>-3.7633738855175361E-2</v>
      </c>
      <c r="AP151" s="166">
        <f t="shared" si="311"/>
        <v>93.381459471464211</v>
      </c>
      <c r="AQ151" s="168">
        <f t="shared" si="312"/>
        <v>-3.7633738855175188E-2</v>
      </c>
      <c r="AR151" s="69">
        <f>+AD151/$AF$26</f>
        <v>1.4917976931670934E-4</v>
      </c>
      <c r="AS151" s="169">
        <f t="shared" si="310"/>
        <v>-5.6141924809403152E-6</v>
      </c>
      <c r="AT151" s="115"/>
      <c r="AU151" s="115"/>
      <c r="AV151" s="113">
        <f>INDEX('Total Customers'!$E$7:$E$91,MATCH(Calculation!$C151,'Total Customers'!$D$7:$D$91,0))</f>
        <v>3452</v>
      </c>
      <c r="AW151" s="68">
        <f t="shared" si="287"/>
        <v>1.1948269784672744E-2</v>
      </c>
      <c r="AX151" s="113"/>
      <c r="AY151" s="113"/>
      <c r="AZ151" s="116"/>
      <c r="BA151" s="116"/>
      <c r="BB151" s="166"/>
      <c r="BC151" s="166"/>
      <c r="BD151" s="166"/>
      <c r="BE151" s="166"/>
      <c r="BF151" s="166"/>
      <c r="BG151" s="166"/>
      <c r="BH151" s="166"/>
      <c r="BI151" s="113"/>
      <c r="BJ151" s="113"/>
      <c r="BK151" s="113">
        <f>INDEX('Dist. Plant Gas Additions'!$E$7:$AE$91,MATCH($C151,'Dist. Plant Gas Additions'!$D$7:$D$91,0),MATCH(Calculation!$G151,'Dist. Plant Gas Additions'!$E$5:$AE$5,0))</f>
        <v>2314</v>
      </c>
      <c r="BL151" s="113">
        <f>INDEX('Gen. Plant Additions'!$E$7:$AE$91,MATCH($C151,'Gen. Plant Additions'!$D$7:$D$91,0),MATCH(Calculation!$G151,'Gen. Plant Additions'!$E$5:$AE$5,0))</f>
        <v>69</v>
      </c>
      <c r="BM151" s="232">
        <v>0.8948049655821616</v>
      </c>
      <c r="BN151" s="61">
        <f t="shared" si="314"/>
        <v>61.741542625169153</v>
      </c>
      <c r="BO151" s="113"/>
      <c r="BP151" s="113"/>
      <c r="BQ151" s="175"/>
      <c r="BR151" s="175"/>
      <c r="BS151" s="170"/>
      <c r="BT151" s="176"/>
      <c r="BU151" s="177"/>
      <c r="BV151" s="177"/>
      <c r="BW151" s="113"/>
      <c r="BX151" s="113"/>
      <c r="BY151" s="113"/>
      <c r="BZ151" s="113"/>
      <c r="CA151" s="116">
        <v>2021</v>
      </c>
      <c r="CB151" s="113"/>
      <c r="CC151" s="113"/>
      <c r="CD151" s="113"/>
      <c r="CE151" s="175"/>
      <c r="CF151" s="113">
        <f t="shared" si="276"/>
        <v>2383</v>
      </c>
      <c r="CG151" s="113">
        <f t="shared" si="277"/>
        <v>2.5540648826805232</v>
      </c>
      <c r="CH151" s="178">
        <f>+(51-23)/(51-23*0.75)</f>
        <v>0.82962962962962961</v>
      </c>
      <c r="CI151" s="113">
        <f>CI128*CH151+CG129*CH150+CG130*CH149+CG131*CH148+CG132*CH147+CG133*CH146+CG134*CH145+CG135*CH144+CG136*CH143+CG137*CH142+CG138*CH141+CG139*CH140+CG140*CH139+CG141*CH138+CG142*CH137+CG133*CH136+CG144*CH135+CG145*CH134+CG146*CH133+CG147*CH132+CG148*CH131+CG149*CH130+CG151+CG150*CH129</f>
        <v>40.60130670366874</v>
      </c>
      <c r="CJ151" s="114"/>
      <c r="CK151" s="113"/>
      <c r="CL151" s="218">
        <f t="shared" si="279"/>
        <v>-2.5561679344168562E-2</v>
      </c>
      <c r="CM151" s="169">
        <f t="shared" si="288"/>
        <v>-2.1197051870306773E-3</v>
      </c>
      <c r="CN151" s="114">
        <f>VLOOKUP($H151,RoR!$E:$F,2,FALSE)</f>
        <v>2.7033333333333336E-2</v>
      </c>
      <c r="CO151" s="169"/>
      <c r="CP151" s="169"/>
      <c r="CQ151" s="169">
        <f t="shared" si="289"/>
        <v>3.3021646795564304E-2</v>
      </c>
      <c r="CR151" s="169">
        <f t="shared" si="290"/>
        <v>7.433422950153494E-2</v>
      </c>
      <c r="CS151" s="179">
        <f t="shared" si="280"/>
        <v>0.90305999999999997</v>
      </c>
      <c r="CT151" s="180">
        <f t="shared" si="281"/>
        <v>1.8969932656739068</v>
      </c>
      <c r="CU151" s="180">
        <f t="shared" si="282"/>
        <v>5.0215782983970621E-2</v>
      </c>
      <c r="CV151" s="180">
        <f t="shared" si="283"/>
        <v>0.655952481704143</v>
      </c>
      <c r="CW151" s="180">
        <f t="shared" si="284"/>
        <v>6.2485378865697057E-2</v>
      </c>
      <c r="CX151" s="181">
        <f>CX150</f>
        <v>0.26200000000000001</v>
      </c>
      <c r="CY151" s="72">
        <v>0.37</v>
      </c>
      <c r="CZ151" s="182">
        <f t="shared" si="286"/>
        <v>37.609885670240445</v>
      </c>
      <c r="DA151" s="182"/>
      <c r="DB151" s="169">
        <f t="shared" si="291"/>
        <v>0.57260703253505085</v>
      </c>
      <c r="DC151" s="181">
        <f>VLOOKUP($H151,RoR!$E:$F,2,FALSE)</f>
        <v>2.7033333333333336E-2</v>
      </c>
      <c r="DD151" s="183">
        <f>HLOOKUP($H151,'GDP-PI'!$D$8:$CR$11,3,FALSE)</f>
        <v>4.2834637353352578E-2</v>
      </c>
      <c r="DE151" s="181">
        <f>VLOOKUP(H151,'HW Dx Data'!$E:$F,2,FALSE)</f>
        <v>933.02249921662576</v>
      </c>
      <c r="DF151" s="72">
        <f t="shared" si="299"/>
        <v>157.25</v>
      </c>
      <c r="DG151" s="169">
        <f t="shared" si="300"/>
        <v>2.6419062301765574E-2</v>
      </c>
      <c r="DH151" s="175">
        <f>HLOOKUP(H151,'GDP-PI'!$8:$9,2,FALSE)</f>
        <v>118.49</v>
      </c>
      <c r="DI151" s="169">
        <f t="shared" si="292"/>
        <v>4.194261824609434E-2</v>
      </c>
      <c r="DO151" s="184"/>
      <c r="DP151" s="184"/>
      <c r="DQ151" s="184"/>
      <c r="DR151" s="184"/>
      <c r="DS151" s="184"/>
      <c r="DT151" s="184"/>
      <c r="DU151" s="184"/>
      <c r="DV151" s="184"/>
      <c r="DW151" s="184"/>
      <c r="EB151"/>
    </row>
    <row r="152" spans="1:132" s="160" customFormat="1" ht="21">
      <c r="G152" s="161" t="s">
        <v>144</v>
      </c>
      <c r="H152" s="162"/>
      <c r="I152" s="163"/>
      <c r="J152" s="159">
        <v>388</v>
      </c>
      <c r="K152" s="159">
        <f t="shared" si="293"/>
        <v>2.3869578591202707</v>
      </c>
      <c r="L152" s="164">
        <f t="shared" ref="L152" si="315">LN(K152/K151)</f>
        <v>1.5551193491723573E-2</v>
      </c>
      <c r="M152" s="76">
        <f t="shared" si="303"/>
        <v>1.9791943885163017E-6</v>
      </c>
      <c r="N152" s="166">
        <f>+N151*EXP(O152)</f>
        <v>122.83700921871589</v>
      </c>
      <c r="O152" s="114">
        <f t="shared" si="304"/>
        <v>1.0167146727087164E-3</v>
      </c>
      <c r="P152" s="114"/>
      <c r="Q152" s="163">
        <v>546</v>
      </c>
      <c r="R152" s="159">
        <f t="shared" si="294"/>
        <v>4.2907662082514735</v>
      </c>
      <c r="S152" s="165">
        <f t="shared" ref="S152" si="316">LN(R152/R151)</f>
        <v>-2.4344832820422102E-2</v>
      </c>
      <c r="T152" s="165">
        <f t="shared" si="306"/>
        <v>-3.0983574690386463E-6</v>
      </c>
      <c r="U152" s="166"/>
      <c r="V152" s="114"/>
      <c r="W152" s="159">
        <f t="shared" si="274"/>
        <v>1133.519631743065</v>
      </c>
      <c r="X152" s="165">
        <f>LN(W152/W151)</f>
        <v>-0.20777229427336064</v>
      </c>
      <c r="Y152" s="167">
        <v>38.900981240840672</v>
      </c>
      <c r="Z152" s="168">
        <v>-4.2780775902656325E-2</v>
      </c>
      <c r="AA152" s="76">
        <f t="shared" si="295"/>
        <v>-5.444692823606975E-6</v>
      </c>
      <c r="AB152" s="166"/>
      <c r="AC152" s="114"/>
      <c r="AD152" s="163">
        <f t="shared" si="226"/>
        <v>2067.519631743065</v>
      </c>
      <c r="AE152" s="168">
        <f t="shared" si="307"/>
        <v>-0.10036017428225308</v>
      </c>
      <c r="AF152" s="113"/>
      <c r="AG152" s="114"/>
      <c r="AH152" s="114"/>
      <c r="AI152" s="114"/>
      <c r="AJ152" s="116">
        <f t="shared" si="308"/>
        <v>603.30307316692881</v>
      </c>
      <c r="AK152" s="114"/>
      <c r="AL152" s="115">
        <f t="shared" si="296"/>
        <v>0.18766448165374305</v>
      </c>
      <c r="AM152" s="115">
        <f t="shared" si="297"/>
        <v>0.26408455407975179</v>
      </c>
      <c r="AN152" s="115">
        <f t="shared" si="298"/>
        <v>0.5482509642665051</v>
      </c>
      <c r="AO152" s="115"/>
      <c r="AP152" s="166"/>
      <c r="AQ152" s="168"/>
      <c r="AR152" s="69">
        <f>+AD152/$AF$27</f>
        <v>1.2726961371612022E-4</v>
      </c>
      <c r="AS152" s="169"/>
      <c r="AT152" s="166"/>
      <c r="AU152" s="168"/>
      <c r="AV152" s="113">
        <v>3427</v>
      </c>
      <c r="AW152" s="68">
        <f t="shared" si="287"/>
        <v>-7.268530328709717E-3</v>
      </c>
      <c r="AX152" s="113"/>
      <c r="AY152" s="113"/>
      <c r="AZ152" s="113"/>
      <c r="BA152" s="113"/>
      <c r="BB152" s="171"/>
      <c r="BC152" s="172"/>
      <c r="BD152" s="173"/>
      <c r="BE152" s="115"/>
      <c r="BF152" s="174"/>
      <c r="BG152" s="174"/>
      <c r="BH152" s="166"/>
      <c r="BI152" s="113"/>
      <c r="BJ152" s="113"/>
      <c r="BK152" s="113"/>
      <c r="BL152" s="113"/>
      <c r="BM152" s="232">
        <v>0.8948049655821616</v>
      </c>
      <c r="BN152" s="61">
        <f t="shared" si="314"/>
        <v>0</v>
      </c>
      <c r="BO152" s="113"/>
      <c r="BP152" s="113"/>
      <c r="BQ152" s="175"/>
      <c r="BR152" s="175"/>
      <c r="BS152" s="170"/>
      <c r="BT152" s="176"/>
      <c r="BU152" s="177"/>
      <c r="BV152" s="177"/>
      <c r="BW152" s="113"/>
      <c r="BX152" s="113"/>
      <c r="BY152" s="113"/>
      <c r="BZ152" s="113"/>
      <c r="CA152" s="116">
        <v>2022</v>
      </c>
      <c r="CB152" s="113"/>
      <c r="CC152" s="113"/>
      <c r="CD152" s="113"/>
      <c r="CE152" s="175"/>
      <c r="CF152" s="113">
        <v>1962</v>
      </c>
      <c r="CG152" s="113"/>
      <c r="CH152" s="178">
        <f>+(51-24)/(51-24*0.75)</f>
        <v>0.81818181818181823</v>
      </c>
      <c r="CI152" s="113">
        <f>+CI128*CH152+CG129*CH151+CG130*CH150+CG131*CH149+CG132*CH148+CG133*CH147+CG134*CH146+CG135*CH145+CG136*CH144+CG137*CH143+CG138*CH142+CG139*CH141+CG140*CH140+CG141*CH139+CG142*CH138+CG143*CH137+CG144*CH136+CG145*CH135+CG146*CH134+CG147*CH133+CG148*CH132+CG149*CH131+CG150*CH130+CG151*CH129+CG152*CH128</f>
        <v>38.900981240840672</v>
      </c>
      <c r="CJ152" s="114">
        <f t="shared" ref="CJ152" si="317">LN(CI152/CI151)</f>
        <v>-4.2780775902656325E-2</v>
      </c>
      <c r="CK152" s="113"/>
      <c r="CL152" s="169">
        <f>+(CI151-CI152+CG152)/CI151</f>
        <v>4.1878589653234655E-2</v>
      </c>
      <c r="CM152" s="169">
        <f t="shared" si="288"/>
        <v>8.6703143972973722E-3</v>
      </c>
      <c r="CN152" s="114"/>
      <c r="CO152" s="169"/>
      <c r="CP152" s="169"/>
      <c r="CQ152" s="69">
        <f t="shared" si="289"/>
        <v>2.2231627211236255E-2</v>
      </c>
      <c r="CR152" s="169">
        <f t="shared" si="290"/>
        <v>0.10114668178709289</v>
      </c>
      <c r="CS152" s="179">
        <f t="shared" si="280"/>
        <v>0.90305999999999997</v>
      </c>
      <c r="CT152" s="180"/>
      <c r="CU152" s="180"/>
      <c r="CV152" s="180"/>
      <c r="CW152" s="180"/>
      <c r="CX152" s="181">
        <f>CX151</f>
        <v>0.26200000000000001</v>
      </c>
      <c r="CY152" s="72">
        <v>0.37</v>
      </c>
      <c r="CZ152" s="182">
        <f t="shared" si="286"/>
        <v>27.918304206712637</v>
      </c>
      <c r="DA152" s="182"/>
      <c r="DB152" s="169">
        <f t="shared" si="291"/>
        <v>-0.29798439413336342</v>
      </c>
      <c r="DC152" s="181">
        <v>0.04</v>
      </c>
      <c r="DD152" s="183">
        <v>7.0000000000000001E-3</v>
      </c>
      <c r="DE152" s="181">
        <v>1030.81</v>
      </c>
      <c r="DF152" s="72">
        <f t="shared" si="299"/>
        <v>162.55000000000001</v>
      </c>
      <c r="DG152" s="169">
        <f t="shared" si="300"/>
        <v>3.3148751169364422E-2</v>
      </c>
      <c r="DH152" s="175">
        <v>127.25</v>
      </c>
      <c r="DI152" s="169">
        <f t="shared" si="292"/>
        <v>7.1325086601983473E-2</v>
      </c>
      <c r="DO152" s="184"/>
      <c r="DP152" s="184"/>
      <c r="DQ152" s="184"/>
      <c r="DR152" s="184"/>
      <c r="DS152" s="184"/>
      <c r="DT152" s="184"/>
      <c r="DU152" s="184"/>
      <c r="DV152" s="184"/>
      <c r="DW152" s="184"/>
      <c r="EB152"/>
    </row>
    <row r="153" spans="1:132" s="160" customFormat="1" ht="21">
      <c r="A153" s="160" t="s">
        <v>169</v>
      </c>
      <c r="B153" s="161" t="s">
        <v>169</v>
      </c>
      <c r="C153" s="161">
        <v>4057111</v>
      </c>
      <c r="D153" s="161" t="s">
        <v>164</v>
      </c>
      <c r="E153" s="161" t="s">
        <v>3</v>
      </c>
      <c r="F153" s="161"/>
      <c r="G153" s="161" t="s">
        <v>100</v>
      </c>
      <c r="H153" s="162">
        <v>1998</v>
      </c>
      <c r="I153" s="163"/>
      <c r="J153" s="159"/>
      <c r="K153" s="159"/>
      <c r="L153" s="159"/>
      <c r="M153" s="60"/>
      <c r="N153" s="131"/>
      <c r="O153" s="76"/>
      <c r="P153" s="76"/>
      <c r="Q153" s="159"/>
      <c r="R153" s="159"/>
      <c r="S153" s="159"/>
      <c r="T153" s="159"/>
      <c r="U153" s="159"/>
      <c r="V153" s="159"/>
      <c r="W153" s="159"/>
      <c r="X153" s="163"/>
      <c r="Y153" s="167">
        <v>2515.325262156442</v>
      </c>
      <c r="Z153" s="168"/>
      <c r="AA153" s="159"/>
      <c r="AB153" s="168"/>
      <c r="AC153" s="168"/>
      <c r="AD153" s="163">
        <f t="shared" si="226"/>
        <v>0</v>
      </c>
      <c r="AE153" s="163"/>
      <c r="AF153" s="163"/>
      <c r="AG153" s="114"/>
      <c r="AH153" s="114"/>
      <c r="AI153" s="114"/>
      <c r="AJ153" s="166">
        <f>+(AJ150+AJ151+AJ152)/3</f>
        <v>583.94822433804973</v>
      </c>
      <c r="AK153" s="168"/>
      <c r="AL153" s="115"/>
      <c r="AM153" s="115"/>
      <c r="AN153" s="115"/>
      <c r="AO153" s="115"/>
      <c r="AP153" s="115"/>
      <c r="AQ153" s="168">
        <f>AVERAGE(AQ162:AQ176)</f>
        <v>2.3065156516864072E-2</v>
      </c>
      <c r="AR153" s="79"/>
      <c r="AS153" s="115"/>
      <c r="AT153" s="115"/>
      <c r="AU153" s="115"/>
      <c r="AV153" s="113">
        <f>IFERROR(INDEX('Total Customers'!$F$7:$AB$91,MATCH($C153,'Total Customers'!$D$7:$D$91,0),MATCH($G153,'Total Customers'!$F$5:$AB$5,0)),"NA")</f>
        <v>535211</v>
      </c>
      <c r="AW153" s="68"/>
      <c r="AX153" s="114"/>
      <c r="AY153" s="114"/>
      <c r="AZ153" s="116"/>
      <c r="BA153" s="116"/>
      <c r="BB153" s="166"/>
      <c r="BC153" s="166"/>
      <c r="BD153" s="166"/>
      <c r="BE153" s="166"/>
      <c r="BF153" s="166"/>
      <c r="BG153" s="166"/>
      <c r="BH153" s="166"/>
      <c r="BI153" s="113">
        <f>INDEX('Gross Dx Plant'!$E$7:$AD$91,MATCH($C153,'Gross Dx Plant'!$D$7:$D$91,0),MATCH(Calculation!$G153,'Gross Dx Plant'!$E$5:$AD$5,0))</f>
        <v>770899</v>
      </c>
      <c r="BJ153" s="113">
        <f>INDEX('Gross Gen Plant'!$E$7:$AD$91,MATCH($C153,'Gross Gen Plant'!$D$7:$D$91,0),MATCH(Calculation!$G153,'Gross Gen Plant'!$E$5:$AD$5,0))</f>
        <v>40673</v>
      </c>
      <c r="BK153" s="113">
        <f>INDEX('Dist. Plant Gas Additions'!$F$7:$AE$91,MATCH($C153,'Dist. Plant Gas Additions'!$D$7:$D$91,0),MATCH(Calculation!$G153,'Dist. Plant Gas Additions'!$F$5:$AE$5,0))</f>
        <v>49200</v>
      </c>
      <c r="BL153" s="113">
        <f>INDEX('Gen. Plant Additions'!$F$7:$AE$91,MATCH($C153,'Gen. Plant Additions'!$D$7:$D$91,0),MATCH(Calculation!$G153,'Gen. Plant Additions'!$F$5:$AE$5,0))</f>
        <v>801</v>
      </c>
      <c r="BM153" s="231">
        <f>+(BW153/(BW153+BX153))</f>
        <v>0.94988368253217215</v>
      </c>
      <c r="BN153" s="61">
        <f t="shared" si="314"/>
        <v>760.85682970826986</v>
      </c>
      <c r="BO153" s="113"/>
      <c r="BP153" s="113"/>
      <c r="BQ153" s="113"/>
      <c r="BR153" s="113"/>
      <c r="BS153" s="113"/>
      <c r="BT153" s="113"/>
      <c r="BU153" s="113"/>
      <c r="BV153" s="113"/>
      <c r="BW153" s="113">
        <f>INDEX('Gross Dx Plant'!$E$7:$AD$91,MATCH($C153,'Gross Dx Plant'!$D$7:$D$91,0),MATCH(Calculation!$G153,'Gross Dx Plant'!$E$5:$AD$5,0))</f>
        <v>770899</v>
      </c>
      <c r="BX153" s="113">
        <f>INDEX('Gross Gen Plant'!$E$7:$AD$91,MATCH($C153,'Gross Gen Plant'!$D$7:$D$91,0),MATCH(Calculation!$G153,'Gross Gen Plant'!$E$5:$AD$5,0))</f>
        <v>40673</v>
      </c>
      <c r="BY153" s="113">
        <f t="shared" si="313"/>
        <v>811572</v>
      </c>
      <c r="BZ153" s="113"/>
      <c r="CA153" s="116">
        <v>1998</v>
      </c>
      <c r="CB153" s="113">
        <f>BI153+BJ153</f>
        <v>811572</v>
      </c>
      <c r="CC153" s="113">
        <v>304182</v>
      </c>
      <c r="CD153" s="113">
        <f>+CB153-CC153</f>
        <v>507390</v>
      </c>
      <c r="CE153" s="113">
        <f>CD153/$BV$3</f>
        <v>2515.325262156442</v>
      </c>
      <c r="CF153" s="175"/>
      <c r="CG153" s="175"/>
      <c r="CH153" s="178">
        <v>1</v>
      </c>
      <c r="CI153" s="113">
        <f>+CE153</f>
        <v>2515.325262156442</v>
      </c>
      <c r="CJ153" s="114"/>
      <c r="CK153" s="114"/>
      <c r="CL153" s="169"/>
      <c r="CM153" s="169"/>
      <c r="CN153" s="114" t="e">
        <f>VLOOKUP($H153,RoR!$E:$F,2,FALSE)</f>
        <v>#N/A</v>
      </c>
      <c r="CO153" s="169">
        <v>1.1028127770464469E-2</v>
      </c>
      <c r="CP153" s="169"/>
      <c r="CQ153" s="169"/>
      <c r="CR153" s="169"/>
      <c r="CS153" s="179"/>
      <c r="CT153" s="182" t="e">
        <f>2/(DC153*39)</f>
        <v>#N/A</v>
      </c>
      <c r="CU153" s="180" t="e">
        <f>+(DC153*40-(1+DC153))/(DC153*40)</f>
        <v>#N/A</v>
      </c>
      <c r="CV153" s="180" t="e">
        <f>+(1-(1/(1+DC153)^40))</f>
        <v>#N/A</v>
      </c>
      <c r="CW153" s="180" t="e">
        <f>+CV153*CU153*CT153</f>
        <v>#N/A</v>
      </c>
      <c r="CX153" s="181">
        <f>INDEX('State Tax Lookup'!$D$7:$Z$91,MATCH(Calculation!$C153,'State Tax Lookup'!$B$7:$B$91,0),MATCH($H153,'State Tax Lookup'!$D$6:$Z$6,0))</f>
        <v>0.40700500000000001</v>
      </c>
      <c r="CY153" s="72">
        <v>0.37</v>
      </c>
      <c r="CZ153" s="66"/>
      <c r="DA153" s="66"/>
      <c r="DB153" s="69"/>
      <c r="DC153" s="111" t="e">
        <f>VLOOKUP($H153,RoR!$E:$F,2,FALSE)</f>
        <v>#N/A</v>
      </c>
      <c r="DD153" s="216">
        <f>HLOOKUP($H153,'GDP-PI'!$D$8:$CQ$11,3,FALSE)</f>
        <v>1.1028127770464469E-2</v>
      </c>
      <c r="DE153" s="111">
        <f>VLOOKUP(H153,'HW Dx Data'!$E:$F,2,FALSE)</f>
        <v>329.24564746449528</v>
      </c>
      <c r="DF153" s="70">
        <f t="shared" ref="DF153" si="318">DF128</f>
        <v>0</v>
      </c>
      <c r="DG153" s="69"/>
      <c r="DH153" s="66">
        <f>HLOOKUP(H153,'GDP-PI'!$8:$9,2,FALSE)</f>
        <v>75.266999999999996</v>
      </c>
      <c r="DI153"/>
      <c r="DO153" s="184"/>
      <c r="DP153" s="184"/>
      <c r="DQ153" s="184"/>
      <c r="DR153" s="184"/>
      <c r="DS153" s="184"/>
      <c r="DT153" s="184"/>
      <c r="DU153" s="184"/>
      <c r="DV153" s="184"/>
      <c r="DW153" s="184"/>
      <c r="EB153"/>
    </row>
    <row r="154" spans="1:132" s="160" customFormat="1" ht="21">
      <c r="A154" s="160" t="s">
        <v>169</v>
      </c>
      <c r="B154" s="161" t="s">
        <v>169</v>
      </c>
      <c r="C154" s="161">
        <v>4057111</v>
      </c>
      <c r="D154" s="161" t="s">
        <v>164</v>
      </c>
      <c r="E154" s="161" t="s">
        <v>3</v>
      </c>
      <c r="F154" s="161"/>
      <c r="G154" s="161" t="s">
        <v>106</v>
      </c>
      <c r="H154" s="162">
        <v>1999</v>
      </c>
      <c r="I154" s="163"/>
      <c r="J154" s="159"/>
      <c r="K154" s="159"/>
      <c r="L154" s="159"/>
      <c r="M154" s="60"/>
      <c r="N154" s="152"/>
      <c r="O154" s="60"/>
      <c r="P154" s="60"/>
      <c r="Q154" s="159"/>
      <c r="R154" s="159"/>
      <c r="S154" s="159"/>
      <c r="T154" s="187"/>
      <c r="U154" s="159"/>
      <c r="V154" s="159"/>
      <c r="W154" s="159">
        <f t="shared" ref="W154:W177" si="319">+CI153*CZ154</f>
        <v>0</v>
      </c>
      <c r="X154" s="163"/>
      <c r="Y154" s="167">
        <v>2638.4587157284459</v>
      </c>
      <c r="Z154" s="168">
        <v>4.7792802790570472E-2</v>
      </c>
      <c r="AA154" s="78"/>
      <c r="AB154" s="168"/>
      <c r="AC154" s="168"/>
      <c r="AD154" s="163">
        <f t="shared" si="226"/>
        <v>0</v>
      </c>
      <c r="AE154" s="168"/>
      <c r="AF154" s="163"/>
      <c r="AG154" s="114"/>
      <c r="AH154" s="114"/>
      <c r="AI154" s="114"/>
      <c r="AJ154" s="167"/>
      <c r="AK154" s="168"/>
      <c r="AL154" s="115"/>
      <c r="AM154" s="115"/>
      <c r="AN154" s="115"/>
      <c r="AO154" s="115"/>
      <c r="AP154" s="115"/>
      <c r="AQ154" s="168"/>
      <c r="AR154" s="79"/>
      <c r="AS154" s="115"/>
      <c r="AT154" s="115"/>
      <c r="AU154" s="115"/>
      <c r="AV154" s="113">
        <f>IFERROR(INDEX('Total Customers'!$F$7:$AB$91,MATCH($C154,'Total Customers'!$D$7:$D$91,0),MATCH($G154,'Total Customers'!$F$5:$AB$5,0)),"NA")</f>
        <v>536252</v>
      </c>
      <c r="AW154" s="68">
        <f t="shared" si="287"/>
        <v>1.9431381719188948E-3</v>
      </c>
      <c r="AX154" s="114"/>
      <c r="AY154" s="114"/>
      <c r="AZ154" s="116"/>
      <c r="BA154" s="116"/>
      <c r="BB154" s="166"/>
      <c r="BC154" s="166"/>
      <c r="BD154" s="166"/>
      <c r="BE154" s="166"/>
      <c r="BF154" s="166"/>
      <c r="BG154" s="166"/>
      <c r="BH154" s="166"/>
      <c r="BI154" s="113"/>
      <c r="BJ154" s="113"/>
      <c r="BK154" s="113">
        <f>INDEX('Dist. Plant Gas Additions'!$F$7:$AE$91,MATCH($C154,'Dist. Plant Gas Additions'!$D$7:$D$91,0),MATCH(Calculation!$G154,'Dist. Plant Gas Additions'!$F$5:$AE$5,0))</f>
        <v>44686</v>
      </c>
      <c r="BL154" s="113">
        <f>INDEX('Gen. Plant Additions'!$F$7:$AE$91,MATCH($C154,'Gen. Plant Additions'!$D$7:$D$91,0),MATCH(Calculation!$G154,'Gen. Plant Additions'!$F$5:$AE$5,0))</f>
        <v>800</v>
      </c>
      <c r="BM154" s="231">
        <f t="shared" ref="BM154:BM175" si="320">+(BW154/(BW154+BX154))</f>
        <v>0.95889250875717591</v>
      </c>
      <c r="BN154" s="61">
        <f t="shared" si="314"/>
        <v>767.11400700574075</v>
      </c>
      <c r="BO154" s="113"/>
      <c r="BP154" s="113"/>
      <c r="BQ154" s="113"/>
      <c r="BR154" s="113"/>
      <c r="BS154" s="113"/>
      <c r="BT154" s="113"/>
      <c r="BU154" s="113"/>
      <c r="BV154" s="113"/>
      <c r="BW154" s="113">
        <f>INDEX('Gross Dx Plant'!$E$7:$AD$91,MATCH($C154,'Gross Dx Plant'!$D$7:$D$91,0),MATCH(Calculation!$G154,'Gross Dx Plant'!$E$5:$AD$5,0))</f>
        <v>814117</v>
      </c>
      <c r="BX154" s="113">
        <f>INDEX('Gross Gen Plant'!$E$7:$AD$91,MATCH($C154,'Gross Gen Plant'!$D$7:$D$91,0),MATCH(Calculation!$G154,'Gross Gen Plant'!$E$5:$AD$5,0))</f>
        <v>34901</v>
      </c>
      <c r="BY154" s="113">
        <f t="shared" si="313"/>
        <v>849018</v>
      </c>
      <c r="BZ154" s="113"/>
      <c r="CA154" s="116">
        <v>1999</v>
      </c>
      <c r="CB154" s="113"/>
      <c r="CC154" s="113"/>
      <c r="CD154" s="113"/>
      <c r="CE154" s="175"/>
      <c r="CF154" s="113">
        <f t="shared" ref="CF154:CF176" si="321">+BL154+BK154</f>
        <v>45486</v>
      </c>
      <c r="CG154" s="113">
        <f t="shared" ref="CG154:CG176" si="322">+CF154/$DE154</f>
        <v>135.64750960263308</v>
      </c>
      <c r="CH154" s="178">
        <v>0.99502487562189057</v>
      </c>
      <c r="CI154" s="61">
        <f>+CI153*CH154+CG154</f>
        <v>2638.4587157284459</v>
      </c>
      <c r="CJ154" s="114">
        <f t="shared" ref="CJ154:CJ175" si="323">LN(CI154/CI153)</f>
        <v>4.7792802790570472E-2</v>
      </c>
      <c r="CK154" s="114"/>
      <c r="CL154" s="169">
        <f t="shared" ref="CL154:CL176" si="324">+(CI153-CI154+CG154)/CI153</f>
        <v>4.975124378109509E-3</v>
      </c>
      <c r="CM154" s="169"/>
      <c r="CN154" s="114">
        <f>VLOOKUP($H154,RoR!$E:$F,2,FALSE)</f>
        <v>7.0416666666666669E-2</v>
      </c>
      <c r="CO154" s="169">
        <v>1.4335631817396832E-2</v>
      </c>
      <c r="CP154" s="169">
        <f>+CN154-CO154</f>
        <v>5.6081034849269837E-2</v>
      </c>
      <c r="CQ154" s="169"/>
      <c r="CR154" s="169"/>
      <c r="CS154" s="179">
        <f t="shared" ref="CS154:CS177" si="325">1-CX154*CY154</f>
        <v>0.84940815000000003</v>
      </c>
      <c r="CT154" s="180">
        <f t="shared" ref="CT154:CT176" si="326">2/(DC154*39)</f>
        <v>0.72826581702321336</v>
      </c>
      <c r="CU154" s="180">
        <f t="shared" ref="CU154:CU176" si="327">+(DC154*40-(1+DC154))/(DC154*40)</f>
        <v>0.61997041420118348</v>
      </c>
      <c r="CV154" s="180">
        <f t="shared" ref="CV154:CV176" si="328">+(1-(1/(1+DC154)^40))</f>
        <v>0.93425155319585029</v>
      </c>
      <c r="CW154" s="180">
        <f t="shared" ref="CW154:CW176" si="329">+CV154*CU154*CT154</f>
        <v>0.42181762214141483</v>
      </c>
      <c r="CX154" s="181">
        <f>INDEX('State Tax Lookup'!$D$7:$Z$91,MATCH(Calculation!$C154,'State Tax Lookup'!$B$7:$B$91,0),MATCH($H154,'State Tax Lookup'!$D$6:$Z$6,0))</f>
        <v>0.40700500000000001</v>
      </c>
      <c r="CY154" s="72">
        <v>0.37</v>
      </c>
      <c r="CZ154" s="70"/>
      <c r="DA154" s="70"/>
      <c r="DB154" s="69"/>
      <c r="DC154" s="111">
        <f>VLOOKUP($H154,RoR!$E:$F,2,FALSE)</f>
        <v>7.0416666666666669E-2</v>
      </c>
      <c r="DD154" s="216">
        <f>HLOOKUP($H154,'GDP-PI'!$D$8:$CQ$11,3,FALSE)</f>
        <v>1.4335631817396832E-2</v>
      </c>
      <c r="DE154" s="111">
        <f>VLOOKUP(H154,'HW Dx Data'!$E:$F,2,FALSE)</f>
        <v>335.32499146683239</v>
      </c>
      <c r="DF154" s="66"/>
      <c r="DG154" s="69"/>
      <c r="DH154" s="66">
        <f>HLOOKUP(H154,'GDP-PI'!$8:$9,2,FALSE)</f>
        <v>76.346000000000004</v>
      </c>
      <c r="DI154"/>
      <c r="DO154" s="184"/>
      <c r="DP154" s="184"/>
      <c r="DQ154" s="184"/>
      <c r="DR154" s="184"/>
      <c r="DS154" s="184"/>
      <c r="DT154" s="184"/>
      <c r="DU154" s="184"/>
      <c r="DV154" s="184"/>
      <c r="DW154" s="184"/>
      <c r="EB154"/>
    </row>
    <row r="155" spans="1:132" s="160" customFormat="1" ht="21">
      <c r="A155" s="160" t="s">
        <v>169</v>
      </c>
      <c r="B155" s="161" t="s">
        <v>169</v>
      </c>
      <c r="C155" s="161">
        <v>4057111</v>
      </c>
      <c r="D155" s="161" t="s">
        <v>164</v>
      </c>
      <c r="E155" s="161" t="s">
        <v>3</v>
      </c>
      <c r="F155" s="161"/>
      <c r="G155" s="161" t="s">
        <v>107</v>
      </c>
      <c r="H155" s="162">
        <v>2000</v>
      </c>
      <c r="I155" s="163"/>
      <c r="J155" s="159"/>
      <c r="K155" s="159"/>
      <c r="L155" s="159"/>
      <c r="M155" s="60"/>
      <c r="N155" s="152"/>
      <c r="O155" s="60"/>
      <c r="P155" s="60"/>
      <c r="Q155" s="159"/>
      <c r="R155" s="159"/>
      <c r="S155" s="159"/>
      <c r="T155" s="159"/>
      <c r="U155" s="159"/>
      <c r="V155" s="159"/>
      <c r="W155" s="159">
        <f t="shared" si="319"/>
        <v>0</v>
      </c>
      <c r="X155" s="163"/>
      <c r="Y155" s="167">
        <v>2799.0063956168315</v>
      </c>
      <c r="Z155" s="168">
        <v>5.9069568626378778E-2</v>
      </c>
      <c r="AA155" s="78"/>
      <c r="AB155" s="168"/>
      <c r="AC155" s="168"/>
      <c r="AD155" s="163">
        <f t="shared" si="226"/>
        <v>0</v>
      </c>
      <c r="AE155" s="168"/>
      <c r="AF155" s="163"/>
      <c r="AG155" s="163"/>
      <c r="AH155" s="163"/>
      <c r="AI155" s="163"/>
      <c r="AJ155" s="167"/>
      <c r="AK155" s="168"/>
      <c r="AL155" s="115"/>
      <c r="AM155" s="115"/>
      <c r="AN155" s="115"/>
      <c r="AO155" s="115"/>
      <c r="AP155" s="115"/>
      <c r="AQ155" s="168"/>
      <c r="AR155" s="79"/>
      <c r="AS155" s="115"/>
      <c r="AT155" s="115"/>
      <c r="AU155" s="115"/>
      <c r="AV155" s="113">
        <f>IFERROR(INDEX('Total Customers'!$F$7:$AB$91,MATCH($C155,'Total Customers'!$D$7:$D$91,0),MATCH($G155,'Total Customers'!$F$5:$AB$5,0)),"NA")</f>
        <v>542792</v>
      </c>
      <c r="AW155" s="68">
        <f t="shared" si="287"/>
        <v>1.2121989619586463E-2</v>
      </c>
      <c r="AX155" s="114"/>
      <c r="AY155" s="114"/>
      <c r="AZ155" s="116"/>
      <c r="BA155" s="116"/>
      <c r="BB155" s="166"/>
      <c r="BC155" s="166"/>
      <c r="BD155" s="166"/>
      <c r="BE155" s="166"/>
      <c r="BF155" s="166"/>
      <c r="BG155" s="166"/>
      <c r="BH155" s="166"/>
      <c r="BI155" s="113"/>
      <c r="BJ155" s="113"/>
      <c r="BK155" s="113">
        <f>INDEX('Dist. Plant Gas Additions'!$F$7:$AE$91,MATCH($C155,'Dist. Plant Gas Additions'!$D$7:$D$91,0),MATCH(Calculation!$G155,'Dist. Plant Gas Additions'!$F$5:$AE$5,0))</f>
        <v>59222</v>
      </c>
      <c r="BL155" s="113">
        <f>INDEX('Gen. Plant Additions'!$F$7:$AE$91,MATCH($C155,'Gen. Plant Additions'!$D$7:$D$91,0),MATCH(Calculation!$G155,'Gen. Plant Additions'!$F$5:$AE$5,0))</f>
        <v>1115</v>
      </c>
      <c r="BM155" s="231">
        <f t="shared" si="320"/>
        <v>0.97268126766610608</v>
      </c>
      <c r="BN155" s="61">
        <f t="shared" si="314"/>
        <v>1084.5396134477082</v>
      </c>
      <c r="BO155" s="113"/>
      <c r="BP155" s="113"/>
      <c r="BQ155" s="113"/>
      <c r="BR155" s="113"/>
      <c r="BS155" s="113"/>
      <c r="BT155" s="113"/>
      <c r="BU155" s="113"/>
      <c r="BV155" s="113"/>
      <c r="BW155" s="113">
        <f>INDEX('Gross Dx Plant'!$E$7:$AD$91,MATCH($C155,'Gross Dx Plant'!$D$7:$D$91,0),MATCH(Calculation!$G155,'Gross Dx Plant'!$E$5:$AD$5,0))</f>
        <v>869935</v>
      </c>
      <c r="BX155" s="113">
        <f>INDEX('Gross Gen Plant'!$E$7:$AD$91,MATCH($C155,'Gross Gen Plant'!$D$7:$D$91,0),MATCH(Calculation!$G155,'Gross Gen Plant'!$E$5:$AD$5,0))</f>
        <v>24433</v>
      </c>
      <c r="BY155" s="113">
        <f t="shared" si="313"/>
        <v>894368</v>
      </c>
      <c r="BZ155" s="113"/>
      <c r="CA155" s="116">
        <v>2000</v>
      </c>
      <c r="CB155" s="113"/>
      <c r="CC155" s="113"/>
      <c r="CD155" s="113"/>
      <c r="CE155" s="175"/>
      <c r="CF155" s="113">
        <f t="shared" si="321"/>
        <v>60337</v>
      </c>
      <c r="CG155" s="113">
        <f t="shared" si="322"/>
        <v>174.11581296997795</v>
      </c>
      <c r="CH155" s="178">
        <v>0.98989898989898994</v>
      </c>
      <c r="CI155" s="61">
        <f>+CI153*CH155+CG154*CH154+CG155</f>
        <v>2799.0063956168315</v>
      </c>
      <c r="CJ155" s="114">
        <f t="shared" si="323"/>
        <v>5.9069568626378778E-2</v>
      </c>
      <c r="CK155" s="114"/>
      <c r="CL155" s="169">
        <f t="shared" si="324"/>
        <v>5.1424466112392382E-3</v>
      </c>
      <c r="CM155" s="169"/>
      <c r="CN155" s="114">
        <f>VLOOKUP($H155,RoR!$E:$F,2,FALSE)</f>
        <v>7.6225000000000001E-2</v>
      </c>
      <c r="CO155" s="169">
        <v>2.2568307442433211E-2</v>
      </c>
      <c r="CP155" s="169">
        <f t="shared" ref="CP155:CP175" si="330">+CN155-CO155</f>
        <v>5.365669255756679E-2</v>
      </c>
      <c r="CQ155" s="169"/>
      <c r="CR155" s="169"/>
      <c r="CS155" s="179">
        <f t="shared" si="325"/>
        <v>0.84940815000000003</v>
      </c>
      <c r="CT155" s="180">
        <f t="shared" si="326"/>
        <v>0.67277207323124022</v>
      </c>
      <c r="CU155" s="180">
        <f t="shared" si="327"/>
        <v>0.6470236142997704</v>
      </c>
      <c r="CV155" s="180">
        <f t="shared" si="328"/>
        <v>0.94704866037543145</v>
      </c>
      <c r="CW155" s="180">
        <f t="shared" si="329"/>
        <v>0.41224973107878493</v>
      </c>
      <c r="CX155" s="181">
        <f>INDEX('State Tax Lookup'!$D$7:$Z$91,MATCH(Calculation!$C155,'State Tax Lookup'!$B$7:$B$91,0),MATCH($H155,'State Tax Lookup'!$D$6:$Z$6,0))</f>
        <v>0.40700500000000001</v>
      </c>
      <c r="CY155" s="72">
        <v>0.37</v>
      </c>
      <c r="CZ155" s="70"/>
      <c r="DA155" s="70"/>
      <c r="DB155" s="69"/>
      <c r="DC155" s="111">
        <f>VLOOKUP($H155,RoR!$E:$F,2,FALSE)</f>
        <v>7.6225000000000001E-2</v>
      </c>
      <c r="DD155" s="216">
        <f>HLOOKUP($H155,'GDP-PI'!$D$8:$CQ$11,3,FALSE)</f>
        <v>2.2568307442433211E-2</v>
      </c>
      <c r="DE155" s="111">
        <f>VLOOKUP(H155,'HW Dx Data'!$E:$F,2,FALSE)</f>
        <v>346.53371782150339</v>
      </c>
      <c r="DF155" s="66"/>
      <c r="DG155" s="69"/>
      <c r="DH155" s="66">
        <f>HLOOKUP(H155,'GDP-PI'!$8:$9,2,FALSE)</f>
        <v>78.069000000000003</v>
      </c>
      <c r="DI155"/>
      <c r="DO155" s="184"/>
      <c r="DP155" s="184"/>
      <c r="DQ155" s="184"/>
      <c r="DR155" s="184"/>
      <c r="DS155" s="184"/>
      <c r="DT155" s="184"/>
      <c r="DU155" s="184"/>
      <c r="DV155" s="184"/>
      <c r="DW155" s="184"/>
      <c r="EB155"/>
    </row>
    <row r="156" spans="1:132" s="160" customFormat="1" ht="21">
      <c r="A156" s="160" t="s">
        <v>169</v>
      </c>
      <c r="B156" s="161" t="s">
        <v>169</v>
      </c>
      <c r="C156" s="161">
        <v>4057111</v>
      </c>
      <c r="D156" s="161" t="s">
        <v>164</v>
      </c>
      <c r="E156" s="161" t="s">
        <v>3</v>
      </c>
      <c r="F156" s="161"/>
      <c r="G156" s="161" t="s">
        <v>111</v>
      </c>
      <c r="H156" s="162">
        <v>2001</v>
      </c>
      <c r="I156" s="163"/>
      <c r="J156" s="159"/>
      <c r="K156" s="159"/>
      <c r="L156" s="159"/>
      <c r="M156" s="60"/>
      <c r="N156" s="152"/>
      <c r="O156" s="60"/>
      <c r="P156" s="60"/>
      <c r="Q156" s="159"/>
      <c r="R156" s="159"/>
      <c r="S156" s="159"/>
      <c r="T156" s="159"/>
      <c r="U156" s="159"/>
      <c r="V156" s="159"/>
      <c r="W156" s="159">
        <f t="shared" si="319"/>
        <v>36555.191165463257</v>
      </c>
      <c r="X156" s="163"/>
      <c r="Y156" s="167">
        <v>3076.6911035640669</v>
      </c>
      <c r="Z156" s="168">
        <v>9.4590206973018121E-2</v>
      </c>
      <c r="AA156" s="78"/>
      <c r="AB156" s="168"/>
      <c r="AC156" s="168"/>
      <c r="AD156" s="163">
        <f t="shared" si="226"/>
        <v>36555.191165463257</v>
      </c>
      <c r="AE156" s="168"/>
      <c r="AF156" s="163"/>
      <c r="AG156" s="163"/>
      <c r="AH156" s="163"/>
      <c r="AI156" s="163"/>
      <c r="AJ156" s="167"/>
      <c r="AK156" s="168"/>
      <c r="AL156" s="115"/>
      <c r="AM156" s="115"/>
      <c r="AN156" s="115"/>
      <c r="AO156" s="115"/>
      <c r="AP156" s="115"/>
      <c r="AQ156" s="168"/>
      <c r="AR156" s="79"/>
      <c r="AS156" s="115"/>
      <c r="AT156" s="115"/>
      <c r="AU156" s="115"/>
      <c r="AV156" s="113">
        <f>IFERROR(INDEX('Total Customers'!$F$7:$AB$91,MATCH($C156,'Total Customers'!$D$7:$D$91,0),MATCH($G156,'Total Customers'!$F$5:$AB$5,0)),"NA")</f>
        <v>549389</v>
      </c>
      <c r="AW156" s="68">
        <f t="shared" si="287"/>
        <v>1.2080562160136553E-2</v>
      </c>
      <c r="AX156" s="114"/>
      <c r="AY156" s="114"/>
      <c r="AZ156" s="116"/>
      <c r="BA156" s="116"/>
      <c r="BB156" s="166"/>
      <c r="BC156" s="166"/>
      <c r="BD156" s="166"/>
      <c r="BE156" s="166"/>
      <c r="BF156" s="166"/>
      <c r="BG156" s="166"/>
      <c r="BH156" s="166"/>
      <c r="BI156" s="113"/>
      <c r="BJ156" s="113"/>
      <c r="BK156" s="113">
        <f>INDEX('Dist. Plant Gas Additions'!$F$7:$AE$91,MATCH($C156,'Dist. Plant Gas Additions'!$D$7:$D$91,0),MATCH(Calculation!$G156,'Dist. Plant Gas Additions'!$F$5:$AE$5,0))</f>
        <v>95946</v>
      </c>
      <c r="BL156" s="113">
        <f>INDEX('Gen. Plant Additions'!$F$7:$AE$91,MATCH($C156,'Gen. Plant Additions'!$D$7:$D$91,0),MATCH(Calculation!$G156,'Gen. Plant Additions'!$F$5:$AE$5,0))</f>
        <v>7144</v>
      </c>
      <c r="BM156" s="231">
        <f t="shared" si="320"/>
        <v>0.96945651856821957</v>
      </c>
      <c r="BN156" s="61">
        <f t="shared" si="314"/>
        <v>6925.7973686513606</v>
      </c>
      <c r="BO156" s="113"/>
      <c r="BP156" s="113"/>
      <c r="BQ156" s="113"/>
      <c r="BR156" s="113"/>
      <c r="BS156" s="113"/>
      <c r="BT156" s="113"/>
      <c r="BU156" s="113"/>
      <c r="BV156" s="113"/>
      <c r="BW156" s="113">
        <f>INDEX('Gross Dx Plant'!$E$7:$AD$91,MATCH($C156,'Gross Dx Plant'!$D$7:$D$91,0),MATCH(Calculation!$G156,'Gross Dx Plant'!$E$5:$AD$5,0))</f>
        <v>963728</v>
      </c>
      <c r="BX156" s="113">
        <f>INDEX('Gross Gen Plant'!$E$7:$AD$91,MATCH($C156,'Gross Gen Plant'!$D$7:$D$91,0),MATCH(Calculation!$G156,'Gross Gen Plant'!$E$5:$AD$5,0))</f>
        <v>30363</v>
      </c>
      <c r="BY156" s="113">
        <f t="shared" si="313"/>
        <v>994091</v>
      </c>
      <c r="BZ156" s="113"/>
      <c r="CA156" s="116">
        <v>2001</v>
      </c>
      <c r="CB156" s="113"/>
      <c r="CC156" s="113"/>
      <c r="CD156" s="113"/>
      <c r="CE156" s="175"/>
      <c r="CF156" s="113">
        <f t="shared" si="321"/>
        <v>103090</v>
      </c>
      <c r="CG156" s="113">
        <f t="shared" si="322"/>
        <v>291.67000742517013</v>
      </c>
      <c r="CH156" s="178">
        <v>0.98461538461538467</v>
      </c>
      <c r="CI156" s="61">
        <f>+CI153*CH156+CG154*CH155+CG155*CH153+CG156</f>
        <v>3076.6911035640669</v>
      </c>
      <c r="CJ156" s="114">
        <f t="shared" si="323"/>
        <v>9.4590206973018121E-2</v>
      </c>
      <c r="CK156" s="114"/>
      <c r="CL156" s="169">
        <f t="shared" si="324"/>
        <v>4.9965228732007511E-3</v>
      </c>
      <c r="CM156" s="169">
        <f>+(CL156+CL155+CL154)/3</f>
        <v>5.0380312875164994E-3</v>
      </c>
      <c r="CN156" s="114">
        <f>VLOOKUP($H156,RoR!$E:$F,2,FALSE)</f>
        <v>7.0824999999999999E-2</v>
      </c>
      <c r="CO156" s="169">
        <v>2.2454495382290052E-2</v>
      </c>
      <c r="CP156" s="169">
        <f t="shared" si="330"/>
        <v>4.8370504617709947E-2</v>
      </c>
      <c r="CQ156" s="169">
        <f>+$CP$2-CM156</f>
        <v>2.5863910321017126E-2</v>
      </c>
      <c r="CR156" s="169">
        <f>+((DE154/DE153-1)+(DE155/DE154-1)+(DE156/DE155-1))/3</f>
        <v>2.3947275901631187E-2</v>
      </c>
      <c r="CS156" s="179">
        <f t="shared" si="325"/>
        <v>0.84940815000000003</v>
      </c>
      <c r="CT156" s="180">
        <f t="shared" si="326"/>
        <v>0.72406708481540816</v>
      </c>
      <c r="CU156" s="180">
        <f t="shared" si="327"/>
        <v>0.62201729615248857</v>
      </c>
      <c r="CV156" s="180">
        <f t="shared" si="328"/>
        <v>0.9352469954311422</v>
      </c>
      <c r="CW156" s="180">
        <f t="shared" si="329"/>
        <v>0.42121864641655071</v>
      </c>
      <c r="CX156" s="181">
        <f>INDEX('State Tax Lookup'!$D$7:$Z$91,MATCH(Calculation!$C156,'State Tax Lookup'!$B$7:$B$91,0),MATCH($H156,'State Tax Lookup'!$D$6:$Z$6,0))</f>
        <v>0.40700500000000001</v>
      </c>
      <c r="CY156" s="72">
        <v>0.37</v>
      </c>
      <c r="CZ156" s="70">
        <f t="shared" ref="CZ156:CZ177" si="331">+(DE156*CQ156-CR156)*CS156/(1-CX156)</f>
        <v>13.060059892220217</v>
      </c>
      <c r="DA156" s="70"/>
      <c r="DB156" s="69"/>
      <c r="DC156" s="111">
        <f>VLOOKUP($H156,RoR!$E:$F,2,FALSE)</f>
        <v>7.0824999999999999E-2</v>
      </c>
      <c r="DD156" s="216">
        <f>HLOOKUP($H156,'GDP-PI'!$D$8:$CQ$11,3,FALSE)</f>
        <v>2.2454495382290052E-2</v>
      </c>
      <c r="DE156" s="111">
        <f>VLOOKUP(H156,'HW Dx Data'!$E:$F,2,FALSE)</f>
        <v>353.44738017483138</v>
      </c>
      <c r="DF156" s="66"/>
      <c r="DG156" s="69"/>
      <c r="DH156" s="66">
        <f>HLOOKUP(H156,'GDP-PI'!$8:$9,2,FALSE)</f>
        <v>79.822000000000003</v>
      </c>
      <c r="DI156"/>
      <c r="DO156" s="184"/>
      <c r="DP156" s="184"/>
      <c r="DQ156" s="184"/>
      <c r="DR156" s="184"/>
      <c r="DS156" s="184"/>
      <c r="DT156" s="184"/>
      <c r="DU156" s="184"/>
      <c r="DV156" s="184"/>
      <c r="DW156" s="184"/>
      <c r="EB156"/>
    </row>
    <row r="157" spans="1:132" s="160" customFormat="1" ht="21">
      <c r="A157" s="160" t="s">
        <v>169</v>
      </c>
      <c r="B157" s="161" t="s">
        <v>169</v>
      </c>
      <c r="C157" s="161">
        <v>4057111</v>
      </c>
      <c r="D157" s="161" t="s">
        <v>164</v>
      </c>
      <c r="E157" s="161" t="s">
        <v>3</v>
      </c>
      <c r="F157" s="161"/>
      <c r="G157" s="161" t="s">
        <v>113</v>
      </c>
      <c r="H157" s="162">
        <v>2002</v>
      </c>
      <c r="I157" s="163"/>
      <c r="J157" s="159"/>
      <c r="K157" s="159"/>
      <c r="L157" s="159"/>
      <c r="M157" s="60"/>
      <c r="N157" s="152"/>
      <c r="O157" s="60"/>
      <c r="P157" s="60"/>
      <c r="Q157" s="159"/>
      <c r="R157" s="159"/>
      <c r="S157" s="159"/>
      <c r="T157" s="159"/>
      <c r="U157" s="159"/>
      <c r="V157" s="159"/>
      <c r="W157" s="159">
        <f t="shared" si="319"/>
        <v>40675.495001052623</v>
      </c>
      <c r="X157" s="163"/>
      <c r="Y157" s="167">
        <v>3335.5017844404128</v>
      </c>
      <c r="Z157" s="168">
        <v>8.076842568302274E-2</v>
      </c>
      <c r="AA157" s="78"/>
      <c r="AB157" s="168"/>
      <c r="AC157" s="168"/>
      <c r="AD157" s="163">
        <f t="shared" si="226"/>
        <v>40675.495001052623</v>
      </c>
      <c r="AE157" s="168"/>
      <c r="AF157" s="163"/>
      <c r="AG157" s="163"/>
      <c r="AH157" s="163"/>
      <c r="AI157" s="163"/>
      <c r="AJ157" s="167"/>
      <c r="AK157" s="168"/>
      <c r="AL157" s="115"/>
      <c r="AM157" s="115"/>
      <c r="AN157" s="115"/>
      <c r="AO157" s="115"/>
      <c r="AP157" s="115"/>
      <c r="AQ157" s="168"/>
      <c r="AR157" s="79"/>
      <c r="AS157" s="115"/>
      <c r="AT157" s="115"/>
      <c r="AU157" s="115"/>
      <c r="AV157" s="113">
        <f>IFERROR(INDEX('Total Customers'!$F$7:$AB$91,MATCH($C157,'Total Customers'!$D$7:$D$91,0),MATCH($G157,'Total Customers'!$F$5:$AB$5,0)),"NA")</f>
        <v>553551</v>
      </c>
      <c r="AW157" s="68">
        <f t="shared" si="287"/>
        <v>7.5471372066625931E-3</v>
      </c>
      <c r="AX157" s="114"/>
      <c r="AY157" s="114"/>
      <c r="AZ157" s="116"/>
      <c r="BA157" s="116"/>
      <c r="BB157" s="166"/>
      <c r="BC157" s="166"/>
      <c r="BD157" s="166"/>
      <c r="BE157" s="166"/>
      <c r="BF157" s="166"/>
      <c r="BG157" s="166"/>
      <c r="BH157" s="166"/>
      <c r="BI157" s="113"/>
      <c r="BJ157" s="113"/>
      <c r="BK157" s="113">
        <f>INDEX('Dist. Plant Gas Additions'!$F$7:$AE$91,MATCH($C157,'Dist. Plant Gas Additions'!$D$7:$D$91,0),MATCH(Calculation!$G157,'Dist. Plant Gas Additions'!$F$5:$AE$5,0))</f>
        <v>96693</v>
      </c>
      <c r="BL157" s="113">
        <f>INDEX('Gen. Plant Additions'!$F$7:$AE$91,MATCH($C157,'Gen. Plant Additions'!$D$7:$D$91,0),MATCH(Calculation!$G157,'Gen. Plant Additions'!$F$5:$AE$5,0))</f>
        <v>3199</v>
      </c>
      <c r="BM157" s="231">
        <f t="shared" si="320"/>
        <v>0.96922035664107353</v>
      </c>
      <c r="BN157" s="61">
        <f t="shared" si="314"/>
        <v>3100.5359208947943</v>
      </c>
      <c r="BO157" s="113"/>
      <c r="BP157" s="113"/>
      <c r="BQ157" s="113"/>
      <c r="BR157" s="113"/>
      <c r="BS157" s="113"/>
      <c r="BT157" s="113"/>
      <c r="BU157" s="113"/>
      <c r="BV157" s="113"/>
      <c r="BW157" s="113">
        <f>INDEX('Gross Dx Plant'!$E$7:$AD$91,MATCH($C157,'Gross Dx Plant'!$D$7:$D$91,0),MATCH(Calculation!$G157,'Gross Dx Plant'!$E$5:$AD$5,0))</f>
        <v>1056834</v>
      </c>
      <c r="BX157" s="113">
        <f>INDEX('Gross Gen Plant'!$E$7:$AD$91,MATCH($C157,'Gross Gen Plant'!$D$7:$D$91,0),MATCH(Calculation!$G157,'Gross Gen Plant'!$E$5:$AD$5,0))</f>
        <v>33562</v>
      </c>
      <c r="BY157" s="113">
        <f t="shared" si="313"/>
        <v>1090396</v>
      </c>
      <c r="BZ157" s="113"/>
      <c r="CA157" s="116">
        <v>2002</v>
      </c>
      <c r="CB157" s="113"/>
      <c r="CC157" s="113"/>
      <c r="CD157" s="113"/>
      <c r="CE157" s="175"/>
      <c r="CF157" s="113">
        <f t="shared" si="321"/>
        <v>99892</v>
      </c>
      <c r="CG157" s="113">
        <f t="shared" si="322"/>
        <v>276.44252682742581</v>
      </c>
      <c r="CH157" s="178">
        <v>0.97916666666666663</v>
      </c>
      <c r="CI157" s="61">
        <f>+CI153*CH157+CG154*CH156+CG155*CH155+CG156*CH154+CG157</f>
        <v>3335.5017844404128</v>
      </c>
      <c r="CJ157" s="114">
        <f t="shared" si="323"/>
        <v>8.076842568302274E-2</v>
      </c>
      <c r="CK157" s="114"/>
      <c r="CL157" s="169">
        <f t="shared" si="324"/>
        <v>5.7307819854437048E-3</v>
      </c>
      <c r="CM157" s="169">
        <f t="shared" ref="CM157:CM176" si="332">+(CL157+CL156+CL155)/3</f>
        <v>5.2899171566278989E-3</v>
      </c>
      <c r="CN157" s="114">
        <f>VLOOKUP($H157,RoR!$E:$F,2,FALSE)</f>
        <v>6.4916666666666664E-2</v>
      </c>
      <c r="CO157" s="169">
        <v>1.5246423291824351E-2</v>
      </c>
      <c r="CP157" s="169">
        <f t="shared" si="330"/>
        <v>4.9670243374842313E-2</v>
      </c>
      <c r="CQ157" s="169">
        <f t="shared" ref="CQ157:CQ177" si="333">+$CP$2-CM157</f>
        <v>2.5612024451905725E-2</v>
      </c>
      <c r="CR157" s="169">
        <f t="shared" ref="CR157:CR177" si="334">+((DE155/DE154-1)+(DE156/DE155-1)+(DE157/DE156-1))/3</f>
        <v>2.5243621214759093E-2</v>
      </c>
      <c r="CS157" s="179">
        <f t="shared" si="325"/>
        <v>0.84940815000000003</v>
      </c>
      <c r="CT157" s="180">
        <f t="shared" si="326"/>
        <v>0.78996741384417901</v>
      </c>
      <c r="CU157" s="180">
        <f t="shared" si="327"/>
        <v>0.58989088575096271</v>
      </c>
      <c r="CV157" s="180">
        <f t="shared" si="328"/>
        <v>0.91920675783645744</v>
      </c>
      <c r="CW157" s="180">
        <f t="shared" si="329"/>
        <v>0.42834536472275586</v>
      </c>
      <c r="CX157" s="181">
        <f>INDEX('State Tax Lookup'!$D$7:$Z$91,MATCH(Calculation!$C157,'State Tax Lookup'!$B$7:$B$91,0),MATCH($H157,'State Tax Lookup'!$D$6:$Z$6,0))</f>
        <v>0.40700500000000001</v>
      </c>
      <c r="CY157" s="72">
        <v>0.37</v>
      </c>
      <c r="CZ157" s="70">
        <f t="shared" si="331"/>
        <v>13.220532589031691</v>
      </c>
      <c r="DA157" s="70"/>
      <c r="DB157" s="69">
        <f>LN(CZ157/CZ156)</f>
        <v>1.2212410459838023E-2</v>
      </c>
      <c r="DC157" s="111">
        <f>VLOOKUP($H157,RoR!$E:$F,2,FALSE)</f>
        <v>6.4916666666666664E-2</v>
      </c>
      <c r="DD157" s="216">
        <f>HLOOKUP($H157,'GDP-PI'!$D$8:$CQ$11,3,FALSE)</f>
        <v>1.5246423291824351E-2</v>
      </c>
      <c r="DE157" s="111">
        <f>VLOOKUP(H157,'HW Dx Data'!$E:$F,2,FALSE)</f>
        <v>361.34816573413599</v>
      </c>
      <c r="DF157" s="66"/>
      <c r="DG157" s="69"/>
      <c r="DH157" s="66">
        <f>HLOOKUP(H157,'GDP-PI'!$8:$9,2,FALSE)</f>
        <v>81.039000000000001</v>
      </c>
      <c r="DI157" s="69">
        <f>LN(DH157/DH156)</f>
        <v>1.513136459537477E-2</v>
      </c>
      <c r="DO157" s="184"/>
      <c r="DP157" s="184"/>
      <c r="DQ157" s="184"/>
      <c r="DR157" s="184"/>
      <c r="DS157" s="184"/>
      <c r="DT157" s="184"/>
      <c r="DU157" s="184"/>
      <c r="DV157" s="184"/>
      <c r="DW157" s="184"/>
      <c r="EB157"/>
    </row>
    <row r="158" spans="1:132" s="160" customFormat="1" ht="21">
      <c r="A158" s="160" t="s">
        <v>169</v>
      </c>
      <c r="B158" s="161" t="s">
        <v>169</v>
      </c>
      <c r="C158" s="161">
        <v>4057111</v>
      </c>
      <c r="D158" s="161" t="s">
        <v>164</v>
      </c>
      <c r="E158" s="161" t="s">
        <v>3</v>
      </c>
      <c r="F158" s="161"/>
      <c r="G158" s="161" t="s">
        <v>114</v>
      </c>
      <c r="H158" s="162">
        <v>2003</v>
      </c>
      <c r="I158" s="163"/>
      <c r="J158" s="159"/>
      <c r="K158" s="159"/>
      <c r="L158" s="165"/>
      <c r="M158" s="76"/>
      <c r="N158" s="152"/>
      <c r="O158" s="76"/>
      <c r="P158" s="76"/>
      <c r="Q158" s="159"/>
      <c r="R158" s="159"/>
      <c r="S158" s="159"/>
      <c r="T158" s="159"/>
      <c r="U158" s="159"/>
      <c r="V158" s="159"/>
      <c r="W158" s="159">
        <f t="shared" si="319"/>
        <v>44812.971818928629</v>
      </c>
      <c r="X158" s="163"/>
      <c r="Y158" s="167">
        <v>3433.9016362813663</v>
      </c>
      <c r="Z158" s="168">
        <v>2.9073989848528627E-2</v>
      </c>
      <c r="AA158" s="78"/>
      <c r="AB158" s="168"/>
      <c r="AC158" s="168"/>
      <c r="AD158" s="163">
        <f t="shared" si="226"/>
        <v>44812.971818928629</v>
      </c>
      <c r="AE158" s="168"/>
      <c r="AF158" s="163"/>
      <c r="AG158" s="163"/>
      <c r="AH158" s="163"/>
      <c r="AI158" s="163"/>
      <c r="AJ158" s="167"/>
      <c r="AK158" s="168"/>
      <c r="AL158" s="115"/>
      <c r="AM158" s="115"/>
      <c r="AN158" s="115"/>
      <c r="AO158" s="115"/>
      <c r="AP158" s="115"/>
      <c r="AQ158" s="168"/>
      <c r="AR158" s="79"/>
      <c r="AS158" s="115"/>
      <c r="AT158" s="115"/>
      <c r="AU158" s="115"/>
      <c r="AV158" s="113">
        <f>IFERROR(INDEX('Total Customers'!$F$7:$AB$91,MATCH($C158,'Total Customers'!$D$7:$D$91,0),MATCH($G158,'Total Customers'!$F$5:$AB$5,0)),"NA")</f>
        <v>565136</v>
      </c>
      <c r="AW158" s="68">
        <f t="shared" si="287"/>
        <v>2.0712521320141862E-2</v>
      </c>
      <c r="AX158" s="114"/>
      <c r="AY158" s="114"/>
      <c r="AZ158" s="116"/>
      <c r="BA158" s="116"/>
      <c r="BB158" s="166"/>
      <c r="BC158" s="166"/>
      <c r="BD158" s="166"/>
      <c r="BE158" s="166"/>
      <c r="BF158" s="166"/>
      <c r="BG158" s="166"/>
      <c r="BH158" s="166"/>
      <c r="BI158" s="113"/>
      <c r="BJ158" s="113"/>
      <c r="BK158" s="113">
        <f>INDEX('Dist. Plant Gas Additions'!$F$7:$AE$91,MATCH($C158,'Dist. Plant Gas Additions'!$D$7:$D$91,0),MATCH(Calculation!$G158,'Dist. Plant Gas Additions'!$F$5:$AE$5,0))</f>
        <v>42717</v>
      </c>
      <c r="BL158" s="113">
        <f>INDEX('Gen. Plant Additions'!$F$7:$AE$91,MATCH($C158,'Gen. Plant Additions'!$D$7:$D$91,0),MATCH(Calculation!$G158,'Gen. Plant Additions'!$F$5:$AE$5,0))</f>
        <v>509</v>
      </c>
      <c r="BM158" s="231">
        <f t="shared" si="320"/>
        <v>0.94043503136199147</v>
      </c>
      <c r="BN158" s="61">
        <f t="shared" si="314"/>
        <v>478.68143096325366</v>
      </c>
      <c r="BO158" s="113"/>
      <c r="BP158" s="113"/>
      <c r="BQ158" s="113"/>
      <c r="BR158" s="113"/>
      <c r="BS158" s="113"/>
      <c r="BT158" s="113"/>
      <c r="BU158" s="113"/>
      <c r="BV158" s="113"/>
      <c r="BW158" s="113">
        <f>INDEX('Gross Dx Plant'!$E$7:$AD$91,MATCH($C158,'Gross Dx Plant'!$D$7:$D$91,0),MATCH(Calculation!$G158,'Gross Dx Plant'!$E$5:$AD$5,0))</f>
        <v>535858</v>
      </c>
      <c r="BX158" s="113">
        <f>INDEX('Gross Gen Plant'!$E$7:$AD$91,MATCH($C158,'Gross Gen Plant'!$D$7:$D$91,0),MATCH(Calculation!$G158,'Gross Gen Plant'!$E$5:$AD$5,0))</f>
        <v>33940</v>
      </c>
      <c r="BY158" s="113">
        <f t="shared" si="313"/>
        <v>569798</v>
      </c>
      <c r="BZ158" s="113"/>
      <c r="CA158" s="116">
        <v>2003</v>
      </c>
      <c r="CB158" s="113"/>
      <c r="CC158" s="113"/>
      <c r="CD158" s="113"/>
      <c r="CE158" s="175"/>
      <c r="CF158" s="113">
        <f t="shared" si="321"/>
        <v>43226</v>
      </c>
      <c r="CG158" s="113">
        <f t="shared" si="322"/>
        <v>117.06970589690225</v>
      </c>
      <c r="CH158" s="178">
        <v>0.97354497354497349</v>
      </c>
      <c r="CI158" s="61">
        <f>+CI153*CH158+CG154*CH157+CG155*CH156+CG156*CH155+CG157*CH154+CG158</f>
        <v>3433.9016362813663</v>
      </c>
      <c r="CJ158" s="114">
        <f t="shared" si="323"/>
        <v>2.9073989848528627E-2</v>
      </c>
      <c r="CK158" s="114"/>
      <c r="CL158" s="169">
        <f t="shared" si="324"/>
        <v>5.5973149656344577E-3</v>
      </c>
      <c r="CM158" s="169">
        <f t="shared" si="332"/>
        <v>5.4415399414263045E-3</v>
      </c>
      <c r="CN158" s="114">
        <f>VLOOKUP($H158,RoR!$E:$F,2,FALSE)</f>
        <v>5.6666666666666671E-2</v>
      </c>
      <c r="CO158" s="169">
        <v>1.8855119140166909E-2</v>
      </c>
      <c r="CP158" s="169">
        <f t="shared" si="330"/>
        <v>3.7811547526499761E-2</v>
      </c>
      <c r="CQ158" s="169">
        <f t="shared" si="333"/>
        <v>2.5460401667107321E-2</v>
      </c>
      <c r="CR158" s="169">
        <f t="shared" si="334"/>
        <v>2.1375012817671957E-2</v>
      </c>
      <c r="CS158" s="179">
        <f t="shared" si="325"/>
        <v>0.84940815000000003</v>
      </c>
      <c r="CT158" s="180">
        <f t="shared" si="326"/>
        <v>0.90497737556561086</v>
      </c>
      <c r="CU158" s="180">
        <f t="shared" si="327"/>
        <v>0.5338235294117647</v>
      </c>
      <c r="CV158" s="180">
        <f t="shared" si="328"/>
        <v>0.88972433127405692</v>
      </c>
      <c r="CW158" s="180">
        <f t="shared" si="329"/>
        <v>0.42982423775949252</v>
      </c>
      <c r="CX158" s="181">
        <f>INDEX('State Tax Lookup'!$D$7:$Z$91,MATCH(Calculation!$C158,'State Tax Lookup'!$B$7:$B$91,0),MATCH($H158,'State Tax Lookup'!$D$6:$Z$6,0))</f>
        <v>0.40700500000000001</v>
      </c>
      <c r="CY158" s="72">
        <v>0.37</v>
      </c>
      <c r="CZ158" s="70">
        <f t="shared" si="331"/>
        <v>13.435151504932193</v>
      </c>
      <c r="DA158" s="70"/>
      <c r="DB158" s="69">
        <f t="shared" ref="DB158:DB177" si="335">LN(CZ158/CZ157)</f>
        <v>1.6103398661898655E-2</v>
      </c>
      <c r="DC158" s="111">
        <f>VLOOKUP($H158,RoR!$E:$F,2,FALSE)</f>
        <v>5.6666666666666671E-2</v>
      </c>
      <c r="DD158" s="216">
        <f>HLOOKUP($H158,'GDP-PI'!$D$8:$CQ$11,3,FALSE)</f>
        <v>1.8855119140166909E-2</v>
      </c>
      <c r="DE158" s="111">
        <f>VLOOKUP(H158,'HW Dx Data'!$E:$F,2,FALSE)</f>
        <v>369.23301095560191</v>
      </c>
      <c r="DF158" s="72">
        <f>VLOOKUP(G158,EG$8:EH$27,2,FALSE)</f>
        <v>89.25</v>
      </c>
      <c r="DG158" s="69"/>
      <c r="DH158" s="66">
        <f>HLOOKUP(H158,'GDP-PI'!$8:$9,2,FALSE)</f>
        <v>82.566999999999993</v>
      </c>
      <c r="DI158" s="69">
        <f t="shared" ref="DI158:DI177" si="336">LN(DH158/DH157)</f>
        <v>1.8679564681853753E-2</v>
      </c>
      <c r="DO158" s="184"/>
      <c r="DP158" s="184"/>
      <c r="DQ158" s="184"/>
      <c r="DR158" s="184"/>
      <c r="DS158" s="184"/>
      <c r="DT158" s="184"/>
      <c r="DU158" s="184"/>
      <c r="DV158" s="184"/>
      <c r="DW158" s="184"/>
      <c r="EB158"/>
    </row>
    <row r="159" spans="1:132" s="160" customFormat="1" ht="21">
      <c r="A159" s="160" t="s">
        <v>169</v>
      </c>
      <c r="B159" s="161" t="s">
        <v>169</v>
      </c>
      <c r="C159" s="161">
        <v>4057111</v>
      </c>
      <c r="D159" s="161" t="s">
        <v>164</v>
      </c>
      <c r="E159" s="161" t="s">
        <v>3</v>
      </c>
      <c r="F159" s="161"/>
      <c r="G159" s="161" t="s">
        <v>115</v>
      </c>
      <c r="H159" s="162">
        <v>2004</v>
      </c>
      <c r="I159" s="163"/>
      <c r="J159" s="159"/>
      <c r="K159" s="159">
        <f t="shared" ref="K159:K177" si="337">+J159/DF159</f>
        <v>0</v>
      </c>
      <c r="L159" s="165"/>
      <c r="M159" s="76"/>
      <c r="N159" s="152"/>
      <c r="O159" s="76"/>
      <c r="P159" s="76"/>
      <c r="Q159" s="159"/>
      <c r="R159" s="159">
        <f t="shared" ref="R159:R177" si="338">+Q159/DH159</f>
        <v>0</v>
      </c>
      <c r="S159" s="159"/>
      <c r="T159" s="159"/>
      <c r="U159" s="159"/>
      <c r="V159" s="159"/>
      <c r="W159" s="159">
        <f t="shared" si="319"/>
        <v>51149.352812786063</v>
      </c>
      <c r="X159" s="163"/>
      <c r="Y159" s="167">
        <v>3565.8921775069389</v>
      </c>
      <c r="Z159" s="168">
        <v>3.7717164726453284E-2</v>
      </c>
      <c r="AA159" s="78"/>
      <c r="AB159" s="168"/>
      <c r="AC159" s="168"/>
      <c r="AD159" s="163">
        <f t="shared" si="226"/>
        <v>51149.352812786063</v>
      </c>
      <c r="AE159" s="168"/>
      <c r="AF159" s="163"/>
      <c r="AG159" s="163"/>
      <c r="AH159" s="163"/>
      <c r="AI159" s="163"/>
      <c r="AJ159" s="167"/>
      <c r="AK159" s="168"/>
      <c r="AL159" s="115">
        <f t="shared" ref="AL159:AL177" si="339">+J159/AD159</f>
        <v>0</v>
      </c>
      <c r="AM159" s="115">
        <f t="shared" ref="AM159:AM177" si="340">+Q159/AD159</f>
        <v>0</v>
      </c>
      <c r="AN159" s="115">
        <f t="shared" ref="AN159:AN177" si="341">+W159/AD159</f>
        <v>1</v>
      </c>
      <c r="AO159" s="115"/>
      <c r="AP159" s="115"/>
      <c r="AQ159" s="168"/>
      <c r="AR159" s="79"/>
      <c r="AS159" s="115"/>
      <c r="AT159" s="115"/>
      <c r="AU159" s="115"/>
      <c r="AV159" s="113">
        <f>IFERROR(INDEX('Total Customers'!$F$7:$AB$91,MATCH($C159,'Total Customers'!$D$7:$D$91,0),MATCH($G159,'Total Customers'!$F$5:$AB$5,0)),"NA")</f>
        <v>587513</v>
      </c>
      <c r="AW159" s="68">
        <f t="shared" si="287"/>
        <v>3.8831963287546789E-2</v>
      </c>
      <c r="AX159" s="114"/>
      <c r="AY159" s="114"/>
      <c r="AZ159" s="116"/>
      <c r="BA159" s="116"/>
      <c r="BB159" s="166"/>
      <c r="BC159" s="166"/>
      <c r="BD159" s="166"/>
      <c r="BE159" s="166"/>
      <c r="BF159" s="166"/>
      <c r="BG159" s="166"/>
      <c r="BH159" s="166"/>
      <c r="BI159" s="113"/>
      <c r="BJ159" s="113"/>
      <c r="BK159" s="113">
        <f>INDEX('Dist. Plant Gas Additions'!$F$7:$AE$91,MATCH($C159,'Dist. Plant Gas Additions'!$D$7:$D$91,0),MATCH(Calculation!$G159,'Dist. Plant Gas Additions'!$F$5:$AE$5,0))</f>
        <v>57010</v>
      </c>
      <c r="BL159" s="113">
        <f>INDEX('Gen. Plant Additions'!$F$7:$AE$91,MATCH($C159,'Gen. Plant Additions'!$D$7:$D$91,0),MATCH(Calculation!$G159,'Gen. Plant Additions'!$F$5:$AE$5,0))</f>
        <v>5986</v>
      </c>
      <c r="BM159" s="231">
        <f t="shared" si="320"/>
        <v>0.95546352053342987</v>
      </c>
      <c r="BN159" s="61">
        <f t="shared" si="314"/>
        <v>5719.404633913111</v>
      </c>
      <c r="BO159" s="113"/>
      <c r="BP159" s="113"/>
      <c r="BQ159" s="113"/>
      <c r="BR159" s="113"/>
      <c r="BS159" s="113"/>
      <c r="BT159" s="113"/>
      <c r="BU159" s="113"/>
      <c r="BV159" s="113"/>
      <c r="BW159" s="113">
        <f>INDEX('Gross Dx Plant'!$E$7:$AD$91,MATCH($C159,'Gross Dx Plant'!$D$7:$D$91,0),MATCH(Calculation!$G159,'Gross Dx Plant'!$E$5:$AD$5,0))</f>
        <v>591516</v>
      </c>
      <c r="BX159" s="113">
        <f>INDEX('Gross Gen Plant'!$E$7:$AD$91,MATCH($C159,'Gross Gen Plant'!$D$7:$D$91,0),MATCH(Calculation!$G159,'Gross Gen Plant'!$E$5:$AD$5,0))</f>
        <v>27572</v>
      </c>
      <c r="BY159" s="113">
        <f t="shared" si="313"/>
        <v>619088</v>
      </c>
      <c r="BZ159" s="113"/>
      <c r="CA159" s="116">
        <v>2004</v>
      </c>
      <c r="CB159" s="113"/>
      <c r="CC159" s="113"/>
      <c r="CD159" s="113"/>
      <c r="CE159" s="175"/>
      <c r="CF159" s="113">
        <f t="shared" si="321"/>
        <v>62996</v>
      </c>
      <c r="CG159" s="113">
        <f t="shared" si="322"/>
        <v>151.83886442642586</v>
      </c>
      <c r="CH159" s="178">
        <v>0.967741935483871</v>
      </c>
      <c r="CI159" s="61">
        <f>+CI153*CH159+CG154*CH158+CG155*CH157+CG156*CH156+CG157*CH155+CG158*CH154+CG159</f>
        <v>3565.8921775069389</v>
      </c>
      <c r="CJ159" s="114">
        <f t="shared" si="323"/>
        <v>3.7717164726453284E-2</v>
      </c>
      <c r="CK159" s="114"/>
      <c r="CL159" s="169">
        <f t="shared" si="324"/>
        <v>5.7801082567837964E-3</v>
      </c>
      <c r="CM159" s="169">
        <f t="shared" si="332"/>
        <v>5.7027350692873194E-3</v>
      </c>
      <c r="CN159" s="114">
        <f>VLOOKUP($H159,RoR!$E:$F,2,FALSE)</f>
        <v>5.6283333333333331E-2</v>
      </c>
      <c r="CO159" s="169">
        <v>2.6778252812867276E-2</v>
      </c>
      <c r="CP159" s="169">
        <f t="shared" si="330"/>
        <v>2.9505080520466055E-2</v>
      </c>
      <c r="CQ159" s="169">
        <f t="shared" si="333"/>
        <v>2.5199206539246306E-2</v>
      </c>
      <c r="CR159" s="169">
        <f t="shared" si="334"/>
        <v>5.5940039414565046E-2</v>
      </c>
      <c r="CS159" s="179">
        <f t="shared" si="325"/>
        <v>0.84940815000000003</v>
      </c>
      <c r="CT159" s="180">
        <f t="shared" si="326"/>
        <v>0.91114097628755619</v>
      </c>
      <c r="CU159" s="180">
        <f t="shared" si="327"/>
        <v>0.53081877405981637</v>
      </c>
      <c r="CV159" s="180">
        <f t="shared" si="328"/>
        <v>0.88811215519385678</v>
      </c>
      <c r="CW159" s="180">
        <f t="shared" si="329"/>
        <v>0.42953609753547711</v>
      </c>
      <c r="CX159" s="181">
        <f>INDEX('State Tax Lookup'!$D$7:$Z$91,MATCH(Calculation!$C159,'State Tax Lookup'!$B$7:$B$91,0),MATCH($H159,'State Tax Lookup'!$D$6:$Z$6,0))</f>
        <v>0.40700500000000001</v>
      </c>
      <c r="CY159" s="72">
        <v>0.37</v>
      </c>
      <c r="CZ159" s="70">
        <f t="shared" si="331"/>
        <v>14.895404187574988</v>
      </c>
      <c r="DA159" s="70"/>
      <c r="DB159" s="69">
        <f t="shared" si="335"/>
        <v>0.10317820269838389</v>
      </c>
      <c r="DC159" s="111">
        <f>VLOOKUP($H159,RoR!$E:$F,2,FALSE)</f>
        <v>5.6283333333333331E-2</v>
      </c>
      <c r="DD159" s="216">
        <f>HLOOKUP($H159,'GDP-PI'!$D$8:$CQ$11,3,FALSE)</f>
        <v>2.6778252812867276E-2</v>
      </c>
      <c r="DE159" s="111">
        <f>VLOOKUP(H159,'HW Dx Data'!$E:$F,2,FALSE)</f>
        <v>414.88719135228365</v>
      </c>
      <c r="DF159" s="72">
        <f t="shared" ref="DF159:DF177" si="342">VLOOKUP(G159,EG$8:EH$27,2,FALSE)</f>
        <v>94.35</v>
      </c>
      <c r="DG159" s="69"/>
      <c r="DH159" s="66">
        <f>HLOOKUP(H159,'GDP-PI'!$8:$9,2,FALSE)</f>
        <v>84.778000000000006</v>
      </c>
      <c r="DI159" s="69">
        <f t="shared" si="336"/>
        <v>2.6425990216022755E-2</v>
      </c>
      <c r="DO159" s="184"/>
      <c r="DP159" s="184"/>
      <c r="DQ159" s="184"/>
      <c r="DR159" s="184"/>
      <c r="DS159" s="184"/>
      <c r="DT159" s="184"/>
      <c r="DU159" s="184"/>
      <c r="DV159" s="184"/>
      <c r="DW159" s="184"/>
      <c r="EB159"/>
    </row>
    <row r="160" spans="1:132" s="160" customFormat="1" ht="21">
      <c r="A160" s="160" t="s">
        <v>169</v>
      </c>
      <c r="B160" s="161" t="s">
        <v>169</v>
      </c>
      <c r="C160" s="161">
        <v>4057111</v>
      </c>
      <c r="D160" s="161" t="s">
        <v>164</v>
      </c>
      <c r="E160" s="161" t="s">
        <v>3</v>
      </c>
      <c r="F160" s="161"/>
      <c r="G160" s="161" t="s">
        <v>116</v>
      </c>
      <c r="H160" s="162">
        <v>2005</v>
      </c>
      <c r="I160" s="163"/>
      <c r="J160" s="159">
        <f>IFERROR(INDEX('Labor Expenditures'!$F$7:$X$91,MATCH($C160,'Labor Expenditures'!$D$7:$D$91,0),MATCH($G160,'Labor Expenditures'!$F$5:$X$5,0)),"NA")</f>
        <v>48453.794659181673</v>
      </c>
      <c r="K160" s="159">
        <f t="shared" si="337"/>
        <v>488.32244554478888</v>
      </c>
      <c r="L160" s="165"/>
      <c r="M160" s="76"/>
      <c r="N160" s="62">
        <v>100</v>
      </c>
      <c r="O160" s="77"/>
      <c r="P160" s="77"/>
      <c r="Q160" s="159">
        <f>IFERROR(INDEX('Non-Labor Expenditures'!$F$7:$AB$91,MATCH($C160,'Non-Labor Expenditures'!$D$7:$D$91,0),MATCH($G160,'Non-Labor Expenditures'!$F$5:$AB$5,0)),"NA")</f>
        <v>70170.144586995928</v>
      </c>
      <c r="R160" s="159">
        <f t="shared" si="338"/>
        <v>802.79776890862206</v>
      </c>
      <c r="S160" s="165"/>
      <c r="T160" s="165"/>
      <c r="U160" s="165"/>
      <c r="V160" s="165"/>
      <c r="W160" s="159">
        <f t="shared" si="319"/>
        <v>59740.242424818207</v>
      </c>
      <c r="X160" s="163"/>
      <c r="Y160" s="167">
        <v>3612.2238545530709</v>
      </c>
      <c r="Z160" s="168">
        <v>1.2909326143874363E-2</v>
      </c>
      <c r="AA160" s="76">
        <f t="shared" ref="AA160:AA177" si="343">+Z160*$AR160</f>
        <v>0</v>
      </c>
      <c r="AB160" s="168"/>
      <c r="AC160" s="168"/>
      <c r="AD160" s="163">
        <f t="shared" si="226"/>
        <v>178364.18167099581</v>
      </c>
      <c r="AE160" s="168">
        <f>LN(AD160/AD159)</f>
        <v>1.2490775850149043</v>
      </c>
      <c r="AF160" s="163"/>
      <c r="AG160" s="163"/>
      <c r="AH160" s="163"/>
      <c r="AI160" s="163"/>
      <c r="AJ160" s="116"/>
      <c r="AK160" s="114"/>
      <c r="AL160" s="115">
        <f t="shared" si="339"/>
        <v>0.27165652994477224</v>
      </c>
      <c r="AM160" s="115">
        <f t="shared" si="340"/>
        <v>0.39340939380098899</v>
      </c>
      <c r="AN160" s="115">
        <f t="shared" si="341"/>
        <v>0.33493407625423877</v>
      </c>
      <c r="AO160" s="115">
        <f t="shared" ref="AO160:AO176" si="344">+(((AL160+AL159)/2)*L160+((AM159+AM160)/2)*S160+((AN159+AN160)/2)*Z160)</f>
        <v>8.6165496854688078E-3</v>
      </c>
      <c r="AP160" s="166">
        <v>100</v>
      </c>
      <c r="AQ160" s="168"/>
      <c r="AR160" s="16"/>
      <c r="AS160" s="115"/>
      <c r="AT160" s="115"/>
      <c r="AU160" s="115"/>
      <c r="AV160" s="113">
        <f>IFERROR(INDEX('Total Customers'!$F$7:$AB$91,MATCH($C160,'Total Customers'!$D$7:$D$91,0),MATCH($G160,'Total Customers'!$F$5:$AB$5,0)),"NA")</f>
        <v>583896</v>
      </c>
      <c r="AW160" s="68">
        <f t="shared" si="287"/>
        <v>-6.1754886551454733E-3</v>
      </c>
      <c r="AX160" s="114"/>
      <c r="AY160" s="114"/>
      <c r="AZ160" s="116"/>
      <c r="BA160" s="116"/>
      <c r="BB160" s="166"/>
      <c r="BC160" s="166"/>
      <c r="BD160" s="166"/>
      <c r="BE160" s="166"/>
      <c r="BF160" s="166"/>
      <c r="BG160" s="166"/>
      <c r="BH160" s="166"/>
      <c r="BI160" s="113"/>
      <c r="BJ160" s="113"/>
      <c r="BK160" s="113">
        <f>INDEX('Dist. Plant Gas Additions'!$F$7:$AE$91,MATCH($C160,'Dist. Plant Gas Additions'!$D$7:$D$91,0),MATCH(Calculation!$G160,'Dist. Plant Gas Additions'!$F$5:$AE$5,0))</f>
        <v>26478</v>
      </c>
      <c r="BL160" s="113">
        <f>INDEX('Gen. Plant Additions'!$F$7:$AE$91,MATCH($C160,'Gen. Plant Additions'!$D$7:$D$91,0),MATCH(Calculation!$G160,'Gen. Plant Additions'!$F$5:$AE$5,0))</f>
        <v>5230</v>
      </c>
      <c r="BM160" s="231">
        <f t="shared" si="320"/>
        <v>0.94970211842620411</v>
      </c>
      <c r="BN160" s="61">
        <f t="shared" si="314"/>
        <v>4966.9420793690479</v>
      </c>
      <c r="BO160" s="113"/>
      <c r="BP160" s="113"/>
      <c r="BQ160" s="113"/>
      <c r="BR160" s="113"/>
      <c r="BS160" s="113"/>
      <c r="BT160" s="113"/>
      <c r="BU160" s="113"/>
      <c r="BV160" s="113"/>
      <c r="BW160" s="113">
        <f>INDEX('Gross Dx Plant'!$E$7:$AD$91,MATCH($C160,'Gross Dx Plant'!$D$7:$D$91,0),MATCH(Calculation!$G160,'Gross Dx Plant'!$E$5:$AD$5,0))</f>
        <v>604002</v>
      </c>
      <c r="BX160" s="113">
        <f>INDEX('Gross Gen Plant'!$E$7:$AD$91,MATCH($C160,'Gross Gen Plant'!$D$7:$D$91,0),MATCH(Calculation!$G160,'Gross Gen Plant'!$E$5:$AD$5,0))</f>
        <v>31989</v>
      </c>
      <c r="BY160" s="113">
        <f t="shared" si="313"/>
        <v>635991</v>
      </c>
      <c r="BZ160" s="113"/>
      <c r="CA160" s="116">
        <v>2005</v>
      </c>
      <c r="CB160" s="113"/>
      <c r="CC160" s="113"/>
      <c r="CD160" s="113"/>
      <c r="CE160" s="175"/>
      <c r="CF160" s="113">
        <f t="shared" si="321"/>
        <v>31708</v>
      </c>
      <c r="CG160" s="113">
        <f t="shared" si="322"/>
        <v>67.578117273802107</v>
      </c>
      <c r="CH160" s="178">
        <v>0.96174863387978138</v>
      </c>
      <c r="CI160" s="61">
        <f>+CI153*CH160+CG154*CH159+CG155*CH158+CG156*CH157+CG157*CH156+CG158*CH155+CG159*CH154+CG160</f>
        <v>3612.2238545530709</v>
      </c>
      <c r="CJ160" s="114">
        <f t="shared" si="323"/>
        <v>1.2909326143874363E-2</v>
      </c>
      <c r="CK160" s="114"/>
      <c r="CL160" s="169">
        <f t="shared" si="324"/>
        <v>5.9582396690761388E-3</v>
      </c>
      <c r="CM160" s="169">
        <f t="shared" si="332"/>
        <v>5.778554297164798E-3</v>
      </c>
      <c r="CN160" s="114">
        <f>VLOOKUP($H160,RoR!$E:$F,2,FALSE)</f>
        <v>5.2350000000000001E-2</v>
      </c>
      <c r="CO160" s="169">
        <v>3.1010403642454332E-2</v>
      </c>
      <c r="CP160" s="169">
        <f t="shared" si="330"/>
        <v>2.1339596357545669E-2</v>
      </c>
      <c r="CQ160" s="169">
        <f t="shared" si="333"/>
        <v>2.5123387311368827E-2</v>
      </c>
      <c r="CR160" s="169">
        <f t="shared" si="334"/>
        <v>9.2129610649277341E-2</v>
      </c>
      <c r="CS160" s="179">
        <f t="shared" si="325"/>
        <v>0.84940815000000003</v>
      </c>
      <c r="CT160" s="180">
        <f t="shared" si="326"/>
        <v>0.97959983346802826</v>
      </c>
      <c r="CU160" s="180">
        <f t="shared" si="327"/>
        <v>0.49744508118433622</v>
      </c>
      <c r="CV160" s="180">
        <f t="shared" si="328"/>
        <v>0.87010519444335932</v>
      </c>
      <c r="CW160" s="180">
        <f t="shared" si="329"/>
        <v>0.42399975420741998</v>
      </c>
      <c r="CX160" s="181">
        <f>INDEX('State Tax Lookup'!$D$7:$Z$91,MATCH(Calculation!$C160,'State Tax Lookup'!$B$7:$B$91,0),MATCH($H160,'State Tax Lookup'!$D$6:$Z$6,0))</f>
        <v>0.40700500000000001</v>
      </c>
      <c r="CY160" s="72">
        <v>0.37</v>
      </c>
      <c r="CZ160" s="70">
        <f t="shared" si="331"/>
        <v>16.753238586867496</v>
      </c>
      <c r="DA160" s="70"/>
      <c r="DB160" s="69">
        <f t="shared" si="335"/>
        <v>0.11753886646543915</v>
      </c>
      <c r="DC160" s="111">
        <f>VLOOKUP($H160,RoR!$E:$F,2,FALSE)</f>
        <v>5.2350000000000001E-2</v>
      </c>
      <c r="DD160" s="216">
        <f>HLOOKUP($H160,'GDP-PI'!$D$8:$CQ$11,3,FALSE)</f>
        <v>3.1010403642454332E-2</v>
      </c>
      <c r="DE160" s="111">
        <f>VLOOKUP(H160,'HW Dx Data'!$E:$F,2,FALSE)</f>
        <v>469.20514034936258</v>
      </c>
      <c r="DF160" s="72">
        <f t="shared" si="342"/>
        <v>99.224999999999994</v>
      </c>
      <c r="DG160" s="69">
        <f t="shared" ref="DG160:DG178" si="345">LN(DF160/DF159)</f>
        <v>5.0378726854569796E-2</v>
      </c>
      <c r="DH160" s="66">
        <f>HLOOKUP(H160,'GDP-PI'!$8:$9,2,FALSE)</f>
        <v>87.406999999999996</v>
      </c>
      <c r="DI160" s="69">
        <f t="shared" si="336"/>
        <v>3.0539295810733648E-2</v>
      </c>
      <c r="DO160" s="184"/>
      <c r="DP160" s="184"/>
      <c r="DQ160" s="184"/>
      <c r="DR160" s="184"/>
      <c r="DS160" s="184"/>
      <c r="DT160" s="184"/>
      <c r="DU160" s="184"/>
      <c r="DV160" s="184"/>
      <c r="DW160" s="184"/>
      <c r="EB160"/>
    </row>
    <row r="161" spans="1:132" s="160" customFormat="1" ht="21">
      <c r="A161" s="160" t="s">
        <v>169</v>
      </c>
      <c r="B161" s="161" t="s">
        <v>169</v>
      </c>
      <c r="C161" s="161">
        <v>4057111</v>
      </c>
      <c r="D161" s="161" t="s">
        <v>164</v>
      </c>
      <c r="E161" s="161" t="s">
        <v>3</v>
      </c>
      <c r="F161" s="161"/>
      <c r="G161" s="161" t="s">
        <v>117</v>
      </c>
      <c r="H161" s="162">
        <v>2006</v>
      </c>
      <c r="I161" s="163"/>
      <c r="J161" s="159">
        <f>IFERROR(INDEX('Labor Expenditures'!$F$7:$X$91,MATCH($C161,'Labor Expenditures'!$D$7:$D$91,0),MATCH($G161,'Labor Expenditures'!$F$5:$X$5,0)),"NA")</f>
        <v>47097.487617277686</v>
      </c>
      <c r="K161" s="159">
        <f t="shared" si="337"/>
        <v>430.50719942666984</v>
      </c>
      <c r="L161" s="165">
        <f t="shared" ref="L161:L176" si="346">LN(K161/K160)</f>
        <v>-0.1260118895869341</v>
      </c>
      <c r="M161" s="76">
        <f t="shared" ref="M161:M177" si="347">+L161*$AR161</f>
        <v>-2.7606468201373693E-3</v>
      </c>
      <c r="N161" s="62">
        <f>+N160*EXP(O161)</f>
        <v>105.11583461878719</v>
      </c>
      <c r="O161" s="96">
        <f t="shared" ref="O161:O177" si="348">+M161+M186+M211+M236+M261+M286+M311+M336+M361+M386+M411+M436+M461+M486+M511+M536+M561+M586+M611+M636+M661+M686+M711+M736+M761+M786+M811+M836+M861+M886+M911+M936+M961+M986+M1011+M1036+M1061+M1086+M1111+M1136+M1161+M1186+M1211+M1236+M1261+M1286+M1311+M1336+M1361+M1386+M1411+M1436+M1461+M1486</f>
        <v>4.9892742951580096E-2</v>
      </c>
      <c r="P161" s="96"/>
      <c r="Q161" s="159">
        <f>IFERROR(INDEX('Non-Labor Expenditures'!$F$7:$AB$91,MATCH($C161,'Non-Labor Expenditures'!$D$7:$D$91,0),MATCH($G161,'Non-Labor Expenditures'!$F$5:$AB$5,0)),"NA")</f>
        <v>68205.95866710681</v>
      </c>
      <c r="R161" s="159">
        <f t="shared" si="338"/>
        <v>757.22138094352215</v>
      </c>
      <c r="S161" s="165">
        <f t="shared" ref="S161:S176" si="349">LN(R161/R160)</f>
        <v>-5.8447181993636507E-2</v>
      </c>
      <c r="T161" s="165">
        <f t="shared" ref="T161:T177" si="350">+S161*AR161</f>
        <v>-1.2804508181381402E-3</v>
      </c>
      <c r="U161" s="165"/>
      <c r="V161" s="165"/>
      <c r="W161" s="159">
        <f t="shared" si="319"/>
        <v>59074.670608679982</v>
      </c>
      <c r="X161" s="163"/>
      <c r="Y161" s="167">
        <v>3726.6993623883318</v>
      </c>
      <c r="Z161" s="168">
        <v>3.1199343599289622E-2</v>
      </c>
      <c r="AA161" s="76">
        <f t="shared" si="343"/>
        <v>6.8350985752286316E-4</v>
      </c>
      <c r="AB161" s="168"/>
      <c r="AC161" s="168"/>
      <c r="AD161" s="163">
        <f t="shared" si="226"/>
        <v>174378.11689306446</v>
      </c>
      <c r="AE161" s="168">
        <f t="shared" ref="AE161:AE177" si="351">LN(AD161/AD160)</f>
        <v>-2.2601397529590918E-2</v>
      </c>
      <c r="AF161" s="163"/>
      <c r="AG161" s="163"/>
      <c r="AH161" s="163"/>
      <c r="AI161" s="163"/>
      <c r="AJ161" s="116">
        <f t="shared" ref="AJ161:AJ177" si="352">+(AD161*1000)/AV161</f>
        <v>300.22384788080524</v>
      </c>
      <c r="AK161" s="114">
        <f>+AV161/$AX$11</f>
        <v>1.6747483647525801E-2</v>
      </c>
      <c r="AL161" s="115">
        <f t="shared" si="339"/>
        <v>0.27008829121695199</v>
      </c>
      <c r="AM161" s="115">
        <f t="shared" si="340"/>
        <v>0.39113829121651422</v>
      </c>
      <c r="AN161" s="115">
        <f t="shared" si="341"/>
        <v>0.3387734175665339</v>
      </c>
      <c r="AO161" s="115">
        <f t="shared" si="344"/>
        <v>-4.6550829166149096E-2</v>
      </c>
      <c r="AP161" s="166">
        <f>+AP160*EXP(AO161)</f>
        <v>95.451604208240866</v>
      </c>
      <c r="AQ161" s="168">
        <f>LN(AP161/AP160)</f>
        <v>-4.6550829166149055E-2</v>
      </c>
      <c r="AR161" s="69">
        <f>+AD161/$AF$11</f>
        <v>2.1907828135795331E-2</v>
      </c>
      <c r="AS161" s="169">
        <f>+AR161*AQ161</f>
        <v>-1.0198275649507622E-3</v>
      </c>
      <c r="AT161" s="115"/>
      <c r="AU161" s="115"/>
      <c r="AV161" s="113">
        <f>IFERROR(INDEX('Total Customers'!$F$7:$AB$91,MATCH($C161,'Total Customers'!$D$7:$D$91,0),MATCH($G161,'Total Customers'!$F$5:$AB$5,0)),"NA")</f>
        <v>580827</v>
      </c>
      <c r="AW161" s="68">
        <f t="shared" si="287"/>
        <v>-5.2699347445529241E-3</v>
      </c>
      <c r="AX161" s="114"/>
      <c r="AY161" s="114"/>
      <c r="AZ161" s="116">
        <v>8247377</v>
      </c>
      <c r="BA161" s="116"/>
      <c r="BB161" s="166"/>
      <c r="BC161" s="166"/>
      <c r="BD161" s="166"/>
      <c r="BE161" s="166"/>
      <c r="BF161" s="166"/>
      <c r="BG161" s="166"/>
      <c r="BH161" s="166"/>
      <c r="BI161" s="113"/>
      <c r="BJ161" s="113"/>
      <c r="BK161" s="113">
        <f>INDEX('Dist. Plant Gas Additions'!$F$7:$AE$91,MATCH($C161,'Dist. Plant Gas Additions'!$D$7:$D$91,0),MATCH(Calculation!$G161,'Dist. Plant Gas Additions'!$F$5:$AE$5,0))</f>
        <v>50191</v>
      </c>
      <c r="BL161" s="113">
        <f>INDEX('Gen. Plant Additions'!$F$7:$AE$91,MATCH($C161,'Gen. Plant Additions'!$D$7:$D$91,0),MATCH(Calculation!$G161,'Gen. Plant Additions'!$F$5:$AE$5,0))</f>
        <v>12865</v>
      </c>
      <c r="BM161" s="231">
        <f t="shared" si="320"/>
        <v>0.93849414771304651</v>
      </c>
      <c r="BN161" s="61">
        <f t="shared" si="314"/>
        <v>12073.727210328343</v>
      </c>
      <c r="BO161" s="113"/>
      <c r="BP161" s="113"/>
      <c r="BQ161" s="113"/>
      <c r="BR161" s="113"/>
      <c r="BS161" s="113"/>
      <c r="BT161" s="113"/>
      <c r="BU161" s="113"/>
      <c r="BV161" s="113"/>
      <c r="BW161" s="113">
        <f>INDEX('Gross Dx Plant'!$E$7:$AD$91,MATCH($C161,'Gross Dx Plant'!$D$7:$D$91,0),MATCH(Calculation!$G161,'Gross Dx Plant'!$E$5:$AD$5,0))</f>
        <v>652199</v>
      </c>
      <c r="BX161" s="113">
        <f>INDEX('Gross Gen Plant'!$E$7:$AD$91,MATCH($C161,'Gross Gen Plant'!$D$7:$D$91,0),MATCH(Calculation!$G161,'Gross Gen Plant'!$E$5:$AD$5,0))</f>
        <v>42743</v>
      </c>
      <c r="BY161" s="113">
        <f t="shared" si="313"/>
        <v>694942</v>
      </c>
      <c r="BZ161" s="114"/>
      <c r="CA161" s="116">
        <v>2006</v>
      </c>
      <c r="CB161" s="113"/>
      <c r="CC161" s="113"/>
      <c r="CD161" s="113"/>
      <c r="CE161" s="175"/>
      <c r="CF161" s="113">
        <f t="shared" si="321"/>
        <v>63056</v>
      </c>
      <c r="CG161" s="113">
        <f t="shared" si="322"/>
        <v>136.75549627620401</v>
      </c>
      <c r="CH161" s="178">
        <v>0.9555555555555556</v>
      </c>
      <c r="CI161" s="61">
        <f>+CI153*CH161+CG154*CH160+CG155*CH159+CG156*CH158+CG157*CH157+CG158*CH156+CG159*CH155+CG160*CH154+CG161</f>
        <v>3726.6993623883318</v>
      </c>
      <c r="CJ161" s="114">
        <f t="shared" si="323"/>
        <v>3.1199343599289622E-2</v>
      </c>
      <c r="CK161" s="114"/>
      <c r="CL161" s="169">
        <f t="shared" si="324"/>
        <v>6.1679423363698773E-3</v>
      </c>
      <c r="CM161" s="169">
        <f t="shared" si="332"/>
        <v>5.9687634207432711E-3</v>
      </c>
      <c r="CN161" s="114">
        <f>VLOOKUP($H161,RoR!$E:$F,2,FALSE)</f>
        <v>5.5874999999999994E-2</v>
      </c>
      <c r="CO161" s="169">
        <v>3.0512430354548314E-2</v>
      </c>
      <c r="CP161" s="169">
        <f t="shared" si="330"/>
        <v>2.536256964545168E-2</v>
      </c>
      <c r="CQ161" s="169">
        <f t="shared" si="333"/>
        <v>2.4933178187790353E-2</v>
      </c>
      <c r="CR161" s="169">
        <f t="shared" si="334"/>
        <v>7.9087823893859641E-2</v>
      </c>
      <c r="CS161" s="179">
        <f t="shared" si="325"/>
        <v>0.84940815000000003</v>
      </c>
      <c r="CT161" s="180">
        <f t="shared" si="326"/>
        <v>0.91779957551769631</v>
      </c>
      <c r="CU161" s="180">
        <f t="shared" si="327"/>
        <v>0.52757270693512304</v>
      </c>
      <c r="CV161" s="180">
        <f t="shared" si="328"/>
        <v>0.88636824549024895</v>
      </c>
      <c r="CW161" s="180">
        <f t="shared" si="329"/>
        <v>0.42918482841932087</v>
      </c>
      <c r="CX161" s="181">
        <f>INDEX('State Tax Lookup'!$D$7:$Z$91,MATCH(Calculation!$C161,'State Tax Lookup'!$B$7:$B$91,0),MATCH($H161,'State Tax Lookup'!$D$6:$Z$6,0))</f>
        <v>0.40700500000000001</v>
      </c>
      <c r="CY161" s="72">
        <v>0.37</v>
      </c>
      <c r="CZ161" s="70">
        <f t="shared" si="331"/>
        <v>16.354100129818534</v>
      </c>
      <c r="DA161" s="70">
        <v>14.788696346247992</v>
      </c>
      <c r="DB161" s="69">
        <f t="shared" si="335"/>
        <v>-2.4112949680301633E-2</v>
      </c>
      <c r="DC161" s="111">
        <f>VLOOKUP($H161,RoR!$E:$F,2,FALSE)</f>
        <v>5.5874999999999994E-2</v>
      </c>
      <c r="DD161" s="216">
        <f>HLOOKUP($H161,'GDP-PI'!$D$8:$CQ$11,3,FALSE)</f>
        <v>3.0512430354548314E-2</v>
      </c>
      <c r="DE161" s="111">
        <f>VLOOKUP(H161,'HW Dx Data'!$E:$F,2,FALSE)</f>
        <v>461.08567272971823</v>
      </c>
      <c r="DF161" s="72">
        <f t="shared" si="342"/>
        <v>109.4</v>
      </c>
      <c r="DG161" s="69">
        <f t="shared" si="345"/>
        <v>9.7620891318751846E-2</v>
      </c>
      <c r="DH161" s="66">
        <f>HLOOKUP(H161,'GDP-PI'!$8:$9,2,FALSE)</f>
        <v>90.073999999999998</v>
      </c>
      <c r="DI161" s="69">
        <f t="shared" si="336"/>
        <v>3.005618372545445E-2</v>
      </c>
      <c r="DO161" s="184"/>
      <c r="DP161" s="184"/>
      <c r="DQ161" s="184"/>
      <c r="DR161" s="184"/>
      <c r="DS161" s="184"/>
      <c r="DT161" s="184"/>
      <c r="DU161" s="184"/>
      <c r="DV161" s="184"/>
      <c r="DW161" s="184"/>
      <c r="EB161"/>
    </row>
    <row r="162" spans="1:132" s="160" customFormat="1" ht="21">
      <c r="A162" s="160" t="s">
        <v>169</v>
      </c>
      <c r="B162" s="161" t="s">
        <v>169</v>
      </c>
      <c r="C162" s="161">
        <v>4057111</v>
      </c>
      <c r="D162" s="161" t="s">
        <v>164</v>
      </c>
      <c r="E162" s="161" t="s">
        <v>3</v>
      </c>
      <c r="F162" s="161"/>
      <c r="G162" s="161" t="s">
        <v>118</v>
      </c>
      <c r="H162" s="162">
        <v>2007</v>
      </c>
      <c r="I162" s="163"/>
      <c r="J162" s="159">
        <f>IFERROR(INDEX('Labor Expenditures'!$F$7:$X$91,MATCH($C162,'Labor Expenditures'!$D$7:$D$91,0),MATCH($G162,'Labor Expenditures'!$F$5:$X$5,0)),"NA")</f>
        <v>51194.205229452702</v>
      </c>
      <c r="K162" s="159">
        <f t="shared" si="337"/>
        <v>489.77952862427844</v>
      </c>
      <c r="L162" s="165">
        <f t="shared" si="346"/>
        <v>0.12899130113263016</v>
      </c>
      <c r="M162" s="76">
        <f t="shared" si="347"/>
        <v>2.926621146424062E-3</v>
      </c>
      <c r="N162" s="62">
        <f t="shared" ref="N162:N175" si="353">+N161*EXP(O162)</f>
        <v>116.95782673920088</v>
      </c>
      <c r="O162" s="96">
        <f t="shared" si="348"/>
        <v>0.10675048565798106</v>
      </c>
      <c r="P162" s="96"/>
      <c r="Q162" s="159">
        <f>IFERROR(INDEX('Non-Labor Expenditures'!$F$7:$AB$91,MATCH($C162,'Non-Labor Expenditures'!$D$7:$D$91,0),MATCH($G162,'Non-Labor Expenditures'!$F$5:$AB$5,0)),"NA")</f>
        <v>74138.770930840226</v>
      </c>
      <c r="R162" s="159">
        <f t="shared" si="338"/>
        <v>801.5175563886811</v>
      </c>
      <c r="S162" s="165">
        <f t="shared" si="349"/>
        <v>5.6851220437339929E-2</v>
      </c>
      <c r="T162" s="165">
        <f t="shared" si="350"/>
        <v>1.2898698010717731E-3</v>
      </c>
      <c r="U162" s="165"/>
      <c r="V162" s="165"/>
      <c r="W162" s="159">
        <f t="shared" si="319"/>
        <v>65426.307486026053</v>
      </c>
      <c r="X162" s="163"/>
      <c r="Y162" s="167">
        <v>3804.3092696265567</v>
      </c>
      <c r="Z162" s="168">
        <v>2.061149007222203E-2</v>
      </c>
      <c r="AA162" s="76">
        <f t="shared" si="343"/>
        <v>4.6764411378912208E-4</v>
      </c>
      <c r="AB162" s="168"/>
      <c r="AC162" s="168"/>
      <c r="AD162" s="163">
        <f t="shared" si="226"/>
        <v>190759.28364631897</v>
      </c>
      <c r="AE162" s="168">
        <f t="shared" si="351"/>
        <v>8.9786311090039775E-2</v>
      </c>
      <c r="AF162" s="163"/>
      <c r="AG162" s="163"/>
      <c r="AH162" s="163"/>
      <c r="AI162" s="163"/>
      <c r="AJ162" s="116">
        <f t="shared" si="352"/>
        <v>323.85600551134326</v>
      </c>
      <c r="AK162" s="114">
        <f>+AV162/$AX$12</f>
        <v>1.6855990901470785E-2</v>
      </c>
      <c r="AL162" s="115">
        <f t="shared" si="339"/>
        <v>0.26837071439401256</v>
      </c>
      <c r="AM162" s="115">
        <f t="shared" si="340"/>
        <v>0.38865091917779837</v>
      </c>
      <c r="AN162" s="115">
        <f t="shared" si="341"/>
        <v>0.34297836642818913</v>
      </c>
      <c r="AO162" s="115">
        <f t="shared" si="344"/>
        <v>6.3920208081326868E-2</v>
      </c>
      <c r="AP162" s="166">
        <f>+AP161*EXP(AO162)</f>
        <v>101.7521103759576</v>
      </c>
      <c r="AQ162" s="168">
        <f>LN(AP162/AP161)</f>
        <v>6.3920208081326799E-2</v>
      </c>
      <c r="AR162" s="69">
        <f>+AD162/$AF$12</f>
        <v>2.268851558768975E-2</v>
      </c>
      <c r="AS162" s="169">
        <f t="shared" ref="AS162:AS176" si="354">+AR162*AQ162</f>
        <v>1.4502546374215554E-3</v>
      </c>
      <c r="AT162" s="115"/>
      <c r="AU162" s="115"/>
      <c r="AV162" s="113">
        <f>IFERROR(INDEX('Total Customers'!$F$7:$AB$91,MATCH($C162,'Total Customers'!$D$7:$D$91,0),MATCH($G162,'Total Customers'!$F$5:$AB$5,0)),"NA")</f>
        <v>589025</v>
      </c>
      <c r="AW162" s="68">
        <f t="shared" si="287"/>
        <v>1.401567753918552E-2</v>
      </c>
      <c r="AX162" s="114"/>
      <c r="AY162" s="114"/>
      <c r="AZ162" s="116">
        <v>8187757</v>
      </c>
      <c r="BA162" s="116"/>
      <c r="BB162" s="166"/>
      <c r="BC162" s="166"/>
      <c r="BD162" s="166"/>
      <c r="BE162" s="166"/>
      <c r="BF162" s="166"/>
      <c r="BG162" s="166"/>
      <c r="BH162" s="166"/>
      <c r="BI162" s="113"/>
      <c r="BJ162" s="113"/>
      <c r="BK162" s="113">
        <f>INDEX('Dist. Plant Gas Additions'!$F$7:$AE$91,MATCH($C162,'Dist. Plant Gas Additions'!$D$7:$D$91,0),MATCH(Calculation!$G162,'Dist. Plant Gas Additions'!$F$5:$AE$5,0))</f>
        <v>48309</v>
      </c>
      <c r="BL162" s="113">
        <f>INDEX('Gen. Plant Additions'!$F$7:$AE$91,MATCH($C162,'Gen. Plant Additions'!$D$7:$D$91,0),MATCH(Calculation!$G162,'Gen. Plant Additions'!$F$5:$AE$5,0))</f>
        <v>2147</v>
      </c>
      <c r="BM162" s="231">
        <f t="shared" si="320"/>
        <v>0.94660397314760014</v>
      </c>
      <c r="BN162" s="61">
        <f>+BM162*BL162</f>
        <v>2032.3587303478976</v>
      </c>
      <c r="BO162" s="113"/>
      <c r="BP162" s="113"/>
      <c r="BQ162" s="113"/>
      <c r="BR162" s="113"/>
      <c r="BS162" s="113"/>
      <c r="BT162" s="113"/>
      <c r="BU162" s="113"/>
      <c r="BV162" s="113"/>
      <c r="BW162" s="113">
        <f>INDEX('Gross Dx Plant'!$E$7:$AD$91,MATCH($C162,'Gross Dx Plant'!$D$7:$D$91,0),MATCH(Calculation!$G162,'Gross Dx Plant'!$E$5:$AD$5,0))</f>
        <v>698979</v>
      </c>
      <c r="BX162" s="113">
        <f>INDEX('Gross Gen Plant'!$E$7:$AD$91,MATCH($C162,'Gross Gen Plant'!$D$7:$D$91,0),MATCH(Calculation!$G162,'Gross Gen Plant'!$E$5:$AD$5,0))</f>
        <v>39428</v>
      </c>
      <c r="BY162" s="113">
        <f t="shared" si="313"/>
        <v>738407</v>
      </c>
      <c r="BZ162" s="113"/>
      <c r="CA162" s="116">
        <v>2007</v>
      </c>
      <c r="CB162" s="113"/>
      <c r="CC162" s="113"/>
      <c r="CD162" s="113"/>
      <c r="CE162" s="175"/>
      <c r="CF162" s="113">
        <f t="shared" si="321"/>
        <v>50456</v>
      </c>
      <c r="CG162" s="113">
        <f t="shared" si="322"/>
        <v>101.31272923312103</v>
      </c>
      <c r="CH162" s="178">
        <v>0.94915254237288138</v>
      </c>
      <c r="CI162" s="61">
        <f>+CI153*CH162+CG154*CH161+CG155*CH160+CG156*CH159+CG157*CH158+CG158*CH157+CG159*CH156+CG160*CH155+CG161*CH154+CG162</f>
        <v>3804.3092696265567</v>
      </c>
      <c r="CJ162" s="114">
        <f t="shared" si="323"/>
        <v>2.061149007222203E-2</v>
      </c>
      <c r="CK162" s="114"/>
      <c r="CL162" s="169">
        <f t="shared" si="324"/>
        <v>6.3602721040813218E-3</v>
      </c>
      <c r="CM162" s="169">
        <f t="shared" si="332"/>
        <v>6.162151369842446E-3</v>
      </c>
      <c r="CN162" s="114">
        <f>VLOOKUP($H162,RoR!$E:$F,2,FALSE)</f>
        <v>5.5558333333333321E-2</v>
      </c>
      <c r="CO162" s="169">
        <v>2.691120634145272E-2</v>
      </c>
      <c r="CP162" s="169">
        <f t="shared" si="330"/>
        <v>2.86471269918806E-2</v>
      </c>
      <c r="CQ162" s="169">
        <f t="shared" si="333"/>
        <v>2.4739790238691179E-2</v>
      </c>
      <c r="CR162" s="169">
        <f t="shared" si="334"/>
        <v>6.4575155250632399E-2</v>
      </c>
      <c r="CS162" s="179">
        <f t="shared" si="325"/>
        <v>0.84940815000000003</v>
      </c>
      <c r="CT162" s="180">
        <f t="shared" si="326"/>
        <v>0.92303077153834634</v>
      </c>
      <c r="CU162" s="180">
        <f t="shared" si="327"/>
        <v>0.52502249887505614</v>
      </c>
      <c r="CV162" s="180">
        <f t="shared" si="328"/>
        <v>0.88499666072084604</v>
      </c>
      <c r="CW162" s="180">
        <f t="shared" si="329"/>
        <v>0.42887993290280618</v>
      </c>
      <c r="CX162" s="181">
        <f>INDEX('State Tax Lookup'!$D$7:$Z$91,MATCH(Calculation!$C162,'State Tax Lookup'!$B$7:$B$91,0),MATCH($H162,'State Tax Lookup'!$D$6:$Z$6,0))</f>
        <v>0.40700500000000001</v>
      </c>
      <c r="CY162" s="72">
        <v>0.37</v>
      </c>
      <c r="CZ162" s="70">
        <f t="shared" si="331"/>
        <v>17.556100217350579</v>
      </c>
      <c r="DA162" s="70">
        <v>16.108943221861779</v>
      </c>
      <c r="DB162" s="69">
        <f t="shared" si="335"/>
        <v>7.0922841877369233E-2</v>
      </c>
      <c r="DC162" s="111">
        <f>VLOOKUP($H162,RoR!$E:$F,2,FALSE)</f>
        <v>5.5558333333333321E-2</v>
      </c>
      <c r="DD162" s="216">
        <f>HLOOKUP($H162,'GDP-PI'!$D$8:$CQ$11,3,FALSE)</f>
        <v>2.691120634145272E-2</v>
      </c>
      <c r="DE162" s="111">
        <f>VLOOKUP(H162,'HW Dx Data'!$E:$F,2,FALSE)</f>
        <v>498.0223154772637</v>
      </c>
      <c r="DF162" s="72">
        <f t="shared" si="342"/>
        <v>104.52499999999999</v>
      </c>
      <c r="DG162" s="69">
        <f t="shared" si="345"/>
        <v>-4.5584612745252218E-2</v>
      </c>
      <c r="DH162" s="66">
        <f>HLOOKUP(H162,'GDP-PI'!$8:$9,2,FALSE)</f>
        <v>92.498000000000005</v>
      </c>
      <c r="DI162" s="69">
        <f t="shared" si="336"/>
        <v>2.6555467950038037E-2</v>
      </c>
      <c r="DO162" s="184"/>
      <c r="DP162" s="184"/>
      <c r="DQ162" s="184"/>
      <c r="DR162" s="184"/>
      <c r="DS162" s="184"/>
      <c r="DT162" s="184"/>
      <c r="DU162" s="184"/>
      <c r="DV162" s="184"/>
      <c r="DW162" s="184"/>
      <c r="EB162"/>
    </row>
    <row r="163" spans="1:132" s="160" customFormat="1" ht="21">
      <c r="A163" s="160" t="s">
        <v>169</v>
      </c>
      <c r="B163" s="161" t="s">
        <v>169</v>
      </c>
      <c r="C163" s="161">
        <v>4057111</v>
      </c>
      <c r="D163" s="161" t="s">
        <v>164</v>
      </c>
      <c r="E163" s="161" t="s">
        <v>3</v>
      </c>
      <c r="F163" s="161"/>
      <c r="G163" s="161" t="s">
        <v>120</v>
      </c>
      <c r="H163" s="162">
        <v>2008</v>
      </c>
      <c r="I163" s="163"/>
      <c r="J163" s="159">
        <f>IFERROR(INDEX('Labor Expenditures'!$F$7:$X$91,MATCH($C163,'Labor Expenditures'!$D$7:$D$91,0),MATCH($G163,'Labor Expenditures'!$F$5:$X$5,0)),"NA")</f>
        <v>61066.144356486991</v>
      </c>
      <c r="K163" s="159">
        <f t="shared" si="337"/>
        <v>565.95129153370704</v>
      </c>
      <c r="L163" s="165">
        <f t="shared" si="346"/>
        <v>0.14455266887161461</v>
      </c>
      <c r="M163" s="76">
        <f t="shared" si="347"/>
        <v>3.6233367063216041E-3</v>
      </c>
      <c r="N163" s="62">
        <f t="shared" si="353"/>
        <v>109.92466082532849</v>
      </c>
      <c r="O163" s="96">
        <f t="shared" si="348"/>
        <v>-6.2018185045400333E-2</v>
      </c>
      <c r="P163" s="96"/>
      <c r="Q163" s="159">
        <f>IFERROR(INDEX('Non-Labor Expenditures'!$F$7:$AB$91,MATCH($C163,'Non-Labor Expenditures'!$D$7:$D$91,0),MATCH($G163,'Non-Labor Expenditures'!$F$5:$AB$5,0)),"NA")</f>
        <v>88435.182610678661</v>
      </c>
      <c r="R163" s="159">
        <f t="shared" si="338"/>
        <v>938.16496871211348</v>
      </c>
      <c r="S163" s="165">
        <f t="shared" si="349"/>
        <v>0.15741893014504249</v>
      </c>
      <c r="T163" s="165">
        <f t="shared" si="350"/>
        <v>3.9458405874954628E-3</v>
      </c>
      <c r="U163" s="165"/>
      <c r="V163" s="165"/>
      <c r="W163" s="159">
        <f t="shared" si="319"/>
        <v>75815.277000676957</v>
      </c>
      <c r="X163" s="163"/>
      <c r="Y163" s="167">
        <v>3917.651439884808</v>
      </c>
      <c r="Z163" s="168">
        <v>2.9357909236375216E-2</v>
      </c>
      <c r="AA163" s="76">
        <f t="shared" si="343"/>
        <v>7.3588119117671061E-4</v>
      </c>
      <c r="AB163" s="168"/>
      <c r="AC163" s="168"/>
      <c r="AD163" s="163">
        <f t="shared" ref="AD163:AD229" si="355">+J163+Q163+W163</f>
        <v>225316.60396784262</v>
      </c>
      <c r="AE163" s="168">
        <f t="shared" si="351"/>
        <v>0.16649420371097795</v>
      </c>
      <c r="AF163" s="163"/>
      <c r="AG163" s="163"/>
      <c r="AH163" s="163"/>
      <c r="AI163" s="163"/>
      <c r="AJ163" s="116">
        <f t="shared" si="352"/>
        <v>378.64264006534188</v>
      </c>
      <c r="AK163" s="114">
        <f>+AV163/$AX$13</f>
        <v>1.693776172965418E-2</v>
      </c>
      <c r="AL163" s="115">
        <f t="shared" si="339"/>
        <v>0.27102372076050996</v>
      </c>
      <c r="AM163" s="115">
        <f t="shared" si="340"/>
        <v>0.39249296790972499</v>
      </c>
      <c r="AN163" s="115">
        <f t="shared" si="341"/>
        <v>0.336483311329765</v>
      </c>
      <c r="AO163" s="115">
        <f t="shared" si="344"/>
        <v>0.11044265721797716</v>
      </c>
      <c r="AP163" s="166">
        <f t="shared" ref="AP163:AP176" si="356">+AP162*EXP(AO163)</f>
        <v>113.63393918759859</v>
      </c>
      <c r="AQ163" s="168">
        <f t="shared" ref="AQ163:AQ176" si="357">LN(AP163/AP162)</f>
        <v>0.11044265721797715</v>
      </c>
      <c r="AR163" s="69">
        <f>+AD163/$AF$13</f>
        <v>2.5065858241190234E-2</v>
      </c>
      <c r="AS163" s="169">
        <f t="shared" si="354"/>
        <v>2.7683399896061807E-3</v>
      </c>
      <c r="AT163" s="115"/>
      <c r="AU163" s="115"/>
      <c r="AV163" s="113">
        <f>IFERROR(INDEX('Total Customers'!$F$7:$AB$91,MATCH($C163,'Total Customers'!$D$7:$D$91,0),MATCH($G163,'Total Customers'!$F$5:$AB$5,0)),"NA")</f>
        <v>595064</v>
      </c>
      <c r="AW163" s="68">
        <f t="shared" si="287"/>
        <v>1.0200335213790006E-2</v>
      </c>
      <c r="AX163" s="114"/>
      <c r="AY163" s="114"/>
      <c r="AZ163" s="116">
        <v>8244107</v>
      </c>
      <c r="BA163" s="116"/>
      <c r="BB163" s="166"/>
      <c r="BC163" s="166"/>
      <c r="BD163" s="166"/>
      <c r="BE163" s="166"/>
      <c r="BF163" s="166"/>
      <c r="BG163" s="166"/>
      <c r="BH163" s="166"/>
      <c r="BI163" s="113"/>
      <c r="BJ163" s="113"/>
      <c r="BK163" s="113">
        <f>INDEX('Dist. Plant Gas Additions'!$F$7:$AE$91,MATCH($C163,'Dist. Plant Gas Additions'!$D$7:$D$91,0),MATCH(Calculation!$G163,'Dist. Plant Gas Additions'!$F$5:$AE$5,0))</f>
        <v>71787</v>
      </c>
      <c r="BL163" s="113">
        <f>INDEX('Gen. Plant Additions'!$F$7:$AE$91,MATCH($C163,'Gen. Plant Additions'!$D$7:$D$91,0),MATCH(Calculation!$G163,'Gen. Plant Additions'!$F$5:$AE$5,0))</f>
        <v>7056</v>
      </c>
      <c r="BM163" s="231">
        <f t="shared" si="320"/>
        <v>0.94364348836183443</v>
      </c>
      <c r="BN163" s="61">
        <f t="shared" ref="BN163:BN181" si="358">+BM163*BL163</f>
        <v>6658.3484538811035</v>
      </c>
      <c r="BO163" s="113"/>
      <c r="BP163" s="113"/>
      <c r="BQ163" s="113"/>
      <c r="BR163" s="113"/>
      <c r="BS163" s="113"/>
      <c r="BT163" s="113"/>
      <c r="BU163" s="113"/>
      <c r="BV163" s="113"/>
      <c r="BW163" s="113">
        <f>INDEX('Gross Dx Plant'!$E$7:$AD$91,MATCH($C163,'Gross Dx Plant'!$D$7:$D$91,0),MATCH(Calculation!$G163,'Gross Dx Plant'!$E$5:$AD$5,0))</f>
        <v>770115</v>
      </c>
      <c r="BX163" s="113">
        <f>INDEX('Gross Gen Plant'!$E$7:$AD$91,MATCH($C163,'Gross Gen Plant'!$D$7:$D$91,0),MATCH(Calculation!$G163,'Gross Gen Plant'!$E$5:$AD$5,0))</f>
        <v>45993</v>
      </c>
      <c r="BY163" s="113">
        <f t="shared" si="313"/>
        <v>816108</v>
      </c>
      <c r="BZ163" s="113"/>
      <c r="CA163" s="116">
        <v>2008</v>
      </c>
      <c r="CB163" s="113"/>
      <c r="CC163" s="113"/>
      <c r="CD163" s="113"/>
      <c r="CE163" s="175"/>
      <c r="CF163" s="113">
        <f t="shared" si="321"/>
        <v>78843</v>
      </c>
      <c r="CG163" s="113">
        <f t="shared" si="322"/>
        <v>138.34988685112313</v>
      </c>
      <c r="CH163" s="178">
        <v>0.94252873563218387</v>
      </c>
      <c r="CI163" s="61">
        <f>+CI153*CH163+CG154*CH162+CG155*CH161+CG156*CH160+CG157*CH159+CG158*CH158+CG159*CH157+CG160*CH156+CG161*CH155+CG162*CH154+CG163</f>
        <v>3917.651439884808</v>
      </c>
      <c r="CJ163" s="114">
        <f t="shared" si="323"/>
        <v>2.9357909236375216E-2</v>
      </c>
      <c r="CK163" s="114"/>
      <c r="CL163" s="169">
        <f t="shared" si="324"/>
        <v>6.5735235545995967E-3</v>
      </c>
      <c r="CM163" s="169">
        <f t="shared" si="332"/>
        <v>6.367245998350265E-3</v>
      </c>
      <c r="CN163" s="114">
        <f>VLOOKUP($H163,RoR!$E:$F,2,FALSE)</f>
        <v>5.6316666666666668E-2</v>
      </c>
      <c r="CO163" s="169">
        <v>1.9092304698479889E-2</v>
      </c>
      <c r="CP163" s="169">
        <f t="shared" si="330"/>
        <v>3.7224361968186778E-2</v>
      </c>
      <c r="CQ163" s="169">
        <f t="shared" si="333"/>
        <v>2.4534695610183361E-2</v>
      </c>
      <c r="CR163" s="169">
        <f t="shared" si="334"/>
        <v>6.9030581091053131E-2</v>
      </c>
      <c r="CS163" s="179">
        <f t="shared" si="325"/>
        <v>0.84940815000000003</v>
      </c>
      <c r="CT163" s="180">
        <f t="shared" si="326"/>
        <v>0.91060168006009956</v>
      </c>
      <c r="CU163" s="180">
        <f t="shared" si="327"/>
        <v>0.53108168097070152</v>
      </c>
      <c r="CV163" s="180">
        <f t="shared" si="328"/>
        <v>0.88825329850328805</v>
      </c>
      <c r="CW163" s="180">
        <f t="shared" si="329"/>
        <v>0.4295627335323573</v>
      </c>
      <c r="CX163" s="181">
        <f>INDEX('State Tax Lookup'!$D$7:$Z$91,MATCH(Calculation!$C163,'State Tax Lookup'!$B$7:$B$91,0),MATCH($H163,'State Tax Lookup'!$D$6:$Z$6,0))</f>
        <v>0.40700500000000001</v>
      </c>
      <c r="CY163" s="72">
        <v>0.37</v>
      </c>
      <c r="CZ163" s="70">
        <f t="shared" si="331"/>
        <v>19.928789072429758</v>
      </c>
      <c r="DA163" s="70">
        <v>18.300102035478151</v>
      </c>
      <c r="DB163" s="69">
        <f t="shared" si="335"/>
        <v>0.12676389309522537</v>
      </c>
      <c r="DC163" s="111">
        <f>VLOOKUP($H163,RoR!$E:$F,2,FALSE)</f>
        <v>5.6316666666666668E-2</v>
      </c>
      <c r="DD163" s="216">
        <f>HLOOKUP($H163,'GDP-PI'!$D$8:$CQ$11,3,FALSE)</f>
        <v>1.9092304698479889E-2</v>
      </c>
      <c r="DE163" s="111">
        <f>VLOOKUP(H163,'HW Dx Data'!$E:$F,2,FALSE)</f>
        <v>569.88120333515076</v>
      </c>
      <c r="DF163" s="72">
        <f t="shared" si="342"/>
        <v>107.9</v>
      </c>
      <c r="DG163" s="69">
        <f t="shared" si="345"/>
        <v>3.1778595021460486E-2</v>
      </c>
      <c r="DH163" s="66">
        <f>HLOOKUP(H163,'GDP-PI'!$8:$9,2,FALSE)</f>
        <v>94.263999999999996</v>
      </c>
      <c r="DI163" s="69">
        <f t="shared" si="336"/>
        <v>1.8912333748032254E-2</v>
      </c>
      <c r="DO163" s="184"/>
      <c r="DP163" s="184"/>
      <c r="DQ163" s="184"/>
      <c r="DR163" s="184"/>
      <c r="DS163" s="184"/>
      <c r="DT163" s="184"/>
      <c r="DU163" s="184"/>
      <c r="DV163" s="184"/>
      <c r="DW163" s="184"/>
      <c r="EB163"/>
    </row>
    <row r="164" spans="1:132" s="160" customFormat="1" ht="21">
      <c r="A164" s="160" t="s">
        <v>169</v>
      </c>
      <c r="B164" s="161" t="s">
        <v>169</v>
      </c>
      <c r="C164" s="161">
        <v>4057111</v>
      </c>
      <c r="D164" s="161" t="s">
        <v>164</v>
      </c>
      <c r="E164" s="161" t="s">
        <v>3</v>
      </c>
      <c r="F164" s="161"/>
      <c r="G164" s="161" t="s">
        <v>125</v>
      </c>
      <c r="H164" s="162">
        <v>2009</v>
      </c>
      <c r="I164" s="163"/>
      <c r="J164" s="159">
        <f>IFERROR(INDEX('Labor Expenditures'!$F$7:$X$91,MATCH($C164,'Labor Expenditures'!$D$7:$D$91,0),MATCH($G164,'Labor Expenditures'!$F$5:$X$5,0)),"NA")</f>
        <v>62815.012135447134</v>
      </c>
      <c r="K164" s="159">
        <f t="shared" si="337"/>
        <v>566.28363430648756</v>
      </c>
      <c r="L164" s="165">
        <f t="shared" si="346"/>
        <v>5.8705622789119775E-4</v>
      </c>
      <c r="M164" s="76">
        <f t="shared" si="347"/>
        <v>1.4316964539962223E-5</v>
      </c>
      <c r="N164" s="62">
        <f t="shared" si="353"/>
        <v>118.37862354047029</v>
      </c>
      <c r="O164" s="96">
        <f t="shared" si="348"/>
        <v>7.4092932175843298E-2</v>
      </c>
      <c r="P164" s="96"/>
      <c r="Q164" s="159">
        <f>IFERROR(INDEX('Non-Labor Expenditures'!$F$7:$AB$91,MATCH($C164,'Non-Labor Expenditures'!$D$7:$D$91,0),MATCH($G164,'Non-Labor Expenditures'!$F$5:$AB$5,0)),"NA")</f>
        <v>90967.869798057029</v>
      </c>
      <c r="R164" s="159">
        <f t="shared" si="338"/>
        <v>957.56660383853546</v>
      </c>
      <c r="S164" s="165">
        <f t="shared" si="349"/>
        <v>2.0469472410465785E-2</v>
      </c>
      <c r="T164" s="165">
        <f t="shared" si="350"/>
        <v>4.9920381852534953E-4</v>
      </c>
      <c r="U164" s="165"/>
      <c r="V164" s="165"/>
      <c r="W164" s="159">
        <f t="shared" si="319"/>
        <v>74867.496547579489</v>
      </c>
      <c r="X164" s="163"/>
      <c r="Y164" s="167">
        <v>4091.4353268694053</v>
      </c>
      <c r="Z164" s="168">
        <v>4.3403492377666955E-2</v>
      </c>
      <c r="AA164" s="76">
        <f t="shared" si="343"/>
        <v>1.0585123396335844E-3</v>
      </c>
      <c r="AB164" s="168"/>
      <c r="AC164" s="168"/>
      <c r="AD164" s="163">
        <f t="shared" si="355"/>
        <v>228650.37848108367</v>
      </c>
      <c r="AE164" s="168">
        <f t="shared" si="351"/>
        <v>1.4687563515966028E-2</v>
      </c>
      <c r="AF164" s="163"/>
      <c r="AG164" s="163"/>
      <c r="AH164" s="163"/>
      <c r="AI164" s="163"/>
      <c r="AJ164" s="116">
        <f t="shared" si="352"/>
        <v>365.523623483449</v>
      </c>
      <c r="AK164" s="114">
        <f>+AV164/$AX$14</f>
        <v>1.7782582653608599E-2</v>
      </c>
      <c r="AL164" s="115">
        <f t="shared" si="339"/>
        <v>0.27472078792401317</v>
      </c>
      <c r="AM164" s="115">
        <f t="shared" si="340"/>
        <v>0.3978470116793742</v>
      </c>
      <c r="AN164" s="115">
        <f t="shared" si="341"/>
        <v>0.32743220039661253</v>
      </c>
      <c r="AO164" s="115">
        <f t="shared" si="344"/>
        <v>2.2657238486189255E-2</v>
      </c>
      <c r="AP164" s="166">
        <f t="shared" si="356"/>
        <v>116.23795899990888</v>
      </c>
      <c r="AQ164" s="168">
        <f t="shared" si="357"/>
        <v>2.2657238486189162E-2</v>
      </c>
      <c r="AR164" s="69">
        <f>+AD164/$AF$14</f>
        <v>2.4387722776387379E-2</v>
      </c>
      <c r="AS164" s="169">
        <f t="shared" si="354"/>
        <v>5.5255845107967608E-4</v>
      </c>
      <c r="AT164" s="115"/>
      <c r="AU164" s="115"/>
      <c r="AV164" s="113">
        <f>IFERROR(INDEX('Total Customers'!$F$7:$AB$91,MATCH($C164,'Total Customers'!$D$7:$D$91,0),MATCH($G164,'Total Customers'!$F$5:$AB$5,0)),"NA")</f>
        <v>625542</v>
      </c>
      <c r="AW164" s="68">
        <f t="shared" si="287"/>
        <v>4.9949511149376291E-2</v>
      </c>
      <c r="AX164" s="114"/>
      <c r="AY164" s="114"/>
      <c r="AZ164" s="116">
        <v>8336812</v>
      </c>
      <c r="BA164" s="116"/>
      <c r="BB164" s="166"/>
      <c r="BC164" s="166"/>
      <c r="BD164" s="166"/>
      <c r="BE164" s="166"/>
      <c r="BF164" s="166"/>
      <c r="BG164" s="166"/>
      <c r="BH164" s="166"/>
      <c r="BI164" s="113"/>
      <c r="BJ164" s="113"/>
      <c r="BK164" s="113">
        <f>INDEX('Dist. Plant Gas Additions'!$F$7:$AE$91,MATCH($C164,'Dist. Plant Gas Additions'!$D$7:$D$91,0),MATCH(Calculation!$G164,'Dist. Plant Gas Additions'!$F$5:$AE$5,0))</f>
        <v>102421</v>
      </c>
      <c r="BL164" s="113">
        <f>INDEX('Gen. Plant Additions'!$F$7:$AE$91,MATCH($C164,'Gen. Plant Additions'!$D$7:$D$91,0),MATCH(Calculation!$G164,'Gen. Plant Additions'!$F$5:$AE$5,0))</f>
        <v>7953</v>
      </c>
      <c r="BM164" s="231">
        <f t="shared" si="320"/>
        <v>0.94644588071596958</v>
      </c>
      <c r="BN164" s="61">
        <f t="shared" si="358"/>
        <v>7527.0840893341065</v>
      </c>
      <c r="BO164" s="113"/>
      <c r="BP164" s="113"/>
      <c r="BQ164" s="113"/>
      <c r="BR164" s="113"/>
      <c r="BS164" s="113"/>
      <c r="BT164" s="113"/>
      <c r="BU164" s="113"/>
      <c r="BV164" s="113"/>
      <c r="BW164" s="113">
        <f>INDEX('Gross Dx Plant'!$E$7:$AD$91,MATCH($C164,'Gross Dx Plant'!$D$7:$D$91,0),MATCH(Calculation!$G164,'Gross Dx Plant'!$E$5:$AD$5,0))</f>
        <v>869974</v>
      </c>
      <c r="BX164" s="113">
        <f>INDEX('Gross Gen Plant'!$E$7:$AD$91,MATCH($C164,'Gross Gen Plant'!$D$7:$D$91,0),MATCH(Calculation!$G164,'Gross Gen Plant'!$E$5:$AD$5,0))</f>
        <v>49227</v>
      </c>
      <c r="BY164" s="113">
        <f t="shared" si="313"/>
        <v>919201</v>
      </c>
      <c r="BZ164" s="113"/>
      <c r="CA164" s="116">
        <v>2009</v>
      </c>
      <c r="CB164" s="113"/>
      <c r="CC164" s="113"/>
      <c r="CD164" s="113"/>
      <c r="CE164" s="175"/>
      <c r="CF164" s="113">
        <f t="shared" si="321"/>
        <v>110374</v>
      </c>
      <c r="CG164" s="113">
        <f t="shared" si="322"/>
        <v>200.33737326346994</v>
      </c>
      <c r="CH164" s="178">
        <v>0.93567251461988299</v>
      </c>
      <c r="CI164" s="61">
        <f>+CI153*CH164+CG154*CH163+CG155*CH162+CG156*CH161+CG157*CH160+CG158*CH159+CG159*CH158+CG160*CH157+CG161*CH156+CG162*CH155+CG163*CH154+CG164</f>
        <v>4091.4353268694053</v>
      </c>
      <c r="CJ164" s="114">
        <f t="shared" si="323"/>
        <v>4.3403492377666955E-2</v>
      </c>
      <c r="CK164" s="114"/>
      <c r="CL164" s="169">
        <f t="shared" si="324"/>
        <v>6.7779093383696738E-3</v>
      </c>
      <c r="CM164" s="169">
        <f t="shared" si="332"/>
        <v>6.5705683323501974E-3</v>
      </c>
      <c r="CN164" s="114">
        <f>VLOOKUP($H164,RoR!$E:$F,2,FALSE)</f>
        <v>5.3133333333333324E-2</v>
      </c>
      <c r="CO164" s="169">
        <v>7.7972502758210105E-3</v>
      </c>
      <c r="CP164" s="169">
        <f t="shared" si="330"/>
        <v>4.5336083057512314E-2</v>
      </c>
      <c r="CQ164" s="169">
        <f t="shared" si="333"/>
        <v>2.4331373276183427E-2</v>
      </c>
      <c r="CR164" s="169">
        <f t="shared" si="334"/>
        <v>6.3720160300892073E-2</v>
      </c>
      <c r="CS164" s="179">
        <f t="shared" si="325"/>
        <v>0.84940815000000003</v>
      </c>
      <c r="CT164" s="180">
        <f t="shared" si="326"/>
        <v>0.96515780330083989</v>
      </c>
      <c r="CU164" s="180">
        <f t="shared" si="327"/>
        <v>0.50448557089084056</v>
      </c>
      <c r="CV164" s="180">
        <f t="shared" si="328"/>
        <v>0.87391435735465484</v>
      </c>
      <c r="CW164" s="180">
        <f t="shared" si="329"/>
        <v>0.42551605393279146</v>
      </c>
      <c r="CX164" s="181">
        <f>INDEX('State Tax Lookup'!$D$7:$Z$91,MATCH(Calculation!$C164,'State Tax Lookup'!$B$7:$B$91,0),MATCH($H164,'State Tax Lookup'!$D$6:$Z$6,0))</f>
        <v>0.40700500000000001</v>
      </c>
      <c r="CY164" s="72">
        <v>0.37</v>
      </c>
      <c r="CZ164" s="70">
        <f t="shared" si="331"/>
        <v>19.110300570737053</v>
      </c>
      <c r="DA164" s="70">
        <v>17.478615056163342</v>
      </c>
      <c r="DB164" s="69">
        <f t="shared" si="335"/>
        <v>-4.19378867621608E-2</v>
      </c>
      <c r="DC164" s="111">
        <f>VLOOKUP($H164,RoR!$E:$F,2,FALSE)</f>
        <v>5.3133333333333324E-2</v>
      </c>
      <c r="DD164" s="216">
        <f>HLOOKUP($H164,'GDP-PI'!$D$8:$CQ$11,3,FALSE)</f>
        <v>7.7972502758210105E-3</v>
      </c>
      <c r="DE164" s="111">
        <f>VLOOKUP(H164,'HW Dx Data'!$E:$F,2,FALSE)</f>
        <v>550.94063679692806</v>
      </c>
      <c r="DF164" s="72">
        <f t="shared" si="342"/>
        <v>110.925</v>
      </c>
      <c r="DG164" s="69">
        <f t="shared" si="345"/>
        <v>2.7649425000884052E-2</v>
      </c>
      <c r="DH164" s="66">
        <f>HLOOKUP(H164,'GDP-PI'!$8:$9,2,FALSE)</f>
        <v>94.998999999999995</v>
      </c>
      <c r="DI164" s="69">
        <f t="shared" si="336"/>
        <v>7.7670088183096342E-3</v>
      </c>
      <c r="DO164" s="184"/>
      <c r="DP164" s="184"/>
      <c r="DQ164" s="184"/>
      <c r="DR164" s="184"/>
      <c r="DS164" s="184"/>
      <c r="DT164" s="184"/>
      <c r="DU164" s="184"/>
      <c r="DV164" s="184"/>
      <c r="DW164" s="184"/>
      <c r="EB164"/>
    </row>
    <row r="165" spans="1:132" s="160" customFormat="1" ht="21">
      <c r="A165" s="160" t="s">
        <v>169</v>
      </c>
      <c r="B165" s="161" t="s">
        <v>169</v>
      </c>
      <c r="C165" s="161">
        <v>4057111</v>
      </c>
      <c r="D165" s="161" t="s">
        <v>164</v>
      </c>
      <c r="E165" s="161" t="s">
        <v>3</v>
      </c>
      <c r="F165" s="161"/>
      <c r="G165" s="161" t="s">
        <v>126</v>
      </c>
      <c r="H165" s="162">
        <v>2010</v>
      </c>
      <c r="I165" s="163"/>
      <c r="J165" s="159">
        <f>IFERROR(INDEX('Labor Expenditures'!$F$7:$X$91,MATCH($C165,'Labor Expenditures'!$D$7:$D$91,0),MATCH($G165,'Labor Expenditures'!$F$5:$X$5,0)),"NA")</f>
        <v>60317.766891114254</v>
      </c>
      <c r="K165" s="159">
        <f t="shared" si="337"/>
        <v>515.8671532274044</v>
      </c>
      <c r="L165" s="165">
        <f t="shared" si="346"/>
        <v>-9.3245796018297272E-2</v>
      </c>
      <c r="M165" s="76">
        <f t="shared" si="347"/>
        <v>-2.1863195779811689E-3</v>
      </c>
      <c r="N165" s="62">
        <f t="shared" si="353"/>
        <v>97.460852978893087</v>
      </c>
      <c r="O165" s="96">
        <f t="shared" si="348"/>
        <v>-0.19443737225896537</v>
      </c>
      <c r="P165" s="96"/>
      <c r="Q165" s="159">
        <f>IFERROR(INDEX('Non-Labor Expenditures'!$F$7:$AB$91,MATCH($C165,'Non-Labor Expenditures'!$D$7:$D$91,0),MATCH($G165,'Non-Labor Expenditures'!$F$5:$AB$5,0)),"NA")</f>
        <v>87351.392263189264</v>
      </c>
      <c r="R165" s="159">
        <f t="shared" si="338"/>
        <v>908.87838041379337</v>
      </c>
      <c r="S165" s="165">
        <f t="shared" si="349"/>
        <v>-5.2183988478471097E-2</v>
      </c>
      <c r="T165" s="165">
        <f t="shared" si="350"/>
        <v>-1.2235498064195568E-3</v>
      </c>
      <c r="U165" s="165"/>
      <c r="V165" s="165"/>
      <c r="W165" s="159">
        <f t="shared" si="319"/>
        <v>80188.931538215169</v>
      </c>
      <c r="X165" s="163"/>
      <c r="Y165" s="167">
        <v>4210.5832305694585</v>
      </c>
      <c r="Z165" s="168">
        <v>2.8705328520246123E-2</v>
      </c>
      <c r="AA165" s="76">
        <f t="shared" si="343"/>
        <v>6.7304934287740269E-4</v>
      </c>
      <c r="AB165" s="168"/>
      <c r="AC165" s="168"/>
      <c r="AD165" s="163">
        <f t="shared" si="355"/>
        <v>227858.09069251869</v>
      </c>
      <c r="AE165" s="168">
        <f t="shared" si="351"/>
        <v>-3.4710794543721464E-3</v>
      </c>
      <c r="AF165" s="163"/>
      <c r="AG165" s="163"/>
      <c r="AH165" s="163"/>
      <c r="AI165" s="163"/>
      <c r="AJ165" s="116">
        <f t="shared" si="352"/>
        <v>347.43892503227806</v>
      </c>
      <c r="AK165" s="114">
        <f>+AV165/$AX$15</f>
        <v>1.8541361200119035E-2</v>
      </c>
      <c r="AL165" s="115">
        <f t="shared" si="339"/>
        <v>0.26471637108778195</v>
      </c>
      <c r="AM165" s="115">
        <f t="shared" si="340"/>
        <v>0.38335874753319565</v>
      </c>
      <c r="AN165" s="115">
        <f t="shared" si="341"/>
        <v>0.35192488137902239</v>
      </c>
      <c r="AO165" s="115">
        <f t="shared" si="344"/>
        <v>-3.5782755708521172E-2</v>
      </c>
      <c r="AP165" s="166">
        <f t="shared" si="356"/>
        <v>112.15218065825218</v>
      </c>
      <c r="AQ165" s="168">
        <f t="shared" si="357"/>
        <v>-3.5782755708521137E-2</v>
      </c>
      <c r="AR165" s="69">
        <f>+AD165/$AF$15</f>
        <v>2.3446843411065475E-2</v>
      </c>
      <c r="AS165" s="169">
        <f t="shared" si="354"/>
        <v>-8.3899266991410433E-4</v>
      </c>
      <c r="AT165" s="115"/>
      <c r="AU165" s="115"/>
      <c r="AV165" s="113">
        <f>IFERROR(INDEX('Total Customers'!$F$7:$AB$91,MATCH($C165,'Total Customers'!$D$7:$D$91,0),MATCH($G165,'Total Customers'!$F$5:$AB$5,0)),"NA")</f>
        <v>655822</v>
      </c>
      <c r="AW165" s="68">
        <f t="shared" si="287"/>
        <v>4.727093672519015E-2</v>
      </c>
      <c r="AX165" s="114"/>
      <c r="AY165" s="114"/>
      <c r="AZ165" s="116">
        <v>8403441</v>
      </c>
      <c r="BA165" s="116"/>
      <c r="BB165" s="166"/>
      <c r="BC165" s="166"/>
      <c r="BD165" s="166"/>
      <c r="BE165" s="166"/>
      <c r="BF165" s="166"/>
      <c r="BG165" s="166"/>
      <c r="BH165" s="166"/>
      <c r="BI165" s="113"/>
      <c r="BJ165" s="113"/>
      <c r="BK165" s="113">
        <f>INDEX('Dist. Plant Gas Additions'!$F$7:$AE$91,MATCH($C165,'Dist. Plant Gas Additions'!$D$7:$D$91,0),MATCH(Calculation!$G165,'Dist. Plant Gas Additions'!$F$5:$AE$5,0))</f>
        <v>82414</v>
      </c>
      <c r="BL165" s="113">
        <f>INDEX('Gen. Plant Additions'!$F$7:$AE$91,MATCH($C165,'Gen. Plant Additions'!$D$7:$D$91,0),MATCH(Calculation!$G165,'Gen. Plant Additions'!$F$5:$AE$5,0))</f>
        <v>1581</v>
      </c>
      <c r="BM165" s="231">
        <f t="shared" si="320"/>
        <v>0.9517965346146523</v>
      </c>
      <c r="BN165" s="61">
        <f t="shared" si="358"/>
        <v>1504.7903212257652</v>
      </c>
      <c r="BO165" s="113"/>
      <c r="BP165" s="113"/>
      <c r="BQ165" s="113"/>
      <c r="BR165" s="113"/>
      <c r="BS165" s="113"/>
      <c r="BT165" s="113"/>
      <c r="BU165" s="113"/>
      <c r="BV165" s="113"/>
      <c r="BW165" s="113">
        <f>INDEX('Gross Dx Plant'!$E$7:$AD$91,MATCH($C165,'Gross Dx Plant'!$D$7:$D$91,0),MATCH(Calculation!$G165,'Gross Dx Plant'!$E$5:$AD$5,0))</f>
        <v>1019751</v>
      </c>
      <c r="BX165" s="113">
        <f>INDEX('Gross Gen Plant'!$E$7:$AD$91,MATCH($C165,'Gross Gen Plant'!$D$7:$D$91,0),MATCH(Calculation!$G165,'Gross Gen Plant'!$E$5:$AD$5,0))</f>
        <v>51645</v>
      </c>
      <c r="BY165" s="113">
        <f t="shared" si="313"/>
        <v>1071396</v>
      </c>
      <c r="BZ165" s="113"/>
      <c r="CA165" s="116">
        <v>2010</v>
      </c>
      <c r="CB165" s="113"/>
      <c r="CC165" s="113"/>
      <c r="CD165" s="113"/>
      <c r="CE165" s="175"/>
      <c r="CF165" s="113">
        <f t="shared" si="321"/>
        <v>83995</v>
      </c>
      <c r="CG165" s="113">
        <f t="shared" si="322"/>
        <v>147.62135261159926</v>
      </c>
      <c r="CH165" s="178">
        <v>0.9285714285714286</v>
      </c>
      <c r="CI165" s="61">
        <f>+CI153*CH165+CG154*CH164+CG155*CH163+CG156*CH162+CG157*CH161+CG158*CH160+CG159*CH159+CG160*CH158+CG161*CH157+CG162*CH156+CG163*CH155+CG164*CH154+CG165</f>
        <v>4210.5832305694585</v>
      </c>
      <c r="CJ165" s="114">
        <f t="shared" si="323"/>
        <v>2.8705328520246123E-2</v>
      </c>
      <c r="CK165" s="114"/>
      <c r="CL165" s="169">
        <f t="shared" si="324"/>
        <v>6.959281190284103E-3</v>
      </c>
      <c r="CM165" s="169">
        <f t="shared" si="332"/>
        <v>6.7702380277511248E-3</v>
      </c>
      <c r="CN165" s="114">
        <f>VLOOKUP($H165,RoR!$E:$F,2,FALSE)</f>
        <v>4.9433333333333322E-2</v>
      </c>
      <c r="CO165" s="169">
        <v>1.1684333519300205E-2</v>
      </c>
      <c r="CP165" s="169">
        <f t="shared" si="330"/>
        <v>3.7748999814033117E-2</v>
      </c>
      <c r="CQ165" s="169">
        <f t="shared" si="333"/>
        <v>2.4131703580782499E-2</v>
      </c>
      <c r="CR165" s="169">
        <f t="shared" si="334"/>
        <v>4.7937530248493419E-2</v>
      </c>
      <c r="CS165" s="179">
        <f t="shared" si="325"/>
        <v>0.84940815000000003</v>
      </c>
      <c r="CT165" s="180">
        <f t="shared" si="326"/>
        <v>1.037398205301105</v>
      </c>
      <c r="CU165" s="180">
        <f t="shared" si="327"/>
        <v>0.46926837491571133</v>
      </c>
      <c r="CV165" s="180">
        <f t="shared" si="328"/>
        <v>0.8548537519972772</v>
      </c>
      <c r="CW165" s="180">
        <f t="shared" si="329"/>
        <v>0.41615833911547367</v>
      </c>
      <c r="CX165" s="181">
        <f>INDEX('State Tax Lookup'!$D$7:$Z$91,MATCH(Calculation!$C165,'State Tax Lookup'!$B$7:$B$91,0),MATCH($H165,'State Tax Lookup'!$D$6:$Z$6,0))</f>
        <v>0.40700500000000001</v>
      </c>
      <c r="CY165" s="72">
        <v>0.37</v>
      </c>
      <c r="CZ165" s="70">
        <f t="shared" si="331"/>
        <v>19.599217666131942</v>
      </c>
      <c r="DA165" s="70">
        <v>17.956102603965455</v>
      </c>
      <c r="DB165" s="69">
        <f t="shared" si="335"/>
        <v>2.5262163865076265E-2</v>
      </c>
      <c r="DC165" s="111">
        <f>VLOOKUP($H165,RoR!$E:$F,2,FALSE)</f>
        <v>4.9433333333333322E-2</v>
      </c>
      <c r="DD165" s="216">
        <f>HLOOKUP($H165,'GDP-PI'!$D$8:$CQ$11,3,FALSE)</f>
        <v>1.1684333519300205E-2</v>
      </c>
      <c r="DE165" s="111">
        <f>VLOOKUP(H165,'HW Dx Data'!$E:$F,2,FALSE)</f>
        <v>568.98950262971744</v>
      </c>
      <c r="DF165" s="72">
        <f t="shared" si="342"/>
        <v>116.925</v>
      </c>
      <c r="DG165" s="69">
        <f t="shared" si="345"/>
        <v>5.2678406346976722E-2</v>
      </c>
      <c r="DH165" s="66">
        <f>HLOOKUP(H165,'GDP-PI'!$8:$9,2,FALSE)</f>
        <v>96.108999999999995</v>
      </c>
      <c r="DI165" s="69">
        <f t="shared" si="336"/>
        <v>1.1616598807150427E-2</v>
      </c>
      <c r="DO165" s="184"/>
      <c r="DP165" s="184"/>
      <c r="DQ165" s="184"/>
      <c r="DR165" s="184"/>
      <c r="DS165" s="184"/>
      <c r="DT165" s="184"/>
      <c r="DU165" s="184"/>
      <c r="DV165" s="184"/>
      <c r="DW165" s="184"/>
      <c r="EB165"/>
    </row>
    <row r="166" spans="1:132" s="160" customFormat="1" ht="21">
      <c r="A166" s="160" t="s">
        <v>169</v>
      </c>
      <c r="B166" s="161" t="s">
        <v>169</v>
      </c>
      <c r="C166" s="161">
        <v>4057111</v>
      </c>
      <c r="D166" s="161" t="s">
        <v>164</v>
      </c>
      <c r="E166" s="161" t="s">
        <v>3</v>
      </c>
      <c r="F166" s="161"/>
      <c r="G166" s="161" t="s">
        <v>127</v>
      </c>
      <c r="H166" s="162">
        <v>2011</v>
      </c>
      <c r="I166" s="163"/>
      <c r="J166" s="159">
        <f>IFERROR(INDEX('Labor Expenditures'!$F$7:$X$91,MATCH($C166,'Labor Expenditures'!$D$7:$D$91,0),MATCH($G166,'Labor Expenditures'!$F$5:$X$5,0)),"NA")</f>
        <v>63731.618385797934</v>
      </c>
      <c r="K166" s="159">
        <f t="shared" si="337"/>
        <v>527.25227206451234</v>
      </c>
      <c r="L166" s="165">
        <f t="shared" si="346"/>
        <v>2.1829851274523731E-2</v>
      </c>
      <c r="M166" s="76">
        <f t="shared" si="347"/>
        <v>5.2222676085715396E-4</v>
      </c>
      <c r="N166" s="62">
        <f t="shared" si="353"/>
        <v>116.92262229652468</v>
      </c>
      <c r="O166" s="96">
        <f t="shared" si="348"/>
        <v>0.18206157864868863</v>
      </c>
      <c r="P166" s="96"/>
      <c r="Q166" s="159">
        <f>IFERROR(INDEX('Non-Labor Expenditures'!$F$7:$AB$91,MATCH($C166,'Non-Labor Expenditures'!$D$7:$D$91,0),MATCH($G166,'Non-Labor Expenditures'!$F$5:$AB$5,0)),"NA")</f>
        <v>92295.286846997522</v>
      </c>
      <c r="R166" s="159">
        <f t="shared" si="338"/>
        <v>940.71354010719915</v>
      </c>
      <c r="S166" s="165">
        <f t="shared" si="349"/>
        <v>3.442738222318318E-2</v>
      </c>
      <c r="T166" s="165">
        <f t="shared" si="350"/>
        <v>8.2359243208340947E-4</v>
      </c>
      <c r="U166" s="165"/>
      <c r="V166" s="165"/>
      <c r="W166" s="159">
        <f t="shared" si="319"/>
        <v>88127.52800509856</v>
      </c>
      <c r="X166" s="163"/>
      <c r="Y166" s="167">
        <v>4330.5744381541699</v>
      </c>
      <c r="Z166" s="168">
        <v>2.809902523961727E-2</v>
      </c>
      <c r="AA166" s="76">
        <f t="shared" si="343"/>
        <v>6.7220169068462374E-4</v>
      </c>
      <c r="AB166" s="168"/>
      <c r="AC166" s="168"/>
      <c r="AD166" s="163">
        <f t="shared" si="355"/>
        <v>244154.43323789403</v>
      </c>
      <c r="AE166" s="168">
        <f t="shared" si="351"/>
        <v>6.9077922253911586E-2</v>
      </c>
      <c r="AF166" s="163"/>
      <c r="AG166" s="163"/>
      <c r="AH166" s="163"/>
      <c r="AI166" s="163"/>
      <c r="AJ166" s="116">
        <f t="shared" si="352"/>
        <v>369.05752331284754</v>
      </c>
      <c r="AK166" s="114">
        <f>+AV166/$AX$16</f>
        <v>1.8613397255756101E-2</v>
      </c>
      <c r="AL166" s="115">
        <f t="shared" si="339"/>
        <v>0.26102994543498814</v>
      </c>
      <c r="AM166" s="115">
        <f t="shared" si="340"/>
        <v>0.37802011465861363</v>
      </c>
      <c r="AN166" s="115">
        <f t="shared" si="341"/>
        <v>0.36094993990639818</v>
      </c>
      <c r="AO166" s="115">
        <f t="shared" si="344"/>
        <v>2.8860166299568578E-2</v>
      </c>
      <c r="AP166" s="166">
        <f t="shared" si="356"/>
        <v>115.4360701121357</v>
      </c>
      <c r="AQ166" s="168">
        <f t="shared" si="357"/>
        <v>2.8860166299568522E-2</v>
      </c>
      <c r="AR166" s="69">
        <f>+AD166/$AF$16</f>
        <v>2.3922598202334638E-2</v>
      </c>
      <c r="AS166" s="169">
        <f t="shared" si="354"/>
        <v>6.9041016243713668E-4</v>
      </c>
      <c r="AT166" s="115"/>
      <c r="AU166" s="115"/>
      <c r="AV166" s="113">
        <f>IFERROR(INDEX('Total Customers'!$F$7:$AB$91,MATCH($C166,'Total Customers'!$D$7:$D$91,0),MATCH($G166,'Total Customers'!$F$5:$AB$5,0)),"NA")</f>
        <v>661562</v>
      </c>
      <c r="AW166" s="68">
        <f t="shared" si="287"/>
        <v>8.7142948814895125E-3</v>
      </c>
      <c r="AX166" s="114"/>
      <c r="AY166" s="114"/>
      <c r="AZ166" s="116">
        <v>8437841</v>
      </c>
      <c r="BA166" s="116"/>
      <c r="BB166" s="166"/>
      <c r="BC166" s="166"/>
      <c r="BD166" s="166"/>
      <c r="BE166" s="166"/>
      <c r="BF166" s="166"/>
      <c r="BG166" s="166"/>
      <c r="BH166" s="166"/>
      <c r="BI166" s="113"/>
      <c r="BJ166" s="113"/>
      <c r="BK166" s="113">
        <f>INDEX('Dist. Plant Gas Additions'!$F$7:$AE$91,MATCH($C166,'Dist. Plant Gas Additions'!$D$7:$D$91,0),MATCH(Calculation!$G166,'Dist. Plant Gas Additions'!$F$5:$AE$5,0))</f>
        <v>88772</v>
      </c>
      <c r="BL166" s="113">
        <f>INDEX('Gen. Plant Additions'!$F$7:$AE$91,MATCH($C166,'Gen. Plant Additions'!$D$7:$D$91,0),MATCH(Calculation!$G166,'Gen. Plant Additions'!$F$5:$AE$5,0))</f>
        <v>3093</v>
      </c>
      <c r="BM166" s="231">
        <f t="shared" si="320"/>
        <v>0.95394548720026473</v>
      </c>
      <c r="BN166" s="61">
        <f t="shared" si="358"/>
        <v>2950.5533919104187</v>
      </c>
      <c r="BO166" s="113"/>
      <c r="BP166" s="113"/>
      <c r="BQ166" s="113"/>
      <c r="BR166" s="113"/>
      <c r="BS166" s="113"/>
      <c r="BT166" s="113"/>
      <c r="BU166" s="113"/>
      <c r="BV166" s="113"/>
      <c r="BW166" s="113">
        <f>INDEX('Gross Dx Plant'!$E$7:$AD$91,MATCH($C166,'Gross Dx Plant'!$D$7:$D$91,0),MATCH(Calculation!$G166,'Gross Dx Plant'!$E$5:$AD$5,0))</f>
        <v>1104252</v>
      </c>
      <c r="BX166" s="113">
        <f>INDEX('Gross Gen Plant'!$E$7:$AD$91,MATCH($C166,'Gross Gen Plant'!$D$7:$D$91,0),MATCH(Calculation!$G166,'Gross Gen Plant'!$E$5:$AD$5,0))</f>
        <v>53311</v>
      </c>
      <c r="BY166" s="113">
        <f t="shared" si="313"/>
        <v>1157563</v>
      </c>
      <c r="BZ166" s="113"/>
      <c r="CA166" s="116">
        <v>2011</v>
      </c>
      <c r="CB166" s="113"/>
      <c r="CC166" s="113"/>
      <c r="CD166" s="113"/>
      <c r="CE166" s="175"/>
      <c r="CF166" s="113">
        <f t="shared" si="321"/>
        <v>91865</v>
      </c>
      <c r="CG166" s="113">
        <f t="shared" si="322"/>
        <v>150.20165687371772</v>
      </c>
      <c r="CH166" s="178">
        <v>0.92121212121212126</v>
      </c>
      <c r="CI166" s="61">
        <f>+CI153*CH166+CG154*CH165+CG155*CH164+CG156*CH163+CG157*CH162+CG158*CH161+CG159*CH160+CG160*CH159+CG161*CH158+CG162*CH157+CG163*CH156+CG164*CH155+CG165*CH154+CG166</f>
        <v>4330.5744381541699</v>
      </c>
      <c r="CJ166" s="114">
        <f t="shared" si="323"/>
        <v>2.809902523961727E-2</v>
      </c>
      <c r="CK166" s="114"/>
      <c r="CL166" s="169">
        <f t="shared" si="324"/>
        <v>7.1748847213549743E-3</v>
      </c>
      <c r="CM166" s="169">
        <f t="shared" si="332"/>
        <v>6.9706917500029176E-3</v>
      </c>
      <c r="CN166" s="114">
        <f>VLOOKUP($H166,RoR!$E:$F,2,FALSE)</f>
        <v>4.6391666666666664E-2</v>
      </c>
      <c r="CO166" s="169">
        <v>2.0840920205183799E-2</v>
      </c>
      <c r="CP166" s="169">
        <f t="shared" si="330"/>
        <v>2.5550746461482865E-2</v>
      </c>
      <c r="CQ166" s="169">
        <f t="shared" si="333"/>
        <v>2.3931249858530707E-2</v>
      </c>
      <c r="CR166" s="169">
        <f t="shared" si="334"/>
        <v>2.4810540821321614E-2</v>
      </c>
      <c r="CS166" s="179">
        <f t="shared" si="325"/>
        <v>0.84940815000000003</v>
      </c>
      <c r="CT166" s="180">
        <f t="shared" si="326"/>
        <v>1.1054151524782025</v>
      </c>
      <c r="CU166" s="180">
        <f t="shared" si="327"/>
        <v>0.43611011316687626</v>
      </c>
      <c r="CV166" s="180">
        <f t="shared" si="328"/>
        <v>0.83698442246886229</v>
      </c>
      <c r="CW166" s="180">
        <f t="shared" si="329"/>
        <v>0.40349573304423936</v>
      </c>
      <c r="CX166" s="181">
        <f>INDEX('State Tax Lookup'!$D$7:$Z$91,MATCH(Calculation!$C166,'State Tax Lookup'!$B$7:$B$91,0),MATCH($H166,'State Tax Lookup'!$D$6:$Z$6,0))</f>
        <v>0.40700500000000001</v>
      </c>
      <c r="CY166" s="72">
        <v>0.37</v>
      </c>
      <c r="CZ166" s="70">
        <f t="shared" si="331"/>
        <v>20.930004984886569</v>
      </c>
      <c r="DA166" s="70">
        <v>19.146574949201604</v>
      </c>
      <c r="DB166" s="69">
        <f t="shared" si="335"/>
        <v>6.569412418075031E-2</v>
      </c>
      <c r="DC166" s="111">
        <f>VLOOKUP($H166,RoR!$E:$F,2,FALSE)</f>
        <v>4.6391666666666664E-2</v>
      </c>
      <c r="DD166" s="216">
        <f>HLOOKUP($H166,'GDP-PI'!$D$8:$CQ$11,3,FALSE)</f>
        <v>2.0840920205183799E-2</v>
      </c>
      <c r="DE166" s="111">
        <f>VLOOKUP(H166,'HW Dx Data'!$E:$F,2,FALSE)</f>
        <v>611.61109612283201</v>
      </c>
      <c r="DF166" s="72">
        <f t="shared" si="342"/>
        <v>120.875</v>
      </c>
      <c r="DG166" s="69">
        <f t="shared" si="345"/>
        <v>3.3224250161508609E-2</v>
      </c>
      <c r="DH166" s="66">
        <f>HLOOKUP(H166,'GDP-PI'!$8:$9,2,FALSE)</f>
        <v>98.111999999999995</v>
      </c>
      <c r="DI166" s="69">
        <f t="shared" si="336"/>
        <v>2.0626719212849295E-2</v>
      </c>
      <c r="DO166" s="184"/>
      <c r="DP166" s="184"/>
      <c r="DQ166" s="184"/>
      <c r="DR166" s="184"/>
      <c r="DS166" s="184"/>
      <c r="DT166" s="184"/>
      <c r="DU166" s="184"/>
      <c r="DV166" s="184"/>
      <c r="DW166" s="184"/>
      <c r="EB166"/>
    </row>
    <row r="167" spans="1:132" s="160" customFormat="1" ht="21">
      <c r="A167" s="160" t="s">
        <v>169</v>
      </c>
      <c r="B167" s="161" t="s">
        <v>169</v>
      </c>
      <c r="C167" s="161">
        <v>4057111</v>
      </c>
      <c r="D167" s="161" t="s">
        <v>164</v>
      </c>
      <c r="E167" s="161" t="s">
        <v>3</v>
      </c>
      <c r="F167" s="161"/>
      <c r="G167" s="161" t="s">
        <v>128</v>
      </c>
      <c r="H167" s="162">
        <v>2012</v>
      </c>
      <c r="I167" s="163"/>
      <c r="J167" s="159">
        <f>IFERROR(INDEX('Labor Expenditures'!$F$7:$X$91,MATCH($C167,'Labor Expenditures'!$D$7:$D$91,0),MATCH($G167,'Labor Expenditures'!$F$5:$X$5,0)),"NA")</f>
        <v>55368.13265334582</v>
      </c>
      <c r="K167" s="159">
        <f t="shared" si="337"/>
        <v>443.65490908129658</v>
      </c>
      <c r="L167" s="165">
        <f t="shared" si="346"/>
        <v>-0.1726321001911004</v>
      </c>
      <c r="M167" s="76">
        <f t="shared" si="347"/>
        <v>-3.7706130021068662E-3</v>
      </c>
      <c r="N167" s="62">
        <f t="shared" si="353"/>
        <v>114.17274769681919</v>
      </c>
      <c r="O167" s="96">
        <f t="shared" si="348"/>
        <v>-2.3799736004465083E-2</v>
      </c>
      <c r="P167" s="96"/>
      <c r="Q167" s="159">
        <f>IFERROR(INDEX('Non-Labor Expenditures'!$F$7:$AB$91,MATCH($C167,'Non-Labor Expenditures'!$D$7:$D$91,0),MATCH($G167,'Non-Labor Expenditures'!$F$5:$AB$5,0)),"NA")</f>
        <v>80183.397422745067</v>
      </c>
      <c r="R167" s="159">
        <f t="shared" si="338"/>
        <v>801.83397422745065</v>
      </c>
      <c r="S167" s="165">
        <f t="shared" si="349"/>
        <v>-0.15973710076797396</v>
      </c>
      <c r="T167" s="165">
        <f t="shared" si="350"/>
        <v>-3.4889617192158081E-3</v>
      </c>
      <c r="U167" s="165"/>
      <c r="V167" s="165"/>
      <c r="W167" s="159">
        <f t="shared" si="319"/>
        <v>98026.458171565508</v>
      </c>
      <c r="X167" s="163"/>
      <c r="Y167" s="167">
        <v>4438.9822870043772</v>
      </c>
      <c r="Z167" s="168">
        <v>2.4724937615842064E-2</v>
      </c>
      <c r="AA167" s="76">
        <f t="shared" si="343"/>
        <v>5.4003960530731802E-4</v>
      </c>
      <c r="AB167" s="168"/>
      <c r="AC167" s="168"/>
      <c r="AD167" s="163">
        <f t="shared" si="355"/>
        <v>233577.98824765638</v>
      </c>
      <c r="AE167" s="168">
        <f t="shared" si="351"/>
        <v>-4.4284930065554E-2</v>
      </c>
      <c r="AF167" s="163"/>
      <c r="AG167" s="163"/>
      <c r="AH167" s="163"/>
      <c r="AI167" s="163"/>
      <c r="AJ167" s="116">
        <f t="shared" si="352"/>
        <v>349.09748935145797</v>
      </c>
      <c r="AK167" s="114">
        <f>+AV167/$AX$17</f>
        <v>1.8735013152906561E-2</v>
      </c>
      <c r="AL167" s="115">
        <f t="shared" si="339"/>
        <v>0.23704345203384702</v>
      </c>
      <c r="AM167" s="115">
        <f t="shared" si="340"/>
        <v>0.34328319215477099</v>
      </c>
      <c r="AN167" s="115">
        <f t="shared" si="341"/>
        <v>0.41967335581138204</v>
      </c>
      <c r="AO167" s="115">
        <f t="shared" si="344"/>
        <v>-9.0950746685494521E-2</v>
      </c>
      <c r="AP167" s="166">
        <f t="shared" si="356"/>
        <v>105.40036767860485</v>
      </c>
      <c r="AQ167" s="168">
        <f t="shared" si="357"/>
        <v>-9.0950746685494577E-2</v>
      </c>
      <c r="AR167" s="69">
        <f>+AD167/$AF$17</f>
        <v>2.1841899611560484E-2</v>
      </c>
      <c r="AS167" s="169">
        <f t="shared" si="354"/>
        <v>-1.9865370787010401E-3</v>
      </c>
      <c r="AT167" s="115"/>
      <c r="AU167" s="115"/>
      <c r="AV167" s="113">
        <f>IFERROR(INDEX('Total Customers'!$F$7:$AB$91,MATCH($C167,'Total Customers'!$D$7:$D$91,0),MATCH($G167,'Total Customers'!$F$5:$AB$5,0)),"NA")</f>
        <v>669091</v>
      </c>
      <c r="AW167" s="68">
        <f t="shared" si="287"/>
        <v>1.1316369251699036E-2</v>
      </c>
      <c r="AX167" s="114"/>
      <c r="AY167" s="114"/>
      <c r="AZ167" s="116">
        <v>8485072</v>
      </c>
      <c r="BA167" s="116"/>
      <c r="BB167" s="166"/>
      <c r="BC167" s="166"/>
      <c r="BD167" s="166"/>
      <c r="BE167" s="166"/>
      <c r="BF167" s="166"/>
      <c r="BG167" s="166"/>
      <c r="BH167" s="166"/>
      <c r="BI167" s="113"/>
      <c r="BJ167" s="113"/>
      <c r="BK167" s="113">
        <f>INDEX('Dist. Plant Gas Additions'!$F$7:$AE$91,MATCH($C167,'Dist. Plant Gas Additions'!$D$7:$D$91,0),MATCH(Calculation!$G167,'Dist. Plant Gas Additions'!$F$5:$AE$5,0))</f>
        <v>91463</v>
      </c>
      <c r="BL167" s="113">
        <f>INDEX('Gen. Plant Additions'!$F$7:$AE$91,MATCH($C167,'Gen. Plant Additions'!$D$7:$D$91,0),MATCH(Calculation!$G167,'Gen. Plant Additions'!$F$5:$AE$5,0))</f>
        <v>2483</v>
      </c>
      <c r="BM167" s="231">
        <f t="shared" si="320"/>
        <v>0.95544564358915474</v>
      </c>
      <c r="BN167" s="61">
        <f t="shared" si="358"/>
        <v>2372.3715330318714</v>
      </c>
      <c r="BO167" s="113"/>
      <c r="BP167" s="113"/>
      <c r="BQ167" s="113"/>
      <c r="BR167" s="113"/>
      <c r="BS167" s="113"/>
      <c r="BT167" s="113"/>
      <c r="BU167" s="113"/>
      <c r="BV167" s="113"/>
      <c r="BW167" s="113">
        <f>INDEX('Gross Dx Plant'!$E$7:$AD$91,MATCH($C167,'Gross Dx Plant'!$D$7:$D$91,0),MATCH(Calculation!$G167,'Gross Dx Plant'!$E$5:$AD$5,0))</f>
        <v>1194008</v>
      </c>
      <c r="BX167" s="113">
        <f>INDEX('Gross Gen Plant'!$E$7:$AD$91,MATCH($C167,'Gross Gen Plant'!$D$7:$D$91,0),MATCH(Calculation!$G167,'Gross Gen Plant'!$E$5:$AD$5,0))</f>
        <v>55679</v>
      </c>
      <c r="BY167" s="113">
        <f t="shared" si="313"/>
        <v>1249687</v>
      </c>
      <c r="BZ167" s="113"/>
      <c r="CA167" s="116">
        <v>2012</v>
      </c>
      <c r="CB167" s="113"/>
      <c r="CC167" s="113"/>
      <c r="CD167" s="113"/>
      <c r="CE167" s="175"/>
      <c r="CF167" s="113">
        <f t="shared" si="321"/>
        <v>93946</v>
      </c>
      <c r="CG167" s="113">
        <f t="shared" si="322"/>
        <v>140.44444059904569</v>
      </c>
      <c r="CH167" s="178">
        <v>0.9135802469135802</v>
      </c>
      <c r="CI167" s="61">
        <f>+CI153*CH167+CG154*CH166+CG155*CH165+CG156*CH164+CG157*CH163+CG158*CH162+CG159*CH161+CG160*CH160+CG161*CH159+CG162*CH158+CG163*CH157+CG164*CH156+CG165*CH155+CG166*CH154+CG167</f>
        <v>4438.9822870043772</v>
      </c>
      <c r="CJ167" s="114">
        <f t="shared" si="323"/>
        <v>2.4724937615842064E-2</v>
      </c>
      <c r="CK167" s="114"/>
      <c r="CL167" s="169">
        <f t="shared" si="324"/>
        <v>7.3977695583714326E-3</v>
      </c>
      <c r="CM167" s="169">
        <f t="shared" si="332"/>
        <v>7.1773118233368358E-3</v>
      </c>
      <c r="CN167" s="114">
        <f>VLOOKUP($H167,RoR!$E:$F,2,FALSE)</f>
        <v>3.6733333333333333E-2</v>
      </c>
      <c r="CO167" s="169">
        <v>1.924331376386168E-2</v>
      </c>
      <c r="CP167" s="169">
        <f t="shared" si="330"/>
        <v>1.7490019569471653E-2</v>
      </c>
      <c r="CQ167" s="169">
        <f t="shared" si="333"/>
        <v>2.372462978519679E-2</v>
      </c>
      <c r="CR167" s="169">
        <f t="shared" si="334"/>
        <v>6.7122682943869583E-2</v>
      </c>
      <c r="CS167" s="179">
        <f t="shared" si="325"/>
        <v>0.84940815000000003</v>
      </c>
      <c r="CT167" s="180">
        <f t="shared" si="326"/>
        <v>1.3960631020522127</v>
      </c>
      <c r="CU167" s="180">
        <f t="shared" si="327"/>
        <v>0.29441923774954631</v>
      </c>
      <c r="CV167" s="180">
        <f t="shared" si="328"/>
        <v>0.76377954189366437</v>
      </c>
      <c r="CW167" s="180">
        <f t="shared" si="329"/>
        <v>0.31393465103033691</v>
      </c>
      <c r="CX167" s="181">
        <f>INDEX('State Tax Lookup'!$D$7:$Z$91,MATCH(Calculation!$C167,'State Tax Lookup'!$B$7:$B$91,0),MATCH($H167,'State Tax Lookup'!$D$6:$Z$6,0))</f>
        <v>0.40700500000000001</v>
      </c>
      <c r="CY167" s="72">
        <v>0.37</v>
      </c>
      <c r="CZ167" s="70">
        <f t="shared" si="331"/>
        <v>22.635901904355105</v>
      </c>
      <c r="DA167" s="70">
        <v>20.759737328210988</v>
      </c>
      <c r="DB167" s="69">
        <f t="shared" si="335"/>
        <v>7.8353451031396376E-2</v>
      </c>
      <c r="DC167" s="111">
        <f>VLOOKUP($H167,RoR!$E:$F,2,FALSE)</f>
        <v>3.6733333333333333E-2</v>
      </c>
      <c r="DD167" s="216">
        <f>HLOOKUP($H167,'GDP-PI'!$D$8:$CQ$11,3,FALSE)</f>
        <v>1.924331376386168E-2</v>
      </c>
      <c r="DE167" s="111">
        <f>VLOOKUP(H167,'HW Dx Data'!$E:$F,2,FALSE)</f>
        <v>668.91932211262167</v>
      </c>
      <c r="DF167" s="72">
        <f t="shared" si="342"/>
        <v>124.80000000000001</v>
      </c>
      <c r="DG167" s="69">
        <f t="shared" si="345"/>
        <v>3.1955502161869064E-2</v>
      </c>
      <c r="DH167" s="66">
        <f>HLOOKUP(H167,'GDP-PI'!$8:$9,2,FALSE)</f>
        <v>100</v>
      </c>
      <c r="DI167" s="69">
        <f t="shared" si="336"/>
        <v>1.9060502738742411E-2</v>
      </c>
      <c r="DO167" s="184"/>
      <c r="DP167" s="184"/>
      <c r="DQ167" s="184"/>
      <c r="DR167" s="184"/>
      <c r="DS167" s="184"/>
      <c r="DT167" s="184"/>
      <c r="DU167" s="184"/>
      <c r="DV167" s="184"/>
      <c r="DW167" s="184"/>
      <c r="EB167"/>
    </row>
    <row r="168" spans="1:132" s="160" customFormat="1" ht="21">
      <c r="A168" s="160" t="s">
        <v>169</v>
      </c>
      <c r="B168" s="161" t="s">
        <v>169</v>
      </c>
      <c r="C168" s="161">
        <v>4057111</v>
      </c>
      <c r="D168" s="161" t="s">
        <v>164</v>
      </c>
      <c r="E168" s="161" t="s">
        <v>3</v>
      </c>
      <c r="F168" s="161"/>
      <c r="G168" s="161" t="s">
        <v>129</v>
      </c>
      <c r="H168" s="162">
        <v>2013</v>
      </c>
      <c r="I168" s="163"/>
      <c r="J168" s="159">
        <f>IFERROR(INDEX('Labor Expenditures'!$F$7:$X$91,MATCH($C168,'Labor Expenditures'!$D$7:$D$91,0),MATCH($G168,'Labor Expenditures'!$F$5:$X$5,0)),"NA")</f>
        <v>68025.816273212113</v>
      </c>
      <c r="K168" s="159">
        <f t="shared" si="337"/>
        <v>536.48120089283998</v>
      </c>
      <c r="L168" s="165">
        <f t="shared" si="346"/>
        <v>0.18998449275042043</v>
      </c>
      <c r="M168" s="76">
        <f t="shared" si="347"/>
        <v>4.5444064068288362E-3</v>
      </c>
      <c r="N168" s="62">
        <f t="shared" si="353"/>
        <v>108.10069219062936</v>
      </c>
      <c r="O168" s="96">
        <f t="shared" si="348"/>
        <v>-5.4649504245126795E-2</v>
      </c>
      <c r="P168" s="96"/>
      <c r="Q168" s="159">
        <f>IFERROR(INDEX('Non-Labor Expenditures'!$F$7:$AB$91,MATCH($C168,'Non-Labor Expenditures'!$D$7:$D$91,0),MATCH($G168,'Non-Labor Expenditures'!$F$5:$AB$5,0)),"NA")</f>
        <v>98514.087433504872</v>
      </c>
      <c r="R168" s="159">
        <f t="shared" si="338"/>
        <v>967.9786135173855</v>
      </c>
      <c r="S168" s="165">
        <f t="shared" si="349"/>
        <v>0.18830842180170834</v>
      </c>
      <c r="T168" s="165">
        <f t="shared" si="350"/>
        <v>4.504314989643367E-3</v>
      </c>
      <c r="U168" s="165"/>
      <c r="V168" s="165"/>
      <c r="W168" s="159">
        <f t="shared" si="319"/>
        <v>98761.078735884439</v>
      </c>
      <c r="X168" s="163"/>
      <c r="Y168" s="167">
        <v>4501.5645900790933</v>
      </c>
      <c r="Z168" s="168">
        <v>1.3999887499719064E-2</v>
      </c>
      <c r="AA168" s="76">
        <f t="shared" si="343"/>
        <v>3.3487563920379736E-4</v>
      </c>
      <c r="AB168" s="168"/>
      <c r="AC168" s="168"/>
      <c r="AD168" s="163">
        <f t="shared" si="355"/>
        <v>265300.98244260141</v>
      </c>
      <c r="AE168" s="168">
        <f t="shared" si="351"/>
        <v>0.12734894615276035</v>
      </c>
      <c r="AF168" s="163"/>
      <c r="AG168" s="163"/>
      <c r="AH168" s="163"/>
      <c r="AI168" s="163"/>
      <c r="AJ168" s="116">
        <f t="shared" si="352"/>
        <v>391.80734675575178</v>
      </c>
      <c r="AK168" s="114">
        <f>+AV168/$AX$18</f>
        <v>1.8839021422900462E-2</v>
      </c>
      <c r="AL168" s="115">
        <f t="shared" si="339"/>
        <v>0.25640996745245631</v>
      </c>
      <c r="AM168" s="115">
        <f t="shared" si="340"/>
        <v>0.37132952364704741</v>
      </c>
      <c r="AN168" s="115">
        <f t="shared" si="341"/>
        <v>0.37226050890049633</v>
      </c>
      <c r="AO168" s="115">
        <f t="shared" si="344"/>
        <v>0.11970153766116147</v>
      </c>
      <c r="AP168" s="166">
        <f t="shared" si="356"/>
        <v>118.80311916412491</v>
      </c>
      <c r="AQ168" s="168">
        <f t="shared" si="357"/>
        <v>0.11970153766116143</v>
      </c>
      <c r="AR168" s="69">
        <f>+AD168/$AF$18</f>
        <v>2.3919880728364235E-2</v>
      </c>
      <c r="AS168" s="169">
        <f t="shared" si="354"/>
        <v>2.8632465038567808E-3</v>
      </c>
      <c r="AT168" s="115"/>
      <c r="AU168" s="115"/>
      <c r="AV168" s="113">
        <f>IFERROR(INDEX('Total Customers'!$F$7:$AB$91,MATCH($C168,'Total Customers'!$D$7:$D$91,0),MATCH($G168,'Total Customers'!$F$5:$AB$5,0)),"NA")</f>
        <v>677121</v>
      </c>
      <c r="AW168" s="68">
        <f t="shared" si="287"/>
        <v>1.1929911837727489E-2</v>
      </c>
      <c r="AX168" s="114"/>
      <c r="AY168" s="114"/>
      <c r="AZ168" s="116">
        <v>8534921</v>
      </c>
      <c r="BA168" s="116"/>
      <c r="BB168" s="166"/>
      <c r="BC168" s="166"/>
      <c r="BD168" s="166"/>
      <c r="BE168" s="166"/>
      <c r="BF168" s="166"/>
      <c r="BG168" s="166"/>
      <c r="BH168" s="166"/>
      <c r="BI168" s="113"/>
      <c r="BJ168" s="113"/>
      <c r="BK168" s="113">
        <f>INDEX('Dist. Plant Gas Additions'!$F$7:$AE$91,MATCH($C168,'Dist. Plant Gas Additions'!$D$7:$D$91,0),MATCH(Calculation!$G168,'Dist. Plant Gas Additions'!$F$5:$AE$5,0))</f>
        <v>56659</v>
      </c>
      <c r="BL168" s="113">
        <f>INDEX('Gen. Plant Additions'!$F$7:$AE$91,MATCH($C168,'Gen. Plant Additions'!$D$7:$D$91,0),MATCH(Calculation!$G168,'Gen. Plant Additions'!$F$5:$AE$5,0))</f>
        <v>7330</v>
      </c>
      <c r="BM168" s="231">
        <f t="shared" si="320"/>
        <v>0.95173462613287219</v>
      </c>
      <c r="BN168" s="61">
        <f t="shared" si="358"/>
        <v>6976.2148095539533</v>
      </c>
      <c r="BO168" s="113"/>
      <c r="BP168" s="113"/>
      <c r="BQ168" s="113"/>
      <c r="BR168" s="113"/>
      <c r="BS168" s="113"/>
      <c r="BT168" s="113"/>
      <c r="BU168" s="113"/>
      <c r="BV168" s="113"/>
      <c r="BW168" s="113">
        <f>INDEX('Gross Dx Plant'!$E$7:$AD$91,MATCH($C168,'Gross Dx Plant'!$D$7:$D$91,0),MATCH(Calculation!$G168,'Gross Dx Plant'!$E$5:$AD$5,0))</f>
        <v>1232858</v>
      </c>
      <c r="BX168" s="113">
        <f>INDEX('Gross Gen Plant'!$E$7:$AD$91,MATCH($C168,'Gross Gen Plant'!$D$7:$D$91,0),MATCH(Calculation!$G168,'Gross Gen Plant'!$E$5:$AD$5,0))</f>
        <v>62522</v>
      </c>
      <c r="BY168" s="113">
        <f t="shared" si="313"/>
        <v>1295380</v>
      </c>
      <c r="BZ168" s="113"/>
      <c r="CA168" s="116">
        <v>2013</v>
      </c>
      <c r="CB168" s="113"/>
      <c r="CC168" s="113"/>
      <c r="CD168" s="113"/>
      <c r="CE168" s="175"/>
      <c r="CF168" s="113">
        <f t="shared" si="321"/>
        <v>63989</v>
      </c>
      <c r="CG168" s="113">
        <f t="shared" si="322"/>
        <v>96.478181433241446</v>
      </c>
      <c r="CH168" s="178">
        <v>0.90566037735849059</v>
      </c>
      <c r="CI168" s="61">
        <f>+CI153*CH168+CG154*CH167+CG155*CH166+CG156*CH165+CG157*CH164+CG158*CH163+CG159*CH162+CG160*CH161+CG161*CH160+CG162*CH159+CG163*CH158+CG164*CH157+CG165*CH156+CG166*CH155+CG167*CH154+CG168</f>
        <v>4501.5645900790933</v>
      </c>
      <c r="CJ168" s="114">
        <f t="shared" si="323"/>
        <v>1.3999887499719064E-2</v>
      </c>
      <c r="CK168" s="114"/>
      <c r="CL168" s="169">
        <f t="shared" si="324"/>
        <v>7.6359571106556171E-3</v>
      </c>
      <c r="CM168" s="169">
        <f t="shared" si="332"/>
        <v>7.402870463460675E-3</v>
      </c>
      <c r="CN168" s="114">
        <f>VLOOKUP($H168,RoR!$E:$F,2,FALSE)</f>
        <v>4.2350000000000006E-2</v>
      </c>
      <c r="CO168" s="169">
        <v>1.7730000000000024E-2</v>
      </c>
      <c r="CP168" s="169">
        <f t="shared" si="330"/>
        <v>2.4619999999999982E-2</v>
      </c>
      <c r="CQ168" s="169">
        <f t="shared" si="333"/>
        <v>2.349907114507295E-2</v>
      </c>
      <c r="CR168" s="169">
        <f t="shared" si="334"/>
        <v>5.3376742735721204E-2</v>
      </c>
      <c r="CS168" s="179">
        <f t="shared" si="325"/>
        <v>0.84940815000000003</v>
      </c>
      <c r="CT168" s="180">
        <f t="shared" si="326"/>
        <v>1.2109103018193925</v>
      </c>
      <c r="CU168" s="180">
        <f t="shared" si="327"/>
        <v>0.38468122786304604</v>
      </c>
      <c r="CV168" s="180">
        <f t="shared" si="328"/>
        <v>0.80969194503422559</v>
      </c>
      <c r="CW168" s="180">
        <f t="shared" si="329"/>
        <v>0.37716621754800816</v>
      </c>
      <c r="CX168" s="181">
        <f>INDEX('State Tax Lookup'!$D$7:$Z$91,MATCH(Calculation!$C168,'State Tax Lookup'!$B$7:$B$91,0),MATCH($H168,'State Tax Lookup'!$D$6:$Z$6,0))</f>
        <v>0.40700500000000001</v>
      </c>
      <c r="CY168" s="72">
        <v>0.37</v>
      </c>
      <c r="CZ168" s="70">
        <f t="shared" si="331"/>
        <v>22.248585903354169</v>
      </c>
      <c r="DA168" s="70">
        <v>20.339519021246105</v>
      </c>
      <c r="DB168" s="69">
        <f t="shared" si="335"/>
        <v>-1.7258773971605385E-2</v>
      </c>
      <c r="DC168" s="111">
        <f>VLOOKUP($H168,RoR!$E:$F,2,FALSE)</f>
        <v>4.2350000000000006E-2</v>
      </c>
      <c r="DD168" s="216">
        <f>HLOOKUP($H168,'GDP-PI'!$D$8:$CQ$11,3,FALSE)</f>
        <v>1.7730000000000024E-2</v>
      </c>
      <c r="DE168" s="111">
        <f>VLOOKUP(H168,'HW Dx Data'!$E:$F,2,FALSE)</f>
        <v>663.24840548821396</v>
      </c>
      <c r="DF168" s="72">
        <f t="shared" si="342"/>
        <v>126.8</v>
      </c>
      <c r="DG168" s="69">
        <f t="shared" si="345"/>
        <v>1.5898586067798204E-2</v>
      </c>
      <c r="DH168" s="66">
        <f>HLOOKUP(H168,'GDP-PI'!$8:$9,2,FALSE)</f>
        <v>101.773</v>
      </c>
      <c r="DI168" s="69">
        <f t="shared" si="336"/>
        <v>1.7574657016510519E-2</v>
      </c>
      <c r="DO168" s="184"/>
      <c r="DP168" s="184"/>
      <c r="DQ168" s="184"/>
      <c r="DR168" s="184"/>
      <c r="DS168" s="184"/>
      <c r="DT168" s="184"/>
      <c r="DU168" s="184"/>
      <c r="DV168" s="184"/>
      <c r="DW168" s="184"/>
      <c r="EB168"/>
    </row>
    <row r="169" spans="1:132" s="160" customFormat="1" ht="21">
      <c r="A169" s="160" t="s">
        <v>169</v>
      </c>
      <c r="B169" s="161" t="s">
        <v>169</v>
      </c>
      <c r="C169" s="161">
        <v>4057111</v>
      </c>
      <c r="D169" s="161" t="s">
        <v>164</v>
      </c>
      <c r="E169" s="161" t="s">
        <v>3</v>
      </c>
      <c r="F169" s="161"/>
      <c r="G169" s="161" t="s">
        <v>130</v>
      </c>
      <c r="H169" s="162">
        <v>2014</v>
      </c>
      <c r="I169" s="163"/>
      <c r="J169" s="159">
        <f>IFERROR(INDEX('Labor Expenditures'!$F$7:$X$91,MATCH($C169,'Labor Expenditures'!$D$7:$D$91,0),MATCH($G169,'Labor Expenditures'!$F$5:$X$5,0)),"NA")</f>
        <v>69294.100166773147</v>
      </c>
      <c r="K169" s="159">
        <f t="shared" si="337"/>
        <v>535.50309247892687</v>
      </c>
      <c r="L169" s="165">
        <f t="shared" si="346"/>
        <v>-1.8248563740983121E-3</v>
      </c>
      <c r="M169" s="76">
        <f t="shared" si="347"/>
        <v>-4.3601951585522908E-5</v>
      </c>
      <c r="N169" s="62">
        <f t="shared" si="353"/>
        <v>121.75638979972663</v>
      </c>
      <c r="O169" s="96">
        <f t="shared" si="348"/>
        <v>0.11895911567192391</v>
      </c>
      <c r="P169" s="96"/>
      <c r="Q169" s="159">
        <f>IFERROR(INDEX('Non-Labor Expenditures'!$F$7:$AB$91,MATCH($C169,'Non-Labor Expenditures'!$D$7:$D$91,0),MATCH($G169,'Non-Labor Expenditures'!$F$5:$AB$5,0)),"NA")</f>
        <v>100350.79939413707</v>
      </c>
      <c r="R169" s="159">
        <f t="shared" si="338"/>
        <v>968.19781946546505</v>
      </c>
      <c r="S169" s="165">
        <f t="shared" si="349"/>
        <v>2.2643179132015491E-4</v>
      </c>
      <c r="T169" s="165">
        <f t="shared" si="350"/>
        <v>5.4102164656344245E-6</v>
      </c>
      <c r="U169" s="165"/>
      <c r="V169" s="165"/>
      <c r="W169" s="159">
        <f t="shared" si="319"/>
        <v>102374.83222740203</v>
      </c>
      <c r="X169" s="163"/>
      <c r="Y169" s="167">
        <v>4595.4399361425276</v>
      </c>
      <c r="Z169" s="168">
        <v>2.0639470552770975E-2</v>
      </c>
      <c r="AA169" s="76">
        <f t="shared" si="343"/>
        <v>4.93146314727048E-4</v>
      </c>
      <c r="AB169" s="168"/>
      <c r="AC169" s="168"/>
      <c r="AD169" s="163">
        <f t="shared" si="355"/>
        <v>272019.73178831226</v>
      </c>
      <c r="AE169" s="168">
        <f t="shared" si="351"/>
        <v>2.5009642729063239E-2</v>
      </c>
      <c r="AF169" s="163"/>
      <c r="AG169" s="163"/>
      <c r="AH169" s="163"/>
      <c r="AI169" s="163"/>
      <c r="AJ169" s="116">
        <f t="shared" si="352"/>
        <v>394.73148856422813</v>
      </c>
      <c r="AK169" s="114">
        <f>+AV169/$AX$19</f>
        <v>1.9070572292065685E-2</v>
      </c>
      <c r="AL169" s="115">
        <f t="shared" si="339"/>
        <v>0.25473924156611671</v>
      </c>
      <c r="AM169" s="115">
        <f t="shared" si="340"/>
        <v>0.36891000051507583</v>
      </c>
      <c r="AN169" s="115">
        <f t="shared" si="341"/>
        <v>0.3763507579188074</v>
      </c>
      <c r="AO169" s="115">
        <f t="shared" si="344"/>
        <v>7.3428900331293737E-3</v>
      </c>
      <c r="AP169" s="166">
        <f t="shared" si="356"/>
        <v>119.67868807277016</v>
      </c>
      <c r="AQ169" s="168">
        <f t="shared" si="357"/>
        <v>7.3428900331293651E-3</v>
      </c>
      <c r="AR169" s="69">
        <f>+AD169/$AF$19</f>
        <v>2.3893360707396637E-2</v>
      </c>
      <c r="AS169" s="169">
        <f t="shared" si="354"/>
        <v>1.7544632019630757E-4</v>
      </c>
      <c r="AT169" s="115"/>
      <c r="AU169" s="115"/>
      <c r="AV169" s="113">
        <f>IFERROR(INDEX('Total Customers'!$F$7:$AB$91,MATCH($C169,'Total Customers'!$D$7:$D$91,0),MATCH($G169,'Total Customers'!$F$5:$AB$5,0)),"NA")</f>
        <v>689126</v>
      </c>
      <c r="AW169" s="68">
        <f t="shared" si="287"/>
        <v>1.7574141392504988E-2</v>
      </c>
      <c r="AX169" s="114"/>
      <c r="AY169" s="114"/>
      <c r="AZ169" s="116">
        <v>8599754</v>
      </c>
      <c r="BA169" s="116"/>
      <c r="BB169" s="166"/>
      <c r="BC169" s="166"/>
      <c r="BD169" s="166"/>
      <c r="BE169" s="166"/>
      <c r="BF169" s="166"/>
      <c r="BG169" s="166"/>
      <c r="BH169" s="166"/>
      <c r="BI169" s="113"/>
      <c r="BJ169" s="113"/>
      <c r="BK169" s="113">
        <f>INDEX('Dist. Plant Gas Additions'!$F$7:$AE$91,MATCH($C169,'Dist. Plant Gas Additions'!$D$7:$D$91,0),MATCH(Calculation!$G169,'Dist. Plant Gas Additions'!$F$5:$AE$5,0))</f>
        <v>85068</v>
      </c>
      <c r="BL169" s="113">
        <f>INDEX('Gen. Plant Additions'!$F$7:$AE$91,MATCH($C169,'Gen. Plant Additions'!$D$7:$D$91,0),MATCH(Calculation!$G169,'Gen. Plant Additions'!$F$5:$AE$5,0))</f>
        <v>3569</v>
      </c>
      <c r="BM169" s="231">
        <f t="shared" si="320"/>
        <v>0.95213999701234775</v>
      </c>
      <c r="BN169" s="61">
        <f t="shared" si="358"/>
        <v>3398.1876493370692</v>
      </c>
      <c r="BO169" s="113"/>
      <c r="BP169" s="113"/>
      <c r="BQ169" s="113"/>
      <c r="BR169" s="113"/>
      <c r="BS169" s="113"/>
      <c r="BT169" s="113"/>
      <c r="BU169" s="113"/>
      <c r="BV169" s="113"/>
      <c r="BW169" s="113">
        <f>INDEX('Gross Dx Plant'!$E$7:$AD$91,MATCH($C169,'Gross Dx Plant'!$D$7:$D$91,0),MATCH(Calculation!$G169,'Gross Dx Plant'!$E$5:$AD$5,0))</f>
        <v>1306636</v>
      </c>
      <c r="BX169" s="113">
        <f>INDEX('Gross Gen Plant'!$E$7:$AD$91,MATCH($C169,'Gross Gen Plant'!$D$7:$D$91,0),MATCH(Calculation!$G169,'Gross Gen Plant'!$E$5:$AD$5,0))</f>
        <v>65679</v>
      </c>
      <c r="BY169" s="113">
        <f t="shared" si="313"/>
        <v>1372315</v>
      </c>
      <c r="BZ169" s="113"/>
      <c r="CA169" s="116">
        <v>2014</v>
      </c>
      <c r="CB169" s="113"/>
      <c r="CC169" s="113"/>
      <c r="CD169" s="113"/>
      <c r="CE169" s="175"/>
      <c r="CF169" s="113">
        <f t="shared" si="321"/>
        <v>88637</v>
      </c>
      <c r="CG169" s="113">
        <f t="shared" si="322"/>
        <v>129.4974374314038</v>
      </c>
      <c r="CH169" s="178">
        <v>0.89743589743589747</v>
      </c>
      <c r="CI169" s="61">
        <f>+CI153*CH169+CG154*CH168+CG155*CH167+CG156*CH166+CG157*CH165+CG158*CH164+CG159*CH163+CG160*CH162+CG161*CH161+CG162*CH160+CG163*CH159+CG164*CH158+CG165*CH157+CG166*CH156+CG167*CH155+CG168*CH154+CG169</f>
        <v>4595.4399361425276</v>
      </c>
      <c r="CJ169" s="114">
        <f t="shared" si="323"/>
        <v>2.0639470552770975E-2</v>
      </c>
      <c r="CK169" s="114"/>
      <c r="CL169" s="169">
        <f t="shared" si="324"/>
        <v>7.9132689657449903E-3</v>
      </c>
      <c r="CM169" s="169">
        <f t="shared" si="332"/>
        <v>7.6489985449240128E-3</v>
      </c>
      <c r="CN169" s="114">
        <f>VLOOKUP($H169,RoR!$E:$F,2,FALSE)</f>
        <v>4.1625000000000002E-2</v>
      </c>
      <c r="CO169" s="169">
        <v>1.841352814597208E-2</v>
      </c>
      <c r="CP169" s="169">
        <f t="shared" si="330"/>
        <v>2.3211471854027922E-2</v>
      </c>
      <c r="CQ169" s="169">
        <f t="shared" si="333"/>
        <v>2.3252943063609612E-2</v>
      </c>
      <c r="CR169" s="169">
        <f t="shared" si="334"/>
        <v>3.9072621432650924E-2</v>
      </c>
      <c r="CS169" s="179">
        <f t="shared" si="325"/>
        <v>0.84940815000000003</v>
      </c>
      <c r="CT169" s="180">
        <f t="shared" si="326"/>
        <v>1.2320012320012319</v>
      </c>
      <c r="CU169" s="180">
        <f t="shared" si="327"/>
        <v>0.37439939939939942</v>
      </c>
      <c r="CV169" s="180">
        <f t="shared" si="328"/>
        <v>0.80432100613819935</v>
      </c>
      <c r="CW169" s="180">
        <f t="shared" si="329"/>
        <v>0.37100152660040037</v>
      </c>
      <c r="CX169" s="181">
        <f>INDEX('State Tax Lookup'!$D$7:$Z$91,MATCH(Calculation!$C169,'State Tax Lookup'!$B$7:$B$91,0),MATCH($H169,'State Tax Lookup'!$D$6:$Z$6,0))</f>
        <v>0.40700500000000001</v>
      </c>
      <c r="CY169" s="72">
        <v>0.37</v>
      </c>
      <c r="CZ169" s="70">
        <f t="shared" si="331"/>
        <v>22.742055607293484</v>
      </c>
      <c r="DA169" s="70">
        <v>20.763592984765573</v>
      </c>
      <c r="DB169" s="69">
        <f t="shared" si="335"/>
        <v>2.1937428648886603E-2</v>
      </c>
      <c r="DC169" s="111">
        <f>VLOOKUP($H169,RoR!$E:$F,2,FALSE)</f>
        <v>4.1625000000000002E-2</v>
      </c>
      <c r="DD169" s="216">
        <f>HLOOKUP($H169,'GDP-PI'!$D$8:$CQ$11,3,FALSE)</f>
        <v>1.841352814597208E-2</v>
      </c>
      <c r="DE169" s="111">
        <f>VLOOKUP(H169,'HW Dx Data'!$E:$F,2,FALSE)</f>
        <v>684.46914285042885</v>
      </c>
      <c r="DF169" s="72">
        <f t="shared" si="342"/>
        <v>129.4</v>
      </c>
      <c r="DG169" s="69">
        <f t="shared" si="345"/>
        <v>2.0297340063674733E-2</v>
      </c>
      <c r="DH169" s="66">
        <f>HLOOKUP(H169,'GDP-PI'!$8:$9,2,FALSE)</f>
        <v>103.64700000000001</v>
      </c>
      <c r="DI169" s="69">
        <f t="shared" si="336"/>
        <v>1.8246051898256087E-2</v>
      </c>
      <c r="DO169" s="184"/>
      <c r="DP169" s="184"/>
      <c r="DQ169" s="184"/>
      <c r="DR169" s="184"/>
      <c r="DS169" s="184"/>
      <c r="DT169" s="184"/>
      <c r="DU169" s="184"/>
      <c r="DV169" s="184"/>
      <c r="DW169" s="184"/>
      <c r="EB169"/>
    </row>
    <row r="170" spans="1:132" s="160" customFormat="1" ht="21">
      <c r="A170" s="160" t="s">
        <v>169</v>
      </c>
      <c r="B170" s="161" t="s">
        <v>169</v>
      </c>
      <c r="C170" s="161">
        <v>4057111</v>
      </c>
      <c r="D170" s="161" t="s">
        <v>164</v>
      </c>
      <c r="E170" s="161" t="s">
        <v>3</v>
      </c>
      <c r="F170" s="161"/>
      <c r="G170" s="161" t="s">
        <v>132</v>
      </c>
      <c r="H170" s="162">
        <v>2015</v>
      </c>
      <c r="I170" s="163"/>
      <c r="J170" s="159">
        <f>IFERROR(INDEX('Labor Expenditures'!$F$7:$X$91,MATCH($C170,'Labor Expenditures'!$D$7:$D$91,0),MATCH($G170,'Labor Expenditures'!$F$5:$X$5,0)),"NA")</f>
        <v>63080.933254042786</v>
      </c>
      <c r="K170" s="159">
        <f t="shared" si="337"/>
        <v>472.5163539628673</v>
      </c>
      <c r="L170" s="165">
        <f t="shared" si="346"/>
        <v>-0.12513430691197855</v>
      </c>
      <c r="M170" s="76">
        <f t="shared" si="347"/>
        <v>-2.7934378587372299E-3</v>
      </c>
      <c r="N170" s="62">
        <f t="shared" si="353"/>
        <v>119.12532381498687</v>
      </c>
      <c r="O170" s="96">
        <f t="shared" si="348"/>
        <v>-2.1846163290470656E-2</v>
      </c>
      <c r="P170" s="96"/>
      <c r="Q170" s="159">
        <f>IFERROR(INDEX('Non-Labor Expenditures'!$F$7:$AB$91,MATCH($C170,'Non-Labor Expenditures'!$D$7:$D$91,0),MATCH($G170,'Non-Labor Expenditures'!$F$5:$AB$5,0)),"NA")</f>
        <v>91352.973244997411</v>
      </c>
      <c r="R170" s="159">
        <f t="shared" si="338"/>
        <v>873.02987648006399</v>
      </c>
      <c r="S170" s="165">
        <f t="shared" si="349"/>
        <v>-0.10346664732391737</v>
      </c>
      <c r="T170" s="165">
        <f t="shared" si="350"/>
        <v>-2.3097394861870332E-3</v>
      </c>
      <c r="U170" s="165"/>
      <c r="V170" s="165"/>
      <c r="W170" s="159">
        <f t="shared" si="319"/>
        <v>102226.65311847051</v>
      </c>
      <c r="X170" s="163"/>
      <c r="Y170" s="167">
        <v>4681.349254950188</v>
      </c>
      <c r="Z170" s="168">
        <v>1.8521877133926265E-2</v>
      </c>
      <c r="AA170" s="76">
        <f t="shared" si="343"/>
        <v>4.1347344367507127E-4</v>
      </c>
      <c r="AB170" s="168"/>
      <c r="AC170" s="168"/>
      <c r="AD170" s="163">
        <f t="shared" si="355"/>
        <v>256660.55961751071</v>
      </c>
      <c r="AE170" s="168">
        <f t="shared" si="351"/>
        <v>-5.8120174805704791E-2</v>
      </c>
      <c r="AF170" s="163"/>
      <c r="AG170" s="163"/>
      <c r="AH170" s="163"/>
      <c r="AI170" s="163"/>
      <c r="AJ170" s="116">
        <f t="shared" si="352"/>
        <v>373.09977645099633</v>
      </c>
      <c r="AK170" s="114">
        <f>+AV170/$AX$20</f>
        <v>1.8882236094349202E-2</v>
      </c>
      <c r="AL170" s="115">
        <f t="shared" si="339"/>
        <v>0.24577571773415194</v>
      </c>
      <c r="AM170" s="115">
        <f t="shared" si="340"/>
        <v>0.35592914385107122</v>
      </c>
      <c r="AN170" s="115">
        <f t="shared" si="341"/>
        <v>0.39829513841477682</v>
      </c>
      <c r="AO170" s="115">
        <f t="shared" si="344"/>
        <v>-6.1640186266813814E-2</v>
      </c>
      <c r="AP170" s="166">
        <f t="shared" si="356"/>
        <v>112.52443138577094</v>
      </c>
      <c r="AQ170" s="168">
        <f t="shared" si="357"/>
        <v>-6.1640186266813828E-2</v>
      </c>
      <c r="AR170" s="69">
        <f>+AD170/$AF$20</f>
        <v>2.2323517248568597E-2</v>
      </c>
      <c r="AS170" s="169">
        <f t="shared" si="354"/>
        <v>-1.3760257613321997E-3</v>
      </c>
      <c r="AT170" s="115"/>
      <c r="AU170" s="115"/>
      <c r="AV170" s="113">
        <f>IFERROR(INDEX('Total Customers'!$F$7:$AB$91,MATCH($C170,'Total Customers'!$D$7:$D$91,0),MATCH($G170,'Total Customers'!$F$5:$AB$5,0)),"NA")</f>
        <v>687914</v>
      </c>
      <c r="AW170" s="68">
        <f t="shared" si="287"/>
        <v>-1.7602979041473302E-3</v>
      </c>
      <c r="AX170" s="114"/>
      <c r="AY170" s="114"/>
      <c r="AZ170" s="116">
        <v>8659109</v>
      </c>
      <c r="BA170" s="116"/>
      <c r="BB170" s="166"/>
      <c r="BC170" s="166"/>
      <c r="BD170" s="166"/>
      <c r="BE170" s="166"/>
      <c r="BF170" s="166"/>
      <c r="BG170" s="166"/>
      <c r="BH170" s="166"/>
      <c r="BI170" s="113"/>
      <c r="BJ170" s="113"/>
      <c r="BK170" s="113">
        <f>INDEX('Dist. Plant Gas Additions'!$F$7:$AE$91,MATCH($C170,'Dist. Plant Gas Additions'!$D$7:$D$91,0),MATCH(Calculation!$G170,'Dist. Plant Gas Additions'!$F$5:$AE$5,0))</f>
        <v>80387</v>
      </c>
      <c r="BL170" s="113">
        <f>INDEX('Gen. Plant Additions'!$F$7:$AE$91,MATCH($C170,'Gen. Plant Additions'!$D$7:$D$91,0),MATCH(Calculation!$G170,'Gen. Plant Additions'!$F$5:$AE$5,0))</f>
        <v>3056</v>
      </c>
      <c r="BM170" s="231">
        <f t="shared" si="320"/>
        <v>0.94803847885052972</v>
      </c>
      <c r="BN170" s="61">
        <f t="shared" si="358"/>
        <v>2897.2055913672189</v>
      </c>
      <c r="BO170" s="113"/>
      <c r="BP170" s="113"/>
      <c r="BQ170" s="113"/>
      <c r="BR170" s="113"/>
      <c r="BS170" s="113"/>
      <c r="BT170" s="113"/>
      <c r="BU170" s="113"/>
      <c r="BV170" s="113"/>
      <c r="BW170" s="113">
        <f>INDEX('Gross Dx Plant'!$E$7:$AD$91,MATCH($C170,'Gross Dx Plant'!$D$7:$D$91,0),MATCH(Calculation!$G170,'Gross Dx Plant'!$E$5:$AD$5,0))</f>
        <v>1371149</v>
      </c>
      <c r="BX170" s="113">
        <f>INDEX('Gross Gen Plant'!$E$7:$AD$91,MATCH($C170,'Gross Gen Plant'!$D$7:$D$91,0),MATCH(Calculation!$G170,'Gross Gen Plant'!$E$5:$AD$5,0))</f>
        <v>75152</v>
      </c>
      <c r="BY170" s="113">
        <f t="shared" si="313"/>
        <v>1446301</v>
      </c>
      <c r="BZ170" s="113"/>
      <c r="CA170" s="116">
        <v>2015</v>
      </c>
      <c r="CB170" s="113"/>
      <c r="CC170" s="113"/>
      <c r="CD170" s="113"/>
      <c r="CE170" s="175"/>
      <c r="CF170" s="113">
        <f t="shared" si="321"/>
        <v>83443</v>
      </c>
      <c r="CG170" s="113">
        <f t="shared" si="322"/>
        <v>123.50679797857067</v>
      </c>
      <c r="CH170" s="178">
        <v>0.88888888888888884</v>
      </c>
      <c r="CI170" s="61">
        <f>+CI153*CH170+CG154*CH169+CG155*CH168+CG156*CH167+CG157*CH166+CG158*CH165+CG159*CH164+CG160*CH163+CG161*CH162+CG162*CH161+CG163*CH160+CG164*CH159+CG165*CH158+CG166*CH157+CG167*CH156+CG168*CH155+CG169*CH154+CG170</f>
        <v>4681.349254950188</v>
      </c>
      <c r="CJ170" s="114">
        <f t="shared" si="323"/>
        <v>1.8521877133926265E-2</v>
      </c>
      <c r="CK170" s="114"/>
      <c r="CL170" s="169">
        <f t="shared" si="324"/>
        <v>8.1814754829480172E-3</v>
      </c>
      <c r="CM170" s="169">
        <f t="shared" si="332"/>
        <v>7.910233853116207E-3</v>
      </c>
      <c r="CN170" s="114">
        <f>VLOOKUP($H170,RoR!$E:$F,2,FALSE)</f>
        <v>3.8866666666666674E-2</v>
      </c>
      <c r="CO170" s="169">
        <v>9.5709475431029478E-3</v>
      </c>
      <c r="CP170" s="169">
        <f t="shared" si="330"/>
        <v>2.9295719123563727E-2</v>
      </c>
      <c r="CQ170" s="169">
        <f t="shared" si="333"/>
        <v>2.2991707755417416E-2</v>
      </c>
      <c r="CR170" s="169">
        <f t="shared" si="334"/>
        <v>3.5270373279175926E-3</v>
      </c>
      <c r="CS170" s="179">
        <f t="shared" si="325"/>
        <v>0.84940815000000003</v>
      </c>
      <c r="CT170" s="180">
        <f t="shared" si="326"/>
        <v>1.3194352816994324</v>
      </c>
      <c r="CU170" s="180">
        <f t="shared" si="327"/>
        <v>0.33177530017152673</v>
      </c>
      <c r="CV170" s="180">
        <f t="shared" si="328"/>
        <v>0.78242572977668579</v>
      </c>
      <c r="CW170" s="180">
        <f t="shared" si="329"/>
        <v>0.34251158643433932</v>
      </c>
      <c r="CX170" s="181">
        <f>INDEX('State Tax Lookup'!$D$7:$Z$91,MATCH(Calculation!$C170,'State Tax Lookup'!$B$7:$B$91,0),MATCH($H170,'State Tax Lookup'!$D$6:$Z$6,0))</f>
        <v>0.40700500000000001</v>
      </c>
      <c r="CY170" s="72">
        <v>0.37</v>
      </c>
      <c r="CZ170" s="70">
        <f t="shared" si="331"/>
        <v>22.245237570068404</v>
      </c>
      <c r="DA170" s="70">
        <v>20.279488671080099</v>
      </c>
      <c r="DB170" s="69">
        <f t="shared" si="335"/>
        <v>-2.2087936428649965E-2</v>
      </c>
      <c r="DC170" s="111">
        <f>VLOOKUP($H170,RoR!$E:$F,2,FALSE)</f>
        <v>3.8866666666666674E-2</v>
      </c>
      <c r="DD170" s="216">
        <f>HLOOKUP($H170,'GDP-PI'!$D$8:$CQ$11,3,FALSE)</f>
        <v>9.5709475431029478E-3</v>
      </c>
      <c r="DE170" s="111">
        <f>VLOOKUP(H170,'HW Dx Data'!$E:$F,2,FALSE)</f>
        <v>675.61463308665782</v>
      </c>
      <c r="DF170" s="72">
        <f t="shared" si="342"/>
        <v>133.5</v>
      </c>
      <c r="DG170" s="69">
        <f t="shared" si="345"/>
        <v>3.1193095773504077E-2</v>
      </c>
      <c r="DH170" s="66">
        <f>HLOOKUP(H170,'GDP-PI'!$8:$9,2,FALSE)</f>
        <v>104.639</v>
      </c>
      <c r="DI170" s="69">
        <f t="shared" si="336"/>
        <v>9.5254361854427965E-3</v>
      </c>
      <c r="DO170" s="184"/>
      <c r="DP170" s="184"/>
      <c r="DQ170" s="184"/>
      <c r="DR170" s="184"/>
      <c r="DS170" s="184"/>
      <c r="DT170" s="184"/>
      <c r="DU170" s="184"/>
      <c r="DV170" s="184"/>
      <c r="DW170" s="184"/>
      <c r="EB170"/>
    </row>
    <row r="171" spans="1:132" s="160" customFormat="1" ht="21">
      <c r="A171" s="160" t="s">
        <v>169</v>
      </c>
      <c r="B171" s="161" t="s">
        <v>169</v>
      </c>
      <c r="C171" s="161">
        <v>4057111</v>
      </c>
      <c r="D171" s="161" t="s">
        <v>164</v>
      </c>
      <c r="E171" s="161" t="s">
        <v>3</v>
      </c>
      <c r="F171" s="161"/>
      <c r="G171" s="161" t="s">
        <v>133</v>
      </c>
      <c r="H171" s="162">
        <v>2016</v>
      </c>
      <c r="I171" s="163"/>
      <c r="J171" s="159">
        <f>IFERROR(INDEX('Labor Expenditures'!$F$7:$X$91,MATCH($C171,'Labor Expenditures'!$D$7:$D$91,0),MATCH($G171,'Labor Expenditures'!$F$5:$X$5,0)),"NA")</f>
        <v>73469.788829246812</v>
      </c>
      <c r="K171" s="159">
        <f t="shared" si="337"/>
        <v>536.47162343371167</v>
      </c>
      <c r="L171" s="165">
        <f t="shared" si="346"/>
        <v>0.12694131076001722</v>
      </c>
      <c r="M171" s="76">
        <f t="shared" si="347"/>
        <v>3.0099471363087627E-3</v>
      </c>
      <c r="N171" s="62">
        <f t="shared" si="353"/>
        <v>299.32269029940772</v>
      </c>
      <c r="O171" s="96">
        <f t="shared" si="348"/>
        <v>0.92134614295966322</v>
      </c>
      <c r="P171" s="96"/>
      <c r="Q171" s="159">
        <f>IFERROR(INDEX('Non-Labor Expenditures'!$F$7:$AB$91,MATCH($C171,'Non-Labor Expenditures'!$D$7:$D$91,0),MATCH($G171,'Non-Labor Expenditures'!$F$5:$AB$5,0)),"NA")</f>
        <v>106397.97648846057</v>
      </c>
      <c r="R171" s="159">
        <f t="shared" si="338"/>
        <v>1006.2606537835795</v>
      </c>
      <c r="S171" s="165">
        <f t="shared" si="349"/>
        <v>0.14202663826159531</v>
      </c>
      <c r="T171" s="165">
        <f t="shared" si="350"/>
        <v>3.3676402942082822E-3</v>
      </c>
      <c r="U171" s="165"/>
      <c r="V171" s="165"/>
      <c r="W171" s="159">
        <f t="shared" si="319"/>
        <v>102243.5312983935</v>
      </c>
      <c r="X171" s="163"/>
      <c r="Y171" s="167">
        <v>4796.6957139007873</v>
      </c>
      <c r="Z171" s="168">
        <v>2.4340917207089707E-2</v>
      </c>
      <c r="AA171" s="76">
        <f t="shared" si="343"/>
        <v>5.7715548708265447E-4</v>
      </c>
      <c r="AB171" s="168"/>
      <c r="AC171" s="168"/>
      <c r="AD171" s="163">
        <f t="shared" si="355"/>
        <v>282111.29661610088</v>
      </c>
      <c r="AE171" s="168">
        <f t="shared" si="351"/>
        <v>9.454722972973445E-2</v>
      </c>
      <c r="AF171" s="163"/>
      <c r="AG171" s="163"/>
      <c r="AH171" s="163"/>
      <c r="AI171" s="163"/>
      <c r="AJ171" s="116">
        <f t="shared" si="352"/>
        <v>391.3613956602394</v>
      </c>
      <c r="AK171" s="114">
        <f>+AV171/$AX$21</f>
        <v>1.961519126829208E-2</v>
      </c>
      <c r="AL171" s="115">
        <f t="shared" si="339"/>
        <v>0.26042838309032706</v>
      </c>
      <c r="AM171" s="115">
        <f t="shared" si="340"/>
        <v>0.37714894002719684</v>
      </c>
      <c r="AN171" s="115">
        <f t="shared" si="341"/>
        <v>0.36242267688247609</v>
      </c>
      <c r="AO171" s="115">
        <f t="shared" si="344"/>
        <v>9.3445698633673024E-2</v>
      </c>
      <c r="AP171" s="166">
        <f t="shared" si="356"/>
        <v>123.54630988094584</v>
      </c>
      <c r="AQ171" s="168">
        <f t="shared" si="357"/>
        <v>9.3445698633673108E-2</v>
      </c>
      <c r="AR171" s="69">
        <f>+AD171/$AF$21</f>
        <v>2.3711328631221346E-2</v>
      </c>
      <c r="AS171" s="169">
        <f t="shared" si="354"/>
        <v>2.2157216694770948E-3</v>
      </c>
      <c r="AT171" s="115"/>
      <c r="AU171" s="115"/>
      <c r="AV171" s="113">
        <f>IFERROR(INDEX('Total Customers'!$F$7:$AB$91,MATCH($C171,'Total Customers'!$D$7:$D$91,0),MATCH($G171,'Total Customers'!$F$5:$AB$5,0)),"NA")</f>
        <v>720846</v>
      </c>
      <c r="AW171" s="68">
        <f t="shared" si="287"/>
        <v>4.6761692117677223E-2</v>
      </c>
      <c r="AX171" s="114"/>
      <c r="AY171" s="114"/>
      <c r="AZ171" s="116">
        <v>8759079</v>
      </c>
      <c r="BA171" s="116"/>
      <c r="BB171" s="166"/>
      <c r="BC171" s="166"/>
      <c r="BD171" s="166"/>
      <c r="BE171" s="166"/>
      <c r="BF171" s="166"/>
      <c r="BG171" s="166"/>
      <c r="BH171" s="166"/>
      <c r="BI171" s="113"/>
      <c r="BJ171" s="113"/>
      <c r="BK171" s="113">
        <f>INDEX('Dist. Plant Gas Additions'!$F$7:$AE$91,MATCH($C171,'Dist. Plant Gas Additions'!$D$7:$D$91,0),MATCH(Calculation!$G171,'Dist. Plant Gas Additions'!$F$5:$AE$5,0))</f>
        <v>86820</v>
      </c>
      <c r="BL171" s="113">
        <f>INDEX('Gen. Plant Additions'!$F$7:$AE$91,MATCH($C171,'Gen. Plant Additions'!$D$7:$D$91,0),MATCH(Calculation!$G171,'Gen. Plant Additions'!$F$5:$AE$5,0))</f>
        <v>17246</v>
      </c>
      <c r="BM171" s="231">
        <f t="shared" si="320"/>
        <v>0.94167225472287097</v>
      </c>
      <c r="BN171" s="61">
        <f t="shared" si="358"/>
        <v>16240.079704950633</v>
      </c>
      <c r="BO171" s="113"/>
      <c r="BP171" s="113"/>
      <c r="BQ171" s="113"/>
      <c r="BR171" s="113"/>
      <c r="BS171" s="113"/>
      <c r="BT171" s="113"/>
      <c r="BU171" s="113"/>
      <c r="BV171" s="113"/>
      <c r="BW171" s="113">
        <f>INDEX('Gross Dx Plant'!$E$7:$AD$91,MATCH($C171,'Gross Dx Plant'!$D$7:$D$91,0),MATCH(Calculation!$G171,'Gross Dx Plant'!$E$5:$AD$5,0))</f>
        <v>1384633</v>
      </c>
      <c r="BX171" s="113">
        <f>INDEX('Gross Gen Plant'!$E$7:$AD$91,MATCH($C171,'Gross Gen Plant'!$D$7:$D$91,0),MATCH(Calculation!$G171,'Gross Gen Plant'!$E$5:$AD$5,0))</f>
        <v>85765</v>
      </c>
      <c r="BY171" s="113">
        <f t="shared" si="313"/>
        <v>1470398</v>
      </c>
      <c r="BZ171" s="113"/>
      <c r="CA171" s="116">
        <v>2016</v>
      </c>
      <c r="CB171" s="113"/>
      <c r="CC171" s="113"/>
      <c r="CD171" s="113"/>
      <c r="CE171" s="175"/>
      <c r="CF171" s="113">
        <f t="shared" si="321"/>
        <v>104066</v>
      </c>
      <c r="CG171" s="113">
        <f t="shared" si="322"/>
        <v>154.98549265694024</v>
      </c>
      <c r="CH171" s="178">
        <v>0.88</v>
      </c>
      <c r="CI171" s="61">
        <f>+CI153*CH171+CG154*CH170+CG155*CH169+CG156*CH168+CG157*CH167+CG158*CH166+CG159*CH165+CG160*CH164+CG161*CH163+CG162*CH162+CG163*CH161+CG164*CH160+CG165*CH159+CG166*CH158+CG167*CH157+CG168*CH156+CG169*CH155+CG170*CH154+CG171</f>
        <v>4796.6957139007873</v>
      </c>
      <c r="CJ171" s="114">
        <f t="shared" si="323"/>
        <v>2.4340917207089707E-2</v>
      </c>
      <c r="CK171" s="114"/>
      <c r="CL171" s="169">
        <f t="shared" si="324"/>
        <v>8.4674378149473747E-3</v>
      </c>
      <c r="CM171" s="169">
        <f t="shared" si="332"/>
        <v>8.1873940878801274E-3</v>
      </c>
      <c r="CN171" s="114">
        <f>VLOOKUP($H171,RoR!$E:$F,2,FALSE)</f>
        <v>3.6658333333333334E-2</v>
      </c>
      <c r="CO171" s="169">
        <v>1.0483662879041455E-2</v>
      </c>
      <c r="CP171" s="169">
        <f t="shared" si="330"/>
        <v>2.6174670454291879E-2</v>
      </c>
      <c r="CQ171" s="169">
        <f t="shared" si="333"/>
        <v>2.2714547520653498E-2</v>
      </c>
      <c r="CR171" s="169">
        <f t="shared" si="334"/>
        <v>4.301363574220729E-3</v>
      </c>
      <c r="CS171" s="179">
        <f t="shared" si="325"/>
        <v>0.84940815000000003</v>
      </c>
      <c r="CT171" s="180">
        <f t="shared" si="326"/>
        <v>1.3989193348138562</v>
      </c>
      <c r="CU171" s="180">
        <f t="shared" si="327"/>
        <v>0.29302682427824522</v>
      </c>
      <c r="CV171" s="180">
        <f t="shared" si="328"/>
        <v>0.76309497491941802</v>
      </c>
      <c r="CW171" s="180">
        <f t="shared" si="329"/>
        <v>0.31280857135128509</v>
      </c>
      <c r="CX171" s="181">
        <f>INDEX('State Tax Lookup'!$D$7:$Z$91,MATCH(Calculation!$C171,'State Tax Lookup'!$B$7:$B$91,0),MATCH($H171,'State Tax Lookup'!$D$6:$Z$6,0))</f>
        <v>0.40700500000000001</v>
      </c>
      <c r="CY171" s="72">
        <v>0.37</v>
      </c>
      <c r="CZ171" s="70">
        <f t="shared" si="331"/>
        <v>21.84061169763789</v>
      </c>
      <c r="DA171" s="70">
        <v>19.909765876209278</v>
      </c>
      <c r="DB171" s="69">
        <f t="shared" si="335"/>
        <v>-1.8356785289269741E-2</v>
      </c>
      <c r="DC171" s="111">
        <f>VLOOKUP($H171,RoR!$E:$F,2,FALSE)</f>
        <v>3.6658333333333334E-2</v>
      </c>
      <c r="DD171" s="216">
        <f>HLOOKUP($H171,'GDP-PI'!$D$8:$CQ$11,3,FALSE)</f>
        <v>1.0483662879041455E-2</v>
      </c>
      <c r="DE171" s="111">
        <f>VLOOKUP(H171,'HW Dx Data'!$E:$F,2,FALSE)</f>
        <v>671.45639385971219</v>
      </c>
      <c r="DF171" s="72">
        <f t="shared" si="342"/>
        <v>136.94999999999999</v>
      </c>
      <c r="DG171" s="69">
        <f t="shared" si="345"/>
        <v>2.5514417868782811E-2</v>
      </c>
      <c r="DH171" s="66">
        <f>HLOOKUP(H171,'GDP-PI'!$8:$9,2,FALSE)</f>
        <v>105.736</v>
      </c>
      <c r="DI171" s="69">
        <f t="shared" si="336"/>
        <v>1.0429090367205095E-2</v>
      </c>
      <c r="DO171" s="184"/>
      <c r="DP171" s="184"/>
      <c r="DQ171" s="184"/>
      <c r="DR171" s="184"/>
      <c r="DS171" s="184"/>
      <c r="DT171" s="184"/>
      <c r="DU171" s="184"/>
      <c r="DV171" s="184"/>
      <c r="DW171" s="184"/>
      <c r="EB171"/>
    </row>
    <row r="172" spans="1:132" s="160" customFormat="1" ht="21">
      <c r="A172" s="160" t="s">
        <v>169</v>
      </c>
      <c r="B172" s="161" t="s">
        <v>169</v>
      </c>
      <c r="C172" s="161">
        <v>4057111</v>
      </c>
      <c r="D172" s="161" t="s">
        <v>164</v>
      </c>
      <c r="E172" s="161" t="s">
        <v>3</v>
      </c>
      <c r="F172" s="161"/>
      <c r="G172" s="161" t="s">
        <v>135</v>
      </c>
      <c r="H172" s="162">
        <v>2017</v>
      </c>
      <c r="I172" s="163"/>
      <c r="J172" s="159">
        <f>IFERROR(INDEX('Labor Expenditures'!$F$7:$X$91,MATCH($C172,'Labor Expenditures'!$D$7:$D$91,0),MATCH($G172,'Labor Expenditures'!$F$5:$X$5,0)),"NA")</f>
        <v>74726.142015534642</v>
      </c>
      <c r="K172" s="159">
        <f t="shared" si="337"/>
        <v>532.04800295859491</v>
      </c>
      <c r="L172" s="165">
        <f t="shared" si="346"/>
        <v>-8.2799522602325839E-3</v>
      </c>
      <c r="M172" s="76">
        <f t="shared" si="347"/>
        <v>-1.9379317696689724E-4</v>
      </c>
      <c r="N172" s="62">
        <f t="shared" si="353"/>
        <v>169.30575617457296</v>
      </c>
      <c r="O172" s="96">
        <f t="shared" si="348"/>
        <v>-0.56981593479842474</v>
      </c>
      <c r="P172" s="96"/>
      <c r="Q172" s="159">
        <f>IFERROR(INDEX('Non-Labor Expenditures'!$F$7:$AB$91,MATCH($C172,'Non-Labor Expenditures'!$D$7:$D$91,0),MATCH($G172,'Non-Labor Expenditures'!$F$5:$AB$5,0)),"NA")</f>
        <v>108217.41055661241</v>
      </c>
      <c r="R172" s="159">
        <f t="shared" si="338"/>
        <v>1004.3285960836781</v>
      </c>
      <c r="S172" s="165">
        <f t="shared" si="349"/>
        <v>-1.9218826468126776E-3</v>
      </c>
      <c r="T172" s="165">
        <f t="shared" si="350"/>
        <v>-4.4981870930849549E-5</v>
      </c>
      <c r="U172" s="165"/>
      <c r="V172" s="165"/>
      <c r="W172" s="159">
        <f t="shared" si="319"/>
        <v>94190.92737808355</v>
      </c>
      <c r="X172" s="163"/>
      <c r="Y172" s="167">
        <v>4897.0739708988322</v>
      </c>
      <c r="Z172" s="168">
        <v>2.0710590030776181E-2</v>
      </c>
      <c r="AA172" s="76">
        <f t="shared" si="343"/>
        <v>4.8473359661741877E-4</v>
      </c>
      <c r="AB172" s="168"/>
      <c r="AC172" s="168"/>
      <c r="AD172" s="163">
        <f t="shared" si="355"/>
        <v>277134.47995023057</v>
      </c>
      <c r="AE172" s="168">
        <f t="shared" si="351"/>
        <v>-1.779878636675776E-2</v>
      </c>
      <c r="AF172" s="163"/>
      <c r="AG172" s="163"/>
      <c r="AH172" s="163"/>
      <c r="AI172" s="163"/>
      <c r="AJ172" s="116">
        <f t="shared" si="352"/>
        <v>379.69921034888057</v>
      </c>
      <c r="AK172" s="114">
        <f>+AV172/$AX$22</f>
        <v>1.9711772590627612E-2</v>
      </c>
      <c r="AL172" s="115">
        <f t="shared" si="339"/>
        <v>0.26963855969475325</v>
      </c>
      <c r="AM172" s="115">
        <f t="shared" si="340"/>
        <v>0.39048699597410874</v>
      </c>
      <c r="AN172" s="115">
        <f t="shared" si="341"/>
        <v>0.33987444433113811</v>
      </c>
      <c r="AO172" s="115">
        <f t="shared" si="344"/>
        <v>4.3403762958954348E-3</v>
      </c>
      <c r="AP172" s="166">
        <f t="shared" si="356"/>
        <v>124.08371277752376</v>
      </c>
      <c r="AQ172" s="168">
        <f t="shared" si="357"/>
        <v>4.3403762958953923E-3</v>
      </c>
      <c r="AR172" s="69">
        <f>+AD172/$AF$22</f>
        <v>2.3405108009820045E-2</v>
      </c>
      <c r="AS172" s="169">
        <f t="shared" si="354"/>
        <v>1.015869760086943E-4</v>
      </c>
      <c r="AT172" s="115"/>
      <c r="AU172" s="115"/>
      <c r="AV172" s="113">
        <f>IFERROR(INDEX('Total Customers'!$F$7:$AB$91,MATCH($C172,'Total Customers'!$D$7:$D$91,0),MATCH($G172,'Total Customers'!$F$5:$AB$5,0)),"NA")</f>
        <v>729879</v>
      </c>
      <c r="AW172" s="68">
        <f t="shared" si="287"/>
        <v>1.2453244741292495E-2</v>
      </c>
      <c r="AX172" s="114"/>
      <c r="AY172" s="114"/>
      <c r="AZ172" s="116">
        <v>8824403</v>
      </c>
      <c r="BA172" s="116"/>
      <c r="BB172" s="166"/>
      <c r="BC172" s="166"/>
      <c r="BD172" s="166"/>
      <c r="BE172" s="166"/>
      <c r="BF172" s="166"/>
      <c r="BG172" s="166"/>
      <c r="BH172" s="166"/>
      <c r="BI172" s="113"/>
      <c r="BJ172" s="113"/>
      <c r="BK172" s="113">
        <f>INDEX('Dist. Plant Gas Additions'!$F$7:$AE$91,MATCH($C172,'Dist. Plant Gas Additions'!$D$7:$D$91,0),MATCH(Calculation!$G172,'Dist. Plant Gas Additions'!$F$5:$AE$5,0))</f>
        <v>99053</v>
      </c>
      <c r="BL172" s="113">
        <f>INDEX('Gen. Plant Additions'!$F$7:$AE$91,MATCH($C172,'Gen. Plant Additions'!$D$7:$D$91,0),MATCH(Calculation!$G172,'Gen. Plant Additions'!$F$5:$AE$5,0))</f>
        <v>2338</v>
      </c>
      <c r="BM172" s="231">
        <f t="shared" si="320"/>
        <v>0.95165546128893663</v>
      </c>
      <c r="BN172" s="61">
        <f t="shared" si="358"/>
        <v>2224.9704684935336</v>
      </c>
      <c r="BO172" s="113"/>
      <c r="BP172" s="113"/>
      <c r="BQ172" s="113"/>
      <c r="BR172" s="113"/>
      <c r="BS172" s="113"/>
      <c r="BT172" s="113"/>
      <c r="BU172" s="113"/>
      <c r="BV172" s="113"/>
      <c r="BW172" s="113">
        <f>INDEX('Gross Dx Plant'!$E$7:$AD$91,MATCH($C172,'Gross Dx Plant'!$D$7:$D$91,0),MATCH(Calculation!$G172,'Gross Dx Plant'!$E$5:$AD$5,0))</f>
        <v>1490636</v>
      </c>
      <c r="BX172" s="113">
        <f>INDEX('Gross Gen Plant'!$E$7:$AD$91,MATCH($C172,'Gross Gen Plant'!$D$7:$D$91,0),MATCH(Calculation!$G172,'Gross Gen Plant'!$E$5:$AD$5,0))</f>
        <v>75725</v>
      </c>
      <c r="BY172" s="113">
        <f t="shared" si="313"/>
        <v>1566361</v>
      </c>
      <c r="BZ172" s="113"/>
      <c r="CA172" s="116">
        <v>2017</v>
      </c>
      <c r="CB172" s="113"/>
      <c r="CC172" s="113"/>
      <c r="CD172" s="113"/>
      <c r="CE172" s="175"/>
      <c r="CF172" s="113">
        <f t="shared" si="321"/>
        <v>101391</v>
      </c>
      <c r="CG172" s="113">
        <f t="shared" si="322"/>
        <v>142.31742285394924</v>
      </c>
      <c r="CH172" s="178">
        <v>0.87074829931972786</v>
      </c>
      <c r="CI172" s="61">
        <f>+CI153*CH172+CG154*CH171+CG155*CH170+CG156*CH169+CG157*CH168+CG158*CH167+CG159*CH166+CG160*CH165+CG161*CH164+CG162*CH163+CG163*CH162+CG164*CH161+CG165*CH160+CG166*CH159+CG167*CH158+CG168*CH157+CG169*CH156+CG170*CH155+CG171*CH154+CG172</f>
        <v>4897.0739708988322</v>
      </c>
      <c r="CJ172" s="114">
        <f t="shared" si="323"/>
        <v>2.0710590030776181E-2</v>
      </c>
      <c r="CK172" s="114"/>
      <c r="CL172" s="169">
        <f t="shared" si="324"/>
        <v>8.7433450769797572E-3</v>
      </c>
      <c r="CM172" s="169">
        <f t="shared" si="332"/>
        <v>8.4640861249583813E-3</v>
      </c>
      <c r="CN172" s="114">
        <f>VLOOKUP($H172,RoR!$E:$F,2,FALSE)</f>
        <v>3.7433333333333339E-2</v>
      </c>
      <c r="CO172" s="169">
        <v>1.9056896421275615E-2</v>
      </c>
      <c r="CP172" s="169">
        <f t="shared" si="330"/>
        <v>1.8376436912057724E-2</v>
      </c>
      <c r="CQ172" s="169">
        <f t="shared" si="333"/>
        <v>2.2437855483575242E-2</v>
      </c>
      <c r="CR172" s="169">
        <f t="shared" si="334"/>
        <v>1.3976271617800498E-2</v>
      </c>
      <c r="CS172" s="179">
        <f t="shared" si="325"/>
        <v>0.90120814999999999</v>
      </c>
      <c r="CT172" s="180">
        <f t="shared" si="326"/>
        <v>1.3699568463593395</v>
      </c>
      <c r="CU172" s="180">
        <f t="shared" si="327"/>
        <v>0.30714603739982199</v>
      </c>
      <c r="CV172" s="180">
        <f t="shared" si="328"/>
        <v>0.77007188472689425</v>
      </c>
      <c r="CW172" s="180">
        <f t="shared" si="329"/>
        <v>0.32402839633793828</v>
      </c>
      <c r="CX172" s="181">
        <f>INDEX('State Tax Lookup'!$D$7:$Z$91,MATCH(Calculation!$C172,'State Tax Lookup'!$B$7:$B$91,0),MATCH($H172,'State Tax Lookup'!$D$6:$Z$6,0))</f>
        <v>0.26700499999999999</v>
      </c>
      <c r="CY172" s="72">
        <v>0.37</v>
      </c>
      <c r="CZ172" s="70">
        <f t="shared" si="331"/>
        <v>19.636627586177493</v>
      </c>
      <c r="DA172" s="70">
        <v>18.231812616449311</v>
      </c>
      <c r="DB172" s="69">
        <f t="shared" si="335"/>
        <v>-0.10637458193396515</v>
      </c>
      <c r="DC172" s="111">
        <f>VLOOKUP($H172,RoR!$E:$F,2,FALSE)</f>
        <v>3.7433333333333339E-2</v>
      </c>
      <c r="DD172" s="216">
        <f>HLOOKUP($H172,'GDP-PI'!$D$8:$CQ$11,3,FALSE)</f>
        <v>1.9056896421275615E-2</v>
      </c>
      <c r="DE172" s="111">
        <f>VLOOKUP(H172,'HW Dx Data'!$E:$F,2,FALSE)</f>
        <v>712.42858370229726</v>
      </c>
      <c r="DF172" s="72">
        <f t="shared" si="342"/>
        <v>140.44999999999999</v>
      </c>
      <c r="DG172" s="69">
        <f t="shared" si="345"/>
        <v>2.5235657841165486E-2</v>
      </c>
      <c r="DH172" s="66">
        <f>HLOOKUP(H172,'GDP-PI'!$8:$9,2,FALSE)</f>
        <v>107.751</v>
      </c>
      <c r="DI172" s="69">
        <f t="shared" si="336"/>
        <v>1.8877588227745139E-2</v>
      </c>
      <c r="DO172" s="184"/>
      <c r="DP172" s="184"/>
      <c r="DQ172" s="184"/>
      <c r="DR172" s="184"/>
      <c r="DS172" s="184"/>
      <c r="DT172" s="184"/>
      <c r="DU172" s="184"/>
      <c r="DV172" s="184"/>
      <c r="DW172" s="184"/>
      <c r="EB172"/>
    </row>
    <row r="173" spans="1:132" s="160" customFormat="1" ht="21">
      <c r="A173" s="160" t="s">
        <v>169</v>
      </c>
      <c r="B173" s="161" t="s">
        <v>169</v>
      </c>
      <c r="C173" s="161">
        <v>4057111</v>
      </c>
      <c r="D173" s="161" t="s">
        <v>164</v>
      </c>
      <c r="E173" s="161" t="s">
        <v>3</v>
      </c>
      <c r="F173" s="161"/>
      <c r="G173" s="161" t="s">
        <v>136</v>
      </c>
      <c r="H173" s="162">
        <v>2018</v>
      </c>
      <c r="I173" s="163"/>
      <c r="J173" s="159">
        <f>IFERROR(INDEX('Labor Expenditures'!$F$7:$X$91,MATCH($C173,'Labor Expenditures'!$D$7:$D$91,0),MATCH($G173,'Labor Expenditures'!$F$5:$X$5,0)),"NA")</f>
        <v>182044.14521314992</v>
      </c>
      <c r="K173" s="159">
        <f t="shared" si="337"/>
        <v>1260.2571492776042</v>
      </c>
      <c r="L173" s="165">
        <f t="shared" si="346"/>
        <v>0.86233734945467799</v>
      </c>
      <c r="M173" s="76">
        <f t="shared" si="347"/>
        <v>3.6592845147317546E-2</v>
      </c>
      <c r="N173" s="62">
        <f t="shared" si="353"/>
        <v>122.949482335071</v>
      </c>
      <c r="O173" s="96">
        <f t="shared" si="348"/>
        <v>-0.31993273012707235</v>
      </c>
      <c r="P173" s="96"/>
      <c r="Q173" s="159">
        <f>IFERROR(INDEX('Non-Labor Expenditures'!$F$7:$AB$91,MATCH($C173,'Non-Labor Expenditures'!$D$7:$D$91,0),MATCH($G173,'Non-Labor Expenditures'!$F$5:$AB$5,0)),"NA")</f>
        <v>263633.92342486454</v>
      </c>
      <c r="R173" s="159">
        <f t="shared" si="338"/>
        <v>2389.6767954248885</v>
      </c>
      <c r="S173" s="165">
        <f t="shared" si="349"/>
        <v>0.86683887010016125</v>
      </c>
      <c r="T173" s="165">
        <f t="shared" si="350"/>
        <v>3.6783864877602671E-2</v>
      </c>
      <c r="U173" s="165"/>
      <c r="V173" s="165"/>
      <c r="W173" s="159">
        <f t="shared" si="319"/>
        <v>100477.82961192069</v>
      </c>
      <c r="X173" s="163"/>
      <c r="Y173" s="167">
        <v>4983.1797237835572</v>
      </c>
      <c r="Z173" s="168">
        <v>1.7430308078606516E-2</v>
      </c>
      <c r="AA173" s="76">
        <f t="shared" si="343"/>
        <v>7.3964622406049287E-4</v>
      </c>
      <c r="AB173" s="168"/>
      <c r="AC173" s="168"/>
      <c r="AD173" s="163">
        <f t="shared" si="355"/>
        <v>546155.89824993513</v>
      </c>
      <c r="AE173" s="168">
        <f t="shared" si="351"/>
        <v>0.67840158735833545</v>
      </c>
      <c r="AF173" s="163"/>
      <c r="AG173" s="163"/>
      <c r="AH173" s="163"/>
      <c r="AI173" s="163"/>
      <c r="AJ173" s="116">
        <f t="shared" si="352"/>
        <v>741.07087859667558</v>
      </c>
      <c r="AK173" s="114">
        <f>+AV173/$AX$23</f>
        <v>1.9729289335247521E-2</v>
      </c>
      <c r="AL173" s="115">
        <f t="shared" si="339"/>
        <v>0.33331901348402504</v>
      </c>
      <c r="AM173" s="115">
        <f t="shared" si="340"/>
        <v>0.48270818692910794</v>
      </c>
      <c r="AN173" s="115">
        <f t="shared" si="341"/>
        <v>0.1839727995868671</v>
      </c>
      <c r="AO173" s="115">
        <f t="shared" si="344"/>
        <v>0.6430015900304803</v>
      </c>
      <c r="AP173" s="166">
        <f t="shared" si="356"/>
        <v>236.02979118664703</v>
      </c>
      <c r="AQ173" s="168">
        <f t="shared" si="357"/>
        <v>0.6430015900304803</v>
      </c>
      <c r="AR173" s="69">
        <f>+AD173/$AF$23</f>
        <v>4.2434489437872557E-2</v>
      </c>
      <c r="AS173" s="169">
        <f t="shared" si="354"/>
        <v>2.7285444180683675E-2</v>
      </c>
      <c r="AT173" s="115"/>
      <c r="AU173" s="115"/>
      <c r="AV173" s="113">
        <f>IFERROR(INDEX('Total Customers'!$F$7:$AB$91,MATCH($C173,'Total Customers'!$D$7:$D$91,0),MATCH($G173,'Total Customers'!$F$5:$AB$5,0)),"NA")</f>
        <v>736982</v>
      </c>
      <c r="AW173" s="68">
        <f t="shared" si="287"/>
        <v>9.6847015740635523E-3</v>
      </c>
      <c r="AX173" s="114"/>
      <c r="AY173" s="114"/>
      <c r="AZ173" s="116">
        <v>8911356</v>
      </c>
      <c r="BA173" s="116"/>
      <c r="BB173" s="166"/>
      <c r="BC173" s="166"/>
      <c r="BD173" s="166"/>
      <c r="BE173" s="166"/>
      <c r="BF173" s="166"/>
      <c r="BG173" s="166"/>
      <c r="BH173" s="166"/>
      <c r="BI173" s="113"/>
      <c r="BJ173" s="113"/>
      <c r="BK173" s="113">
        <f>INDEX('Dist. Plant Gas Additions'!$F$7:$AE$91,MATCH($C173,'Dist. Plant Gas Additions'!$D$7:$D$91,0),MATCH(Calculation!$G173,'Dist. Plant Gas Additions'!$F$5:$AE$5,0))</f>
        <v>90088</v>
      </c>
      <c r="BL173" s="113">
        <f>INDEX('Gen. Plant Additions'!$F$7:$AE$91,MATCH($C173,'Gen. Plant Additions'!$D$7:$D$91,0),MATCH(Calculation!$G173,'Gen. Plant Additions'!$F$5:$AE$5,0))</f>
        <v>8379</v>
      </c>
      <c r="BM173" s="231">
        <f t="shared" si="320"/>
        <v>0.95284649381586328</v>
      </c>
      <c r="BN173" s="61">
        <f t="shared" si="358"/>
        <v>7983.9007716831184</v>
      </c>
      <c r="BO173" s="113"/>
      <c r="BP173" s="113"/>
      <c r="BQ173" s="113"/>
      <c r="BR173" s="113"/>
      <c r="BS173" s="113"/>
      <c r="BT173" s="113"/>
      <c r="BU173" s="113"/>
      <c r="BV173" s="113"/>
      <c r="BW173" s="113">
        <f>INDEX('Gross Dx Plant'!$E$7:$AD$91,MATCH($C173,'Gross Dx Plant'!$D$7:$D$91,0),MATCH(Calculation!$G173,'Gross Dx Plant'!$E$5:$AD$5,0))</f>
        <v>1553580</v>
      </c>
      <c r="BX173" s="113">
        <f>INDEX('Gross Gen Plant'!$E$7:$AD$91,MATCH($C173,'Gross Gen Plant'!$D$7:$D$91,0),MATCH(Calculation!$G173,'Gross Gen Plant'!$E$5:$AD$5,0))</f>
        <v>76882</v>
      </c>
      <c r="BY173" s="113">
        <f t="shared" si="313"/>
        <v>1630462</v>
      </c>
      <c r="BZ173" s="113"/>
      <c r="CA173" s="116">
        <v>2018</v>
      </c>
      <c r="CB173" s="113"/>
      <c r="CC173" s="113"/>
      <c r="CD173" s="113"/>
      <c r="CE173" s="175"/>
      <c r="CF173" s="113">
        <f t="shared" si="321"/>
        <v>98467</v>
      </c>
      <c r="CG173" s="113">
        <f t="shared" si="322"/>
        <v>130.39625557847964</v>
      </c>
      <c r="CH173" s="178">
        <v>0.86111111111111116</v>
      </c>
      <c r="CI173" s="61">
        <f>+CI153*CH173++CG154*CH172+CG155*CH171+CG156*CH170+CG157*CH169+CG158*CH168+CG159*CH167+CG160*CH166+CG161*CH165+CG162*CH164+CG163*CH163+CG164*CH162+CG165*CH161+CG166*CH160+CG167*CH159+CG168*CH158+CG169*CH157+CG170*CH156+CG171*CH155+CG172*CH154+CG173</f>
        <v>4983.1797237835572</v>
      </c>
      <c r="CJ173" s="114">
        <f t="shared" si="323"/>
        <v>1.7430308078606516E-2</v>
      </c>
      <c r="CK173" s="114"/>
      <c r="CL173" s="169">
        <f t="shared" si="324"/>
        <v>9.0442788810121532E-3</v>
      </c>
      <c r="CM173" s="169">
        <f t="shared" si="332"/>
        <v>8.7516872576464278E-3</v>
      </c>
      <c r="CN173" s="114">
        <f>VLOOKUP($H173,RoR!$E:$F,2,FALSE)</f>
        <v>3.9299999999999995E-2</v>
      </c>
      <c r="CO173" s="169">
        <v>2.386056741932796E-2</v>
      </c>
      <c r="CP173" s="169">
        <f t="shared" si="330"/>
        <v>1.5439432580672034E-2</v>
      </c>
      <c r="CQ173" s="169">
        <f t="shared" si="333"/>
        <v>2.2150254350887195E-2</v>
      </c>
      <c r="CR173" s="169">
        <f t="shared" si="334"/>
        <v>3.8270792163076606E-2</v>
      </c>
      <c r="CS173" s="179">
        <f t="shared" si="325"/>
        <v>0.90120814999999999</v>
      </c>
      <c r="CT173" s="180">
        <f t="shared" si="326"/>
        <v>1.3048868010700074</v>
      </c>
      <c r="CU173" s="180">
        <f t="shared" si="327"/>
        <v>0.33886768447837151</v>
      </c>
      <c r="CV173" s="180">
        <f t="shared" si="328"/>
        <v>0.78602506232557801</v>
      </c>
      <c r="CW173" s="180">
        <f t="shared" si="329"/>
        <v>0.34756768162358759</v>
      </c>
      <c r="CX173" s="181">
        <f>INDEX('State Tax Lookup'!$D$7:$Z$91,MATCH(Calculation!$C173,'State Tax Lookup'!$B$7:$B$91,0),MATCH($H173,'State Tax Lookup'!$D$6:$Z$6,0))</f>
        <v>0.26700499999999999</v>
      </c>
      <c r="CY173" s="72">
        <v>0.37</v>
      </c>
      <c r="CZ173" s="70">
        <f t="shared" si="331"/>
        <v>20.51793177089349</v>
      </c>
      <c r="DA173" s="70">
        <v>19.050901628905343</v>
      </c>
      <c r="DB173" s="69">
        <f t="shared" si="335"/>
        <v>4.3902647646573707E-2</v>
      </c>
      <c r="DC173" s="111">
        <f>VLOOKUP($H173,RoR!$E:$F,2,FALSE)</f>
        <v>3.9299999999999995E-2</v>
      </c>
      <c r="DD173" s="216">
        <f>HLOOKUP($H173,'GDP-PI'!$D$8:$CQ$11,3,FALSE)</f>
        <v>2.386056741932796E-2</v>
      </c>
      <c r="DE173" s="111">
        <f>VLOOKUP(H173,'HW Dx Data'!$E:$F,2,FALSE)</f>
        <v>755.13671434174842</v>
      </c>
      <c r="DF173" s="72">
        <f t="shared" si="342"/>
        <v>144.44999999999999</v>
      </c>
      <c r="DG173" s="69">
        <f t="shared" si="345"/>
        <v>2.80818733619915E-2</v>
      </c>
      <c r="DH173" s="66">
        <f>HLOOKUP(H173,'GDP-PI'!$8:$9,2,FALSE)</f>
        <v>110.322</v>
      </c>
      <c r="DI173" s="69">
        <f t="shared" si="336"/>
        <v>2.3580352716508712E-2</v>
      </c>
      <c r="DO173" s="184"/>
      <c r="DP173" s="184"/>
      <c r="DQ173" s="184"/>
      <c r="DR173" s="184"/>
      <c r="DS173" s="184"/>
      <c r="DT173" s="184"/>
      <c r="DU173" s="184"/>
      <c r="DV173" s="184"/>
      <c r="DW173" s="184"/>
      <c r="EB173"/>
    </row>
    <row r="174" spans="1:132" s="160" customFormat="1" ht="21">
      <c r="A174" s="160" t="s">
        <v>169</v>
      </c>
      <c r="B174" s="161" t="s">
        <v>169</v>
      </c>
      <c r="C174" s="161">
        <v>4057111</v>
      </c>
      <c r="D174" s="161" t="s">
        <v>164</v>
      </c>
      <c r="E174" s="161" t="s">
        <v>3</v>
      </c>
      <c r="F174" s="161"/>
      <c r="G174" s="161" t="s">
        <v>140</v>
      </c>
      <c r="H174" s="162">
        <v>2019</v>
      </c>
      <c r="I174" s="163"/>
      <c r="J174" s="159">
        <f>IFERROR(INDEX('Labor Expenditures'!$F$7:$X$91,MATCH($C174,'Labor Expenditures'!$D$7:$D$91,0),MATCH($G174,'Labor Expenditures'!$F$5:$X$5,0)),"NA")</f>
        <v>106975.1197434819</v>
      </c>
      <c r="K174" s="159">
        <f t="shared" si="337"/>
        <v>714.71601632525073</v>
      </c>
      <c r="L174" s="165">
        <f t="shared" si="346"/>
        <v>-0.56718578201844816</v>
      </c>
      <c r="M174" s="76">
        <f t="shared" si="347"/>
        <v>-1.5607800858417037E-2</v>
      </c>
      <c r="N174" s="62">
        <f t="shared" si="353"/>
        <v>120.63641295725863</v>
      </c>
      <c r="O174" s="96">
        <f t="shared" si="348"/>
        <v>-1.8992387910722219E-2</v>
      </c>
      <c r="P174" s="96"/>
      <c r="Q174" s="159">
        <f>IFERROR(INDEX('Non-Labor Expenditures'!$F$7:$AB$91,MATCH($C174,'Non-Labor Expenditures'!$D$7:$D$91,0),MATCH($G174,'Non-Labor Expenditures'!$F$5:$AB$5,0)),"NA")</f>
        <v>154919.95358487166</v>
      </c>
      <c r="R174" s="159">
        <f t="shared" si="338"/>
        <v>1379.2976511767629</v>
      </c>
      <c r="S174" s="165">
        <f t="shared" si="349"/>
        <v>-0.54958370357067843</v>
      </c>
      <c r="T174" s="165">
        <f t="shared" si="350"/>
        <v>-1.512342740651325E-2</v>
      </c>
      <c r="U174" s="165"/>
      <c r="V174" s="165"/>
      <c r="W174" s="159">
        <f t="shared" si="319"/>
        <v>103250.30478808575</v>
      </c>
      <c r="X174" s="163"/>
      <c r="Y174" s="167">
        <v>5100.6684479423366</v>
      </c>
      <c r="Z174" s="168">
        <v>2.3303413330900309E-2</v>
      </c>
      <c r="AA174" s="76">
        <f t="shared" si="343"/>
        <v>6.4126260939707889E-4</v>
      </c>
      <c r="AB174" s="168"/>
      <c r="AC174" s="168"/>
      <c r="AD174" s="163">
        <f t="shared" si="355"/>
        <v>365145.37811643933</v>
      </c>
      <c r="AE174" s="168">
        <f t="shared" si="351"/>
        <v>-0.40260889242681258</v>
      </c>
      <c r="AF174" s="163"/>
      <c r="AG174" s="163"/>
      <c r="AH174" s="163"/>
      <c r="AI174" s="163"/>
      <c r="AJ174" s="116">
        <f t="shared" si="352"/>
        <v>490.06158643786461</v>
      </c>
      <c r="AK174" s="114">
        <f>+AV174/$AX$24</f>
        <v>1.9782134502457419E-2</v>
      </c>
      <c r="AL174" s="115">
        <f t="shared" si="339"/>
        <v>0.2929658326645152</v>
      </c>
      <c r="AM174" s="115">
        <f t="shared" si="340"/>
        <v>0.42426924416792161</v>
      </c>
      <c r="AN174" s="115">
        <f t="shared" si="341"/>
        <v>0.28276492316756313</v>
      </c>
      <c r="AO174" s="115">
        <f t="shared" si="344"/>
        <v>-0.4214016468979595</v>
      </c>
      <c r="AP174" s="166">
        <f t="shared" si="356"/>
        <v>154.86540486998751</v>
      </c>
      <c r="AQ174" s="168">
        <f t="shared" si="357"/>
        <v>-0.42140164689795945</v>
      </c>
      <c r="AR174" s="69">
        <f>+AD174/$AF$24</f>
        <v>2.7517969161486106E-2</v>
      </c>
      <c r="AS174" s="169">
        <f t="shared" si="354"/>
        <v>-1.1596117523937506E-2</v>
      </c>
      <c r="AT174" s="115"/>
      <c r="AU174" s="115"/>
      <c r="AV174" s="113">
        <f>IFERROR(INDEX('Total Customers'!$F$7:$AB$91,MATCH($C174,'Total Customers'!$D$7:$D$91,0),MATCH($G174,'Total Customers'!$F$5:$AB$5,0)),"NA")</f>
        <v>745101</v>
      </c>
      <c r="AW174" s="68">
        <f t="shared" si="287"/>
        <v>1.0956311107286636E-2</v>
      </c>
      <c r="AX174" s="114"/>
      <c r="AY174" s="114"/>
      <c r="AZ174" s="116">
        <v>8963640</v>
      </c>
      <c r="BA174" s="116"/>
      <c r="BB174" s="166"/>
      <c r="BC174" s="166"/>
      <c r="BD174" s="166"/>
      <c r="BE174" s="166"/>
      <c r="BF174" s="166"/>
      <c r="BG174" s="166"/>
      <c r="BH174" s="166"/>
      <c r="BI174" s="113"/>
      <c r="BJ174" s="113"/>
      <c r="BK174" s="113">
        <f>INDEX('Dist. Plant Gas Additions'!$F$7:$AE$91,MATCH($C174,'Dist. Plant Gas Additions'!$D$7:$D$91,0),MATCH(Calculation!$G174,'Dist. Plant Gas Additions'!$F$5:$AE$5,0))</f>
        <v>120908</v>
      </c>
      <c r="BL174" s="113">
        <f>INDEX('Gen. Plant Additions'!$F$7:$AE$91,MATCH($C174,'Gen. Plant Additions'!$D$7:$D$91,0),MATCH(Calculation!$G174,'Gen. Plant Additions'!$F$5:$AE$5,0))</f>
        <v>6101</v>
      </c>
      <c r="BM174" s="231">
        <f t="shared" si="320"/>
        <v>0.95407207721691745</v>
      </c>
      <c r="BN174" s="61">
        <f t="shared" si="358"/>
        <v>5820.7937431004129</v>
      </c>
      <c r="BO174" s="113"/>
      <c r="BP174" s="113"/>
      <c r="BQ174" s="113"/>
      <c r="BR174" s="113"/>
      <c r="BS174" s="113"/>
      <c r="BT174" s="113"/>
      <c r="BU174" s="113"/>
      <c r="BV174" s="113"/>
      <c r="BW174" s="113">
        <f>INDEX('Gross Dx Plant'!$E$7:$AD$91,MATCH($C174,'Gross Dx Plant'!$D$7:$D$91,0),MATCH(Calculation!$G174,'Gross Dx Plant'!$E$5:$AD$5,0))</f>
        <v>1697382</v>
      </c>
      <c r="BX174" s="113">
        <f>INDEX('Gross Gen Plant'!$E$7:$AD$91,MATCH($C174,'Gross Gen Plant'!$D$7:$D$91,0),MATCH(Calculation!$G174,'Gross Gen Plant'!$E$5:$AD$5,0))</f>
        <v>81710</v>
      </c>
      <c r="BY174" s="113">
        <f t="shared" si="313"/>
        <v>1779092</v>
      </c>
      <c r="BZ174" s="113"/>
      <c r="CA174" s="116">
        <v>2019</v>
      </c>
      <c r="CB174" s="113"/>
      <c r="CC174" s="113"/>
      <c r="CD174" s="113"/>
      <c r="CE174" s="175"/>
      <c r="CF174" s="113">
        <f t="shared" si="321"/>
        <v>127009</v>
      </c>
      <c r="CG174" s="113">
        <f t="shared" si="322"/>
        <v>164.19204601283508</v>
      </c>
      <c r="CH174" s="178">
        <v>0.85106382978723405</v>
      </c>
      <c r="CI174" s="61">
        <f>CI153*CH174+CG154*CH173+CG155*CH172+CG156*CH171+CG157*CH170+CG158*CH169+CG159*CH168+CG160*CH167+CG161*CH166+CG162*CH165+CG163*CH164+CG164*CH163+CG165*CH162+CG166*CH161+CG167*CH160+CG168*CH159+CG169*CH158+CG170*CH157+CG171*CH156+CG172*CH155+CG173*CH154+CG174</f>
        <v>5100.6684479423366</v>
      </c>
      <c r="CJ174" s="114">
        <f t="shared" si="323"/>
        <v>2.3303413330900309E-2</v>
      </c>
      <c r="CK174" s="114"/>
      <c r="CL174" s="169">
        <f t="shared" si="324"/>
        <v>9.3721929456309968E-3</v>
      </c>
      <c r="CM174" s="169">
        <f t="shared" si="332"/>
        <v>9.0532723012076363E-3</v>
      </c>
      <c r="CN174" s="114">
        <f>VLOOKUP($H174,RoR!$E:$F,2,FALSE)</f>
        <v>3.3875000000000009E-2</v>
      </c>
      <c r="CO174" s="169">
        <v>1.8092492884465461E-2</v>
      </c>
      <c r="CP174" s="169">
        <f t="shared" si="330"/>
        <v>1.5782507115534548E-2</v>
      </c>
      <c r="CQ174" s="169">
        <f t="shared" si="333"/>
        <v>2.1848669307325989E-2</v>
      </c>
      <c r="CR174" s="169">
        <f t="shared" si="334"/>
        <v>4.8445665544254078E-2</v>
      </c>
      <c r="CS174" s="179">
        <f t="shared" si="325"/>
        <v>0.90120814999999999</v>
      </c>
      <c r="CT174" s="180">
        <f t="shared" si="326"/>
        <v>1.513861292459078</v>
      </c>
      <c r="CU174" s="180">
        <f t="shared" si="327"/>
        <v>0.23699261992619944</v>
      </c>
      <c r="CV174" s="180">
        <f t="shared" si="328"/>
        <v>0.73619765810468829</v>
      </c>
      <c r="CW174" s="180">
        <f t="shared" si="329"/>
        <v>0.26412854465362851</v>
      </c>
      <c r="CX174" s="181">
        <f>INDEX('State Tax Lookup'!$D$7:$Z$91,MATCH(Calculation!$C174,'State Tax Lookup'!$B$7:$B$91,0),MATCH($H174,'State Tax Lookup'!$D$6:$Z$6,0))</f>
        <v>0.26700499999999999</v>
      </c>
      <c r="CY174" s="72">
        <v>0.37</v>
      </c>
      <c r="CZ174" s="70">
        <f t="shared" si="331"/>
        <v>20.719763386276451</v>
      </c>
      <c r="DA174" s="70">
        <v>19.236104090735289</v>
      </c>
      <c r="DB174" s="69">
        <f t="shared" si="335"/>
        <v>9.7887734141306141E-3</v>
      </c>
      <c r="DC174" s="111">
        <f>VLOOKUP($H174,RoR!$E:$F,2,FALSE)</f>
        <v>3.3875000000000009E-2</v>
      </c>
      <c r="DD174" s="216">
        <f>HLOOKUP($H174,'GDP-PI'!$D$8:$CQ$11,3,FALSE)</f>
        <v>1.8092492884465461E-2</v>
      </c>
      <c r="DE174" s="111">
        <f>VLOOKUP(H174,'HW Dx Data'!$E:$F,2,FALSE)</f>
        <v>773.53929793938721</v>
      </c>
      <c r="DF174" s="72">
        <f t="shared" si="342"/>
        <v>149.67500000000001</v>
      </c>
      <c r="DG174" s="69">
        <f t="shared" si="345"/>
        <v>3.5532849899171604E-2</v>
      </c>
      <c r="DH174" s="66">
        <f>HLOOKUP(H174,'GDP-PI'!$8:$9,2,FALSE)</f>
        <v>112.318</v>
      </c>
      <c r="DI174" s="69">
        <f t="shared" si="336"/>
        <v>1.7930771451401852E-2</v>
      </c>
      <c r="DO174" s="184"/>
      <c r="DP174" s="184"/>
      <c r="DQ174" s="184"/>
      <c r="DR174" s="184"/>
      <c r="DS174" s="184"/>
      <c r="DT174" s="184"/>
      <c r="DU174" s="184"/>
      <c r="DV174" s="184"/>
      <c r="DW174" s="184"/>
      <c r="EB174"/>
    </row>
    <row r="175" spans="1:132" s="160" customFormat="1" ht="21">
      <c r="A175" s="160" t="s">
        <v>169</v>
      </c>
      <c r="B175" s="160" t="s">
        <v>169</v>
      </c>
      <c r="C175" s="160">
        <v>4057111</v>
      </c>
      <c r="D175" s="160" t="s">
        <v>164</v>
      </c>
      <c r="E175" s="160" t="s">
        <v>3</v>
      </c>
      <c r="G175" s="161" t="s">
        <v>141</v>
      </c>
      <c r="H175" s="162">
        <v>2020</v>
      </c>
      <c r="I175" s="163"/>
      <c r="J175" s="159">
        <f>IFERROR(INDEX('Labor Expenditures'!$F$7:$X$91,MATCH($C175,'Labor Expenditures'!$D$7:$D$91,0),MATCH($G175,'Labor Expenditures'!$F$5:$X$5,0)),"NA")</f>
        <v>76508.145246526648</v>
      </c>
      <c r="K175" s="159">
        <f t="shared" si="337"/>
        <v>499.56346879873746</v>
      </c>
      <c r="L175" s="165">
        <f t="shared" si="346"/>
        <v>-0.3581506291537549</v>
      </c>
      <c r="M175" s="76">
        <f t="shared" si="347"/>
        <v>-7.7728173483377428E-3</v>
      </c>
      <c r="N175" s="62">
        <f t="shared" si="353"/>
        <v>117.16291807409605</v>
      </c>
      <c r="O175" s="96">
        <f t="shared" si="348"/>
        <v>-2.9215741980023559E-2</v>
      </c>
      <c r="P175" s="96"/>
      <c r="Q175" s="159">
        <f>IFERROR(INDEX('Non-Labor Expenditures'!$F$7:$AB$91,MATCH($C175,'Non-Labor Expenditures'!$D$7:$D$91,0),MATCH($G175,'Non-Labor Expenditures'!$F$5:$AB$5,0)),"NA")</f>
        <v>110798.08406738167</v>
      </c>
      <c r="R175" s="159">
        <f t="shared" si="338"/>
        <v>975.13781600012032</v>
      </c>
      <c r="S175" s="165">
        <f t="shared" si="349"/>
        <v>-0.34675088941777887</v>
      </c>
      <c r="T175" s="165">
        <f t="shared" si="350"/>
        <v>-7.5254127995988658E-3</v>
      </c>
      <c r="U175" s="165"/>
      <c r="V175" s="165"/>
      <c r="W175" s="159">
        <f t="shared" si="319"/>
        <v>109518.46631964916</v>
      </c>
      <c r="X175" s="163"/>
      <c r="Y175" s="167">
        <v>5203.0859992919059</v>
      </c>
      <c r="Z175" s="168">
        <v>1.9880311595515437E-2</v>
      </c>
      <c r="AA175" s="76">
        <f t="shared" si="343"/>
        <v>4.314554220527252E-4</v>
      </c>
      <c r="AB175" s="168"/>
      <c r="AC175" s="168"/>
      <c r="AD175" s="163">
        <f t="shared" si="355"/>
        <v>296824.69563355751</v>
      </c>
      <c r="AE175" s="168">
        <f t="shared" si="351"/>
        <v>-0.2071538563487372</v>
      </c>
      <c r="AF175" s="163"/>
      <c r="AG175" s="163"/>
      <c r="AH175" s="163"/>
      <c r="AI175" s="163"/>
      <c r="AJ175" s="116">
        <f t="shared" si="352"/>
        <v>393.92688491013627</v>
      </c>
      <c r="AK175" s="114">
        <f>+AV175/$AX$25</f>
        <v>1.9863909775962318E-2</v>
      </c>
      <c r="AL175" s="115">
        <f t="shared" si="339"/>
        <v>0.25775532282859359</v>
      </c>
      <c r="AM175" s="115">
        <f t="shared" si="340"/>
        <v>0.37327784950941728</v>
      </c>
      <c r="AN175" s="115">
        <f t="shared" si="341"/>
        <v>0.36896682766198902</v>
      </c>
      <c r="AO175" s="115">
        <f t="shared" si="344"/>
        <v>-0.23041733106506965</v>
      </c>
      <c r="AP175" s="166">
        <f t="shared" si="356"/>
        <v>122.99442792671846</v>
      </c>
      <c r="AQ175" s="168">
        <f t="shared" si="357"/>
        <v>-0.2304173310650697</v>
      </c>
      <c r="AR175" s="69">
        <f>+AD175/$AF$25</f>
        <v>2.1702648873473999E-2</v>
      </c>
      <c r="AS175" s="169">
        <f t="shared" si="354"/>
        <v>-5.0006664304682209E-3</v>
      </c>
      <c r="AT175" s="115"/>
      <c r="AU175" s="115"/>
      <c r="AV175" s="113">
        <f>IFERROR(INDEX('Total Customers'!$F$7:$AB$91,MATCH($C175,'Total Customers'!$D$7:$D$91,0),MATCH($G175,'Total Customers'!$F$5:$AB$5,0)),"NA")</f>
        <v>753502</v>
      </c>
      <c r="AW175" s="68">
        <f t="shared" si="287"/>
        <v>1.1211892682541566E-2</v>
      </c>
      <c r="AX175" s="114"/>
      <c r="AY175" s="114"/>
      <c r="AZ175" s="116">
        <v>9060252</v>
      </c>
      <c r="BA175" s="116"/>
      <c r="BB175" s="166"/>
      <c r="BC175" s="166"/>
      <c r="BD175" s="166"/>
      <c r="BE175" s="166"/>
      <c r="BF175" s="166"/>
      <c r="BG175" s="166"/>
      <c r="BH175" s="166"/>
      <c r="BI175" s="113"/>
      <c r="BJ175" s="113"/>
      <c r="BK175" s="113">
        <f>INDEX('Dist. Plant Gas Additions'!$F$7:$AE$91,MATCH($C175,'Dist. Plant Gas Additions'!$D$7:$D$91,0),MATCH(Calculation!$G175,'Dist. Plant Gas Additions'!$F$5:$AE$5,0))</f>
        <v>115249</v>
      </c>
      <c r="BL175" s="113">
        <f>INDEX('Gen. Plant Additions'!$F$7:$AE$91,MATCH($C175,'Gen. Plant Additions'!$D$7:$D$91,0),MATCH(Calculation!$G175,'Gen. Plant Additions'!$F$5:$AE$5,0))</f>
        <v>8201</v>
      </c>
      <c r="BM175" s="231">
        <f t="shared" si="320"/>
        <v>0.951717310182012</v>
      </c>
      <c r="BN175" s="61">
        <f t="shared" si="358"/>
        <v>7805.0336608026801</v>
      </c>
      <c r="BO175" s="113"/>
      <c r="BP175" s="113"/>
      <c r="BQ175" s="113"/>
      <c r="BR175" s="113"/>
      <c r="BS175" s="113"/>
      <c r="BT175" s="113"/>
      <c r="BU175" s="113"/>
      <c r="BV175" s="113"/>
      <c r="BW175" s="113">
        <f>INDEX('Gross Dx Plant'!$E$7:$AD$91,MATCH($C175,'Gross Dx Plant'!$D$7:$D$91,0),MATCH(Calculation!$G175,'Gross Dx Plant'!$E$5:$AD$5,0))</f>
        <v>1762077</v>
      </c>
      <c r="BX175" s="113">
        <f>INDEX('Gross Gen Plant'!$E$7:$AD$91,MATCH($C175,'Gross Gen Plant'!$D$7:$D$91,0),MATCH(Calculation!$G175,'Gross Gen Plant'!$E$5:$AD$5,0))</f>
        <v>89394</v>
      </c>
      <c r="BY175" s="113">
        <f t="shared" si="313"/>
        <v>1851471</v>
      </c>
      <c r="BZ175" s="113"/>
      <c r="CA175" s="116">
        <v>2020</v>
      </c>
      <c r="CB175" s="113"/>
      <c r="CC175" s="113"/>
      <c r="CD175" s="113"/>
      <c r="CE175" s="175"/>
      <c r="CF175" s="113">
        <f t="shared" si="321"/>
        <v>123450</v>
      </c>
      <c r="CG175" s="113">
        <f t="shared" si="322"/>
        <v>151.83004788442418</v>
      </c>
      <c r="CH175" s="178">
        <v>0.84057971014492749</v>
      </c>
      <c r="CI175" s="61">
        <f>CI153*CH175+CG154*CH174+CG155*CH173+CG156*CH172+CG157*CH171+CG158*CH170+CG159*CH169+CG160*CH168+CG161*CH167+CG162*CH166+CG163*CH165+CG164*CH164+CG165*CH163+CG166*CH162+CG167*CH161+CG168*CH160+CG169*CH159+CG170*CH158+CG171*CH157+CG172*CH156+CG173*CH155+CG174*CH154+CG175</f>
        <v>5203.0859992919059</v>
      </c>
      <c r="CJ175" s="114">
        <f t="shared" si="323"/>
        <v>1.9880311595515437E-2</v>
      </c>
      <c r="CK175" s="114"/>
      <c r="CL175" s="169">
        <f t="shared" si="324"/>
        <v>9.6874550932218306E-3</v>
      </c>
      <c r="CM175" s="169">
        <f t="shared" si="332"/>
        <v>9.3679756399549941E-3</v>
      </c>
      <c r="CN175" s="114">
        <f>VLOOKUP($H175,RoR!$E:$F,2,FALSE)</f>
        <v>2.4766666666666666E-2</v>
      </c>
      <c r="CO175" s="169">
        <v>1.1618796630994188E-2</v>
      </c>
      <c r="CP175" s="169">
        <f t="shared" si="330"/>
        <v>1.3147870035672478E-2</v>
      </c>
      <c r="CQ175" s="169">
        <f t="shared" si="333"/>
        <v>2.1533965968578629E-2</v>
      </c>
      <c r="CR175" s="169">
        <f t="shared" si="334"/>
        <v>4.5144642961987357E-2</v>
      </c>
      <c r="CS175" s="179">
        <f t="shared" si="325"/>
        <v>0.90120814999999999</v>
      </c>
      <c r="CT175" s="180">
        <f t="shared" si="326"/>
        <v>2.0706077233668081</v>
      </c>
      <c r="CU175" s="180">
        <f t="shared" si="327"/>
        <v>-3.4421265141318998E-2</v>
      </c>
      <c r="CV175" s="180">
        <f t="shared" si="328"/>
        <v>0.62416226176410472</v>
      </c>
      <c r="CW175" s="180">
        <f t="shared" si="329"/>
        <v>-4.4485877841158712E-2</v>
      </c>
      <c r="CX175" s="181">
        <f>INDEX('State Tax Lookup'!$D$7:$Z$91,MATCH(Calculation!$C175,'State Tax Lookup'!$B$7:$B$91,0),MATCH($H175,'State Tax Lookup'!$D$6:$Z$6,0))</f>
        <v>0.26700499999999999</v>
      </c>
      <c r="CY175" s="72">
        <v>0.37</v>
      </c>
      <c r="CZ175" s="70">
        <f t="shared" si="331"/>
        <v>21.471394864692698</v>
      </c>
      <c r="DA175" s="70">
        <v>19.952659173050833</v>
      </c>
      <c r="DB175" s="69">
        <f t="shared" si="335"/>
        <v>3.5633580116232459E-2</v>
      </c>
      <c r="DC175" s="111">
        <f>VLOOKUP($H175,RoR!$E:$F,2,FALSE)</f>
        <v>2.4766666666666666E-2</v>
      </c>
      <c r="DD175" s="216">
        <f>HLOOKUP($H175,'GDP-PI'!$D$8:$CQ$11,3,FALSE)</f>
        <v>1.1618796630994188E-2</v>
      </c>
      <c r="DE175" s="111">
        <f>VLOOKUP(H175,'HW Dx Data'!$E:$F,2,FALSE)</f>
        <v>813.080162458833</v>
      </c>
      <c r="DF175" s="72">
        <f t="shared" si="342"/>
        <v>153.15</v>
      </c>
      <c r="DG175" s="69">
        <f t="shared" si="345"/>
        <v>2.2951556467368479E-2</v>
      </c>
      <c r="DH175" s="66">
        <f>HLOOKUP(H175,'GDP-PI'!$8:$9,2,FALSE)</f>
        <v>113.623</v>
      </c>
      <c r="DI175" s="69">
        <f t="shared" si="336"/>
        <v>1.1551816731392881E-2</v>
      </c>
      <c r="DO175" s="184"/>
      <c r="DP175" s="184"/>
      <c r="DQ175" s="184"/>
      <c r="DR175" s="184"/>
      <c r="DS175" s="184"/>
      <c r="DT175" s="184"/>
      <c r="DU175" s="184"/>
      <c r="DV175" s="184"/>
      <c r="DW175" s="184"/>
      <c r="EB175"/>
    </row>
    <row r="176" spans="1:132" s="160" customFormat="1" ht="21">
      <c r="A176" s="160" t="s">
        <v>169</v>
      </c>
      <c r="B176" s="160" t="s">
        <v>169</v>
      </c>
      <c r="C176" s="160">
        <v>4057111</v>
      </c>
      <c r="D176" s="160" t="s">
        <v>164</v>
      </c>
      <c r="E176" s="160" t="s">
        <v>3</v>
      </c>
      <c r="G176" s="161" t="s">
        <v>142</v>
      </c>
      <c r="H176" s="162">
        <v>2021</v>
      </c>
      <c r="I176" s="163"/>
      <c r="J176" s="159">
        <v>93296.329716244523</v>
      </c>
      <c r="K176" s="159">
        <f t="shared" si="337"/>
        <v>593.29939406196831</v>
      </c>
      <c r="L176" s="164">
        <f t="shared" si="346"/>
        <v>0.17196449728411103</v>
      </c>
      <c r="M176" s="76">
        <f t="shared" si="347"/>
        <v>4.0225901928385537E-3</v>
      </c>
      <c r="N176" s="166">
        <f>+N175*EXP(O176)</f>
        <v>122.71938948519454</v>
      </c>
      <c r="O176" s="114">
        <f t="shared" si="348"/>
        <v>4.6334934353582893E-2</v>
      </c>
      <c r="P176" s="114"/>
      <c r="Q176" s="159">
        <v>131514.10333494714</v>
      </c>
      <c r="R176" s="159">
        <f t="shared" si="338"/>
        <v>1109.9173207439205</v>
      </c>
      <c r="S176" s="165">
        <f t="shared" si="349"/>
        <v>0.1294619949632593</v>
      </c>
      <c r="T176" s="165">
        <f t="shared" si="350"/>
        <v>3.0283724810018608E-3</v>
      </c>
      <c r="U176" s="165"/>
      <c r="V176" s="165"/>
      <c r="W176" s="159">
        <f t="shared" si="319"/>
        <v>133609.84851268219</v>
      </c>
      <c r="X176" s="163"/>
      <c r="Y176" s="167">
        <v>5358.9671506140894</v>
      </c>
      <c r="Z176" s="168"/>
      <c r="AA176" s="76">
        <f t="shared" si="343"/>
        <v>0</v>
      </c>
      <c r="AB176" s="168"/>
      <c r="AC176" s="168"/>
      <c r="AD176" s="163">
        <f t="shared" si="355"/>
        <v>358420.28156387387</v>
      </c>
      <c r="AE176" s="168">
        <f t="shared" si="351"/>
        <v>0.18856455454028639</v>
      </c>
      <c r="AF176" s="113"/>
      <c r="AG176" s="114"/>
      <c r="AH176" s="114"/>
      <c r="AI176" s="114"/>
      <c r="AJ176" s="116">
        <f t="shared" si="352"/>
        <v>364.83146489650011</v>
      </c>
      <c r="AK176" s="114">
        <f>+AV176/$AX$26</f>
        <v>2.544733945388114E-2</v>
      </c>
      <c r="AL176" s="115">
        <f t="shared" si="339"/>
        <v>0.26029868987650534</v>
      </c>
      <c r="AM176" s="115">
        <f t="shared" si="340"/>
        <v>0.36692706886206183</v>
      </c>
      <c r="AN176" s="115">
        <f t="shared" si="341"/>
        <v>0.37277424126143277</v>
      </c>
      <c r="AO176" s="115">
        <f t="shared" si="344"/>
        <v>9.2457651637418509E-2</v>
      </c>
      <c r="AP176" s="166">
        <f t="shared" si="356"/>
        <v>134.90849105684148</v>
      </c>
      <c r="AQ176" s="168">
        <f t="shared" si="357"/>
        <v>9.2457651637418578E-2</v>
      </c>
      <c r="AR176" s="69">
        <f>+AD176/$AF$26</f>
        <v>2.3391980649311781E-2</v>
      </c>
      <c r="AS176" s="169">
        <f t="shared" si="354"/>
        <v>2.1627675979833051E-3</v>
      </c>
      <c r="AT176" s="115"/>
      <c r="AU176" s="115"/>
      <c r="AV176" s="113">
        <f>INDEX('Total Customers'!$E$7:$E$91,MATCH(Calculation!$C176,'Total Customers'!$D$7:$D$91,0))</f>
        <v>982427</v>
      </c>
      <c r="AW176" s="68">
        <f t="shared" si="287"/>
        <v>0.26529436838550857</v>
      </c>
      <c r="AX176" s="113"/>
      <c r="AY176" s="113"/>
      <c r="AZ176" s="116"/>
      <c r="BA176" s="116"/>
      <c r="BB176" s="166"/>
      <c r="BC176" s="166"/>
      <c r="BD176" s="166"/>
      <c r="BE176" s="166"/>
      <c r="BF176" s="166"/>
      <c r="BG176" s="166"/>
      <c r="BH176" s="166"/>
      <c r="BI176" s="113"/>
      <c r="BJ176" s="113"/>
      <c r="BK176" s="113">
        <f>INDEX('Dist. Plant Gas Additions'!$E$7:$AE$91,MATCH($C176,'Dist. Plant Gas Additions'!$D$7:$D$91,0),MATCH(Calculation!$G176,'Dist. Plant Gas Additions'!$E$5:$AE$5,0))</f>
        <v>170443.24400000001</v>
      </c>
      <c r="BL176" s="113">
        <f>INDEX('Gen. Plant Additions'!$E$7:$AE$91,MATCH($C176,'Gen. Plant Additions'!$D$7:$D$91,0),MATCH(Calculation!$G176,'Gen. Plant Additions'!$E$5:$AE$5,0))</f>
        <v>5346</v>
      </c>
      <c r="BM176" s="231">
        <v>0.951717310182012</v>
      </c>
      <c r="BN176" s="61">
        <f t="shared" si="358"/>
        <v>5087.8807402330358</v>
      </c>
      <c r="BO176" s="113"/>
      <c r="BP176" s="113"/>
      <c r="BQ176" s="175"/>
      <c r="BR176" s="175"/>
      <c r="BS176" s="170"/>
      <c r="BT176" s="176"/>
      <c r="BU176" s="177"/>
      <c r="BV176" s="177"/>
      <c r="BW176" s="113"/>
      <c r="BX176" s="113"/>
      <c r="BY176" s="113"/>
      <c r="BZ176" s="113"/>
      <c r="CA176" s="116">
        <v>2021</v>
      </c>
      <c r="CB176" s="113"/>
      <c r="CC176" s="113"/>
      <c r="CD176" s="113"/>
      <c r="CE176" s="175"/>
      <c r="CF176" s="113">
        <f t="shared" si="321"/>
        <v>175789.24400000001</v>
      </c>
      <c r="CG176" s="113">
        <f t="shared" si="322"/>
        <v>188.40836544412838</v>
      </c>
      <c r="CH176" s="178">
        <f>+(51-23)/(51-23*0.75)</f>
        <v>0.82962962962962961</v>
      </c>
      <c r="CI176" s="113">
        <f>CI153*CH176+CG154*CH175+CG155*CH174+CG156*CH173+CG157*CH172+CG158*CH171+CG159*CH170+CG160*CH169+CG161*CH168+CG162*CH167+CG163*CH166+CG164*CH165+CG165*CH164+CG166*CH163+CG167*CH162+CG158*CH161+CG169*CH160+CG170*CH159+CG171*CH158+CG172*CH157+CG173*CH156+CG174*CH155+CG176+CG175*CH154</f>
        <v>5358.9671506140894</v>
      </c>
      <c r="CJ176" s="114"/>
      <c r="CK176" s="113"/>
      <c r="CL176" s="169">
        <f t="shared" si="324"/>
        <v>6.251523447118019E-3</v>
      </c>
      <c r="CM176" s="169">
        <f t="shared" si="332"/>
        <v>8.4370571619902818E-3</v>
      </c>
      <c r="CN176" s="114">
        <f>VLOOKUP($H176,RoR!$E:$F,2,FALSE)</f>
        <v>2.7033333333333336E-2</v>
      </c>
      <c r="CO176" s="169"/>
      <c r="CP176" s="169"/>
      <c r="CQ176" s="169">
        <f t="shared" si="333"/>
        <v>2.2464884446543341E-2</v>
      </c>
      <c r="CR176" s="169">
        <f t="shared" si="334"/>
        <v>7.433422950153494E-2</v>
      </c>
      <c r="CS176" s="179">
        <f t="shared" si="325"/>
        <v>0.90120814999999999</v>
      </c>
      <c r="CT176" s="180">
        <f t="shared" si="326"/>
        <v>1.8969932656739068</v>
      </c>
      <c r="CU176" s="180">
        <f t="shared" si="327"/>
        <v>5.0215782983970621E-2</v>
      </c>
      <c r="CV176" s="180">
        <f t="shared" si="328"/>
        <v>0.655952481704143</v>
      </c>
      <c r="CW176" s="180">
        <f t="shared" si="329"/>
        <v>6.2485378865697057E-2</v>
      </c>
      <c r="CX176" s="181">
        <f>CX175</f>
        <v>0.26700499999999999</v>
      </c>
      <c r="CY176" s="72">
        <v>0.37</v>
      </c>
      <c r="CZ176" s="182">
        <f t="shared" si="331"/>
        <v>25.678962164158985</v>
      </c>
      <c r="DA176" s="182"/>
      <c r="DB176" s="169">
        <f t="shared" si="335"/>
        <v>0.17895048597576363</v>
      </c>
      <c r="DC176" s="181">
        <f>VLOOKUP($H176,RoR!$E:$F,2,FALSE)</f>
        <v>2.7033333333333336E-2</v>
      </c>
      <c r="DD176" s="183">
        <f>HLOOKUP($H176,'GDP-PI'!$D$8:$CR$11,3,FALSE)</f>
        <v>4.2834637353352578E-2</v>
      </c>
      <c r="DE176" s="181">
        <f>VLOOKUP(H176,'HW Dx Data'!$E:$F,2,FALSE)</f>
        <v>933.02249921662576</v>
      </c>
      <c r="DF176" s="72">
        <f t="shared" si="342"/>
        <v>157.25</v>
      </c>
      <c r="DG176" s="69">
        <f t="shared" si="345"/>
        <v>2.6419062301765574E-2</v>
      </c>
      <c r="DH176" s="175">
        <f>HLOOKUP(H176,'GDP-PI'!$8:$9,2,FALSE)</f>
        <v>118.49</v>
      </c>
      <c r="DI176" s="169">
        <f t="shared" si="336"/>
        <v>4.194261824609434E-2</v>
      </c>
      <c r="DO176" s="184"/>
      <c r="DP176" s="184"/>
      <c r="DQ176" s="184"/>
      <c r="DR176" s="184"/>
      <c r="DS176" s="184"/>
      <c r="DT176" s="184"/>
      <c r="DU176" s="184"/>
      <c r="DV176" s="184"/>
      <c r="DW176" s="184"/>
      <c r="EB176"/>
    </row>
    <row r="177" spans="1:132" s="160" customFormat="1" ht="21">
      <c r="G177" s="161" t="s">
        <v>144</v>
      </c>
      <c r="H177" s="162"/>
      <c r="I177" s="163"/>
      <c r="J177" s="159">
        <v>103174.32733590261</v>
      </c>
      <c r="K177" s="159">
        <f t="shared" si="337"/>
        <v>634.72363787082497</v>
      </c>
      <c r="L177" s="164">
        <f t="shared" ref="L177" si="359">LN(K177/K176)</f>
        <v>6.7490536244459345E-2</v>
      </c>
      <c r="M177" s="76">
        <f t="shared" si="347"/>
        <v>1.6204777208095515E-3</v>
      </c>
      <c r="N177" s="166">
        <f>+N176*EXP(O177)</f>
        <v>122.8439804063061</v>
      </c>
      <c r="O177" s="114">
        <f t="shared" si="348"/>
        <v>1.0147354783202015E-3</v>
      </c>
      <c r="P177" s="114"/>
      <c r="Q177" s="163">
        <v>145438.50961807958</v>
      </c>
      <c r="R177" s="159">
        <f t="shared" si="338"/>
        <v>1142.9352425782286</v>
      </c>
      <c r="S177" s="165">
        <f t="shared" ref="S177" si="360">LN(R177/R176)</f>
        <v>2.9314200811839893E-2</v>
      </c>
      <c r="T177" s="165">
        <f t="shared" si="350"/>
        <v>7.0384696821583763E-4</v>
      </c>
      <c r="U177" s="166"/>
      <c r="V177" s="114"/>
      <c r="W177" s="159">
        <f t="shared" si="319"/>
        <v>141441.49155394547</v>
      </c>
      <c r="X177" s="165">
        <f>LN(W177/W176)</f>
        <v>5.6962169524681833E-2</v>
      </c>
      <c r="Y177" s="167">
        <v>5454.4963646306387</v>
      </c>
      <c r="Z177" s="168">
        <v>1.7669028831975579E-2</v>
      </c>
      <c r="AA177" s="76">
        <f t="shared" si="343"/>
        <v>4.2424122201145811E-4</v>
      </c>
      <c r="AB177" s="166"/>
      <c r="AC177" s="114"/>
      <c r="AD177" s="163">
        <f t="shared" si="355"/>
        <v>390054.32850792765</v>
      </c>
      <c r="AE177" s="168">
        <f t="shared" si="351"/>
        <v>8.4579764603706864E-2</v>
      </c>
      <c r="AF177" s="113"/>
      <c r="AG177" s="114"/>
      <c r="AH177" s="114"/>
      <c r="AI177" s="114"/>
      <c r="AJ177" s="116">
        <f t="shared" si="352"/>
        <v>394.86137083649112</v>
      </c>
      <c r="AK177" s="114"/>
      <c r="AL177" s="115">
        <f t="shared" si="339"/>
        <v>0.26451270962836049</v>
      </c>
      <c r="AM177" s="115">
        <f t="shared" si="340"/>
        <v>0.37286731357250819</v>
      </c>
      <c r="AN177" s="115">
        <f t="shared" si="341"/>
        <v>0.36261997679913133</v>
      </c>
      <c r="AO177" s="115"/>
      <c r="AP177" s="166"/>
      <c r="AQ177" s="168"/>
      <c r="AR177" s="69">
        <f>+AD177/$AF$27</f>
        <v>2.4010443700431927E-2</v>
      </c>
      <c r="AS177" s="169"/>
      <c r="AT177" s="166"/>
      <c r="AU177" s="168"/>
      <c r="AV177" s="113">
        <v>987826</v>
      </c>
      <c r="AW177" s="68">
        <f t="shared" si="287"/>
        <v>5.4805281492023182E-3</v>
      </c>
      <c r="AX177" s="113"/>
      <c r="AY177" s="113"/>
      <c r="AZ177" s="113"/>
      <c r="BA177" s="113"/>
      <c r="BB177" s="171"/>
      <c r="BC177" s="172"/>
      <c r="BD177" s="173"/>
      <c r="BE177" s="115"/>
      <c r="BF177" s="174"/>
      <c r="BG177" s="174"/>
      <c r="BH177" s="166"/>
      <c r="BI177" s="113"/>
      <c r="BJ177" s="113"/>
      <c r="BK177" s="113"/>
      <c r="BL177" s="113"/>
      <c r="BM177" s="231">
        <v>0.951717310182012</v>
      </c>
      <c r="BN177" s="61">
        <f t="shared" si="358"/>
        <v>0</v>
      </c>
      <c r="BO177" s="113"/>
      <c r="BP177" s="113"/>
      <c r="BQ177" s="175"/>
      <c r="BR177" s="175"/>
      <c r="BS177" s="170"/>
      <c r="BT177" s="176"/>
      <c r="BU177" s="177"/>
      <c r="BV177" s="177"/>
      <c r="BW177" s="113"/>
      <c r="BX177" s="113"/>
      <c r="BY177" s="113"/>
      <c r="BZ177" s="113"/>
      <c r="CA177" s="116">
        <v>2022</v>
      </c>
      <c r="CB177" s="113"/>
      <c r="CC177" s="113"/>
      <c r="CD177" s="113"/>
      <c r="CE177" s="175"/>
      <c r="CF177" s="113">
        <v>127009</v>
      </c>
      <c r="CG177" s="113">
        <f>+CF176/DE177</f>
        <v>170.53505883722511</v>
      </c>
      <c r="CH177" s="178">
        <f>+(51-24)/(51-24*0.75)</f>
        <v>0.81818181818181823</v>
      </c>
      <c r="CI177" s="113">
        <f>+CI153*CH177+CG154*CH176+CG155*CH175+CG156*CH174+CG157*CH173+CG158*CH172+CG159*CH171+CG160*CH170+CG161*CH169+CG162*CH168+CG163*CH167+CG164*CH166+CG165*CH165+CG166*CH164+CG167*CH163+CG168*CH162+CG169*CH161+CG170*CH160+CG171*CH159+CG172*CH158+CG173*CH157+CG174*CH156+CG175*CH155+CG176*CH154+CG177*CH153</f>
        <v>5454.4963646306387</v>
      </c>
      <c r="CJ177" s="114">
        <f t="shared" ref="CJ177" si="361">LN(CI177/CI176)</f>
        <v>1.7669028831975579E-2</v>
      </c>
      <c r="CK177" s="113"/>
      <c r="CL177" s="169">
        <f t="shared" ref="CL177" si="362">+(CI176-CI177+CG177)/CI176</f>
        <v>1.3996324797788845E-2</v>
      </c>
      <c r="CM177" s="169">
        <f t="shared" ref="CM177" si="363">+(CL177+CL176+CL175)/3</f>
        <v>9.9784344460428984E-3</v>
      </c>
      <c r="CN177" s="114"/>
      <c r="CO177" s="169"/>
      <c r="CP177" s="169"/>
      <c r="CQ177" s="69">
        <f t="shared" si="333"/>
        <v>2.0923507162490727E-2</v>
      </c>
      <c r="CR177" s="169">
        <f t="shared" si="334"/>
        <v>0.10114668178709289</v>
      </c>
      <c r="CS177" s="179">
        <f t="shared" si="325"/>
        <v>0.90120814999999999</v>
      </c>
      <c r="CT177" s="180"/>
      <c r="CU177" s="180"/>
      <c r="CV177" s="180"/>
      <c r="CW177" s="180"/>
      <c r="CX177" s="181">
        <f>CX176</f>
        <v>0.26700499999999999</v>
      </c>
      <c r="CY177" s="72">
        <v>0.37</v>
      </c>
      <c r="CZ177" s="182">
        <f t="shared" si="331"/>
        <v>26.393423877908553</v>
      </c>
      <c r="DA177" s="182"/>
      <c r="DB177" s="169">
        <f t="shared" si="335"/>
        <v>2.7442819752236104E-2</v>
      </c>
      <c r="DC177" s="181">
        <v>0.04</v>
      </c>
      <c r="DD177" s="183">
        <v>7.0000000000000001E-3</v>
      </c>
      <c r="DE177" s="181">
        <v>1030.81</v>
      </c>
      <c r="DF177" s="72">
        <f t="shared" si="342"/>
        <v>162.55000000000001</v>
      </c>
      <c r="DG177" s="169">
        <f t="shared" si="345"/>
        <v>3.3148751169364422E-2</v>
      </c>
      <c r="DH177" s="175">
        <v>127.25</v>
      </c>
      <c r="DI177" s="169">
        <f t="shared" si="336"/>
        <v>7.1325086601983473E-2</v>
      </c>
      <c r="DO177" s="184"/>
      <c r="DP177" s="184"/>
      <c r="DQ177" s="184"/>
      <c r="DR177" s="184"/>
      <c r="DS177" s="184"/>
      <c r="DT177" s="184"/>
      <c r="DU177" s="184"/>
      <c r="DV177" s="184"/>
      <c r="DW177" s="184"/>
      <c r="EB177"/>
    </row>
    <row r="178" spans="1:132" s="160" customFormat="1" ht="21">
      <c r="A178" s="160" t="s">
        <v>170</v>
      </c>
      <c r="B178" s="161" t="s">
        <v>170</v>
      </c>
      <c r="C178" s="161">
        <v>4018679</v>
      </c>
      <c r="D178" s="161" t="s">
        <v>171</v>
      </c>
      <c r="E178" s="161" t="s">
        <v>3</v>
      </c>
      <c r="F178" s="161"/>
      <c r="G178" s="161" t="s">
        <v>100</v>
      </c>
      <c r="H178" s="162">
        <v>1998</v>
      </c>
      <c r="I178" s="163"/>
      <c r="J178" s="159"/>
      <c r="K178" s="159"/>
      <c r="L178" s="159"/>
      <c r="M178" s="60"/>
      <c r="N178" s="131"/>
      <c r="O178" s="76"/>
      <c r="P178" s="76"/>
      <c r="Q178" s="159"/>
      <c r="R178" s="159"/>
      <c r="S178" s="159"/>
      <c r="T178" s="159"/>
      <c r="U178" s="159"/>
      <c r="V178" s="159"/>
      <c r="W178" s="159"/>
      <c r="X178" s="163"/>
      <c r="Y178" s="167">
        <v>6418.4939657819841</v>
      </c>
      <c r="Z178" s="168"/>
      <c r="AA178" s="78"/>
      <c r="AB178" s="168"/>
      <c r="AC178" s="168"/>
      <c r="AD178" s="163">
        <f t="shared" si="355"/>
        <v>0</v>
      </c>
      <c r="AE178" s="163"/>
      <c r="AF178" s="163"/>
      <c r="AG178" s="114"/>
      <c r="AH178" s="114"/>
      <c r="AI178" s="114"/>
      <c r="AJ178" s="166">
        <f>+(AJ175+AJ176+AJ177)/3</f>
        <v>384.5399068810425</v>
      </c>
      <c r="AK178" s="168"/>
      <c r="AL178" s="115"/>
      <c r="AM178" s="115"/>
      <c r="AN178" s="115"/>
      <c r="AO178" s="115"/>
      <c r="AP178" s="115"/>
      <c r="AQ178" s="168">
        <f>AVERAGE(AQ187:AQ201)</f>
        <v>2.3302489561677412E-2</v>
      </c>
      <c r="AR178" s="79"/>
      <c r="AS178" s="115"/>
      <c r="AT178" s="115"/>
      <c r="AU178" s="115"/>
      <c r="AV178" s="113">
        <f>IFERROR(INDEX('Total Customers'!$F$7:$AB$91,MATCH($C178,'Total Customers'!$D$7:$D$91,0),MATCH($G178,'Total Customers'!$F$5:$AB$5,0)),"NA")</f>
        <v>1172083</v>
      </c>
      <c r="AW178" s="68"/>
      <c r="AX178" s="114"/>
      <c r="AY178" s="114"/>
      <c r="AZ178" s="116"/>
      <c r="BA178" s="116"/>
      <c r="BB178" s="166"/>
      <c r="BC178" s="166"/>
      <c r="BD178" s="166"/>
      <c r="BE178" s="166"/>
      <c r="BF178" s="166"/>
      <c r="BG178" s="166"/>
      <c r="BH178" s="166"/>
      <c r="BI178" s="113">
        <f>INDEX('Gross Dx Plant'!$E$7:$AD$91,MATCH($C178,'Gross Dx Plant'!$D$7:$D$91,0),MATCH(Calculation!$G178,'Gross Dx Plant'!$E$5:$AD$5,0))</f>
        <v>1518875</v>
      </c>
      <c r="BJ178" s="113">
        <f>INDEX('Gross Gen Plant'!$E$7:$AD$91,MATCH($C178,'Gross Gen Plant'!$D$7:$D$91,0),MATCH(Calculation!$G178,'Gross Gen Plant'!$E$5:$AD$5,0))</f>
        <v>168775</v>
      </c>
      <c r="BK178" s="113">
        <f>INDEX('Dist. Plant Gas Additions'!$F$7:$AE$91,MATCH($C178,'Dist. Plant Gas Additions'!$D$7:$D$91,0),MATCH(Calculation!$G178,'Dist. Plant Gas Additions'!$F$5:$AE$5,0))</f>
        <v>72879</v>
      </c>
      <c r="BL178" s="113">
        <f>INDEX('Gen. Plant Additions'!$F$7:$AE$91,MATCH($C178,'Gen. Plant Additions'!$D$7:$D$91,0),MATCH(Calculation!$G178,'Gen. Plant Additions'!$F$5:$AE$5,0))</f>
        <v>7076</v>
      </c>
      <c r="BM178" s="231">
        <f>+(BW178/(BW178+BX178))</f>
        <v>0.89999407460077618</v>
      </c>
      <c r="BN178" s="61">
        <f t="shared" si="358"/>
        <v>6368.3580718750927</v>
      </c>
      <c r="BO178" s="113">
        <f>INDEX('Dist Plant Depreciation'!$E$7:$AD$94,MATCH($C178,'Dist Plant Depreciation'!$D$7:$D$94,0),MATCH(Calculation!$G178,'Dist Plant Depreciation'!$E$5:$AD$5,0))</f>
        <v>343754</v>
      </c>
      <c r="BP178" s="113">
        <f>INDEX('Gen. Plant Depreciation'!$E$7:$AD$94,MATCH($C178,'Gen. Plant Depreciation'!$D$7:$D$94,0),MATCH(Calculation!$G178,'Gen. Plant Depreciation'!$E$5:$AD$5,0))</f>
        <v>49161</v>
      </c>
      <c r="BQ178" s="113"/>
      <c r="BR178" s="113"/>
      <c r="BS178" s="113"/>
      <c r="BT178" s="113"/>
      <c r="BU178" s="113"/>
      <c r="BV178" s="113"/>
      <c r="BW178" s="113">
        <f>INDEX('Gross Dx Plant'!$E$7:$AD$91,MATCH($C178,'Gross Dx Plant'!$D$7:$D$91,0),MATCH(Calculation!$G178,'Gross Dx Plant'!$E$5:$AD$5,0))</f>
        <v>1518875</v>
      </c>
      <c r="BX178" s="113">
        <f>INDEX('Gross Gen Plant'!$E$7:$AD$91,MATCH($C178,'Gross Gen Plant'!$D$7:$D$91,0),MATCH(Calculation!$G178,'Gross Gen Plant'!$E$5:$AD$5,0))</f>
        <v>168775</v>
      </c>
      <c r="BY178" s="113">
        <f t="shared" si="313"/>
        <v>1294735</v>
      </c>
      <c r="BZ178" s="113"/>
      <c r="CA178" s="116">
        <v>1998</v>
      </c>
      <c r="CB178" s="113">
        <f>BI178+BJ178</f>
        <v>1687650</v>
      </c>
      <c r="CC178" s="113">
        <f>343754+49161</f>
        <v>392915</v>
      </c>
      <c r="CD178" s="113">
        <f>+CB178-CC178</f>
        <v>1294735</v>
      </c>
      <c r="CE178" s="113">
        <f>CD178/$BV$3</f>
        <v>6418.4939657819841</v>
      </c>
      <c r="CF178" s="175"/>
      <c r="CG178" s="175"/>
      <c r="CH178" s="178">
        <v>1</v>
      </c>
      <c r="CI178" s="113">
        <f>+CE178</f>
        <v>6418.4939657819841</v>
      </c>
      <c r="CJ178" s="114"/>
      <c r="CK178" s="114"/>
      <c r="CL178" s="169"/>
      <c r="CM178" s="169"/>
      <c r="CN178" s="114" t="e">
        <f>VLOOKUP($H178,RoR!$E:$F,2,FALSE)</f>
        <v>#N/A</v>
      </c>
      <c r="CO178" s="169">
        <v>1.1028127770464469E-2</v>
      </c>
      <c r="CP178" s="169"/>
      <c r="CQ178" s="169"/>
      <c r="CR178" s="169"/>
      <c r="CS178" s="179"/>
      <c r="CT178" s="182" t="e">
        <f>2/(DC178*39)</f>
        <v>#N/A</v>
      </c>
      <c r="CU178" s="180" t="e">
        <f>+(DC178*40-(1+DC178))/(DC178*40)</f>
        <v>#N/A</v>
      </c>
      <c r="CV178" s="180" t="e">
        <f>+(1-(1/(1+DC178)^40))</f>
        <v>#N/A</v>
      </c>
      <c r="CW178" s="180" t="e">
        <f>+CV178*CU178*CT178</f>
        <v>#N/A</v>
      </c>
      <c r="CX178" s="181">
        <f>INDEX('State Tax Lookup'!$D$7:$Z$91,MATCH(Calculation!$C178,'State Tax Lookup'!$B$7:$B$91,0),MATCH($H178,'State Tax Lookup'!$D$6:$Z$6,0))</f>
        <v>0.39649667</v>
      </c>
      <c r="CY178" s="72">
        <v>0.37</v>
      </c>
      <c r="CZ178" s="66"/>
      <c r="DA178" s="66"/>
      <c r="DB178" s="69"/>
      <c r="DC178" s="111" t="e">
        <f>VLOOKUP($H178,RoR!$E:$F,2,FALSE)</f>
        <v>#N/A</v>
      </c>
      <c r="DD178" s="216">
        <f>HLOOKUP($H178,'GDP-PI'!$D$8:$CQ$11,3,FALSE)</f>
        <v>1.1028127770464469E-2</v>
      </c>
      <c r="DE178" s="111">
        <f>VLOOKUP(H178,'HW Dx Data'!$E:$F,2,FALSE)</f>
        <v>329.24564746449528</v>
      </c>
      <c r="DF178" s="175">
        <v>162.55000000000001</v>
      </c>
      <c r="DG178" s="169">
        <f t="shared" si="345"/>
        <v>0</v>
      </c>
      <c r="DH178" s="66">
        <f>HLOOKUP(H178,'GDP-PI'!$8:$9,2,FALSE)</f>
        <v>75.266999999999996</v>
      </c>
      <c r="DI178"/>
      <c r="EB178"/>
    </row>
    <row r="179" spans="1:132" s="160" customFormat="1" ht="21">
      <c r="A179" s="160" t="s">
        <v>170</v>
      </c>
      <c r="B179" s="161" t="s">
        <v>170</v>
      </c>
      <c r="C179" s="161">
        <v>4018679</v>
      </c>
      <c r="D179" s="161" t="s">
        <v>171</v>
      </c>
      <c r="E179" s="161" t="s">
        <v>3</v>
      </c>
      <c r="F179" s="161"/>
      <c r="G179" s="161" t="s">
        <v>106</v>
      </c>
      <c r="H179" s="162">
        <v>1999</v>
      </c>
      <c r="I179" s="163"/>
      <c r="J179" s="159"/>
      <c r="K179" s="159"/>
      <c r="L179" s="159"/>
      <c r="M179" s="60"/>
      <c r="N179" s="152"/>
      <c r="O179" s="60"/>
      <c r="P179" s="60"/>
      <c r="Q179" s="159"/>
      <c r="R179" s="159"/>
      <c r="S179" s="159"/>
      <c r="T179" s="187"/>
      <c r="U179" s="159"/>
      <c r="V179" s="159"/>
      <c r="W179" s="159">
        <f t="shared" ref="W179:W202" si="364">+CI178*CZ179</f>
        <v>0</v>
      </c>
      <c r="X179" s="163"/>
      <c r="Y179" s="167">
        <v>6681.3080548307271</v>
      </c>
      <c r="Z179" s="168">
        <v>4.0130279557016618E-2</v>
      </c>
      <c r="AA179" s="78"/>
      <c r="AB179" s="168"/>
      <c r="AC179" s="168"/>
      <c r="AD179" s="163">
        <f t="shared" si="355"/>
        <v>0</v>
      </c>
      <c r="AE179" s="168"/>
      <c r="AF179" s="163"/>
      <c r="AG179" s="114"/>
      <c r="AH179" s="114"/>
      <c r="AI179" s="114"/>
      <c r="AJ179" s="167"/>
      <c r="AK179" s="168"/>
      <c r="AL179" s="115"/>
      <c r="AM179" s="115"/>
      <c r="AN179" s="115"/>
      <c r="AO179" s="115"/>
      <c r="AP179" s="115"/>
      <c r="AQ179" s="168"/>
      <c r="AR179" s="79"/>
      <c r="AS179" s="115"/>
      <c r="AT179" s="115"/>
      <c r="AU179" s="115"/>
      <c r="AV179" s="113">
        <f>IFERROR(INDEX('Total Customers'!$F$7:$AB$91,MATCH($C179,'Total Customers'!$D$7:$D$91,0),MATCH($G179,'Total Customers'!$F$5:$AB$5,0)),"NA")</f>
        <v>1179802</v>
      </c>
      <c r="AW179" s="68">
        <f t="shared" si="287"/>
        <v>6.5641200280837086E-3</v>
      </c>
      <c r="AX179" s="114"/>
      <c r="AY179" s="114"/>
      <c r="AZ179" s="116"/>
      <c r="BA179" s="116"/>
      <c r="BB179" s="166"/>
      <c r="BC179" s="166"/>
      <c r="BD179" s="166"/>
      <c r="BE179" s="166"/>
      <c r="BF179" s="166"/>
      <c r="BG179" s="166"/>
      <c r="BH179" s="166"/>
      <c r="BI179" s="113"/>
      <c r="BJ179" s="113"/>
      <c r="BK179" s="113">
        <f>INDEX('Dist. Plant Gas Additions'!$F$7:$AE$91,MATCH($C179,'Dist. Plant Gas Additions'!$D$7:$D$91,0),MATCH(Calculation!$G179,'Dist. Plant Gas Additions'!$F$5:$AE$5,0))</f>
        <v>88293</v>
      </c>
      <c r="BL179" s="113">
        <f>INDEX('Gen. Plant Additions'!$F$7:$AE$91,MATCH($C179,'Gen. Plant Additions'!$D$7:$D$91,0),MATCH(Calculation!$G179,'Gen. Plant Additions'!$F$5:$AE$5,0))</f>
        <v>10543</v>
      </c>
      <c r="BM179" s="231">
        <f t="shared" ref="BM179:BM200" si="365">+(BW179/(BW179+BX179))</f>
        <v>0.90188533229248802</v>
      </c>
      <c r="BN179" s="61">
        <f t="shared" si="358"/>
        <v>9508.5770583597005</v>
      </c>
      <c r="BO179" s="113">
        <f>INDEX('Dist Plant Depreciation'!$E$7:$AD$94,MATCH($C179,'Dist Plant Depreciation'!$D$7:$D$94,0),MATCH(Calculation!$G179,'Dist Plant Depreciation'!$E$5:$AD$5,0))</f>
        <v>375172</v>
      </c>
      <c r="BP179" s="113">
        <f>INDEX('Gen. Plant Depreciation'!$E$7:$AD$94,MATCH($C179,'Gen. Plant Depreciation'!$D$7:$D$94,0),MATCH(Calculation!$G179,'Gen. Plant Depreciation'!$E$5:$AD$5,0))</f>
        <v>57039</v>
      </c>
      <c r="BQ179" s="113"/>
      <c r="BR179" s="113"/>
      <c r="BS179" s="113"/>
      <c r="BT179" s="113"/>
      <c r="BU179" s="113"/>
      <c r="BV179" s="113"/>
      <c r="BW179" s="113">
        <f>INDEX('Gross Dx Plant'!$E$7:$AD$91,MATCH($C179,'Gross Dx Plant'!$D$7:$D$91,0),MATCH(Calculation!$G179,'Gross Dx Plant'!$E$5:$AD$5,0))</f>
        <v>1603590</v>
      </c>
      <c r="BX179" s="113">
        <f>INDEX('Gross Gen Plant'!$E$7:$AD$91,MATCH($C179,'Gross Gen Plant'!$D$7:$D$91,0),MATCH(Calculation!$G179,'Gross Gen Plant'!$E$5:$AD$5,0))</f>
        <v>174452</v>
      </c>
      <c r="BY179" s="113">
        <f t="shared" si="313"/>
        <v>1345831</v>
      </c>
      <c r="BZ179" s="113"/>
      <c r="CA179" s="116">
        <v>1999</v>
      </c>
      <c r="CB179" s="113"/>
      <c r="CC179" s="113"/>
      <c r="CD179" s="113"/>
      <c r="CE179" s="175"/>
      <c r="CF179" s="113">
        <f t="shared" ref="CF179:CF201" si="366">+BL179+BK179</f>
        <v>98836</v>
      </c>
      <c r="CG179" s="113">
        <f t="shared" ref="CG179:CG201" si="367">+CF179/$DE179</f>
        <v>294.74689484865326</v>
      </c>
      <c r="CH179" s="178">
        <v>0.99502487562189057</v>
      </c>
      <c r="CI179" s="61">
        <f>+CI178*CH179+CG179</f>
        <v>6681.3080548307271</v>
      </c>
      <c r="CJ179" s="114">
        <f t="shared" ref="CJ179:CJ200" si="368">LN(CI179/CI178)</f>
        <v>4.0130279557016618E-2</v>
      </c>
      <c r="CK179" s="114"/>
      <c r="CL179" s="169">
        <f t="shared" ref="CL179:CL202" si="369">+(CI178-CI179+CG179)/CI178</f>
        <v>4.9751243781094396E-3</v>
      </c>
      <c r="CM179" s="169"/>
      <c r="CN179" s="114">
        <f>VLOOKUP($H179,RoR!$E:$F,2,FALSE)</f>
        <v>7.0416666666666669E-2</v>
      </c>
      <c r="CO179" s="169">
        <v>1.4335631817396832E-2</v>
      </c>
      <c r="CP179" s="169">
        <f>+CN179-CO179</f>
        <v>5.6081034849269837E-2</v>
      </c>
      <c r="CQ179" s="169"/>
      <c r="CR179" s="169"/>
      <c r="CS179" s="179">
        <f t="shared" ref="CS179:CS202" si="370">1-CX179*CY179</f>
        <v>0.85329623209999994</v>
      </c>
      <c r="CT179" s="180">
        <f t="shared" ref="CT179:CT201" si="371">2/(DC179*39)</f>
        <v>0.72826581702321336</v>
      </c>
      <c r="CU179" s="180">
        <f t="shared" ref="CU179:CU201" si="372">+(DC179*40-(1+DC179))/(DC179*40)</f>
        <v>0.61997041420118348</v>
      </c>
      <c r="CV179" s="180">
        <f t="shared" ref="CV179:CV201" si="373">+(1-(1/(1+DC179)^40))</f>
        <v>0.93425155319585029</v>
      </c>
      <c r="CW179" s="180">
        <f t="shared" ref="CW179:CW201" si="374">+CV179*CU179*CT179</f>
        <v>0.42181762214141483</v>
      </c>
      <c r="CX179" s="181">
        <f>INDEX('State Tax Lookup'!$D$7:$Z$91,MATCH(Calculation!$C179,'State Tax Lookup'!$B$7:$B$91,0),MATCH($H179,'State Tax Lookup'!$D$6:$Z$6,0))</f>
        <v>0.39649667</v>
      </c>
      <c r="CY179" s="72">
        <v>0.37</v>
      </c>
      <c r="CZ179" s="70"/>
      <c r="DA179" s="70"/>
      <c r="DB179" s="69"/>
      <c r="DC179" s="111">
        <f>VLOOKUP($H179,RoR!$E:$F,2,FALSE)</f>
        <v>7.0416666666666669E-2</v>
      </c>
      <c r="DD179" s="216">
        <f>HLOOKUP($H179,'GDP-PI'!$D$8:$CQ$11,3,FALSE)</f>
        <v>1.4335631817396832E-2</v>
      </c>
      <c r="DE179" s="111">
        <f>VLOOKUP(H179,'HW Dx Data'!$E:$F,2,FALSE)</f>
        <v>335.32499146683239</v>
      </c>
      <c r="DF179" s="66"/>
      <c r="DG179" s="69"/>
      <c r="DH179" s="66">
        <f>HLOOKUP(H179,'GDP-PI'!$8:$9,2,FALSE)</f>
        <v>76.346000000000004</v>
      </c>
      <c r="DI179"/>
      <c r="EB179"/>
    </row>
    <row r="180" spans="1:132" s="160" customFormat="1" ht="21">
      <c r="A180" s="160" t="s">
        <v>170</v>
      </c>
      <c r="B180" s="161" t="s">
        <v>170</v>
      </c>
      <c r="C180" s="161">
        <v>4018679</v>
      </c>
      <c r="D180" s="161" t="s">
        <v>171</v>
      </c>
      <c r="E180" s="161" t="s">
        <v>3</v>
      </c>
      <c r="F180" s="161"/>
      <c r="G180" s="161" t="s">
        <v>107</v>
      </c>
      <c r="H180" s="162">
        <v>2000</v>
      </c>
      <c r="I180" s="163"/>
      <c r="J180" s="159"/>
      <c r="K180" s="159"/>
      <c r="L180" s="159"/>
      <c r="M180" s="60"/>
      <c r="N180" s="152"/>
      <c r="O180" s="60"/>
      <c r="P180" s="60"/>
      <c r="Q180" s="159"/>
      <c r="R180" s="159"/>
      <c r="S180" s="159"/>
      <c r="T180" s="159"/>
      <c r="U180" s="159"/>
      <c r="V180" s="159"/>
      <c r="W180" s="159">
        <f t="shared" si="364"/>
        <v>0</v>
      </c>
      <c r="X180" s="163"/>
      <c r="Y180" s="167">
        <v>6960.5614611334922</v>
      </c>
      <c r="Z180" s="168">
        <v>4.094635582537641E-2</v>
      </c>
      <c r="AA180" s="78"/>
      <c r="AB180" s="168"/>
      <c r="AC180" s="168"/>
      <c r="AD180" s="163">
        <f t="shared" si="355"/>
        <v>0</v>
      </c>
      <c r="AE180" s="168"/>
      <c r="AF180" s="163"/>
      <c r="AG180" s="163"/>
      <c r="AH180" s="163"/>
      <c r="AI180" s="163"/>
      <c r="AJ180" s="167"/>
      <c r="AK180" s="168"/>
      <c r="AL180" s="115"/>
      <c r="AM180" s="115"/>
      <c r="AN180" s="115"/>
      <c r="AO180" s="115"/>
      <c r="AP180" s="115"/>
      <c r="AQ180" s="168"/>
      <c r="AR180" s="79"/>
      <c r="AS180" s="115"/>
      <c r="AT180" s="115"/>
      <c r="AU180" s="115"/>
      <c r="AV180" s="113">
        <f>IFERROR(INDEX('Total Customers'!$F$7:$AB$91,MATCH($C180,'Total Customers'!$D$7:$D$91,0),MATCH($G180,'Total Customers'!$F$5:$AB$5,0)),"NA")</f>
        <v>1191711</v>
      </c>
      <c r="AW180" s="68">
        <f t="shared" si="287"/>
        <v>1.0043461795079421E-2</v>
      </c>
      <c r="AX180" s="114"/>
      <c r="AY180" s="114"/>
      <c r="AZ180" s="116"/>
      <c r="BA180" s="116"/>
      <c r="BB180" s="166"/>
      <c r="BC180" s="166"/>
      <c r="BD180" s="166"/>
      <c r="BE180" s="166"/>
      <c r="BF180" s="166"/>
      <c r="BG180" s="166"/>
      <c r="BH180" s="166"/>
      <c r="BI180" s="113"/>
      <c r="BJ180" s="113"/>
      <c r="BK180" s="113">
        <f>INDEX('Dist. Plant Gas Additions'!$F$7:$AE$91,MATCH($C180,'Dist. Plant Gas Additions'!$D$7:$D$91,0),MATCH(Calculation!$G180,'Dist. Plant Gas Additions'!$F$5:$AE$5,0))</f>
        <v>94562</v>
      </c>
      <c r="BL180" s="113">
        <f>INDEX('Gen. Plant Additions'!$F$7:$AE$91,MATCH($C180,'Gen. Plant Additions'!$D$7:$D$91,0),MATCH(Calculation!$G180,'Gen. Plant Additions'!$F$5:$AE$5,0))</f>
        <v>14118</v>
      </c>
      <c r="BM180" s="231">
        <f t="shared" si="365"/>
        <v>0.90483560053272605</v>
      </c>
      <c r="BN180" s="61">
        <f t="shared" si="358"/>
        <v>12774.469008321026</v>
      </c>
      <c r="BO180" s="113">
        <f>INDEX('Dist Plant Depreciation'!$E$7:$AD$94,MATCH($C180,'Dist Plant Depreciation'!$D$7:$D$94,0),MATCH(Calculation!$G180,'Dist Plant Depreciation'!$E$5:$AD$5,0))</f>
        <v>400567</v>
      </c>
      <c r="BP180" s="113">
        <f>INDEX('Gen. Plant Depreciation'!$E$7:$AD$94,MATCH($C180,'Gen. Plant Depreciation'!$D$7:$D$94,0),MATCH(Calculation!$G180,'Gen. Plant Depreciation'!$E$5:$AD$5,0))</f>
        <v>58866</v>
      </c>
      <c r="BQ180" s="113"/>
      <c r="BR180" s="113"/>
      <c r="BS180" s="113"/>
      <c r="BT180" s="113"/>
      <c r="BU180" s="113"/>
      <c r="BV180" s="113"/>
      <c r="BW180" s="113">
        <f>INDEX('Gross Dx Plant'!$E$7:$AD$91,MATCH($C180,'Gross Dx Plant'!$D$7:$D$91,0),MATCH(Calculation!$G180,'Gross Dx Plant'!$E$5:$AD$5,0))</f>
        <v>1685592</v>
      </c>
      <c r="BX180" s="113">
        <f>INDEX('Gross Gen Plant'!$E$7:$AD$91,MATCH($C180,'Gross Gen Plant'!$D$7:$D$91,0),MATCH(Calculation!$G180,'Gross Gen Plant'!$E$5:$AD$5,0))</f>
        <v>177279</v>
      </c>
      <c r="BY180" s="113">
        <f t="shared" si="313"/>
        <v>1403438</v>
      </c>
      <c r="BZ180" s="113"/>
      <c r="CA180" s="116">
        <v>2000</v>
      </c>
      <c r="CB180" s="113"/>
      <c r="CC180" s="113"/>
      <c r="CD180" s="113"/>
      <c r="CE180" s="175"/>
      <c r="CF180" s="113">
        <f t="shared" si="366"/>
        <v>108680</v>
      </c>
      <c r="CG180" s="113">
        <f t="shared" si="367"/>
        <v>313.62027534642431</v>
      </c>
      <c r="CH180" s="178">
        <v>0.98989898989898994</v>
      </c>
      <c r="CI180" s="61">
        <f>+CI178*CH180+CG179*CH179+CG180</f>
        <v>6960.5614611334922</v>
      </c>
      <c r="CJ180" s="114">
        <f t="shared" si="368"/>
        <v>4.094635582537641E-2</v>
      </c>
      <c r="CK180" s="114"/>
      <c r="CL180" s="169">
        <f t="shared" si="369"/>
        <v>5.1437336464094322E-3</v>
      </c>
      <c r="CM180" s="169"/>
      <c r="CN180" s="114">
        <f>VLOOKUP($H180,RoR!$E:$F,2,FALSE)</f>
        <v>7.6225000000000001E-2</v>
      </c>
      <c r="CO180" s="169">
        <v>2.2568307442433211E-2</v>
      </c>
      <c r="CP180" s="169">
        <f t="shared" ref="CP180:CP200" si="375">+CN180-CO180</f>
        <v>5.365669255756679E-2</v>
      </c>
      <c r="CQ180" s="169"/>
      <c r="CR180" s="169"/>
      <c r="CS180" s="179">
        <f t="shared" si="370"/>
        <v>0.85329623209999994</v>
      </c>
      <c r="CT180" s="180">
        <f t="shared" si="371"/>
        <v>0.67277207323124022</v>
      </c>
      <c r="CU180" s="180">
        <f t="shared" si="372"/>
        <v>0.6470236142997704</v>
      </c>
      <c r="CV180" s="180">
        <f t="shared" si="373"/>
        <v>0.94704866037543145</v>
      </c>
      <c r="CW180" s="180">
        <f t="shared" si="374"/>
        <v>0.41224973107878493</v>
      </c>
      <c r="CX180" s="181">
        <f>INDEX('State Tax Lookup'!$D$7:$Z$91,MATCH(Calculation!$C180,'State Tax Lookup'!$B$7:$B$91,0),MATCH($H180,'State Tax Lookup'!$D$6:$Z$6,0))</f>
        <v>0.39649667</v>
      </c>
      <c r="CY180" s="72">
        <v>0.37</v>
      </c>
      <c r="CZ180" s="70"/>
      <c r="DA180" s="70"/>
      <c r="DB180" s="69"/>
      <c r="DC180" s="111">
        <f>VLOOKUP($H180,RoR!$E:$F,2,FALSE)</f>
        <v>7.6225000000000001E-2</v>
      </c>
      <c r="DD180" s="216">
        <f>HLOOKUP($H180,'GDP-PI'!$D$8:$CQ$11,3,FALSE)</f>
        <v>2.2568307442433211E-2</v>
      </c>
      <c r="DE180" s="111">
        <f>VLOOKUP(H180,'HW Dx Data'!$E:$F,2,FALSE)</f>
        <v>346.53371782150339</v>
      </c>
      <c r="DF180" s="66"/>
      <c r="DG180" s="69"/>
      <c r="DH180" s="66">
        <f>HLOOKUP(H180,'GDP-PI'!$8:$9,2,FALSE)</f>
        <v>78.069000000000003</v>
      </c>
      <c r="DI180"/>
      <c r="EB180"/>
    </row>
    <row r="181" spans="1:132" s="160" customFormat="1" ht="21">
      <c r="A181" s="160" t="s">
        <v>170</v>
      </c>
      <c r="B181" s="161" t="s">
        <v>170</v>
      </c>
      <c r="C181" s="161">
        <v>4018679</v>
      </c>
      <c r="D181" s="161" t="s">
        <v>171</v>
      </c>
      <c r="E181" s="161" t="s">
        <v>3</v>
      </c>
      <c r="F181" s="161"/>
      <c r="G181" s="161" t="s">
        <v>111</v>
      </c>
      <c r="H181" s="162">
        <v>2001</v>
      </c>
      <c r="I181" s="163"/>
      <c r="J181" s="159"/>
      <c r="K181" s="159"/>
      <c r="L181" s="159"/>
      <c r="M181" s="60"/>
      <c r="N181" s="152"/>
      <c r="O181" s="60"/>
      <c r="P181" s="60"/>
      <c r="Q181" s="159"/>
      <c r="R181" s="159"/>
      <c r="S181" s="159"/>
      <c r="T181" s="159"/>
      <c r="U181" s="159"/>
      <c r="V181" s="159"/>
      <c r="W181" s="159">
        <f t="shared" si="364"/>
        <v>89622.410475687415</v>
      </c>
      <c r="X181" s="163"/>
      <c r="Y181" s="167">
        <v>7134.1477291168139</v>
      </c>
      <c r="Z181" s="168">
        <v>2.4632653680475458E-2</v>
      </c>
      <c r="AA181" s="78"/>
      <c r="AB181" s="168"/>
      <c r="AC181" s="168"/>
      <c r="AD181" s="163">
        <f t="shared" si="355"/>
        <v>89622.410475687415</v>
      </c>
      <c r="AE181" s="168"/>
      <c r="AF181" s="163"/>
      <c r="AG181" s="163"/>
      <c r="AH181" s="163"/>
      <c r="AI181" s="163"/>
      <c r="AJ181" s="167"/>
      <c r="AK181" s="168"/>
      <c r="AL181" s="115"/>
      <c r="AM181" s="115"/>
      <c r="AN181" s="115"/>
      <c r="AO181" s="115"/>
      <c r="AP181" s="115"/>
      <c r="AQ181" s="168"/>
      <c r="AR181" s="79"/>
      <c r="AS181" s="115"/>
      <c r="AT181" s="115"/>
      <c r="AU181" s="115"/>
      <c r="AV181" s="113">
        <f>IFERROR(INDEX('Total Customers'!$F$7:$AB$91,MATCH($C181,'Total Customers'!$D$7:$D$91,0),MATCH($G181,'Total Customers'!$F$5:$AB$5,0)),"NA")</f>
        <v>1248264</v>
      </c>
      <c r="AW181" s="68">
        <f t="shared" si="287"/>
        <v>4.6363696454611698E-2</v>
      </c>
      <c r="AX181" s="114"/>
      <c r="AY181" s="114"/>
      <c r="AZ181" s="116"/>
      <c r="BA181" s="116"/>
      <c r="BB181" s="166"/>
      <c r="BC181" s="166"/>
      <c r="BD181" s="166"/>
      <c r="BE181" s="166"/>
      <c r="BF181" s="166"/>
      <c r="BG181" s="166"/>
      <c r="BH181" s="166"/>
      <c r="BI181" s="113"/>
      <c r="BJ181" s="113"/>
      <c r="BK181" s="113">
        <f>INDEX('Dist. Plant Gas Additions'!$F$7:$AE$91,MATCH($C181,'Dist. Plant Gas Additions'!$D$7:$D$91,0),MATCH(Calculation!$G181,'Dist. Plant Gas Additions'!$F$5:$AE$5,0))</f>
        <v>67776</v>
      </c>
      <c r="BL181" s="113">
        <f>INDEX('Gen. Plant Additions'!$F$7:$AE$91,MATCH($C181,'Gen. Plant Additions'!$D$7:$D$91,0),MATCH(Calculation!$G181,'Gen. Plant Additions'!$F$5:$AE$5,0))</f>
        <v>6098</v>
      </c>
      <c r="BM181" s="231">
        <f t="shared" si="365"/>
        <v>0.90913455848613134</v>
      </c>
      <c r="BN181" s="61">
        <f t="shared" si="358"/>
        <v>5543.9025376484287</v>
      </c>
      <c r="BO181" s="113">
        <f>INDEX('Dist Plant Depreciation'!$E$7:$AD$94,MATCH($C181,'Dist Plant Depreciation'!$D$7:$D$94,0),MATCH(Calculation!$G181,'Dist Plant Depreciation'!$E$5:$AD$5,0))</f>
        <v>444780</v>
      </c>
      <c r="BP181" s="113">
        <f>INDEX('Gen. Plant Depreciation'!$E$7:$AD$94,MATCH($C181,'Gen. Plant Depreciation'!$D$7:$D$94,0),MATCH(Calculation!$G181,'Gen. Plant Depreciation'!$E$5:$AD$5,0))</f>
        <v>61877</v>
      </c>
      <c r="BQ181" s="113"/>
      <c r="BR181" s="113"/>
      <c r="BS181" s="113"/>
      <c r="BT181" s="113"/>
      <c r="BU181" s="113"/>
      <c r="BV181" s="113"/>
      <c r="BW181" s="113">
        <f>INDEX('Gross Dx Plant'!$E$7:$AD$91,MATCH($C181,'Gross Dx Plant'!$D$7:$D$91,0),MATCH(Calculation!$G181,'Gross Dx Plant'!$E$5:$AD$5,0))</f>
        <v>1751455</v>
      </c>
      <c r="BX181" s="113">
        <f>INDEX('Gross Gen Plant'!$E$7:$AD$91,MATCH($C181,'Gross Gen Plant'!$D$7:$D$91,0),MATCH(Calculation!$G181,'Gross Gen Plant'!$E$5:$AD$5,0))</f>
        <v>175053</v>
      </c>
      <c r="BY181" s="113">
        <f t="shared" si="313"/>
        <v>1419851</v>
      </c>
      <c r="BZ181" s="113"/>
      <c r="CA181" s="116">
        <v>2001</v>
      </c>
      <c r="CB181" s="113"/>
      <c r="CC181" s="113"/>
      <c r="CD181" s="113"/>
      <c r="CE181" s="175"/>
      <c r="CF181" s="113">
        <f t="shared" si="366"/>
        <v>73874</v>
      </c>
      <c r="CG181" s="113">
        <f t="shared" si="367"/>
        <v>209.00989551389097</v>
      </c>
      <c r="CH181" s="178">
        <v>0.98461538461538467</v>
      </c>
      <c r="CI181" s="61">
        <f>+CI178*CH181+CG179*CH180+CG180*CH178+CG181</f>
        <v>7134.1477291168139</v>
      </c>
      <c r="CJ181" s="114">
        <f t="shared" si="368"/>
        <v>2.4632653680475458E-2</v>
      </c>
      <c r="CK181" s="114"/>
      <c r="CL181" s="169">
        <f t="shared" si="369"/>
        <v>5.0891911131549297E-3</v>
      </c>
      <c r="CM181" s="169">
        <f>+(CL181+CL180+CL179)/3</f>
        <v>5.0693497125579336E-3</v>
      </c>
      <c r="CN181" s="114">
        <f>VLOOKUP($H181,RoR!$E:$F,2,FALSE)</f>
        <v>7.0824999999999999E-2</v>
      </c>
      <c r="CO181" s="169">
        <v>2.2454495382290052E-2</v>
      </c>
      <c r="CP181" s="169">
        <f t="shared" si="375"/>
        <v>4.8370504617709947E-2</v>
      </c>
      <c r="CQ181" s="169">
        <f>+$CP$2-CM181</f>
        <v>2.5832591895975691E-2</v>
      </c>
      <c r="CR181" s="169">
        <f>+((DE179/DE178-1)+(DE180/DE179-1)+(DE181/DE180-1))/3</f>
        <v>2.3947275901631187E-2</v>
      </c>
      <c r="CS181" s="179">
        <f t="shared" si="370"/>
        <v>0.85329623209999994</v>
      </c>
      <c r="CT181" s="180">
        <f t="shared" si="371"/>
        <v>0.72406708481540816</v>
      </c>
      <c r="CU181" s="180">
        <f t="shared" si="372"/>
        <v>0.62201729615248857</v>
      </c>
      <c r="CV181" s="180">
        <f t="shared" si="373"/>
        <v>0.9352469954311422</v>
      </c>
      <c r="CW181" s="180">
        <f t="shared" si="374"/>
        <v>0.42121864641655071</v>
      </c>
      <c r="CX181" s="181">
        <f>INDEX('State Tax Lookup'!$D$7:$Z$91,MATCH(Calculation!$C181,'State Tax Lookup'!$B$7:$B$91,0),MATCH($H181,'State Tax Lookup'!$D$6:$Z$6,0))</f>
        <v>0.39649667</v>
      </c>
      <c r="CY181" s="72">
        <v>0.37</v>
      </c>
      <c r="CZ181" s="70">
        <f t="shared" ref="CZ181:CZ202" si="376">+(DE181*CQ181-CR181)*CS181/(1-CX181)</f>
        <v>12.875744431842552</v>
      </c>
      <c r="DA181" s="70"/>
      <c r="DB181" s="69"/>
      <c r="DC181" s="111">
        <f>VLOOKUP($H181,RoR!$E:$F,2,FALSE)</f>
        <v>7.0824999999999999E-2</v>
      </c>
      <c r="DD181" s="216">
        <f>HLOOKUP($H181,'GDP-PI'!$D$8:$CQ$11,3,FALSE)</f>
        <v>2.2454495382290052E-2</v>
      </c>
      <c r="DE181" s="111">
        <f>VLOOKUP(H181,'HW Dx Data'!$E:$F,2,FALSE)</f>
        <v>353.44738017483138</v>
      </c>
      <c r="DF181" s="66"/>
      <c r="DG181" s="69"/>
      <c r="DH181" s="66">
        <f>HLOOKUP(H181,'GDP-PI'!$8:$9,2,FALSE)</f>
        <v>79.822000000000003</v>
      </c>
      <c r="DI181"/>
      <c r="EB181"/>
    </row>
    <row r="182" spans="1:132" s="160" customFormat="1" ht="21">
      <c r="A182" s="160" t="s">
        <v>170</v>
      </c>
      <c r="B182" s="161" t="s">
        <v>170</v>
      </c>
      <c r="C182" s="161">
        <v>4018679</v>
      </c>
      <c r="D182" s="161" t="s">
        <v>171</v>
      </c>
      <c r="E182" s="161" t="s">
        <v>3</v>
      </c>
      <c r="F182" s="161"/>
      <c r="G182" s="161" t="s">
        <v>113</v>
      </c>
      <c r="H182" s="162">
        <v>2002</v>
      </c>
      <c r="I182" s="163"/>
      <c r="J182" s="159"/>
      <c r="K182" s="159"/>
      <c r="L182" s="159"/>
      <c r="M182" s="60"/>
      <c r="N182" s="152"/>
      <c r="O182" s="60"/>
      <c r="P182" s="60"/>
      <c r="Q182" s="159"/>
      <c r="R182" s="159"/>
      <c r="S182" s="159"/>
      <c r="T182" s="159"/>
      <c r="U182" s="159"/>
      <c r="V182" s="159"/>
      <c r="W182" s="159">
        <f t="shared" si="364"/>
        <v>93009.988534371194</v>
      </c>
      <c r="X182" s="163"/>
      <c r="Y182" s="167">
        <v>7434.4025679330771</v>
      </c>
      <c r="Z182" s="168">
        <v>4.1225428196949729E-2</v>
      </c>
      <c r="AA182" s="78"/>
      <c r="AB182" s="168"/>
      <c r="AC182" s="168"/>
      <c r="AD182" s="163">
        <f t="shared" si="355"/>
        <v>93009.988534371194</v>
      </c>
      <c r="AE182" s="168"/>
      <c r="AF182" s="163"/>
      <c r="AG182" s="163"/>
      <c r="AH182" s="163"/>
      <c r="AI182" s="163"/>
      <c r="AJ182" s="167"/>
      <c r="AK182" s="168"/>
      <c r="AL182" s="115"/>
      <c r="AM182" s="115"/>
      <c r="AN182" s="115"/>
      <c r="AO182" s="115"/>
      <c r="AP182" s="115"/>
      <c r="AQ182" s="168"/>
      <c r="AR182" s="79"/>
      <c r="AS182" s="115"/>
      <c r="AT182" s="115"/>
      <c r="AU182" s="115"/>
      <c r="AV182" s="113">
        <f>IFERROR(INDEX('Total Customers'!$F$7:$AB$91,MATCH($C182,'Total Customers'!$D$7:$D$91,0),MATCH($G182,'Total Customers'!$F$5:$AB$5,0)),"NA")</f>
        <v>1245106</v>
      </c>
      <c r="AW182" s="68">
        <f t="shared" si="287"/>
        <v>-2.5331191830009277E-3</v>
      </c>
      <c r="AX182" s="114"/>
      <c r="AY182" s="114"/>
      <c r="AZ182" s="116"/>
      <c r="BA182" s="116"/>
      <c r="BB182" s="166"/>
      <c r="BC182" s="166"/>
      <c r="BD182" s="166"/>
      <c r="BE182" s="166"/>
      <c r="BF182" s="166"/>
      <c r="BG182" s="166"/>
      <c r="BH182" s="166"/>
      <c r="BI182" s="113"/>
      <c r="BJ182" s="113"/>
      <c r="BK182" s="113">
        <f>INDEX('Dist. Plant Gas Additions'!$F$7:$AE$91,MATCH($C182,'Dist. Plant Gas Additions'!$D$7:$D$91,0),MATCH(Calculation!$G182,'Dist. Plant Gas Additions'!$F$5:$AE$5,0))</f>
        <v>112651</v>
      </c>
      <c r="BL182" s="113">
        <f>INDEX('Gen. Plant Additions'!$F$7:$AE$91,MATCH($C182,'Gen. Plant Additions'!$D$7:$D$91,0),MATCH(Calculation!$G182,'Gen. Plant Additions'!$F$5:$AE$5,0))</f>
        <v>10566</v>
      </c>
      <c r="BM182" s="231">
        <f t="shared" si="365"/>
        <v>0.91161514980637237</v>
      </c>
      <c r="BN182" s="61">
        <f>+BM182*BL182</f>
        <v>9632.1256728541302</v>
      </c>
      <c r="BO182" s="113">
        <f>INDEX('Dist Plant Depreciation'!$E$7:$AD$94,MATCH($C182,'Dist Plant Depreciation'!$D$7:$D$94,0),MATCH(Calculation!$G182,'Dist Plant Depreciation'!$E$5:$AD$5,0))</f>
        <v>476214</v>
      </c>
      <c r="BP182" s="113">
        <f>INDEX('Gen. Plant Depreciation'!$E$7:$AD$94,MATCH($C182,'Gen. Plant Depreciation'!$D$7:$D$94,0),MATCH(Calculation!$G182,'Gen. Plant Depreciation'!$E$5:$AD$5,0))</f>
        <v>69551</v>
      </c>
      <c r="BQ182" s="113"/>
      <c r="BR182" s="113"/>
      <c r="BS182" s="113"/>
      <c r="BT182" s="113"/>
      <c r="BU182" s="113"/>
      <c r="BV182" s="113"/>
      <c r="BW182" s="113">
        <f>INDEX('Gross Dx Plant'!$E$7:$AD$91,MATCH($C182,'Gross Dx Plant'!$D$7:$D$91,0),MATCH(Calculation!$G182,'Gross Dx Plant'!$E$5:$AD$5,0))</f>
        <v>1854279</v>
      </c>
      <c r="BX182" s="113">
        <f>INDEX('Gross Gen Plant'!$E$7:$AD$91,MATCH($C182,'Gross Gen Plant'!$D$7:$D$91,0),MATCH(Calculation!$G182,'Gross Gen Plant'!$E$5:$AD$5,0))</f>
        <v>179780</v>
      </c>
      <c r="BY182" s="113">
        <f t="shared" si="313"/>
        <v>1488294</v>
      </c>
      <c r="BZ182" s="113"/>
      <c r="CA182" s="116">
        <v>2002</v>
      </c>
      <c r="CB182" s="113"/>
      <c r="CC182" s="113"/>
      <c r="CD182" s="113"/>
      <c r="CE182" s="175"/>
      <c r="CF182" s="113">
        <f t="shared" si="366"/>
        <v>123217</v>
      </c>
      <c r="CG182" s="113">
        <f t="shared" si="367"/>
        <v>340.99246013789821</v>
      </c>
      <c r="CH182" s="178">
        <v>0.97916666666666663</v>
      </c>
      <c r="CI182" s="61">
        <f>+CI178*CH182+CG179*CH181+CG180*CH180+CG181*CH179+CG182</f>
        <v>7434.4025679330771</v>
      </c>
      <c r="CJ182" s="114">
        <f t="shared" si="368"/>
        <v>4.1225428196949729E-2</v>
      </c>
      <c r="CK182" s="114"/>
      <c r="CL182" s="169">
        <f t="shared" si="369"/>
        <v>5.710229570292099E-3</v>
      </c>
      <c r="CM182" s="169">
        <f t="shared" ref="CM182:CM202" si="377">+(CL182+CL181+CL180)/3</f>
        <v>5.3143847766188206E-3</v>
      </c>
      <c r="CN182" s="114">
        <f>VLOOKUP($H182,RoR!$E:$F,2,FALSE)</f>
        <v>6.4916666666666664E-2</v>
      </c>
      <c r="CO182" s="169">
        <v>1.5246423291824351E-2</v>
      </c>
      <c r="CP182" s="169">
        <f t="shared" si="375"/>
        <v>4.9670243374842313E-2</v>
      </c>
      <c r="CQ182" s="169">
        <f t="shared" ref="CQ182:CQ202" si="378">+$CP$2-CM182</f>
        <v>2.5587556831914805E-2</v>
      </c>
      <c r="CR182" s="169">
        <f t="shared" ref="CR182:CR202" si="379">+((DE180/DE179-1)+(DE181/DE180-1)+(DE182/DE181-1))/3</f>
        <v>2.5243621214759093E-2</v>
      </c>
      <c r="CS182" s="179">
        <f t="shared" si="370"/>
        <v>0.85329623209999994</v>
      </c>
      <c r="CT182" s="180">
        <f t="shared" si="371"/>
        <v>0.78996741384417901</v>
      </c>
      <c r="CU182" s="180">
        <f t="shared" si="372"/>
        <v>0.58989088575096271</v>
      </c>
      <c r="CV182" s="180">
        <f t="shared" si="373"/>
        <v>0.91920675783645744</v>
      </c>
      <c r="CW182" s="180">
        <f t="shared" si="374"/>
        <v>0.42834536472275586</v>
      </c>
      <c r="CX182" s="181">
        <f>INDEX('State Tax Lookup'!$D$7:$Z$91,MATCH(Calculation!$C182,'State Tax Lookup'!$B$7:$B$91,0),MATCH($H182,'State Tax Lookup'!$D$6:$Z$6,0))</f>
        <v>0.39649667</v>
      </c>
      <c r="CY182" s="72">
        <v>0.37</v>
      </c>
      <c r="CZ182" s="70">
        <f t="shared" si="376"/>
        <v>13.037295002284113</v>
      </c>
      <c r="DA182" s="70"/>
      <c r="DB182" s="69">
        <f>LN(CZ182/CZ181)</f>
        <v>1.2468831677798628E-2</v>
      </c>
      <c r="DC182" s="111">
        <f>VLOOKUP($H182,RoR!$E:$F,2,FALSE)</f>
        <v>6.4916666666666664E-2</v>
      </c>
      <c r="DD182" s="216">
        <f>HLOOKUP($H182,'GDP-PI'!$D$8:$CQ$11,3,FALSE)</f>
        <v>1.5246423291824351E-2</v>
      </c>
      <c r="DE182" s="111">
        <f>VLOOKUP(H182,'HW Dx Data'!$E:$F,2,FALSE)</f>
        <v>361.34816573413599</v>
      </c>
      <c r="DF182" s="66"/>
      <c r="DG182" s="69"/>
      <c r="DH182" s="66">
        <f>HLOOKUP(H182,'GDP-PI'!$8:$9,2,FALSE)</f>
        <v>81.039000000000001</v>
      </c>
      <c r="DI182" s="69">
        <f>LN(DH182/DH181)</f>
        <v>1.513136459537477E-2</v>
      </c>
      <c r="EB182"/>
    </row>
    <row r="183" spans="1:132" s="160" customFormat="1" ht="21">
      <c r="A183" s="160" t="s">
        <v>170</v>
      </c>
      <c r="B183" s="161" t="s">
        <v>170</v>
      </c>
      <c r="C183" s="161">
        <v>4018679</v>
      </c>
      <c r="D183" s="161" t="s">
        <v>171</v>
      </c>
      <c r="E183" s="161" t="s">
        <v>3</v>
      </c>
      <c r="F183" s="161"/>
      <c r="G183" s="161" t="s">
        <v>114</v>
      </c>
      <c r="H183" s="162">
        <v>2003</v>
      </c>
      <c r="I183" s="163"/>
      <c r="J183" s="159"/>
      <c r="K183" s="159"/>
      <c r="L183" s="165"/>
      <c r="M183" s="76"/>
      <c r="N183" s="152"/>
      <c r="O183" s="76"/>
      <c r="P183" s="76"/>
      <c r="Q183" s="159"/>
      <c r="R183" s="159"/>
      <c r="S183" s="159"/>
      <c r="T183" s="159"/>
      <c r="U183" s="159"/>
      <c r="V183" s="159"/>
      <c r="W183" s="159">
        <f t="shared" si="364"/>
        <v>98411.911796450295</v>
      </c>
      <c r="X183" s="163"/>
      <c r="Y183" s="167">
        <v>7760.2462347131741</v>
      </c>
      <c r="Z183" s="168">
        <v>4.2895842295955999E-2</v>
      </c>
      <c r="AA183" s="78"/>
      <c r="AB183" s="168"/>
      <c r="AC183" s="168"/>
      <c r="AD183" s="163">
        <f t="shared" si="355"/>
        <v>98411.911796450295</v>
      </c>
      <c r="AE183" s="168"/>
      <c r="AF183" s="163"/>
      <c r="AG183" s="163"/>
      <c r="AH183" s="163"/>
      <c r="AI183" s="163"/>
      <c r="AJ183" s="167"/>
      <c r="AK183" s="168"/>
      <c r="AL183" s="115"/>
      <c r="AM183" s="115"/>
      <c r="AN183" s="115"/>
      <c r="AO183" s="115"/>
      <c r="AP183" s="115"/>
      <c r="AQ183" s="168"/>
      <c r="AR183" s="79"/>
      <c r="AS183" s="115"/>
      <c r="AT183" s="115"/>
      <c r="AU183" s="115"/>
      <c r="AV183" s="113">
        <f>IFERROR(INDEX('Total Customers'!$F$7:$AB$91,MATCH($C183,'Total Customers'!$D$7:$D$91,0),MATCH($G183,'Total Customers'!$F$5:$AB$5,0)),"NA")</f>
        <v>1190085</v>
      </c>
      <c r="AW183" s="68">
        <f t="shared" si="287"/>
        <v>-4.5195933710700353E-2</v>
      </c>
      <c r="AX183" s="114"/>
      <c r="AY183" s="114"/>
      <c r="AZ183" s="116"/>
      <c r="BA183" s="116"/>
      <c r="BB183" s="166"/>
      <c r="BC183" s="166"/>
      <c r="BD183" s="166"/>
      <c r="BE183" s="166"/>
      <c r="BF183" s="166"/>
      <c r="BG183" s="166"/>
      <c r="BH183" s="166"/>
      <c r="BI183" s="113"/>
      <c r="BJ183" s="113"/>
      <c r="BK183" s="113">
        <f>INDEX('Dist. Plant Gas Additions'!$F$7:$AE$91,MATCH($C183,'Dist. Plant Gas Additions'!$D$7:$D$91,0),MATCH(Calculation!$G183,'Dist. Plant Gas Additions'!$F$5:$AE$5,0))</f>
        <v>130161</v>
      </c>
      <c r="BL183" s="113">
        <f>INDEX('Gen. Plant Additions'!$F$7:$AE$91,MATCH($C183,'Gen. Plant Additions'!$D$7:$D$91,0),MATCH(Calculation!$G183,'Gen. Plant Additions'!$F$5:$AE$5,0))</f>
        <v>5701</v>
      </c>
      <c r="BM183" s="231">
        <f t="shared" si="365"/>
        <v>0.91539683850123321</v>
      </c>
      <c r="BN183" s="61">
        <f t="shared" ref="BN183:BN201" si="380">+BM183*BL183</f>
        <v>5218.6773762955308</v>
      </c>
      <c r="BO183" s="113">
        <f>INDEX('Dist Plant Depreciation'!$E$7:$AD$94,MATCH($C183,'Dist Plant Depreciation'!$D$7:$D$94,0),MATCH(Calculation!$G183,'Dist Plant Depreciation'!$E$5:$AD$5,0))</f>
        <v>514524</v>
      </c>
      <c r="BP183" s="113">
        <f>INDEX('Gen. Plant Depreciation'!$E$7:$AD$94,MATCH($C183,'Gen. Plant Depreciation'!$D$7:$D$94,0),MATCH(Calculation!$G183,'Gen. Plant Depreciation'!$E$5:$AD$5,0))</f>
        <v>79009</v>
      </c>
      <c r="BQ183" s="113"/>
      <c r="BR183" s="113"/>
      <c r="BS183" s="113"/>
      <c r="BT183" s="113"/>
      <c r="BU183" s="113"/>
      <c r="BV183" s="113"/>
      <c r="BW183" s="113">
        <f>INDEX('Gross Dx Plant'!$E$7:$AD$91,MATCH($C183,'Gross Dx Plant'!$D$7:$D$91,0),MATCH(Calculation!$G183,'Gross Dx Plant'!$E$5:$AD$5,0))</f>
        <v>1973656</v>
      </c>
      <c r="BX183" s="113">
        <f>INDEX('Gross Gen Plant'!$E$7:$AD$91,MATCH($C183,'Gross Gen Plant'!$D$7:$D$91,0),MATCH(Calculation!$G183,'Gross Gen Plant'!$E$5:$AD$5,0))</f>
        <v>182410</v>
      </c>
      <c r="BY183" s="113">
        <f t="shared" si="313"/>
        <v>1562533</v>
      </c>
      <c r="BZ183" s="113"/>
      <c r="CA183" s="116">
        <v>2003</v>
      </c>
      <c r="CB183" s="113"/>
      <c r="CC183" s="113"/>
      <c r="CD183" s="113"/>
      <c r="CE183" s="175"/>
      <c r="CF183" s="113">
        <f t="shared" si="366"/>
        <v>135862</v>
      </c>
      <c r="CG183" s="113">
        <f t="shared" si="367"/>
        <v>367.95734933986336</v>
      </c>
      <c r="CH183" s="178">
        <v>0.97354497354497349</v>
      </c>
      <c r="CI183" s="61">
        <f>+CI178*CH183+CG179*CH182+CG180*CH181+CG181*CH180+CG182*CH179+CG183</f>
        <v>7760.2462347131741</v>
      </c>
      <c r="CJ183" s="114">
        <f t="shared" si="368"/>
        <v>4.2895842295955999E-2</v>
      </c>
      <c r="CK183" s="114"/>
      <c r="CL183" s="169">
        <f t="shared" si="369"/>
        <v>5.6647030040336988E-3</v>
      </c>
      <c r="CM183" s="169">
        <f t="shared" si="377"/>
        <v>5.4880412291602428E-3</v>
      </c>
      <c r="CN183" s="114">
        <f>VLOOKUP($H183,RoR!$E:$F,2,FALSE)</f>
        <v>5.6666666666666671E-2</v>
      </c>
      <c r="CO183" s="169">
        <v>1.8855119140166909E-2</v>
      </c>
      <c r="CP183" s="169">
        <f t="shared" si="375"/>
        <v>3.7811547526499761E-2</v>
      </c>
      <c r="CQ183" s="169">
        <f t="shared" si="378"/>
        <v>2.5413900379373383E-2</v>
      </c>
      <c r="CR183" s="169">
        <f t="shared" si="379"/>
        <v>2.1375012817671957E-2</v>
      </c>
      <c r="CS183" s="179">
        <f t="shared" si="370"/>
        <v>0.85329623209999994</v>
      </c>
      <c r="CT183" s="180">
        <f t="shared" si="371"/>
        <v>0.90497737556561086</v>
      </c>
      <c r="CU183" s="180">
        <f t="shared" si="372"/>
        <v>0.5338235294117647</v>
      </c>
      <c r="CV183" s="180">
        <f t="shared" si="373"/>
        <v>0.88972433127405692</v>
      </c>
      <c r="CW183" s="180">
        <f t="shared" si="374"/>
        <v>0.42982423775949252</v>
      </c>
      <c r="CX183" s="181">
        <f>INDEX('State Tax Lookup'!$D$7:$Z$91,MATCH(Calculation!$C183,'State Tax Lookup'!$B$7:$B$91,0),MATCH($H183,'State Tax Lookup'!$D$6:$Z$6,0))</f>
        <v>0.39649667</v>
      </c>
      <c r="CY183" s="72">
        <v>0.37</v>
      </c>
      <c r="CZ183" s="70">
        <f t="shared" si="376"/>
        <v>13.237366539838979</v>
      </c>
      <c r="DA183" s="70"/>
      <c r="DB183" s="69">
        <f t="shared" ref="DB183:DB202" si="381">LN(CZ183/CZ182)</f>
        <v>1.5229532395394554E-2</v>
      </c>
      <c r="DC183" s="111">
        <f>VLOOKUP($H183,RoR!$E:$F,2,FALSE)</f>
        <v>5.6666666666666671E-2</v>
      </c>
      <c r="DD183" s="216">
        <f>HLOOKUP($H183,'GDP-PI'!$D$8:$CQ$11,3,FALSE)</f>
        <v>1.8855119140166909E-2</v>
      </c>
      <c r="DE183" s="111">
        <f>VLOOKUP(H183,'HW Dx Data'!$E:$F,2,FALSE)</f>
        <v>369.23301095560191</v>
      </c>
      <c r="DF183" s="66"/>
      <c r="DG183" s="69"/>
      <c r="DH183" s="66">
        <f>HLOOKUP(H183,'GDP-PI'!$8:$9,2,FALSE)</f>
        <v>82.566999999999993</v>
      </c>
      <c r="DI183" s="69">
        <f t="shared" ref="DI183:DI202" si="382">LN(DH183/DH182)</f>
        <v>1.8679564681853753E-2</v>
      </c>
      <c r="EB183"/>
    </row>
    <row r="184" spans="1:132" s="160" customFormat="1" ht="21">
      <c r="A184" s="160" t="s">
        <v>170</v>
      </c>
      <c r="B184" s="161" t="s">
        <v>170</v>
      </c>
      <c r="C184" s="161">
        <v>4018679</v>
      </c>
      <c r="D184" s="161" t="s">
        <v>171</v>
      </c>
      <c r="E184" s="161" t="s">
        <v>3</v>
      </c>
      <c r="F184" s="161"/>
      <c r="G184" s="161" t="s">
        <v>115</v>
      </c>
      <c r="H184" s="162">
        <v>2004</v>
      </c>
      <c r="I184" s="163"/>
      <c r="J184" s="159">
        <f>IFERROR(INDEX('Labor Expenditures'!$F$7:$X$91,MATCH($C184,'Labor Expenditures'!$D$7:$D$91,0),MATCH($G184,'Labor Expenditures'!$F$5:$X$5,0)),"NA")</f>
        <v>102600.76066327511</v>
      </c>
      <c r="K184" s="159">
        <f t="shared" ref="K184:K202" si="383">+J184/DF184</f>
        <v>1087.4484437019091</v>
      </c>
      <c r="L184" s="165"/>
      <c r="M184" s="76"/>
      <c r="N184" s="152"/>
      <c r="O184" s="76"/>
      <c r="P184" s="76"/>
      <c r="Q184" s="159">
        <f>IFERROR(INDEX('Non-Labor Expenditures'!$F$7:$AB$91,MATCH($C184,'Non-Labor Expenditures'!$D$7:$D$91,0),MATCH($G184,'Non-Labor Expenditures'!$F$5:$AB$5,0)),"NA")</f>
        <v>148585.06461915505</v>
      </c>
      <c r="R184" s="159">
        <f t="shared" ref="R184:R202" si="384">+Q184/DH184</f>
        <v>1752.6370593686456</v>
      </c>
      <c r="S184" s="159"/>
      <c r="T184" s="159"/>
      <c r="U184" s="159"/>
      <c r="V184" s="159"/>
      <c r="W184" s="159">
        <f t="shared" si="364"/>
        <v>113942.01476947826</v>
      </c>
      <c r="X184" s="163"/>
      <c r="Y184" s="167">
        <v>8071.8743450265692</v>
      </c>
      <c r="Z184" s="168">
        <v>3.9371651190230256E-2</v>
      </c>
      <c r="AA184" s="76">
        <f t="shared" ref="AA184:AA202" si="385">+Z184*$AR184</f>
        <v>0</v>
      </c>
      <c r="AB184" s="168"/>
      <c r="AC184" s="168"/>
      <c r="AD184" s="163">
        <f t="shared" si="355"/>
        <v>365127.8400519084</v>
      </c>
      <c r="AE184" s="168"/>
      <c r="AF184" s="163"/>
      <c r="AG184" s="163"/>
      <c r="AH184" s="163"/>
      <c r="AI184" s="163"/>
      <c r="AJ184" s="167"/>
      <c r="AK184" s="168"/>
      <c r="AL184" s="115">
        <f t="shared" ref="AL184:AL202" si="386">+J184/AD184</f>
        <v>0.28099955524807113</v>
      </c>
      <c r="AM184" s="115">
        <f t="shared" ref="AM184:AM202" si="387">+Q184/AD184</f>
        <v>0.40693983947658291</v>
      </c>
      <c r="AN184" s="115">
        <f t="shared" ref="AN184:AN202" si="388">+W184/AD184</f>
        <v>0.31206060527534601</v>
      </c>
      <c r="AO184" s="115"/>
      <c r="AP184" s="115"/>
      <c r="AQ184" s="168"/>
      <c r="AR184" s="79"/>
      <c r="AS184" s="115"/>
      <c r="AT184" s="115"/>
      <c r="AU184" s="115"/>
      <c r="AV184" s="113">
        <f>IFERROR(INDEX('Total Customers'!$F$7:$AB$91,MATCH($C184,'Total Customers'!$D$7:$D$91,0),MATCH($G184,'Total Customers'!$F$5:$AB$5,0)),"NA")</f>
        <v>1155008</v>
      </c>
      <c r="AW184" s="68">
        <f t="shared" si="287"/>
        <v>-2.9917462787271875E-2</v>
      </c>
      <c r="AX184" s="114"/>
      <c r="AY184" s="114"/>
      <c r="AZ184" s="116"/>
      <c r="BA184" s="116"/>
      <c r="BB184" s="166"/>
      <c r="BC184" s="166"/>
      <c r="BD184" s="166"/>
      <c r="BE184" s="166"/>
      <c r="BF184" s="166"/>
      <c r="BG184" s="166"/>
      <c r="BH184" s="166"/>
      <c r="BI184" s="113"/>
      <c r="BJ184" s="113"/>
      <c r="BK184" s="113">
        <f>INDEX('Dist. Plant Gas Additions'!$F$7:$AE$91,MATCH($C184,'Dist. Plant Gas Additions'!$D$7:$D$91,0),MATCH(Calculation!$G184,'Dist. Plant Gas Additions'!$F$5:$AE$5,0))</f>
        <v>146160</v>
      </c>
      <c r="BL184" s="113">
        <f>INDEX('Gen. Plant Additions'!$F$7:$AE$91,MATCH($C184,'Gen. Plant Additions'!$D$7:$D$91,0),MATCH(Calculation!$G184,'Gen. Plant Additions'!$F$5:$AE$5,0))</f>
        <v>1923</v>
      </c>
      <c r="BM184" s="231">
        <f t="shared" si="365"/>
        <v>0.93108439134938736</v>
      </c>
      <c r="BN184" s="61">
        <f t="shared" si="380"/>
        <v>1790.4752845648718</v>
      </c>
      <c r="BO184" s="113">
        <f>INDEX('Dist Plant Depreciation'!$E$7:$AD$94,MATCH($C184,'Dist Plant Depreciation'!$D$7:$D$94,0),MATCH(Calculation!$G184,'Dist Plant Depreciation'!$E$5:$AD$5,0))</f>
        <v>549467</v>
      </c>
      <c r="BP184" s="113">
        <f>INDEX('Gen. Plant Depreciation'!$E$7:$AD$94,MATCH($C184,'Gen. Plant Depreciation'!$D$7:$D$94,0),MATCH(Calculation!$G184,'Gen. Plant Depreciation'!$E$5:$AD$5,0))</f>
        <v>158826</v>
      </c>
      <c r="BQ184" s="113"/>
      <c r="BR184" s="113"/>
      <c r="BS184" s="113"/>
      <c r="BT184" s="113"/>
      <c r="BU184" s="113"/>
      <c r="BV184" s="113"/>
      <c r="BW184" s="113">
        <f>INDEX('Gross Dx Plant'!$E$7:$AD$91,MATCH($C184,'Gross Dx Plant'!$D$7:$D$91,0),MATCH(Calculation!$G184,'Gross Dx Plant'!$E$5:$AD$5,0))</f>
        <v>2102315</v>
      </c>
      <c r="BX184" s="113">
        <f>INDEX('Gross Gen Plant'!$E$7:$AD$91,MATCH($C184,'Gross Gen Plant'!$D$7:$D$91,0),MATCH(Calculation!$G184,'Gross Gen Plant'!$E$5:$AD$5,0))</f>
        <v>155606</v>
      </c>
      <c r="BY184" s="113">
        <f t="shared" si="313"/>
        <v>1549628</v>
      </c>
      <c r="BZ184" s="113"/>
      <c r="CA184" s="116">
        <v>2004</v>
      </c>
      <c r="CB184" s="113"/>
      <c r="CC184" s="113"/>
      <c r="CD184" s="113"/>
      <c r="CE184" s="175"/>
      <c r="CF184" s="113">
        <f t="shared" si="366"/>
        <v>148083</v>
      </c>
      <c r="CG184" s="113">
        <f t="shared" si="367"/>
        <v>356.92352785666424</v>
      </c>
      <c r="CH184" s="178">
        <v>0.967741935483871</v>
      </c>
      <c r="CI184" s="61">
        <f>+CI178*CH184+CG179*CH183+CG180*CH182+CG181*CH181+CG182*CH180+CG183*CH179+CG184</f>
        <v>8071.8743450265692</v>
      </c>
      <c r="CJ184" s="114">
        <f t="shared" si="368"/>
        <v>3.9371651190230256E-2</v>
      </c>
      <c r="CK184" s="114"/>
      <c r="CL184" s="169">
        <f t="shared" si="369"/>
        <v>5.836853132398478E-3</v>
      </c>
      <c r="CM184" s="169">
        <f t="shared" si="377"/>
        <v>5.7372619022414252E-3</v>
      </c>
      <c r="CN184" s="114">
        <f>VLOOKUP($H184,RoR!$E:$F,2,FALSE)</f>
        <v>5.6283333333333331E-2</v>
      </c>
      <c r="CO184" s="169">
        <v>2.6778252812867276E-2</v>
      </c>
      <c r="CP184" s="169">
        <f t="shared" si="375"/>
        <v>2.9505080520466055E-2</v>
      </c>
      <c r="CQ184" s="169">
        <f t="shared" si="378"/>
        <v>2.5164679706292201E-2</v>
      </c>
      <c r="CR184" s="169">
        <f t="shared" si="379"/>
        <v>5.5940039414565046E-2</v>
      </c>
      <c r="CS184" s="179">
        <f t="shared" si="370"/>
        <v>0.85329623209999994</v>
      </c>
      <c r="CT184" s="180">
        <f t="shared" si="371"/>
        <v>0.91114097628755619</v>
      </c>
      <c r="CU184" s="180">
        <f t="shared" si="372"/>
        <v>0.53081877405981637</v>
      </c>
      <c r="CV184" s="180">
        <f t="shared" si="373"/>
        <v>0.88811215519385678</v>
      </c>
      <c r="CW184" s="180">
        <f t="shared" si="374"/>
        <v>0.42953609753547711</v>
      </c>
      <c r="CX184" s="181">
        <f>INDEX('State Tax Lookup'!$D$7:$Z$91,MATCH(Calculation!$C184,'State Tax Lookup'!$B$7:$B$91,0),MATCH($H184,'State Tax Lookup'!$D$6:$Z$6,0))</f>
        <v>0.39649667</v>
      </c>
      <c r="CY184" s="72">
        <v>0.37</v>
      </c>
      <c r="CZ184" s="70">
        <f t="shared" si="376"/>
        <v>14.682783422488869</v>
      </c>
      <c r="DA184" s="70"/>
      <c r="DB184" s="69">
        <f t="shared" si="381"/>
        <v>0.10363198274949213</v>
      </c>
      <c r="DC184" s="111">
        <f>VLOOKUP($H184,RoR!$E:$F,2,FALSE)</f>
        <v>5.6283333333333331E-2</v>
      </c>
      <c r="DD184" s="216">
        <f>HLOOKUP($H184,'GDP-PI'!$D$8:$CQ$11,3,FALSE)</f>
        <v>2.6778252812867276E-2</v>
      </c>
      <c r="DE184" s="111">
        <f>VLOOKUP(H184,'HW Dx Data'!$E:$F,2,FALSE)</f>
        <v>414.88719135228365</v>
      </c>
      <c r="DF184" s="72">
        <f>VLOOKUP(G184,EG$8:EH$27,2,FALSE)</f>
        <v>94.35</v>
      </c>
      <c r="DG184" s="69"/>
      <c r="DH184" s="66">
        <f>HLOOKUP(H184,'GDP-PI'!$8:$9,2,FALSE)</f>
        <v>84.778000000000006</v>
      </c>
      <c r="DI184" s="69">
        <f t="shared" si="382"/>
        <v>2.6425990216022755E-2</v>
      </c>
      <c r="EB184"/>
    </row>
    <row r="185" spans="1:132" s="160" customFormat="1" ht="21">
      <c r="A185" s="160" t="s">
        <v>170</v>
      </c>
      <c r="B185" s="161" t="s">
        <v>170</v>
      </c>
      <c r="C185" s="161">
        <v>4018679</v>
      </c>
      <c r="D185" s="161" t="s">
        <v>171</v>
      </c>
      <c r="E185" s="161" t="s">
        <v>3</v>
      </c>
      <c r="F185" s="161"/>
      <c r="G185" s="161" t="s">
        <v>116</v>
      </c>
      <c r="H185" s="162">
        <v>2005</v>
      </c>
      <c r="I185" s="163"/>
      <c r="J185" s="159">
        <f>IFERROR(INDEX('Labor Expenditures'!$F$7:$X$91,MATCH($C185,'Labor Expenditures'!$D$7:$D$91,0),MATCH($G185,'Labor Expenditures'!$F$5:$X$5,0)),"NA")</f>
        <v>107316.34059753396</v>
      </c>
      <c r="K185" s="159">
        <f t="shared" si="383"/>
        <v>1081.5453826911964</v>
      </c>
      <c r="L185" s="165">
        <f t="shared" ref="L185:L201" si="389">LN(K185/K184)</f>
        <v>-5.4431465073395604E-3</v>
      </c>
      <c r="M185" s="76"/>
      <c r="N185" s="62">
        <v>100</v>
      </c>
      <c r="O185" s="77"/>
      <c r="P185" s="77"/>
      <c r="Q185" s="159">
        <f>IFERROR(INDEX('Non-Labor Expenditures'!$F$7:$AB$91,MATCH($C185,'Non-Labor Expenditures'!$D$7:$D$91,0),MATCH($G185,'Non-Labor Expenditures'!$F$5:$AB$5,0)),"NA")</f>
        <v>155414.10511280352</v>
      </c>
      <c r="R185" s="159">
        <f t="shared" si="384"/>
        <v>1778.0510155113839</v>
      </c>
      <c r="S185" s="165">
        <f>LN(R185/R184)</f>
        <v>1.4396284536496712E-2</v>
      </c>
      <c r="T185" s="165"/>
      <c r="U185" s="165"/>
      <c r="V185" s="165"/>
      <c r="W185" s="159">
        <f t="shared" si="364"/>
        <v>133162.5925272645</v>
      </c>
      <c r="X185" s="163"/>
      <c r="Y185" s="167">
        <v>8281.8080790403983</v>
      </c>
      <c r="Z185" s="168">
        <v>2.5675595433020275E-2</v>
      </c>
      <c r="AA185" s="76">
        <f t="shared" si="385"/>
        <v>0</v>
      </c>
      <c r="AB185" s="168"/>
      <c r="AC185" s="168"/>
      <c r="AD185" s="163">
        <f t="shared" si="355"/>
        <v>395893.03823760198</v>
      </c>
      <c r="AE185" s="168">
        <f>LN(AD185/AD184)</f>
        <v>8.089653033084418E-2</v>
      </c>
      <c r="AF185" s="163"/>
      <c r="AG185" s="163"/>
      <c r="AH185" s="163"/>
      <c r="AI185" s="163"/>
      <c r="AJ185" s="116"/>
      <c r="AK185" s="114"/>
      <c r="AL185" s="115">
        <f t="shared" si="386"/>
        <v>0.27107407868366257</v>
      </c>
      <c r="AM185" s="115">
        <f t="shared" si="387"/>
        <v>0.39256589558801253</v>
      </c>
      <c r="AN185" s="115">
        <f t="shared" si="388"/>
        <v>0.33636002572832485</v>
      </c>
      <c r="AO185" s="115">
        <f t="shared" ref="AO185:AO201" si="390">+(((AL185+AL184)/2)*L185+((AM184+AM185)/2)*S185+((AN184+AN185)/2)*Z185)</f>
        <v>1.2576740085147538E-2</v>
      </c>
      <c r="AP185" s="166">
        <v>100</v>
      </c>
      <c r="AQ185" s="168"/>
      <c r="AR185" s="16"/>
      <c r="AS185" s="115"/>
      <c r="AT185" s="115"/>
      <c r="AU185" s="115"/>
      <c r="AV185" s="113">
        <f>IFERROR(INDEX('Total Customers'!$F$7:$AB$91,MATCH($C185,'Total Customers'!$D$7:$D$91,0),MATCH($G185,'Total Customers'!$F$5:$AB$5,0)),"NA")</f>
        <v>1165944</v>
      </c>
      <c r="AW185" s="68">
        <f t="shared" si="287"/>
        <v>9.4237889739963512E-3</v>
      </c>
      <c r="AX185" s="114"/>
      <c r="AY185" s="114"/>
      <c r="AZ185" s="116"/>
      <c r="BA185" s="116"/>
      <c r="BB185" s="166"/>
      <c r="BC185" s="166"/>
      <c r="BD185" s="166"/>
      <c r="BE185" s="166"/>
      <c r="BF185" s="166"/>
      <c r="BG185" s="166"/>
      <c r="BH185" s="166"/>
      <c r="BI185" s="113"/>
      <c r="BJ185" s="113"/>
      <c r="BK185" s="113">
        <f>INDEX('Dist. Plant Gas Additions'!$F$7:$AE$91,MATCH($C185,'Dist. Plant Gas Additions'!$D$7:$D$91,0),MATCH(Calculation!$G185,'Dist. Plant Gas Additions'!$F$5:$AE$5,0))</f>
        <v>110310</v>
      </c>
      <c r="BL185" s="113">
        <f>INDEX('Gen. Plant Additions'!$F$7:$AE$91,MATCH($C185,'Gen. Plant Additions'!$D$7:$D$91,0),MATCH(Calculation!$G185,'Gen. Plant Additions'!$F$5:$AE$5,0))</f>
        <v>10969</v>
      </c>
      <c r="BM185" s="231">
        <f t="shared" si="365"/>
        <v>0.93347459446955428</v>
      </c>
      <c r="BN185" s="61">
        <f t="shared" si="380"/>
        <v>10239.28282673654</v>
      </c>
      <c r="BO185" s="113">
        <f>INDEX('Dist Plant Depreciation'!$E$7:$AD$94,MATCH($C185,'Dist Plant Depreciation'!$D$7:$D$94,0),MATCH(Calculation!$G185,'Dist Plant Depreciation'!$E$5:$AD$5,0))</f>
        <v>586107</v>
      </c>
      <c r="BP185" s="113">
        <f>INDEX('Gen. Plant Depreciation'!$E$7:$AD$94,MATCH($C185,'Gen. Plant Depreciation'!$D$7:$D$94,0),MATCH(Calculation!$G185,'Gen. Plant Depreciation'!$E$5:$AD$5,0))</f>
        <v>61182</v>
      </c>
      <c r="BQ185" s="113"/>
      <c r="BR185" s="113"/>
      <c r="BS185" s="113"/>
      <c r="BT185" s="113"/>
      <c r="BU185" s="113"/>
      <c r="BV185" s="113"/>
      <c r="BW185" s="113">
        <f>INDEX('Gross Dx Plant'!$E$7:$AD$91,MATCH($C185,'Gross Dx Plant'!$D$7:$D$91,0),MATCH(Calculation!$G185,'Gross Dx Plant'!$E$5:$AD$5,0))</f>
        <v>2195227</v>
      </c>
      <c r="BX185" s="113">
        <f>INDEX('Gross Gen Plant'!$E$7:$AD$91,MATCH($C185,'Gross Gen Plant'!$D$7:$D$91,0),MATCH(Calculation!$G185,'Gross Gen Plant'!$E$5:$AD$5,0))</f>
        <v>156446</v>
      </c>
      <c r="BY185" s="113">
        <f t="shared" si="313"/>
        <v>1704384</v>
      </c>
      <c r="BZ185" s="113"/>
      <c r="CA185" s="116">
        <v>2005</v>
      </c>
      <c r="CB185" s="113"/>
      <c r="CC185" s="113"/>
      <c r="CD185" s="113"/>
      <c r="CE185" s="175"/>
      <c r="CF185" s="113">
        <f t="shared" si="366"/>
        <v>121279</v>
      </c>
      <c r="CG185" s="113">
        <f t="shared" si="367"/>
        <v>258.47756039010488</v>
      </c>
      <c r="CH185" s="178">
        <v>0.96174863387978138</v>
      </c>
      <c r="CI185" s="61">
        <f>+CI178*CH185+CG179*CH184+CG180*CH183+CG181*CH182+CG182*CH181+CG183*CH180+CG184*CH179+CG185</f>
        <v>8281.8080790403983</v>
      </c>
      <c r="CJ185" s="114">
        <f t="shared" si="368"/>
        <v>2.5675595433020275E-2</v>
      </c>
      <c r="CK185" s="114"/>
      <c r="CL185" s="169">
        <f t="shared" si="369"/>
        <v>6.0139472322417635E-3</v>
      </c>
      <c r="CM185" s="169">
        <f t="shared" si="377"/>
        <v>5.8385011228913137E-3</v>
      </c>
      <c r="CN185" s="114">
        <f>VLOOKUP($H185,RoR!$E:$F,2,FALSE)</f>
        <v>5.2350000000000001E-2</v>
      </c>
      <c r="CO185" s="169">
        <v>3.1010403642454332E-2</v>
      </c>
      <c r="CP185" s="169">
        <f t="shared" si="375"/>
        <v>2.1339596357545669E-2</v>
      </c>
      <c r="CQ185" s="169">
        <f t="shared" si="378"/>
        <v>2.506344048564231E-2</v>
      </c>
      <c r="CR185" s="169">
        <f t="shared" si="379"/>
        <v>9.2129610649277341E-2</v>
      </c>
      <c r="CS185" s="179">
        <f t="shared" si="370"/>
        <v>0.85329623209999994</v>
      </c>
      <c r="CT185" s="180">
        <f t="shared" si="371"/>
        <v>0.97959983346802826</v>
      </c>
      <c r="CU185" s="180">
        <f t="shared" si="372"/>
        <v>0.49744508118433622</v>
      </c>
      <c r="CV185" s="180">
        <f t="shared" si="373"/>
        <v>0.87010519444335932</v>
      </c>
      <c r="CW185" s="180">
        <f t="shared" si="374"/>
        <v>0.42399975420741998</v>
      </c>
      <c r="CX185" s="181">
        <f>INDEX('State Tax Lookup'!$D$7:$Z$91,MATCH(Calculation!$C185,'State Tax Lookup'!$B$7:$B$91,0),MATCH($H185,'State Tax Lookup'!$D$6:$Z$6,0))</f>
        <v>0.39649667</v>
      </c>
      <c r="CY185" s="72">
        <v>0.37</v>
      </c>
      <c r="CZ185" s="70">
        <f t="shared" si="376"/>
        <v>16.497109201075673</v>
      </c>
      <c r="DA185" s="70"/>
      <c r="DB185" s="69">
        <f t="shared" si="381"/>
        <v>0.11650955397251338</v>
      </c>
      <c r="DC185" s="111">
        <f>VLOOKUP($H185,RoR!$E:$F,2,FALSE)</f>
        <v>5.2350000000000001E-2</v>
      </c>
      <c r="DD185" s="216">
        <f>HLOOKUP($H185,'GDP-PI'!$D$8:$CQ$11,3,FALSE)</f>
        <v>3.1010403642454332E-2</v>
      </c>
      <c r="DE185" s="111">
        <f>VLOOKUP(H185,'HW Dx Data'!$E:$F,2,FALSE)</f>
        <v>469.20514034936258</v>
      </c>
      <c r="DF185" s="72">
        <f t="shared" ref="DF185:DF203" si="391">VLOOKUP(G185,EG$8:EH$27,2,FALSE)</f>
        <v>99.224999999999994</v>
      </c>
      <c r="DG185" s="69">
        <f t="shared" ref="DG185:DG203" si="392">LN(DF185/DF184)</f>
        <v>5.0378726854569796E-2</v>
      </c>
      <c r="DH185" s="66">
        <f>HLOOKUP(H185,'GDP-PI'!$8:$9,2,FALSE)</f>
        <v>87.406999999999996</v>
      </c>
      <c r="DI185" s="69">
        <f t="shared" si="382"/>
        <v>3.0539295810733648E-2</v>
      </c>
      <c r="EB185"/>
    </row>
    <row r="186" spans="1:132" s="160" customFormat="1" ht="21">
      <c r="A186" s="160" t="s">
        <v>170</v>
      </c>
      <c r="B186" s="161" t="s">
        <v>170</v>
      </c>
      <c r="C186" s="161">
        <v>4018679</v>
      </c>
      <c r="D186" s="161" t="s">
        <v>171</v>
      </c>
      <c r="E186" s="161" t="s">
        <v>3</v>
      </c>
      <c r="F186" s="161"/>
      <c r="G186" s="161" t="s">
        <v>117</v>
      </c>
      <c r="H186" s="162">
        <v>2006</v>
      </c>
      <c r="I186" s="163"/>
      <c r="J186" s="159">
        <f>IFERROR(INDEX('Labor Expenditures'!$F$7:$X$91,MATCH($C186,'Labor Expenditures'!$D$7:$D$91,0),MATCH($G186,'Labor Expenditures'!$F$5:$X$5,0)),"NA")</f>
        <v>103240.59698508766</v>
      </c>
      <c r="K186" s="159">
        <f t="shared" si="383"/>
        <v>943.6983271031778</v>
      </c>
      <c r="L186" s="165">
        <f t="shared" si="389"/>
        <v>-0.13633966091560812</v>
      </c>
      <c r="M186" s="76">
        <f t="shared" ref="M186:M202" si="393">+L186*$AR186</f>
        <v>-6.6146120208313564E-3</v>
      </c>
      <c r="N186" s="62">
        <f>+N185*EXP(O186)</f>
        <v>105.40642323509131</v>
      </c>
      <c r="O186" s="96">
        <f t="shared" ref="O186:O202" si="394">+M186+M211+M236+M261+M286+M311+M336+M361+M386+M411+M436+M461+M486+M511+M536+M561+M586+M611+M636+M661+M686+M711+M736+M761+M786+M811+M836+M861+M886+M911+M936+M961+M986+M1011+M1036+M1061+M1086+M1111+M1136+M1161+M1186+M1211+M1236+M1261+M1286+M1311+M1336+M1361+M1386+M1411+M1436+M1461+M1486+M1511</f>
        <v>5.2653389771717449E-2</v>
      </c>
      <c r="P186" s="96"/>
      <c r="Q186" s="159">
        <f>IFERROR(INDEX('Non-Labor Expenditures'!$F$7:$AB$91,MATCH($C186,'Non-Labor Expenditures'!$D$7:$D$91,0),MATCH($G186,'Non-Labor Expenditures'!$F$5:$AB$5,0)),"NA")</f>
        <v>149511.66711808008</v>
      </c>
      <c r="R186" s="159">
        <f t="shared" si="384"/>
        <v>1659.8759588569408</v>
      </c>
      <c r="S186" s="165">
        <f t="shared" ref="S186:S201" si="395">LN(R186/R185)</f>
        <v>-6.8774953322310692E-2</v>
      </c>
      <c r="T186" s="165">
        <f t="shared" ref="T186:T202" si="396">+S186*AR186</f>
        <v>-3.336663960602477E-3</v>
      </c>
      <c r="U186" s="165"/>
      <c r="V186" s="165"/>
      <c r="W186" s="159">
        <f t="shared" si="364"/>
        <v>133414.43898476858</v>
      </c>
      <c r="X186" s="163"/>
      <c r="Y186" s="167">
        <v>8534.7430368193927</v>
      </c>
      <c r="Z186" s="168">
        <v>3.0083937208301458E-2</v>
      </c>
      <c r="AA186" s="76">
        <f t="shared" si="385"/>
        <v>1.4595428164893274E-3</v>
      </c>
      <c r="AB186" s="168"/>
      <c r="AC186" s="168"/>
      <c r="AD186" s="163">
        <f t="shared" si="355"/>
        <v>386166.70308793633</v>
      </c>
      <c r="AE186" s="168">
        <f t="shared" ref="AE186:AE202" si="397">LN(AD186/AD185)</f>
        <v>-2.487491978961507E-2</v>
      </c>
      <c r="AF186" s="163"/>
      <c r="AG186" s="163"/>
      <c r="AH186" s="163"/>
      <c r="AI186" s="163"/>
      <c r="AJ186" s="116">
        <f t="shared" ref="AJ186:AJ202" si="398">+(AD186*1000)/AV186</f>
        <v>328.19304300612021</v>
      </c>
      <c r="AK186" s="114">
        <f>+AV186/$AX$11</f>
        <v>3.3927215670833129E-2</v>
      </c>
      <c r="AL186" s="115">
        <f t="shared" si="386"/>
        <v>0.2673472263650295</v>
      </c>
      <c r="AM186" s="115">
        <f t="shared" si="387"/>
        <v>0.38716871735063568</v>
      </c>
      <c r="AN186" s="115">
        <f t="shared" si="388"/>
        <v>0.34548405628433476</v>
      </c>
      <c r="AO186" s="115">
        <f t="shared" si="390"/>
        <v>-5.3260917609801305E-2</v>
      </c>
      <c r="AP186" s="166">
        <f>+AP185*EXP(AO186)</f>
        <v>94.813259571535738</v>
      </c>
      <c r="AQ186" s="168">
        <f>LN(AP186/AP185)</f>
        <v>-5.3260917609801291E-2</v>
      </c>
      <c r="AR186" s="69">
        <f>+AD186/$AF$11</f>
        <v>4.8515684844820661E-2</v>
      </c>
      <c r="AS186" s="169">
        <f>+AR186*AQ186</f>
        <v>-2.5839898933030783E-3</v>
      </c>
      <c r="AT186" s="115"/>
      <c r="AU186" s="115"/>
      <c r="AV186" s="113">
        <f>IFERROR(INDEX('Total Customers'!$F$7:$AB$91,MATCH($C186,'Total Customers'!$D$7:$D$91,0),MATCH($G186,'Total Customers'!$F$5:$AB$5,0)),"NA")</f>
        <v>1176645</v>
      </c>
      <c r="AW186" s="68">
        <f t="shared" si="287"/>
        <v>9.1361091791374843E-3</v>
      </c>
      <c r="AX186" s="114"/>
      <c r="AY186" s="114"/>
      <c r="AZ186" s="116">
        <v>8247377</v>
      </c>
      <c r="BA186" s="116"/>
      <c r="BB186" s="166"/>
      <c r="BC186" s="166"/>
      <c r="BD186" s="166"/>
      <c r="BE186" s="166"/>
      <c r="BF186" s="166"/>
      <c r="BG186" s="166"/>
      <c r="BH186" s="166"/>
      <c r="BI186" s="113"/>
      <c r="BJ186" s="113"/>
      <c r="BK186" s="113">
        <f>INDEX('Dist. Plant Gas Additions'!$F$7:$AE$91,MATCH($C186,'Dist. Plant Gas Additions'!$D$7:$D$91,0),MATCH(Calculation!$G186,'Dist. Plant Gas Additions'!$F$5:$AE$5,0))</f>
        <v>133989</v>
      </c>
      <c r="BL186" s="113">
        <f>INDEX('Gen. Plant Additions'!$F$7:$AE$91,MATCH($C186,'Gen. Plant Additions'!$D$7:$D$91,0),MATCH(Calculation!$G186,'Gen. Plant Additions'!$F$5:$AE$5,0))</f>
        <v>6349</v>
      </c>
      <c r="BM186" s="231">
        <f t="shared" si="365"/>
        <v>0.93947063182783719</v>
      </c>
      <c r="BN186" s="61">
        <f t="shared" si="380"/>
        <v>5964.699041474938</v>
      </c>
      <c r="BO186" s="113">
        <f>INDEX('Dist Plant Depreciation'!$E$7:$AD$94,MATCH($C186,'Dist Plant Depreciation'!$D$7:$D$94,0),MATCH(Calculation!$G186,'Dist Plant Depreciation'!$E$5:$AD$5,0))</f>
        <v>606347</v>
      </c>
      <c r="BP186" s="113">
        <f>INDEX('Gen. Plant Depreciation'!$E$7:$AD$94,MATCH($C186,'Gen. Plant Depreciation'!$D$7:$D$94,0),MATCH(Calculation!$G186,'Gen. Plant Depreciation'!$E$5:$AD$5,0))</f>
        <v>56770</v>
      </c>
      <c r="BQ186" s="113"/>
      <c r="BR186" s="113"/>
      <c r="BS186" s="113"/>
      <c r="BT186" s="113"/>
      <c r="BU186" s="113"/>
      <c r="BV186" s="113"/>
      <c r="BW186" s="113">
        <f>INDEX('Gross Dx Plant'!$E$7:$AD$91,MATCH($C186,'Gross Dx Plant'!$D$7:$D$91,0),MATCH(Calculation!$G186,'Gross Dx Plant'!$E$5:$AD$5,0))</f>
        <v>2314850</v>
      </c>
      <c r="BX186" s="113">
        <f>INDEX('Gross Gen Plant'!$E$7:$AD$91,MATCH($C186,'Gross Gen Plant'!$D$7:$D$91,0),MATCH(Calculation!$G186,'Gross Gen Plant'!$E$5:$AD$5,0))</f>
        <v>149144</v>
      </c>
      <c r="BY186" s="113">
        <f t="shared" si="313"/>
        <v>1800877</v>
      </c>
      <c r="BZ186" s="114"/>
      <c r="CA186" s="116">
        <v>2006</v>
      </c>
      <c r="CB186" s="113"/>
      <c r="CC186" s="113"/>
      <c r="CD186" s="113"/>
      <c r="CE186" s="175"/>
      <c r="CF186" s="113">
        <f t="shared" si="366"/>
        <v>140338</v>
      </c>
      <c r="CG186" s="113">
        <f t="shared" si="367"/>
        <v>304.36426091743715</v>
      </c>
      <c r="CH186" s="178">
        <v>0.9555555555555556</v>
      </c>
      <c r="CI186" s="61">
        <f>+CI178*CH186+CG179*CH185+CG180*CH184+CG181*CH183+CG182*CH182+CG183*CH181+CG184*CH180+CG185*CH179+CG186</f>
        <v>8534.7430368193927</v>
      </c>
      <c r="CJ186" s="114">
        <f t="shared" si="368"/>
        <v>3.0083937208301458E-2</v>
      </c>
      <c r="CK186" s="114"/>
      <c r="CL186" s="169">
        <f t="shared" si="369"/>
        <v>6.2099124548176876E-3</v>
      </c>
      <c r="CM186" s="169">
        <f t="shared" si="377"/>
        <v>6.0202376064859764E-3</v>
      </c>
      <c r="CN186" s="114">
        <f>VLOOKUP($H186,RoR!$E:$F,2,FALSE)</f>
        <v>5.5874999999999994E-2</v>
      </c>
      <c r="CO186" s="169">
        <v>3.0512430354548314E-2</v>
      </c>
      <c r="CP186" s="169">
        <f t="shared" si="375"/>
        <v>2.536256964545168E-2</v>
      </c>
      <c r="CQ186" s="169">
        <f t="shared" si="378"/>
        <v>2.4881704002047648E-2</v>
      </c>
      <c r="CR186" s="169">
        <f t="shared" si="379"/>
        <v>7.9087823893859641E-2</v>
      </c>
      <c r="CS186" s="179">
        <f t="shared" si="370"/>
        <v>0.85329623209999994</v>
      </c>
      <c r="CT186" s="180">
        <f t="shared" si="371"/>
        <v>0.91779957551769631</v>
      </c>
      <c r="CU186" s="180">
        <f t="shared" si="372"/>
        <v>0.52757270693512304</v>
      </c>
      <c r="CV186" s="180">
        <f t="shared" si="373"/>
        <v>0.88636824549024895</v>
      </c>
      <c r="CW186" s="180">
        <f t="shared" si="374"/>
        <v>0.42918482841932087</v>
      </c>
      <c r="CX186" s="181">
        <f>INDEX('State Tax Lookup'!$D$7:$Z$91,MATCH(Calculation!$C186,'State Tax Lookup'!$B$7:$B$91,0),MATCH($H186,'State Tax Lookup'!$D$6:$Z$6,0))</f>
        <v>0.39649667</v>
      </c>
      <c r="CY186" s="72">
        <v>0.37</v>
      </c>
      <c r="CZ186" s="70">
        <f t="shared" si="376"/>
        <v>16.109337201669025</v>
      </c>
      <c r="DA186" s="70">
        <v>14.788696346247992</v>
      </c>
      <c r="DB186" s="69">
        <f t="shared" si="381"/>
        <v>-2.3786111324032543E-2</v>
      </c>
      <c r="DC186" s="111">
        <f>VLOOKUP($H186,RoR!$E:$F,2,FALSE)</f>
        <v>5.5874999999999994E-2</v>
      </c>
      <c r="DD186" s="216">
        <f>HLOOKUP($H186,'GDP-PI'!$D$8:$CQ$11,3,FALSE)</f>
        <v>3.0512430354548314E-2</v>
      </c>
      <c r="DE186" s="111">
        <f>VLOOKUP(H186,'HW Dx Data'!$E:$F,2,FALSE)</f>
        <v>461.08567272971823</v>
      </c>
      <c r="DF186" s="72">
        <f t="shared" si="391"/>
        <v>109.4</v>
      </c>
      <c r="DG186" s="69">
        <f t="shared" si="392"/>
        <v>9.7620891318751846E-2</v>
      </c>
      <c r="DH186" s="66">
        <f>HLOOKUP(H186,'GDP-PI'!$8:$9,2,FALSE)</f>
        <v>90.073999999999998</v>
      </c>
      <c r="DI186" s="69">
        <f t="shared" si="382"/>
        <v>3.005618372545445E-2</v>
      </c>
      <c r="EB186"/>
    </row>
    <row r="187" spans="1:132" s="160" customFormat="1" ht="21">
      <c r="A187" s="160" t="s">
        <v>170</v>
      </c>
      <c r="B187" s="161" t="s">
        <v>170</v>
      </c>
      <c r="C187" s="161">
        <v>4018679</v>
      </c>
      <c r="D187" s="161" t="s">
        <v>171</v>
      </c>
      <c r="E187" s="161" t="s">
        <v>3</v>
      </c>
      <c r="F187" s="161"/>
      <c r="G187" s="161" t="s">
        <v>118</v>
      </c>
      <c r="H187" s="162">
        <v>2007</v>
      </c>
      <c r="I187" s="163"/>
      <c r="J187" s="159">
        <f>IFERROR(INDEX('Labor Expenditures'!$F$7:$X$91,MATCH($C187,'Labor Expenditures'!$D$7:$D$91,0),MATCH($G187,'Labor Expenditures'!$F$5:$X$5,0)),"NA")</f>
        <v>97995.693608426343</v>
      </c>
      <c r="K187" s="159">
        <f t="shared" si="383"/>
        <v>937.53354325210569</v>
      </c>
      <c r="L187" s="165">
        <f t="shared" si="389"/>
        <v>-6.5540096524852034E-3</v>
      </c>
      <c r="M187" s="76">
        <f t="shared" si="393"/>
        <v>-3.0208661373925714E-4</v>
      </c>
      <c r="N187" s="62">
        <f t="shared" ref="N187:N200" si="399">+N186*EXP(O187)</f>
        <v>116.93841635356127</v>
      </c>
      <c r="O187" s="96">
        <f t="shared" si="394"/>
        <v>0.10382386451155701</v>
      </c>
      <c r="P187" s="96"/>
      <c r="Q187" s="159">
        <f>IFERROR(INDEX('Non-Labor Expenditures'!$F$7:$AB$91,MATCH($C187,'Non-Labor Expenditures'!$D$7:$D$91,0),MATCH($G187,'Non-Labor Expenditures'!$F$5:$AB$5,0)),"NA")</f>
        <v>141916.06741585102</v>
      </c>
      <c r="R187" s="159">
        <f t="shared" si="384"/>
        <v>1534.2609290563148</v>
      </c>
      <c r="S187" s="165">
        <f t="shared" si="395"/>
        <v>-7.8694090347775608E-2</v>
      </c>
      <c r="T187" s="165">
        <f t="shared" si="396"/>
        <v>-3.6271584167466811E-3</v>
      </c>
      <c r="U187" s="165"/>
      <c r="V187" s="165"/>
      <c r="W187" s="159">
        <f t="shared" si="364"/>
        <v>147617.05758057107</v>
      </c>
      <c r="X187" s="163"/>
      <c r="Y187" s="167">
        <v>8704.7411767948361</v>
      </c>
      <c r="Z187" s="168">
        <v>1.9722591271467742E-2</v>
      </c>
      <c r="AA187" s="76">
        <f t="shared" si="385"/>
        <v>9.0905127201055353E-4</v>
      </c>
      <c r="AB187" s="168"/>
      <c r="AC187" s="168"/>
      <c r="AD187" s="163">
        <f t="shared" si="355"/>
        <v>387528.81860484846</v>
      </c>
      <c r="AE187" s="168">
        <f t="shared" si="397"/>
        <v>3.5210671019890814E-3</v>
      </c>
      <c r="AF187" s="163"/>
      <c r="AG187" s="163"/>
      <c r="AH187" s="163"/>
      <c r="AI187" s="163"/>
      <c r="AJ187" s="116">
        <f t="shared" si="398"/>
        <v>327.89906249405465</v>
      </c>
      <c r="AK187" s="114">
        <f>+AV187/$AX$12</f>
        <v>3.3820839982796745E-2</v>
      </c>
      <c r="AL187" s="115">
        <f t="shared" si="386"/>
        <v>0.25287330620009868</v>
      </c>
      <c r="AM187" s="115">
        <f t="shared" si="387"/>
        <v>0.36620777759642847</v>
      </c>
      <c r="AN187" s="115">
        <f t="shared" si="388"/>
        <v>0.38091891620347279</v>
      </c>
      <c r="AO187" s="115">
        <f t="shared" si="390"/>
        <v>-2.4184629713175684E-2</v>
      </c>
      <c r="AP187" s="166">
        <f>+AP186*EXP(AO187)</f>
        <v>92.54774177475187</v>
      </c>
      <c r="AQ187" s="168">
        <f>LN(AP187/AP186)</f>
        <v>-2.4184629713175712E-2</v>
      </c>
      <c r="AR187" s="69">
        <f>+AD187/$AF$12</f>
        <v>4.6091878065011617E-2</v>
      </c>
      <c r="AS187" s="169">
        <f t="shared" ref="AS187:AS201" si="400">+AR187*AQ187</f>
        <v>-1.1147150037871519E-3</v>
      </c>
      <c r="AT187" s="115"/>
      <c r="AU187" s="115"/>
      <c r="AV187" s="113">
        <f>IFERROR(INDEX('Total Customers'!$F$7:$AB$91,MATCH($C187,'Total Customers'!$D$7:$D$91,0),MATCH($G187,'Total Customers'!$F$5:$AB$5,0)),"NA")</f>
        <v>1181854</v>
      </c>
      <c r="AW187" s="68">
        <f t="shared" si="287"/>
        <v>4.4172233863754113E-3</v>
      </c>
      <c r="AX187" s="114"/>
      <c r="AY187" s="114"/>
      <c r="AZ187" s="116">
        <v>8187757</v>
      </c>
      <c r="BA187" s="116"/>
      <c r="BB187" s="166"/>
      <c r="BC187" s="166"/>
      <c r="BD187" s="166"/>
      <c r="BE187" s="166"/>
      <c r="BF187" s="166"/>
      <c r="BG187" s="166"/>
      <c r="BH187" s="166"/>
      <c r="BI187" s="113"/>
      <c r="BJ187" s="113"/>
      <c r="BK187" s="113">
        <f>INDEX('Dist. Plant Gas Additions'!$F$7:$AE$91,MATCH($C187,'Dist. Plant Gas Additions'!$D$7:$D$91,0),MATCH(Calculation!$G187,'Dist. Plant Gas Additions'!$F$5:$AE$5,0))</f>
        <v>108370</v>
      </c>
      <c r="BL187" s="113">
        <f>INDEX('Gen. Plant Additions'!$F$7:$AE$91,MATCH($C187,'Gen. Plant Additions'!$D$7:$D$91,0),MATCH(Calculation!$G187,'Gen. Plant Additions'!$F$5:$AE$5,0))</f>
        <v>3516</v>
      </c>
      <c r="BM187" s="231">
        <f t="shared" si="365"/>
        <v>0.94336399510275515</v>
      </c>
      <c r="BN187" s="61">
        <f t="shared" si="380"/>
        <v>3316.8678067812871</v>
      </c>
      <c r="BO187" s="113">
        <f>INDEX('Dist Plant Depreciation'!$E$7:$AD$94,MATCH($C187,'Dist Plant Depreciation'!$D$7:$D$94,0),MATCH(Calculation!$G187,'Dist Plant Depreciation'!$E$5:$AD$5,0))</f>
        <v>665940</v>
      </c>
      <c r="BP187" s="113">
        <f>INDEX('Gen. Plant Depreciation'!$E$7:$AD$94,MATCH($C187,'Gen. Plant Depreciation'!$D$7:$D$94,0),MATCH(Calculation!$G187,'Gen. Plant Depreciation'!$E$5:$AD$5,0))</f>
        <v>55832</v>
      </c>
      <c r="BQ187" s="113"/>
      <c r="BR187" s="113"/>
      <c r="BS187" s="113"/>
      <c r="BT187" s="113"/>
      <c r="BU187" s="113"/>
      <c r="BV187" s="113"/>
      <c r="BW187" s="113">
        <f>INDEX('Gross Dx Plant'!$E$7:$AD$91,MATCH($C187,'Gross Dx Plant'!$D$7:$D$91,0),MATCH(Calculation!$G187,'Gross Dx Plant'!$E$5:$AD$5,0))</f>
        <v>2417141</v>
      </c>
      <c r="BX187" s="113">
        <f>INDEX('Gross Gen Plant'!$E$7:$AD$91,MATCH($C187,'Gross Gen Plant'!$D$7:$D$91,0),MATCH(Calculation!$G187,'Gross Gen Plant'!$E$5:$AD$5,0))</f>
        <v>145116</v>
      </c>
      <c r="BY187" s="113">
        <f t="shared" si="313"/>
        <v>1840485</v>
      </c>
      <c r="BZ187" s="113"/>
      <c r="CA187" s="116">
        <v>2007</v>
      </c>
      <c r="CB187" s="113"/>
      <c r="CC187" s="113"/>
      <c r="CD187" s="113"/>
      <c r="CE187" s="175"/>
      <c r="CF187" s="113">
        <f t="shared" si="366"/>
        <v>111886</v>
      </c>
      <c r="CG187" s="113">
        <f t="shared" si="367"/>
        <v>224.6606156448585</v>
      </c>
      <c r="CH187" s="178">
        <v>0.94915254237288138</v>
      </c>
      <c r="CI187" s="61">
        <f>+CI178*CH187+CG179*CH186+CG180*CH185+CG181*CH184+CG182*CH183+CG183*CH182+CG184*CH181+CG185*CH180+CG186*CH179+CG187</f>
        <v>8704.7411767948361</v>
      </c>
      <c r="CJ187" s="114">
        <f t="shared" si="368"/>
        <v>1.9722591271467742E-2</v>
      </c>
      <c r="CK187" s="114"/>
      <c r="CL187" s="169">
        <f t="shared" si="369"/>
        <v>6.4047008133224356E-3</v>
      </c>
      <c r="CM187" s="169">
        <f t="shared" si="377"/>
        <v>6.2095201667939628E-3</v>
      </c>
      <c r="CN187" s="114">
        <f>VLOOKUP($H187,RoR!$E:$F,2,FALSE)</f>
        <v>5.5558333333333321E-2</v>
      </c>
      <c r="CO187" s="169">
        <v>2.691120634145272E-2</v>
      </c>
      <c r="CP187" s="169">
        <f t="shared" si="375"/>
        <v>2.86471269918806E-2</v>
      </c>
      <c r="CQ187" s="169">
        <f t="shared" si="378"/>
        <v>2.4692421441739661E-2</v>
      </c>
      <c r="CR187" s="169">
        <f t="shared" si="379"/>
        <v>6.4575155250632399E-2</v>
      </c>
      <c r="CS187" s="179">
        <f t="shared" si="370"/>
        <v>0.85329623209999994</v>
      </c>
      <c r="CT187" s="180">
        <f t="shared" si="371"/>
        <v>0.92303077153834634</v>
      </c>
      <c r="CU187" s="180">
        <f t="shared" si="372"/>
        <v>0.52502249887505614</v>
      </c>
      <c r="CV187" s="180">
        <f t="shared" si="373"/>
        <v>0.88499666072084604</v>
      </c>
      <c r="CW187" s="180">
        <f t="shared" si="374"/>
        <v>0.42887993290280618</v>
      </c>
      <c r="CX187" s="181">
        <f>INDEX('State Tax Lookup'!$D$7:$Z$91,MATCH(Calculation!$C187,'State Tax Lookup'!$B$7:$B$91,0),MATCH($H187,'State Tax Lookup'!$D$6:$Z$6,0))</f>
        <v>0.39649667</v>
      </c>
      <c r="CY187" s="72">
        <v>0.37</v>
      </c>
      <c r="CZ187" s="70">
        <f t="shared" si="376"/>
        <v>17.296016639720989</v>
      </c>
      <c r="DA187" s="70">
        <v>16.108943221861779</v>
      </c>
      <c r="DB187" s="69">
        <f t="shared" si="381"/>
        <v>7.107716865402014E-2</v>
      </c>
      <c r="DC187" s="111">
        <f>VLOOKUP($H187,RoR!$E:$F,2,FALSE)</f>
        <v>5.5558333333333321E-2</v>
      </c>
      <c r="DD187" s="216">
        <f>HLOOKUP($H187,'GDP-PI'!$D$8:$CQ$11,3,FALSE)</f>
        <v>2.691120634145272E-2</v>
      </c>
      <c r="DE187" s="111">
        <f>VLOOKUP(H187,'HW Dx Data'!$E:$F,2,FALSE)</f>
        <v>498.0223154772637</v>
      </c>
      <c r="DF187" s="72">
        <f t="shared" si="391"/>
        <v>104.52499999999999</v>
      </c>
      <c r="DG187" s="69">
        <f t="shared" si="392"/>
        <v>-4.5584612745252218E-2</v>
      </c>
      <c r="DH187" s="66">
        <f>HLOOKUP(H187,'GDP-PI'!$8:$9,2,FALSE)</f>
        <v>92.498000000000005</v>
      </c>
      <c r="DI187" s="69">
        <f t="shared" si="382"/>
        <v>2.6555467950038037E-2</v>
      </c>
      <c r="EB187"/>
    </row>
    <row r="188" spans="1:132" s="160" customFormat="1" ht="21">
      <c r="A188" s="160" t="s">
        <v>170</v>
      </c>
      <c r="B188" s="161" t="s">
        <v>170</v>
      </c>
      <c r="C188" s="161">
        <v>4018679</v>
      </c>
      <c r="D188" s="161" t="s">
        <v>171</v>
      </c>
      <c r="E188" s="161" t="s">
        <v>3</v>
      </c>
      <c r="F188" s="161"/>
      <c r="G188" s="161" t="s">
        <v>120</v>
      </c>
      <c r="H188" s="162">
        <v>2008</v>
      </c>
      <c r="I188" s="163"/>
      <c r="J188" s="159">
        <f>IFERROR(INDEX('Labor Expenditures'!$F$7:$X$91,MATCH($C188,'Labor Expenditures'!$D$7:$D$91,0),MATCH($G188,'Labor Expenditures'!$F$5:$X$5,0)),"NA")</f>
        <v>111753.58962826726</v>
      </c>
      <c r="K188" s="159">
        <f t="shared" si="383"/>
        <v>1035.7144543861655</v>
      </c>
      <c r="L188" s="165">
        <f t="shared" si="389"/>
        <v>9.9594224975593296E-2</v>
      </c>
      <c r="M188" s="76">
        <f t="shared" si="393"/>
        <v>4.9250492977077343E-3</v>
      </c>
      <c r="N188" s="62">
        <f t="shared" si="399"/>
        <v>109.50891029681539</v>
      </c>
      <c r="O188" s="96">
        <f t="shared" si="394"/>
        <v>-6.5641521751721943E-2</v>
      </c>
      <c r="P188" s="96"/>
      <c r="Q188" s="159">
        <f>IFERROR(INDEX('Non-Labor Expenditures'!$F$7:$AB$91,MATCH($C188,'Non-Labor Expenditures'!$D$7:$D$91,0),MATCH($G188,'Non-Labor Expenditures'!$F$5:$AB$5,0)),"NA")</f>
        <v>161840.07047310501</v>
      </c>
      <c r="R188" s="159">
        <f t="shared" si="384"/>
        <v>1716.8809988235701</v>
      </c>
      <c r="S188" s="165">
        <f t="shared" si="395"/>
        <v>0.11246048624902134</v>
      </c>
      <c r="T188" s="165">
        <f t="shared" si="396"/>
        <v>5.5613007577130684E-3</v>
      </c>
      <c r="U188" s="165"/>
      <c r="V188" s="165"/>
      <c r="W188" s="159">
        <f t="shared" si="364"/>
        <v>170921.97709401007</v>
      </c>
      <c r="X188" s="163"/>
      <c r="Y188" s="167">
        <v>8984.4015592161322</v>
      </c>
      <c r="Z188" s="168">
        <v>3.1622073517347728E-2</v>
      </c>
      <c r="AA188" s="76">
        <f t="shared" si="385"/>
        <v>1.5637480085501111E-3</v>
      </c>
      <c r="AB188" s="168"/>
      <c r="AC188" s="168"/>
      <c r="AD188" s="163">
        <f t="shared" si="355"/>
        <v>444515.63719538238</v>
      </c>
      <c r="AE188" s="168">
        <f t="shared" si="397"/>
        <v>0.13719501700617773</v>
      </c>
      <c r="AF188" s="163"/>
      <c r="AG188" s="163"/>
      <c r="AH188" s="163"/>
      <c r="AI188" s="163"/>
      <c r="AJ188" s="116">
        <f t="shared" si="398"/>
        <v>373.03409738606905</v>
      </c>
      <c r="AK188" s="114">
        <f>+AV188/$AX$13</f>
        <v>3.3918048323901245E-2</v>
      </c>
      <c r="AL188" s="115">
        <f t="shared" si="386"/>
        <v>0.25140530563415725</v>
      </c>
      <c r="AM188" s="115">
        <f t="shared" si="387"/>
        <v>0.36408183859226045</v>
      </c>
      <c r="AN188" s="115">
        <f t="shared" si="388"/>
        <v>0.38451285577358224</v>
      </c>
      <c r="AO188" s="115">
        <f t="shared" si="390"/>
        <v>7.8278251311282035E-2</v>
      </c>
      <c r="AP188" s="166">
        <f t="shared" ref="AP188:AP201" si="401">+AP187*EXP(AO188)</f>
        <v>100.08330507825234</v>
      </c>
      <c r="AQ188" s="168">
        <f t="shared" ref="AQ188:AQ201" si="402">LN(AP188/AP187)</f>
        <v>7.8278251311282021E-2</v>
      </c>
      <c r="AR188" s="69">
        <f>+AD188/$AF$13</f>
        <v>4.9451153406883518E-2</v>
      </c>
      <c r="AS188" s="169">
        <f t="shared" si="400"/>
        <v>3.8709498140167883E-3</v>
      </c>
      <c r="AT188" s="115"/>
      <c r="AU188" s="115"/>
      <c r="AV188" s="113">
        <f>IFERROR(INDEX('Total Customers'!$F$7:$AB$91,MATCH($C188,'Total Customers'!$D$7:$D$91,0),MATCH($G188,'Total Customers'!$F$5:$AB$5,0)),"NA")</f>
        <v>1191622</v>
      </c>
      <c r="AW188" s="68">
        <f t="shared" si="287"/>
        <v>8.2310123616865846E-3</v>
      </c>
      <c r="AX188" s="114"/>
      <c r="AY188" s="114"/>
      <c r="AZ188" s="116">
        <v>8244107</v>
      </c>
      <c r="BA188" s="116"/>
      <c r="BB188" s="166"/>
      <c r="BC188" s="166"/>
      <c r="BD188" s="166"/>
      <c r="BE188" s="166"/>
      <c r="BF188" s="166"/>
      <c r="BG188" s="166"/>
      <c r="BH188" s="166"/>
      <c r="BI188" s="113"/>
      <c r="BJ188" s="113"/>
      <c r="BK188" s="113">
        <f>INDEX('Dist. Plant Gas Additions'!$F$7:$AE$91,MATCH($C188,'Dist. Plant Gas Additions'!$D$7:$D$91,0),MATCH(Calculation!$G188,'Dist. Plant Gas Additions'!$F$5:$AE$5,0))</f>
        <v>179733</v>
      </c>
      <c r="BL188" s="113">
        <f>INDEX('Gen. Plant Additions'!$F$7:$AE$91,MATCH($C188,'Gen. Plant Additions'!$D$7:$D$91,0),MATCH(Calculation!$G188,'Gen. Plant Additions'!$F$5:$AE$5,0))</f>
        <v>12484</v>
      </c>
      <c r="BM188" s="231">
        <f t="shared" si="365"/>
        <v>0.9509964083233442</v>
      </c>
      <c r="BN188" s="61">
        <f t="shared" si="380"/>
        <v>11872.239161508629</v>
      </c>
      <c r="BO188" s="113">
        <f>INDEX('Dist Plant Depreciation'!$E$7:$AD$94,MATCH($C188,'Dist Plant Depreciation'!$D$7:$D$94,0),MATCH(Calculation!$G188,'Dist Plant Depreciation'!$E$5:$AD$5,0))</f>
        <v>716513</v>
      </c>
      <c r="BP188" s="113">
        <f>INDEX('Gen. Plant Depreciation'!$E$7:$AD$94,MATCH($C188,'Gen. Plant Depreciation'!$D$7:$D$94,0),MATCH(Calculation!$G188,'Gen. Plant Depreciation'!$E$5:$AD$5,0))</f>
        <v>56089</v>
      </c>
      <c r="BQ188" s="113"/>
      <c r="BR188" s="113"/>
      <c r="BS188" s="113"/>
      <c r="BT188" s="113"/>
      <c r="BU188" s="113"/>
      <c r="BV188" s="113"/>
      <c r="BW188" s="113">
        <f>INDEX('Gross Dx Plant'!$E$7:$AD$91,MATCH($C188,'Gross Dx Plant'!$D$7:$D$91,0),MATCH(Calculation!$G188,'Gross Dx Plant'!$E$5:$AD$5,0))</f>
        <v>2588733</v>
      </c>
      <c r="BX188" s="113">
        <f>INDEX('Gross Gen Plant'!$E$7:$AD$91,MATCH($C188,'Gross Gen Plant'!$D$7:$D$91,0),MATCH(Calculation!$G188,'Gross Gen Plant'!$E$5:$AD$5,0))</f>
        <v>133394</v>
      </c>
      <c r="BY188" s="113">
        <f t="shared" si="313"/>
        <v>1949525</v>
      </c>
      <c r="BZ188" s="113"/>
      <c r="CA188" s="116">
        <v>2008</v>
      </c>
      <c r="CB188" s="113"/>
      <c r="CC188" s="113"/>
      <c r="CD188" s="113"/>
      <c r="CE188" s="175"/>
      <c r="CF188" s="113">
        <f t="shared" si="366"/>
        <v>192217</v>
      </c>
      <c r="CG188" s="113">
        <f t="shared" si="367"/>
        <v>337.29310402778094</v>
      </c>
      <c r="CH188" s="178">
        <v>0.94252873563218387</v>
      </c>
      <c r="CI188" s="61">
        <f>+CI178*CH188+CG179*CH187+CG180*CH186+CG181*CH185+CG182*CH184+CG183*CH183+CG184*CH182+CG185*CH181+CG186*CH180+CG187*CH179+CG188</f>
        <v>8984.4015592161322</v>
      </c>
      <c r="CJ188" s="114">
        <f t="shared" si="368"/>
        <v>3.1622073517347728E-2</v>
      </c>
      <c r="CK188" s="114"/>
      <c r="CL188" s="169">
        <f t="shared" si="369"/>
        <v>6.6208426460883773E-3</v>
      </c>
      <c r="CM188" s="169">
        <f t="shared" si="377"/>
        <v>6.4118186380761671E-3</v>
      </c>
      <c r="CN188" s="114">
        <f>VLOOKUP($H188,RoR!$E:$F,2,FALSE)</f>
        <v>5.6316666666666668E-2</v>
      </c>
      <c r="CO188" s="169">
        <v>1.9092304698479889E-2</v>
      </c>
      <c r="CP188" s="169">
        <f t="shared" si="375"/>
        <v>3.7224361968186778E-2</v>
      </c>
      <c r="CQ188" s="169">
        <f t="shared" si="378"/>
        <v>2.4490122970457457E-2</v>
      </c>
      <c r="CR188" s="169">
        <f t="shared" si="379"/>
        <v>6.9030581091053131E-2</v>
      </c>
      <c r="CS188" s="179">
        <f t="shared" si="370"/>
        <v>0.85329623209999994</v>
      </c>
      <c r="CT188" s="180">
        <f t="shared" si="371"/>
        <v>0.91060168006009956</v>
      </c>
      <c r="CU188" s="180">
        <f t="shared" si="372"/>
        <v>0.53108168097070152</v>
      </c>
      <c r="CV188" s="180">
        <f t="shared" si="373"/>
        <v>0.88825329850328805</v>
      </c>
      <c r="CW188" s="180">
        <f t="shared" si="374"/>
        <v>0.4295627335323573</v>
      </c>
      <c r="CX188" s="181">
        <f>INDEX('State Tax Lookup'!$D$7:$Z$91,MATCH(Calculation!$C188,'State Tax Lookup'!$B$7:$B$91,0),MATCH($H188,'State Tax Lookup'!$D$6:$Z$6,0))</f>
        <v>0.39649667</v>
      </c>
      <c r="CY188" s="72">
        <v>0.37</v>
      </c>
      <c r="CZ188" s="70">
        <f t="shared" si="376"/>
        <v>19.635503643652857</v>
      </c>
      <c r="DA188" s="70">
        <v>18.300102035478151</v>
      </c>
      <c r="DB188" s="69">
        <f t="shared" si="381"/>
        <v>0.12686311504922548</v>
      </c>
      <c r="DC188" s="111">
        <f>VLOOKUP($H188,RoR!$E:$F,2,FALSE)</f>
        <v>5.6316666666666668E-2</v>
      </c>
      <c r="DD188" s="216">
        <f>HLOOKUP($H188,'GDP-PI'!$D$8:$CQ$11,3,FALSE)</f>
        <v>1.9092304698479889E-2</v>
      </c>
      <c r="DE188" s="111">
        <f>VLOOKUP(H188,'HW Dx Data'!$E:$F,2,FALSE)</f>
        <v>569.88120333515076</v>
      </c>
      <c r="DF188" s="72">
        <f t="shared" si="391"/>
        <v>107.9</v>
      </c>
      <c r="DG188" s="69">
        <f t="shared" si="392"/>
        <v>3.1778595021460486E-2</v>
      </c>
      <c r="DH188" s="66">
        <f>HLOOKUP(H188,'GDP-PI'!$8:$9,2,FALSE)</f>
        <v>94.263999999999996</v>
      </c>
      <c r="DI188" s="69">
        <f t="shared" si="382"/>
        <v>1.8912333748032254E-2</v>
      </c>
      <c r="EB188"/>
    </row>
    <row r="189" spans="1:132" s="160" customFormat="1" ht="21">
      <c r="A189" s="160" t="s">
        <v>170</v>
      </c>
      <c r="B189" s="161" t="s">
        <v>170</v>
      </c>
      <c r="C189" s="161">
        <v>4018679</v>
      </c>
      <c r="D189" s="161" t="s">
        <v>171</v>
      </c>
      <c r="E189" s="161" t="s">
        <v>3</v>
      </c>
      <c r="F189" s="161"/>
      <c r="G189" s="161" t="s">
        <v>125</v>
      </c>
      <c r="H189" s="162">
        <v>2009</v>
      </c>
      <c r="I189" s="163"/>
      <c r="J189" s="159">
        <f>IFERROR(INDEX('Labor Expenditures'!$F$7:$X$91,MATCH($C189,'Labor Expenditures'!$D$7:$D$91,0),MATCH($G189,'Labor Expenditures'!$F$5:$X$5,0)),"NA")</f>
        <v>113271.99019170445</v>
      </c>
      <c r="K189" s="159">
        <f t="shared" si="383"/>
        <v>1021.1583519648813</v>
      </c>
      <c r="L189" s="165">
        <f t="shared" si="389"/>
        <v>-1.4153860539817192E-2</v>
      </c>
      <c r="M189" s="76">
        <f t="shared" si="393"/>
        <v>-6.7401172372487655E-4</v>
      </c>
      <c r="N189" s="62">
        <f t="shared" si="399"/>
        <v>117.92921053547852</v>
      </c>
      <c r="O189" s="96">
        <f t="shared" si="394"/>
        <v>7.4078615211303336E-2</v>
      </c>
      <c r="P189" s="96"/>
      <c r="Q189" s="159">
        <f>IFERROR(INDEX('Non-Labor Expenditures'!$F$7:$AB$91,MATCH($C189,'Non-Labor Expenditures'!$D$7:$D$91,0),MATCH($G189,'Non-Labor Expenditures'!$F$5:$AB$5,0)),"NA")</f>
        <v>164038.99808706794</v>
      </c>
      <c r="R189" s="159">
        <f t="shared" si="384"/>
        <v>1726.744471910946</v>
      </c>
      <c r="S189" s="165">
        <f t="shared" si="395"/>
        <v>5.7285556427573514E-3</v>
      </c>
      <c r="T189" s="165">
        <f t="shared" si="396"/>
        <v>2.727957967627834E-4</v>
      </c>
      <c r="U189" s="165"/>
      <c r="V189" s="165"/>
      <c r="W189" s="159">
        <f t="shared" si="364"/>
        <v>169159.96907732135</v>
      </c>
      <c r="X189" s="163"/>
      <c r="Y189" s="167">
        <v>9160.2828155435654</v>
      </c>
      <c r="Z189" s="168">
        <v>1.9387139679215834E-2</v>
      </c>
      <c r="AA189" s="76">
        <f t="shared" si="385"/>
        <v>9.2322228246654648E-4</v>
      </c>
      <c r="AB189" s="168"/>
      <c r="AC189" s="168"/>
      <c r="AD189" s="163">
        <f t="shared" si="355"/>
        <v>446470.95735609374</v>
      </c>
      <c r="AE189" s="168">
        <f t="shared" si="397"/>
        <v>4.3891194585156624E-3</v>
      </c>
      <c r="AF189" s="163"/>
      <c r="AG189" s="163"/>
      <c r="AH189" s="163"/>
      <c r="AI189" s="163"/>
      <c r="AJ189" s="116">
        <f t="shared" si="398"/>
        <v>372.62116805856647</v>
      </c>
      <c r="AK189" s="114">
        <f>+AV189/$AX$14</f>
        <v>3.4061522183526108E-2</v>
      </c>
      <c r="AL189" s="115">
        <f t="shared" si="386"/>
        <v>0.2537051701245634</v>
      </c>
      <c r="AM189" s="115">
        <f t="shared" si="387"/>
        <v>0.36741247192980275</v>
      </c>
      <c r="AN189" s="115">
        <f t="shared" si="388"/>
        <v>0.37888235794563391</v>
      </c>
      <c r="AO189" s="115">
        <f t="shared" si="390"/>
        <v>5.9205961339578433E-3</v>
      </c>
      <c r="AP189" s="166">
        <f t="shared" si="401"/>
        <v>100.67761550733478</v>
      </c>
      <c r="AQ189" s="168">
        <f t="shared" si="402"/>
        <v>5.9205961339578944E-3</v>
      </c>
      <c r="AR189" s="69">
        <f>+AD189/$AF$14</f>
        <v>4.7620345122715325E-2</v>
      </c>
      <c r="AS189" s="169">
        <f t="shared" si="400"/>
        <v>2.8194083123128904E-4</v>
      </c>
      <c r="AT189" s="115"/>
      <c r="AU189" s="115"/>
      <c r="AV189" s="113">
        <f>IFERROR(INDEX('Total Customers'!$F$7:$AB$91,MATCH($C189,'Total Customers'!$D$7:$D$91,0),MATCH($G189,'Total Customers'!$F$5:$AB$5,0)),"NA")</f>
        <v>1198190</v>
      </c>
      <c r="AW189" s="68">
        <f t="shared" si="287"/>
        <v>5.4966805228574486E-3</v>
      </c>
      <c r="AX189" s="114"/>
      <c r="AY189" s="114"/>
      <c r="AZ189" s="116">
        <v>8336812</v>
      </c>
      <c r="BA189" s="116"/>
      <c r="BB189" s="166"/>
      <c r="BC189" s="166"/>
      <c r="BD189" s="166"/>
      <c r="BE189" s="166"/>
      <c r="BF189" s="166"/>
      <c r="BG189" s="166"/>
      <c r="BH189" s="166"/>
      <c r="BI189" s="113"/>
      <c r="BJ189" s="113"/>
      <c r="BK189" s="113">
        <f>INDEX('Dist. Plant Gas Additions'!$F$7:$AE$91,MATCH($C189,'Dist. Plant Gas Additions'!$D$7:$D$91,0),MATCH(Calculation!$G189,'Dist. Plant Gas Additions'!$F$5:$AE$5,0))</f>
        <v>126296</v>
      </c>
      <c r="BL189" s="113">
        <f>INDEX('Gen. Plant Additions'!$F$7:$AE$91,MATCH($C189,'Gen. Plant Additions'!$D$7:$D$91,0),MATCH(Calculation!$G189,'Gen. Plant Additions'!$F$5:$AE$5,0))</f>
        <v>4373</v>
      </c>
      <c r="BM189" s="231">
        <f t="shared" si="365"/>
        <v>0.95476971330881732</v>
      </c>
      <c r="BN189" s="61">
        <f t="shared" si="380"/>
        <v>4175.2079562994586</v>
      </c>
      <c r="BO189" s="113">
        <f>INDEX('Dist Plant Depreciation'!$E$7:$AD$94,MATCH($C189,'Dist Plant Depreciation'!$D$7:$D$94,0),MATCH(Calculation!$G189,'Dist Plant Depreciation'!$E$5:$AD$5,0))</f>
        <v>765812</v>
      </c>
      <c r="BP189" s="113">
        <f>INDEX('Gen. Plant Depreciation'!$E$7:$AD$94,MATCH($C189,'Gen. Plant Depreciation'!$D$7:$D$94,0),MATCH(Calculation!$G189,'Gen. Plant Depreciation'!$E$5:$AD$5,0))</f>
        <v>51619</v>
      </c>
      <c r="BQ189" s="113"/>
      <c r="BR189" s="113"/>
      <c r="BS189" s="113"/>
      <c r="BT189" s="113"/>
      <c r="BU189" s="113"/>
      <c r="BV189" s="113"/>
      <c r="BW189" s="113">
        <f>INDEX('Gross Dx Plant'!$E$7:$AD$91,MATCH($C189,'Gross Dx Plant'!$D$7:$D$91,0),MATCH(Calculation!$G189,'Gross Dx Plant'!$E$5:$AD$5,0))</f>
        <v>2702511</v>
      </c>
      <c r="BX189" s="113">
        <f>INDEX('Gross Gen Plant'!$E$7:$AD$91,MATCH($C189,'Gross Gen Plant'!$D$7:$D$91,0),MATCH(Calculation!$G189,'Gross Gen Plant'!$E$5:$AD$5,0))</f>
        <v>128026</v>
      </c>
      <c r="BY189" s="113">
        <f t="shared" si="313"/>
        <v>2013106</v>
      </c>
      <c r="BZ189" s="113"/>
      <c r="CA189" s="116">
        <v>2009</v>
      </c>
      <c r="CB189" s="113"/>
      <c r="CC189" s="113"/>
      <c r="CD189" s="113"/>
      <c r="CE189" s="175"/>
      <c r="CF189" s="113">
        <f t="shared" si="366"/>
        <v>130669</v>
      </c>
      <c r="CG189" s="113">
        <f t="shared" si="367"/>
        <v>237.174372832047</v>
      </c>
      <c r="CH189" s="178">
        <v>0.93567251461988299</v>
      </c>
      <c r="CI189" s="61">
        <f>+CI178*CH189+CG179*CH188+CG180*CH187+CG181*CH186+CG182*CH185+CG183*CH184+CG184*CH183+CG185*CH182+CG186*CH181+CG187*CH180+CG188*CH179+CG189</f>
        <v>9160.2828155435654</v>
      </c>
      <c r="CJ189" s="114">
        <f t="shared" si="368"/>
        <v>1.9387139679215834E-2</v>
      </c>
      <c r="CK189" s="114"/>
      <c r="CL189" s="169">
        <f t="shared" si="369"/>
        <v>6.8221701913734872E-3</v>
      </c>
      <c r="CM189" s="169">
        <f t="shared" si="377"/>
        <v>6.6159045502614333E-3</v>
      </c>
      <c r="CN189" s="114">
        <f>VLOOKUP($H189,RoR!$E:$F,2,FALSE)</f>
        <v>5.3133333333333324E-2</v>
      </c>
      <c r="CO189" s="169">
        <v>7.7972502758210105E-3</v>
      </c>
      <c r="CP189" s="169">
        <f t="shared" si="375"/>
        <v>4.5336083057512314E-2</v>
      </c>
      <c r="CQ189" s="169">
        <f t="shared" si="378"/>
        <v>2.4286037058272193E-2</v>
      </c>
      <c r="CR189" s="169">
        <f t="shared" si="379"/>
        <v>6.3720160300892073E-2</v>
      </c>
      <c r="CS189" s="179">
        <f t="shared" si="370"/>
        <v>0.85329623209999994</v>
      </c>
      <c r="CT189" s="180">
        <f t="shared" si="371"/>
        <v>0.96515780330083989</v>
      </c>
      <c r="CU189" s="180">
        <f t="shared" si="372"/>
        <v>0.50448557089084056</v>
      </c>
      <c r="CV189" s="180">
        <f t="shared" si="373"/>
        <v>0.87391435735465484</v>
      </c>
      <c r="CW189" s="180">
        <f t="shared" si="374"/>
        <v>0.42551605393279146</v>
      </c>
      <c r="CX189" s="181">
        <f>INDEX('State Tax Lookup'!$D$7:$Z$91,MATCH(Calculation!$C189,'State Tax Lookup'!$B$7:$B$91,0),MATCH($H189,'State Tax Lookup'!$D$6:$Z$6,0))</f>
        <v>0.39649667</v>
      </c>
      <c r="CY189" s="72">
        <v>0.37</v>
      </c>
      <c r="CZ189" s="70">
        <f t="shared" si="376"/>
        <v>18.828184377377735</v>
      </c>
      <c r="DA189" s="70">
        <v>17.478615056163342</v>
      </c>
      <c r="DB189" s="69">
        <f t="shared" si="381"/>
        <v>-4.1984421788270956E-2</v>
      </c>
      <c r="DC189" s="111">
        <f>VLOOKUP($H189,RoR!$E:$F,2,FALSE)</f>
        <v>5.3133333333333324E-2</v>
      </c>
      <c r="DD189" s="216">
        <f>HLOOKUP($H189,'GDP-PI'!$D$8:$CQ$11,3,FALSE)</f>
        <v>7.7972502758210105E-3</v>
      </c>
      <c r="DE189" s="111">
        <f>VLOOKUP(H189,'HW Dx Data'!$E:$F,2,FALSE)</f>
        <v>550.94063679692806</v>
      </c>
      <c r="DF189" s="72">
        <f t="shared" si="391"/>
        <v>110.925</v>
      </c>
      <c r="DG189" s="69">
        <f t="shared" si="392"/>
        <v>2.7649425000884052E-2</v>
      </c>
      <c r="DH189" s="66">
        <f>HLOOKUP(H189,'GDP-PI'!$8:$9,2,FALSE)</f>
        <v>94.998999999999995</v>
      </c>
      <c r="DI189" s="69">
        <f t="shared" si="382"/>
        <v>7.7670088183096342E-3</v>
      </c>
      <c r="EB189"/>
    </row>
    <row r="190" spans="1:132" s="160" customFormat="1" ht="21">
      <c r="A190" s="160" t="s">
        <v>170</v>
      </c>
      <c r="B190" s="161" t="s">
        <v>170</v>
      </c>
      <c r="C190" s="161">
        <v>4018679</v>
      </c>
      <c r="D190" s="161" t="s">
        <v>171</v>
      </c>
      <c r="E190" s="161" t="s">
        <v>3</v>
      </c>
      <c r="F190" s="161"/>
      <c r="G190" s="161" t="s">
        <v>126</v>
      </c>
      <c r="H190" s="162">
        <v>2010</v>
      </c>
      <c r="I190" s="163"/>
      <c r="J190" s="159">
        <f>IFERROR(INDEX('Labor Expenditures'!$F$7:$X$91,MATCH($C190,'Labor Expenditures'!$D$7:$D$91,0),MATCH($G190,'Labor Expenditures'!$F$5:$X$5,0)),"NA")</f>
        <v>119787.65350599085</v>
      </c>
      <c r="K190" s="159">
        <f t="shared" si="383"/>
        <v>1024.4828180969926</v>
      </c>
      <c r="L190" s="165">
        <f t="shared" si="389"/>
        <v>3.2502954159501201E-3</v>
      </c>
      <c r="M190" s="76">
        <f t="shared" si="393"/>
        <v>1.5720315645532026E-4</v>
      </c>
      <c r="N190" s="62">
        <f t="shared" si="399"/>
        <v>97.303356115662737</v>
      </c>
      <c r="O190" s="96">
        <f t="shared" si="394"/>
        <v>-0.19225105268098422</v>
      </c>
      <c r="P190" s="96"/>
      <c r="Q190" s="159">
        <f>IFERROR(INDEX('Non-Labor Expenditures'!$F$7:$AB$91,MATCH($C190,'Non-Labor Expenditures'!$D$7:$D$91,0),MATCH($G190,'Non-Labor Expenditures'!$F$5:$AB$5,0)),"NA")</f>
        <v>173474.89552419516</v>
      </c>
      <c r="R190" s="159">
        <f t="shared" si="384"/>
        <v>1804.9807564764503</v>
      </c>
      <c r="S190" s="165">
        <f t="shared" si="395"/>
        <v>4.4312102955776304E-2</v>
      </c>
      <c r="T190" s="165">
        <f t="shared" si="396"/>
        <v>2.1431905603524577E-3</v>
      </c>
      <c r="U190" s="165"/>
      <c r="V190" s="165"/>
      <c r="W190" s="159">
        <f t="shared" si="364"/>
        <v>176759.78793766559</v>
      </c>
      <c r="X190" s="163"/>
      <c r="Y190" s="167">
        <v>9383.1662092319075</v>
      </c>
      <c r="Z190" s="168">
        <v>2.4040201751170606E-2</v>
      </c>
      <c r="AA190" s="76">
        <f t="shared" si="385"/>
        <v>1.1627237261453694E-3</v>
      </c>
      <c r="AB190" s="168"/>
      <c r="AC190" s="168"/>
      <c r="AD190" s="163">
        <f t="shared" si="355"/>
        <v>470022.33696785162</v>
      </c>
      <c r="AE190" s="168">
        <f t="shared" si="397"/>
        <v>5.1405865952422365E-2</v>
      </c>
      <c r="AF190" s="163"/>
      <c r="AG190" s="163"/>
      <c r="AH190" s="163"/>
      <c r="AI190" s="163"/>
      <c r="AJ190" s="116">
        <f t="shared" si="398"/>
        <v>390.48518965699719</v>
      </c>
      <c r="AK190" s="114">
        <f>+AV190/$AX$15</f>
        <v>3.4030596686675477E-2</v>
      </c>
      <c r="AL190" s="115">
        <f t="shared" si="386"/>
        <v>0.25485523577187785</v>
      </c>
      <c r="AM190" s="115">
        <f t="shared" si="387"/>
        <v>0.36907798178974721</v>
      </c>
      <c r="AN190" s="115">
        <f t="shared" si="388"/>
        <v>0.37606678243837488</v>
      </c>
      <c r="AO190" s="115">
        <f t="shared" si="390"/>
        <v>2.6218771006945217E-2</v>
      </c>
      <c r="AP190" s="166">
        <f t="shared" si="401"/>
        <v>103.35216737449302</v>
      </c>
      <c r="AQ190" s="168">
        <f t="shared" si="402"/>
        <v>2.6218771006945113E-2</v>
      </c>
      <c r="AR190" s="69">
        <f>+AD190/$AF$15</f>
        <v>4.836580566919544E-2</v>
      </c>
      <c r="AS190" s="169">
        <f t="shared" si="400"/>
        <v>1.2680919834070429E-3</v>
      </c>
      <c r="AT190" s="115"/>
      <c r="AU190" s="115"/>
      <c r="AV190" s="113">
        <f>IFERROR(INDEX('Total Customers'!$F$7:$AB$91,MATCH($C190,'Total Customers'!$D$7:$D$91,0),MATCH($G190,'Total Customers'!$F$5:$AB$5,0)),"NA")</f>
        <v>1203688</v>
      </c>
      <c r="AW190" s="68">
        <f t="shared" si="287"/>
        <v>4.5780923116656297E-3</v>
      </c>
      <c r="AX190" s="114"/>
      <c r="AY190" s="114"/>
      <c r="AZ190" s="116">
        <v>8403441</v>
      </c>
      <c r="BA190" s="116"/>
      <c r="BB190" s="166"/>
      <c r="BC190" s="166"/>
      <c r="BD190" s="166"/>
      <c r="BE190" s="166"/>
      <c r="BF190" s="166"/>
      <c r="BG190" s="166"/>
      <c r="BH190" s="166"/>
      <c r="BI190" s="113"/>
      <c r="BJ190" s="113"/>
      <c r="BK190" s="113">
        <f>INDEX('Dist. Plant Gas Additions'!$F$7:$AE$91,MATCH($C190,'Dist. Plant Gas Additions'!$D$7:$D$91,0),MATCH(Calculation!$G190,'Dist. Plant Gas Additions'!$F$5:$AE$5,0))</f>
        <v>155300</v>
      </c>
      <c r="BL190" s="113">
        <f>INDEX('Gen. Plant Additions'!$F$7:$AE$91,MATCH($C190,'Gen. Plant Additions'!$D$7:$D$91,0),MATCH(Calculation!$G190,'Gen. Plant Additions'!$F$5:$AE$5,0))</f>
        <v>8281</v>
      </c>
      <c r="BM190" s="231">
        <f t="shared" si="365"/>
        <v>0.95504665396646682</v>
      </c>
      <c r="BN190" s="61">
        <f t="shared" si="380"/>
        <v>7908.7413414963121</v>
      </c>
      <c r="BO190" s="113">
        <f>INDEX('Dist Plant Depreciation'!$E$7:$AD$94,MATCH($C190,'Dist Plant Depreciation'!$D$7:$D$94,0),MATCH(Calculation!$G190,'Dist Plant Depreciation'!$E$5:$AD$5,0))</f>
        <v>817471</v>
      </c>
      <c r="BP190" s="113">
        <f>INDEX('Gen. Plant Depreciation'!$E$7:$AD$94,MATCH($C190,'Gen. Plant Depreciation'!$D$7:$D$94,0),MATCH(Calculation!$G190,'Gen. Plant Depreciation'!$E$5:$AD$5,0))</f>
        <v>53274</v>
      </c>
      <c r="BQ190" s="113"/>
      <c r="BR190" s="113"/>
      <c r="BS190" s="113"/>
      <c r="BT190" s="113"/>
      <c r="BU190" s="113"/>
      <c r="BV190" s="113"/>
      <c r="BW190" s="113">
        <f>INDEX('Gross Dx Plant'!$E$7:$AD$91,MATCH($C190,'Gross Dx Plant'!$D$7:$D$91,0),MATCH(Calculation!$G190,'Gross Dx Plant'!$E$5:$AD$5,0))</f>
        <v>2850055</v>
      </c>
      <c r="BX190" s="113">
        <f>INDEX('Gross Gen Plant'!$E$7:$AD$91,MATCH($C190,'Gross Gen Plant'!$D$7:$D$91,0),MATCH(Calculation!$G190,'Gross Gen Plant'!$E$5:$AD$5,0))</f>
        <v>134150</v>
      </c>
      <c r="BY190" s="113">
        <f t="shared" si="313"/>
        <v>2113460</v>
      </c>
      <c r="BZ190" s="113"/>
      <c r="CA190" s="116">
        <v>2010</v>
      </c>
      <c r="CB190" s="113"/>
      <c r="CC190" s="113"/>
      <c r="CD190" s="113"/>
      <c r="CE190" s="175"/>
      <c r="CF190" s="113">
        <f t="shared" si="366"/>
        <v>163581</v>
      </c>
      <c r="CG190" s="113">
        <f t="shared" si="367"/>
        <v>287.49388036856976</v>
      </c>
      <c r="CH190" s="178">
        <v>0.9285714285714286</v>
      </c>
      <c r="CI190" s="61">
        <f>+CI178*CH190+CG179*CH189+CG180*CH188+CG181*CH187+CG182*CH186+CG183*CH185+CG184*CH184+CG185*CH183+CG186*CH182+CG187*CH181+CG188*CH180+CG189*CH179+CG190</f>
        <v>9383.1662092319075</v>
      </c>
      <c r="CJ190" s="114">
        <f t="shared" si="368"/>
        <v>2.4040201751170606E-2</v>
      </c>
      <c r="CK190" s="114"/>
      <c r="CL190" s="169">
        <f t="shared" si="369"/>
        <v>7.0533288088653603E-3</v>
      </c>
      <c r="CM190" s="169">
        <f t="shared" si="377"/>
        <v>6.8321138821090741E-3</v>
      </c>
      <c r="CN190" s="114">
        <f>VLOOKUP($H190,RoR!$E:$F,2,FALSE)</f>
        <v>4.9433333333333322E-2</v>
      </c>
      <c r="CO190" s="169">
        <v>1.1684333519300205E-2</v>
      </c>
      <c r="CP190" s="169">
        <f t="shared" si="375"/>
        <v>3.7748999814033117E-2</v>
      </c>
      <c r="CQ190" s="169">
        <f t="shared" si="378"/>
        <v>2.4069827726424551E-2</v>
      </c>
      <c r="CR190" s="169">
        <f t="shared" si="379"/>
        <v>4.7937530248493419E-2</v>
      </c>
      <c r="CS190" s="179">
        <f t="shared" si="370"/>
        <v>0.85329623209999994</v>
      </c>
      <c r="CT190" s="180">
        <f t="shared" si="371"/>
        <v>1.037398205301105</v>
      </c>
      <c r="CU190" s="180">
        <f t="shared" si="372"/>
        <v>0.46926837491571133</v>
      </c>
      <c r="CV190" s="180">
        <f t="shared" si="373"/>
        <v>0.8548537519972772</v>
      </c>
      <c r="CW190" s="180">
        <f t="shared" si="374"/>
        <v>0.41615833911547367</v>
      </c>
      <c r="CX190" s="181">
        <f>INDEX('State Tax Lookup'!$D$7:$Z$91,MATCH(Calculation!$C190,'State Tax Lookup'!$B$7:$B$91,0),MATCH($H190,'State Tax Lookup'!$D$6:$Z$6,0))</f>
        <v>0.39649667</v>
      </c>
      <c r="CY190" s="72">
        <v>0.37</v>
      </c>
      <c r="CZ190" s="70">
        <f t="shared" si="376"/>
        <v>19.296324305373183</v>
      </c>
      <c r="DA190" s="70">
        <v>17.956102603965455</v>
      </c>
      <c r="DB190" s="69">
        <f t="shared" si="381"/>
        <v>2.4559711060673884E-2</v>
      </c>
      <c r="DC190" s="111">
        <f>VLOOKUP($H190,RoR!$E:$F,2,FALSE)</f>
        <v>4.9433333333333322E-2</v>
      </c>
      <c r="DD190" s="216">
        <f>HLOOKUP($H190,'GDP-PI'!$D$8:$CQ$11,3,FALSE)</f>
        <v>1.1684333519300205E-2</v>
      </c>
      <c r="DE190" s="111">
        <f>VLOOKUP(H190,'HW Dx Data'!$E:$F,2,FALSE)</f>
        <v>568.98950262971744</v>
      </c>
      <c r="DF190" s="72">
        <f t="shared" si="391"/>
        <v>116.925</v>
      </c>
      <c r="DG190" s="69">
        <f t="shared" si="392"/>
        <v>5.2678406346976722E-2</v>
      </c>
      <c r="DH190" s="66">
        <f>HLOOKUP(H190,'GDP-PI'!$8:$9,2,FALSE)</f>
        <v>96.108999999999995</v>
      </c>
      <c r="DI190" s="69">
        <f t="shared" si="382"/>
        <v>1.1616598807150427E-2</v>
      </c>
      <c r="EB190"/>
    </row>
    <row r="191" spans="1:132" s="160" customFormat="1" ht="21">
      <c r="A191" s="160" t="s">
        <v>170</v>
      </c>
      <c r="B191" s="161" t="s">
        <v>170</v>
      </c>
      <c r="C191" s="161">
        <v>4018679</v>
      </c>
      <c r="D191" s="161" t="s">
        <v>171</v>
      </c>
      <c r="E191" s="161" t="s">
        <v>3</v>
      </c>
      <c r="F191" s="161"/>
      <c r="G191" s="161" t="s">
        <v>127</v>
      </c>
      <c r="H191" s="162">
        <v>2011</v>
      </c>
      <c r="I191" s="163"/>
      <c r="J191" s="159">
        <f>IFERROR(INDEX('Labor Expenditures'!$F$7:$X$91,MATCH($C191,'Labor Expenditures'!$D$7:$D$91,0),MATCH($G191,'Labor Expenditures'!$F$5:$X$5,0)),"NA")</f>
        <v>119796.28094493873</v>
      </c>
      <c r="K191" s="159">
        <f t="shared" si="383"/>
        <v>991.07574721769367</v>
      </c>
      <c r="L191" s="165">
        <f t="shared" si="389"/>
        <v>-3.3152229982264275E-2</v>
      </c>
      <c r="M191" s="76">
        <f t="shared" si="393"/>
        <v>-1.580212709182545E-3</v>
      </c>
      <c r="N191" s="62">
        <f t="shared" si="399"/>
        <v>116.67272965515521</v>
      </c>
      <c r="O191" s="96">
        <f t="shared" si="394"/>
        <v>0.18153935188783149</v>
      </c>
      <c r="P191" s="96"/>
      <c r="Q191" s="159">
        <f>IFERROR(INDEX('Non-Labor Expenditures'!$F$7:$AB$91,MATCH($C191,'Non-Labor Expenditures'!$D$7:$D$91,0),MATCH($G191,'Non-Labor Expenditures'!$F$5:$AB$5,0)),"NA")</f>
        <v>173487.38966717507</v>
      </c>
      <c r="R191" s="159">
        <f t="shared" si="384"/>
        <v>1768.2586194061387</v>
      </c>
      <c r="S191" s="165">
        <f t="shared" si="395"/>
        <v>-2.0554699033604504E-2</v>
      </c>
      <c r="T191" s="165">
        <f t="shared" si="396"/>
        <v>-9.7974696313643268E-4</v>
      </c>
      <c r="U191" s="165"/>
      <c r="V191" s="165"/>
      <c r="W191" s="159">
        <f t="shared" si="364"/>
        <v>193189.70012090099</v>
      </c>
      <c r="X191" s="163"/>
      <c r="Y191" s="167">
        <v>9582.6783642337323</v>
      </c>
      <c r="Z191" s="168">
        <v>2.1039876618027632E-2</v>
      </c>
      <c r="AA191" s="76">
        <f t="shared" si="385"/>
        <v>1.0028731234437806E-3</v>
      </c>
      <c r="AB191" s="168"/>
      <c r="AC191" s="168"/>
      <c r="AD191" s="163">
        <f t="shared" si="355"/>
        <v>486473.37073301477</v>
      </c>
      <c r="AE191" s="168">
        <f t="shared" si="397"/>
        <v>3.4401944672412275E-2</v>
      </c>
      <c r="AF191" s="163"/>
      <c r="AG191" s="163"/>
      <c r="AH191" s="163"/>
      <c r="AI191" s="163"/>
      <c r="AJ191" s="116">
        <f t="shared" si="398"/>
        <v>401.79937569679851</v>
      </c>
      <c r="AK191" s="114">
        <f>+AV191/$AX$16</f>
        <v>3.4064726742531123E-2</v>
      </c>
      <c r="AL191" s="115">
        <f t="shared" si="386"/>
        <v>0.24625454989330764</v>
      </c>
      <c r="AM191" s="115">
        <f t="shared" si="387"/>
        <v>0.35662258225103965</v>
      </c>
      <c r="AN191" s="115">
        <f t="shared" si="388"/>
        <v>0.39712286785565276</v>
      </c>
      <c r="AO191" s="115">
        <f t="shared" si="390"/>
        <v>-7.6308243492942598E-3</v>
      </c>
      <c r="AP191" s="166">
        <f t="shared" si="401"/>
        <v>102.56650657131432</v>
      </c>
      <c r="AQ191" s="168">
        <f t="shared" si="402"/>
        <v>-7.6308243492942277E-3</v>
      </c>
      <c r="AR191" s="69">
        <f>+AD191/$AF$16</f>
        <v>4.7665351924378076E-2</v>
      </c>
      <c r="AS191" s="169">
        <f t="shared" si="400"/>
        <v>-3.6372592808222269E-4</v>
      </c>
      <c r="AT191" s="115"/>
      <c r="AU191" s="115"/>
      <c r="AV191" s="113">
        <f>IFERROR(INDEX('Total Customers'!$F$7:$AB$91,MATCH($C191,'Total Customers'!$D$7:$D$91,0),MATCH($G191,'Total Customers'!$F$5:$AB$5,0)),"NA")</f>
        <v>1210737</v>
      </c>
      <c r="AW191" s="68">
        <f t="shared" si="287"/>
        <v>5.8390880047462261E-3</v>
      </c>
      <c r="AX191" s="114"/>
      <c r="AY191" s="114"/>
      <c r="AZ191" s="116">
        <v>8437841</v>
      </c>
      <c r="BA191" s="116"/>
      <c r="BB191" s="166"/>
      <c r="BC191" s="166"/>
      <c r="BD191" s="166"/>
      <c r="BE191" s="166"/>
      <c r="BF191" s="166"/>
      <c r="BG191" s="166"/>
      <c r="BH191" s="166"/>
      <c r="BI191" s="113"/>
      <c r="BJ191" s="113"/>
      <c r="BK191" s="113">
        <f>INDEX('Dist. Plant Gas Additions'!$F$7:$AE$91,MATCH($C191,'Dist. Plant Gas Additions'!$D$7:$D$91,0),MATCH(Calculation!$G191,'Dist. Plant Gas Additions'!$F$5:$AE$5,0))</f>
        <v>161069</v>
      </c>
      <c r="BL191" s="113">
        <f>INDEX('Gen. Plant Additions'!$F$7:$AE$91,MATCH($C191,'Gen. Plant Additions'!$D$7:$D$91,0),MATCH(Calculation!$G191,'Gen. Plant Additions'!$F$5:$AE$5,0))</f>
        <v>2745</v>
      </c>
      <c r="BM191" s="231">
        <f t="shared" si="365"/>
        <v>0.95958613856582342</v>
      </c>
      <c r="BN191" s="61">
        <f t="shared" si="380"/>
        <v>2634.0639503631851</v>
      </c>
      <c r="BO191" s="113">
        <f>INDEX('Dist Plant Depreciation'!$E$7:$AD$94,MATCH($C191,'Dist Plant Depreciation'!$D$7:$D$94,0),MATCH(Calculation!$G191,'Dist Plant Depreciation'!$E$5:$AD$5,0))</f>
        <v>875514</v>
      </c>
      <c r="BP191" s="113">
        <f>INDEX('Gen. Plant Depreciation'!$E$7:$AD$94,MATCH($C191,'Gen. Plant Depreciation'!$D$7:$D$94,0),MATCH(Calculation!$G191,'Gen. Plant Depreciation'!$E$5:$AD$5,0))</f>
        <v>47058</v>
      </c>
      <c r="BQ191" s="113"/>
      <c r="BR191" s="113"/>
      <c r="BS191" s="113"/>
      <c r="BT191" s="113"/>
      <c r="BU191" s="113"/>
      <c r="BV191" s="113"/>
      <c r="BW191" s="113">
        <f>INDEX('Gross Dx Plant'!$E$7:$AD$91,MATCH($C191,'Gross Dx Plant'!$D$7:$D$91,0),MATCH(Calculation!$G191,'Gross Dx Plant'!$E$5:$AD$5,0))</f>
        <v>3006226</v>
      </c>
      <c r="BX191" s="113">
        <f>INDEX('Gross Gen Plant'!$E$7:$AD$91,MATCH($C191,'Gross Gen Plant'!$D$7:$D$91,0),MATCH(Calculation!$G191,'Gross Gen Plant'!$E$5:$AD$5,0))</f>
        <v>126610</v>
      </c>
      <c r="BY191" s="113">
        <f t="shared" si="313"/>
        <v>2210264</v>
      </c>
      <c r="BZ191" s="113"/>
      <c r="CA191" s="116">
        <v>2011</v>
      </c>
      <c r="CB191" s="113"/>
      <c r="CC191" s="113"/>
      <c r="CD191" s="113"/>
      <c r="CE191" s="175"/>
      <c r="CF191" s="113">
        <f t="shared" si="366"/>
        <v>163814</v>
      </c>
      <c r="CG191" s="113">
        <f t="shared" si="367"/>
        <v>267.84013736582153</v>
      </c>
      <c r="CH191" s="178">
        <v>0.92121212121212126</v>
      </c>
      <c r="CI191" s="61">
        <f>+CI178*CH191+CG179*CH190+CG180*CH189+CG181*CH188+CG182*CH187+CG183*CH186+CG184*CH185+CG185*CH184+CG186*CH183+CG187*CH182+CG188*CH181+CG189*CH180+CG190*CH179+CG191</f>
        <v>9582.6783642337323</v>
      </c>
      <c r="CJ191" s="114">
        <f t="shared" si="368"/>
        <v>2.1039876618027632E-2</v>
      </c>
      <c r="CK191" s="114"/>
      <c r="CL191" s="169">
        <f t="shared" si="369"/>
        <v>7.2819750647462921E-3</v>
      </c>
      <c r="CM191" s="169">
        <f t="shared" si="377"/>
        <v>7.0524913549950457E-3</v>
      </c>
      <c r="CN191" s="114">
        <f>VLOOKUP($H191,RoR!$E:$F,2,FALSE)</f>
        <v>4.6391666666666664E-2</v>
      </c>
      <c r="CO191" s="169">
        <v>2.0840920205183799E-2</v>
      </c>
      <c r="CP191" s="169">
        <f t="shared" si="375"/>
        <v>2.5550746461482865E-2</v>
      </c>
      <c r="CQ191" s="169">
        <f t="shared" si="378"/>
        <v>2.384945025353858E-2</v>
      </c>
      <c r="CR191" s="169">
        <f t="shared" si="379"/>
        <v>2.4810540821321614E-2</v>
      </c>
      <c r="CS191" s="179">
        <f t="shared" si="370"/>
        <v>0.85329623209999994</v>
      </c>
      <c r="CT191" s="180">
        <f t="shared" si="371"/>
        <v>1.1054151524782025</v>
      </c>
      <c r="CU191" s="180">
        <f t="shared" si="372"/>
        <v>0.43611011316687626</v>
      </c>
      <c r="CV191" s="180">
        <f t="shared" si="373"/>
        <v>0.83698442246886229</v>
      </c>
      <c r="CW191" s="180">
        <f t="shared" si="374"/>
        <v>0.40349573304423936</v>
      </c>
      <c r="CX191" s="181">
        <f>INDEX('State Tax Lookup'!$D$7:$Z$91,MATCH(Calculation!$C191,'State Tax Lookup'!$B$7:$B$91,0),MATCH($H191,'State Tax Lookup'!$D$6:$Z$6,0))</f>
        <v>0.39649667</v>
      </c>
      <c r="CY191" s="72">
        <v>0.37</v>
      </c>
      <c r="CZ191" s="70">
        <f t="shared" si="376"/>
        <v>20.588967072844298</v>
      </c>
      <c r="DA191" s="70">
        <v>19.146574949201604</v>
      </c>
      <c r="DB191" s="69">
        <f t="shared" si="381"/>
        <v>6.4840726059696499E-2</v>
      </c>
      <c r="DC191" s="111">
        <f>VLOOKUP($H191,RoR!$E:$F,2,FALSE)</f>
        <v>4.6391666666666664E-2</v>
      </c>
      <c r="DD191" s="216">
        <f>HLOOKUP($H191,'GDP-PI'!$D$8:$CQ$11,3,FALSE)</f>
        <v>2.0840920205183799E-2</v>
      </c>
      <c r="DE191" s="111">
        <f>VLOOKUP(H191,'HW Dx Data'!$E:$F,2,FALSE)</f>
        <v>611.61109612283201</v>
      </c>
      <c r="DF191" s="72">
        <f t="shared" si="391"/>
        <v>120.875</v>
      </c>
      <c r="DG191" s="69">
        <f t="shared" si="392"/>
        <v>3.3224250161508609E-2</v>
      </c>
      <c r="DH191" s="66">
        <f>HLOOKUP(H191,'GDP-PI'!$8:$9,2,FALSE)</f>
        <v>98.111999999999995</v>
      </c>
      <c r="DI191" s="69">
        <f t="shared" si="382"/>
        <v>2.0626719212849295E-2</v>
      </c>
      <c r="EB191"/>
    </row>
    <row r="192" spans="1:132" s="160" customFormat="1" ht="21">
      <c r="A192" s="160" t="s">
        <v>170</v>
      </c>
      <c r="B192" s="161" t="s">
        <v>170</v>
      </c>
      <c r="C192" s="161">
        <v>4018679</v>
      </c>
      <c r="D192" s="161" t="s">
        <v>171</v>
      </c>
      <c r="E192" s="161" t="s">
        <v>3</v>
      </c>
      <c r="F192" s="161"/>
      <c r="G192" s="161" t="s">
        <v>128</v>
      </c>
      <c r="H192" s="162">
        <v>2012</v>
      </c>
      <c r="I192" s="163"/>
      <c r="J192" s="159">
        <f>IFERROR(INDEX('Labor Expenditures'!$F$7:$X$91,MATCH($C192,'Labor Expenditures'!$D$7:$D$91,0),MATCH($G192,'Labor Expenditures'!$F$5:$X$5,0)),"NA")</f>
        <v>121442.44215790022</v>
      </c>
      <c r="K192" s="159">
        <f t="shared" si="383"/>
        <v>973.09649164984148</v>
      </c>
      <c r="L192" s="165">
        <f t="shared" si="389"/>
        <v>-1.8307720055059977E-2</v>
      </c>
      <c r="M192" s="76">
        <f t="shared" si="393"/>
        <v>-8.7383628600241708E-4</v>
      </c>
      <c r="N192" s="62">
        <f t="shared" si="399"/>
        <v>114.35912428951723</v>
      </c>
      <c r="O192" s="96">
        <f t="shared" si="394"/>
        <v>-2.0029123002358221E-2</v>
      </c>
      <c r="P192" s="96"/>
      <c r="Q192" s="159">
        <f>IFERROR(INDEX('Non-Labor Expenditures'!$F$7:$AB$91,MATCH($C192,'Non-Labor Expenditures'!$D$7:$D$91,0),MATCH($G192,'Non-Labor Expenditures'!$F$5:$AB$5,0)),"NA")</f>
        <v>175871.33856404692</v>
      </c>
      <c r="R192" s="159">
        <f t="shared" si="384"/>
        <v>1758.7133856404691</v>
      </c>
      <c r="S192" s="165">
        <f t="shared" si="395"/>
        <v>-5.4127206319337026E-3</v>
      </c>
      <c r="T192" s="165">
        <f t="shared" si="396"/>
        <v>-2.583517598014805E-4</v>
      </c>
      <c r="U192" s="165"/>
      <c r="V192" s="165"/>
      <c r="W192" s="159">
        <f t="shared" si="364"/>
        <v>213117.54397109873</v>
      </c>
      <c r="X192" s="163"/>
      <c r="Y192" s="167">
        <v>9684.9087661546873</v>
      </c>
      <c r="Z192" s="168">
        <v>1.061174505837975E-2</v>
      </c>
      <c r="AA192" s="76">
        <f t="shared" si="385"/>
        <v>5.0650369690660453E-4</v>
      </c>
      <c r="AB192" s="168"/>
      <c r="AC192" s="168"/>
      <c r="AD192" s="163">
        <f t="shared" si="355"/>
        <v>510431.32469304587</v>
      </c>
      <c r="AE192" s="168">
        <f t="shared" si="397"/>
        <v>4.8073939267816168E-2</v>
      </c>
      <c r="AF192" s="163"/>
      <c r="AG192" s="163"/>
      <c r="AH192" s="163"/>
      <c r="AI192" s="163"/>
      <c r="AJ192" s="116">
        <f t="shared" si="398"/>
        <v>420.50782817661718</v>
      </c>
      <c r="AK192" s="114">
        <f>+AV192/$AX$17</f>
        <v>3.3988503866573996E-2</v>
      </c>
      <c r="AL192" s="115">
        <f t="shared" si="386"/>
        <v>0.23792121737616931</v>
      </c>
      <c r="AM192" s="115">
        <f t="shared" si="387"/>
        <v>0.34455436031440528</v>
      </c>
      <c r="AN192" s="115">
        <f t="shared" si="388"/>
        <v>0.41752442230942544</v>
      </c>
      <c r="AO192" s="115">
        <f t="shared" si="390"/>
        <v>-2.0072999762709544E-3</v>
      </c>
      <c r="AP192" s="166">
        <f t="shared" si="401"/>
        <v>102.36083132013073</v>
      </c>
      <c r="AQ192" s="168">
        <f t="shared" si="402"/>
        <v>-2.007299976271098E-3</v>
      </c>
      <c r="AR192" s="69">
        <f>+AD192/$AF$17</f>
        <v>4.7730481096192094E-2</v>
      </c>
      <c r="AS192" s="169">
        <f t="shared" si="400"/>
        <v>-9.5809393571794475E-5</v>
      </c>
      <c r="AT192" s="115"/>
      <c r="AU192" s="115"/>
      <c r="AV192" s="113">
        <f>IFERROR(INDEX('Total Customers'!$F$7:$AB$91,MATCH($C192,'Total Customers'!$D$7:$D$91,0),MATCH($G192,'Total Customers'!$F$5:$AB$5,0)),"NA")</f>
        <v>1213845</v>
      </c>
      <c r="AW192" s="68">
        <f t="shared" si="287"/>
        <v>2.5637422882365214E-3</v>
      </c>
      <c r="AX192" s="114"/>
      <c r="AY192" s="114"/>
      <c r="AZ192" s="116">
        <v>8485072</v>
      </c>
      <c r="BA192" s="116"/>
      <c r="BB192" s="166"/>
      <c r="BC192" s="166"/>
      <c r="BD192" s="166"/>
      <c r="BE192" s="166"/>
      <c r="BF192" s="166"/>
      <c r="BG192" s="166"/>
      <c r="BH192" s="166"/>
      <c r="BI192" s="113"/>
      <c r="BJ192" s="113"/>
      <c r="BK192" s="113">
        <f>INDEX('Dist. Plant Gas Additions'!$F$7:$AE$91,MATCH($C192,'Dist. Plant Gas Additions'!$D$7:$D$91,0),MATCH(Calculation!$G192,'Dist. Plant Gas Additions'!$F$5:$AE$5,0))</f>
        <v>114225</v>
      </c>
      <c r="BL192" s="113">
        <f>INDEX('Gen. Plant Additions'!$F$7:$AE$91,MATCH($C192,'Gen. Plant Additions'!$D$7:$D$91,0),MATCH(Calculation!$G192,'Gen. Plant Additions'!$F$5:$AE$5,0))</f>
        <v>2398</v>
      </c>
      <c r="BM192" s="231">
        <f t="shared" si="365"/>
        <v>0.96168477488422566</v>
      </c>
      <c r="BN192" s="61">
        <f t="shared" si="380"/>
        <v>2306.1200901723732</v>
      </c>
      <c r="BO192" s="113">
        <f>INDEX('Dist Plant Depreciation'!$E$7:$AD$94,MATCH($C192,'Dist Plant Depreciation'!$D$7:$D$94,0),MATCH(Calculation!$G192,'Dist Plant Depreciation'!$E$5:$AD$5,0))</f>
        <v>880338</v>
      </c>
      <c r="BP192" s="113">
        <f>INDEX('Gen. Plant Depreciation'!$E$7:$AD$94,MATCH($C192,'Gen. Plant Depreciation'!$D$7:$D$94,0),MATCH(Calculation!$G192,'Gen. Plant Depreciation'!$E$5:$AD$5,0))</f>
        <v>45770</v>
      </c>
      <c r="BQ192" s="113"/>
      <c r="BR192" s="113"/>
      <c r="BS192" s="113"/>
      <c r="BT192" s="113"/>
      <c r="BU192" s="113"/>
      <c r="BV192" s="113"/>
      <c r="BW192" s="113">
        <f>INDEX('Gross Dx Plant'!$E$7:$AD$91,MATCH($C192,'Gross Dx Plant'!$D$7:$D$91,0),MATCH(Calculation!$G192,'Gross Dx Plant'!$E$5:$AD$5,0))</f>
        <v>3112462</v>
      </c>
      <c r="BX192" s="113">
        <f>INDEX('Gross Gen Plant'!$E$7:$AD$91,MATCH($C192,'Gross Gen Plant'!$D$7:$D$91,0),MATCH(Calculation!$G192,'Gross Gen Plant'!$E$5:$AD$5,0))</f>
        <v>124006</v>
      </c>
      <c r="BY192" s="113">
        <f t="shared" si="313"/>
        <v>2310360</v>
      </c>
      <c r="BZ192" s="113"/>
      <c r="CA192" s="116">
        <v>2012</v>
      </c>
      <c r="CB192" s="113"/>
      <c r="CC192" s="113"/>
      <c r="CD192" s="113"/>
      <c r="CE192" s="175"/>
      <c r="CF192" s="113">
        <f t="shared" si="366"/>
        <v>116623</v>
      </c>
      <c r="CG192" s="113">
        <f t="shared" si="367"/>
        <v>174.34538986207508</v>
      </c>
      <c r="CH192" s="178">
        <v>0.9135802469135802</v>
      </c>
      <c r="CI192" s="61">
        <f>+CI178*CH192+CG179*CH191+CG180*CH190+CG181*CH189+CG182*CH188+CG183*CH187+CG184*CH186+CG185*CH185+CG186*CH184+CG187*CH183+CG188*CH182+CG189*CH181+CG190*CH180+CG191*CH179+CG192</f>
        <v>9684.9087661546873</v>
      </c>
      <c r="CJ192" s="114">
        <f t="shared" si="368"/>
        <v>1.061174505837975E-2</v>
      </c>
      <c r="CK192" s="114"/>
      <c r="CL192" s="169">
        <f t="shared" si="369"/>
        <v>7.5255565511079979E-3</v>
      </c>
      <c r="CM192" s="169">
        <f t="shared" si="377"/>
        <v>7.2869534749065504E-3</v>
      </c>
      <c r="CN192" s="114">
        <f>VLOOKUP($H192,RoR!$E:$F,2,FALSE)</f>
        <v>3.6733333333333333E-2</v>
      </c>
      <c r="CO192" s="169">
        <v>1.924331376386168E-2</v>
      </c>
      <c r="CP192" s="169">
        <f t="shared" si="375"/>
        <v>1.7490019569471653E-2</v>
      </c>
      <c r="CQ192" s="169">
        <f t="shared" si="378"/>
        <v>2.3614988133627075E-2</v>
      </c>
      <c r="CR192" s="169">
        <f t="shared" si="379"/>
        <v>6.7122682943869583E-2</v>
      </c>
      <c r="CS192" s="179">
        <f t="shared" si="370"/>
        <v>0.85329623209999994</v>
      </c>
      <c r="CT192" s="180">
        <f t="shared" si="371"/>
        <v>1.3960631020522127</v>
      </c>
      <c r="CU192" s="180">
        <f t="shared" si="372"/>
        <v>0.29441923774954631</v>
      </c>
      <c r="CV192" s="180">
        <f t="shared" si="373"/>
        <v>0.76377954189366437</v>
      </c>
      <c r="CW192" s="180">
        <f t="shared" si="374"/>
        <v>0.31393465103033691</v>
      </c>
      <c r="CX192" s="181">
        <f>INDEX('State Tax Lookup'!$D$7:$Z$91,MATCH(Calculation!$C192,'State Tax Lookup'!$B$7:$B$91,0),MATCH($H192,'State Tax Lookup'!$D$6:$Z$6,0))</f>
        <v>0.39649667</v>
      </c>
      <c r="CY192" s="72">
        <v>0.37</v>
      </c>
      <c r="CZ192" s="70">
        <f t="shared" si="376"/>
        <v>22.239872389595789</v>
      </c>
      <c r="DA192" s="70">
        <v>20.759737328210988</v>
      </c>
      <c r="DB192" s="69">
        <f t="shared" si="381"/>
        <v>7.7131378154294439E-2</v>
      </c>
      <c r="DC192" s="111">
        <f>VLOOKUP($H192,RoR!$E:$F,2,FALSE)</f>
        <v>3.6733333333333333E-2</v>
      </c>
      <c r="DD192" s="216">
        <f>HLOOKUP($H192,'GDP-PI'!$D$8:$CQ$11,3,FALSE)</f>
        <v>1.924331376386168E-2</v>
      </c>
      <c r="DE192" s="111">
        <f>VLOOKUP(H192,'HW Dx Data'!$E:$F,2,FALSE)</f>
        <v>668.91932211262167</v>
      </c>
      <c r="DF192" s="72">
        <f t="shared" si="391"/>
        <v>124.80000000000001</v>
      </c>
      <c r="DG192" s="69">
        <f t="shared" si="392"/>
        <v>3.1955502161869064E-2</v>
      </c>
      <c r="DH192" s="66">
        <f>HLOOKUP(H192,'GDP-PI'!$8:$9,2,FALSE)</f>
        <v>100</v>
      </c>
      <c r="DI192" s="69">
        <f t="shared" si="382"/>
        <v>1.9060502738742411E-2</v>
      </c>
      <c r="EB192"/>
    </row>
    <row r="193" spans="1:132" s="160" customFormat="1" ht="21">
      <c r="A193" s="160" t="s">
        <v>170</v>
      </c>
      <c r="B193" s="161" t="s">
        <v>170</v>
      </c>
      <c r="C193" s="161">
        <v>4018679</v>
      </c>
      <c r="D193" s="161" t="s">
        <v>171</v>
      </c>
      <c r="E193" s="161" t="s">
        <v>3</v>
      </c>
      <c r="F193" s="161"/>
      <c r="G193" s="161" t="s">
        <v>129</v>
      </c>
      <c r="H193" s="162">
        <v>2013</v>
      </c>
      <c r="I193" s="163"/>
      <c r="J193" s="159">
        <f>IFERROR(INDEX('Labor Expenditures'!$F$7:$X$91,MATCH($C193,'Labor Expenditures'!$D$7:$D$91,0),MATCH($G193,'Labor Expenditures'!$F$5:$X$5,0)),"NA")</f>
        <v>124359.05136076805</v>
      </c>
      <c r="K193" s="159">
        <f t="shared" si="383"/>
        <v>980.7496164098427</v>
      </c>
      <c r="L193" s="165">
        <f t="shared" si="389"/>
        <v>7.8339474825726372E-3</v>
      </c>
      <c r="M193" s="76">
        <f t="shared" si="393"/>
        <v>3.644021682675917E-4</v>
      </c>
      <c r="N193" s="62">
        <f t="shared" si="399"/>
        <v>107.78621766028351</v>
      </c>
      <c r="O193" s="96">
        <f t="shared" si="394"/>
        <v>-5.9193910651955631E-2</v>
      </c>
      <c r="P193" s="96"/>
      <c r="Q193" s="159">
        <f>IFERROR(INDEX('Non-Labor Expenditures'!$F$7:$AB$91,MATCH($C193,'Non-Labor Expenditures'!$D$7:$D$91,0),MATCH($G193,'Non-Labor Expenditures'!$F$5:$AB$5,0)),"NA")</f>
        <v>180095.13343725645</v>
      </c>
      <c r="R193" s="159">
        <f t="shared" si="384"/>
        <v>1769.5767387937512</v>
      </c>
      <c r="S193" s="165">
        <f t="shared" si="395"/>
        <v>6.157876533860491E-3</v>
      </c>
      <c r="T193" s="165">
        <f t="shared" si="396"/>
        <v>2.8643842275618409E-4</v>
      </c>
      <c r="U193" s="165"/>
      <c r="V193" s="165"/>
      <c r="W193" s="159">
        <f t="shared" si="364"/>
        <v>211463.17934487376</v>
      </c>
      <c r="X193" s="163"/>
      <c r="Y193" s="167">
        <v>9760.3846395396249</v>
      </c>
      <c r="Z193" s="168">
        <v>7.7629327410185193E-3</v>
      </c>
      <c r="AA193" s="76">
        <f t="shared" si="385"/>
        <v>3.6109886225758192E-4</v>
      </c>
      <c r="AB193" s="168"/>
      <c r="AC193" s="168"/>
      <c r="AD193" s="163">
        <f t="shared" si="355"/>
        <v>515917.36414289824</v>
      </c>
      <c r="AE193" s="168">
        <f t="shared" si="397"/>
        <v>1.0690502668226185E-2</v>
      </c>
      <c r="AF193" s="163"/>
      <c r="AG193" s="163"/>
      <c r="AH193" s="163"/>
      <c r="AI193" s="163"/>
      <c r="AJ193" s="116">
        <f t="shared" si="398"/>
        <v>424.20123855595398</v>
      </c>
      <c r="AK193" s="114">
        <f>+AV193/$AX$18</f>
        <v>3.3837655907473473E-2</v>
      </c>
      <c r="AL193" s="115">
        <f t="shared" si="386"/>
        <v>0.24104451604835539</v>
      </c>
      <c r="AM193" s="115">
        <f t="shared" si="387"/>
        <v>0.34907748014345547</v>
      </c>
      <c r="AN193" s="115">
        <f t="shared" si="388"/>
        <v>0.40987800380818917</v>
      </c>
      <c r="AO193" s="115">
        <f t="shared" si="390"/>
        <v>7.2232805094000624E-3</v>
      </c>
      <c r="AP193" s="166">
        <f t="shared" si="401"/>
        <v>103.10288913736439</v>
      </c>
      <c r="AQ193" s="168">
        <f t="shared" si="402"/>
        <v>7.2232805094000737E-3</v>
      </c>
      <c r="AR193" s="69">
        <f>+AD193/$AF$18</f>
        <v>4.6515778804777419E-2</v>
      </c>
      <c r="AS193" s="169">
        <f t="shared" si="400"/>
        <v>3.3599651842011378E-4</v>
      </c>
      <c r="AT193" s="115"/>
      <c r="AU193" s="115"/>
      <c r="AV193" s="113">
        <f>IFERROR(INDEX('Total Customers'!$F$7:$AB$91,MATCH($C193,'Total Customers'!$D$7:$D$91,0),MATCH($G193,'Total Customers'!$F$5:$AB$5,0)),"NA")</f>
        <v>1216209</v>
      </c>
      <c r="AW193" s="68">
        <f t="shared" si="287"/>
        <v>1.9456363897622795E-3</v>
      </c>
      <c r="AX193" s="114"/>
      <c r="AY193" s="114"/>
      <c r="AZ193" s="116">
        <v>8534921</v>
      </c>
      <c r="BA193" s="116"/>
      <c r="BB193" s="166"/>
      <c r="BC193" s="166"/>
      <c r="BD193" s="166"/>
      <c r="BE193" s="166"/>
      <c r="BF193" s="166"/>
      <c r="BG193" s="166"/>
      <c r="BH193" s="166"/>
      <c r="BI193" s="113"/>
      <c r="BJ193" s="113"/>
      <c r="BK193" s="113">
        <f>INDEX('Dist. Plant Gas Additions'!$F$7:$AE$91,MATCH($C193,'Dist. Plant Gas Additions'!$D$7:$D$91,0),MATCH(Calculation!$G193,'Dist. Plant Gas Additions'!$F$5:$AE$5,0))</f>
        <v>94476</v>
      </c>
      <c r="BL193" s="113">
        <f>INDEX('Gen. Plant Additions'!$F$7:$AE$91,MATCH($C193,'Gen. Plant Additions'!$D$7:$D$91,0),MATCH(Calculation!$G193,'Gen. Plant Additions'!$F$5:$AE$5,0))</f>
        <v>5733</v>
      </c>
      <c r="BM193" s="231">
        <f t="shared" si="365"/>
        <v>0.96099518193639555</v>
      </c>
      <c r="BN193" s="61">
        <f t="shared" si="380"/>
        <v>5509.3853780413556</v>
      </c>
      <c r="BO193" s="113">
        <f>INDEX('Dist Plant Depreciation'!$E$7:$AD$94,MATCH($C193,'Dist Plant Depreciation'!$D$7:$D$94,0),MATCH(Calculation!$G193,'Dist Plant Depreciation'!$E$5:$AD$5,0))</f>
        <v>948172</v>
      </c>
      <c r="BP193" s="113">
        <f>INDEX('Gen. Plant Depreciation'!$E$7:$AD$94,MATCH($C193,'Gen. Plant Depreciation'!$D$7:$D$94,0),MATCH(Calculation!$G193,'Gen. Plant Depreciation'!$E$5:$AD$5,0))</f>
        <v>49471</v>
      </c>
      <c r="BQ193" s="113"/>
      <c r="BR193" s="113"/>
      <c r="BS193" s="113"/>
      <c r="BT193" s="113"/>
      <c r="BU193" s="113"/>
      <c r="BV193" s="113"/>
      <c r="BW193" s="113">
        <f>INDEX('Gross Dx Plant'!$E$7:$AD$91,MATCH($C193,'Gross Dx Plant'!$D$7:$D$91,0),MATCH(Calculation!$G193,'Gross Dx Plant'!$E$5:$AD$5,0))</f>
        <v>3196294</v>
      </c>
      <c r="BX193" s="113">
        <f>INDEX('Gross Gen Plant'!$E$7:$AD$91,MATCH($C193,'Gross Gen Plant'!$D$7:$D$91,0),MATCH(Calculation!$G193,'Gross Gen Plant'!$E$5:$AD$5,0))</f>
        <v>129731</v>
      </c>
      <c r="BY193" s="113">
        <f t="shared" si="313"/>
        <v>2328382</v>
      </c>
      <c r="BZ193" s="113"/>
      <c r="CA193" s="116">
        <v>2013</v>
      </c>
      <c r="CB193" s="113"/>
      <c r="CC193" s="113"/>
      <c r="CD193" s="113"/>
      <c r="CE193" s="175"/>
      <c r="CF193" s="113">
        <f t="shared" si="366"/>
        <v>100209</v>
      </c>
      <c r="CG193" s="113">
        <f t="shared" si="367"/>
        <v>151.08818833305244</v>
      </c>
      <c r="CH193" s="178">
        <v>0.90566037735849059</v>
      </c>
      <c r="CI193" s="61">
        <f>+CI178*CH193+CG179*CH192+CG180*CH191+CG181*CH190+CG182*CH189+CG183*CH188+CG184*CH187+CG185*CH186+CG186*CH185+CG187*CH184+CG188*CH183+CG189*CH182+CG190*CH181+CG191*CH180+CG192*CH179+CG193</f>
        <v>9760.3846395396249</v>
      </c>
      <c r="CJ193" s="114">
        <f t="shared" si="368"/>
        <v>7.7629327410185193E-3</v>
      </c>
      <c r="CK193" s="114"/>
      <c r="CL193" s="169">
        <f t="shared" si="369"/>
        <v>7.8072304834045534E-3</v>
      </c>
      <c r="CM193" s="169">
        <f t="shared" si="377"/>
        <v>7.5382540330862814E-3</v>
      </c>
      <c r="CN193" s="114">
        <f>VLOOKUP($H193,RoR!$E:$F,2,FALSE)</f>
        <v>4.2350000000000006E-2</v>
      </c>
      <c r="CO193" s="169">
        <v>1.7730000000000024E-2</v>
      </c>
      <c r="CP193" s="169">
        <f t="shared" si="375"/>
        <v>2.4619999999999982E-2</v>
      </c>
      <c r="CQ193" s="169">
        <f t="shared" si="378"/>
        <v>2.3363687575447344E-2</v>
      </c>
      <c r="CR193" s="169">
        <f t="shared" si="379"/>
        <v>5.3376742735721204E-2</v>
      </c>
      <c r="CS193" s="179">
        <f t="shared" si="370"/>
        <v>0.85329623209999994</v>
      </c>
      <c r="CT193" s="180">
        <f t="shared" si="371"/>
        <v>1.2109103018193925</v>
      </c>
      <c r="CU193" s="180">
        <f t="shared" si="372"/>
        <v>0.38468122786304604</v>
      </c>
      <c r="CV193" s="180">
        <f t="shared" si="373"/>
        <v>0.80969194503422559</v>
      </c>
      <c r="CW193" s="180">
        <f t="shared" si="374"/>
        <v>0.37716621754800816</v>
      </c>
      <c r="CX193" s="181">
        <f>INDEX('State Tax Lookup'!$D$7:$Z$91,MATCH(Calculation!$C193,'State Tax Lookup'!$B$7:$B$91,0),MATCH($H193,'State Tax Lookup'!$D$6:$Z$6,0))</f>
        <v>0.39649667</v>
      </c>
      <c r="CY193" s="72">
        <v>0.37</v>
      </c>
      <c r="CZ193" s="70">
        <f t="shared" si="376"/>
        <v>21.834297508703685</v>
      </c>
      <c r="DA193" s="70">
        <v>20.339519021246105</v>
      </c>
      <c r="DB193" s="69">
        <f t="shared" si="381"/>
        <v>-1.8404717786005866E-2</v>
      </c>
      <c r="DC193" s="111">
        <f>VLOOKUP($H193,RoR!$E:$F,2,FALSE)</f>
        <v>4.2350000000000006E-2</v>
      </c>
      <c r="DD193" s="216">
        <f>HLOOKUP($H193,'GDP-PI'!$D$8:$CQ$11,3,FALSE)</f>
        <v>1.7730000000000024E-2</v>
      </c>
      <c r="DE193" s="111">
        <f>VLOOKUP(H193,'HW Dx Data'!$E:$F,2,FALSE)</f>
        <v>663.24840548821396</v>
      </c>
      <c r="DF193" s="72">
        <f t="shared" si="391"/>
        <v>126.8</v>
      </c>
      <c r="DG193" s="69">
        <f t="shared" si="392"/>
        <v>1.5898586067798204E-2</v>
      </c>
      <c r="DH193" s="66">
        <f>HLOOKUP(H193,'GDP-PI'!$8:$9,2,FALSE)</f>
        <v>101.773</v>
      </c>
      <c r="DI193" s="69">
        <f t="shared" si="382"/>
        <v>1.7574657016510519E-2</v>
      </c>
      <c r="EB193"/>
    </row>
    <row r="194" spans="1:132" s="160" customFormat="1" ht="21">
      <c r="A194" s="160" t="s">
        <v>170</v>
      </c>
      <c r="B194" s="161" t="s">
        <v>170</v>
      </c>
      <c r="C194" s="161">
        <v>4018679</v>
      </c>
      <c r="D194" s="161" t="s">
        <v>171</v>
      </c>
      <c r="E194" s="161" t="s">
        <v>3</v>
      </c>
      <c r="F194" s="161"/>
      <c r="G194" s="161" t="s">
        <v>130</v>
      </c>
      <c r="H194" s="162">
        <v>2014</v>
      </c>
      <c r="I194" s="163"/>
      <c r="J194" s="159">
        <f>IFERROR(INDEX('Labor Expenditures'!$F$7:$X$91,MATCH($C194,'Labor Expenditures'!$D$7:$D$91,0),MATCH($G194,'Labor Expenditures'!$F$5:$X$5,0)),"NA")</f>
        <v>143030.64439020155</v>
      </c>
      <c r="K194" s="159">
        <f t="shared" si="383"/>
        <v>1105.3372827681726</v>
      </c>
      <c r="L194" s="165">
        <f t="shared" si="389"/>
        <v>0.11958860668163522</v>
      </c>
      <c r="M194" s="76">
        <f t="shared" si="393"/>
        <v>5.9633456778384495E-3</v>
      </c>
      <c r="N194" s="62">
        <f t="shared" si="399"/>
        <v>121.40748311800618</v>
      </c>
      <c r="O194" s="96">
        <f t="shared" si="394"/>
        <v>0.11900271762350943</v>
      </c>
      <c r="P194" s="96"/>
      <c r="Q194" s="159">
        <f>IFERROR(INDEX('Non-Labor Expenditures'!$F$7:$AB$91,MATCH($C194,'Non-Labor Expenditures'!$D$7:$D$91,0),MATCH($G194,'Non-Labor Expenditures'!$F$5:$AB$5,0)),"NA")</f>
        <v>207135.0875164076</v>
      </c>
      <c r="R194" s="159">
        <f t="shared" si="384"/>
        <v>1998.4667912858799</v>
      </c>
      <c r="S194" s="165">
        <f t="shared" si="395"/>
        <v>0.12163989484705377</v>
      </c>
      <c r="T194" s="165">
        <f t="shared" si="396"/>
        <v>6.0656341880459055E-3</v>
      </c>
      <c r="U194" s="165"/>
      <c r="V194" s="165"/>
      <c r="W194" s="159">
        <f t="shared" si="364"/>
        <v>217540.08928078972</v>
      </c>
      <c r="X194" s="163"/>
      <c r="Y194" s="167">
        <v>10146.981213909592</v>
      </c>
      <c r="Z194" s="168">
        <v>3.8844434464324645E-2</v>
      </c>
      <c r="AA194" s="76">
        <f t="shared" si="385"/>
        <v>1.9369971504691996E-3</v>
      </c>
      <c r="AB194" s="168"/>
      <c r="AC194" s="168"/>
      <c r="AD194" s="163">
        <f t="shared" si="355"/>
        <v>567705.82118739886</v>
      </c>
      <c r="AE194" s="168">
        <f t="shared" si="397"/>
        <v>9.5656758462536268E-2</v>
      </c>
      <c r="AF194" s="163"/>
      <c r="AG194" s="163"/>
      <c r="AH194" s="163"/>
      <c r="AI194" s="163"/>
      <c r="AJ194" s="116">
        <f t="shared" si="398"/>
        <v>465.73385858423848</v>
      </c>
      <c r="AK194" s="114">
        <f>+AV194/$AX$19</f>
        <v>3.3732662858230823E-2</v>
      </c>
      <c r="AL194" s="115">
        <f t="shared" si="386"/>
        <v>0.25194500223908634</v>
      </c>
      <c r="AM194" s="115">
        <f t="shared" si="387"/>
        <v>0.36486342007761907</v>
      </c>
      <c r="AN194" s="115">
        <f t="shared" si="388"/>
        <v>0.38319157768329465</v>
      </c>
      <c r="AO194" s="115">
        <f t="shared" si="390"/>
        <v>8.8302982507221711E-2</v>
      </c>
      <c r="AP194" s="166">
        <f t="shared" si="401"/>
        <v>112.62124738398768</v>
      </c>
      <c r="AQ194" s="168">
        <f t="shared" si="402"/>
        <v>8.8302982507221614E-2</v>
      </c>
      <c r="AR194" s="69">
        <f>+AD194/$AF$19</f>
        <v>4.9865500094953601E-2</v>
      </c>
      <c r="AS194" s="169">
        <f t="shared" si="400"/>
        <v>4.4032723825985455E-3</v>
      </c>
      <c r="AT194" s="115"/>
      <c r="AU194" s="115"/>
      <c r="AV194" s="113">
        <f>IFERROR(INDEX('Total Customers'!$F$7:$AB$91,MATCH($C194,'Total Customers'!$D$7:$D$91,0),MATCH($G194,'Total Customers'!$F$5:$AB$5,0)),"NA")</f>
        <v>1218949</v>
      </c>
      <c r="AW194" s="68">
        <f t="shared" si="287"/>
        <v>2.2503682769789354E-3</v>
      </c>
      <c r="AX194" s="114"/>
      <c r="AY194" s="114"/>
      <c r="AZ194" s="116">
        <v>8599754</v>
      </c>
      <c r="BA194" s="116"/>
      <c r="BB194" s="166"/>
      <c r="BC194" s="166"/>
      <c r="BD194" s="166"/>
      <c r="BE194" s="166"/>
      <c r="BF194" s="166"/>
      <c r="BG194" s="166"/>
      <c r="BH194" s="166"/>
      <c r="BI194" s="113"/>
      <c r="BJ194" s="113"/>
      <c r="BK194" s="113">
        <f>INDEX('Dist. Plant Gas Additions'!$F$7:$AE$91,MATCH($C194,'Dist. Plant Gas Additions'!$D$7:$D$91,0),MATCH(Calculation!$G194,'Dist. Plant Gas Additions'!$F$5:$AE$5,0))</f>
        <v>309923</v>
      </c>
      <c r="BL194" s="113">
        <f>INDEX('Gen. Plant Additions'!$F$7:$AE$91,MATCH($C194,'Gen. Plant Additions'!$D$7:$D$91,0),MATCH(Calculation!$G194,'Gen. Plant Additions'!$F$5:$AE$5,0))</f>
        <v>8878</v>
      </c>
      <c r="BM194" s="231">
        <f t="shared" si="365"/>
        <v>0.96135733874969975</v>
      </c>
      <c r="BN194" s="61">
        <f t="shared" si="380"/>
        <v>8534.9304534198345</v>
      </c>
      <c r="BO194" s="113">
        <f>INDEX('Dist Plant Depreciation'!$E$7:$AD$94,MATCH($C194,'Dist Plant Depreciation'!$D$7:$D$94,0),MATCH(Calculation!$G194,'Dist Plant Depreciation'!$E$5:$AD$5,0))</f>
        <v>957734</v>
      </c>
      <c r="BP194" s="113">
        <f>INDEX('Gen. Plant Depreciation'!$E$7:$AD$94,MATCH($C194,'Gen. Plant Depreciation'!$D$7:$D$94,0),MATCH(Calculation!$G194,'Gen. Plant Depreciation'!$E$5:$AD$5,0))</f>
        <v>50714</v>
      </c>
      <c r="BQ194" s="113"/>
      <c r="BR194" s="113"/>
      <c r="BS194" s="113"/>
      <c r="BT194" s="113"/>
      <c r="BU194" s="113"/>
      <c r="BV194" s="113"/>
      <c r="BW194" s="113">
        <f>INDEX('Gross Dx Plant'!$E$7:$AD$91,MATCH($C194,'Gross Dx Plant'!$D$7:$D$91,0),MATCH(Calculation!$G194,'Gross Dx Plant'!$E$5:$AD$5,0))</f>
        <v>3446169</v>
      </c>
      <c r="BX194" s="113">
        <f>INDEX('Gross Gen Plant'!$E$7:$AD$91,MATCH($C194,'Gross Gen Plant'!$D$7:$D$91,0),MATCH(Calculation!$G194,'Gross Gen Plant'!$E$5:$AD$5,0))</f>
        <v>138522</v>
      </c>
      <c r="BY194" s="113">
        <f t="shared" si="313"/>
        <v>2576243</v>
      </c>
      <c r="BZ194" s="113"/>
      <c r="CA194" s="116">
        <v>2014</v>
      </c>
      <c r="CB194" s="113"/>
      <c r="CC194" s="113"/>
      <c r="CD194" s="113"/>
      <c r="CE194" s="175"/>
      <c r="CF194" s="113">
        <f t="shared" si="366"/>
        <v>318801</v>
      </c>
      <c r="CG194" s="113">
        <f t="shared" si="367"/>
        <v>465.7638745734734</v>
      </c>
      <c r="CH194" s="178">
        <v>0.89743589743589747</v>
      </c>
      <c r="CI194" s="61">
        <f>+CI178*CH194+CG179*CH193+CG180*CH192+CG181*CH191+CG182*CH190+CG183*CH189+CG184*CH188+CG185*CH187+CG186*CH186+CG187*CH185+CG188*CH184+CG189*CH183+CG190*CH182+CG191*CH181+CG192*CH180+CG193*CH179+CG194</f>
        <v>10146.981213909592</v>
      </c>
      <c r="CJ194" s="114">
        <f t="shared" si="368"/>
        <v>3.8844434464324645E-2</v>
      </c>
      <c r="CK194" s="114"/>
      <c r="CL194" s="169">
        <f t="shared" si="369"/>
        <v>8.1110840532653862E-3</v>
      </c>
      <c r="CM194" s="169">
        <f t="shared" si="377"/>
        <v>7.8146236959259797E-3</v>
      </c>
      <c r="CN194" s="114">
        <f>VLOOKUP($H194,RoR!$E:$F,2,FALSE)</f>
        <v>4.1625000000000002E-2</v>
      </c>
      <c r="CO194" s="169">
        <v>1.841352814597208E-2</v>
      </c>
      <c r="CP194" s="169">
        <f t="shared" si="375"/>
        <v>2.3211471854027922E-2</v>
      </c>
      <c r="CQ194" s="169">
        <f t="shared" si="378"/>
        <v>2.3087317912607645E-2</v>
      </c>
      <c r="CR194" s="169">
        <f t="shared" si="379"/>
        <v>3.9072621432650924E-2</v>
      </c>
      <c r="CS194" s="179">
        <f t="shared" si="370"/>
        <v>0.85329623209999994</v>
      </c>
      <c r="CT194" s="180">
        <f t="shared" si="371"/>
        <v>1.2320012320012319</v>
      </c>
      <c r="CU194" s="180">
        <f t="shared" si="372"/>
        <v>0.37439939939939942</v>
      </c>
      <c r="CV194" s="180">
        <f t="shared" si="373"/>
        <v>0.80432100613819935</v>
      </c>
      <c r="CW194" s="180">
        <f t="shared" si="374"/>
        <v>0.37100152660040037</v>
      </c>
      <c r="CX194" s="181">
        <f>INDEX('State Tax Lookup'!$D$7:$Z$91,MATCH(Calculation!$C194,'State Tax Lookup'!$B$7:$B$91,0),MATCH($H194,'State Tax Lookup'!$D$6:$Z$6,0))</f>
        <v>0.39649667</v>
      </c>
      <c r="CY194" s="72">
        <v>0.37</v>
      </c>
      <c r="CZ194" s="70">
        <f t="shared" si="376"/>
        <v>22.28806520590674</v>
      </c>
      <c r="DA194" s="70">
        <v>20.763592984765573</v>
      </c>
      <c r="DB194" s="69">
        <f t="shared" si="381"/>
        <v>2.0569328937152929E-2</v>
      </c>
      <c r="DC194" s="111">
        <f>VLOOKUP($H194,RoR!$E:$F,2,FALSE)</f>
        <v>4.1625000000000002E-2</v>
      </c>
      <c r="DD194" s="216">
        <f>HLOOKUP($H194,'GDP-PI'!$D$8:$CQ$11,3,FALSE)</f>
        <v>1.841352814597208E-2</v>
      </c>
      <c r="DE194" s="111">
        <f>VLOOKUP(H194,'HW Dx Data'!$E:$F,2,FALSE)</f>
        <v>684.46914285042885</v>
      </c>
      <c r="DF194" s="72">
        <f t="shared" si="391"/>
        <v>129.4</v>
      </c>
      <c r="DG194" s="69">
        <f t="shared" si="392"/>
        <v>2.0297340063674733E-2</v>
      </c>
      <c r="DH194" s="66">
        <f>HLOOKUP(H194,'GDP-PI'!$8:$9,2,FALSE)</f>
        <v>103.64700000000001</v>
      </c>
      <c r="DI194" s="69">
        <f t="shared" si="382"/>
        <v>1.8246051898256087E-2</v>
      </c>
      <c r="EB194"/>
    </row>
    <row r="195" spans="1:132" s="160" customFormat="1" ht="21">
      <c r="A195" s="160" t="s">
        <v>170</v>
      </c>
      <c r="B195" s="161" t="s">
        <v>170</v>
      </c>
      <c r="C195" s="161">
        <v>4018679</v>
      </c>
      <c r="D195" s="161" t="s">
        <v>171</v>
      </c>
      <c r="E195" s="161" t="s">
        <v>3</v>
      </c>
      <c r="F195" s="161"/>
      <c r="G195" s="161" t="s">
        <v>132</v>
      </c>
      <c r="H195" s="162">
        <v>2015</v>
      </c>
      <c r="I195" s="163"/>
      <c r="J195" s="159">
        <f>IFERROR(INDEX('Labor Expenditures'!$F$7:$X$91,MATCH($C195,'Labor Expenditures'!$D$7:$D$91,0),MATCH($G195,'Labor Expenditures'!$F$5:$X$5,0)),"NA")</f>
        <v>132682.29468839936</v>
      </c>
      <c r="K195" s="159">
        <f t="shared" si="383"/>
        <v>993.87486657977047</v>
      </c>
      <c r="L195" s="165">
        <f t="shared" si="389"/>
        <v>-0.10629449067284483</v>
      </c>
      <c r="M195" s="76">
        <f t="shared" si="393"/>
        <v>-5.0476963533147732E-3</v>
      </c>
      <c r="N195" s="62">
        <f t="shared" si="399"/>
        <v>119.11623623667475</v>
      </c>
      <c r="O195" s="96">
        <f t="shared" si="394"/>
        <v>-1.9052725431733433E-2</v>
      </c>
      <c r="P195" s="96"/>
      <c r="Q195" s="159">
        <f>IFERROR(INDEX('Non-Labor Expenditures'!$F$7:$AB$91,MATCH($C195,'Non-Labor Expenditures'!$D$7:$D$91,0),MATCH($G195,'Non-Labor Expenditures'!$F$5:$AB$5,0)),"NA")</f>
        <v>192148.74434308393</v>
      </c>
      <c r="R195" s="159">
        <f t="shared" si="384"/>
        <v>1836.3014205323441</v>
      </c>
      <c r="S195" s="165">
        <f t="shared" si="395"/>
        <v>-8.4626831084783458E-2</v>
      </c>
      <c r="T195" s="165">
        <f t="shared" si="396"/>
        <v>-4.0187458818914728E-3</v>
      </c>
      <c r="U195" s="165"/>
      <c r="V195" s="165"/>
      <c r="W195" s="159">
        <f t="shared" si="364"/>
        <v>221151.78580590425</v>
      </c>
      <c r="X195" s="163"/>
      <c r="Y195" s="167">
        <v>10483.116249582496</v>
      </c>
      <c r="Z195" s="168">
        <v>3.2589742850256231E-2</v>
      </c>
      <c r="AA195" s="76">
        <f t="shared" si="385"/>
        <v>1.547616674198246E-3</v>
      </c>
      <c r="AB195" s="168"/>
      <c r="AC195" s="168"/>
      <c r="AD195" s="163">
        <f t="shared" si="355"/>
        <v>545982.82483738754</v>
      </c>
      <c r="AE195" s="168">
        <f t="shared" si="397"/>
        <v>-3.9015845200947349E-2</v>
      </c>
      <c r="AF195" s="163"/>
      <c r="AG195" s="163"/>
      <c r="AH195" s="163"/>
      <c r="AI195" s="163"/>
      <c r="AJ195" s="116">
        <f t="shared" si="398"/>
        <v>441.95501212774644</v>
      </c>
      <c r="AK195" s="114">
        <f>+AV195/$AX$20</f>
        <v>3.3909406856777465E-2</v>
      </c>
      <c r="AL195" s="115">
        <f t="shared" si="386"/>
        <v>0.24301551010861322</v>
      </c>
      <c r="AM195" s="115">
        <f t="shared" si="387"/>
        <v>0.35193184767361946</v>
      </c>
      <c r="AN195" s="115">
        <f t="shared" si="388"/>
        <v>0.40505264221776732</v>
      </c>
      <c r="AO195" s="115">
        <f t="shared" si="390"/>
        <v>-4.3791505589874408E-2</v>
      </c>
      <c r="AP195" s="166">
        <f t="shared" si="401"/>
        <v>107.79582086296786</v>
      </c>
      <c r="AQ195" s="168">
        <f t="shared" si="402"/>
        <v>-4.3791505589874435E-2</v>
      </c>
      <c r="AR195" s="69">
        <f>+AD195/$AF$20</f>
        <v>4.7487845525791807E-2</v>
      </c>
      <c r="AS195" s="169">
        <f t="shared" si="400"/>
        <v>-2.0795642527938057E-3</v>
      </c>
      <c r="AT195" s="115"/>
      <c r="AU195" s="115"/>
      <c r="AV195" s="113">
        <f>IFERROR(INDEX('Total Customers'!$F$7:$AB$91,MATCH($C195,'Total Customers'!$D$7:$D$91,0),MATCH($G195,'Total Customers'!$F$5:$AB$5,0)),"NA")</f>
        <v>1235381</v>
      </c>
      <c r="AW195" s="68">
        <f t="shared" si="287"/>
        <v>1.3390412475128574E-2</v>
      </c>
      <c r="AX195" s="114"/>
      <c r="AY195" s="114"/>
      <c r="AZ195" s="116">
        <v>8659109</v>
      </c>
      <c r="BA195" s="116"/>
      <c r="BB195" s="166"/>
      <c r="BC195" s="166"/>
      <c r="BD195" s="166"/>
      <c r="BE195" s="166"/>
      <c r="BF195" s="166"/>
      <c r="BG195" s="166"/>
      <c r="BH195" s="166"/>
      <c r="BI195" s="113"/>
      <c r="BJ195" s="113"/>
      <c r="BK195" s="113">
        <f>INDEX('Dist. Plant Gas Additions'!$F$7:$AE$91,MATCH($C195,'Dist. Plant Gas Additions'!$D$7:$D$91,0),MATCH(Calculation!$G195,'Dist. Plant Gas Additions'!$F$5:$AE$5,0))</f>
        <v>268204</v>
      </c>
      <c r="BL195" s="113">
        <f>INDEX('Gen. Plant Additions'!$F$7:$AE$91,MATCH($C195,'Gen. Plant Additions'!$D$7:$D$91,0),MATCH(Calculation!$G195,'Gen. Plant Additions'!$F$5:$AE$5,0))</f>
        <v>15963</v>
      </c>
      <c r="BM195" s="231">
        <f t="shared" si="365"/>
        <v>0.95947213545322285</v>
      </c>
      <c r="BN195" s="61">
        <f t="shared" si="380"/>
        <v>15316.053698239797</v>
      </c>
      <c r="BO195" s="113">
        <f>INDEX('Dist Plant Depreciation'!$E$7:$AD$94,MATCH($C195,'Dist Plant Depreciation'!$D$7:$D$94,0),MATCH(Calculation!$G195,'Dist Plant Depreciation'!$E$5:$AD$5,0))</f>
        <v>948087</v>
      </c>
      <c r="BP195" s="113">
        <f>INDEX('Gen. Plant Depreciation'!$E$7:$AD$94,MATCH($C195,'Gen. Plant Depreciation'!$D$7:$D$94,0),MATCH(Calculation!$G195,'Gen. Plant Depreciation'!$E$5:$AD$5,0))</f>
        <v>58280</v>
      </c>
      <c r="BQ195" s="113"/>
      <c r="BR195" s="113"/>
      <c r="BS195" s="113"/>
      <c r="BT195" s="113"/>
      <c r="BU195" s="113"/>
      <c r="BV195" s="113"/>
      <c r="BW195" s="113">
        <f>INDEX('Gross Dx Plant'!$E$7:$AD$91,MATCH($C195,'Gross Dx Plant'!$D$7:$D$91,0),MATCH(Calculation!$G195,'Gross Dx Plant'!$E$5:$AD$5,0))</f>
        <v>3656745</v>
      </c>
      <c r="BX195" s="113">
        <f>INDEX('Gross Gen Plant'!$E$7:$AD$91,MATCH($C195,'Gross Gen Plant'!$D$7:$D$91,0),MATCH(Calculation!$G195,'Gross Gen Plant'!$E$5:$AD$5,0))</f>
        <v>154460</v>
      </c>
      <c r="BY195" s="113">
        <f t="shared" si="313"/>
        <v>2804838</v>
      </c>
      <c r="BZ195" s="113"/>
      <c r="CA195" s="116">
        <v>2015</v>
      </c>
      <c r="CB195" s="113"/>
      <c r="CC195" s="113"/>
      <c r="CD195" s="113"/>
      <c r="CE195" s="175"/>
      <c r="CF195" s="113">
        <f t="shared" si="366"/>
        <v>284167</v>
      </c>
      <c r="CG195" s="113">
        <f t="shared" si="367"/>
        <v>420.60515874520922</v>
      </c>
      <c r="CH195" s="178">
        <v>0.88888888888888884</v>
      </c>
      <c r="CI195" s="61">
        <f>+CI178*CH195+CG179*CH194+CG180*CH193+CG181*CH192+CG182*CH191+CG183*CH190+CG184*CH189+CG185*CH188+CG186*CH187+CG187*CH186+CG188*CH185+CG189*CH184+CG190*CH183+CG191*CH182+CG192*CH181+CG193*CH180+CG194*CH179+CG195</f>
        <v>10483.116249582496</v>
      </c>
      <c r="CJ195" s="114">
        <f t="shared" si="368"/>
        <v>3.2589742850256231E-2</v>
      </c>
      <c r="CK195" s="114"/>
      <c r="CL195" s="169">
        <f t="shared" si="369"/>
        <v>8.3246555100065737E-3</v>
      </c>
      <c r="CM195" s="169">
        <f t="shared" si="377"/>
        <v>8.0809900155588386E-3</v>
      </c>
      <c r="CN195" s="114">
        <f>VLOOKUP($H195,RoR!$E:$F,2,FALSE)</f>
        <v>3.8866666666666674E-2</v>
      </c>
      <c r="CO195" s="169">
        <v>9.5709475431029478E-3</v>
      </c>
      <c r="CP195" s="169">
        <f t="shared" si="375"/>
        <v>2.9295719123563727E-2</v>
      </c>
      <c r="CQ195" s="169">
        <f t="shared" si="378"/>
        <v>2.2820951592974786E-2</v>
      </c>
      <c r="CR195" s="169">
        <f t="shared" si="379"/>
        <v>3.5270373279175926E-3</v>
      </c>
      <c r="CS195" s="179">
        <f t="shared" si="370"/>
        <v>0.85329623209999994</v>
      </c>
      <c r="CT195" s="180">
        <f t="shared" si="371"/>
        <v>1.3194352816994324</v>
      </c>
      <c r="CU195" s="180">
        <f t="shared" si="372"/>
        <v>0.33177530017152673</v>
      </c>
      <c r="CV195" s="180">
        <f t="shared" si="373"/>
        <v>0.78242572977668579</v>
      </c>
      <c r="CW195" s="180">
        <f t="shared" si="374"/>
        <v>0.34251158643433932</v>
      </c>
      <c r="CX195" s="181">
        <f>INDEX('State Tax Lookup'!$D$7:$Z$91,MATCH(Calculation!$C195,'State Tax Lookup'!$B$7:$B$91,0),MATCH($H195,'State Tax Lookup'!$D$6:$Z$6,0))</f>
        <v>0.39649667</v>
      </c>
      <c r="CY195" s="72">
        <v>0.37</v>
      </c>
      <c r="CZ195" s="70">
        <f t="shared" si="376"/>
        <v>21.794835443545217</v>
      </c>
      <c r="DA195" s="70">
        <v>20.279488671080099</v>
      </c>
      <c r="DB195" s="69">
        <f t="shared" si="381"/>
        <v>-2.2378307170250904E-2</v>
      </c>
      <c r="DC195" s="111">
        <f>VLOOKUP($H195,RoR!$E:$F,2,FALSE)</f>
        <v>3.8866666666666674E-2</v>
      </c>
      <c r="DD195" s="216">
        <f>HLOOKUP($H195,'GDP-PI'!$D$8:$CQ$11,3,FALSE)</f>
        <v>9.5709475431029478E-3</v>
      </c>
      <c r="DE195" s="111">
        <f>VLOOKUP(H195,'HW Dx Data'!$E:$F,2,FALSE)</f>
        <v>675.61463308665782</v>
      </c>
      <c r="DF195" s="72">
        <f t="shared" si="391"/>
        <v>133.5</v>
      </c>
      <c r="DG195" s="69">
        <f t="shared" si="392"/>
        <v>3.1193095773504077E-2</v>
      </c>
      <c r="DH195" s="66">
        <f>HLOOKUP(H195,'GDP-PI'!$8:$9,2,FALSE)</f>
        <v>104.639</v>
      </c>
      <c r="DI195" s="69">
        <f t="shared" si="382"/>
        <v>9.5254361854427965E-3</v>
      </c>
      <c r="EB195"/>
    </row>
    <row r="196" spans="1:132" s="160" customFormat="1" ht="21">
      <c r="A196" s="160" t="s">
        <v>170</v>
      </c>
      <c r="B196" s="161" t="s">
        <v>170</v>
      </c>
      <c r="C196" s="161">
        <v>4018679</v>
      </c>
      <c r="D196" s="161" t="s">
        <v>171</v>
      </c>
      <c r="E196" s="161" t="s">
        <v>3</v>
      </c>
      <c r="F196" s="161"/>
      <c r="G196" s="161" t="s">
        <v>133</v>
      </c>
      <c r="H196" s="162">
        <v>2016</v>
      </c>
      <c r="I196" s="163"/>
      <c r="J196" s="159">
        <f>IFERROR(INDEX('Labor Expenditures'!$F$7:$X$91,MATCH($C196,'Labor Expenditures'!$D$7:$D$91,0),MATCH($G196,'Labor Expenditures'!$F$5:$X$5,0)),"NA")</f>
        <v>151716.460721329</v>
      </c>
      <c r="K196" s="159">
        <f t="shared" si="383"/>
        <v>1107.8237365558891</v>
      </c>
      <c r="L196" s="165">
        <f t="shared" si="389"/>
        <v>0.10854146214230122</v>
      </c>
      <c r="M196" s="76">
        <f t="shared" si="393"/>
        <v>5.4369973900779047E-3</v>
      </c>
      <c r="N196" s="62">
        <f t="shared" si="399"/>
        <v>298.40033390053799</v>
      </c>
      <c r="O196" s="96">
        <f t="shared" si="394"/>
        <v>0.91833619582335446</v>
      </c>
      <c r="P196" s="96"/>
      <c r="Q196" s="159">
        <f>IFERROR(INDEX('Non-Labor Expenditures'!$F$7:$AB$91,MATCH($C196,'Non-Labor Expenditures'!$D$7:$D$91,0),MATCH($G196,'Non-Labor Expenditures'!$F$5:$AB$5,0)),"NA")</f>
        <v>219713.77185059342</v>
      </c>
      <c r="R196" s="159">
        <f t="shared" si="384"/>
        <v>2077.9466960221062</v>
      </c>
      <c r="S196" s="165">
        <f t="shared" si="395"/>
        <v>0.12362678964387901</v>
      </c>
      <c r="T196" s="165">
        <f t="shared" si="396"/>
        <v>6.1926430634982573E-3</v>
      </c>
      <c r="U196" s="165"/>
      <c r="V196" s="165"/>
      <c r="W196" s="159">
        <f t="shared" si="364"/>
        <v>224544.77003310507</v>
      </c>
      <c r="X196" s="163"/>
      <c r="Y196" s="167">
        <v>10832.386830512378</v>
      </c>
      <c r="Z196" s="168">
        <v>3.2774440607547979E-2</v>
      </c>
      <c r="AA196" s="76">
        <f t="shared" si="385"/>
        <v>1.6417186992642783E-3</v>
      </c>
      <c r="AB196" s="168"/>
      <c r="AC196" s="168"/>
      <c r="AD196" s="163">
        <f t="shared" si="355"/>
        <v>595975.00260502752</v>
      </c>
      <c r="AE196" s="168">
        <f t="shared" si="397"/>
        <v>8.7611205339525863E-2</v>
      </c>
      <c r="AF196" s="163"/>
      <c r="AG196" s="163"/>
      <c r="AH196" s="163"/>
      <c r="AI196" s="163"/>
      <c r="AJ196" s="116">
        <f t="shared" si="398"/>
        <v>477.79943495844941</v>
      </c>
      <c r="AK196" s="114">
        <f>+AV196/$AX$21</f>
        <v>3.3941612175489029E-2</v>
      </c>
      <c r="AL196" s="115">
        <f t="shared" si="386"/>
        <v>0.25456849709831963</v>
      </c>
      <c r="AM196" s="115">
        <f t="shared" si="387"/>
        <v>0.36866273063503813</v>
      </c>
      <c r="AN196" s="115">
        <f t="shared" si="388"/>
        <v>0.37676877226664213</v>
      </c>
      <c r="AO196" s="115">
        <f t="shared" si="390"/>
        <v>8.4358524773339189E-2</v>
      </c>
      <c r="AP196" s="166">
        <f t="shared" si="401"/>
        <v>117.283891045922</v>
      </c>
      <c r="AQ196" s="168">
        <f t="shared" si="402"/>
        <v>8.4358524773339202E-2</v>
      </c>
      <c r="AR196" s="69">
        <f>+AD196/$AF$21</f>
        <v>5.0091433105533746E-2</v>
      </c>
      <c r="AS196" s="169">
        <f t="shared" si="400"/>
        <v>4.2256394005652318E-3</v>
      </c>
      <c r="AT196" s="115"/>
      <c r="AU196" s="115"/>
      <c r="AV196" s="113">
        <f>IFERROR(INDEX('Total Customers'!$F$7:$AB$91,MATCH($C196,'Total Customers'!$D$7:$D$91,0),MATCH($G196,'Total Customers'!$F$5:$AB$5,0)),"NA")</f>
        <v>1247333</v>
      </c>
      <c r="AW196" s="68">
        <f t="shared" ref="AW196:AW259" si="403">LN(AV196/AV195)</f>
        <v>9.6282474197134146E-3</v>
      </c>
      <c r="AX196" s="114"/>
      <c r="AY196" s="114"/>
      <c r="AZ196" s="116">
        <v>8759079</v>
      </c>
      <c r="BA196" s="116"/>
      <c r="BB196" s="166"/>
      <c r="BC196" s="166"/>
      <c r="BD196" s="166"/>
      <c r="BE196" s="166"/>
      <c r="BF196" s="166"/>
      <c r="BG196" s="166"/>
      <c r="BH196" s="166"/>
      <c r="BI196" s="113"/>
      <c r="BJ196" s="113"/>
      <c r="BK196" s="113">
        <f>INDEX('Dist. Plant Gas Additions'!$F$7:$AE$91,MATCH($C196,'Dist. Plant Gas Additions'!$D$7:$D$91,0),MATCH(Calculation!$G196,'Dist. Plant Gas Additions'!$F$5:$AE$5,0))</f>
        <v>257319</v>
      </c>
      <c r="BL196" s="113">
        <f>INDEX('Gen. Plant Additions'!$F$7:$AE$91,MATCH($C196,'Gen. Plant Additions'!$D$7:$D$91,0),MATCH(Calculation!$G196,'Gen. Plant Additions'!$F$5:$AE$5,0))</f>
        <v>37492</v>
      </c>
      <c r="BM196" s="231">
        <f t="shared" si="365"/>
        <v>0.95889807877014643</v>
      </c>
      <c r="BN196" s="61">
        <f t="shared" si="380"/>
        <v>35951.006769250329</v>
      </c>
      <c r="BO196" s="113">
        <f>INDEX('Dist Plant Depreciation'!$E$7:$AD$94,MATCH($C196,'Dist Plant Depreciation'!$D$7:$D$94,0),MATCH(Calculation!$G196,'Dist Plant Depreciation'!$E$5:$AD$5,0))</f>
        <v>894049</v>
      </c>
      <c r="BP196" s="113">
        <f>INDEX('Gen. Plant Depreciation'!$E$7:$AD$94,MATCH($C196,'Gen. Plant Depreciation'!$D$7:$D$94,0),MATCH(Calculation!$G196,'Gen. Plant Depreciation'!$E$5:$AD$5,0))</f>
        <v>37412</v>
      </c>
      <c r="BQ196" s="113"/>
      <c r="BR196" s="113"/>
      <c r="BS196" s="113"/>
      <c r="BT196" s="113"/>
      <c r="BU196" s="113"/>
      <c r="BV196" s="113"/>
      <c r="BW196" s="113">
        <f>INDEX('Gross Dx Plant'!$E$7:$AD$91,MATCH($C196,'Gross Dx Plant'!$D$7:$D$91,0),MATCH(Calculation!$G196,'Gross Dx Plant'!$E$5:$AD$5,0))</f>
        <v>3800745</v>
      </c>
      <c r="BX196" s="113">
        <f>INDEX('Gross Gen Plant'!$E$7:$AD$91,MATCH($C196,'Gross Gen Plant'!$D$7:$D$91,0),MATCH(Calculation!$G196,'Gross Gen Plant'!$E$5:$AD$5,0))</f>
        <v>162914</v>
      </c>
      <c r="BY196" s="113">
        <f t="shared" si="313"/>
        <v>3032198</v>
      </c>
      <c r="BZ196" s="113"/>
      <c r="CA196" s="116">
        <v>2016</v>
      </c>
      <c r="CB196" s="113"/>
      <c r="CC196" s="113"/>
      <c r="CD196" s="113"/>
      <c r="CE196" s="175"/>
      <c r="CF196" s="113">
        <f t="shared" si="366"/>
        <v>294811</v>
      </c>
      <c r="CG196" s="113">
        <f t="shared" si="367"/>
        <v>439.06201906179933</v>
      </c>
      <c r="CH196" s="178">
        <v>0.88</v>
      </c>
      <c r="CI196" s="61">
        <f>+CI178*CH196+CG179*CH195+CG180*CH194+CG181*CH193+CG182*CH192+CG183*CH191+CG184*CH190+CG185*CH189+CG186*CH188+CG187*CH187+CG188*CH186+CG189*CH185+CG190*CH184+CG191*CH183+CG192*CH182+CG193*CH181+CG194*CH180+CG195*CH179+CG196</f>
        <v>10832.386830512378</v>
      </c>
      <c r="CJ196" s="114">
        <f t="shared" si="368"/>
        <v>3.2774440607547979E-2</v>
      </c>
      <c r="CK196" s="114"/>
      <c r="CL196" s="169">
        <f t="shared" si="369"/>
        <v>8.5653383969192497E-3</v>
      </c>
      <c r="CM196" s="169">
        <f t="shared" si="377"/>
        <v>8.333692653397071E-3</v>
      </c>
      <c r="CN196" s="114">
        <f>VLOOKUP($H196,RoR!$E:$F,2,FALSE)</f>
        <v>3.6658333333333334E-2</v>
      </c>
      <c r="CO196" s="169">
        <v>1.0483662879041455E-2</v>
      </c>
      <c r="CP196" s="169">
        <f t="shared" si="375"/>
        <v>2.6174670454291879E-2</v>
      </c>
      <c r="CQ196" s="169">
        <f t="shared" si="378"/>
        <v>2.2568248955136552E-2</v>
      </c>
      <c r="CR196" s="169">
        <f t="shared" si="379"/>
        <v>4.301363574220729E-3</v>
      </c>
      <c r="CS196" s="179">
        <f t="shared" si="370"/>
        <v>0.85329623209999994</v>
      </c>
      <c r="CT196" s="180">
        <f t="shared" si="371"/>
        <v>1.3989193348138562</v>
      </c>
      <c r="CU196" s="180">
        <f t="shared" si="372"/>
        <v>0.29302682427824522</v>
      </c>
      <c r="CV196" s="180">
        <f t="shared" si="373"/>
        <v>0.76309497491941802</v>
      </c>
      <c r="CW196" s="180">
        <f t="shared" si="374"/>
        <v>0.31280857135128509</v>
      </c>
      <c r="CX196" s="181">
        <f>INDEX('State Tax Lookup'!$D$7:$Z$91,MATCH(Calculation!$C196,'State Tax Lookup'!$B$7:$B$91,0),MATCH($H196,'State Tax Lookup'!$D$6:$Z$6,0))</f>
        <v>0.39649667</v>
      </c>
      <c r="CY196" s="72">
        <v>0.37</v>
      </c>
      <c r="CZ196" s="70">
        <f t="shared" si="376"/>
        <v>21.419658495349402</v>
      </c>
      <c r="DA196" s="70">
        <v>19.909765876209278</v>
      </c>
      <c r="DB196" s="69">
        <f t="shared" si="381"/>
        <v>-1.7363913837420315E-2</v>
      </c>
      <c r="DC196" s="111">
        <f>VLOOKUP($H196,RoR!$E:$F,2,FALSE)</f>
        <v>3.6658333333333334E-2</v>
      </c>
      <c r="DD196" s="216">
        <f>HLOOKUP($H196,'GDP-PI'!$D$8:$CQ$11,3,FALSE)</f>
        <v>1.0483662879041455E-2</v>
      </c>
      <c r="DE196" s="111">
        <f>VLOOKUP(H196,'HW Dx Data'!$E:$F,2,FALSE)</f>
        <v>671.45639385971219</v>
      </c>
      <c r="DF196" s="72">
        <f t="shared" si="391"/>
        <v>136.94999999999999</v>
      </c>
      <c r="DG196" s="69">
        <f t="shared" si="392"/>
        <v>2.5514417868782811E-2</v>
      </c>
      <c r="DH196" s="66">
        <f>HLOOKUP(H196,'GDP-PI'!$8:$9,2,FALSE)</f>
        <v>105.736</v>
      </c>
      <c r="DI196" s="69">
        <f t="shared" si="382"/>
        <v>1.0429090367205095E-2</v>
      </c>
      <c r="EB196"/>
    </row>
    <row r="197" spans="1:132" s="160" customFormat="1" ht="21">
      <c r="A197" s="160" t="s">
        <v>170</v>
      </c>
      <c r="B197" s="161" t="s">
        <v>170</v>
      </c>
      <c r="C197" s="161">
        <v>4018679</v>
      </c>
      <c r="D197" s="161" t="s">
        <v>171</v>
      </c>
      <c r="E197" s="161" t="s">
        <v>3</v>
      </c>
      <c r="F197" s="161"/>
      <c r="G197" s="161" t="s">
        <v>135</v>
      </c>
      <c r="H197" s="162">
        <v>2017</v>
      </c>
      <c r="I197" s="163"/>
      <c r="J197" s="159">
        <f>IFERROR(INDEX('Labor Expenditures'!$F$7:$X$91,MATCH($C197,'Labor Expenditures'!$D$7:$D$91,0),MATCH($G197,'Labor Expenditures'!$F$5:$X$5,0)),"NA")</f>
        <v>192392.50797218413</v>
      </c>
      <c r="K197" s="159">
        <f t="shared" si="383"/>
        <v>1369.8291774452414</v>
      </c>
      <c r="L197" s="165">
        <f t="shared" si="389"/>
        <v>0.21228855093032675</v>
      </c>
      <c r="M197" s="76">
        <f t="shared" si="393"/>
        <v>1.220314416865298E-2</v>
      </c>
      <c r="N197" s="62">
        <f t="shared" si="399"/>
        <v>168.81675651302351</v>
      </c>
      <c r="O197" s="96">
        <f t="shared" si="394"/>
        <v>-0.56962214162145774</v>
      </c>
      <c r="P197" s="96"/>
      <c r="Q197" s="159">
        <f>IFERROR(INDEX('Non-Labor Expenditures'!$F$7:$AB$91,MATCH($C197,'Non-Labor Expenditures'!$D$7:$D$91,0),MATCH($G197,'Non-Labor Expenditures'!$F$5:$AB$5,0)),"NA")</f>
        <v>278620.28550749901</v>
      </c>
      <c r="R197" s="159">
        <f t="shared" si="384"/>
        <v>2585.7791158086607</v>
      </c>
      <c r="S197" s="165">
        <f t="shared" si="395"/>
        <v>0.21864662054374717</v>
      </c>
      <c r="T197" s="165">
        <f t="shared" si="396"/>
        <v>1.2568629918058117E-2</v>
      </c>
      <c r="U197" s="165"/>
      <c r="V197" s="165"/>
      <c r="W197" s="159">
        <f t="shared" si="364"/>
        <v>209639.13941894274</v>
      </c>
      <c r="X197" s="163"/>
      <c r="Y197" s="167">
        <v>11366.18784045589</v>
      </c>
      <c r="Z197" s="168">
        <v>4.8102541901489215E-2</v>
      </c>
      <c r="AA197" s="76">
        <f t="shared" si="385"/>
        <v>2.7651149867954881E-3</v>
      </c>
      <c r="AB197" s="168"/>
      <c r="AC197" s="168"/>
      <c r="AD197" s="163">
        <f t="shared" si="355"/>
        <v>680651.93289862585</v>
      </c>
      <c r="AE197" s="168">
        <f t="shared" si="397"/>
        <v>0.13285233949004138</v>
      </c>
      <c r="AF197" s="163"/>
      <c r="AG197" s="163"/>
      <c r="AH197" s="163"/>
      <c r="AI197" s="163"/>
      <c r="AJ197" s="116">
        <f t="shared" si="398"/>
        <v>543.73204738609604</v>
      </c>
      <c r="AK197" s="114">
        <f>+AV197/$AX$22</f>
        <v>3.3807648398620188E-2</v>
      </c>
      <c r="AL197" s="115">
        <f t="shared" si="386"/>
        <v>0.28265916641544081</v>
      </c>
      <c r="AM197" s="115">
        <f t="shared" si="387"/>
        <v>0.40934326641954288</v>
      </c>
      <c r="AN197" s="115">
        <f t="shared" si="388"/>
        <v>0.30799756716501636</v>
      </c>
      <c r="AO197" s="115">
        <f t="shared" si="390"/>
        <v>0.1585473328805074</v>
      </c>
      <c r="AP197" s="166">
        <f t="shared" si="401"/>
        <v>137.43413001297995</v>
      </c>
      <c r="AQ197" s="168">
        <f t="shared" si="402"/>
        <v>0.15854733288050737</v>
      </c>
      <c r="AR197" s="69">
        <f>+AD197/$AF$22</f>
        <v>5.7483760264857901E-2</v>
      </c>
      <c r="AS197" s="169">
        <f t="shared" si="400"/>
        <v>9.1138968739357083E-3</v>
      </c>
      <c r="AT197" s="115"/>
      <c r="AU197" s="115"/>
      <c r="AV197" s="113">
        <f>IFERROR(INDEX('Total Customers'!$F$7:$AB$91,MATCH($C197,'Total Customers'!$D$7:$D$91,0),MATCH($G197,'Total Customers'!$F$5:$AB$5,0)),"NA")</f>
        <v>1251815</v>
      </c>
      <c r="AW197" s="68">
        <f t="shared" si="403"/>
        <v>3.5868262345381758E-3</v>
      </c>
      <c r="AX197" s="114"/>
      <c r="AY197" s="114"/>
      <c r="AZ197" s="116">
        <v>8824403</v>
      </c>
      <c r="BA197" s="116"/>
      <c r="BB197" s="166"/>
      <c r="BC197" s="166"/>
      <c r="BD197" s="166"/>
      <c r="BE197" s="166"/>
      <c r="BF197" s="166"/>
      <c r="BG197" s="166"/>
      <c r="BH197" s="166"/>
      <c r="BI197" s="113"/>
      <c r="BJ197" s="113"/>
      <c r="BK197" s="113">
        <f>INDEX('Dist. Plant Gas Additions'!$F$7:$AE$91,MATCH($C197,'Dist. Plant Gas Additions'!$D$7:$D$91,0),MATCH(Calculation!$G197,'Dist. Plant Gas Additions'!$F$5:$AE$5,0))</f>
        <v>443763</v>
      </c>
      <c r="BL197" s="113">
        <f>INDEX('Gen. Plant Additions'!$F$7:$AE$91,MATCH($C197,'Gen. Plant Additions'!$D$7:$D$91,0),MATCH(Calculation!$G197,'Gen. Plant Additions'!$F$5:$AE$5,0))</f>
        <v>4539</v>
      </c>
      <c r="BM197" s="231">
        <f t="shared" si="365"/>
        <v>0.96247143216313735</v>
      </c>
      <c r="BN197" s="61">
        <f t="shared" si="380"/>
        <v>4368.6578305884805</v>
      </c>
      <c r="BO197" s="113">
        <f>INDEX('Dist Plant Depreciation'!$E$7:$AD$94,MATCH($C197,'Dist Plant Depreciation'!$D$7:$D$94,0),MATCH(Calculation!$G197,'Dist Plant Depreciation'!$E$5:$AD$5,0))</f>
        <v>920347</v>
      </c>
      <c r="BP197" s="113">
        <f>INDEX('Gen. Plant Depreciation'!$E$7:$AD$94,MATCH($C197,'Gen. Plant Depreciation'!$D$7:$D$94,0),MATCH(Calculation!$G197,'Gen. Plant Depreciation'!$E$5:$AD$5,0))</f>
        <v>44475</v>
      </c>
      <c r="BQ197" s="113"/>
      <c r="BR197" s="113"/>
      <c r="BS197" s="113"/>
      <c r="BT197" s="113"/>
      <c r="BU197" s="113"/>
      <c r="BV197" s="113"/>
      <c r="BW197" s="113">
        <f>INDEX('Gross Dx Plant'!$E$7:$AD$91,MATCH($C197,'Gross Dx Plant'!$D$7:$D$91,0),MATCH(Calculation!$G197,'Gross Dx Plant'!$E$5:$AD$5,0))</f>
        <v>4249244</v>
      </c>
      <c r="BX197" s="113">
        <f>INDEX('Gross Gen Plant'!$E$7:$AD$91,MATCH($C197,'Gross Gen Plant'!$D$7:$D$91,0),MATCH(Calculation!$G197,'Gross Gen Plant'!$E$5:$AD$5,0))</f>
        <v>165686</v>
      </c>
      <c r="BY197" s="113">
        <f t="shared" si="313"/>
        <v>3450108</v>
      </c>
      <c r="BZ197" s="113"/>
      <c r="CA197" s="116">
        <v>2017</v>
      </c>
      <c r="CB197" s="113"/>
      <c r="CC197" s="113"/>
      <c r="CD197" s="113"/>
      <c r="CE197" s="175"/>
      <c r="CF197" s="113">
        <f t="shared" si="366"/>
        <v>448302</v>
      </c>
      <c r="CG197" s="113">
        <f t="shared" si="367"/>
        <v>629.25886222910458</v>
      </c>
      <c r="CH197" s="178">
        <v>0.87074829931972786</v>
      </c>
      <c r="CI197" s="61">
        <f>+CI178*CH197+CG179*CH196+CG180*CH195+CG181*CH194+CG182*CH193+CG183*CH192+CG184*CH191+CG185*CH190+CG186*CH189+CG187*CH188+CG188*CH187+CG189*CH186+CG190*CH185+CG191*CH184+CG192*CH183+CG193*CH182+CG194*CH181+CG195*CH180+CG196*CH179+CG197</f>
        <v>11366.18784045589</v>
      </c>
      <c r="CJ197" s="114">
        <f t="shared" si="368"/>
        <v>4.8102541901489215E-2</v>
      </c>
      <c r="CK197" s="114"/>
      <c r="CL197" s="169">
        <f t="shared" si="369"/>
        <v>8.8122639801515509E-3</v>
      </c>
      <c r="CM197" s="169">
        <f t="shared" si="377"/>
        <v>8.5674192956924581E-3</v>
      </c>
      <c r="CN197" s="114">
        <f>VLOOKUP($H197,RoR!$E:$F,2,FALSE)</f>
        <v>3.7433333333333339E-2</v>
      </c>
      <c r="CO197" s="169">
        <v>1.9056896421275615E-2</v>
      </c>
      <c r="CP197" s="169">
        <f t="shared" si="375"/>
        <v>1.8376436912057724E-2</v>
      </c>
      <c r="CQ197" s="169">
        <f t="shared" si="378"/>
        <v>2.2334522312841165E-2</v>
      </c>
      <c r="CR197" s="169">
        <f t="shared" si="379"/>
        <v>1.3976271617800498E-2</v>
      </c>
      <c r="CS197" s="179">
        <f t="shared" si="370"/>
        <v>0.90509623210000001</v>
      </c>
      <c r="CT197" s="180">
        <f t="shared" si="371"/>
        <v>1.3699568463593395</v>
      </c>
      <c r="CU197" s="180">
        <f t="shared" si="372"/>
        <v>0.30714603739982199</v>
      </c>
      <c r="CV197" s="180">
        <f t="shared" si="373"/>
        <v>0.77007188472689425</v>
      </c>
      <c r="CW197" s="180">
        <f t="shared" si="374"/>
        <v>0.32402839633793828</v>
      </c>
      <c r="CX197" s="181">
        <f>INDEX('State Tax Lookup'!$D$7:$Z$91,MATCH(Calculation!$C197,'State Tax Lookup'!$B$7:$B$91,0),MATCH($H197,'State Tax Lookup'!$D$6:$Z$6,0))</f>
        <v>0.25649666999999998</v>
      </c>
      <c r="CY197" s="72">
        <v>0.37</v>
      </c>
      <c r="CZ197" s="70">
        <f t="shared" si="376"/>
        <v>19.352996038549584</v>
      </c>
      <c r="DA197" s="70">
        <v>18.231812616449311</v>
      </c>
      <c r="DB197" s="69">
        <f t="shared" si="381"/>
        <v>-0.10146188010769944</v>
      </c>
      <c r="DC197" s="111">
        <f>VLOOKUP($H197,RoR!$E:$F,2,FALSE)</f>
        <v>3.7433333333333339E-2</v>
      </c>
      <c r="DD197" s="216">
        <f>HLOOKUP($H197,'GDP-PI'!$D$8:$CQ$11,3,FALSE)</f>
        <v>1.9056896421275615E-2</v>
      </c>
      <c r="DE197" s="111">
        <f>VLOOKUP(H197,'HW Dx Data'!$E:$F,2,FALSE)</f>
        <v>712.42858370229726</v>
      </c>
      <c r="DF197" s="72">
        <f t="shared" si="391"/>
        <v>140.44999999999999</v>
      </c>
      <c r="DG197" s="69">
        <f t="shared" si="392"/>
        <v>2.5235657841165486E-2</v>
      </c>
      <c r="DH197" s="66">
        <f>HLOOKUP(H197,'GDP-PI'!$8:$9,2,FALSE)</f>
        <v>107.751</v>
      </c>
      <c r="DI197" s="69">
        <f t="shared" si="382"/>
        <v>1.8877588227745139E-2</v>
      </c>
      <c r="EB197"/>
    </row>
    <row r="198" spans="1:132" s="160" customFormat="1" ht="21">
      <c r="A198" s="160" t="s">
        <v>170</v>
      </c>
      <c r="B198" s="161" t="s">
        <v>170</v>
      </c>
      <c r="C198" s="161">
        <v>4018679</v>
      </c>
      <c r="D198" s="161" t="s">
        <v>171</v>
      </c>
      <c r="E198" s="161" t="s">
        <v>3</v>
      </c>
      <c r="F198" s="161"/>
      <c r="G198" s="161" t="s">
        <v>136</v>
      </c>
      <c r="H198" s="162">
        <v>2018</v>
      </c>
      <c r="I198" s="163"/>
      <c r="J198" s="159">
        <f>IFERROR(INDEX('Labor Expenditures'!$F$7:$X$91,MATCH($C198,'Labor Expenditures'!$D$7:$D$91,0),MATCH($G198,'Labor Expenditures'!$F$5:$X$5,0)),"NA")</f>
        <v>214774.65654699094</v>
      </c>
      <c r="K198" s="159">
        <f t="shared" si="383"/>
        <v>1486.8442820837033</v>
      </c>
      <c r="L198" s="165">
        <f t="shared" si="389"/>
        <v>8.1969898411568889E-2</v>
      </c>
      <c r="M198" s="76">
        <f t="shared" si="393"/>
        <v>4.8165428510015158E-3</v>
      </c>
      <c r="N198" s="62">
        <f t="shared" si="399"/>
        <v>118.18938203085399</v>
      </c>
      <c r="O198" s="96">
        <f t="shared" si="394"/>
        <v>-0.35652557527438988</v>
      </c>
      <c r="P198" s="96"/>
      <c r="Q198" s="159">
        <f>IFERROR(INDEX('Non-Labor Expenditures'!$F$7:$AB$91,MATCH($C198,'Non-Labor Expenditures'!$D$7:$D$91,0),MATCH($G198,'Non-Labor Expenditures'!$F$5:$AB$5,0)),"NA")</f>
        <v>311033.81705252954</v>
      </c>
      <c r="R198" s="159">
        <f t="shared" si="384"/>
        <v>2819.3272153562257</v>
      </c>
      <c r="S198" s="165">
        <f t="shared" si="395"/>
        <v>8.6471419057051677E-2</v>
      </c>
      <c r="T198" s="165">
        <f t="shared" si="396"/>
        <v>5.0810517439462428E-3</v>
      </c>
      <c r="U198" s="165"/>
      <c r="V198" s="165"/>
      <c r="W198" s="159">
        <f t="shared" si="364"/>
        <v>230464.67057101356</v>
      </c>
      <c r="X198" s="163"/>
      <c r="Y198" s="167">
        <v>12115.119387110837</v>
      </c>
      <c r="Z198" s="168">
        <v>6.381123944603273E-2</v>
      </c>
      <c r="AA198" s="76">
        <f t="shared" si="385"/>
        <v>3.7495419065196353E-3</v>
      </c>
      <c r="AB198" s="168"/>
      <c r="AC198" s="168"/>
      <c r="AD198" s="163">
        <f t="shared" si="355"/>
        <v>756273.1441705341</v>
      </c>
      <c r="AE198" s="168">
        <f t="shared" si="397"/>
        <v>0.10535154900069564</v>
      </c>
      <c r="AF198" s="163"/>
      <c r="AG198" s="163"/>
      <c r="AH198" s="163"/>
      <c r="AI198" s="163"/>
      <c r="AJ198" s="116">
        <f t="shared" si="398"/>
        <v>601.40001174575548</v>
      </c>
      <c r="AK198" s="114">
        <f>+AV198/$AX$23</f>
        <v>3.3664316976737288E-2</v>
      </c>
      <c r="AL198" s="115">
        <f t="shared" si="386"/>
        <v>0.28399085463037521</v>
      </c>
      <c r="AM198" s="115">
        <f t="shared" si="387"/>
        <v>0.41127179967981736</v>
      </c>
      <c r="AN198" s="115">
        <f t="shared" si="388"/>
        <v>0.30473734568980737</v>
      </c>
      <c r="AO198" s="115">
        <f t="shared" si="390"/>
        <v>7.8253684083185004E-2</v>
      </c>
      <c r="AP198" s="166">
        <f t="shared" si="401"/>
        <v>148.62084999382697</v>
      </c>
      <c r="AQ198" s="168">
        <f t="shared" si="402"/>
        <v>7.8253684083185018E-2</v>
      </c>
      <c r="AR198" s="69">
        <f>+AD198/$AF$23</f>
        <v>5.8759897771469345E-2</v>
      </c>
      <c r="AS198" s="169">
        <f t="shared" si="400"/>
        <v>4.5981784769688096E-3</v>
      </c>
      <c r="AT198" s="115"/>
      <c r="AU198" s="115"/>
      <c r="AV198" s="113">
        <f>IFERROR(INDEX('Total Customers'!$F$7:$AB$91,MATCH($C198,'Total Customers'!$D$7:$D$91,0),MATCH($G198,'Total Customers'!$F$5:$AB$5,0)),"NA")</f>
        <v>1257521</v>
      </c>
      <c r="AW198" s="68">
        <f t="shared" si="403"/>
        <v>4.5478244719909609E-3</v>
      </c>
      <c r="AX198" s="114"/>
      <c r="AY198" s="114"/>
      <c r="AZ198" s="116">
        <v>8911356</v>
      </c>
      <c r="BA198" s="116"/>
      <c r="BB198" s="166"/>
      <c r="BC198" s="166"/>
      <c r="BD198" s="166"/>
      <c r="BE198" s="166"/>
      <c r="BF198" s="166"/>
      <c r="BG198" s="166"/>
      <c r="BH198" s="166"/>
      <c r="BI198" s="113"/>
      <c r="BJ198" s="113"/>
      <c r="BK198" s="113">
        <f>INDEX('Dist. Plant Gas Additions'!$F$7:$AE$91,MATCH($C198,'Dist. Plant Gas Additions'!$D$7:$D$91,0),MATCH(Calculation!$G198,'Dist. Plant Gas Additions'!$F$5:$AE$5,0))</f>
        <v>627568</v>
      </c>
      <c r="BL198" s="113">
        <f>INDEX('Gen. Plant Additions'!$F$7:$AE$91,MATCH($C198,'Gen. Plant Additions'!$D$7:$D$91,0),MATCH(Calculation!$G198,'Gen. Plant Additions'!$F$5:$AE$5,0))</f>
        <v>15262</v>
      </c>
      <c r="BM198" s="231">
        <f t="shared" si="365"/>
        <v>0.96428056526042261</v>
      </c>
      <c r="BN198" s="61">
        <f t="shared" si="380"/>
        <v>14716.849987004571</v>
      </c>
      <c r="BO198" s="113">
        <f>INDEX('Dist Plant Depreciation'!$E$7:$AD$94,MATCH($C198,'Dist Plant Depreciation'!$D$7:$D$94,0),MATCH(Calculation!$G198,'Dist Plant Depreciation'!$E$5:$AD$5,0))</f>
        <v>908136</v>
      </c>
      <c r="BP198" s="113">
        <f>INDEX('Gen. Plant Depreciation'!$E$7:$AD$94,MATCH($C198,'Gen. Plant Depreciation'!$D$7:$D$94,0),MATCH(Calculation!$G198,'Gen. Plant Depreciation'!$E$5:$AD$5,0))</f>
        <v>42173</v>
      </c>
      <c r="BQ198" s="113"/>
      <c r="BR198" s="113"/>
      <c r="BS198" s="113"/>
      <c r="BT198" s="113"/>
      <c r="BU198" s="113"/>
      <c r="BV198" s="113"/>
      <c r="BW198" s="113">
        <f>INDEX('Gross Dx Plant'!$E$7:$AD$91,MATCH($C198,'Gross Dx Plant'!$D$7:$D$91,0),MATCH(Calculation!$G198,'Gross Dx Plant'!$E$5:$AD$5,0))</f>
        <v>4849069</v>
      </c>
      <c r="BX198" s="113">
        <f>INDEX('Gross Gen Plant'!$E$7:$AD$91,MATCH($C198,'Gross Gen Plant'!$D$7:$D$91,0),MATCH(Calculation!$G198,'Gross Gen Plant'!$E$5:$AD$5,0))</f>
        <v>179622</v>
      </c>
      <c r="BY198" s="113">
        <f t="shared" si="313"/>
        <v>4078382</v>
      </c>
      <c r="BZ198" s="113"/>
      <c r="CA198" s="116">
        <v>2018</v>
      </c>
      <c r="CB198" s="113"/>
      <c r="CC198" s="113"/>
      <c r="CD198" s="113"/>
      <c r="CE198" s="175"/>
      <c r="CF198" s="113">
        <f t="shared" si="366"/>
        <v>642830</v>
      </c>
      <c r="CG198" s="113">
        <f t="shared" si="367"/>
        <v>851.27631565411832</v>
      </c>
      <c r="CH198" s="178">
        <v>0.86111111111111116</v>
      </c>
      <c r="CI198" s="61">
        <f>+CI178*CH198++CG179*CH197+CG180*CH196+CG181*CH195+CG182*CH194+CG183*CH193+CG184*CH192+CG185*CH191+CG186*CH190+CG187*CH189+CG188*CH188+CG189*CH187+CG190*CH186+CG191*CH185+CG192*CH184+CG193*CH183+CG194*CH182+CG195*CH181+CG196*CH180+CG197*CH179+CG198</f>
        <v>12115.119387110837</v>
      </c>
      <c r="CJ198" s="114">
        <f t="shared" si="368"/>
        <v>6.381123944603273E-2</v>
      </c>
      <c r="CK198" s="114"/>
      <c r="CL198" s="169">
        <f t="shared" si="369"/>
        <v>9.0043179327807411E-3</v>
      </c>
      <c r="CM198" s="169">
        <f t="shared" si="377"/>
        <v>8.79397343661718E-3</v>
      </c>
      <c r="CN198" s="114">
        <f>VLOOKUP($H198,RoR!$E:$F,2,FALSE)</f>
        <v>3.9299999999999995E-2</v>
      </c>
      <c r="CO198" s="169">
        <v>2.386056741932796E-2</v>
      </c>
      <c r="CP198" s="169">
        <f t="shared" si="375"/>
        <v>1.5439432580672034E-2</v>
      </c>
      <c r="CQ198" s="169">
        <f t="shared" si="378"/>
        <v>2.2107968171916445E-2</v>
      </c>
      <c r="CR198" s="169">
        <f t="shared" si="379"/>
        <v>3.8270792163076606E-2</v>
      </c>
      <c r="CS198" s="179">
        <f t="shared" si="370"/>
        <v>0.90509623210000001</v>
      </c>
      <c r="CT198" s="180">
        <f t="shared" si="371"/>
        <v>1.3048868010700074</v>
      </c>
      <c r="CU198" s="180">
        <f t="shared" si="372"/>
        <v>0.33886768447837151</v>
      </c>
      <c r="CV198" s="180">
        <f t="shared" si="373"/>
        <v>0.78602506232557801</v>
      </c>
      <c r="CW198" s="180">
        <f t="shared" si="374"/>
        <v>0.34756768162358759</v>
      </c>
      <c r="CX198" s="181">
        <f>INDEX('State Tax Lookup'!$D$7:$Z$91,MATCH(Calculation!$C198,'State Tax Lookup'!$B$7:$B$91,0),MATCH($H198,'State Tax Lookup'!$D$6:$Z$6,0))</f>
        <v>0.25649666999999998</v>
      </c>
      <c r="CY198" s="72">
        <v>0.37</v>
      </c>
      <c r="CZ198" s="70">
        <f t="shared" si="376"/>
        <v>20.276338364804797</v>
      </c>
      <c r="DA198" s="70">
        <v>19.050901628905343</v>
      </c>
      <c r="DB198" s="69">
        <f t="shared" si="381"/>
        <v>4.660736689362853E-2</v>
      </c>
      <c r="DC198" s="111">
        <f>VLOOKUP($H198,RoR!$E:$F,2,FALSE)</f>
        <v>3.9299999999999995E-2</v>
      </c>
      <c r="DD198" s="216">
        <f>HLOOKUP($H198,'GDP-PI'!$D$8:$CQ$11,3,FALSE)</f>
        <v>2.386056741932796E-2</v>
      </c>
      <c r="DE198" s="111">
        <f>VLOOKUP(H198,'HW Dx Data'!$E:$F,2,FALSE)</f>
        <v>755.13671434174842</v>
      </c>
      <c r="DF198" s="72">
        <f t="shared" si="391"/>
        <v>144.44999999999999</v>
      </c>
      <c r="DG198" s="69">
        <f t="shared" si="392"/>
        <v>2.80818733619915E-2</v>
      </c>
      <c r="DH198" s="66">
        <f>HLOOKUP(H198,'GDP-PI'!$8:$9,2,FALSE)</f>
        <v>110.322</v>
      </c>
      <c r="DI198" s="69">
        <f t="shared" si="382"/>
        <v>2.3580352716508712E-2</v>
      </c>
      <c r="EB198"/>
    </row>
    <row r="199" spans="1:132" s="160" customFormat="1" ht="21">
      <c r="A199" s="160" t="s">
        <v>170</v>
      </c>
      <c r="B199" s="161" t="s">
        <v>170</v>
      </c>
      <c r="C199" s="161">
        <v>4018679</v>
      </c>
      <c r="D199" s="161" t="s">
        <v>171</v>
      </c>
      <c r="E199" s="161" t="s">
        <v>3</v>
      </c>
      <c r="F199" s="161"/>
      <c r="G199" s="161" t="s">
        <v>140</v>
      </c>
      <c r="H199" s="162">
        <v>2019</v>
      </c>
      <c r="I199" s="163"/>
      <c r="J199" s="159">
        <f>IFERROR(INDEX('Labor Expenditures'!$F$7:$X$91,MATCH($C199,'Labor Expenditures'!$D$7:$D$91,0),MATCH($G199,'Labor Expenditures'!$F$5:$X$5,0)),"NA")</f>
        <v>213371.62226758851</v>
      </c>
      <c r="K199" s="159">
        <f t="shared" si="383"/>
        <v>1425.5662085691565</v>
      </c>
      <c r="L199" s="165">
        <f t="shared" si="389"/>
        <v>-4.2086868332217468E-2</v>
      </c>
      <c r="M199" s="76">
        <f t="shared" si="393"/>
        <v>-2.4476662787333544E-3</v>
      </c>
      <c r="N199" s="62">
        <f t="shared" si="399"/>
        <v>117.79003597068804</v>
      </c>
      <c r="O199" s="96">
        <f t="shared" si="394"/>
        <v>-3.3845870523051876E-3</v>
      </c>
      <c r="P199" s="96"/>
      <c r="Q199" s="159">
        <f>IFERROR(INDEX('Non-Labor Expenditures'!$F$7:$AB$91,MATCH($C199,'Non-Labor Expenditures'!$D$7:$D$91,0),MATCH($G199,'Non-Labor Expenditures'!$F$5:$AB$5,0)),"NA")</f>
        <v>309001.9613652986</v>
      </c>
      <c r="R199" s="159">
        <f t="shared" si="384"/>
        <v>2751.1348258097419</v>
      </c>
      <c r="S199" s="165">
        <f t="shared" si="395"/>
        <v>-2.4484789884447702E-2</v>
      </c>
      <c r="T199" s="165">
        <f t="shared" si="396"/>
        <v>-1.4239737218974156E-3</v>
      </c>
      <c r="U199" s="165"/>
      <c r="V199" s="165"/>
      <c r="W199" s="159">
        <f t="shared" si="364"/>
        <v>249338.0043405421</v>
      </c>
      <c r="X199" s="163"/>
      <c r="Y199" s="167">
        <v>13191.284130169517</v>
      </c>
      <c r="Z199" s="168">
        <v>8.5102109626804714E-2</v>
      </c>
      <c r="AA199" s="76">
        <f t="shared" si="385"/>
        <v>4.9493243911223582E-3</v>
      </c>
      <c r="AB199" s="168"/>
      <c r="AC199" s="168"/>
      <c r="AD199" s="163">
        <f t="shared" si="355"/>
        <v>771711.58797342924</v>
      </c>
      <c r="AE199" s="168">
        <f t="shared" si="397"/>
        <v>2.0208276775762885E-2</v>
      </c>
      <c r="AF199" s="163"/>
      <c r="AG199" s="163"/>
      <c r="AH199" s="163"/>
      <c r="AI199" s="163"/>
      <c r="AJ199" s="116">
        <f t="shared" si="398"/>
        <v>609.06695687617287</v>
      </c>
      <c r="AK199" s="114">
        <f>+AV199/$AX$24</f>
        <v>3.3639380322747041E-2</v>
      </c>
      <c r="AL199" s="115">
        <f t="shared" si="386"/>
        <v>0.27649140636583924</v>
      </c>
      <c r="AM199" s="115">
        <f t="shared" si="387"/>
        <v>0.40041119788904589</v>
      </c>
      <c r="AN199" s="115">
        <f t="shared" si="388"/>
        <v>0.32309739574511487</v>
      </c>
      <c r="AO199" s="115">
        <f t="shared" si="390"/>
        <v>4.9836151118839156E-3</v>
      </c>
      <c r="AP199" s="166">
        <f t="shared" si="401"/>
        <v>149.36336778244367</v>
      </c>
      <c r="AQ199" s="168">
        <f t="shared" si="402"/>
        <v>4.9836151118838731E-3</v>
      </c>
      <c r="AR199" s="69">
        <f>+AD199/$AF$24</f>
        <v>5.8157481792477955E-2</v>
      </c>
      <c r="AS199" s="169">
        <f t="shared" si="400"/>
        <v>2.8983450513010435E-4</v>
      </c>
      <c r="AT199" s="115"/>
      <c r="AU199" s="115"/>
      <c r="AV199" s="113">
        <f>IFERROR(INDEX('Total Customers'!$F$7:$AB$91,MATCH($C199,'Total Customers'!$D$7:$D$91,0),MATCH($G199,'Total Customers'!$F$5:$AB$5,0)),"NA")</f>
        <v>1267039</v>
      </c>
      <c r="AW199" s="68">
        <f t="shared" si="403"/>
        <v>7.5403595850780623E-3</v>
      </c>
      <c r="AX199" s="114"/>
      <c r="AY199" s="114"/>
      <c r="AZ199" s="116">
        <v>8963640</v>
      </c>
      <c r="BA199" s="116"/>
      <c r="BB199" s="166"/>
      <c r="BC199" s="166"/>
      <c r="BD199" s="166"/>
      <c r="BE199" s="166"/>
      <c r="BF199" s="166"/>
      <c r="BG199" s="166"/>
      <c r="BH199" s="166"/>
      <c r="BI199" s="113"/>
      <c r="BJ199" s="113"/>
      <c r="BK199" s="113">
        <f>INDEX('Dist. Plant Gas Additions'!$F$7:$AE$91,MATCH($C199,'Dist. Plant Gas Additions'!$D$7:$D$91,0),MATCH(Calculation!$G199,'Dist. Plant Gas Additions'!$F$5:$AE$5,0))</f>
        <v>899746</v>
      </c>
      <c r="BL199" s="113">
        <f>INDEX('Gen. Plant Additions'!$F$7:$AE$91,MATCH($C199,'Gen. Plant Additions'!$D$7:$D$91,0),MATCH(Calculation!$G199,'Gen. Plant Additions'!$F$5:$AE$5,0))</f>
        <v>18309</v>
      </c>
      <c r="BM199" s="231">
        <f t="shared" si="365"/>
        <v>0.96677705605542941</v>
      </c>
      <c r="BN199" s="61">
        <f t="shared" si="380"/>
        <v>17700.721119318856</v>
      </c>
      <c r="BO199" s="113">
        <f>INDEX('Dist Plant Depreciation'!$E$7:$AD$94,MATCH($C199,'Dist Plant Depreciation'!$D$7:$D$94,0),MATCH(Calculation!$G199,'Dist Plant Depreciation'!$E$5:$AD$5,0))</f>
        <v>830889</v>
      </c>
      <c r="BP199" s="113">
        <f>INDEX('Gen. Plant Depreciation'!$E$7:$AD$94,MATCH($C199,'Gen. Plant Depreciation'!$D$7:$D$94,0),MATCH(Calculation!$G199,'Gen. Plant Depreciation'!$E$5:$AD$5,0))</f>
        <v>76076</v>
      </c>
      <c r="BQ199" s="113"/>
      <c r="BR199" s="113"/>
      <c r="BS199" s="113"/>
      <c r="BT199" s="113"/>
      <c r="BU199" s="113"/>
      <c r="BV199" s="113"/>
      <c r="BW199" s="113">
        <f>INDEX('Gross Dx Plant'!$E$7:$AD$91,MATCH($C199,'Gross Dx Plant'!$D$7:$D$91,0),MATCH(Calculation!$G199,'Gross Dx Plant'!$E$5:$AD$5,0))</f>
        <v>5693498</v>
      </c>
      <c r="BX199" s="113">
        <f>INDEX('Gross Gen Plant'!$E$7:$AD$91,MATCH($C199,'Gross Gen Plant'!$D$7:$D$91,0),MATCH(Calculation!$G199,'Gross Gen Plant'!$E$5:$AD$5,0))</f>
        <v>195655</v>
      </c>
      <c r="BY199" s="113">
        <f t="shared" si="313"/>
        <v>4982188</v>
      </c>
      <c r="BZ199" s="113"/>
      <c r="CA199" s="116">
        <v>2019</v>
      </c>
      <c r="CB199" s="113"/>
      <c r="CC199" s="113"/>
      <c r="CD199" s="113"/>
      <c r="CE199" s="175"/>
      <c r="CF199" s="113">
        <f t="shared" si="366"/>
        <v>918055</v>
      </c>
      <c r="CG199" s="113">
        <f t="shared" si="367"/>
        <v>1186.8239951681637</v>
      </c>
      <c r="CH199" s="178">
        <v>0.85106382978723405</v>
      </c>
      <c r="CI199" s="61">
        <f>CI178*CH199+CG179*CH198+CG180*CH197+CG181*CH196+CG182*CH195+CG183*CH194+CG184*CH193+CG185*CH192+CG186*CH191+CG187*CH190+CG188*CH189+CG189*CH188+CG190*CH187+CG191*CH186+CG192*CH185+CG193*CH184+CG194*CH183+CG195*CH182+CG196*CH181+CG197*CH180+CG198*CH179+CG199</f>
        <v>13191.284130169517</v>
      </c>
      <c r="CJ199" s="114">
        <f t="shared" si="368"/>
        <v>8.5102109626804714E-2</v>
      </c>
      <c r="CK199" s="114"/>
      <c r="CL199" s="169">
        <f t="shared" si="369"/>
        <v>9.1339794989732503E-3</v>
      </c>
      <c r="CM199" s="169">
        <f t="shared" si="377"/>
        <v>8.9835204706351802E-3</v>
      </c>
      <c r="CN199" s="114">
        <f>VLOOKUP($H199,RoR!$E:$F,2,FALSE)</f>
        <v>3.3875000000000009E-2</v>
      </c>
      <c r="CO199" s="169">
        <v>1.8092492884465461E-2</v>
      </c>
      <c r="CP199" s="169">
        <f t="shared" si="375"/>
        <v>1.5782507115534548E-2</v>
      </c>
      <c r="CQ199" s="169">
        <f t="shared" si="378"/>
        <v>2.1918421137898443E-2</v>
      </c>
      <c r="CR199" s="169">
        <f t="shared" si="379"/>
        <v>4.8445665544254078E-2</v>
      </c>
      <c r="CS199" s="179">
        <f t="shared" si="370"/>
        <v>0.90509623210000001</v>
      </c>
      <c r="CT199" s="180">
        <f t="shared" si="371"/>
        <v>1.513861292459078</v>
      </c>
      <c r="CU199" s="180">
        <f t="shared" si="372"/>
        <v>0.23699261992619944</v>
      </c>
      <c r="CV199" s="180">
        <f t="shared" si="373"/>
        <v>0.73619765810468829</v>
      </c>
      <c r="CW199" s="180">
        <f t="shared" si="374"/>
        <v>0.26412854465362851</v>
      </c>
      <c r="CX199" s="181">
        <f>INDEX('State Tax Lookup'!$D$7:$Z$91,MATCH(Calculation!$C199,'State Tax Lookup'!$B$7:$B$91,0),MATCH($H199,'State Tax Lookup'!$D$6:$Z$6,0))</f>
        <v>0.25649666999999998</v>
      </c>
      <c r="CY199" s="72">
        <v>0.37</v>
      </c>
      <c r="CZ199" s="70">
        <f t="shared" si="376"/>
        <v>20.580730273761105</v>
      </c>
      <c r="DA199" s="70">
        <v>19.236104090735289</v>
      </c>
      <c r="DB199" s="69">
        <f t="shared" si="381"/>
        <v>1.4900605992579587E-2</v>
      </c>
      <c r="DC199" s="111">
        <f>VLOOKUP($H199,RoR!$E:$F,2,FALSE)</f>
        <v>3.3875000000000009E-2</v>
      </c>
      <c r="DD199" s="216">
        <f>HLOOKUP($H199,'GDP-PI'!$D$8:$CQ$11,3,FALSE)</f>
        <v>1.8092492884465461E-2</v>
      </c>
      <c r="DE199" s="111">
        <f>VLOOKUP(H199,'HW Dx Data'!$E:$F,2,FALSE)</f>
        <v>773.53929793938721</v>
      </c>
      <c r="DF199" s="72">
        <f t="shared" si="391"/>
        <v>149.67500000000001</v>
      </c>
      <c r="DG199" s="69">
        <f t="shared" si="392"/>
        <v>3.5532849899171604E-2</v>
      </c>
      <c r="DH199" s="66">
        <f>HLOOKUP(H199,'GDP-PI'!$8:$9,2,FALSE)</f>
        <v>112.318</v>
      </c>
      <c r="DI199" s="69">
        <f t="shared" si="382"/>
        <v>1.7930771451401852E-2</v>
      </c>
      <c r="EB199"/>
    </row>
    <row r="200" spans="1:132" s="160" customFormat="1" ht="21">
      <c r="A200" s="160" t="s">
        <v>170</v>
      </c>
      <c r="B200" s="160" t="s">
        <v>170</v>
      </c>
      <c r="C200" s="160">
        <v>4018679</v>
      </c>
      <c r="D200" s="160" t="s">
        <v>171</v>
      </c>
      <c r="E200" s="160" t="s">
        <v>3</v>
      </c>
      <c r="G200" s="161" t="s">
        <v>141</v>
      </c>
      <c r="H200" s="162">
        <v>2020</v>
      </c>
      <c r="I200" s="163"/>
      <c r="J200" s="159">
        <v>190825.51746889242</v>
      </c>
      <c r="K200" s="159">
        <f t="shared" si="383"/>
        <v>1246.004031791658</v>
      </c>
      <c r="L200" s="165">
        <f t="shared" si="389"/>
        <v>-0.1346274180011425</v>
      </c>
      <c r="M200" s="76">
        <f t="shared" si="393"/>
        <v>-7.3929699354894473E-3</v>
      </c>
      <c r="N200" s="62">
        <f t="shared" si="399"/>
        <v>115.29116045432737</v>
      </c>
      <c r="O200" s="96">
        <f t="shared" si="394"/>
        <v>-2.1442924631685827E-2</v>
      </c>
      <c r="P200" s="96"/>
      <c r="Q200" s="159">
        <f>IFERROR(INDEX('Non-Labor Expenditures'!$F$7:$AB$91,MATCH($C200,'Non-Labor Expenditures'!$D$7:$D$91,0),MATCH($G200,'Non-Labor Expenditures'!$F$5:$AB$5,0)),"NA")</f>
        <v>276350.99058527779</v>
      </c>
      <c r="R200" s="159">
        <f t="shared" si="384"/>
        <v>2432.1747408999745</v>
      </c>
      <c r="S200" s="165">
        <f t="shared" si="395"/>
        <v>-0.12322767826516701</v>
      </c>
      <c r="T200" s="165">
        <f t="shared" si="396"/>
        <v>-6.7669612487614881E-3</v>
      </c>
      <c r="U200" s="165"/>
      <c r="V200" s="165"/>
      <c r="W200" s="159">
        <f t="shared" si="364"/>
        <v>283880.16753717675</v>
      </c>
      <c r="X200" s="163"/>
      <c r="Y200" s="167">
        <v>13540.867884179255</v>
      </c>
      <c r="Z200" s="168">
        <v>2.6156044893727155E-2</v>
      </c>
      <c r="AA200" s="76">
        <f t="shared" si="385"/>
        <v>1.4363408019085393E-3</v>
      </c>
      <c r="AB200" s="168"/>
      <c r="AC200" s="168"/>
      <c r="AD200" s="163">
        <f t="shared" si="355"/>
        <v>751056.67559134692</v>
      </c>
      <c r="AE200" s="168">
        <f t="shared" si="397"/>
        <v>-2.7129773765046595E-2</v>
      </c>
      <c r="AF200" s="163"/>
      <c r="AG200" s="163"/>
      <c r="AH200" s="163"/>
      <c r="AI200" s="163"/>
      <c r="AJ200" s="116">
        <f t="shared" si="398"/>
        <v>594.17583555414933</v>
      </c>
      <c r="AK200" s="114">
        <f>+AV200/$AX$25</f>
        <v>3.3322536287918841E-2</v>
      </c>
      <c r="AL200" s="115">
        <f t="shared" si="386"/>
        <v>0.25407605533716254</v>
      </c>
      <c r="AM200" s="115">
        <f t="shared" si="387"/>
        <v>0.36794958298944874</v>
      </c>
      <c r="AN200" s="115">
        <f t="shared" si="388"/>
        <v>0.37797436167338871</v>
      </c>
      <c r="AO200" s="115">
        <f t="shared" si="390"/>
        <v>-7.3887489090700129E-2</v>
      </c>
      <c r="AP200" s="166">
        <f t="shared" si="401"/>
        <v>138.72513896988201</v>
      </c>
      <c r="AQ200" s="168">
        <f t="shared" si="402"/>
        <v>-7.3887489090700101E-2</v>
      </c>
      <c r="AR200" s="69">
        <f>+AD200/$AF$25</f>
        <v>5.4914296398573932E-2</v>
      </c>
      <c r="AS200" s="169">
        <f t="shared" si="400"/>
        <v>-4.0574794760731029E-3</v>
      </c>
      <c r="AT200" s="115"/>
      <c r="AU200" s="115"/>
      <c r="AV200" s="113">
        <f>IFERROR(INDEX('Total Customers'!$F$7:$AB$91,MATCH($C200,'Total Customers'!$D$7:$D$91,0),MATCH($G200,'Total Customers'!$F$5:$AB$5,0)),"NA")</f>
        <v>1264031</v>
      </c>
      <c r="AW200" s="68">
        <f t="shared" si="403"/>
        <v>-2.3768614982073023E-3</v>
      </c>
      <c r="AX200" s="114"/>
      <c r="AY200" s="114"/>
      <c r="AZ200" s="116">
        <v>9060252</v>
      </c>
      <c r="BA200" s="116"/>
      <c r="BB200" s="166"/>
      <c r="BC200" s="166"/>
      <c r="BD200" s="166"/>
      <c r="BE200" s="166"/>
      <c r="BF200" s="166"/>
      <c r="BG200" s="166"/>
      <c r="BH200" s="166"/>
      <c r="BI200" s="113"/>
      <c r="BJ200" s="113"/>
      <c r="BK200" s="113">
        <f>INDEX('Dist. Plant Gas Additions'!$F$7:$AE$91,MATCH($C200,'Dist. Plant Gas Additions'!$D$7:$D$91,0),MATCH(Calculation!$G200,'Dist. Plant Gas Additions'!$F$5:$AE$5,0))</f>
        <v>370927</v>
      </c>
      <c r="BL200" s="113">
        <f>INDEX('Gen. Plant Additions'!$F$7:$AE$91,MATCH($C200,'Gen. Plant Additions'!$D$7:$D$91,0),MATCH(Calculation!$G200,'Gen. Plant Additions'!$F$5:$AE$5,0))</f>
        <v>11714</v>
      </c>
      <c r="BM200" s="231">
        <f t="shared" si="365"/>
        <v>0.96723745907417158</v>
      </c>
      <c r="BN200" s="61">
        <f t="shared" si="380"/>
        <v>11330.219595594846</v>
      </c>
      <c r="BO200" s="113">
        <f>INDEX('Dist Plant Depreciation'!$E$7:$AD$94,MATCH($C200,'Dist Plant Depreciation'!$D$7:$D$94,0),MATCH(Calculation!$G200,'Dist Plant Depreciation'!$E$5:$AD$5,0))</f>
        <v>884433</v>
      </c>
      <c r="BP200" s="113">
        <f>INDEX('Gen. Plant Depreciation'!$E$7:$AD$94,MATCH($C200,'Gen. Plant Depreciation'!$D$7:$D$94,0),MATCH(Calculation!$G200,'Gen. Plant Depreciation'!$E$5:$AD$5,0))</f>
        <v>82388</v>
      </c>
      <c r="BQ200" s="113"/>
      <c r="BR200" s="113"/>
      <c r="BS200" s="113"/>
      <c r="BT200" s="113"/>
      <c r="BU200" s="113"/>
      <c r="BV200" s="113"/>
      <c r="BW200" s="113">
        <f>INDEX('Gross Dx Plant'!$E$7:$AD$91,MATCH($C200,'Gross Dx Plant'!$D$7:$D$91,0),MATCH(Calculation!$G200,'Gross Dx Plant'!$E$5:$AD$5,0))</f>
        <v>6056781</v>
      </c>
      <c r="BX200" s="113">
        <f>INDEX('Gross Gen Plant'!$E$7:$AD$91,MATCH($C200,'Gross Gen Plant'!$D$7:$D$91,0),MATCH(Calculation!$G200,'Gross Gen Plant'!$E$5:$AD$5,0))</f>
        <v>205157</v>
      </c>
      <c r="BY200" s="113">
        <f t="shared" si="313"/>
        <v>5295117</v>
      </c>
      <c r="BZ200" s="113"/>
      <c r="CA200" s="116">
        <v>2020</v>
      </c>
      <c r="CB200" s="113"/>
      <c r="CC200" s="113"/>
      <c r="CD200" s="113"/>
      <c r="CE200" s="175"/>
      <c r="CF200" s="113">
        <f t="shared" si="366"/>
        <v>382641</v>
      </c>
      <c r="CG200" s="113">
        <f t="shared" si="367"/>
        <v>470.6067343259939</v>
      </c>
      <c r="CH200" s="178">
        <v>0.84057971014492749</v>
      </c>
      <c r="CI200" s="61">
        <f>CI178*CH200+CG179*CH199+CG180*CH198+CG181*CH197+CG182*CH196+CG183*CH195+CG184*CH194+CG185*CH193+CG186*CH192+CG187*CH191+CG188*CH190+CG189*CH189+CG190*CH188+CG191*CH187+CG192*CH186+CG193*CH185+CG194*CH184+CG195*CH183+CG196*CH182+CG197*CH181+CG198*CH180+CG199*CH179+CG200</f>
        <v>13540.867884179255</v>
      </c>
      <c r="CJ200" s="114">
        <f t="shared" si="368"/>
        <v>2.6156044893727155E-2</v>
      </c>
      <c r="CK200" s="114"/>
      <c r="CL200" s="169">
        <f t="shared" si="369"/>
        <v>9.1744654365731176E-3</v>
      </c>
      <c r="CM200" s="169">
        <f t="shared" si="377"/>
        <v>9.1042542894423702E-3</v>
      </c>
      <c r="CN200" s="114">
        <f>VLOOKUP($H200,RoR!$E:$F,2,FALSE)</f>
        <v>2.4766666666666666E-2</v>
      </c>
      <c r="CO200" s="169">
        <v>1.1618796630994188E-2</v>
      </c>
      <c r="CP200" s="169">
        <f t="shared" si="375"/>
        <v>1.3147870035672478E-2</v>
      </c>
      <c r="CQ200" s="169">
        <f t="shared" si="378"/>
        <v>2.1797687319091257E-2</v>
      </c>
      <c r="CR200" s="169">
        <f t="shared" si="379"/>
        <v>4.5144642961987357E-2</v>
      </c>
      <c r="CS200" s="179">
        <f t="shared" si="370"/>
        <v>0.90509623210000001</v>
      </c>
      <c r="CT200" s="180">
        <f t="shared" si="371"/>
        <v>2.0706077233668081</v>
      </c>
      <c r="CU200" s="180">
        <f t="shared" si="372"/>
        <v>-3.4421265141318998E-2</v>
      </c>
      <c r="CV200" s="180">
        <f t="shared" si="373"/>
        <v>0.62416226176410472</v>
      </c>
      <c r="CW200" s="180">
        <f t="shared" si="374"/>
        <v>-4.4485877841158712E-2</v>
      </c>
      <c r="CX200" s="181">
        <f>INDEX('State Tax Lookup'!$D$7:$Z$91,MATCH(Calculation!$C200,'State Tax Lookup'!$B$7:$B$91,0),MATCH($H200,'State Tax Lookup'!$D$6:$Z$6,0))</f>
        <v>0.25649666999999998</v>
      </c>
      <c r="CY200" s="72">
        <v>0.37</v>
      </c>
      <c r="CZ200" s="70">
        <f t="shared" si="376"/>
        <v>21.520282994126418</v>
      </c>
      <c r="DA200" s="70">
        <v>19.952659173050833</v>
      </c>
      <c r="DB200" s="69">
        <f t="shared" si="381"/>
        <v>4.4640671081786834E-2</v>
      </c>
      <c r="DC200" s="111">
        <f>VLOOKUP($H200,RoR!$E:$F,2,FALSE)</f>
        <v>2.4766666666666666E-2</v>
      </c>
      <c r="DD200" s="216">
        <f>HLOOKUP($H200,'GDP-PI'!$D$8:$CQ$11,3,FALSE)</f>
        <v>1.1618796630994188E-2</v>
      </c>
      <c r="DE200" s="111">
        <f>VLOOKUP(H200,'HW Dx Data'!$E:$F,2,FALSE)</f>
        <v>813.080162458833</v>
      </c>
      <c r="DF200" s="72">
        <f t="shared" si="391"/>
        <v>153.15</v>
      </c>
      <c r="DG200" s="69">
        <f t="shared" si="392"/>
        <v>2.2951556467368479E-2</v>
      </c>
      <c r="DH200" s="66">
        <f>HLOOKUP(H200,'GDP-PI'!$8:$9,2,FALSE)</f>
        <v>113.623</v>
      </c>
      <c r="DI200" s="69">
        <f t="shared" si="382"/>
        <v>1.1551816731392881E-2</v>
      </c>
      <c r="EB200"/>
    </row>
    <row r="201" spans="1:132" s="160" customFormat="1" ht="21">
      <c r="A201" s="160" t="s">
        <v>170</v>
      </c>
      <c r="B201" s="160" t="s">
        <v>170</v>
      </c>
      <c r="C201" s="160">
        <v>4018679</v>
      </c>
      <c r="D201" s="160" t="s">
        <v>171</v>
      </c>
      <c r="E201" s="160" t="s">
        <v>3</v>
      </c>
      <c r="G201" s="161" t="s">
        <v>142</v>
      </c>
      <c r="H201" s="162">
        <v>2021</v>
      </c>
      <c r="I201" s="163"/>
      <c r="J201" s="159">
        <v>190336.86535171376</v>
      </c>
      <c r="K201" s="159">
        <f t="shared" si="383"/>
        <v>1210.4093186118521</v>
      </c>
      <c r="L201" s="164">
        <f t="shared" si="389"/>
        <v>-2.8983073898444522E-2</v>
      </c>
      <c r="M201" s="76">
        <f t="shared" si="393"/>
        <v>-1.6432190121807297E-3</v>
      </c>
      <c r="N201" s="166">
        <f>+N200*EXP(O201)</f>
        <v>120.27407572553717</v>
      </c>
      <c r="O201" s="114">
        <f t="shared" si="394"/>
        <v>4.231234416074435E-2</v>
      </c>
      <c r="P201" s="114"/>
      <c r="Q201" s="159">
        <v>268306.18368856038</v>
      </c>
      <c r="R201" s="159">
        <f t="shared" si="384"/>
        <v>2264.3782908984758</v>
      </c>
      <c r="S201" s="165">
        <f t="shared" si="395"/>
        <v>-7.1485576219296493E-2</v>
      </c>
      <c r="T201" s="165">
        <f t="shared" si="396"/>
        <v>-4.0529330447087912E-3</v>
      </c>
      <c r="U201" s="165"/>
      <c r="V201" s="165"/>
      <c r="W201" s="159">
        <f t="shared" si="364"/>
        <v>410070.48497186985</v>
      </c>
      <c r="X201" s="163"/>
      <c r="Y201" s="167">
        <v>14145.4284224371</v>
      </c>
      <c r="Z201" s="168"/>
      <c r="AA201" s="76">
        <f t="shared" si="385"/>
        <v>0</v>
      </c>
      <c r="AB201" s="168"/>
      <c r="AC201" s="168"/>
      <c r="AD201" s="163">
        <f t="shared" si="355"/>
        <v>868713.53401214397</v>
      </c>
      <c r="AE201" s="168">
        <f t="shared" si="397"/>
        <v>0.14553230501085473</v>
      </c>
      <c r="AF201" s="113"/>
      <c r="AG201" s="114"/>
      <c r="AH201" s="114"/>
      <c r="AI201" s="114"/>
      <c r="AJ201" s="116">
        <f t="shared" si="398"/>
        <v>686.31339551335157</v>
      </c>
      <c r="AK201" s="114">
        <f>+AV201/$AX$26</f>
        <v>3.2786586653115422E-2</v>
      </c>
      <c r="AL201" s="115">
        <f t="shared" si="386"/>
        <v>0.21910199150765503</v>
      </c>
      <c r="AM201" s="115">
        <f t="shared" si="387"/>
        <v>0.30885461453488722</v>
      </c>
      <c r="AN201" s="115">
        <f t="shared" si="388"/>
        <v>0.47204339395745776</v>
      </c>
      <c r="AO201" s="115">
        <f t="shared" si="390"/>
        <v>-3.1047946173245355E-2</v>
      </c>
      <c r="AP201" s="166">
        <f t="shared" si="401"/>
        <v>134.48418544624255</v>
      </c>
      <c r="AQ201" s="168">
        <f t="shared" si="402"/>
        <v>-3.1047946173245446E-2</v>
      </c>
      <c r="AR201" s="69">
        <f>+AD201/$AF$26</f>
        <v>5.6695815562507287E-2</v>
      </c>
      <c r="AS201" s="169">
        <f t="shared" si="400"/>
        <v>-1.7602886298329777E-3</v>
      </c>
      <c r="AT201" s="115"/>
      <c r="AU201" s="115"/>
      <c r="AV201" s="113">
        <f>INDEX('Total Customers'!$E$7:$E$91,MATCH(Calculation!$C201,'Total Customers'!$D$7:$D$91,0))</f>
        <v>1265768</v>
      </c>
      <c r="AW201" s="68">
        <f t="shared" si="403"/>
        <v>1.3732318440829493E-3</v>
      </c>
      <c r="AX201" s="113"/>
      <c r="AY201" s="113"/>
      <c r="AZ201" s="116"/>
      <c r="BA201" s="116"/>
      <c r="BB201" s="166"/>
      <c r="BC201" s="166"/>
      <c r="BD201" s="166"/>
      <c r="BE201" s="166"/>
      <c r="BF201" s="166"/>
      <c r="BG201" s="166"/>
      <c r="BH201" s="166"/>
      <c r="BI201" s="113"/>
      <c r="BJ201" s="113"/>
      <c r="BK201" s="113">
        <f>INDEX('Dist. Plant Gas Additions'!$E$7:$AE$91,MATCH($C201,'Dist. Plant Gas Additions'!$D$7:$D$91,0),MATCH(Calculation!$G201,'Dist. Plant Gas Additions'!$E$5:$AE$5,0))</f>
        <v>476594</v>
      </c>
      <c r="BL201" s="113">
        <f>INDEX('Gen. Plant Additions'!$E$7:$AE$91,MATCH($C201,'Gen. Plant Additions'!$D$7:$D$91,0),MATCH(Calculation!$G201,'Gen. Plant Additions'!$E$5:$AE$5,0))</f>
        <v>13813</v>
      </c>
      <c r="BM201" s="232">
        <v>0.96723745907417158</v>
      </c>
      <c r="BN201" s="61">
        <f t="shared" si="380"/>
        <v>13360.451022191532</v>
      </c>
      <c r="BO201" s="113"/>
      <c r="BP201" s="113"/>
      <c r="BQ201" s="175"/>
      <c r="BR201" s="175"/>
      <c r="BS201" s="170"/>
      <c r="BT201" s="176"/>
      <c r="BU201" s="177"/>
      <c r="BV201" s="177"/>
      <c r="BW201" s="113"/>
      <c r="BX201" s="113"/>
      <c r="BY201" s="113"/>
      <c r="BZ201" s="113"/>
      <c r="CA201" s="116">
        <v>2021</v>
      </c>
      <c r="CB201" s="113"/>
      <c r="CC201" s="113"/>
      <c r="CD201" s="113"/>
      <c r="CE201" s="175"/>
      <c r="CF201" s="113">
        <f t="shared" si="366"/>
        <v>490407</v>
      </c>
      <c r="CG201" s="113">
        <f t="shared" si="367"/>
        <v>525.61111914423304</v>
      </c>
      <c r="CH201" s="178">
        <f>+(51-23)/(51-23*0.75)</f>
        <v>0.82962962962962961</v>
      </c>
      <c r="CI201" s="113">
        <f>CI178*CH201+CG179*CH200+CG180*CH199+CG181*CH198+CG182*CH197+CG183*CH196+CG184*CH195+CG185*CH194+CG186*CH193+CG187*CH192+CG188*CH191+CG189*CH190+CG190*CH189+CG191*CH188+CG192*CH187+CG183*CH186+CG194*CH185+CG195*CH184+CG196*CH183+CG197*CH182+CG198*CH181+CG199*CH180+CG201+CG200*CH179</f>
        <v>14145.4284224371</v>
      </c>
      <c r="CJ201" s="114"/>
      <c r="CK201" s="113"/>
      <c r="CL201" s="218">
        <f t="shared" si="369"/>
        <v>-5.8304548710540341E-3</v>
      </c>
      <c r="CM201" s="169">
        <f t="shared" si="377"/>
        <v>4.1593300214974446E-3</v>
      </c>
      <c r="CN201" s="114">
        <f>VLOOKUP($H201,RoR!$E:$F,2,FALSE)</f>
        <v>2.7033333333333336E-2</v>
      </c>
      <c r="CO201" s="169"/>
      <c r="CP201" s="169"/>
      <c r="CQ201" s="169">
        <f t="shared" si="378"/>
        <v>2.674261158703618E-2</v>
      </c>
      <c r="CR201" s="169">
        <f t="shared" si="379"/>
        <v>7.433422950153494E-2</v>
      </c>
      <c r="CS201" s="179">
        <f t="shared" si="370"/>
        <v>0.90509623210000001</v>
      </c>
      <c r="CT201" s="180">
        <f t="shared" si="371"/>
        <v>1.8969932656739068</v>
      </c>
      <c r="CU201" s="180">
        <f t="shared" si="372"/>
        <v>5.0215782983970621E-2</v>
      </c>
      <c r="CV201" s="180">
        <f t="shared" si="373"/>
        <v>0.655952481704143</v>
      </c>
      <c r="CW201" s="180">
        <f t="shared" si="374"/>
        <v>6.2485378865697057E-2</v>
      </c>
      <c r="CX201" s="181">
        <f>CX200</f>
        <v>0.25649666999999998</v>
      </c>
      <c r="CY201" s="72">
        <v>0.37</v>
      </c>
      <c r="CZ201" s="182">
        <f t="shared" si="376"/>
        <v>30.28391447870073</v>
      </c>
      <c r="DA201" s="182"/>
      <c r="DB201" s="169">
        <f t="shared" si="381"/>
        <v>0.34162081076893541</v>
      </c>
      <c r="DC201" s="181">
        <f>VLOOKUP($H201,RoR!$E:$F,2,FALSE)</f>
        <v>2.7033333333333336E-2</v>
      </c>
      <c r="DD201" s="183">
        <f>HLOOKUP($H201,'GDP-PI'!$D$8:$CR$11,3,FALSE)</f>
        <v>4.2834637353352578E-2</v>
      </c>
      <c r="DE201" s="181">
        <f>VLOOKUP(H201,'HW Dx Data'!$E:$F,2,FALSE)</f>
        <v>933.02249921662576</v>
      </c>
      <c r="DF201" s="72">
        <f t="shared" si="391"/>
        <v>157.25</v>
      </c>
      <c r="DG201" s="69">
        <f t="shared" si="392"/>
        <v>2.6419062301765574E-2</v>
      </c>
      <c r="DH201" s="175">
        <f>HLOOKUP(H201,'GDP-PI'!$8:$9,2,FALSE)</f>
        <v>118.49</v>
      </c>
      <c r="DI201" s="169">
        <f t="shared" si="382"/>
        <v>4.194261824609434E-2</v>
      </c>
      <c r="EB201"/>
    </row>
    <row r="202" spans="1:132" s="160" customFormat="1" ht="21">
      <c r="G202" s="161" t="s">
        <v>144</v>
      </c>
      <c r="H202" s="162"/>
      <c r="I202" s="163"/>
      <c r="J202" s="159">
        <v>188376.69827189343</v>
      </c>
      <c r="K202" s="159">
        <f t="shared" si="383"/>
        <v>1158.8846402454224</v>
      </c>
      <c r="L202" s="164">
        <f t="shared" ref="L202" si="404">LN(K202/K201)</f>
        <v>-4.3500556714989723E-2</v>
      </c>
      <c r="M202" s="76">
        <f t="shared" si="393"/>
        <v>-2.241981468477424E-3</v>
      </c>
      <c r="N202" s="166">
        <f>+N201*EXP(O202)</f>
        <v>120.20124269844145</v>
      </c>
      <c r="O202" s="114">
        <f t="shared" si="394"/>
        <v>-6.0574224248935134E-4</v>
      </c>
      <c r="P202" s="114"/>
      <c r="Q202" s="163">
        <v>265543.05660013895</v>
      </c>
      <c r="R202" s="159">
        <f t="shared" si="384"/>
        <v>2086.7823701386164</v>
      </c>
      <c r="S202" s="165">
        <f t="shared" ref="S202" si="405">LN(R202/R201)</f>
        <v>-8.1676892147608871E-2</v>
      </c>
      <c r="T202" s="165">
        <f t="shared" si="396"/>
        <v>-4.2095571281428731E-3</v>
      </c>
      <c r="U202" s="166"/>
      <c r="V202" s="114"/>
      <c r="W202" s="159">
        <f t="shared" si="364"/>
        <v>383343.66941057419</v>
      </c>
      <c r="X202" s="165">
        <f>LN(W202/W201)</f>
        <v>-6.7397163482842887E-2</v>
      </c>
      <c r="Y202" s="167">
        <v>14277.752202374342</v>
      </c>
      <c r="Z202" s="168">
        <v>9.311043522721385E-3</v>
      </c>
      <c r="AA202" s="76">
        <f t="shared" si="385"/>
        <v>4.7988321544709746E-4</v>
      </c>
      <c r="AB202" s="166"/>
      <c r="AC202" s="114"/>
      <c r="AD202" s="163">
        <f t="shared" si="355"/>
        <v>837263.42428260657</v>
      </c>
      <c r="AE202" s="168">
        <f t="shared" si="397"/>
        <v>-3.6874675434062615E-2</v>
      </c>
      <c r="AF202" s="113"/>
      <c r="AG202" s="114"/>
      <c r="AH202" s="114"/>
      <c r="AI202" s="114"/>
      <c r="AJ202" s="116">
        <f t="shared" si="398"/>
        <v>658.03196721297309</v>
      </c>
      <c r="AK202" s="114"/>
      <c r="AL202" s="115">
        <f t="shared" si="386"/>
        <v>0.22499095602235397</v>
      </c>
      <c r="AM202" s="115">
        <f t="shared" si="387"/>
        <v>0.31715592595922187</v>
      </c>
      <c r="AN202" s="115">
        <f t="shared" si="388"/>
        <v>0.45785311801842415</v>
      </c>
      <c r="AO202" s="115"/>
      <c r="AP202" s="166"/>
      <c r="AQ202" s="168"/>
      <c r="AR202" s="69">
        <f>+AD202/$AF$27</f>
        <v>5.1539144272718385E-2</v>
      </c>
      <c r="AS202" s="169"/>
      <c r="AT202" s="166"/>
      <c r="AU202" s="168"/>
      <c r="AV202" s="113">
        <v>1272375</v>
      </c>
      <c r="AW202" s="68">
        <f t="shared" si="403"/>
        <v>5.206180205903228E-3</v>
      </c>
      <c r="AX202" s="113"/>
      <c r="AY202" s="113"/>
      <c r="AZ202" s="113"/>
      <c r="BA202" s="113"/>
      <c r="BB202" s="171"/>
      <c r="BC202" s="172"/>
      <c r="BD202" s="173"/>
      <c r="BE202" s="115"/>
      <c r="BF202" s="174"/>
      <c r="BG202" s="174"/>
      <c r="BH202" s="166"/>
      <c r="BI202" s="113"/>
      <c r="BJ202" s="113"/>
      <c r="BK202" s="113"/>
      <c r="BL202" s="113"/>
      <c r="BM202" s="232">
        <v>0.96723745907417158</v>
      </c>
      <c r="BN202" s="61">
        <f>+BM202*BL202</f>
        <v>0</v>
      </c>
      <c r="BO202" s="113"/>
      <c r="BP202" s="113"/>
      <c r="BQ202" s="175"/>
      <c r="BR202" s="175"/>
      <c r="BS202" s="170"/>
      <c r="BT202" s="176"/>
      <c r="BU202" s="177"/>
      <c r="BV202" s="177"/>
      <c r="BW202" s="113"/>
      <c r="BX202" s="113"/>
      <c r="BY202" s="113"/>
      <c r="BZ202" s="113"/>
      <c r="CA202" s="116">
        <v>2022</v>
      </c>
      <c r="CB202" s="113"/>
      <c r="CC202" s="113"/>
      <c r="CD202" s="113"/>
      <c r="CE202" s="175"/>
      <c r="CF202" s="238">
        <v>655509</v>
      </c>
      <c r="CG202" s="113">
        <f>+CF202/DE202</f>
        <v>635.91641524626266</v>
      </c>
      <c r="CH202" s="178">
        <f>+(51-24)/(51-24*0.75)</f>
        <v>0.81818181818181823</v>
      </c>
      <c r="CI202" s="113">
        <f>+CI178*CH202+CG179*CH201+CG180*CH200+CG181*CH199+CG182*CH198+CG183*CH197+CG184*CH196+CG185*CH195+CG186*CH194+CG187*CH193+CG188*CH192+CG189*CH191+CG190*CH190+CG191*CH189+CG192*CH188+CG193*CH187+CG194*CH186+CG195*CH185+CG196*CH184+CG197*CH183+CG198*CH182+CG199*CH181+CG200*CH180+CG201*CH179+CG202*CH178</f>
        <v>14437.919449490688</v>
      </c>
      <c r="CJ202" s="114">
        <f t="shared" ref="CJ202" si="406">LN(CI202/CI201)</f>
        <v>2.0466548437227321E-2</v>
      </c>
      <c r="CK202" s="113"/>
      <c r="CL202" s="218">
        <f t="shared" si="369"/>
        <v>2.4278189245080978E-2</v>
      </c>
      <c r="CM202" s="169">
        <f t="shared" si="377"/>
        <v>9.2073999368666882E-3</v>
      </c>
      <c r="CN202" s="114"/>
      <c r="CO202" s="169"/>
      <c r="CP202" s="169"/>
      <c r="CQ202" s="69">
        <f t="shared" si="378"/>
        <v>2.1694541671666935E-2</v>
      </c>
      <c r="CR202" s="169">
        <f t="shared" si="379"/>
        <v>0.10114668178709289</v>
      </c>
      <c r="CS202" s="179">
        <f t="shared" si="370"/>
        <v>0.90509623210000001</v>
      </c>
      <c r="CT202" s="180"/>
      <c r="CU202" s="180"/>
      <c r="CV202" s="180"/>
      <c r="CW202" s="180"/>
      <c r="CX202" s="181">
        <f>CX201</f>
        <v>0.25649666999999998</v>
      </c>
      <c r="CY202" s="72">
        <v>0.37</v>
      </c>
      <c r="CZ202" s="182">
        <f t="shared" si="376"/>
        <v>27.100180917993598</v>
      </c>
      <c r="DA202" s="182"/>
      <c r="DB202" s="169">
        <f t="shared" si="381"/>
        <v>-0.11107629245664533</v>
      </c>
      <c r="DC202" s="181">
        <v>0.04</v>
      </c>
      <c r="DD202" s="183">
        <v>7.0000000000000001E-3</v>
      </c>
      <c r="DE202" s="181">
        <v>1030.81</v>
      </c>
      <c r="DF202" s="72">
        <f t="shared" si="391"/>
        <v>162.55000000000001</v>
      </c>
      <c r="DG202" s="169">
        <f t="shared" si="392"/>
        <v>3.3148751169364422E-2</v>
      </c>
      <c r="DH202" s="175">
        <v>127.25</v>
      </c>
      <c r="DI202" s="169">
        <f t="shared" si="382"/>
        <v>7.1325086601983473E-2</v>
      </c>
      <c r="EB202"/>
    </row>
    <row r="203" spans="1:132" s="160" customFormat="1" ht="21">
      <c r="A203" s="160" t="s">
        <v>172</v>
      </c>
      <c r="B203" s="161" t="s">
        <v>172</v>
      </c>
      <c r="C203" s="161">
        <v>4057112</v>
      </c>
      <c r="D203" s="161" t="s">
        <v>146</v>
      </c>
      <c r="E203" s="161"/>
      <c r="F203" s="161"/>
      <c r="G203" s="161" t="s">
        <v>100</v>
      </c>
      <c r="H203" s="162">
        <v>1998</v>
      </c>
      <c r="I203" s="163"/>
      <c r="J203" s="159"/>
      <c r="K203" s="159"/>
      <c r="L203" s="159"/>
      <c r="M203" s="60"/>
      <c r="N203" s="131"/>
      <c r="O203" s="76"/>
      <c r="P203" s="76"/>
      <c r="Q203" s="165"/>
      <c r="R203" s="165"/>
      <c r="S203" s="165"/>
      <c r="T203" s="159"/>
      <c r="U203" s="165"/>
      <c r="V203" s="165"/>
      <c r="W203" s="159"/>
      <c r="X203" s="163"/>
      <c r="Y203" s="167">
        <v>1301.1537296905281</v>
      </c>
      <c r="Z203" s="168"/>
      <c r="AA203" s="78"/>
      <c r="AB203" s="168"/>
      <c r="AC203" s="168"/>
      <c r="AD203" s="163">
        <f t="shared" si="355"/>
        <v>0</v>
      </c>
      <c r="AE203" s="163"/>
      <c r="AF203" s="163"/>
      <c r="AG203" s="114"/>
      <c r="AH203" s="114"/>
      <c r="AI203" s="114"/>
      <c r="AJ203" s="166">
        <f>+(AJ200+AJ201+AJ202)/3</f>
        <v>646.17373276015803</v>
      </c>
      <c r="AK203" s="168"/>
      <c r="AL203" s="115"/>
      <c r="AM203" s="115"/>
      <c r="AN203" s="115"/>
      <c r="AO203" s="115"/>
      <c r="AP203" s="115"/>
      <c r="AQ203" s="168">
        <f>AVERAGE(AQ212:AQ226)</f>
        <v>2.7112974338421593E-3</v>
      </c>
      <c r="AR203" s="79"/>
      <c r="AS203" s="115"/>
      <c r="AT203" s="115"/>
      <c r="AU203" s="115"/>
      <c r="AV203" s="113">
        <f>IFERROR(INDEX('Total Customers'!$F$7:$AB$91,MATCH($C203,'Total Customers'!$D$7:$D$91,0),MATCH($G203,'Total Customers'!$F$5:$AB$5,0)),"NA")</f>
        <v>168569</v>
      </c>
      <c r="AW203" s="68"/>
      <c r="AX203" s="114"/>
      <c r="AY203" s="114"/>
      <c r="AZ203" s="116"/>
      <c r="BA203" s="116"/>
      <c r="BB203" s="166"/>
      <c r="BC203" s="166"/>
      <c r="BD203" s="166"/>
      <c r="BE203" s="166"/>
      <c r="BF203" s="166"/>
      <c r="BG203" s="166"/>
      <c r="BH203" s="166"/>
      <c r="BI203" s="113">
        <f>INDEX('Gross Dx Plant'!$E$7:$AD$91,MATCH($C203,'Gross Dx Plant'!$D$7:$D$91,0),MATCH(Calculation!$G203,'Gross Dx Plant'!$E$5:$AD$5,0))</f>
        <v>389794</v>
      </c>
      <c r="BJ203" s="113">
        <f>INDEX('Gross Gen Plant'!$E$7:$AD$91,MATCH($C203,'Gross Gen Plant'!$D$7:$D$91,0),MATCH(Calculation!$G203,'Gross Gen Plant'!$E$5:$AD$5,0))</f>
        <v>35624</v>
      </c>
      <c r="BK203" s="113">
        <f>INDEX('Dist. Plant Gas Additions'!$F$7:$AE$91,MATCH($C203,'Dist. Plant Gas Additions'!$D$7:$D$91,0),MATCH(Calculation!$G203,'Dist. Plant Gas Additions'!$F$5:$AE$5,0))</f>
        <v>23848</v>
      </c>
      <c r="BL203" s="113">
        <f>INDEX('Gen. Plant Additions'!$F$7:$AE$91,MATCH($C203,'Gen. Plant Additions'!$D$7:$D$91,0),MATCH(Calculation!$G203,'Gen. Plant Additions'!$F$5:$AE$5,0))</f>
        <v>3257</v>
      </c>
      <c r="BM203" s="231">
        <f>+(BW203/(BW203+BX203))</f>
        <v>0.91626118311872085</v>
      </c>
      <c r="BN203" s="61">
        <f t="shared" ref="BN203:BN221" si="407">+BM203*BL203</f>
        <v>2984.2626734176738</v>
      </c>
      <c r="BO203" s="113">
        <f>INDEX('Dist Plant Depreciation'!$E$7:$AD$94,MATCH($C203,'Dist Plant Depreciation'!$D$7:$D$94,0),MATCH(Calculation!$G203,'Dist Plant Depreciation'!$E$5:$AD$5,0))</f>
        <v>145598</v>
      </c>
      <c r="BP203" s="113">
        <f>INDEX('Gen. Plant Depreciation'!$E$7:$AD$94,MATCH($C203,'Gen. Plant Depreciation'!$D$7:$D$94,0),MATCH(Calculation!$G203,'Gen. Plant Depreciation'!$E$5:$AD$5,0))</f>
        <v>17352</v>
      </c>
      <c r="BQ203" s="113"/>
      <c r="BR203" s="113"/>
      <c r="BS203" s="113"/>
      <c r="BT203" s="113"/>
      <c r="BU203" s="113"/>
      <c r="BV203" s="113"/>
      <c r="BW203" s="113">
        <f>INDEX('Gross Dx Plant'!$E$7:$AD$91,MATCH($C203,'Gross Dx Plant'!$D$7:$D$91,0),MATCH(Calculation!$G203,'Gross Dx Plant'!$E$5:$AD$5,0))</f>
        <v>389794</v>
      </c>
      <c r="BX203" s="113">
        <f>INDEX('Gross Gen Plant'!$E$7:$AD$91,MATCH($C203,'Gross Gen Plant'!$D$7:$D$91,0),MATCH(Calculation!$G203,'Gross Gen Plant'!$E$5:$AD$5,0))</f>
        <v>35624</v>
      </c>
      <c r="BY203" s="113">
        <f t="shared" si="313"/>
        <v>262468</v>
      </c>
      <c r="BZ203" s="113"/>
      <c r="CA203" s="116">
        <v>1998</v>
      </c>
      <c r="CB203" s="113">
        <f>BI203+BJ203</f>
        <v>425418</v>
      </c>
      <c r="CC203" s="113">
        <f>145598+17352</f>
        <v>162950</v>
      </c>
      <c r="CD203" s="113">
        <f>+CB203-CC203</f>
        <v>262468</v>
      </c>
      <c r="CE203" s="113">
        <f>CD203/$BV$3</f>
        <v>1301.1537296905281</v>
      </c>
      <c r="CF203" s="175"/>
      <c r="CG203" s="175"/>
      <c r="CH203" s="178">
        <v>1</v>
      </c>
      <c r="CI203" s="113">
        <f>+CE203</f>
        <v>1301.1537296905281</v>
      </c>
      <c r="CJ203" s="114"/>
      <c r="CK203" s="114"/>
      <c r="CL203" s="169"/>
      <c r="CM203" s="169"/>
      <c r="CN203" s="114" t="e">
        <f>VLOOKUP($H203,RoR!$E:$F,2,FALSE)</f>
        <v>#N/A</v>
      </c>
      <c r="CO203" s="169">
        <v>1.1028127770464469E-2</v>
      </c>
      <c r="CP203" s="169"/>
      <c r="CQ203" s="169"/>
      <c r="CR203" s="169"/>
      <c r="CS203" s="179"/>
      <c r="CT203" s="182" t="e">
        <f>2/(DC203*39)</f>
        <v>#N/A</v>
      </c>
      <c r="CU203" s="180" t="e">
        <f>+(DC203*40-(1+DC203))/(DC203*40)</f>
        <v>#N/A</v>
      </c>
      <c r="CV203" s="180" t="e">
        <f>+(1-(1/(1+DC203)^40))</f>
        <v>#N/A</v>
      </c>
      <c r="CW203" s="180" t="e">
        <f>+CV203*CU203*CT203</f>
        <v>#N/A</v>
      </c>
      <c r="CX203" s="181">
        <f>INDEX('State Tax Lookup'!$D$7:$Z$91,MATCH(Calculation!$C203,'State Tax Lookup'!$B$7:$B$91,0),MATCH($H203,'State Tax Lookup'!$D$6:$Z$6,0))</f>
        <v>0.35</v>
      </c>
      <c r="CY203" s="72">
        <v>0.37</v>
      </c>
      <c r="CZ203" s="66"/>
      <c r="DA203" s="66"/>
      <c r="DB203" s="69"/>
      <c r="DC203" s="111" t="e">
        <f>VLOOKUP($H203,RoR!$E:$F,2,FALSE)</f>
        <v>#N/A</v>
      </c>
      <c r="DD203" s="216">
        <f>HLOOKUP($H203,'GDP-PI'!$D$8:$CQ$11,3,FALSE)</f>
        <v>1.1028127770464469E-2</v>
      </c>
      <c r="DE203" s="111">
        <f>VLOOKUP(H203,'HW Dx Data'!$E:$F,2,FALSE)</f>
        <v>329.24564746449528</v>
      </c>
      <c r="DF203" s="72" t="e">
        <f t="shared" si="391"/>
        <v>#N/A</v>
      </c>
      <c r="DG203" s="169" t="e">
        <f t="shared" si="392"/>
        <v>#N/A</v>
      </c>
      <c r="DH203" s="66">
        <f>HLOOKUP(H203,'GDP-PI'!$8:$9,2,FALSE)</f>
        <v>75.266999999999996</v>
      </c>
      <c r="DI203"/>
      <c r="EB203"/>
    </row>
    <row r="204" spans="1:132" s="160" customFormat="1" ht="21">
      <c r="A204" s="160" t="s">
        <v>172</v>
      </c>
      <c r="B204" s="161" t="s">
        <v>172</v>
      </c>
      <c r="C204" s="161">
        <v>4057112</v>
      </c>
      <c r="D204" s="161" t="s">
        <v>146</v>
      </c>
      <c r="E204" s="161"/>
      <c r="F204" s="161"/>
      <c r="G204" s="161" t="s">
        <v>106</v>
      </c>
      <c r="H204" s="162">
        <v>1999</v>
      </c>
      <c r="I204" s="163"/>
      <c r="J204" s="159"/>
      <c r="K204" s="159"/>
      <c r="L204" s="159"/>
      <c r="M204" s="60"/>
      <c r="N204" s="152"/>
      <c r="O204" s="60"/>
      <c r="P204" s="59"/>
      <c r="Q204" s="169"/>
      <c r="R204" s="169"/>
      <c r="S204" s="169"/>
      <c r="T204" s="187"/>
      <c r="U204" s="169"/>
      <c r="V204" s="169"/>
      <c r="W204" s="159">
        <f t="shared" ref="W204:W227" si="408">+CI203*CZ204</f>
        <v>0</v>
      </c>
      <c r="X204" s="163"/>
      <c r="Y204" s="167">
        <v>1360.0497474428309</v>
      </c>
      <c r="Z204" s="168">
        <v>4.4269922817638835E-2</v>
      </c>
      <c r="AA204" s="78"/>
      <c r="AB204" s="168"/>
      <c r="AC204" s="168"/>
      <c r="AD204" s="163">
        <f t="shared" si="355"/>
        <v>0</v>
      </c>
      <c r="AE204" s="168"/>
      <c r="AF204" s="163"/>
      <c r="AG204" s="114"/>
      <c r="AH204" s="114"/>
      <c r="AI204" s="114"/>
      <c r="AJ204" s="167"/>
      <c r="AK204" s="168"/>
      <c r="AL204" s="115"/>
      <c r="AM204" s="115"/>
      <c r="AN204" s="115"/>
      <c r="AO204" s="115"/>
      <c r="AP204" s="115"/>
      <c r="AQ204" s="168"/>
      <c r="AR204" s="79"/>
      <c r="AS204" s="115"/>
      <c r="AT204" s="115"/>
      <c r="AU204" s="115"/>
      <c r="AV204" s="113">
        <f>IFERROR(INDEX('Total Customers'!$F$7:$AB$91,MATCH($C204,'Total Customers'!$D$7:$D$91,0),MATCH($G204,'Total Customers'!$F$5:$AB$5,0)),"NA")</f>
        <v>185267</v>
      </c>
      <c r="AW204" s="68">
        <f t="shared" si="403"/>
        <v>9.4452866326066018E-2</v>
      </c>
      <c r="AX204" s="114"/>
      <c r="AY204" s="114"/>
      <c r="AZ204" s="116"/>
      <c r="BA204" s="116"/>
      <c r="BB204" s="166"/>
      <c r="BC204" s="166"/>
      <c r="BD204" s="166"/>
      <c r="BE204" s="166"/>
      <c r="BF204" s="166"/>
      <c r="BG204" s="166"/>
      <c r="BH204" s="166"/>
      <c r="BI204" s="113"/>
      <c r="BJ204" s="113"/>
      <c r="BK204" s="113">
        <f>INDEX('Dist. Plant Gas Additions'!$F$7:$AE$91,MATCH($C204,'Dist. Plant Gas Additions'!$D$7:$D$91,0),MATCH(Calculation!$G204,'Dist. Plant Gas Additions'!$F$5:$AE$5,0))</f>
        <v>20610</v>
      </c>
      <c r="BL204" s="113">
        <f>INDEX('Gen. Plant Additions'!$F$7:$AE$91,MATCH($C204,'Gen. Plant Additions'!$D$7:$D$91,0),MATCH(Calculation!$G204,'Gen. Plant Additions'!$F$5:$AE$5,0))</f>
        <v>1310</v>
      </c>
      <c r="BM204" s="231">
        <f t="shared" ref="BM204:BM225" si="409">+(BW204/(BW204+BX204))</f>
        <v>0.92067813724120207</v>
      </c>
      <c r="BN204" s="61">
        <f t="shared" si="407"/>
        <v>1206.0883597859747</v>
      </c>
      <c r="BO204" s="113">
        <f>INDEX('Dist Plant Depreciation'!$E$7:$AD$94,MATCH($C204,'Dist Plant Depreciation'!$D$7:$D$94,0),MATCH(Calculation!$G204,'Dist Plant Depreciation'!$E$5:$AD$5,0))</f>
        <v>156246</v>
      </c>
      <c r="BP204" s="113">
        <f>INDEX('Gen. Plant Depreciation'!$E$7:$AD$94,MATCH($C204,'Gen. Plant Depreciation'!$D$7:$D$94,0),MATCH(Calculation!$G204,'Gen. Plant Depreciation'!$E$5:$AD$5,0))</f>
        <v>17275</v>
      </c>
      <c r="BQ204" s="113"/>
      <c r="BR204" s="113"/>
      <c r="BS204" s="113"/>
      <c r="BT204" s="113"/>
      <c r="BU204" s="113"/>
      <c r="BV204" s="113"/>
      <c r="BW204" s="113">
        <f>INDEX('Gross Dx Plant'!$E$7:$AD$91,MATCH($C204,'Gross Dx Plant'!$D$7:$D$91,0),MATCH(Calculation!$G204,'Gross Dx Plant'!$E$5:$AD$5,0))</f>
        <v>408492</v>
      </c>
      <c r="BX204" s="113">
        <f>INDEX('Gross Gen Plant'!$E$7:$AD$91,MATCH($C204,'Gross Gen Plant'!$D$7:$D$91,0),MATCH(Calculation!$G204,'Gross Gen Plant'!$E$5:$AD$5,0))</f>
        <v>35194</v>
      </c>
      <c r="BY204" s="113">
        <f t="shared" si="313"/>
        <v>270165</v>
      </c>
      <c r="BZ204" s="113"/>
      <c r="CA204" s="116">
        <v>1999</v>
      </c>
      <c r="CB204" s="113"/>
      <c r="CC204" s="113"/>
      <c r="CD204" s="113"/>
      <c r="CE204" s="175"/>
      <c r="CF204" s="113">
        <f t="shared" ref="CF204:CF226" si="410">+BL204+BK204</f>
        <v>21920</v>
      </c>
      <c r="CG204" s="113">
        <f t="shared" ref="CG204:CG226" si="411">+CF204/$DE204</f>
        <v>65.369419392554121</v>
      </c>
      <c r="CH204" s="178">
        <v>0.99502487562189057</v>
      </c>
      <c r="CI204" s="61">
        <f>+CI203*CH204+CG204</f>
        <v>1360.0497474428309</v>
      </c>
      <c r="CJ204" s="114">
        <f t="shared" ref="CJ204:CJ225" si="412">LN(CI204/CI203)</f>
        <v>4.4269922817638835E-2</v>
      </c>
      <c r="CK204" s="114"/>
      <c r="CL204" s="169">
        <f t="shared" ref="CL204:CL226" si="413">+(CI203-CI204+CG204)/CI203</f>
        <v>4.9751243781093312E-3</v>
      </c>
      <c r="CM204" s="169"/>
      <c r="CN204" s="114">
        <f>VLOOKUP($H204,RoR!$E:$F,2,FALSE)</f>
        <v>7.0416666666666669E-2</v>
      </c>
      <c r="CO204" s="169">
        <v>1.4335631817396832E-2</v>
      </c>
      <c r="CP204" s="169">
        <f>+CN204-CO204</f>
        <v>5.6081034849269837E-2</v>
      </c>
      <c r="CQ204" s="169"/>
      <c r="CR204" s="169"/>
      <c r="CS204" s="179">
        <f t="shared" ref="CS204:CS227" si="414">1-CX204*CY204</f>
        <v>0.87050000000000005</v>
      </c>
      <c r="CT204" s="180">
        <f t="shared" ref="CT204:CT226" si="415">2/(DC204*39)</f>
        <v>0.72826581702321336</v>
      </c>
      <c r="CU204" s="180">
        <f t="shared" ref="CU204:CU226" si="416">+(DC204*40-(1+DC204))/(DC204*40)</f>
        <v>0.61997041420118348</v>
      </c>
      <c r="CV204" s="180">
        <f t="shared" ref="CV204:CV226" si="417">+(1-(1/(1+DC204)^40))</f>
        <v>0.93425155319585029</v>
      </c>
      <c r="CW204" s="180">
        <f t="shared" ref="CW204:CW226" si="418">+CV204*CU204*CT204</f>
        <v>0.42181762214141483</v>
      </c>
      <c r="CX204" s="181">
        <f>INDEX('State Tax Lookup'!$D$7:$Z$91,MATCH(Calculation!$C204,'State Tax Lookup'!$B$7:$B$91,0),MATCH($H204,'State Tax Lookup'!$D$6:$Z$6,0))</f>
        <v>0.35</v>
      </c>
      <c r="CY204" s="72">
        <v>0.37</v>
      </c>
      <c r="CZ204" s="70"/>
      <c r="DA204" s="70"/>
      <c r="DB204" s="69"/>
      <c r="DC204" s="111">
        <f>VLOOKUP($H204,RoR!$E:$F,2,FALSE)</f>
        <v>7.0416666666666669E-2</v>
      </c>
      <c r="DD204" s="216">
        <f>HLOOKUP($H204,'GDP-PI'!$D$8:$CQ$11,3,FALSE)</f>
        <v>1.4335631817396832E-2</v>
      </c>
      <c r="DE204" s="111">
        <f>VLOOKUP(H204,'HW Dx Data'!$E:$F,2,FALSE)</f>
        <v>335.32499146683239</v>
      </c>
      <c r="DF204" s="66"/>
      <c r="DG204" s="69"/>
      <c r="DH204" s="66">
        <f>HLOOKUP(H204,'GDP-PI'!$8:$9,2,FALSE)</f>
        <v>76.346000000000004</v>
      </c>
      <c r="DI204"/>
      <c r="EB204"/>
    </row>
    <row r="205" spans="1:132" s="160" customFormat="1" ht="21">
      <c r="A205" s="160" t="s">
        <v>172</v>
      </c>
      <c r="B205" s="161" t="s">
        <v>172</v>
      </c>
      <c r="C205" s="161">
        <v>4057112</v>
      </c>
      <c r="D205" s="161" t="s">
        <v>146</v>
      </c>
      <c r="E205" s="161"/>
      <c r="F205" s="161"/>
      <c r="G205" s="161" t="s">
        <v>107</v>
      </c>
      <c r="H205" s="162">
        <v>2000</v>
      </c>
      <c r="I205" s="163"/>
      <c r="J205" s="159"/>
      <c r="K205" s="159"/>
      <c r="L205" s="159"/>
      <c r="M205" s="60"/>
      <c r="N205" s="152"/>
      <c r="O205" s="60"/>
      <c r="P205" s="60"/>
      <c r="Q205" s="159"/>
      <c r="R205" s="159"/>
      <c r="S205" s="159"/>
      <c r="T205" s="159"/>
      <c r="U205" s="159"/>
      <c r="V205" s="159"/>
      <c r="W205" s="159">
        <f t="shared" si="408"/>
        <v>0</v>
      </c>
      <c r="X205" s="163"/>
      <c r="Y205" s="167">
        <v>1405.5231599315446</v>
      </c>
      <c r="Z205" s="168">
        <v>3.2888311220600319E-2</v>
      </c>
      <c r="AA205" s="78"/>
      <c r="AB205" s="168"/>
      <c r="AC205" s="168"/>
      <c r="AD205" s="163">
        <f t="shared" si="355"/>
        <v>0</v>
      </c>
      <c r="AE205" s="168"/>
      <c r="AF205" s="163"/>
      <c r="AG205" s="163"/>
      <c r="AH205" s="163"/>
      <c r="AI205" s="163"/>
      <c r="AJ205" s="167"/>
      <c r="AK205" s="168"/>
      <c r="AL205" s="115"/>
      <c r="AM205" s="115"/>
      <c r="AN205" s="115"/>
      <c r="AO205" s="115"/>
      <c r="AP205" s="115"/>
      <c r="AQ205" s="168"/>
      <c r="AR205" s="79"/>
      <c r="AS205" s="115"/>
      <c r="AT205" s="115"/>
      <c r="AU205" s="115"/>
      <c r="AV205" s="113">
        <f>IFERROR(INDEX('Total Customers'!$F$7:$AB$91,MATCH($C205,'Total Customers'!$D$7:$D$91,0),MATCH($G205,'Total Customers'!$F$5:$AB$5,0)),"NA")</f>
        <v>193160</v>
      </c>
      <c r="AW205" s="68">
        <f t="shared" si="403"/>
        <v>4.1720833158317767E-2</v>
      </c>
      <c r="AX205" s="114"/>
      <c r="AY205" s="114"/>
      <c r="AZ205" s="116"/>
      <c r="BA205" s="116"/>
      <c r="BB205" s="166"/>
      <c r="BC205" s="166"/>
      <c r="BD205" s="166"/>
      <c r="BE205" s="166"/>
      <c r="BF205" s="166"/>
      <c r="BG205" s="166"/>
      <c r="BH205" s="166"/>
      <c r="BI205" s="113"/>
      <c r="BJ205" s="113"/>
      <c r="BK205" s="113">
        <f>INDEX('Dist. Plant Gas Additions'!$F$7:$AE$91,MATCH($C205,'Dist. Plant Gas Additions'!$D$7:$D$91,0),MATCH(Calculation!$G205,'Dist. Plant Gas Additions'!$F$5:$AE$5,0))</f>
        <v>16919</v>
      </c>
      <c r="BL205" s="113">
        <f>INDEX('Gen. Plant Additions'!$F$7:$AE$91,MATCH($C205,'Gen. Plant Additions'!$D$7:$D$91,0),MATCH(Calculation!$G205,'Gen. Plant Additions'!$F$5:$AE$5,0))</f>
        <v>1263</v>
      </c>
      <c r="BM205" s="231">
        <f t="shared" si="409"/>
        <v>0.92227666989858759</v>
      </c>
      <c r="BN205" s="61">
        <f t="shared" si="407"/>
        <v>1164.8354340819162</v>
      </c>
      <c r="BO205" s="113">
        <f>INDEX('Dist Plant Depreciation'!$E$7:$AD$94,MATCH($C205,'Dist Plant Depreciation'!$D$7:$D$94,0),MATCH(Calculation!$G205,'Dist Plant Depreciation'!$E$5:$AD$5,0))</f>
        <v>167411</v>
      </c>
      <c r="BP205" s="113">
        <f>INDEX('Gen. Plant Depreciation'!$E$7:$AD$94,MATCH($C205,'Gen. Plant Depreciation'!$D$7:$D$94,0),MATCH(Calculation!$G205,'Gen. Plant Depreciation'!$E$5:$AD$5,0))</f>
        <v>18131</v>
      </c>
      <c r="BQ205" s="113"/>
      <c r="BR205" s="113"/>
      <c r="BS205" s="113"/>
      <c r="BT205" s="113"/>
      <c r="BU205" s="113"/>
      <c r="BV205" s="113"/>
      <c r="BW205" s="113">
        <f>INDEX('Gross Dx Plant'!$E$7:$AD$91,MATCH($C205,'Gross Dx Plant'!$D$7:$D$91,0),MATCH(Calculation!$G205,'Gross Dx Plant'!$E$5:$AD$5,0))</f>
        <v>422340</v>
      </c>
      <c r="BX205" s="113">
        <f>INDEX('Gross Gen Plant'!$E$7:$AD$91,MATCH($C205,'Gross Gen Plant'!$D$7:$D$91,0),MATCH(Calculation!$G205,'Gross Gen Plant'!$E$5:$AD$5,0))</f>
        <v>35592</v>
      </c>
      <c r="BY205" s="113">
        <f t="shared" si="313"/>
        <v>272390</v>
      </c>
      <c r="BZ205" s="113"/>
      <c r="CA205" s="116">
        <v>2000</v>
      </c>
      <c r="CB205" s="113"/>
      <c r="CC205" s="113"/>
      <c r="CD205" s="113"/>
      <c r="CE205" s="175"/>
      <c r="CF205" s="113">
        <f t="shared" si="410"/>
        <v>18182</v>
      </c>
      <c r="CG205" s="113">
        <f t="shared" si="411"/>
        <v>52.468198807036131</v>
      </c>
      <c r="CH205" s="178">
        <v>0.98989898989898994</v>
      </c>
      <c r="CI205" s="61">
        <f>+CI203*CH205+CG204*CH204+CG205</f>
        <v>1405.5231599315446</v>
      </c>
      <c r="CJ205" s="114">
        <f t="shared" si="412"/>
        <v>3.2888311220600319E-2</v>
      </c>
      <c r="CK205" s="114"/>
      <c r="CL205" s="169">
        <f t="shared" si="413"/>
        <v>5.1430371068956308E-3</v>
      </c>
      <c r="CM205" s="169"/>
      <c r="CN205" s="114">
        <f>VLOOKUP($H205,RoR!$E:$F,2,FALSE)</f>
        <v>7.6225000000000001E-2</v>
      </c>
      <c r="CO205" s="169">
        <v>2.2568307442433211E-2</v>
      </c>
      <c r="CP205" s="169">
        <f t="shared" ref="CP205:CP225" si="419">+CN205-CO205</f>
        <v>5.365669255756679E-2</v>
      </c>
      <c r="CQ205" s="169"/>
      <c r="CR205" s="169"/>
      <c r="CS205" s="179">
        <f t="shared" si="414"/>
        <v>0.87050000000000005</v>
      </c>
      <c r="CT205" s="180">
        <f t="shared" si="415"/>
        <v>0.67277207323124022</v>
      </c>
      <c r="CU205" s="180">
        <f t="shared" si="416"/>
        <v>0.6470236142997704</v>
      </c>
      <c r="CV205" s="180">
        <f t="shared" si="417"/>
        <v>0.94704866037543145</v>
      </c>
      <c r="CW205" s="180">
        <f t="shared" si="418"/>
        <v>0.41224973107878493</v>
      </c>
      <c r="CX205" s="181">
        <f>INDEX('State Tax Lookup'!$D$7:$Z$91,MATCH(Calculation!$C205,'State Tax Lookup'!$B$7:$B$91,0),MATCH($H205,'State Tax Lookup'!$D$6:$Z$6,0))</f>
        <v>0.35</v>
      </c>
      <c r="CY205" s="72">
        <v>0.37</v>
      </c>
      <c r="CZ205" s="70"/>
      <c r="DA205" s="70"/>
      <c r="DB205" s="69"/>
      <c r="DC205" s="111">
        <f>VLOOKUP($H205,RoR!$E:$F,2,FALSE)</f>
        <v>7.6225000000000001E-2</v>
      </c>
      <c r="DD205" s="216">
        <f>HLOOKUP($H205,'GDP-PI'!$D$8:$CQ$11,3,FALSE)</f>
        <v>2.2568307442433211E-2</v>
      </c>
      <c r="DE205" s="111">
        <f>VLOOKUP(H205,'HW Dx Data'!$E:$F,2,FALSE)</f>
        <v>346.53371782150339</v>
      </c>
      <c r="DF205" s="66"/>
      <c r="DG205" s="69"/>
      <c r="DH205" s="66">
        <f>HLOOKUP(H205,'GDP-PI'!$8:$9,2,FALSE)</f>
        <v>78.069000000000003</v>
      </c>
      <c r="DI205"/>
      <c r="EB205"/>
    </row>
    <row r="206" spans="1:132" s="160" customFormat="1" ht="21">
      <c r="A206" s="160" t="s">
        <v>172</v>
      </c>
      <c r="B206" s="161" t="s">
        <v>172</v>
      </c>
      <c r="C206" s="161">
        <v>4057112</v>
      </c>
      <c r="D206" s="161" t="s">
        <v>146</v>
      </c>
      <c r="E206" s="161"/>
      <c r="F206" s="161"/>
      <c r="G206" s="161" t="s">
        <v>111</v>
      </c>
      <c r="H206" s="162">
        <v>2001</v>
      </c>
      <c r="I206" s="163"/>
      <c r="J206" s="159"/>
      <c r="K206" s="159"/>
      <c r="L206" s="159"/>
      <c r="M206" s="60"/>
      <c r="N206" s="152"/>
      <c r="O206" s="60"/>
      <c r="P206" s="60"/>
      <c r="Q206" s="159"/>
      <c r="R206" s="159"/>
      <c r="S206" s="159"/>
      <c r="T206" s="159"/>
      <c r="U206" s="159"/>
      <c r="V206" s="159"/>
      <c r="W206" s="159">
        <f t="shared" si="408"/>
        <v>17132.55274873706</v>
      </c>
      <c r="X206" s="163"/>
      <c r="Y206" s="167">
        <v>1453.7529537239261</v>
      </c>
      <c r="Z206" s="168">
        <v>3.3738867343363725E-2</v>
      </c>
      <c r="AA206" s="78"/>
      <c r="AB206" s="168"/>
      <c r="AC206" s="168"/>
      <c r="AD206" s="163">
        <f t="shared" si="355"/>
        <v>17132.55274873706</v>
      </c>
      <c r="AE206" s="168"/>
      <c r="AF206" s="163"/>
      <c r="AG206" s="163"/>
      <c r="AH206" s="163"/>
      <c r="AI206" s="163"/>
      <c r="AJ206" s="167"/>
      <c r="AK206" s="168"/>
      <c r="AL206" s="115"/>
      <c r="AM206" s="115"/>
      <c r="AN206" s="115"/>
      <c r="AO206" s="115"/>
      <c r="AP206" s="115"/>
      <c r="AQ206" s="168"/>
      <c r="AR206" s="79"/>
      <c r="AS206" s="115"/>
      <c r="AT206" s="115"/>
      <c r="AU206" s="115"/>
      <c r="AV206" s="113">
        <f>IFERROR(INDEX('Total Customers'!$F$7:$AB$91,MATCH($C206,'Total Customers'!$D$7:$D$91,0),MATCH($G206,'Total Customers'!$F$5:$AB$5,0)),"NA")</f>
        <v>199028</v>
      </c>
      <c r="AW206" s="68">
        <f t="shared" si="403"/>
        <v>2.99266573389276E-2</v>
      </c>
      <c r="AX206" s="114"/>
      <c r="AY206" s="114"/>
      <c r="AZ206" s="116"/>
      <c r="BA206" s="116"/>
      <c r="BB206" s="166"/>
      <c r="BC206" s="166"/>
      <c r="BD206" s="166"/>
      <c r="BE206" s="166"/>
      <c r="BF206" s="166"/>
      <c r="BG206" s="166"/>
      <c r="BH206" s="166"/>
      <c r="BI206" s="113"/>
      <c r="BJ206" s="113"/>
      <c r="BK206" s="113">
        <f>INDEX('Dist. Plant Gas Additions'!$F$7:$AE$91,MATCH($C206,'Dist. Plant Gas Additions'!$D$7:$D$91,0),MATCH(Calculation!$G206,'Dist. Plant Gas Additions'!$F$5:$AE$5,0))</f>
        <v>14397</v>
      </c>
      <c r="BL206" s="113">
        <f>INDEX('Gen. Plant Additions'!$F$7:$AE$91,MATCH($C206,'Gen. Plant Additions'!$D$7:$D$91,0),MATCH(Calculation!$G206,'Gen. Plant Additions'!$F$5:$AE$5,0))</f>
        <v>5198</v>
      </c>
      <c r="BM206" s="231">
        <f t="shared" si="409"/>
        <v>0.9160207478646849</v>
      </c>
      <c r="BN206" s="61">
        <f t="shared" si="407"/>
        <v>4761.4758474006321</v>
      </c>
      <c r="BO206" s="113">
        <f>INDEX('Dist Plant Depreciation'!$E$7:$AD$94,MATCH($C206,'Dist Plant Depreciation'!$D$7:$D$94,0),MATCH(Calculation!$G206,'Dist Plant Depreciation'!$E$5:$AD$5,0))</f>
        <v>178860</v>
      </c>
      <c r="BP206" s="113">
        <f>INDEX('Gen. Plant Depreciation'!$E$7:$AD$94,MATCH($C206,'Gen. Plant Depreciation'!$D$7:$D$94,0),MATCH(Calculation!$G206,'Gen. Plant Depreciation'!$E$5:$AD$5,0))</f>
        <v>19120</v>
      </c>
      <c r="BQ206" s="113"/>
      <c r="BR206" s="113"/>
      <c r="BS206" s="113"/>
      <c r="BT206" s="113"/>
      <c r="BU206" s="113"/>
      <c r="BV206" s="113"/>
      <c r="BW206" s="113">
        <f>INDEX('Gross Dx Plant'!$E$7:$AD$91,MATCH($C206,'Gross Dx Plant'!$D$7:$D$91,0),MATCH(Calculation!$G206,'Gross Dx Plant'!$E$5:$AD$5,0))</f>
        <v>435850</v>
      </c>
      <c r="BX206" s="113">
        <f>INDEX('Gross Gen Plant'!$E$7:$AD$91,MATCH($C206,'Gross Gen Plant'!$D$7:$D$91,0),MATCH(Calculation!$G206,'Gross Gen Plant'!$E$5:$AD$5,0))</f>
        <v>39958</v>
      </c>
      <c r="BY206" s="113">
        <f t="shared" si="313"/>
        <v>277828</v>
      </c>
      <c r="BZ206" s="113"/>
      <c r="CA206" s="116">
        <v>2001</v>
      </c>
      <c r="CB206" s="113"/>
      <c r="CC206" s="113"/>
      <c r="CD206" s="113"/>
      <c r="CE206" s="175"/>
      <c r="CF206" s="113">
        <f t="shared" si="410"/>
        <v>19595</v>
      </c>
      <c r="CG206" s="113">
        <f t="shared" si="411"/>
        <v>55.439652686935773</v>
      </c>
      <c r="CH206" s="178">
        <v>0.98461538461538467</v>
      </c>
      <c r="CI206" s="61">
        <f>+CI203*CH206+CG204*CH205+CG205*CH203+CG206</f>
        <v>1453.7529537239261</v>
      </c>
      <c r="CJ206" s="114">
        <f t="shared" si="412"/>
        <v>3.3738867343363725E-2</v>
      </c>
      <c r="CK206" s="114"/>
      <c r="CL206" s="169">
        <f t="shared" si="413"/>
        <v>5.1296621073859665E-3</v>
      </c>
      <c r="CM206" s="169">
        <f>+(CL206+CL205+CL204)/3</f>
        <v>5.0826078641303092E-3</v>
      </c>
      <c r="CN206" s="114">
        <f>VLOOKUP($H206,RoR!$E:$F,2,FALSE)</f>
        <v>7.0824999999999999E-2</v>
      </c>
      <c r="CO206" s="169">
        <v>2.2454495382290052E-2</v>
      </c>
      <c r="CP206" s="169">
        <f t="shared" si="419"/>
        <v>4.8370504617709947E-2</v>
      </c>
      <c r="CQ206" s="169">
        <f>+$CP$2-CM206</f>
        <v>2.5819333744403317E-2</v>
      </c>
      <c r="CR206" s="169">
        <f>+((DE204/DE203-1)+(DE205/DE204-1)+(DE206/DE205-1))/3</f>
        <v>2.3947275901631187E-2</v>
      </c>
      <c r="CS206" s="179">
        <f t="shared" si="414"/>
        <v>0.87050000000000005</v>
      </c>
      <c r="CT206" s="180">
        <f t="shared" si="415"/>
        <v>0.72406708481540816</v>
      </c>
      <c r="CU206" s="180">
        <f t="shared" si="416"/>
        <v>0.62201729615248857</v>
      </c>
      <c r="CV206" s="180">
        <f t="shared" si="417"/>
        <v>0.9352469954311422</v>
      </c>
      <c r="CW206" s="180">
        <f t="shared" si="418"/>
        <v>0.42121864641655071</v>
      </c>
      <c r="CX206" s="181">
        <f>INDEX('State Tax Lookup'!$D$7:$Z$91,MATCH(Calculation!$C206,'State Tax Lookup'!$B$7:$B$91,0),MATCH($H206,'State Tax Lookup'!$D$6:$Z$6,0))</f>
        <v>0.35</v>
      </c>
      <c r="CY206" s="72">
        <v>0.37</v>
      </c>
      <c r="CZ206" s="70">
        <f t="shared" ref="CZ206:CZ227" si="420">+(DE206*CQ206-CR206)*CS206/(1-CX206)</f>
        <v>12.18944890923853</v>
      </c>
      <c r="DA206" s="70"/>
      <c r="DB206" s="69"/>
      <c r="DC206" s="111">
        <f>VLOOKUP($H206,RoR!$E:$F,2,FALSE)</f>
        <v>7.0824999999999999E-2</v>
      </c>
      <c r="DD206" s="216">
        <f>HLOOKUP($H206,'GDP-PI'!$D$8:$CQ$11,3,FALSE)</f>
        <v>2.2454495382290052E-2</v>
      </c>
      <c r="DE206" s="111">
        <f>VLOOKUP(H206,'HW Dx Data'!$E:$F,2,FALSE)</f>
        <v>353.44738017483138</v>
      </c>
      <c r="DF206" s="66"/>
      <c r="DG206" s="69"/>
      <c r="DH206" s="66">
        <f>HLOOKUP(H206,'GDP-PI'!$8:$9,2,FALSE)</f>
        <v>79.822000000000003</v>
      </c>
      <c r="DI206"/>
      <c r="EB206"/>
    </row>
    <row r="207" spans="1:132" s="160" customFormat="1" ht="21">
      <c r="A207" s="160" t="s">
        <v>172</v>
      </c>
      <c r="B207" s="161" t="s">
        <v>172</v>
      </c>
      <c r="C207" s="161">
        <v>4057112</v>
      </c>
      <c r="D207" s="161" t="s">
        <v>146</v>
      </c>
      <c r="E207" s="161"/>
      <c r="F207" s="161"/>
      <c r="G207" s="161" t="s">
        <v>113</v>
      </c>
      <c r="H207" s="162">
        <v>2002</v>
      </c>
      <c r="I207" s="163"/>
      <c r="J207" s="159"/>
      <c r="K207" s="159"/>
      <c r="L207" s="159"/>
      <c r="M207" s="60"/>
      <c r="N207" s="152"/>
      <c r="O207" s="60"/>
      <c r="P207" s="60"/>
      <c r="Q207" s="159"/>
      <c r="R207" s="159"/>
      <c r="S207" s="159"/>
      <c r="T207" s="159"/>
      <c r="U207" s="159"/>
      <c r="V207" s="159"/>
      <c r="W207" s="159">
        <f t="shared" si="408"/>
        <v>17952.446587711671</v>
      </c>
      <c r="X207" s="163"/>
      <c r="Y207" s="167">
        <v>1495.1318812327834</v>
      </c>
      <c r="Z207" s="168">
        <v>2.8065961178362912E-2</v>
      </c>
      <c r="AA207" s="78"/>
      <c r="AB207" s="168"/>
      <c r="AC207" s="168"/>
      <c r="AD207" s="163">
        <f t="shared" si="355"/>
        <v>17952.446587711671</v>
      </c>
      <c r="AE207" s="168"/>
      <c r="AF207" s="163"/>
      <c r="AG207" s="163"/>
      <c r="AH207" s="163"/>
      <c r="AI207" s="163"/>
      <c r="AJ207" s="167"/>
      <c r="AK207" s="168"/>
      <c r="AL207" s="115"/>
      <c r="AM207" s="115"/>
      <c r="AN207" s="115"/>
      <c r="AO207" s="115"/>
      <c r="AP207" s="115"/>
      <c r="AQ207" s="168"/>
      <c r="AR207" s="79"/>
      <c r="AS207" s="115"/>
      <c r="AT207" s="115"/>
      <c r="AU207" s="115"/>
      <c r="AV207" s="113">
        <f>IFERROR(INDEX('Total Customers'!$F$7:$AB$91,MATCH($C207,'Total Customers'!$D$7:$D$91,0),MATCH($G207,'Total Customers'!$F$5:$AB$5,0)),"NA")</f>
        <v>204735</v>
      </c>
      <c r="AW207" s="68">
        <f t="shared" si="403"/>
        <v>2.8270941631999696E-2</v>
      </c>
      <c r="AX207" s="114"/>
      <c r="AY207" s="114"/>
      <c r="AZ207" s="116"/>
      <c r="BA207" s="116"/>
      <c r="BB207" s="166"/>
      <c r="BC207" s="166"/>
      <c r="BD207" s="166"/>
      <c r="BE207" s="166"/>
      <c r="BF207" s="166"/>
      <c r="BG207" s="166"/>
      <c r="BH207" s="166"/>
      <c r="BI207" s="113"/>
      <c r="BJ207" s="113"/>
      <c r="BK207" s="113">
        <f>INDEX('Dist. Plant Gas Additions'!$F$7:$AE$91,MATCH($C207,'Dist. Plant Gas Additions'!$D$7:$D$91,0),MATCH(Calculation!$G207,'Dist. Plant Gas Additions'!$F$5:$AE$5,0))</f>
        <v>14800</v>
      </c>
      <c r="BL207" s="113">
        <f>INDEX('Gen. Plant Additions'!$F$7:$AE$91,MATCH($C207,'Gen. Plant Additions'!$D$7:$D$91,0),MATCH(Calculation!$G207,'Gen. Plant Additions'!$F$5:$AE$5,0))</f>
        <v>3130</v>
      </c>
      <c r="BM207" s="231">
        <f t="shared" si="409"/>
        <v>0.91662186136332968</v>
      </c>
      <c r="BN207" s="61">
        <f t="shared" si="407"/>
        <v>2869.026426067222</v>
      </c>
      <c r="BO207" s="113">
        <f>INDEX('Dist Plant Depreciation'!$E$7:$AD$94,MATCH($C207,'Dist Plant Depreciation'!$D$7:$D$94,0),MATCH(Calculation!$G207,'Dist Plant Depreciation'!$E$5:$AD$5,0))</f>
        <v>152003</v>
      </c>
      <c r="BP207" s="113">
        <f>INDEX('Gen. Plant Depreciation'!$E$7:$AD$94,MATCH($C207,'Gen. Plant Depreciation'!$D$7:$D$94,0),MATCH(Calculation!$G207,'Gen. Plant Depreciation'!$E$5:$AD$5,0))</f>
        <v>14518</v>
      </c>
      <c r="BQ207" s="113"/>
      <c r="BR207" s="113"/>
      <c r="BS207" s="113"/>
      <c r="BT207" s="113"/>
      <c r="BU207" s="113"/>
      <c r="BV207" s="113"/>
      <c r="BW207" s="113">
        <f>INDEX('Gross Dx Plant'!$E$7:$AD$91,MATCH($C207,'Gross Dx Plant'!$D$7:$D$91,0),MATCH(Calculation!$G207,'Gross Dx Plant'!$E$5:$AD$5,0))</f>
        <v>455188</v>
      </c>
      <c r="BX207" s="113">
        <f>INDEX('Gross Gen Plant'!$E$7:$AD$91,MATCH($C207,'Gross Gen Plant'!$D$7:$D$91,0),MATCH(Calculation!$G207,'Gross Gen Plant'!$E$5:$AD$5,0))</f>
        <v>41405</v>
      </c>
      <c r="BY207" s="113">
        <f t="shared" si="313"/>
        <v>330072</v>
      </c>
      <c r="BZ207" s="113"/>
      <c r="CA207" s="116">
        <v>2002</v>
      </c>
      <c r="CB207" s="113"/>
      <c r="CC207" s="113"/>
      <c r="CD207" s="113"/>
      <c r="CE207" s="175"/>
      <c r="CF207" s="113">
        <f t="shared" si="410"/>
        <v>17930</v>
      </c>
      <c r="CG207" s="113">
        <f t="shared" si="411"/>
        <v>49.619734373280593</v>
      </c>
      <c r="CH207" s="178">
        <v>0.97916666666666663</v>
      </c>
      <c r="CI207" s="61">
        <f>+CI203*CH207+CG204*CH206+CG205*CH205+CG206*CH204+CG207</f>
        <v>1495.1318812327834</v>
      </c>
      <c r="CJ207" s="114">
        <f t="shared" si="412"/>
        <v>2.8065961178362912E-2</v>
      </c>
      <c r="CK207" s="114"/>
      <c r="CL207" s="169">
        <f t="shared" si="413"/>
        <v>5.6686432473369878E-3</v>
      </c>
      <c r="CM207" s="169">
        <f t="shared" ref="CM207:CM226" si="421">+(CL207+CL206+CL205)/3</f>
        <v>5.3137808205395284E-3</v>
      </c>
      <c r="CN207" s="114">
        <f>VLOOKUP($H207,RoR!$E:$F,2,FALSE)</f>
        <v>6.4916666666666664E-2</v>
      </c>
      <c r="CO207" s="169">
        <v>1.5246423291824351E-2</v>
      </c>
      <c r="CP207" s="169">
        <f t="shared" si="419"/>
        <v>4.9670243374842313E-2</v>
      </c>
      <c r="CQ207" s="169">
        <f t="shared" ref="CQ207:CQ227" si="422">+$CP$2-CM207</f>
        <v>2.5588160787994096E-2</v>
      </c>
      <c r="CR207" s="169">
        <f t="shared" ref="CR207:CR227" si="423">+((DE205/DE204-1)+(DE206/DE205-1)+(DE207/DE206-1))/3</f>
        <v>2.5243621214759093E-2</v>
      </c>
      <c r="CS207" s="179">
        <f t="shared" si="414"/>
        <v>0.87050000000000005</v>
      </c>
      <c r="CT207" s="180">
        <f t="shared" si="415"/>
        <v>0.78996741384417901</v>
      </c>
      <c r="CU207" s="180">
        <f t="shared" si="416"/>
        <v>0.58989088575096271</v>
      </c>
      <c r="CV207" s="180">
        <f t="shared" si="417"/>
        <v>0.91920675783645744</v>
      </c>
      <c r="CW207" s="180">
        <f t="shared" si="418"/>
        <v>0.42834536472275586</v>
      </c>
      <c r="CX207" s="181">
        <f>INDEX('State Tax Lookup'!$D$7:$Z$91,MATCH(Calculation!$C207,'State Tax Lookup'!$B$7:$B$91,0),MATCH($H207,'State Tax Lookup'!$D$6:$Z$6,0))</f>
        <v>0.35</v>
      </c>
      <c r="CY207" s="72">
        <v>0.37</v>
      </c>
      <c r="CZ207" s="70">
        <f t="shared" si="420"/>
        <v>12.349035330745005</v>
      </c>
      <c r="DA207" s="70"/>
      <c r="DB207" s="69">
        <f>LN(CZ207/CZ206)</f>
        <v>1.3007215111056292E-2</v>
      </c>
      <c r="DC207" s="111">
        <f>VLOOKUP($H207,RoR!$E:$F,2,FALSE)</f>
        <v>6.4916666666666664E-2</v>
      </c>
      <c r="DD207" s="216">
        <f>HLOOKUP($H207,'GDP-PI'!$D$8:$CQ$11,3,FALSE)</f>
        <v>1.5246423291824351E-2</v>
      </c>
      <c r="DE207" s="111">
        <f>VLOOKUP(H207,'HW Dx Data'!$E:$F,2,FALSE)</f>
        <v>361.34816573413599</v>
      </c>
      <c r="DF207" s="66"/>
      <c r="DG207" s="69"/>
      <c r="DH207" s="66">
        <f>HLOOKUP(H207,'GDP-PI'!$8:$9,2,FALSE)</f>
        <v>81.039000000000001</v>
      </c>
      <c r="DI207" s="69">
        <f>LN(DH207/DH206)</f>
        <v>1.513136459537477E-2</v>
      </c>
      <c r="EB207"/>
    </row>
    <row r="208" spans="1:132" s="160" customFormat="1" ht="21">
      <c r="A208" s="160" t="s">
        <v>172</v>
      </c>
      <c r="B208" s="161" t="s">
        <v>172</v>
      </c>
      <c r="C208" s="161">
        <v>4057112</v>
      </c>
      <c r="D208" s="161" t="s">
        <v>146</v>
      </c>
      <c r="E208" s="161"/>
      <c r="F208" s="161"/>
      <c r="G208" s="161" t="s">
        <v>114</v>
      </c>
      <c r="H208" s="162">
        <v>2003</v>
      </c>
      <c r="I208" s="163"/>
      <c r="J208" s="159"/>
      <c r="K208" s="159"/>
      <c r="L208" s="165"/>
      <c r="M208" s="76"/>
      <c r="N208" s="152"/>
      <c r="O208" s="76"/>
      <c r="P208" s="76"/>
      <c r="Q208" s="159"/>
      <c r="R208" s="159"/>
      <c r="S208" s="159"/>
      <c r="T208" s="159"/>
      <c r="U208" s="159"/>
      <c r="V208" s="159"/>
      <c r="W208" s="159">
        <f t="shared" si="408"/>
        <v>18745.018375779644</v>
      </c>
      <c r="X208" s="163"/>
      <c r="Y208" s="167">
        <v>1555.3410847747389</v>
      </c>
      <c r="Z208" s="168">
        <v>3.9480450876779427E-2</v>
      </c>
      <c r="AA208" s="78"/>
      <c r="AB208" s="168"/>
      <c r="AC208" s="168"/>
      <c r="AD208" s="163">
        <f t="shared" si="355"/>
        <v>18745.018375779644</v>
      </c>
      <c r="AE208" s="168"/>
      <c r="AF208" s="163"/>
      <c r="AG208" s="163"/>
      <c r="AH208" s="163"/>
      <c r="AI208" s="163"/>
      <c r="AJ208" s="167"/>
      <c r="AK208" s="168"/>
      <c r="AL208" s="115"/>
      <c r="AM208" s="115"/>
      <c r="AN208" s="115"/>
      <c r="AO208" s="115"/>
      <c r="AP208" s="115"/>
      <c r="AQ208" s="168"/>
      <c r="AR208" s="79"/>
      <c r="AS208" s="115"/>
      <c r="AT208" s="115"/>
      <c r="AU208" s="115"/>
      <c r="AV208" s="113">
        <f>IFERROR(INDEX('Total Customers'!$F$7:$AB$91,MATCH($C208,'Total Customers'!$D$7:$D$91,0),MATCH($G208,'Total Customers'!$F$5:$AB$5,0)),"NA")</f>
        <v>212428</v>
      </c>
      <c r="AW208" s="68">
        <f t="shared" si="403"/>
        <v>3.6886647445130052E-2</v>
      </c>
      <c r="AX208" s="114"/>
      <c r="AY208" s="114"/>
      <c r="AZ208" s="116"/>
      <c r="BA208" s="116"/>
      <c r="BB208" s="166"/>
      <c r="BC208" s="166"/>
      <c r="BD208" s="166"/>
      <c r="BE208" s="166"/>
      <c r="BF208" s="166"/>
      <c r="BG208" s="166"/>
      <c r="BH208" s="166"/>
      <c r="BI208" s="113"/>
      <c r="BJ208" s="113"/>
      <c r="BK208" s="113">
        <f>INDEX('Dist. Plant Gas Additions'!$F$7:$AE$91,MATCH($C208,'Dist. Plant Gas Additions'!$D$7:$D$91,0),MATCH(Calculation!$G208,'Dist. Plant Gas Additions'!$F$5:$AE$5,0))</f>
        <v>22030</v>
      </c>
      <c r="BL208" s="113">
        <f>INDEX('Gen. Plant Additions'!$F$7:$AE$91,MATCH($C208,'Gen. Plant Additions'!$D$7:$D$91,0),MATCH(Calculation!$G208,'Gen. Plant Additions'!$F$5:$AE$5,0))</f>
        <v>3332</v>
      </c>
      <c r="BM208" s="231">
        <f t="shared" si="409"/>
        <v>0.9145478284771853</v>
      </c>
      <c r="BN208" s="61">
        <f t="shared" si="407"/>
        <v>3047.2733644859813</v>
      </c>
      <c r="BO208" s="113">
        <f>INDEX('Dist Plant Depreciation'!$E$7:$AD$94,MATCH($C208,'Dist Plant Depreciation'!$D$7:$D$94,0),MATCH(Calculation!$G208,'Dist Plant Depreciation'!$E$5:$AD$5,0))</f>
        <v>202689</v>
      </c>
      <c r="BP208" s="113">
        <f>INDEX('Gen. Plant Depreciation'!$E$7:$AD$94,MATCH($C208,'Gen. Plant Depreciation'!$D$7:$D$94,0),MATCH(Calculation!$G208,'Gen. Plant Depreciation'!$E$5:$AD$5,0))</f>
        <v>20976</v>
      </c>
      <c r="BQ208" s="113"/>
      <c r="BR208" s="113"/>
      <c r="BS208" s="113"/>
      <c r="BT208" s="113"/>
      <c r="BU208" s="113"/>
      <c r="BV208" s="113"/>
      <c r="BW208" s="113">
        <f>INDEX('Gross Dx Plant'!$E$7:$AD$91,MATCH($C208,'Gross Dx Plant'!$D$7:$D$91,0),MATCH(Calculation!$G208,'Gross Dx Plant'!$E$5:$AD$5,0))</f>
        <v>479106</v>
      </c>
      <c r="BX208" s="113">
        <f>INDEX('Gross Gen Plant'!$E$7:$AD$91,MATCH($C208,'Gross Gen Plant'!$D$7:$D$91,0),MATCH(Calculation!$G208,'Gross Gen Plant'!$E$5:$AD$5,0))</f>
        <v>44766</v>
      </c>
      <c r="BY208" s="113">
        <f t="shared" si="313"/>
        <v>300207</v>
      </c>
      <c r="BZ208" s="113"/>
      <c r="CA208" s="116">
        <v>2003</v>
      </c>
      <c r="CB208" s="113"/>
      <c r="CC208" s="113"/>
      <c r="CD208" s="113"/>
      <c r="CE208" s="175"/>
      <c r="CF208" s="113">
        <f t="shared" si="410"/>
        <v>25362</v>
      </c>
      <c r="CG208" s="113">
        <f t="shared" si="411"/>
        <v>68.688332969907805</v>
      </c>
      <c r="CH208" s="178">
        <v>0.97354497354497349</v>
      </c>
      <c r="CI208" s="61">
        <f>+CI203*CH208+CG204*CH207+CG205*CH206+CG206*CH205+CG207*CH204+CG208</f>
        <v>1555.3410847747389</v>
      </c>
      <c r="CJ208" s="114">
        <f t="shared" si="412"/>
        <v>3.9480450876779427E-2</v>
      </c>
      <c r="CK208" s="114"/>
      <c r="CL208" s="169">
        <f t="shared" si="413"/>
        <v>5.6711581997442202E-3</v>
      </c>
      <c r="CM208" s="169">
        <f t="shared" si="421"/>
        <v>5.4898211848223924E-3</v>
      </c>
      <c r="CN208" s="114">
        <f>VLOOKUP($H208,RoR!$E:$F,2,FALSE)</f>
        <v>5.6666666666666671E-2</v>
      </c>
      <c r="CO208" s="169">
        <v>1.8855119140166909E-2</v>
      </c>
      <c r="CP208" s="169">
        <f t="shared" si="419"/>
        <v>3.7811547526499761E-2</v>
      </c>
      <c r="CQ208" s="169">
        <f t="shared" si="422"/>
        <v>2.5412120423711233E-2</v>
      </c>
      <c r="CR208" s="169">
        <f t="shared" si="423"/>
        <v>2.1375012817671957E-2</v>
      </c>
      <c r="CS208" s="179">
        <f t="shared" si="414"/>
        <v>0.87050000000000005</v>
      </c>
      <c r="CT208" s="180">
        <f t="shared" si="415"/>
        <v>0.90497737556561086</v>
      </c>
      <c r="CU208" s="180">
        <f t="shared" si="416"/>
        <v>0.5338235294117647</v>
      </c>
      <c r="CV208" s="180">
        <f t="shared" si="417"/>
        <v>0.88972433127405692</v>
      </c>
      <c r="CW208" s="180">
        <f t="shared" si="418"/>
        <v>0.42982423775949252</v>
      </c>
      <c r="CX208" s="181">
        <f>INDEX('State Tax Lookup'!$D$7:$Z$91,MATCH(Calculation!$C208,'State Tax Lookup'!$B$7:$B$91,0),MATCH($H208,'State Tax Lookup'!$D$6:$Z$6,0))</f>
        <v>0.35</v>
      </c>
      <c r="CY208" s="72">
        <v>0.37</v>
      </c>
      <c r="CZ208" s="70">
        <f t="shared" si="420"/>
        <v>12.537367847660224</v>
      </c>
      <c r="DA208" s="70"/>
      <c r="DB208" s="69">
        <f t="shared" ref="DB208:DB227" si="424">LN(CZ208/CZ207)</f>
        <v>1.5135663514692723E-2</v>
      </c>
      <c r="DC208" s="111">
        <f>VLOOKUP($H208,RoR!$E:$F,2,FALSE)</f>
        <v>5.6666666666666671E-2</v>
      </c>
      <c r="DD208" s="216">
        <f>HLOOKUP($H208,'GDP-PI'!$D$8:$CQ$11,3,FALSE)</f>
        <v>1.8855119140166909E-2</v>
      </c>
      <c r="DE208" s="111">
        <f>VLOOKUP(H208,'HW Dx Data'!$E:$F,2,FALSE)</f>
        <v>369.23301095560191</v>
      </c>
      <c r="DF208" s="66"/>
      <c r="DG208" s="69"/>
      <c r="DH208" s="66">
        <f>HLOOKUP(H208,'GDP-PI'!$8:$9,2,FALSE)</f>
        <v>82.566999999999993</v>
      </c>
      <c r="DI208" s="69">
        <f t="shared" ref="DI208:DI227" si="425">LN(DH208/DH207)</f>
        <v>1.8679564681853753E-2</v>
      </c>
      <c r="EB208"/>
    </row>
    <row r="209" spans="1:132" s="160" customFormat="1" ht="21">
      <c r="A209" s="160" t="s">
        <v>172</v>
      </c>
      <c r="B209" s="161" t="s">
        <v>172</v>
      </c>
      <c r="C209" s="161">
        <v>4057112</v>
      </c>
      <c r="D209" s="161" t="s">
        <v>146</v>
      </c>
      <c r="E209" s="161"/>
      <c r="F209" s="161"/>
      <c r="G209" s="161" t="s">
        <v>115</v>
      </c>
      <c r="H209" s="162">
        <v>2004</v>
      </c>
      <c r="I209" s="163"/>
      <c r="J209" s="159">
        <f>IFERROR(INDEX('Labor Expenditures'!$F$7:$X$91,MATCH($C209,'Labor Expenditures'!$D$7:$D$91,0),MATCH($G209,'Labor Expenditures'!$F$5:$X$5,0)),"NA")</f>
        <v>13843.805791863038</v>
      </c>
      <c r="K209" s="159">
        <f t="shared" ref="K209:K227" si="426">+J209/DF209</f>
        <v>146.72820129160613</v>
      </c>
      <c r="L209" s="165"/>
      <c r="M209" s="76"/>
      <c r="N209" s="152"/>
      <c r="O209" s="76"/>
      <c r="P209" s="76"/>
      <c r="Q209" s="159">
        <f>IFERROR(INDEX('Non-Labor Expenditures'!$F$7:$AB$91,MATCH($C209,'Non-Labor Expenditures'!$D$7:$D$91,0),MATCH($G209,'Non-Labor Expenditures'!$F$5:$AB$5,0)),"NA")</f>
        <v>20048.416452874102</v>
      </c>
      <c r="R209" s="159">
        <f t="shared" ref="R209:R227" si="427">+Q209/DH209</f>
        <v>236.48135663585012</v>
      </c>
      <c r="S209" s="159"/>
      <c r="T209" s="159"/>
      <c r="U209" s="159"/>
      <c r="V209" s="159"/>
      <c r="W209" s="159">
        <f t="shared" si="408"/>
        <v>21638.030646030031</v>
      </c>
      <c r="X209" s="163"/>
      <c r="Y209" s="167">
        <v>1621.4516445688685</v>
      </c>
      <c r="Z209" s="168">
        <v>4.1626956201277383E-2</v>
      </c>
      <c r="AA209" s="76">
        <f t="shared" ref="AA209:AA227" si="428">+Z209*$AR209</f>
        <v>0</v>
      </c>
      <c r="AB209" s="168"/>
      <c r="AC209" s="168"/>
      <c r="AD209" s="163">
        <f t="shared" si="355"/>
        <v>55530.252890767166</v>
      </c>
      <c r="AE209" s="168"/>
      <c r="AF209" s="163"/>
      <c r="AG209" s="163"/>
      <c r="AH209" s="163"/>
      <c r="AI209" s="163"/>
      <c r="AJ209" s="167"/>
      <c r="AK209" s="168"/>
      <c r="AL209" s="115">
        <f t="shared" ref="AL209:AL227" si="429">+J209/AD209</f>
        <v>0.24930204836442951</v>
      </c>
      <c r="AM209" s="115">
        <f t="shared" ref="AM209:AM227" si="430">+Q209/AD209</f>
        <v>0.36103592923142419</v>
      </c>
      <c r="AN209" s="115">
        <f t="shared" ref="AN209:AN227" si="431">+W209/AD209</f>
        <v>0.38966202240414638</v>
      </c>
      <c r="AO209" s="115"/>
      <c r="AP209" s="115"/>
      <c r="AQ209" s="168"/>
      <c r="AR209" s="79"/>
      <c r="AS209" s="115"/>
      <c r="AT209" s="115"/>
      <c r="AU209" s="115"/>
      <c r="AV209" s="113">
        <f>IFERROR(INDEX('Total Customers'!$F$7:$AB$91,MATCH($C209,'Total Customers'!$D$7:$D$91,0),MATCH($G209,'Total Customers'!$F$5:$AB$5,0)),"NA")</f>
        <v>217336</v>
      </c>
      <c r="AW209" s="68">
        <f t="shared" si="403"/>
        <v>2.2841435700519976E-2</v>
      </c>
      <c r="AX209" s="114"/>
      <c r="AY209" s="114"/>
      <c r="AZ209" s="116"/>
      <c r="BA209" s="116"/>
      <c r="BB209" s="166"/>
      <c r="BC209" s="166"/>
      <c r="BD209" s="166"/>
      <c r="BE209" s="166"/>
      <c r="BF209" s="166"/>
      <c r="BG209" s="166"/>
      <c r="BH209" s="166"/>
      <c r="BI209" s="113"/>
      <c r="BJ209" s="113"/>
      <c r="BK209" s="113">
        <f>INDEX('Dist. Plant Gas Additions'!$F$7:$AE$91,MATCH($C209,'Dist. Plant Gas Additions'!$D$7:$D$91,0),MATCH(Calculation!$G209,'Dist. Plant Gas Additions'!$F$5:$AE$5,0))</f>
        <v>29310</v>
      </c>
      <c r="BL209" s="113">
        <f>INDEX('Gen. Plant Additions'!$F$7:$AE$91,MATCH($C209,'Gen. Plant Additions'!$D$7:$D$91,0),MATCH(Calculation!$G209,'Gen. Plant Additions'!$F$5:$AE$5,0))</f>
        <v>1891</v>
      </c>
      <c r="BM209" s="231">
        <f t="shared" si="409"/>
        <v>0.91511315340509825</v>
      </c>
      <c r="BN209" s="61">
        <f t="shared" si="407"/>
        <v>1730.4789730890409</v>
      </c>
      <c r="BO209" s="113">
        <f>INDEX('Dist Plant Depreciation'!$E$7:$AD$94,MATCH($C209,'Dist Plant Depreciation'!$D$7:$D$94,0),MATCH(Calculation!$G209,'Dist Plant Depreciation'!$E$5:$AD$5,0))</f>
        <v>216083</v>
      </c>
      <c r="BP209" s="113">
        <f>INDEX('Gen. Plant Depreciation'!$E$7:$AD$94,MATCH($C209,'Gen. Plant Depreciation'!$D$7:$D$94,0),MATCH(Calculation!$G209,'Gen. Plant Depreciation'!$E$5:$AD$5,0))</f>
        <v>22678</v>
      </c>
      <c r="BQ209" s="113"/>
      <c r="BR209" s="113"/>
      <c r="BS209" s="113"/>
      <c r="BT209" s="113"/>
      <c r="BU209" s="113"/>
      <c r="BV209" s="113"/>
      <c r="BW209" s="113">
        <f>INDEX('Gross Dx Plant'!$E$7:$AD$91,MATCH($C209,'Gross Dx Plant'!$D$7:$D$91,0),MATCH(Calculation!$G209,'Gross Dx Plant'!$E$5:$AD$5,0))</f>
        <v>514397</v>
      </c>
      <c r="BX209" s="113">
        <f>INDEX('Gross Gen Plant'!$E$7:$AD$91,MATCH($C209,'Gross Gen Plant'!$D$7:$D$91,0),MATCH(Calculation!$G209,'Gross Gen Plant'!$E$5:$AD$5,0))</f>
        <v>47716</v>
      </c>
      <c r="BY209" s="113">
        <f t="shared" si="313"/>
        <v>323352</v>
      </c>
      <c r="BZ209" s="113"/>
      <c r="CA209" s="116">
        <v>2004</v>
      </c>
      <c r="CB209" s="113"/>
      <c r="CC209" s="113"/>
      <c r="CD209" s="113"/>
      <c r="CE209" s="175"/>
      <c r="CF209" s="113">
        <f t="shared" si="410"/>
        <v>31201</v>
      </c>
      <c r="CG209" s="113">
        <f t="shared" si="411"/>
        <v>75.203574972520684</v>
      </c>
      <c r="CH209" s="178">
        <v>0.967741935483871</v>
      </c>
      <c r="CI209" s="61">
        <f>+CI203*CH209+CG204*CH208+CG205*CH207+CG206*CH206+CG207*CH205+CG208*CH204+CG209</f>
        <v>1621.4516445688685</v>
      </c>
      <c r="CJ209" s="114">
        <f t="shared" si="412"/>
        <v>4.1626956201277383E-2</v>
      </c>
      <c r="CK209" s="114"/>
      <c r="CL209" s="169">
        <f t="shared" si="413"/>
        <v>5.8463158129125397E-3</v>
      </c>
      <c r="CM209" s="169">
        <f t="shared" si="421"/>
        <v>5.7287057533312495E-3</v>
      </c>
      <c r="CN209" s="114">
        <f>VLOOKUP($H209,RoR!$E:$F,2,FALSE)</f>
        <v>5.6283333333333331E-2</v>
      </c>
      <c r="CO209" s="169">
        <v>2.6778252812867276E-2</v>
      </c>
      <c r="CP209" s="169">
        <f t="shared" si="419"/>
        <v>2.9505080520466055E-2</v>
      </c>
      <c r="CQ209" s="169">
        <f t="shared" si="422"/>
        <v>2.5173235855202376E-2</v>
      </c>
      <c r="CR209" s="169">
        <f t="shared" si="423"/>
        <v>5.5940039414565046E-2</v>
      </c>
      <c r="CS209" s="179">
        <f t="shared" si="414"/>
        <v>0.87050000000000005</v>
      </c>
      <c r="CT209" s="180">
        <f t="shared" si="415"/>
        <v>0.91114097628755619</v>
      </c>
      <c r="CU209" s="180">
        <f t="shared" si="416"/>
        <v>0.53081877405981637</v>
      </c>
      <c r="CV209" s="180">
        <f t="shared" si="417"/>
        <v>0.88811215519385678</v>
      </c>
      <c r="CW209" s="180">
        <f t="shared" si="418"/>
        <v>0.42953609753547711</v>
      </c>
      <c r="CX209" s="181">
        <f>INDEX('State Tax Lookup'!$D$7:$Z$91,MATCH(Calculation!$C209,'State Tax Lookup'!$B$7:$B$91,0),MATCH($H209,'State Tax Lookup'!$D$6:$Z$6,0))</f>
        <v>0.35</v>
      </c>
      <c r="CY209" s="72">
        <v>0.37</v>
      </c>
      <c r="CZ209" s="70">
        <f t="shared" si="420"/>
        <v>13.912080673393826</v>
      </c>
      <c r="DA209" s="70"/>
      <c r="DB209" s="69">
        <f t="shared" si="424"/>
        <v>0.10404396320324634</v>
      </c>
      <c r="DC209" s="111">
        <f>VLOOKUP($H209,RoR!$E:$F,2,FALSE)</f>
        <v>5.6283333333333331E-2</v>
      </c>
      <c r="DD209" s="216">
        <f>HLOOKUP($H209,'GDP-PI'!$D$8:$CQ$11,3,FALSE)</f>
        <v>2.6778252812867276E-2</v>
      </c>
      <c r="DE209" s="111">
        <f>VLOOKUP(H209,'HW Dx Data'!$E:$F,2,FALSE)</f>
        <v>414.88719135228365</v>
      </c>
      <c r="DF209" s="72">
        <f>VLOOKUP(G209,EG$8:EH$27,2,FALSE)</f>
        <v>94.35</v>
      </c>
      <c r="DG209" s="69"/>
      <c r="DH209" s="66">
        <f>HLOOKUP(H209,'GDP-PI'!$8:$9,2,FALSE)</f>
        <v>84.778000000000006</v>
      </c>
      <c r="DI209" s="69">
        <f t="shared" si="425"/>
        <v>2.6425990216022755E-2</v>
      </c>
      <c r="EB209"/>
    </row>
    <row r="210" spans="1:132" s="160" customFormat="1" ht="21">
      <c r="A210" s="160" t="s">
        <v>172</v>
      </c>
      <c r="B210" s="161" t="s">
        <v>172</v>
      </c>
      <c r="C210" s="161">
        <v>4057112</v>
      </c>
      <c r="D210" s="161" t="s">
        <v>146</v>
      </c>
      <c r="E210" s="161"/>
      <c r="F210" s="161"/>
      <c r="G210" s="161" t="s">
        <v>116</v>
      </c>
      <c r="H210" s="162">
        <v>2005</v>
      </c>
      <c r="I210" s="163"/>
      <c r="J210" s="159">
        <f>IFERROR(INDEX('Labor Expenditures'!$F$7:$X$91,MATCH($C210,'Labor Expenditures'!$D$7:$D$91,0),MATCH($G210,'Labor Expenditures'!$F$5:$X$5,0)),"NA")</f>
        <v>14720.760992803727</v>
      </c>
      <c r="K210" s="159">
        <f t="shared" si="426"/>
        <v>148.35737962009301</v>
      </c>
      <c r="L210" s="165">
        <f t="shared" ref="L210:L226" si="432">LN(K210/K209)</f>
        <v>1.1042185641268147E-2</v>
      </c>
      <c r="M210" s="76"/>
      <c r="N210" s="62">
        <v>100</v>
      </c>
      <c r="O210" s="77"/>
      <c r="P210" s="77"/>
      <c r="Q210" s="159">
        <f>IFERROR(INDEX('Non-Labor Expenditures'!$F$7:$AB$91,MATCH($C210,'Non-Labor Expenditures'!$D$7:$D$91,0),MATCH($G210,'Non-Labor Expenditures'!$F$5:$AB$5,0)),"NA")</f>
        <v>21318.41137647428</v>
      </c>
      <c r="R210" s="159">
        <f t="shared" si="427"/>
        <v>243.8982161208402</v>
      </c>
      <c r="S210" s="165">
        <f>LN(R210/R209)</f>
        <v>3.0881616685103933E-2</v>
      </c>
      <c r="T210" s="165"/>
      <c r="U210" s="165"/>
      <c r="V210" s="165"/>
      <c r="W210" s="159">
        <f t="shared" si="408"/>
        <v>25328.679163904515</v>
      </c>
      <c r="X210" s="163"/>
      <c r="Y210" s="167">
        <v>1664.0644662169298</v>
      </c>
      <c r="Z210" s="168">
        <v>2.5941258464050029E-2</v>
      </c>
      <c r="AA210" s="76">
        <f t="shared" si="428"/>
        <v>0</v>
      </c>
      <c r="AB210" s="168"/>
      <c r="AC210" s="168"/>
      <c r="AD210" s="163">
        <f t="shared" si="355"/>
        <v>61367.851533182518</v>
      </c>
      <c r="AE210" s="168">
        <f>LN(AD210/AD209)</f>
        <v>9.9958137995005122E-2</v>
      </c>
      <c r="AF210" s="163"/>
      <c r="AG210" s="163"/>
      <c r="AH210" s="163"/>
      <c r="AI210" s="163"/>
      <c r="AJ210" s="116"/>
      <c r="AK210" s="114"/>
      <c r="AL210" s="115">
        <f t="shared" si="429"/>
        <v>0.23987740527047766</v>
      </c>
      <c r="AM210" s="115">
        <f t="shared" si="430"/>
        <v>0.34738728575086408</v>
      </c>
      <c r="AN210" s="115">
        <f t="shared" si="431"/>
        <v>0.41273530897865829</v>
      </c>
      <c r="AO210" s="115">
        <f>+(((AL210+AL209)/2)*L210+((AM209+AM210)/2)*S210+((AN209+AN210)/2)*Z210)</f>
        <v>2.4047030539554055E-2</v>
      </c>
      <c r="AP210" s="166">
        <v>100</v>
      </c>
      <c r="AQ210" s="168"/>
      <c r="AR210" s="16"/>
      <c r="AS210" s="115"/>
      <c r="AT210" s="115"/>
      <c r="AU210" s="115"/>
      <c r="AV210" s="113">
        <f>IFERROR(INDEX('Total Customers'!$F$7:$AB$91,MATCH($C210,'Total Customers'!$D$7:$D$91,0),MATCH($G210,'Total Customers'!$F$5:$AB$5,0)),"NA")</f>
        <v>228224</v>
      </c>
      <c r="AW210" s="68">
        <f t="shared" si="403"/>
        <v>4.8883059678702066E-2</v>
      </c>
      <c r="AX210" s="114"/>
      <c r="AY210" s="114"/>
      <c r="AZ210" s="116"/>
      <c r="BA210" s="116"/>
      <c r="BB210" s="166"/>
      <c r="BC210" s="166"/>
      <c r="BD210" s="166"/>
      <c r="BE210" s="166"/>
      <c r="BF210" s="166"/>
      <c r="BG210" s="166"/>
      <c r="BH210" s="166"/>
      <c r="BI210" s="113"/>
      <c r="BJ210" s="113"/>
      <c r="BK210" s="113">
        <f>INDEX('Dist. Plant Gas Additions'!$F$7:$AE$91,MATCH($C210,'Dist. Plant Gas Additions'!$D$7:$D$91,0),MATCH(Calculation!$G210,'Dist. Plant Gas Additions'!$F$5:$AE$5,0))</f>
        <v>20988</v>
      </c>
      <c r="BL210" s="113">
        <f>INDEX('Gen. Plant Additions'!$F$7:$AE$91,MATCH($C210,'Gen. Plant Additions'!$D$7:$D$91,0),MATCH(Calculation!$G210,'Gen. Plant Additions'!$F$5:$AE$5,0))</f>
        <v>3587</v>
      </c>
      <c r="BM210" s="231">
        <f t="shared" si="409"/>
        <v>0.91517735380754961</v>
      </c>
      <c r="BN210" s="61">
        <f t="shared" si="407"/>
        <v>3282.7411681076806</v>
      </c>
      <c r="BO210" s="113">
        <f>INDEX('Dist Plant Depreciation'!$E$7:$AD$94,MATCH($C210,'Dist Plant Depreciation'!$D$7:$D$94,0),MATCH(Calculation!$G210,'Dist Plant Depreciation'!$E$5:$AD$5,0))</f>
        <v>228552</v>
      </c>
      <c r="BP210" s="113">
        <f>INDEX('Gen. Plant Depreciation'!$E$7:$AD$94,MATCH($C210,'Gen. Plant Depreciation'!$D$7:$D$94,0),MATCH(Calculation!$G210,'Gen. Plant Depreciation'!$E$5:$AD$5,0))</f>
        <v>24350</v>
      </c>
      <c r="BQ210" s="113"/>
      <c r="BR210" s="113"/>
      <c r="BS210" s="113"/>
      <c r="BT210" s="113"/>
      <c r="BU210" s="113"/>
      <c r="BV210" s="113"/>
      <c r="BW210" s="113">
        <f>INDEX('Gross Dx Plant'!$E$7:$AD$91,MATCH($C210,'Gross Dx Plant'!$D$7:$D$91,0),MATCH(Calculation!$G210,'Gross Dx Plant'!$E$5:$AD$5,0))</f>
        <v>536865</v>
      </c>
      <c r="BX210" s="113">
        <f>INDEX('Gross Gen Plant'!$E$7:$AD$91,MATCH($C210,'Gross Gen Plant'!$D$7:$D$91,0),MATCH(Calculation!$G210,'Gross Gen Plant'!$E$5:$AD$5,0))</f>
        <v>49759</v>
      </c>
      <c r="BY210" s="113">
        <f t="shared" si="313"/>
        <v>333722</v>
      </c>
      <c r="BZ210" s="113"/>
      <c r="CA210" s="116">
        <v>2005</v>
      </c>
      <c r="CB210" s="113"/>
      <c r="CC210" s="113"/>
      <c r="CD210" s="113"/>
      <c r="CE210" s="175"/>
      <c r="CF210" s="113">
        <f t="shared" si="410"/>
        <v>24575</v>
      </c>
      <c r="CG210" s="113">
        <f t="shared" si="411"/>
        <v>52.375811530329464</v>
      </c>
      <c r="CH210" s="178">
        <v>0.96174863387978138</v>
      </c>
      <c r="CI210" s="61">
        <f>+CI203*CH210+CG204*CH209+CG205*CH208+CG206*CH207+CG207*CH206+CG208*CH205+CG209*CH204+CG210</f>
        <v>1664.0644662169298</v>
      </c>
      <c r="CJ210" s="114">
        <f t="shared" si="412"/>
        <v>2.5941258464050029E-2</v>
      </c>
      <c r="CK210" s="114"/>
      <c r="CL210" s="169">
        <f t="shared" si="413"/>
        <v>6.0211415585347721E-3</v>
      </c>
      <c r="CM210" s="169">
        <f t="shared" si="421"/>
        <v>5.8462051903971773E-3</v>
      </c>
      <c r="CN210" s="114">
        <f>VLOOKUP($H210,RoR!$E:$F,2,FALSE)</f>
        <v>5.2350000000000001E-2</v>
      </c>
      <c r="CO210" s="169">
        <v>3.1010403642454332E-2</v>
      </c>
      <c r="CP210" s="169">
        <f t="shared" si="419"/>
        <v>2.1339596357545669E-2</v>
      </c>
      <c r="CQ210" s="169">
        <f t="shared" si="422"/>
        <v>2.5055736418136448E-2</v>
      </c>
      <c r="CR210" s="169">
        <f t="shared" si="423"/>
        <v>9.2129610649277341E-2</v>
      </c>
      <c r="CS210" s="179">
        <f t="shared" si="414"/>
        <v>0.87050000000000005</v>
      </c>
      <c r="CT210" s="180">
        <f t="shared" si="415"/>
        <v>0.97959983346802826</v>
      </c>
      <c r="CU210" s="180">
        <f t="shared" si="416"/>
        <v>0.49744508118433622</v>
      </c>
      <c r="CV210" s="180">
        <f t="shared" si="417"/>
        <v>0.87010519444335932</v>
      </c>
      <c r="CW210" s="180">
        <f t="shared" si="418"/>
        <v>0.42399975420741998</v>
      </c>
      <c r="CX210" s="181">
        <f>INDEX('State Tax Lookup'!$D$7:$Z$91,MATCH(Calculation!$C210,'State Tax Lookup'!$B$7:$B$91,0),MATCH($H210,'State Tax Lookup'!$D$6:$Z$6,0))</f>
        <v>0.35</v>
      </c>
      <c r="CY210" s="72">
        <v>0.37</v>
      </c>
      <c r="CZ210" s="70">
        <f t="shared" si="420"/>
        <v>15.620989530427357</v>
      </c>
      <c r="DA210" s="70"/>
      <c r="DB210" s="69">
        <f t="shared" si="424"/>
        <v>0.11585791675415789</v>
      </c>
      <c r="DC210" s="111">
        <f>VLOOKUP($H210,RoR!$E:$F,2,FALSE)</f>
        <v>5.2350000000000001E-2</v>
      </c>
      <c r="DD210" s="216">
        <f>HLOOKUP($H210,'GDP-PI'!$D$8:$CQ$11,3,FALSE)</f>
        <v>3.1010403642454332E-2</v>
      </c>
      <c r="DE210" s="111">
        <f>VLOOKUP(H210,'HW Dx Data'!$E:$F,2,FALSE)</f>
        <v>469.20514034936258</v>
      </c>
      <c r="DF210" s="72">
        <f t="shared" ref="DF210:DF228" si="433">VLOOKUP(G210,EG$8:EH$27,2,FALSE)</f>
        <v>99.224999999999994</v>
      </c>
      <c r="DG210" s="69">
        <f t="shared" ref="DG210:DG228" si="434">LN(DF210/DF209)</f>
        <v>5.0378726854569796E-2</v>
      </c>
      <c r="DH210" s="66">
        <f>HLOOKUP(H210,'GDP-PI'!$8:$9,2,FALSE)</f>
        <v>87.406999999999996</v>
      </c>
      <c r="DI210" s="69">
        <f t="shared" si="425"/>
        <v>3.0539295810733648E-2</v>
      </c>
      <c r="EB210"/>
    </row>
    <row r="211" spans="1:132" s="160" customFormat="1" ht="21">
      <c r="A211" s="160" t="s">
        <v>172</v>
      </c>
      <c r="B211" s="161" t="s">
        <v>172</v>
      </c>
      <c r="C211" s="161">
        <v>4057112</v>
      </c>
      <c r="D211" s="161" t="s">
        <v>146</v>
      </c>
      <c r="E211" s="161"/>
      <c r="F211" s="161"/>
      <c r="G211" s="161" t="s">
        <v>117</v>
      </c>
      <c r="H211" s="162">
        <v>2006</v>
      </c>
      <c r="I211" s="163"/>
      <c r="J211" s="159">
        <f>IFERROR(INDEX('Labor Expenditures'!$F$7:$X$91,MATCH($C211,'Labor Expenditures'!$D$7:$D$91,0),MATCH($G211,'Labor Expenditures'!$F$5:$X$5,0)),"NA")</f>
        <v>16145.720866568639</v>
      </c>
      <c r="K211" s="159">
        <f t="shared" si="426"/>
        <v>147.5842858004446</v>
      </c>
      <c r="L211" s="165">
        <f t="shared" si="432"/>
        <v>-5.2246484261758092E-3</v>
      </c>
      <c r="M211" s="76">
        <f t="shared" ref="M211:M227" si="435">+L211*$AR211</f>
        <v>-4.2607050630116426E-5</v>
      </c>
      <c r="N211" s="62">
        <f>+N210*EXP(O211)</f>
        <v>106.10595685046422</v>
      </c>
      <c r="O211" s="96">
        <f t="shared" ref="O211:O227" si="436">+M211+M236+M261+M286+M311+M336+M361+M386+M411+M436+M461+M486+M511+M536+M561+M586+M611+M636+M661+M686+M711+M736+M761+M786+M811+M836+M861+M886+M911+M936+M961+M986+M1011+M1036+M1061+M1086+M1111+M1136+M1161+M1186+M1211+M1236+M1261+M1286+M1311+M1336+M1361+M1386+M1411+M1436+M1461+M1486+M1511+M1536</f>
        <v>5.9268001792548805E-2</v>
      </c>
      <c r="P211" s="96"/>
      <c r="Q211" s="159">
        <f>IFERROR(INDEX('Non-Labor Expenditures'!$F$7:$AB$91,MATCH($C211,'Non-Labor Expenditures'!$D$7:$D$91,0),MATCH($G211,'Non-Labor Expenditures'!$F$5:$AB$5,0)),"NA")</f>
        <v>23382.019419478274</v>
      </c>
      <c r="R211" s="159">
        <f t="shared" si="427"/>
        <v>259.58677775471585</v>
      </c>
      <c r="S211" s="165">
        <f t="shared" ref="S211:S226" si="437">LN(R211/R210)</f>
        <v>6.234005916712166E-2</v>
      </c>
      <c r="T211" s="165">
        <f t="shared" ref="T211:T227" si="438">+S211*AR211</f>
        <v>5.0838369217546804E-4</v>
      </c>
      <c r="U211" s="165"/>
      <c r="V211" s="165"/>
      <c r="W211" s="159">
        <f t="shared" si="408"/>
        <v>25383.074245391621</v>
      </c>
      <c r="X211" s="163"/>
      <c r="Y211" s="167">
        <v>1699.3439805128939</v>
      </c>
      <c r="Z211" s="168">
        <v>2.0979199404565677E-2</v>
      </c>
      <c r="AA211" s="76">
        <f t="shared" si="428"/>
        <v>1.7108554266184414E-4</v>
      </c>
      <c r="AB211" s="168"/>
      <c r="AC211" s="168"/>
      <c r="AD211" s="163">
        <f t="shared" si="355"/>
        <v>64910.814531438533</v>
      </c>
      <c r="AE211" s="168">
        <f t="shared" ref="AE211:AE227" si="439">LN(AD211/AD210)</f>
        <v>5.6128136227708542E-2</v>
      </c>
      <c r="AF211" s="163"/>
      <c r="AG211" s="163"/>
      <c r="AH211" s="163"/>
      <c r="AI211" s="163"/>
      <c r="AJ211" s="116">
        <f t="shared" ref="AJ211:AJ227" si="440">+(AD211*1000)/AV211</f>
        <v>272.91569416435505</v>
      </c>
      <c r="AK211" s="114">
        <f>+AV211/$AX$11</f>
        <v>6.8579026210813738E-3</v>
      </c>
      <c r="AL211" s="115">
        <f t="shared" si="429"/>
        <v>0.24873699372157337</v>
      </c>
      <c r="AM211" s="115">
        <f t="shared" si="430"/>
        <v>0.36021762457091894</v>
      </c>
      <c r="AN211" s="115">
        <f t="shared" si="431"/>
        <v>0.39104538170750774</v>
      </c>
      <c r="AO211" s="115">
        <f>+(((AL211+AL210)/2)*L211+((AM210+AM211)/2)*S211+((AN210+AN211)/2)*Z211)</f>
        <v>2.9210984456574857E-2</v>
      </c>
      <c r="AP211" s="166">
        <f>+AP210*EXP(AO211)</f>
        <v>102.96418099775227</v>
      </c>
      <c r="AQ211" s="168">
        <f>LN(AP211/AP210)</f>
        <v>2.9210984456574947E-2</v>
      </c>
      <c r="AR211" s="69">
        <f>+AD211/$AF$11</f>
        <v>8.1550081756032594E-3</v>
      </c>
      <c r="AS211" s="169">
        <f>+AR211*AQ211</f>
        <v>2.3821581706078842E-4</v>
      </c>
      <c r="AT211" s="115"/>
      <c r="AU211" s="115"/>
      <c r="AV211" s="113">
        <f>IFERROR(INDEX('Total Customers'!$F$7:$AB$91,MATCH($C211,'Total Customers'!$D$7:$D$91,0),MATCH($G211,'Total Customers'!$F$5:$AB$5,0)),"NA")</f>
        <v>237842</v>
      </c>
      <c r="AW211" s="68">
        <f t="shared" si="403"/>
        <v>4.1278984868329559E-2</v>
      </c>
      <c r="AX211" s="114"/>
      <c r="AY211" s="114"/>
      <c r="AZ211" s="116"/>
      <c r="BA211" s="116"/>
      <c r="BB211" s="166"/>
      <c r="BC211" s="166"/>
      <c r="BD211" s="166"/>
      <c r="BE211" s="166"/>
      <c r="BF211" s="166"/>
      <c r="BG211" s="166"/>
      <c r="BH211" s="166"/>
      <c r="BI211" s="113"/>
      <c r="BJ211" s="113"/>
      <c r="BK211" s="113">
        <f>INDEX('Dist. Plant Gas Additions'!$F$7:$AE$91,MATCH($C211,'Dist. Plant Gas Additions'!$D$7:$D$91,0),MATCH(Calculation!$G211,'Dist. Plant Gas Additions'!$F$5:$AE$5,0))</f>
        <v>18247</v>
      </c>
      <c r="BL211" s="113">
        <f>INDEX('Gen. Plant Additions'!$F$7:$AE$91,MATCH($C211,'Gen. Plant Additions'!$D$7:$D$91,0),MATCH(Calculation!$G211,'Gen. Plant Additions'!$F$5:$AE$5,0))</f>
        <v>2790</v>
      </c>
      <c r="BM211" s="231">
        <f t="shared" si="409"/>
        <v>0.91770264706272997</v>
      </c>
      <c r="BN211" s="61">
        <f t="shared" si="407"/>
        <v>2560.3903853050165</v>
      </c>
      <c r="BO211" s="113">
        <f>INDEX('Dist Plant Depreciation'!$E$7:$AD$94,MATCH($C211,'Dist Plant Depreciation'!$D$7:$D$94,0),MATCH(Calculation!$G211,'Dist Plant Depreciation'!$E$5:$AD$5,0))</f>
        <v>242227</v>
      </c>
      <c r="BP211" s="113">
        <f>INDEX('Gen. Plant Depreciation'!$E$7:$AD$94,MATCH($C211,'Gen. Plant Depreciation'!$D$7:$D$94,0),MATCH(Calculation!$G211,'Gen. Plant Depreciation'!$E$5:$AD$5,0))</f>
        <v>26592</v>
      </c>
      <c r="BQ211" s="113"/>
      <c r="BR211" s="113"/>
      <c r="BS211" s="113"/>
      <c r="BT211" s="113"/>
      <c r="BU211" s="113"/>
      <c r="BV211" s="113"/>
      <c r="BW211" s="113">
        <f>INDEX('Gross Dx Plant'!$E$7:$AD$91,MATCH($C211,'Gross Dx Plant'!$D$7:$D$91,0),MATCH(Calculation!$G211,'Gross Dx Plant'!$E$5:$AD$5,0))</f>
        <v>552758</v>
      </c>
      <c r="BX211" s="113">
        <f>INDEX('Gross Gen Plant'!$E$7:$AD$91,MATCH($C211,'Gross Gen Plant'!$D$7:$D$91,0),MATCH(Calculation!$G211,'Gross Gen Plant'!$E$5:$AD$5,0))</f>
        <v>49570</v>
      </c>
      <c r="BY211" s="113">
        <f t="shared" si="313"/>
        <v>333509</v>
      </c>
      <c r="BZ211" s="114"/>
      <c r="CA211" s="116">
        <v>2006</v>
      </c>
      <c r="CB211" s="113"/>
      <c r="CC211" s="113"/>
      <c r="CD211" s="113"/>
      <c r="CE211" s="175"/>
      <c r="CF211" s="113">
        <f t="shared" si="410"/>
        <v>21037</v>
      </c>
      <c r="CG211" s="113">
        <f t="shared" si="411"/>
        <v>45.6249266550765</v>
      </c>
      <c r="CH211" s="178">
        <v>0.9555555555555556</v>
      </c>
      <c r="CI211" s="61">
        <f>+CI203*CH211+CG204*CH210+CG205*CH209+CG206*CH208+CG207*CH207+CG208*CH206+CG209*CH205+CG210*CH204+CG211</f>
        <v>1699.3439805128939</v>
      </c>
      <c r="CJ211" s="114">
        <f t="shared" si="412"/>
        <v>2.0979199404565677E-2</v>
      </c>
      <c r="CK211" s="114"/>
      <c r="CL211" s="169">
        <f t="shared" si="413"/>
        <v>6.2169540718764842E-3</v>
      </c>
      <c r="CM211" s="169">
        <f t="shared" si="421"/>
        <v>6.0281371477745984E-3</v>
      </c>
      <c r="CN211" s="114">
        <f>VLOOKUP($H211,RoR!$E:$F,2,FALSE)</f>
        <v>5.5874999999999994E-2</v>
      </c>
      <c r="CO211" s="169">
        <v>3.0512430354548314E-2</v>
      </c>
      <c r="CP211" s="169">
        <f t="shared" si="419"/>
        <v>2.536256964545168E-2</v>
      </c>
      <c r="CQ211" s="169">
        <f t="shared" si="422"/>
        <v>2.4873804460759028E-2</v>
      </c>
      <c r="CR211" s="169">
        <f t="shared" si="423"/>
        <v>7.9087823893859641E-2</v>
      </c>
      <c r="CS211" s="179">
        <f t="shared" si="414"/>
        <v>0.87050000000000005</v>
      </c>
      <c r="CT211" s="180">
        <f t="shared" si="415"/>
        <v>0.91779957551769631</v>
      </c>
      <c r="CU211" s="180">
        <f t="shared" si="416"/>
        <v>0.52757270693512304</v>
      </c>
      <c r="CV211" s="180">
        <f t="shared" si="417"/>
        <v>0.88636824549024895</v>
      </c>
      <c r="CW211" s="180">
        <f t="shared" si="418"/>
        <v>0.42918482841932087</v>
      </c>
      <c r="CX211" s="181">
        <f>INDEX('State Tax Lookup'!$D$7:$Z$91,MATCH(Calculation!$C211,'State Tax Lookup'!$B$7:$B$91,0),MATCH($H211,'State Tax Lookup'!$D$6:$Z$6,0))</f>
        <v>0.35</v>
      </c>
      <c r="CY211" s="72">
        <v>0.37</v>
      </c>
      <c r="CZ211" s="70">
        <f t="shared" si="420"/>
        <v>15.253660396401163</v>
      </c>
      <c r="DA211" s="70">
        <v>14.788696346247992</v>
      </c>
      <c r="DB211" s="69">
        <f t="shared" si="424"/>
        <v>-2.3795992379111168E-2</v>
      </c>
      <c r="DC211" s="111">
        <f>VLOOKUP($H211,RoR!$E:$F,2,FALSE)</f>
        <v>5.5874999999999994E-2</v>
      </c>
      <c r="DD211" s="216">
        <f>HLOOKUP($H211,'GDP-PI'!$D$8:$CQ$11,3,FALSE)</f>
        <v>3.0512430354548314E-2</v>
      </c>
      <c r="DE211" s="111">
        <f>VLOOKUP(H211,'HW Dx Data'!$E:$F,2,FALSE)</f>
        <v>461.08567272971823</v>
      </c>
      <c r="DF211" s="72">
        <f t="shared" si="433"/>
        <v>109.4</v>
      </c>
      <c r="DG211" s="69">
        <f t="shared" si="434"/>
        <v>9.7620891318751846E-2</v>
      </c>
      <c r="DH211" s="66">
        <f>HLOOKUP(H211,'GDP-PI'!$8:$9,2,FALSE)</f>
        <v>90.073999999999998</v>
      </c>
      <c r="DI211" s="69">
        <f t="shared" si="425"/>
        <v>3.005618372545445E-2</v>
      </c>
      <c r="EB211"/>
    </row>
    <row r="212" spans="1:132" s="160" customFormat="1" ht="21">
      <c r="A212" s="160" t="s">
        <v>172</v>
      </c>
      <c r="B212" s="161" t="s">
        <v>172</v>
      </c>
      <c r="C212" s="161">
        <v>4057112</v>
      </c>
      <c r="D212" s="161" t="s">
        <v>146</v>
      </c>
      <c r="E212" s="161"/>
      <c r="F212" s="161"/>
      <c r="G212" s="161" t="s">
        <v>118</v>
      </c>
      <c r="H212" s="162">
        <v>2007</v>
      </c>
      <c r="I212" s="163"/>
      <c r="J212" s="159">
        <f>IFERROR(INDEX('Labor Expenditures'!$F$7:$X$91,MATCH($C212,'Labor Expenditures'!$D$7:$D$91,0),MATCH($G212,'Labor Expenditures'!$F$5:$X$5,0)),"NA")</f>
        <v>15327.093637510823</v>
      </c>
      <c r="K212" s="159">
        <f t="shared" si="426"/>
        <v>146.6356722077094</v>
      </c>
      <c r="L212" s="165">
        <f t="shared" si="432"/>
        <v>-6.4483516767458744E-3</v>
      </c>
      <c r="M212" s="76">
        <f t="shared" si="435"/>
        <v>-5.0120502882403669E-5</v>
      </c>
      <c r="N212" s="62">
        <f t="shared" ref="N212:N225" si="441">+N211*EXP(O212)</f>
        <v>117.75004780761766</v>
      </c>
      <c r="O212" s="96">
        <f t="shared" si="436"/>
        <v>0.10412595112529627</v>
      </c>
      <c r="P212" s="96"/>
      <c r="Q212" s="159">
        <f>IFERROR(INDEX('Non-Labor Expenditures'!$F$7:$AB$91,MATCH($C212,'Non-Labor Expenditures'!$D$7:$D$91,0),MATCH($G212,'Non-Labor Expenditures'!$F$5:$AB$5,0)),"NA")</f>
        <v>22196.494293326912</v>
      </c>
      <c r="R212" s="159">
        <f t="shared" si="427"/>
        <v>239.96728895032228</v>
      </c>
      <c r="S212" s="165">
        <f t="shared" si="437"/>
        <v>-7.8588432372035943E-2</v>
      </c>
      <c r="T212" s="165">
        <f t="shared" si="438"/>
        <v>-6.1083699349567008E-4</v>
      </c>
      <c r="U212" s="165"/>
      <c r="V212" s="165"/>
      <c r="W212" s="159">
        <f t="shared" si="408"/>
        <v>27826.519391079739</v>
      </c>
      <c r="X212" s="163"/>
      <c r="Y212" s="167">
        <v>1743.1741942751776</v>
      </c>
      <c r="Z212" s="168">
        <v>2.5465418117422346E-2</v>
      </c>
      <c r="AA212" s="76">
        <f t="shared" si="428"/>
        <v>1.9793268514783907E-4</v>
      </c>
      <c r="AB212" s="168"/>
      <c r="AC212" s="168"/>
      <c r="AD212" s="163">
        <f t="shared" si="355"/>
        <v>65350.107321917472</v>
      </c>
      <c r="AE212" s="168">
        <f t="shared" si="439"/>
        <v>6.7448387377804569E-3</v>
      </c>
      <c r="AF212" s="163"/>
      <c r="AG212" s="163"/>
      <c r="AH212" s="163"/>
      <c r="AI212" s="163"/>
      <c r="AJ212" s="116">
        <f t="shared" si="440"/>
        <v>265.68432331683044</v>
      </c>
      <c r="AK212" s="114">
        <f>+AV212/$AX$12</f>
        <v>7.0388374450046556E-3</v>
      </c>
      <c r="AL212" s="115">
        <f t="shared" si="429"/>
        <v>0.23453815556887908</v>
      </c>
      <c r="AM212" s="115">
        <f t="shared" si="430"/>
        <v>0.33965505494866316</v>
      </c>
      <c r="AN212" s="115">
        <f t="shared" si="431"/>
        <v>0.42580678948245781</v>
      </c>
      <c r="AO212" s="115">
        <f t="shared" ref="AO212:AO226" si="442">+(((AL212+AL211)/2)*L212+((AM211+AM212)/2)*S212+((AN211+AN212)/2)*X212)</f>
        <v>-2.9059112431358482E-2</v>
      </c>
      <c r="AP212" s="166">
        <f>+AP211*EXP(AO212)</f>
        <v>100.01518835583563</v>
      </c>
      <c r="AQ212" s="168">
        <f>LN(AP212/AP211)</f>
        <v>-2.9059112431358447E-2</v>
      </c>
      <c r="AR212" s="69">
        <f>+AD212/$AF$12</f>
        <v>7.7726069226572809E-3</v>
      </c>
      <c r="AS212" s="169">
        <f t="shared" ref="AS212:AS226" si="443">+AR212*AQ212</f>
        <v>-2.2586505845025292E-4</v>
      </c>
      <c r="AT212" s="115"/>
      <c r="AU212" s="115"/>
      <c r="AV212" s="113">
        <f>IFERROR(INDEX('Total Customers'!$F$7:$AB$91,MATCH($C212,'Total Customers'!$D$7:$D$91,0),MATCH($G212,'Total Customers'!$F$5:$AB$5,0)),"NA")</f>
        <v>245969</v>
      </c>
      <c r="AW212" s="68">
        <f t="shared" si="403"/>
        <v>3.3598924062533946E-2</v>
      </c>
      <c r="AX212" s="114"/>
      <c r="AY212" s="114"/>
      <c r="AZ212" s="116"/>
      <c r="BA212" s="116"/>
      <c r="BB212" s="166"/>
      <c r="BC212" s="166"/>
      <c r="BD212" s="166"/>
      <c r="BE212" s="166"/>
      <c r="BF212" s="166"/>
      <c r="BG212" s="166"/>
      <c r="BH212" s="166"/>
      <c r="BI212" s="113"/>
      <c r="BJ212" s="113"/>
      <c r="BK212" s="113">
        <f>INDEX('Dist. Plant Gas Additions'!$F$7:$AE$91,MATCH($C212,'Dist. Plant Gas Additions'!$D$7:$D$91,0),MATCH(Calculation!$G212,'Dist. Plant Gas Additions'!$F$5:$AE$5,0))</f>
        <v>24566</v>
      </c>
      <c r="BL212" s="113">
        <f>INDEX('Gen. Plant Additions'!$F$7:$AE$91,MATCH($C212,'Gen. Plant Additions'!$D$7:$D$91,0),MATCH(Calculation!$G212,'Gen. Plant Additions'!$F$5:$AE$5,0))</f>
        <v>2700</v>
      </c>
      <c r="BM212" s="231">
        <f t="shared" si="409"/>
        <v>0.91750569718671882</v>
      </c>
      <c r="BN212" s="61">
        <f t="shared" si="407"/>
        <v>2477.2653824041408</v>
      </c>
      <c r="BO212" s="113">
        <f>INDEX('Dist Plant Depreciation'!$E$7:$AD$94,MATCH($C212,'Dist Plant Depreciation'!$D$7:$D$94,0),MATCH(Calculation!$G212,'Dist Plant Depreciation'!$E$5:$AD$5,0))</f>
        <v>256816</v>
      </c>
      <c r="BP212" s="113">
        <f>INDEX('Gen. Plant Depreciation'!$E$7:$AD$94,MATCH($C212,'Gen. Plant Depreciation'!$D$7:$D$94,0),MATCH(Calculation!$G212,'Gen. Plant Depreciation'!$E$5:$AD$5,0))</f>
        <v>29043</v>
      </c>
      <c r="BQ212" s="113"/>
      <c r="BR212" s="113"/>
      <c r="BS212" s="113"/>
      <c r="BT212" s="113"/>
      <c r="BU212" s="113"/>
      <c r="BV212" s="113"/>
      <c r="BW212" s="113">
        <f>INDEX('Gross Dx Plant'!$E$7:$AD$91,MATCH($C212,'Gross Dx Plant'!$D$7:$D$91,0),MATCH(Calculation!$G212,'Gross Dx Plant'!$E$5:$AD$5,0))</f>
        <v>572919</v>
      </c>
      <c r="BX212" s="113">
        <f>INDEX('Gross Gen Plant'!$E$7:$AD$91,MATCH($C212,'Gross Gen Plant'!$D$7:$D$91,0),MATCH(Calculation!$G212,'Gross Gen Plant'!$E$5:$AD$5,0))</f>
        <v>51512</v>
      </c>
      <c r="BY212" s="113">
        <f t="shared" ref="BY212:BY281" si="444">IF(OR(BO212="NA",BP212="NA"),"NA",(SUM(BW212:BX212)-SUM(BO212:BP212)))</f>
        <v>338572</v>
      </c>
      <c r="BZ212" s="113"/>
      <c r="CA212" s="116">
        <v>2007</v>
      </c>
      <c r="CB212" s="113"/>
      <c r="CC212" s="113"/>
      <c r="CD212" s="113"/>
      <c r="CE212" s="175"/>
      <c r="CF212" s="113">
        <f t="shared" si="410"/>
        <v>27266</v>
      </c>
      <c r="CG212" s="113">
        <f t="shared" si="411"/>
        <v>54.748550722813505</v>
      </c>
      <c r="CH212" s="178">
        <v>0.94915254237288138</v>
      </c>
      <c r="CI212" s="61">
        <f>+CI203*CH212+CG204*CH211+CG205*CH210+CG206*CH209+CG207*CH208+CG208*CH207+CG209*CH206+CG210*CH205+CG211*CH204+CG212</f>
        <v>1743.1741942751776</v>
      </c>
      <c r="CJ212" s="114">
        <f t="shared" si="412"/>
        <v>2.5465418117422346E-2</v>
      </c>
      <c r="CK212" s="114"/>
      <c r="CL212" s="169">
        <f t="shared" si="413"/>
        <v>6.4250305328027385E-3</v>
      </c>
      <c r="CM212" s="169">
        <f t="shared" si="421"/>
        <v>6.2210420544046643E-3</v>
      </c>
      <c r="CN212" s="114">
        <f>VLOOKUP($H212,RoR!$E:$F,2,FALSE)</f>
        <v>5.5558333333333321E-2</v>
      </c>
      <c r="CO212" s="169">
        <v>2.691120634145272E-2</v>
      </c>
      <c r="CP212" s="169">
        <f t="shared" si="419"/>
        <v>2.86471269918806E-2</v>
      </c>
      <c r="CQ212" s="169">
        <f t="shared" si="422"/>
        <v>2.4680899554128961E-2</v>
      </c>
      <c r="CR212" s="169">
        <f t="shared" si="423"/>
        <v>6.4575155250632399E-2</v>
      </c>
      <c r="CS212" s="179">
        <f t="shared" si="414"/>
        <v>0.87050000000000005</v>
      </c>
      <c r="CT212" s="180">
        <f t="shared" si="415"/>
        <v>0.92303077153834634</v>
      </c>
      <c r="CU212" s="180">
        <f t="shared" si="416"/>
        <v>0.52502249887505614</v>
      </c>
      <c r="CV212" s="180">
        <f t="shared" si="417"/>
        <v>0.88499666072084604</v>
      </c>
      <c r="CW212" s="180">
        <f t="shared" si="418"/>
        <v>0.42887993290280618</v>
      </c>
      <c r="CX212" s="181">
        <f>INDEX('State Tax Lookup'!$D$7:$Z$91,MATCH(Calculation!$C212,'State Tax Lookup'!$B$7:$B$91,0),MATCH($H212,'State Tax Lookup'!$D$6:$Z$6,0))</f>
        <v>0.35</v>
      </c>
      <c r="CY212" s="72">
        <v>0.37</v>
      </c>
      <c r="CZ212" s="70">
        <f t="shared" si="420"/>
        <v>16.374859775406492</v>
      </c>
      <c r="DA212" s="70">
        <v>16.108943221861779</v>
      </c>
      <c r="DB212" s="69">
        <f t="shared" si="424"/>
        <v>7.0927717905385934E-2</v>
      </c>
      <c r="DC212" s="111">
        <f>VLOOKUP($H212,RoR!$E:$F,2,FALSE)</f>
        <v>5.5558333333333321E-2</v>
      </c>
      <c r="DD212" s="216">
        <f>HLOOKUP($H212,'GDP-PI'!$D$8:$CQ$11,3,FALSE)</f>
        <v>2.691120634145272E-2</v>
      </c>
      <c r="DE212" s="111">
        <f>VLOOKUP(H212,'HW Dx Data'!$E:$F,2,FALSE)</f>
        <v>498.0223154772637</v>
      </c>
      <c r="DF212" s="72">
        <f t="shared" si="433"/>
        <v>104.52499999999999</v>
      </c>
      <c r="DG212" s="69">
        <f t="shared" si="434"/>
        <v>-4.5584612745252218E-2</v>
      </c>
      <c r="DH212" s="66">
        <f>HLOOKUP(H212,'GDP-PI'!$8:$9,2,FALSE)</f>
        <v>92.498000000000005</v>
      </c>
      <c r="DI212" s="69">
        <f t="shared" si="425"/>
        <v>2.6555467950038037E-2</v>
      </c>
      <c r="EB212"/>
    </row>
    <row r="213" spans="1:132" s="160" customFormat="1" ht="21">
      <c r="A213" s="160" t="s">
        <v>172</v>
      </c>
      <c r="B213" s="161" t="s">
        <v>172</v>
      </c>
      <c r="C213" s="161">
        <v>4057112</v>
      </c>
      <c r="D213" s="161" t="s">
        <v>146</v>
      </c>
      <c r="E213" s="161"/>
      <c r="F213" s="161"/>
      <c r="G213" s="161" t="s">
        <v>120</v>
      </c>
      <c r="H213" s="162">
        <v>2008</v>
      </c>
      <c r="I213" s="163"/>
      <c r="J213" s="159">
        <f>IFERROR(INDEX('Labor Expenditures'!$F$7:$X$91,MATCH($C213,'Labor Expenditures'!$D$7:$D$91,0),MATCH($G213,'Labor Expenditures'!$F$5:$X$5,0)),"NA")</f>
        <v>14292.48753196144</v>
      </c>
      <c r="K213" s="159">
        <f t="shared" si="426"/>
        <v>132.46049612568527</v>
      </c>
      <c r="L213" s="165">
        <f t="shared" si="432"/>
        <v>-0.10166663152989203</v>
      </c>
      <c r="M213" s="76">
        <f t="shared" si="435"/>
        <v>-7.6223364531668254E-4</v>
      </c>
      <c r="N213" s="62">
        <f t="shared" si="441"/>
        <v>109.72723098234582</v>
      </c>
      <c r="O213" s="96">
        <f t="shared" si="436"/>
        <v>-7.0566571049429677E-2</v>
      </c>
      <c r="P213" s="96"/>
      <c r="Q213" s="159">
        <f>IFERROR(INDEX('Non-Labor Expenditures'!$F$7:$AB$91,MATCH($C213,'Non-Labor Expenditures'!$D$7:$D$91,0),MATCH($G213,'Non-Labor Expenditures'!$F$5:$AB$5,0)),"NA")</f>
        <v>20698.191414726007</v>
      </c>
      <c r="R213" s="159">
        <f t="shared" si="427"/>
        <v>219.57684179247653</v>
      </c>
      <c r="S213" s="165">
        <f t="shared" si="437"/>
        <v>-8.8800370256463937E-2</v>
      </c>
      <c r="T213" s="165">
        <f t="shared" si="438"/>
        <v>-6.6577036051552855E-4</v>
      </c>
      <c r="U213" s="165"/>
      <c r="V213" s="165"/>
      <c r="W213" s="159">
        <f t="shared" si="408"/>
        <v>32403.175849315572</v>
      </c>
      <c r="X213" s="163"/>
      <c r="Y213" s="167">
        <v>1775.4449430831958</v>
      </c>
      <c r="Z213" s="168">
        <v>1.8343362786440786E-2</v>
      </c>
      <c r="AA213" s="76">
        <f t="shared" si="428"/>
        <v>1.3752721098037141E-4</v>
      </c>
      <c r="AB213" s="168"/>
      <c r="AC213" s="168"/>
      <c r="AD213" s="163">
        <f t="shared" si="355"/>
        <v>67393.854796003026</v>
      </c>
      <c r="AE213" s="168">
        <f t="shared" si="439"/>
        <v>3.0794756295721929E-2</v>
      </c>
      <c r="AF213" s="163"/>
      <c r="AG213" s="163"/>
      <c r="AH213" s="163"/>
      <c r="AI213" s="163"/>
      <c r="AJ213" s="116">
        <f t="shared" si="440"/>
        <v>267.71001579395983</v>
      </c>
      <c r="AK213" s="114">
        <f>+AV213/$AX$13</f>
        <v>7.1655250751962857E-3</v>
      </c>
      <c r="AL213" s="115">
        <f t="shared" si="429"/>
        <v>0.21207404703624544</v>
      </c>
      <c r="AM213" s="115">
        <f t="shared" si="430"/>
        <v>0.30712283007669072</v>
      </c>
      <c r="AN213" s="115">
        <f t="shared" si="431"/>
        <v>0.48080312288706373</v>
      </c>
      <c r="AO213" s="115">
        <f t="shared" si="442"/>
        <v>-5.141983695147638E-2</v>
      </c>
      <c r="AP213" s="166">
        <f t="shared" ref="AP213:AP226" si="445">+AP212*EXP(AO213)</f>
        <v>95.002406329297983</v>
      </c>
      <c r="AQ213" s="168">
        <f t="shared" ref="AQ213:AQ226" si="446">LN(AP213/AP212)</f>
        <v>-5.1419836951476436E-2</v>
      </c>
      <c r="AR213" s="69">
        <f>+AD213/$AF$13</f>
        <v>7.4973827090215987E-3</v>
      </c>
      <c r="AS213" s="169">
        <f t="shared" si="443"/>
        <v>-3.855141964607093E-4</v>
      </c>
      <c r="AT213" s="115"/>
      <c r="AU213" s="115"/>
      <c r="AV213" s="113">
        <f>IFERROR(INDEX('Total Customers'!$F$7:$AB$91,MATCH($C213,'Total Customers'!$D$7:$D$91,0),MATCH($G213,'Total Customers'!$F$5:$AB$5,0)),"NA")</f>
        <v>251742</v>
      </c>
      <c r="AW213" s="68">
        <f t="shared" si="403"/>
        <v>2.3199241805170041E-2</v>
      </c>
      <c r="AX213" s="114"/>
      <c r="AY213" s="114"/>
      <c r="AZ213" s="116"/>
      <c r="BA213" s="116"/>
      <c r="BB213" s="166"/>
      <c r="BC213" s="166"/>
      <c r="BD213" s="166"/>
      <c r="BE213" s="166"/>
      <c r="BF213" s="166"/>
      <c r="BG213" s="166"/>
      <c r="BH213" s="166"/>
      <c r="BI213" s="113"/>
      <c r="BJ213" s="113"/>
      <c r="BK213" s="113">
        <f>INDEX('Dist. Plant Gas Additions'!$F$7:$AE$91,MATCH($C213,'Dist. Plant Gas Additions'!$D$7:$D$91,0),MATCH(Calculation!$G213,'Dist. Plant Gas Additions'!$F$5:$AE$5,0))</f>
        <v>20724</v>
      </c>
      <c r="BL213" s="113">
        <f>INDEX('Gen. Plant Additions'!$F$7:$AE$91,MATCH($C213,'Gen. Plant Additions'!$D$7:$D$91,0),MATCH(Calculation!$G213,'Gen. Plant Additions'!$F$5:$AE$5,0))</f>
        <v>4255</v>
      </c>
      <c r="BM213" s="231">
        <f t="shared" si="409"/>
        <v>0.91823849978672656</v>
      </c>
      <c r="BN213" s="61">
        <f t="shared" si="407"/>
        <v>3907.1048165925217</v>
      </c>
      <c r="BO213" s="113">
        <f>INDEX('Dist Plant Depreciation'!$E$7:$AD$94,MATCH($C213,'Dist Plant Depreciation'!$D$7:$D$94,0),MATCH(Calculation!$G213,'Dist Plant Depreciation'!$E$5:$AD$5,0))</f>
        <v>270926</v>
      </c>
      <c r="BP213" s="113">
        <f>INDEX('Gen. Plant Depreciation'!$E$7:$AD$94,MATCH($C213,'Gen. Plant Depreciation'!$D$7:$D$94,0),MATCH(Calculation!$G213,'Gen. Plant Depreciation'!$E$5:$AD$5,0))</f>
        <v>29975</v>
      </c>
      <c r="BQ213" s="113"/>
      <c r="BR213" s="113"/>
      <c r="BS213" s="113"/>
      <c r="BT213" s="113"/>
      <c r="BU213" s="113"/>
      <c r="BV213" s="113"/>
      <c r="BW213" s="113">
        <f>INDEX('Gross Dx Plant'!$E$7:$AD$91,MATCH($C213,'Gross Dx Plant'!$D$7:$D$91,0),MATCH(Calculation!$G213,'Gross Dx Plant'!$E$5:$AD$5,0))</f>
        <v>596305</v>
      </c>
      <c r="BX213" s="113">
        <f>INDEX('Gross Gen Plant'!$E$7:$AD$91,MATCH($C213,'Gross Gen Plant'!$D$7:$D$91,0),MATCH(Calculation!$G213,'Gross Gen Plant'!$E$5:$AD$5,0))</f>
        <v>53096</v>
      </c>
      <c r="BY213" s="113">
        <f t="shared" si="444"/>
        <v>348500</v>
      </c>
      <c r="BZ213" s="113"/>
      <c r="CA213" s="116">
        <v>2008</v>
      </c>
      <c r="CB213" s="113"/>
      <c r="CC213" s="113"/>
      <c r="CD213" s="113"/>
      <c r="CE213" s="175"/>
      <c r="CF213" s="113">
        <f t="shared" si="410"/>
        <v>24979</v>
      </c>
      <c r="CG213" s="113">
        <f t="shared" si="411"/>
        <v>43.831942260621801</v>
      </c>
      <c r="CH213" s="178">
        <v>0.94252873563218387</v>
      </c>
      <c r="CI213" s="61">
        <f>+CI203*CH213+CG204*CH212+CG205*CH211+CG206*CH210+CG207*CH209+CG208*CH208+CG209*CH207+CG210*CH206+CG211*CH205+CG212*CH204+CG213</f>
        <v>1775.4449430831958</v>
      </c>
      <c r="CJ213" s="114">
        <f t="shared" si="412"/>
        <v>1.8343362786440786E-2</v>
      </c>
      <c r="CK213" s="114"/>
      <c r="CL213" s="169">
        <f t="shared" si="413"/>
        <v>6.6322651462901094E-3</v>
      </c>
      <c r="CM213" s="169">
        <f t="shared" si="421"/>
        <v>6.4247499169897771E-3</v>
      </c>
      <c r="CN213" s="114">
        <f>VLOOKUP($H213,RoR!$E:$F,2,FALSE)</f>
        <v>5.6316666666666668E-2</v>
      </c>
      <c r="CO213" s="169">
        <v>1.9092304698479889E-2</v>
      </c>
      <c r="CP213" s="169">
        <f t="shared" si="419"/>
        <v>3.7224361968186778E-2</v>
      </c>
      <c r="CQ213" s="169">
        <f t="shared" si="422"/>
        <v>2.4477191691543849E-2</v>
      </c>
      <c r="CR213" s="169">
        <f t="shared" si="423"/>
        <v>6.9030581091053131E-2</v>
      </c>
      <c r="CS213" s="179">
        <f t="shared" si="414"/>
        <v>0.87050000000000005</v>
      </c>
      <c r="CT213" s="180">
        <f t="shared" si="415"/>
        <v>0.91060168006009956</v>
      </c>
      <c r="CU213" s="180">
        <f t="shared" si="416"/>
        <v>0.53108168097070152</v>
      </c>
      <c r="CV213" s="180">
        <f t="shared" si="417"/>
        <v>0.88825329850328805</v>
      </c>
      <c r="CW213" s="180">
        <f t="shared" si="418"/>
        <v>0.4295627335323573</v>
      </c>
      <c r="CX213" s="181">
        <f>INDEX('State Tax Lookup'!$D$7:$Z$91,MATCH(Calculation!$C213,'State Tax Lookup'!$B$7:$B$91,0),MATCH($H213,'State Tax Lookup'!$D$6:$Z$6,0))</f>
        <v>0.35</v>
      </c>
      <c r="CY213" s="72">
        <v>0.37</v>
      </c>
      <c r="CZ213" s="70">
        <f t="shared" si="420"/>
        <v>18.588604601727145</v>
      </c>
      <c r="DA213" s="70">
        <v>18.300102035478151</v>
      </c>
      <c r="DB213" s="69">
        <f t="shared" si="424"/>
        <v>0.12680151899707331</v>
      </c>
      <c r="DC213" s="111">
        <f>VLOOKUP($H213,RoR!$E:$F,2,FALSE)</f>
        <v>5.6316666666666668E-2</v>
      </c>
      <c r="DD213" s="216">
        <f>HLOOKUP($H213,'GDP-PI'!$D$8:$CQ$11,3,FALSE)</f>
        <v>1.9092304698479889E-2</v>
      </c>
      <c r="DE213" s="111">
        <f>VLOOKUP(H213,'HW Dx Data'!$E:$F,2,FALSE)</f>
        <v>569.88120333515076</v>
      </c>
      <c r="DF213" s="72">
        <f t="shared" si="433"/>
        <v>107.9</v>
      </c>
      <c r="DG213" s="69">
        <f t="shared" si="434"/>
        <v>3.1778595021460486E-2</v>
      </c>
      <c r="DH213" s="66">
        <f>HLOOKUP(H213,'GDP-PI'!$8:$9,2,FALSE)</f>
        <v>94.263999999999996</v>
      </c>
      <c r="DI213" s="69">
        <f t="shared" si="425"/>
        <v>1.8912333748032254E-2</v>
      </c>
      <c r="EB213"/>
    </row>
    <row r="214" spans="1:132" s="160" customFormat="1" ht="21">
      <c r="A214" s="160" t="s">
        <v>172</v>
      </c>
      <c r="B214" s="161" t="s">
        <v>172</v>
      </c>
      <c r="C214" s="161">
        <v>4057112</v>
      </c>
      <c r="D214" s="161" t="s">
        <v>146</v>
      </c>
      <c r="E214" s="161"/>
      <c r="F214" s="161"/>
      <c r="G214" s="161" t="s">
        <v>125</v>
      </c>
      <c r="H214" s="162">
        <v>2009</v>
      </c>
      <c r="I214" s="163"/>
      <c r="J214" s="159">
        <f>IFERROR(INDEX('Labor Expenditures'!$F$7:$X$91,MATCH($C214,'Labor Expenditures'!$D$7:$D$91,0),MATCH($G214,'Labor Expenditures'!$F$5:$X$5,0)),"NA")</f>
        <v>14905.646992074699</v>
      </c>
      <c r="K214" s="159">
        <f t="shared" si="426"/>
        <v>134.37590256546946</v>
      </c>
      <c r="L214" s="165">
        <f t="shared" si="432"/>
        <v>1.4356657100331141E-2</v>
      </c>
      <c r="M214" s="76">
        <f t="shared" si="435"/>
        <v>1.0431785684838264E-4</v>
      </c>
      <c r="N214" s="62">
        <f t="shared" si="441"/>
        <v>118.24398920012855</v>
      </c>
      <c r="O214" s="96">
        <f t="shared" si="436"/>
        <v>7.475262693502821E-2</v>
      </c>
      <c r="P214" s="96"/>
      <c r="Q214" s="159">
        <f>IFERROR(INDEX('Non-Labor Expenditures'!$F$7:$AB$91,MATCH($C214,'Non-Labor Expenditures'!$D$7:$D$91,0),MATCH($G214,'Non-Labor Expenditures'!$F$5:$AB$5,0)),"NA")</f>
        <v>21586.160835359995</v>
      </c>
      <c r="R214" s="159">
        <f t="shared" si="427"/>
        <v>227.2251374789208</v>
      </c>
      <c r="S214" s="165">
        <f t="shared" si="437"/>
        <v>3.4239073282905583E-2</v>
      </c>
      <c r="T214" s="165">
        <f t="shared" si="438"/>
        <v>2.4878679767764624E-4</v>
      </c>
      <c r="U214" s="165"/>
      <c r="V214" s="165"/>
      <c r="W214" s="159">
        <f t="shared" si="408"/>
        <v>31633.111889131062</v>
      </c>
      <c r="X214" s="163"/>
      <c r="Y214" s="167">
        <v>1787.7495131432886</v>
      </c>
      <c r="Z214" s="168">
        <v>6.9065099431185294E-3</v>
      </c>
      <c r="AA214" s="76">
        <f t="shared" si="428"/>
        <v>5.0183849243815411E-5</v>
      </c>
      <c r="AB214" s="168"/>
      <c r="AC214" s="168"/>
      <c r="AD214" s="163">
        <f t="shared" si="355"/>
        <v>68124.919716565753</v>
      </c>
      <c r="AE214" s="168">
        <f t="shared" si="439"/>
        <v>1.0789235882214506E-2</v>
      </c>
      <c r="AF214" s="163"/>
      <c r="AG214" s="163"/>
      <c r="AH214" s="163"/>
      <c r="AI214" s="163"/>
      <c r="AJ214" s="116">
        <f t="shared" si="440"/>
        <v>267.98678146636939</v>
      </c>
      <c r="AK214" s="114">
        <f>+AV214/$AX$14</f>
        <v>7.2265496743205765E-3</v>
      </c>
      <c r="AL214" s="115">
        <f t="shared" si="429"/>
        <v>0.2187987458053493</v>
      </c>
      <c r="AM214" s="115">
        <f t="shared" si="430"/>
        <v>0.31686144989483117</v>
      </c>
      <c r="AN214" s="115">
        <f t="shared" si="431"/>
        <v>0.46433980429981958</v>
      </c>
      <c r="AO214" s="115">
        <f t="shared" si="442"/>
        <v>1.3775268215007399E-2</v>
      </c>
      <c r="AP214" s="166">
        <f t="shared" si="445"/>
        <v>96.320145223346174</v>
      </c>
      <c r="AQ214" s="168">
        <f t="shared" si="446"/>
        <v>1.3775268215007439E-2</v>
      </c>
      <c r="AR214" s="69">
        <f>+AD214/$AF$14</f>
        <v>7.2661662195704678E-3</v>
      </c>
      <c r="AS214" s="169">
        <f t="shared" si="443"/>
        <v>1.0009338856940984E-4</v>
      </c>
      <c r="AT214" s="115"/>
      <c r="AU214" s="115"/>
      <c r="AV214" s="113">
        <f>IFERROR(INDEX('Total Customers'!$F$7:$AB$91,MATCH($C214,'Total Customers'!$D$7:$D$91,0),MATCH($G214,'Total Customers'!$F$5:$AB$5,0)),"NA")</f>
        <v>254210</v>
      </c>
      <c r="AW214" s="68">
        <f t="shared" si="403"/>
        <v>9.7559435480056873E-3</v>
      </c>
      <c r="AX214" s="114"/>
      <c r="AY214" s="114"/>
      <c r="AZ214" s="116"/>
      <c r="BA214" s="116"/>
      <c r="BB214" s="166"/>
      <c r="BC214" s="166"/>
      <c r="BD214" s="166"/>
      <c r="BE214" s="166"/>
      <c r="BF214" s="166"/>
      <c r="BG214" s="166"/>
      <c r="BH214" s="166"/>
      <c r="BI214" s="113"/>
      <c r="BJ214" s="113"/>
      <c r="BK214" s="113">
        <f>INDEX('Dist. Plant Gas Additions'!$F$7:$AE$91,MATCH($C214,'Dist. Plant Gas Additions'!$D$7:$D$91,0),MATCH(Calculation!$G214,'Dist. Plant Gas Additions'!$F$5:$AE$5,0))</f>
        <v>9872</v>
      </c>
      <c r="BL214" s="113">
        <f>INDEX('Gen. Plant Additions'!$F$7:$AE$91,MATCH($C214,'Gen. Plant Additions'!$D$7:$D$91,0),MATCH(Calculation!$G214,'Gen. Plant Additions'!$F$5:$AE$5,0))</f>
        <v>3616</v>
      </c>
      <c r="BM214" s="231">
        <f t="shared" si="409"/>
        <v>0.92233714859101423</v>
      </c>
      <c r="BN214" s="61">
        <f t="shared" si="407"/>
        <v>3335.1711293051076</v>
      </c>
      <c r="BO214" s="113">
        <f>INDEX('Dist Plant Depreciation'!$E$7:$AD$94,MATCH($C214,'Dist Plant Depreciation'!$D$7:$D$94,0),MATCH(Calculation!$G214,'Dist Plant Depreciation'!$E$5:$AD$5,0))</f>
        <v>286359</v>
      </c>
      <c r="BP214" s="113">
        <f>INDEX('Gen. Plant Depreciation'!$E$7:$AD$94,MATCH($C214,'Gen. Plant Depreciation'!$D$7:$D$94,0),MATCH(Calculation!$G214,'Gen. Plant Depreciation'!$E$5:$AD$5,0))</f>
        <v>27219</v>
      </c>
      <c r="BQ214" s="113"/>
      <c r="BR214" s="113"/>
      <c r="BS214" s="113"/>
      <c r="BT214" s="113"/>
      <c r="BU214" s="113"/>
      <c r="BV214" s="113"/>
      <c r="BW214" s="113">
        <f>INDEX('Gross Dx Plant'!$E$7:$AD$91,MATCH($C214,'Gross Dx Plant'!$D$7:$D$91,0),MATCH(Calculation!$G214,'Gross Dx Plant'!$E$5:$AD$5,0))</f>
        <v>605744</v>
      </c>
      <c r="BX214" s="113">
        <f>INDEX('Gross Gen Plant'!$E$7:$AD$91,MATCH($C214,'Gross Gen Plant'!$D$7:$D$91,0),MATCH(Calculation!$G214,'Gross Gen Plant'!$E$5:$AD$5,0))</f>
        <v>51005</v>
      </c>
      <c r="BY214" s="113">
        <f t="shared" si="444"/>
        <v>343171</v>
      </c>
      <c r="BZ214" s="113"/>
      <c r="CA214" s="116">
        <v>2009</v>
      </c>
      <c r="CB214" s="113"/>
      <c r="CC214" s="113"/>
      <c r="CD214" s="113"/>
      <c r="CE214" s="175"/>
      <c r="CF214" s="113">
        <f t="shared" si="410"/>
        <v>13488</v>
      </c>
      <c r="CG214" s="113">
        <f t="shared" si="411"/>
        <v>24.481766453854011</v>
      </c>
      <c r="CH214" s="178">
        <v>0.93567251461988299</v>
      </c>
      <c r="CI214" s="61">
        <f>+CI203*CH214+CG204*CH213+CG205*CH212+CG206*CH211+CG207*CH210+CG208*CH209+CG209*CH208+CG210*CH207+CG211*CH206+CG212*CH205+CG213*CH204+CG214</f>
        <v>1787.7495131432886</v>
      </c>
      <c r="CJ214" s="114">
        <f t="shared" si="412"/>
        <v>6.9065099431185294E-3</v>
      </c>
      <c r="CK214" s="114"/>
      <c r="CL214" s="169">
        <f t="shared" si="413"/>
        <v>6.858673056126737E-3</v>
      </c>
      <c r="CM214" s="169">
        <f t="shared" si="421"/>
        <v>6.638656245073195E-3</v>
      </c>
      <c r="CN214" s="114">
        <f>VLOOKUP($H214,RoR!$E:$F,2,FALSE)</f>
        <v>5.3133333333333324E-2</v>
      </c>
      <c r="CO214" s="169">
        <v>7.7972502758210105E-3</v>
      </c>
      <c r="CP214" s="169">
        <f t="shared" si="419"/>
        <v>4.5336083057512314E-2</v>
      </c>
      <c r="CQ214" s="169">
        <f t="shared" si="422"/>
        <v>2.4263285363460431E-2</v>
      </c>
      <c r="CR214" s="169">
        <f t="shared" si="423"/>
        <v>6.3720160300892073E-2</v>
      </c>
      <c r="CS214" s="179">
        <f t="shared" si="414"/>
        <v>0.87050000000000005</v>
      </c>
      <c r="CT214" s="180">
        <f t="shared" si="415"/>
        <v>0.96515780330083989</v>
      </c>
      <c r="CU214" s="180">
        <f t="shared" si="416"/>
        <v>0.50448557089084056</v>
      </c>
      <c r="CV214" s="180">
        <f t="shared" si="417"/>
        <v>0.87391435735465484</v>
      </c>
      <c r="CW214" s="180">
        <f t="shared" si="418"/>
        <v>0.42551605393279146</v>
      </c>
      <c r="CX214" s="181">
        <f>INDEX('State Tax Lookup'!$D$7:$Z$91,MATCH(Calculation!$C214,'State Tax Lookup'!$B$7:$B$91,0),MATCH($H214,'State Tax Lookup'!$D$6:$Z$6,0))</f>
        <v>0.35</v>
      </c>
      <c r="CY214" s="72">
        <v>0.37</v>
      </c>
      <c r="CZ214" s="70">
        <f t="shared" si="420"/>
        <v>17.817005259649306</v>
      </c>
      <c r="DA214" s="70">
        <v>17.478615056163342</v>
      </c>
      <c r="DB214" s="69">
        <f t="shared" si="424"/>
        <v>-4.239538424199963E-2</v>
      </c>
      <c r="DC214" s="111">
        <f>VLOOKUP($H214,RoR!$E:$F,2,FALSE)</f>
        <v>5.3133333333333324E-2</v>
      </c>
      <c r="DD214" s="216">
        <f>HLOOKUP($H214,'GDP-PI'!$D$8:$CQ$11,3,FALSE)</f>
        <v>7.7972502758210105E-3</v>
      </c>
      <c r="DE214" s="111">
        <f>VLOOKUP(H214,'HW Dx Data'!$E:$F,2,FALSE)</f>
        <v>550.94063679692806</v>
      </c>
      <c r="DF214" s="72">
        <f t="shared" si="433"/>
        <v>110.925</v>
      </c>
      <c r="DG214" s="69">
        <f t="shared" si="434"/>
        <v>2.7649425000884052E-2</v>
      </c>
      <c r="DH214" s="66">
        <f>HLOOKUP(H214,'GDP-PI'!$8:$9,2,FALSE)</f>
        <v>94.998999999999995</v>
      </c>
      <c r="DI214" s="69">
        <f t="shared" si="425"/>
        <v>7.7670088183096342E-3</v>
      </c>
      <c r="EB214"/>
    </row>
    <row r="215" spans="1:132" s="160" customFormat="1" ht="21">
      <c r="A215" s="160" t="s">
        <v>172</v>
      </c>
      <c r="B215" s="161" t="s">
        <v>172</v>
      </c>
      <c r="C215" s="161">
        <v>4057112</v>
      </c>
      <c r="D215" s="161" t="s">
        <v>146</v>
      </c>
      <c r="E215" s="161"/>
      <c r="F215" s="161"/>
      <c r="G215" s="161" t="s">
        <v>126</v>
      </c>
      <c r="H215" s="162">
        <v>2010</v>
      </c>
      <c r="I215" s="163"/>
      <c r="J215" s="159">
        <f>IFERROR(INDEX('Labor Expenditures'!$F$7:$X$91,MATCH($C215,'Labor Expenditures'!$D$7:$D$91,0),MATCH($G215,'Labor Expenditures'!$F$5:$X$5,0)),"NA")</f>
        <v>16441.375957097538</v>
      </c>
      <c r="K215" s="159">
        <f t="shared" si="426"/>
        <v>140.61471846993831</v>
      </c>
      <c r="L215" s="165">
        <f t="shared" si="432"/>
        <v>4.5382541557476376E-2</v>
      </c>
      <c r="M215" s="76">
        <f t="shared" si="435"/>
        <v>3.403230661668744E-4</v>
      </c>
      <c r="N215" s="62">
        <f t="shared" si="441"/>
        <v>97.547743878469376</v>
      </c>
      <c r="O215" s="96">
        <f t="shared" si="436"/>
        <v>-0.19240825583743953</v>
      </c>
      <c r="P215" s="96"/>
      <c r="Q215" s="159">
        <f>IFERROR(INDEX('Non-Labor Expenditures'!$F$7:$AB$91,MATCH($C215,'Non-Labor Expenditures'!$D$7:$D$91,0),MATCH($G215,'Non-Labor Expenditures'!$F$5:$AB$5,0)),"NA")</f>
        <v>23810.183211317912</v>
      </c>
      <c r="R215" s="159">
        <f t="shared" si="427"/>
        <v>247.74145201092418</v>
      </c>
      <c r="S215" s="165">
        <f t="shared" si="437"/>
        <v>8.6444349097302683E-2</v>
      </c>
      <c r="T215" s="165">
        <f t="shared" si="438"/>
        <v>6.4824500629465532E-4</v>
      </c>
      <c r="U215" s="165"/>
      <c r="V215" s="165"/>
      <c r="W215" s="159">
        <f t="shared" si="408"/>
        <v>32624.124543640079</v>
      </c>
      <c r="X215" s="163"/>
      <c r="Y215" s="167">
        <v>1806.0554875819575</v>
      </c>
      <c r="Z215" s="168">
        <v>1.0187604926809767E-2</v>
      </c>
      <c r="AA215" s="76">
        <f t="shared" si="428"/>
        <v>7.6396711744265133E-5</v>
      </c>
      <c r="AB215" s="168"/>
      <c r="AC215" s="168"/>
      <c r="AD215" s="163">
        <f t="shared" si="355"/>
        <v>72875.683712055528</v>
      </c>
      <c r="AE215" s="168">
        <f t="shared" si="439"/>
        <v>6.7411952099970709E-2</v>
      </c>
      <c r="AF215" s="163"/>
      <c r="AG215" s="163"/>
      <c r="AH215" s="163"/>
      <c r="AI215" s="163"/>
      <c r="AJ215" s="116">
        <f t="shared" si="440"/>
        <v>283.24666116848317</v>
      </c>
      <c r="AK215" s="114">
        <f>+AV215/$AX$15</f>
        <v>7.2740030055335539E-3</v>
      </c>
      <c r="AL215" s="115">
        <f t="shared" si="429"/>
        <v>0.22560853112624324</v>
      </c>
      <c r="AM215" s="115">
        <f t="shared" si="430"/>
        <v>0.32672329093193936</v>
      </c>
      <c r="AN215" s="115">
        <f t="shared" si="431"/>
        <v>0.4476681779418174</v>
      </c>
      <c r="AO215" s="115">
        <f t="shared" si="442"/>
        <v>3.7901297861759664E-2</v>
      </c>
      <c r="AP215" s="166">
        <f t="shared" si="445"/>
        <v>100.0408684639328</v>
      </c>
      <c r="AQ215" s="168">
        <f t="shared" si="446"/>
        <v>3.790129786175972E-2</v>
      </c>
      <c r="AR215" s="69">
        <f>+AD215/$AF$15</f>
        <v>7.4989864932059795E-3</v>
      </c>
      <c r="AS215" s="169">
        <f t="shared" si="443"/>
        <v>2.8422132074031281E-4</v>
      </c>
      <c r="AT215" s="115"/>
      <c r="AU215" s="115"/>
      <c r="AV215" s="113">
        <f>IFERROR(INDEX('Total Customers'!$F$7:$AB$91,MATCH($C215,'Total Customers'!$D$7:$D$91,0),MATCH($G215,'Total Customers'!$F$5:$AB$5,0)),"NA")</f>
        <v>257287</v>
      </c>
      <c r="AW215" s="68">
        <f t="shared" si="403"/>
        <v>1.2031496247261467E-2</v>
      </c>
      <c r="AX215" s="114"/>
      <c r="AY215" s="114"/>
      <c r="AZ215" s="116"/>
      <c r="BA215" s="116"/>
      <c r="BB215" s="166"/>
      <c r="BC215" s="166"/>
      <c r="BD215" s="166"/>
      <c r="BE215" s="166"/>
      <c r="BF215" s="166"/>
      <c r="BG215" s="166"/>
      <c r="BH215" s="166"/>
      <c r="BI215" s="113"/>
      <c r="BJ215" s="113"/>
      <c r="BK215" s="113">
        <f>INDEX('Dist. Plant Gas Additions'!$F$7:$AE$91,MATCH($C215,'Dist. Plant Gas Additions'!$D$7:$D$91,0),MATCH(Calculation!$G215,'Dist. Plant Gas Additions'!$F$5:$AE$5,0))</f>
        <v>7534</v>
      </c>
      <c r="BL215" s="113">
        <f>INDEX('Gen. Plant Additions'!$F$7:$AE$91,MATCH($C215,'Gen. Plant Additions'!$D$7:$D$91,0),MATCH(Calculation!$G215,'Gen. Plant Additions'!$F$5:$AE$5,0))</f>
        <v>10122</v>
      </c>
      <c r="BM215" s="231">
        <f t="shared" si="409"/>
        <v>0.92692534782674518</v>
      </c>
      <c r="BN215" s="61">
        <f t="shared" si="407"/>
        <v>9382.3383707023149</v>
      </c>
      <c r="BO215" s="113">
        <f>INDEX('Dist Plant Depreciation'!$E$7:$AD$94,MATCH($C215,'Dist Plant Depreciation'!$D$7:$D$94,0),MATCH(Calculation!$G215,'Dist Plant Depreciation'!$E$5:$AD$5,0))</f>
        <v>301431</v>
      </c>
      <c r="BP215" s="113">
        <f>INDEX('Gen. Plant Depreciation'!$E$7:$AD$94,MATCH($C215,'Gen. Plant Depreciation'!$D$7:$D$94,0),MATCH(Calculation!$G215,'Gen. Plant Depreciation'!$E$5:$AD$5,0))</f>
        <v>26878</v>
      </c>
      <c r="BQ215" s="113"/>
      <c r="BR215" s="113"/>
      <c r="BS215" s="113"/>
      <c r="BT215" s="113"/>
      <c r="BU215" s="113"/>
      <c r="BV215" s="113"/>
      <c r="BW215" s="113">
        <f>INDEX('Gross Dx Plant'!$E$7:$AD$91,MATCH($C215,'Gross Dx Plant'!$D$7:$D$91,0),MATCH(Calculation!$G215,'Gross Dx Plant'!$E$5:$AD$5,0))</f>
        <v>612262</v>
      </c>
      <c r="BX215" s="113">
        <f>INDEX('Gross Gen Plant'!$E$7:$AD$91,MATCH($C215,'Gross Gen Plant'!$D$7:$D$91,0),MATCH(Calculation!$G215,'Gross Gen Plant'!$E$5:$AD$5,0))</f>
        <v>48268</v>
      </c>
      <c r="BY215" s="113">
        <f t="shared" si="444"/>
        <v>332221</v>
      </c>
      <c r="BZ215" s="113"/>
      <c r="CA215" s="116">
        <v>2010</v>
      </c>
      <c r="CB215" s="113"/>
      <c r="CC215" s="113"/>
      <c r="CD215" s="113"/>
      <c r="CE215" s="175"/>
      <c r="CF215" s="113">
        <f t="shared" si="410"/>
        <v>17656</v>
      </c>
      <c r="CG215" s="113">
        <f t="shared" si="411"/>
        <v>31.030449451876855</v>
      </c>
      <c r="CH215" s="178">
        <v>0.9285714285714286</v>
      </c>
      <c r="CI215" s="61">
        <f>+CI203*CH215+CG204*CH214+CG205*CH213+CG206*CH212+CG207*CH211+CG208*CH210+CG209*CH209+CG210*CH208+CG211*CH207+CG212*CH206+CG213*CH205+CG214*CH204+CG215</f>
        <v>1806.0554875819575</v>
      </c>
      <c r="CJ215" s="114">
        <f t="shared" si="412"/>
        <v>1.0187604926809767E-2</v>
      </c>
      <c r="CK215" s="114"/>
      <c r="CL215" s="169">
        <f t="shared" si="413"/>
        <v>7.1175938908998775E-3</v>
      </c>
      <c r="CM215" s="169">
        <f t="shared" si="421"/>
        <v>6.8695106977722416E-3</v>
      </c>
      <c r="CN215" s="114">
        <f>VLOOKUP($H215,RoR!$E:$F,2,FALSE)</f>
        <v>4.9433333333333322E-2</v>
      </c>
      <c r="CO215" s="169">
        <v>1.1684333519300205E-2</v>
      </c>
      <c r="CP215" s="169">
        <f t="shared" si="419"/>
        <v>3.7748999814033117E-2</v>
      </c>
      <c r="CQ215" s="169">
        <f t="shared" si="422"/>
        <v>2.4032430910761383E-2</v>
      </c>
      <c r="CR215" s="169">
        <f t="shared" si="423"/>
        <v>4.7937530248493419E-2</v>
      </c>
      <c r="CS215" s="179">
        <f t="shared" si="414"/>
        <v>0.87050000000000005</v>
      </c>
      <c r="CT215" s="180">
        <f t="shared" si="415"/>
        <v>1.037398205301105</v>
      </c>
      <c r="CU215" s="180">
        <f t="shared" si="416"/>
        <v>0.46926837491571133</v>
      </c>
      <c r="CV215" s="180">
        <f t="shared" si="417"/>
        <v>0.8548537519972772</v>
      </c>
      <c r="CW215" s="180">
        <f t="shared" si="418"/>
        <v>0.41615833911547367</v>
      </c>
      <c r="CX215" s="181">
        <f>INDEX('State Tax Lookup'!$D$7:$Z$91,MATCH(Calculation!$C215,'State Tax Lookup'!$B$7:$B$91,0),MATCH($H215,'State Tax Lookup'!$D$6:$Z$6,0))</f>
        <v>0.35</v>
      </c>
      <c r="CY215" s="72">
        <v>0.37</v>
      </c>
      <c r="CZ215" s="70">
        <f t="shared" si="420"/>
        <v>18.248711189007185</v>
      </c>
      <c r="DA215" s="70">
        <v>17.956102603965455</v>
      </c>
      <c r="DB215" s="69">
        <f t="shared" si="424"/>
        <v>2.3941104848609202E-2</v>
      </c>
      <c r="DC215" s="111">
        <f>VLOOKUP($H215,RoR!$E:$F,2,FALSE)</f>
        <v>4.9433333333333322E-2</v>
      </c>
      <c r="DD215" s="216">
        <f>HLOOKUP($H215,'GDP-PI'!$D$8:$CQ$11,3,FALSE)</f>
        <v>1.1684333519300205E-2</v>
      </c>
      <c r="DE215" s="111">
        <f>VLOOKUP(H215,'HW Dx Data'!$E:$F,2,FALSE)</f>
        <v>568.98950262971744</v>
      </c>
      <c r="DF215" s="72">
        <f t="shared" si="433"/>
        <v>116.925</v>
      </c>
      <c r="DG215" s="69">
        <f t="shared" si="434"/>
        <v>5.2678406346976722E-2</v>
      </c>
      <c r="DH215" s="66">
        <f>HLOOKUP(H215,'GDP-PI'!$8:$9,2,FALSE)</f>
        <v>96.108999999999995</v>
      </c>
      <c r="DI215" s="69">
        <f t="shared" si="425"/>
        <v>1.1616598807150427E-2</v>
      </c>
      <c r="EB215"/>
    </row>
    <row r="216" spans="1:132" s="160" customFormat="1" ht="21">
      <c r="A216" s="160" t="s">
        <v>172</v>
      </c>
      <c r="B216" s="161" t="s">
        <v>172</v>
      </c>
      <c r="C216" s="161">
        <v>4057112</v>
      </c>
      <c r="D216" s="161" t="s">
        <v>146</v>
      </c>
      <c r="E216" s="161"/>
      <c r="F216" s="161"/>
      <c r="G216" s="161" t="s">
        <v>127</v>
      </c>
      <c r="H216" s="162">
        <v>2011</v>
      </c>
      <c r="I216" s="163"/>
      <c r="J216" s="159">
        <f>IFERROR(INDEX('Labor Expenditures'!$F$7:$X$91,MATCH($C216,'Labor Expenditures'!$D$7:$D$91,0),MATCH($G216,'Labor Expenditures'!$F$5:$X$5,0)),"NA")</f>
        <v>16336.902951387066</v>
      </c>
      <c r="K216" s="159">
        <f t="shared" si="426"/>
        <v>135.15535016659413</v>
      </c>
      <c r="L216" s="165">
        <f t="shared" si="432"/>
        <v>-3.9598798365973714E-2</v>
      </c>
      <c r="M216" s="76">
        <f t="shared" si="435"/>
        <v>-2.9145434450087891E-4</v>
      </c>
      <c r="N216" s="62">
        <f t="shared" si="441"/>
        <v>117.1507425690277</v>
      </c>
      <c r="O216" s="96">
        <f t="shared" si="436"/>
        <v>0.18311956459701403</v>
      </c>
      <c r="P216" s="96"/>
      <c r="Q216" s="159">
        <f>IFERROR(INDEX('Non-Labor Expenditures'!$F$7:$AB$91,MATCH($C216,'Non-Labor Expenditures'!$D$7:$D$91,0),MATCH($G216,'Non-Labor Expenditures'!$F$5:$AB$5,0)),"NA")</f>
        <v>23658.886786183273</v>
      </c>
      <c r="R216" s="159">
        <f t="shared" si="427"/>
        <v>241.1416216791348</v>
      </c>
      <c r="S216" s="165">
        <f t="shared" si="437"/>
        <v>-2.7001267417314605E-2</v>
      </c>
      <c r="T216" s="165">
        <f t="shared" si="438"/>
        <v>-1.9873422983886693E-4</v>
      </c>
      <c r="U216" s="165"/>
      <c r="V216" s="165"/>
      <c r="W216" s="159">
        <f t="shared" si="408"/>
        <v>35122.344829458052</v>
      </c>
      <c r="X216" s="163"/>
      <c r="Y216" s="167">
        <v>1821.3393120592543</v>
      </c>
      <c r="Z216" s="168">
        <v>8.4269376605537183E-3</v>
      </c>
      <c r="AA216" s="76">
        <f t="shared" si="428"/>
        <v>6.202379095717443E-5</v>
      </c>
      <c r="AB216" s="168"/>
      <c r="AC216" s="168"/>
      <c r="AD216" s="163">
        <f t="shared" si="355"/>
        <v>75118.134567028392</v>
      </c>
      <c r="AE216" s="168">
        <f t="shared" si="439"/>
        <v>3.0306975274125753E-2</v>
      </c>
      <c r="AF216" s="163"/>
      <c r="AG216" s="163"/>
      <c r="AH216" s="163"/>
      <c r="AI216" s="163"/>
      <c r="AJ216" s="116">
        <f t="shared" si="440"/>
        <v>288.4732067597356</v>
      </c>
      <c r="AK216" s="114">
        <f>+AV216/$AX$16</f>
        <v>7.3264637811749052E-3</v>
      </c>
      <c r="AL216" s="115">
        <f t="shared" si="429"/>
        <v>0.21748280951798055</v>
      </c>
      <c r="AM216" s="115">
        <f t="shared" si="430"/>
        <v>0.3149557283677259</v>
      </c>
      <c r="AN216" s="115">
        <f t="shared" si="431"/>
        <v>0.46756146211429356</v>
      </c>
      <c r="AO216" s="115">
        <f t="shared" si="442"/>
        <v>-1.7436015726035016E-2</v>
      </c>
      <c r="AP216" s="166">
        <f t="shared" si="445"/>
        <v>98.311673253755416</v>
      </c>
      <c r="AQ216" s="168">
        <f t="shared" si="446"/>
        <v>-1.7436015726035071E-2</v>
      </c>
      <c r="AR216" s="69">
        <f>+AD216/$AF$16</f>
        <v>7.3601815339760044E-3</v>
      </c>
      <c r="AS216" s="169">
        <f t="shared" si="443"/>
        <v>-1.2833224097287855E-4</v>
      </c>
      <c r="AT216" s="115"/>
      <c r="AU216" s="115"/>
      <c r="AV216" s="113">
        <f>IFERROR(INDEX('Total Customers'!$F$7:$AB$91,MATCH($C216,'Total Customers'!$D$7:$D$91,0),MATCH($G216,'Total Customers'!$F$5:$AB$5,0)),"NA")</f>
        <v>260399</v>
      </c>
      <c r="AW216" s="68">
        <f t="shared" si="403"/>
        <v>1.202287674934349E-2</v>
      </c>
      <c r="AX216" s="114"/>
      <c r="AY216" s="114"/>
      <c r="AZ216" s="116"/>
      <c r="BA216" s="116"/>
      <c r="BB216" s="166"/>
      <c r="BC216" s="166"/>
      <c r="BD216" s="166"/>
      <c r="BE216" s="166"/>
      <c r="BF216" s="166"/>
      <c r="BG216" s="166"/>
      <c r="BH216" s="166"/>
      <c r="BI216" s="113"/>
      <c r="BJ216" s="113"/>
      <c r="BK216" s="113">
        <f>INDEX('Dist. Plant Gas Additions'!$F$7:$AE$91,MATCH($C216,'Dist. Plant Gas Additions'!$D$7:$D$91,0),MATCH(Calculation!$G216,'Dist. Plant Gas Additions'!$F$5:$AE$5,0))</f>
        <v>14019</v>
      </c>
      <c r="BL216" s="113">
        <f>INDEX('Gen. Plant Additions'!$F$7:$AE$91,MATCH($C216,'Gen. Plant Additions'!$D$7:$D$91,0),MATCH(Calculation!$G216,'Gen. Plant Additions'!$F$5:$AE$5,0))</f>
        <v>3482</v>
      </c>
      <c r="BM216" s="231">
        <f t="shared" si="409"/>
        <v>0.92621999515553555</v>
      </c>
      <c r="BN216" s="61">
        <f t="shared" si="407"/>
        <v>3225.0980231315748</v>
      </c>
      <c r="BO216" s="113">
        <f>INDEX('Dist Plant Depreciation'!$E$7:$AD$94,MATCH($C216,'Dist Plant Depreciation'!$D$7:$D$94,0),MATCH(Calculation!$G216,'Dist Plant Depreciation'!$E$5:$AD$5,0))</f>
        <v>316517</v>
      </c>
      <c r="BP216" s="113">
        <f>INDEX('Gen. Plant Depreciation'!$E$7:$AD$94,MATCH($C216,'Gen. Plant Depreciation'!$D$7:$D$94,0),MATCH(Calculation!$G216,'Gen. Plant Depreciation'!$E$5:$AD$5,0))</f>
        <v>27731</v>
      </c>
      <c r="BQ216" s="113"/>
      <c r="BR216" s="113"/>
      <c r="BS216" s="113"/>
      <c r="BT216" s="113"/>
      <c r="BU216" s="113"/>
      <c r="BV216" s="113"/>
      <c r="BW216" s="113">
        <f>INDEX('Gross Dx Plant'!$E$7:$AD$91,MATCH($C216,'Gross Dx Plant'!$D$7:$D$91,0),MATCH(Calculation!$G216,'Gross Dx Plant'!$E$5:$AD$5,0))</f>
        <v>623284</v>
      </c>
      <c r="BX216" s="113">
        <f>INDEX('Gross Gen Plant'!$E$7:$AD$91,MATCH($C216,'Gross Gen Plant'!$D$7:$D$91,0),MATCH(Calculation!$G216,'Gross Gen Plant'!$E$5:$AD$5,0))</f>
        <v>49649</v>
      </c>
      <c r="BY216" s="113">
        <f t="shared" si="444"/>
        <v>328685</v>
      </c>
      <c r="BZ216" s="113"/>
      <c r="CA216" s="116">
        <v>2011</v>
      </c>
      <c r="CB216" s="113"/>
      <c r="CC216" s="113"/>
      <c r="CD216" s="113"/>
      <c r="CE216" s="175"/>
      <c r="CF216" s="113">
        <f t="shared" si="410"/>
        <v>17501</v>
      </c>
      <c r="CG216" s="113">
        <f t="shared" si="411"/>
        <v>28.61458876554655</v>
      </c>
      <c r="CH216" s="178">
        <v>0.92121212121212126</v>
      </c>
      <c r="CI216" s="61">
        <f>+CI203*CH216+CG204*CH215+CG205*CH214+CG206*CH213+CG207*CH212+CG208*CH211+CG209*CH210+CG210*CH209+CG211*CH208+CG212*CH207+CG213*CH206+CG214*CH205+CG215*CH204+CG216</f>
        <v>1821.3393120592543</v>
      </c>
      <c r="CJ216" s="114">
        <f t="shared" si="412"/>
        <v>8.4269376605537183E-3</v>
      </c>
      <c r="CK216" s="114"/>
      <c r="CL216" s="169">
        <f t="shared" si="413"/>
        <v>7.3811487963183825E-3</v>
      </c>
      <c r="CM216" s="169">
        <f t="shared" si="421"/>
        <v>7.1191385811149996E-3</v>
      </c>
      <c r="CN216" s="114">
        <f>VLOOKUP($H216,RoR!$E:$F,2,FALSE)</f>
        <v>4.6391666666666664E-2</v>
      </c>
      <c r="CO216" s="169">
        <v>2.0840920205183799E-2</v>
      </c>
      <c r="CP216" s="169">
        <f t="shared" si="419"/>
        <v>2.5550746461482865E-2</v>
      </c>
      <c r="CQ216" s="169">
        <f t="shared" si="422"/>
        <v>2.3782803027418625E-2</v>
      </c>
      <c r="CR216" s="169">
        <f t="shared" si="423"/>
        <v>2.4810540821321614E-2</v>
      </c>
      <c r="CS216" s="179">
        <f t="shared" si="414"/>
        <v>0.87050000000000005</v>
      </c>
      <c r="CT216" s="180">
        <f t="shared" si="415"/>
        <v>1.1054151524782025</v>
      </c>
      <c r="CU216" s="180">
        <f t="shared" si="416"/>
        <v>0.43611011316687626</v>
      </c>
      <c r="CV216" s="180">
        <f t="shared" si="417"/>
        <v>0.83698442246886229</v>
      </c>
      <c r="CW216" s="180">
        <f t="shared" si="418"/>
        <v>0.40349573304423936</v>
      </c>
      <c r="CX216" s="181">
        <f>INDEX('State Tax Lookup'!$D$7:$Z$91,MATCH(Calculation!$C216,'State Tax Lookup'!$B$7:$B$91,0),MATCH($H216,'State Tax Lookup'!$D$6:$Z$6,0))</f>
        <v>0.35</v>
      </c>
      <c r="CY216" s="72">
        <v>0.37</v>
      </c>
      <c r="CZ216" s="70">
        <f t="shared" si="420"/>
        <v>19.446991009385709</v>
      </c>
      <c r="DA216" s="70">
        <v>19.146574949201604</v>
      </c>
      <c r="DB216" s="69">
        <f t="shared" si="424"/>
        <v>6.3597896454572186E-2</v>
      </c>
      <c r="DC216" s="111">
        <f>VLOOKUP($H216,RoR!$E:$F,2,FALSE)</f>
        <v>4.6391666666666664E-2</v>
      </c>
      <c r="DD216" s="216">
        <f>HLOOKUP($H216,'GDP-PI'!$D$8:$CQ$11,3,FALSE)</f>
        <v>2.0840920205183799E-2</v>
      </c>
      <c r="DE216" s="111">
        <f>VLOOKUP(H216,'HW Dx Data'!$E:$F,2,FALSE)</f>
        <v>611.61109612283201</v>
      </c>
      <c r="DF216" s="72">
        <f t="shared" si="433"/>
        <v>120.875</v>
      </c>
      <c r="DG216" s="69">
        <f t="shared" si="434"/>
        <v>3.3224250161508609E-2</v>
      </c>
      <c r="DH216" s="66">
        <f>HLOOKUP(H216,'GDP-PI'!$8:$9,2,FALSE)</f>
        <v>98.111999999999995</v>
      </c>
      <c r="DI216" s="69">
        <f t="shared" si="425"/>
        <v>2.0626719212849295E-2</v>
      </c>
      <c r="EB216"/>
    </row>
    <row r="217" spans="1:132" s="160" customFormat="1" ht="21">
      <c r="A217" s="160" t="s">
        <v>172</v>
      </c>
      <c r="B217" s="161" t="s">
        <v>172</v>
      </c>
      <c r="C217" s="161">
        <v>4057112</v>
      </c>
      <c r="D217" s="161" t="s">
        <v>146</v>
      </c>
      <c r="E217" s="161"/>
      <c r="F217" s="161"/>
      <c r="G217" s="161" t="s">
        <v>128</v>
      </c>
      <c r="H217" s="162">
        <v>2012</v>
      </c>
      <c r="I217" s="163"/>
      <c r="J217" s="159">
        <f>IFERROR(INDEX('Labor Expenditures'!$F$7:$X$91,MATCH($C217,'Labor Expenditures'!$D$7:$D$91,0),MATCH($G217,'Labor Expenditures'!$F$5:$X$5,0)),"NA")</f>
        <v>17140.97371521889</v>
      </c>
      <c r="K217" s="159">
        <f t="shared" si="426"/>
        <v>137.34754579502314</v>
      </c>
      <c r="L217" s="165">
        <f t="shared" si="432"/>
        <v>1.6089685308375703E-2</v>
      </c>
      <c r="M217" s="76">
        <f t="shared" si="435"/>
        <v>1.2061736149360254E-4</v>
      </c>
      <c r="N217" s="62">
        <f t="shared" si="441"/>
        <v>114.92804269602519</v>
      </c>
      <c r="O217" s="96">
        <f t="shared" si="436"/>
        <v>-1.9155286716355805E-2</v>
      </c>
      <c r="P217" s="96"/>
      <c r="Q217" s="159">
        <f>IFERROR(INDEX('Non-Labor Expenditures'!$F$7:$AB$91,MATCH($C217,'Non-Labor Expenditures'!$D$7:$D$91,0),MATCH($G217,'Non-Labor Expenditures'!$F$5:$AB$5,0)),"NA")</f>
        <v>24823.331431914725</v>
      </c>
      <c r="R217" s="159">
        <f t="shared" si="427"/>
        <v>248.23331431914724</v>
      </c>
      <c r="S217" s="165">
        <f t="shared" si="437"/>
        <v>2.89846847315023E-2</v>
      </c>
      <c r="T217" s="165">
        <f t="shared" si="438"/>
        <v>2.1728555462907629E-4</v>
      </c>
      <c r="U217" s="165"/>
      <c r="V217" s="165"/>
      <c r="W217" s="159">
        <f t="shared" si="408"/>
        <v>38204.199140678582</v>
      </c>
      <c r="X217" s="163"/>
      <c r="Y217" s="167">
        <v>1855.8064221591401</v>
      </c>
      <c r="Z217" s="168">
        <v>1.8747214314524432E-2</v>
      </c>
      <c r="AA217" s="76">
        <f t="shared" si="428"/>
        <v>1.4053969873456225E-4</v>
      </c>
      <c r="AB217" s="168"/>
      <c r="AC217" s="168"/>
      <c r="AD217" s="163">
        <f t="shared" si="355"/>
        <v>80168.504287812189</v>
      </c>
      <c r="AE217" s="168">
        <f t="shared" si="439"/>
        <v>6.5068721239700353E-2</v>
      </c>
      <c r="AF217" s="163"/>
      <c r="AG217" s="163"/>
      <c r="AH217" s="163"/>
      <c r="AI217" s="163"/>
      <c r="AJ217" s="116">
        <f t="shared" si="440"/>
        <v>305.46550079754081</v>
      </c>
      <c r="AK217" s="114">
        <f>+AV217/$AX$17</f>
        <v>7.3486984534852032E-3</v>
      </c>
      <c r="AL217" s="115">
        <f t="shared" si="429"/>
        <v>0.21381181883699915</v>
      </c>
      <c r="AM217" s="115">
        <f t="shared" si="430"/>
        <v>0.3096394482151833</v>
      </c>
      <c r="AN217" s="115">
        <f t="shared" si="431"/>
        <v>0.47654873294781763</v>
      </c>
      <c r="AO217" s="115">
        <f t="shared" si="442"/>
        <v>1.2521544561748553E-2</v>
      </c>
      <c r="AP217" s="166">
        <f t="shared" si="445"/>
        <v>99.550426618865956</v>
      </c>
      <c r="AQ217" s="168">
        <f t="shared" si="446"/>
        <v>1.2521544561748633E-2</v>
      </c>
      <c r="AR217" s="69">
        <f>+AD217/$AF$17</f>
        <v>7.4965643629346526E-3</v>
      </c>
      <c r="AS217" s="169">
        <f t="shared" si="443"/>
        <v>9.3868564730503005E-5</v>
      </c>
      <c r="AT217" s="115"/>
      <c r="AU217" s="115"/>
      <c r="AV217" s="113">
        <f>IFERROR(INDEX('Total Customers'!$F$7:$AB$91,MATCH($C217,'Total Customers'!$D$7:$D$91,0),MATCH($G217,'Total Customers'!$F$5:$AB$5,0)),"NA")</f>
        <v>262447</v>
      </c>
      <c r="AW217" s="68">
        <f t="shared" si="403"/>
        <v>7.8340868029986004E-3</v>
      </c>
      <c r="AX217" s="114"/>
      <c r="AY217" s="114"/>
      <c r="AZ217" s="116"/>
      <c r="BA217" s="116"/>
      <c r="BB217" s="166"/>
      <c r="BC217" s="166"/>
      <c r="BD217" s="166"/>
      <c r="BE217" s="166"/>
      <c r="BF217" s="166"/>
      <c r="BG217" s="166"/>
      <c r="BH217" s="166"/>
      <c r="BI217" s="113"/>
      <c r="BJ217" s="113"/>
      <c r="BK217" s="113">
        <f>INDEX('Dist. Plant Gas Additions'!$F$7:$AE$91,MATCH($C217,'Dist. Plant Gas Additions'!$D$7:$D$91,0),MATCH(Calculation!$G217,'Dist. Plant Gas Additions'!$F$5:$AE$5,0))</f>
        <v>28477</v>
      </c>
      <c r="BL217" s="113">
        <f>INDEX('Gen. Plant Additions'!$F$7:$AE$91,MATCH($C217,'Gen. Plant Additions'!$D$7:$D$91,0),MATCH(Calculation!$G217,'Gen. Plant Additions'!$F$5:$AE$5,0))</f>
        <v>3913</v>
      </c>
      <c r="BM217" s="231">
        <f t="shared" si="409"/>
        <v>0.92606338318794379</v>
      </c>
      <c r="BN217" s="61">
        <f t="shared" si="407"/>
        <v>3623.6860184144239</v>
      </c>
      <c r="BO217" s="113">
        <f>INDEX('Dist Plant Depreciation'!$E$7:$AD$94,MATCH($C217,'Dist Plant Depreciation'!$D$7:$D$94,0),MATCH(Calculation!$G217,'Dist Plant Depreciation'!$E$5:$AD$5,0))</f>
        <v>331934</v>
      </c>
      <c r="BP217" s="113">
        <f>INDEX('Gen. Plant Depreciation'!$E$7:$AD$94,MATCH($C217,'Gen. Plant Depreciation'!$D$7:$D$94,0),MATCH(Calculation!$G217,'Gen. Plant Depreciation'!$E$5:$AD$5,0))</f>
        <v>28356</v>
      </c>
      <c r="BQ217" s="113"/>
      <c r="BR217" s="113"/>
      <c r="BS217" s="113"/>
      <c r="BT217" s="113"/>
      <c r="BU217" s="113"/>
      <c r="BV217" s="113"/>
      <c r="BW217" s="113">
        <f>INDEX('Gross Dx Plant'!$E$7:$AD$91,MATCH($C217,'Gross Dx Plant'!$D$7:$D$91,0),MATCH(Calculation!$G217,'Gross Dx Plant'!$E$5:$AD$5,0))</f>
        <v>650754</v>
      </c>
      <c r="BX217" s="113">
        <f>INDEX('Gross Gen Plant'!$E$7:$AD$91,MATCH($C217,'Gross Gen Plant'!$D$7:$D$91,0),MATCH(Calculation!$G217,'Gross Gen Plant'!$E$5:$AD$5,0))</f>
        <v>51956</v>
      </c>
      <c r="BY217" s="113">
        <f t="shared" si="444"/>
        <v>342420</v>
      </c>
      <c r="BZ217" s="113"/>
      <c r="CA217" s="116">
        <v>2012</v>
      </c>
      <c r="CB217" s="113"/>
      <c r="CC217" s="113"/>
      <c r="CD217" s="113"/>
      <c r="CE217" s="175"/>
      <c r="CF217" s="113">
        <f t="shared" si="410"/>
        <v>32390</v>
      </c>
      <c r="CG217" s="113">
        <f t="shared" si="411"/>
        <v>48.421384955219914</v>
      </c>
      <c r="CH217" s="178">
        <v>0.9135802469135802</v>
      </c>
      <c r="CI217" s="61">
        <f>+CI203*CH217+CG204*CH216+CG205*CH215+CG206*CH214+CG207*CH213+CG208*CH212+CG209*CH211+CG210*CH210+CG211*CH209+CG212*CH208+CG213*CH207+CG214*CH206+CG215*CH205+CG216*CH204+CG217</f>
        <v>1855.8064221591401</v>
      </c>
      <c r="CJ217" s="114">
        <f t="shared" si="412"/>
        <v>1.8747214314524432E-2</v>
      </c>
      <c r="CK217" s="114"/>
      <c r="CL217" s="169">
        <f t="shared" si="413"/>
        <v>7.661545963973667E-3</v>
      </c>
      <c r="CM217" s="169">
        <f t="shared" si="421"/>
        <v>7.3867628837306423E-3</v>
      </c>
      <c r="CN217" s="114">
        <f>VLOOKUP($H217,RoR!$E:$F,2,FALSE)</f>
        <v>3.6733333333333333E-2</v>
      </c>
      <c r="CO217" s="169">
        <v>1.924331376386168E-2</v>
      </c>
      <c r="CP217" s="169">
        <f t="shared" si="419"/>
        <v>1.7490019569471653E-2</v>
      </c>
      <c r="CQ217" s="169">
        <f t="shared" si="422"/>
        <v>2.3515178724802983E-2</v>
      </c>
      <c r="CR217" s="169">
        <f t="shared" si="423"/>
        <v>6.7122682943869583E-2</v>
      </c>
      <c r="CS217" s="179">
        <f t="shared" si="414"/>
        <v>0.87050000000000005</v>
      </c>
      <c r="CT217" s="180">
        <f t="shared" si="415"/>
        <v>1.3960631020522127</v>
      </c>
      <c r="CU217" s="180">
        <f t="shared" si="416"/>
        <v>0.29441923774954631</v>
      </c>
      <c r="CV217" s="180">
        <f t="shared" si="417"/>
        <v>0.76377954189366437</v>
      </c>
      <c r="CW217" s="180">
        <f t="shared" si="418"/>
        <v>0.31393465103033691</v>
      </c>
      <c r="CX217" s="181">
        <f>INDEX('State Tax Lookup'!$D$7:$Z$91,MATCH(Calculation!$C217,'State Tax Lookup'!$B$7:$B$91,0),MATCH($H217,'State Tax Lookup'!$D$6:$Z$6,0))</f>
        <v>0.35</v>
      </c>
      <c r="CY217" s="72">
        <v>0.37</v>
      </c>
      <c r="CZ217" s="70">
        <f t="shared" si="420"/>
        <v>20.975882356310592</v>
      </c>
      <c r="DA217" s="70">
        <v>20.759737328210988</v>
      </c>
      <c r="DB217" s="69">
        <f t="shared" si="424"/>
        <v>7.5680964306515108E-2</v>
      </c>
      <c r="DC217" s="111">
        <f>VLOOKUP($H217,RoR!$E:$F,2,FALSE)</f>
        <v>3.6733333333333333E-2</v>
      </c>
      <c r="DD217" s="216">
        <f>HLOOKUP($H217,'GDP-PI'!$D$8:$CQ$11,3,FALSE)</f>
        <v>1.924331376386168E-2</v>
      </c>
      <c r="DE217" s="111">
        <f>VLOOKUP(H217,'HW Dx Data'!$E:$F,2,FALSE)</f>
        <v>668.91932211262167</v>
      </c>
      <c r="DF217" s="72">
        <f t="shared" si="433"/>
        <v>124.80000000000001</v>
      </c>
      <c r="DG217" s="69">
        <f t="shared" si="434"/>
        <v>3.1955502161869064E-2</v>
      </c>
      <c r="DH217" s="66">
        <f>HLOOKUP(H217,'GDP-PI'!$8:$9,2,FALSE)</f>
        <v>100</v>
      </c>
      <c r="DI217" s="69">
        <f t="shared" si="425"/>
        <v>1.9060502738742411E-2</v>
      </c>
      <c r="EB217"/>
    </row>
    <row r="218" spans="1:132" s="160" customFormat="1" ht="21">
      <c r="A218" s="160" t="s">
        <v>172</v>
      </c>
      <c r="B218" s="161" t="s">
        <v>172</v>
      </c>
      <c r="C218" s="161">
        <v>4057112</v>
      </c>
      <c r="D218" s="161" t="s">
        <v>146</v>
      </c>
      <c r="E218" s="161"/>
      <c r="F218" s="161"/>
      <c r="G218" s="161" t="s">
        <v>129</v>
      </c>
      <c r="H218" s="162">
        <v>2013</v>
      </c>
      <c r="I218" s="163"/>
      <c r="J218" s="159">
        <f>IFERROR(INDEX('Labor Expenditures'!$F$7:$X$91,MATCH($C218,'Labor Expenditures'!$D$7:$D$91,0),MATCH($G218,'Labor Expenditures'!$F$5:$X$5,0)),"NA")</f>
        <v>17583.084935264596</v>
      </c>
      <c r="K218" s="159">
        <f t="shared" si="426"/>
        <v>138.66786226549365</v>
      </c>
      <c r="L218" s="165">
        <f t="shared" si="432"/>
        <v>9.5670495373762938E-3</v>
      </c>
      <c r="M218" s="76">
        <f t="shared" si="435"/>
        <v>7.0069725279448664E-5</v>
      </c>
      <c r="N218" s="62">
        <f t="shared" si="441"/>
        <v>108.28297116474873</v>
      </c>
      <c r="O218" s="96">
        <f t="shared" si="436"/>
        <v>-5.9558312820223218E-2</v>
      </c>
      <c r="P218" s="96"/>
      <c r="Q218" s="159">
        <f>IFERROR(INDEX('Non-Labor Expenditures'!$F$7:$AB$91,MATCH($C218,'Non-Labor Expenditures'!$D$7:$D$91,0),MATCH($G218,'Non-Labor Expenditures'!$F$5:$AB$5,0)),"NA")</f>
        <v>25463.591053526463</v>
      </c>
      <c r="R218" s="159">
        <f t="shared" si="427"/>
        <v>250.19986689521252</v>
      </c>
      <c r="S218" s="165">
        <f t="shared" si="437"/>
        <v>7.8909785886640514E-3</v>
      </c>
      <c r="T218" s="165">
        <f t="shared" si="438"/>
        <v>5.7794066993546293E-5</v>
      </c>
      <c r="U218" s="165"/>
      <c r="V218" s="165"/>
      <c r="W218" s="159">
        <f t="shared" si="408"/>
        <v>38186.276897684089</v>
      </c>
      <c r="X218" s="163"/>
      <c r="Y218" s="167">
        <v>1890.3461954151251</v>
      </c>
      <c r="Z218" s="168">
        <v>1.84406539559747E-2</v>
      </c>
      <c r="AA218" s="76">
        <f t="shared" si="428"/>
        <v>1.3506061107141344E-4</v>
      </c>
      <c r="AB218" s="168"/>
      <c r="AC218" s="168"/>
      <c r="AD218" s="163">
        <f t="shared" si="355"/>
        <v>81232.952886475148</v>
      </c>
      <c r="AE218" s="168">
        <f t="shared" si="439"/>
        <v>1.3190265444438409E-2</v>
      </c>
      <c r="AF218" s="163"/>
      <c r="AG218" s="163"/>
      <c r="AH218" s="163"/>
      <c r="AI218" s="163"/>
      <c r="AJ218" s="116">
        <f t="shared" si="440"/>
        <v>305.50189126165907</v>
      </c>
      <c r="AK218" s="114">
        <f>+AV218/$AX$18</f>
        <v>7.3979330080579881E-3</v>
      </c>
      <c r="AL218" s="115">
        <f t="shared" si="429"/>
        <v>0.2164526132619769</v>
      </c>
      <c r="AM218" s="115">
        <f t="shared" si="430"/>
        <v>0.3134638117749135</v>
      </c>
      <c r="AN218" s="115">
        <f t="shared" si="431"/>
        <v>0.4700835749631096</v>
      </c>
      <c r="AO218" s="115">
        <f t="shared" si="442"/>
        <v>4.5166278095853029E-3</v>
      </c>
      <c r="AP218" s="166">
        <f t="shared" si="445"/>
        <v>100.00107578536714</v>
      </c>
      <c r="AQ218" s="168">
        <f t="shared" si="446"/>
        <v>4.5166278095853767E-3</v>
      </c>
      <c r="AR218" s="69">
        <f>+AD218/$AF$18</f>
        <v>7.3240684085205295E-3</v>
      </c>
      <c r="AS218" s="169">
        <f t="shared" si="443"/>
        <v>3.3080091053229533E-5</v>
      </c>
      <c r="AT218" s="115"/>
      <c r="AU218" s="115"/>
      <c r="AV218" s="113">
        <f>IFERROR(INDEX('Total Customers'!$F$7:$AB$91,MATCH($C218,'Total Customers'!$D$7:$D$91,0),MATCH($G218,'Total Customers'!$F$5:$AB$5,0)),"NA")</f>
        <v>265900</v>
      </c>
      <c r="AW218" s="68">
        <f t="shared" si="403"/>
        <v>1.3071141364710921E-2</v>
      </c>
      <c r="AX218" s="114"/>
      <c r="AY218" s="114"/>
      <c r="AZ218" s="116"/>
      <c r="BA218" s="116"/>
      <c r="BB218" s="166"/>
      <c r="BC218" s="166"/>
      <c r="BD218" s="166"/>
      <c r="BE218" s="166"/>
      <c r="BF218" s="166"/>
      <c r="BG218" s="166"/>
      <c r="BH218" s="166"/>
      <c r="BI218" s="113"/>
      <c r="BJ218" s="113"/>
      <c r="BK218" s="113">
        <f>INDEX('Dist. Plant Gas Additions'!$F$7:$AE$91,MATCH($C218,'Dist. Plant Gas Additions'!$D$7:$D$91,0),MATCH(Calculation!$G218,'Dist. Plant Gas Additions'!$F$5:$AE$5,0))</f>
        <v>25482</v>
      </c>
      <c r="BL218" s="113">
        <f>INDEX('Gen. Plant Additions'!$F$7:$AE$91,MATCH($C218,'Gen. Plant Additions'!$D$7:$D$91,0),MATCH(Calculation!$G218,'Gen. Plant Additions'!$F$5:$AE$5,0))</f>
        <v>7181</v>
      </c>
      <c r="BM218" s="231">
        <f t="shared" si="409"/>
        <v>0.9274431340958984</v>
      </c>
      <c r="BN218" s="61">
        <f t="shared" si="407"/>
        <v>6659.9691459426467</v>
      </c>
      <c r="BO218" s="113">
        <f>INDEX('Dist Plant Depreciation'!$E$7:$AD$94,MATCH($C218,'Dist Plant Depreciation'!$D$7:$D$94,0),MATCH(Calculation!$G218,'Dist Plant Depreciation'!$E$5:$AD$5,0))</f>
        <v>347102</v>
      </c>
      <c r="BP218" s="113">
        <f>INDEX('Gen. Plant Depreciation'!$E$7:$AD$94,MATCH($C218,'Gen. Plant Depreciation'!$D$7:$D$94,0),MATCH(Calculation!$G218,'Gen. Plant Depreciation'!$E$5:$AD$5,0))</f>
        <v>24832</v>
      </c>
      <c r="BQ218" s="113"/>
      <c r="BR218" s="113"/>
      <c r="BS218" s="113"/>
      <c r="BT218" s="113"/>
      <c r="BU218" s="113"/>
      <c r="BV218" s="113"/>
      <c r="BW218" s="113">
        <f>INDEX('Gross Dx Plant'!$E$7:$AD$91,MATCH($C218,'Gross Dx Plant'!$D$7:$D$91,0),MATCH(Calculation!$G218,'Gross Dx Plant'!$E$5:$AD$5,0))</f>
        <v>674675</v>
      </c>
      <c r="BX218" s="113">
        <f>INDEX('Gross Gen Plant'!$E$7:$AD$91,MATCH($C218,'Gross Gen Plant'!$D$7:$D$91,0),MATCH(Calculation!$G218,'Gross Gen Plant'!$E$5:$AD$5,0))</f>
        <v>52782</v>
      </c>
      <c r="BY218" s="113">
        <f t="shared" si="444"/>
        <v>355523</v>
      </c>
      <c r="BZ218" s="113"/>
      <c r="CA218" s="116">
        <v>2013</v>
      </c>
      <c r="CB218" s="113"/>
      <c r="CC218" s="113"/>
      <c r="CD218" s="113"/>
      <c r="CE218" s="175"/>
      <c r="CF218" s="113">
        <f t="shared" si="410"/>
        <v>32663</v>
      </c>
      <c r="CG218" s="113">
        <f t="shared" si="411"/>
        <v>49.247008707027227</v>
      </c>
      <c r="CH218" s="178">
        <v>0.90566037735849059</v>
      </c>
      <c r="CI218" s="61">
        <f>+CI203*CH218+CG204*CH217+CG205*CH216+CG206*CH215+CG207*CH214+CG208*CH213+CG209*CH212+CG210*CH211+CG211*CH210+CG212*CH209+CG213*CH208+CG214*CH207+CG215*CH206+CG216*CH205+CG217*CH204+CG218</f>
        <v>1890.3461954151251</v>
      </c>
      <c r="CJ218" s="114">
        <f t="shared" si="412"/>
        <v>1.84406539559747E-2</v>
      </c>
      <c r="CK218" s="114"/>
      <c r="CL218" s="169">
        <f t="shared" si="413"/>
        <v>7.9249835949651987E-3</v>
      </c>
      <c r="CM218" s="169">
        <f t="shared" si="421"/>
        <v>7.65589278508575E-3</v>
      </c>
      <c r="CN218" s="114">
        <f>VLOOKUP($H218,RoR!$E:$F,2,FALSE)</f>
        <v>4.2350000000000006E-2</v>
      </c>
      <c r="CO218" s="169">
        <v>1.7730000000000024E-2</v>
      </c>
      <c r="CP218" s="169">
        <f t="shared" si="419"/>
        <v>2.4619999999999982E-2</v>
      </c>
      <c r="CQ218" s="169">
        <f t="shared" si="422"/>
        <v>2.3246048823447874E-2</v>
      </c>
      <c r="CR218" s="169">
        <f t="shared" si="423"/>
        <v>5.3376742735721204E-2</v>
      </c>
      <c r="CS218" s="179">
        <f t="shared" si="414"/>
        <v>0.87050000000000005</v>
      </c>
      <c r="CT218" s="180">
        <f t="shared" si="415"/>
        <v>1.2109103018193925</v>
      </c>
      <c r="CU218" s="180">
        <f t="shared" si="416"/>
        <v>0.38468122786304604</v>
      </c>
      <c r="CV218" s="180">
        <f t="shared" si="417"/>
        <v>0.80969194503422559</v>
      </c>
      <c r="CW218" s="180">
        <f t="shared" si="418"/>
        <v>0.37716621754800816</v>
      </c>
      <c r="CX218" s="181">
        <f>INDEX('State Tax Lookup'!$D$7:$Z$91,MATCH(Calculation!$C218,'State Tax Lookup'!$B$7:$B$91,0),MATCH($H218,'State Tax Lookup'!$D$6:$Z$6,0))</f>
        <v>0.35</v>
      </c>
      <c r="CY218" s="72">
        <v>0.37</v>
      </c>
      <c r="CZ218" s="70">
        <f t="shared" si="420"/>
        <v>20.576648750496414</v>
      </c>
      <c r="DA218" s="70">
        <v>20.339519021246105</v>
      </c>
      <c r="DB218" s="69">
        <f t="shared" si="424"/>
        <v>-1.9216441481385585E-2</v>
      </c>
      <c r="DC218" s="111">
        <f>VLOOKUP($H218,RoR!$E:$F,2,FALSE)</f>
        <v>4.2350000000000006E-2</v>
      </c>
      <c r="DD218" s="216">
        <f>HLOOKUP($H218,'GDP-PI'!$D$8:$CQ$11,3,FALSE)</f>
        <v>1.7730000000000024E-2</v>
      </c>
      <c r="DE218" s="111">
        <f>VLOOKUP(H218,'HW Dx Data'!$E:$F,2,FALSE)</f>
        <v>663.24840548821396</v>
      </c>
      <c r="DF218" s="72">
        <f t="shared" si="433"/>
        <v>126.8</v>
      </c>
      <c r="DG218" s="69">
        <f t="shared" si="434"/>
        <v>1.5898586067798204E-2</v>
      </c>
      <c r="DH218" s="66">
        <f>HLOOKUP(H218,'GDP-PI'!$8:$9,2,FALSE)</f>
        <v>101.773</v>
      </c>
      <c r="DI218" s="69">
        <f t="shared" si="425"/>
        <v>1.7574657016510519E-2</v>
      </c>
      <c r="EB218"/>
    </row>
    <row r="219" spans="1:132" s="160" customFormat="1" ht="21">
      <c r="A219" s="160" t="s">
        <v>172</v>
      </c>
      <c r="B219" s="161" t="s">
        <v>172</v>
      </c>
      <c r="C219" s="161">
        <v>4057112</v>
      </c>
      <c r="D219" s="161" t="s">
        <v>146</v>
      </c>
      <c r="E219" s="161"/>
      <c r="F219" s="161"/>
      <c r="G219" s="161" t="s">
        <v>130</v>
      </c>
      <c r="H219" s="162">
        <v>2014</v>
      </c>
      <c r="I219" s="163"/>
      <c r="J219" s="159">
        <f>IFERROR(INDEX('Labor Expenditures'!$F$7:$X$91,MATCH($C219,'Labor Expenditures'!$D$7:$D$91,0),MATCH($G219,'Labor Expenditures'!$F$5:$X$5,0)),"NA")</f>
        <v>19174.89792721784</v>
      </c>
      <c r="K219" s="159">
        <f t="shared" si="426"/>
        <v>148.18313699550109</v>
      </c>
      <c r="L219" s="165">
        <f t="shared" si="432"/>
        <v>6.6367327269563334E-2</v>
      </c>
      <c r="M219" s="76">
        <f t="shared" si="435"/>
        <v>5.0514311908432421E-4</v>
      </c>
      <c r="N219" s="62">
        <f t="shared" si="441"/>
        <v>121.24184574399702</v>
      </c>
      <c r="O219" s="96">
        <f t="shared" si="436"/>
        <v>0.11303937194567099</v>
      </c>
      <c r="P219" s="96"/>
      <c r="Q219" s="159">
        <f>IFERROR(INDEX('Non-Labor Expenditures'!$F$7:$AB$91,MATCH($C219,'Non-Labor Expenditures'!$D$7:$D$91,0),MATCH($G219,'Non-Labor Expenditures'!$F$5:$AB$5,0)),"NA")</f>
        <v>27768.833575530909</v>
      </c>
      <c r="R219" s="159">
        <f t="shared" si="427"/>
        <v>267.91738859331105</v>
      </c>
      <c r="S219" s="165">
        <f t="shared" si="437"/>
        <v>6.8418615434981761E-2</v>
      </c>
      <c r="T219" s="165">
        <f t="shared" si="438"/>
        <v>5.207561344738325E-4</v>
      </c>
      <c r="U219" s="165"/>
      <c r="V219" s="165"/>
      <c r="W219" s="159">
        <f t="shared" si="408"/>
        <v>39709.204442218739</v>
      </c>
      <c r="X219" s="163"/>
      <c r="Y219" s="167">
        <v>1921.0670180538452</v>
      </c>
      <c r="Z219" s="168">
        <v>1.6120785769020037E-2</v>
      </c>
      <c r="AA219" s="76">
        <f t="shared" si="428"/>
        <v>1.2270049647136478E-4</v>
      </c>
      <c r="AB219" s="168"/>
      <c r="AC219" s="168"/>
      <c r="AD219" s="163">
        <f t="shared" si="355"/>
        <v>86652.935944967496</v>
      </c>
      <c r="AE219" s="168">
        <f t="shared" si="439"/>
        <v>6.458990982309655E-2</v>
      </c>
      <c r="AF219" s="163"/>
      <c r="AG219" s="163"/>
      <c r="AH219" s="163"/>
      <c r="AI219" s="163"/>
      <c r="AJ219" s="116">
        <f t="shared" si="440"/>
        <v>321.67904440604616</v>
      </c>
      <c r="AK219" s="114">
        <f>+AV219/$AX$19</f>
        <v>7.4546215820035493E-3</v>
      </c>
      <c r="AL219" s="115">
        <f t="shared" si="429"/>
        <v>0.22128388055305648</v>
      </c>
      <c r="AM219" s="115">
        <f t="shared" si="430"/>
        <v>0.32046038916865605</v>
      </c>
      <c r="AN219" s="115">
        <f t="shared" si="431"/>
        <v>0.45825573027828737</v>
      </c>
      <c r="AO219" s="115">
        <f t="shared" si="442"/>
        <v>3.6211808631069847E-2</v>
      </c>
      <c r="AP219" s="166">
        <f t="shared" si="445"/>
        <v>103.68865969562781</v>
      </c>
      <c r="AQ219" s="168">
        <f t="shared" si="446"/>
        <v>3.6211808631069896E-2</v>
      </c>
      <c r="AR219" s="69">
        <f>+AD219/$AF$19</f>
        <v>7.6113223157622542E-3</v>
      </c>
      <c r="AS219" s="169">
        <f t="shared" si="443"/>
        <v>2.7561974712777453E-4</v>
      </c>
      <c r="AT219" s="115"/>
      <c r="AU219" s="115"/>
      <c r="AV219" s="113">
        <f>IFERROR(INDEX('Total Customers'!$F$7:$AB$91,MATCH($C219,'Total Customers'!$D$7:$D$91,0),MATCH($G219,'Total Customers'!$F$5:$AB$5,0)),"NA")</f>
        <v>269377</v>
      </c>
      <c r="AW219" s="68">
        <f t="shared" si="403"/>
        <v>1.2991587175443376E-2</v>
      </c>
      <c r="AX219" s="114"/>
      <c r="AY219" s="114"/>
      <c r="AZ219" s="116"/>
      <c r="BA219" s="116"/>
      <c r="BB219" s="166"/>
      <c r="BC219" s="166"/>
      <c r="BD219" s="166"/>
      <c r="BE219" s="166"/>
      <c r="BF219" s="166"/>
      <c r="BG219" s="166"/>
      <c r="BH219" s="166"/>
      <c r="BI219" s="113"/>
      <c r="BJ219" s="113"/>
      <c r="BK219" s="113">
        <f>INDEX('Dist. Plant Gas Additions'!$F$7:$AE$91,MATCH($C219,'Dist. Plant Gas Additions'!$D$7:$D$91,0),MATCH(Calculation!$G219,'Dist. Plant Gas Additions'!$F$5:$AE$5,0))</f>
        <v>26317</v>
      </c>
      <c r="BL219" s="113">
        <f>INDEX('Gen. Plant Additions'!$F$7:$AE$91,MATCH($C219,'Gen. Plant Additions'!$D$7:$D$91,0),MATCH(Calculation!$G219,'Gen. Plant Additions'!$F$5:$AE$5,0))</f>
        <v>5320</v>
      </c>
      <c r="BM219" s="231">
        <f t="shared" si="409"/>
        <v>0.92651474349897911</v>
      </c>
      <c r="BN219" s="61">
        <f t="shared" si="407"/>
        <v>4929.0584354145685</v>
      </c>
      <c r="BO219" s="113">
        <f>INDEX('Dist Plant Depreciation'!$E$7:$AD$94,MATCH($C219,'Dist Plant Depreciation'!$D$7:$D$94,0),MATCH(Calculation!$G219,'Dist Plant Depreciation'!$E$5:$AD$5,0))</f>
        <v>363333</v>
      </c>
      <c r="BP219" s="113">
        <f>INDEX('Gen. Plant Depreciation'!$E$7:$AD$94,MATCH($C219,'Gen. Plant Depreciation'!$D$7:$D$94,0),MATCH(Calculation!$G219,'Gen. Plant Depreciation'!$E$5:$AD$5,0))</f>
        <v>25700</v>
      </c>
      <c r="BQ219" s="113"/>
      <c r="BR219" s="113"/>
      <c r="BS219" s="113"/>
      <c r="BT219" s="113"/>
      <c r="BU219" s="113"/>
      <c r="BV219" s="113"/>
      <c r="BW219" s="113">
        <f>INDEX('Gross Dx Plant'!$E$7:$AD$91,MATCH($C219,'Gross Dx Plant'!$D$7:$D$91,0),MATCH(Calculation!$G219,'Gross Dx Plant'!$E$5:$AD$5,0))</f>
        <v>700157</v>
      </c>
      <c r="BX219" s="113">
        <f>INDEX('Gross Gen Plant'!$E$7:$AD$91,MATCH($C219,'Gross Gen Plant'!$D$7:$D$91,0),MATCH(Calculation!$G219,'Gross Gen Plant'!$E$5:$AD$5,0))</f>
        <v>55532</v>
      </c>
      <c r="BY219" s="113">
        <f t="shared" si="444"/>
        <v>366656</v>
      </c>
      <c r="BZ219" s="113"/>
      <c r="CA219" s="116">
        <v>2014</v>
      </c>
      <c r="CB219" s="113"/>
      <c r="CC219" s="113"/>
      <c r="CD219" s="113"/>
      <c r="CE219" s="175"/>
      <c r="CF219" s="113">
        <f t="shared" si="410"/>
        <v>31637</v>
      </c>
      <c r="CG219" s="113">
        <f t="shared" si="411"/>
        <v>46.221221702193461</v>
      </c>
      <c r="CH219" s="178">
        <v>0.89743589743589747</v>
      </c>
      <c r="CI219" s="61">
        <f>+CI203*CH219+CG204*CH218+CG205*CH217+CG206*CH216+CG207*CH215+CG208*CH214+CG209*CH213+CG210*CH212+CG211*CH211+CG212*CH210+CG213*CH209+CG214*CH208+CG215*CH207+CG216*CH206+CG217*CH205+CG218*CH204+CG219</f>
        <v>1921.0670180538452</v>
      </c>
      <c r="CJ219" s="114">
        <f t="shared" si="412"/>
        <v>1.6120785769020037E-2</v>
      </c>
      <c r="CK219" s="114"/>
      <c r="CL219" s="169">
        <f t="shared" si="413"/>
        <v>8.1997673765092354E-3</v>
      </c>
      <c r="CM219" s="169">
        <f t="shared" si="421"/>
        <v>7.928765645149367E-3</v>
      </c>
      <c r="CN219" s="114">
        <f>VLOOKUP($H219,RoR!$E:$F,2,FALSE)</f>
        <v>4.1625000000000002E-2</v>
      </c>
      <c r="CO219" s="169">
        <v>1.841352814597208E-2</v>
      </c>
      <c r="CP219" s="169">
        <f t="shared" si="419"/>
        <v>2.3211471854027922E-2</v>
      </c>
      <c r="CQ219" s="169">
        <f t="shared" si="422"/>
        <v>2.297317596338426E-2</v>
      </c>
      <c r="CR219" s="169">
        <f t="shared" si="423"/>
        <v>3.9072621432650924E-2</v>
      </c>
      <c r="CS219" s="179">
        <f t="shared" si="414"/>
        <v>0.87050000000000005</v>
      </c>
      <c r="CT219" s="180">
        <f t="shared" si="415"/>
        <v>1.2320012320012319</v>
      </c>
      <c r="CU219" s="180">
        <f t="shared" si="416"/>
        <v>0.37439939939939942</v>
      </c>
      <c r="CV219" s="180">
        <f t="shared" si="417"/>
        <v>0.80432100613819935</v>
      </c>
      <c r="CW219" s="180">
        <f t="shared" si="418"/>
        <v>0.37100152660040037</v>
      </c>
      <c r="CX219" s="181">
        <f>INDEX('State Tax Lookup'!$D$7:$Z$91,MATCH(Calculation!$C219,'State Tax Lookup'!$B$7:$B$91,0),MATCH($H219,'State Tax Lookup'!$D$6:$Z$6,0))</f>
        <v>0.35</v>
      </c>
      <c r="CY219" s="72">
        <v>0.37</v>
      </c>
      <c r="CZ219" s="70">
        <f t="shared" si="420"/>
        <v>21.006313308392958</v>
      </c>
      <c r="DA219" s="70">
        <v>20.763592984765573</v>
      </c>
      <c r="DB219" s="69">
        <f t="shared" si="424"/>
        <v>2.0666149241075654E-2</v>
      </c>
      <c r="DC219" s="111">
        <f>VLOOKUP($H219,RoR!$E:$F,2,FALSE)</f>
        <v>4.1625000000000002E-2</v>
      </c>
      <c r="DD219" s="216">
        <f>HLOOKUP($H219,'GDP-PI'!$D$8:$CQ$11,3,FALSE)</f>
        <v>1.841352814597208E-2</v>
      </c>
      <c r="DE219" s="111">
        <f>VLOOKUP(H219,'HW Dx Data'!$E:$F,2,FALSE)</f>
        <v>684.46914285042885</v>
      </c>
      <c r="DF219" s="72">
        <f t="shared" si="433"/>
        <v>129.4</v>
      </c>
      <c r="DG219" s="69">
        <f t="shared" si="434"/>
        <v>2.0297340063674733E-2</v>
      </c>
      <c r="DH219" s="66">
        <f>HLOOKUP(H219,'GDP-PI'!$8:$9,2,FALSE)</f>
        <v>103.64700000000001</v>
      </c>
      <c r="DI219" s="69">
        <f t="shared" si="425"/>
        <v>1.8246051898256087E-2</v>
      </c>
      <c r="EB219"/>
    </row>
    <row r="220" spans="1:132" s="160" customFormat="1" ht="21">
      <c r="A220" s="160" t="s">
        <v>172</v>
      </c>
      <c r="B220" s="161" t="s">
        <v>172</v>
      </c>
      <c r="C220" s="161">
        <v>4057112</v>
      </c>
      <c r="D220" s="161" t="s">
        <v>146</v>
      </c>
      <c r="E220" s="161"/>
      <c r="F220" s="161"/>
      <c r="G220" s="161" t="s">
        <v>132</v>
      </c>
      <c r="H220" s="162">
        <v>2015</v>
      </c>
      <c r="I220" s="163"/>
      <c r="J220" s="159">
        <f>IFERROR(INDEX('Labor Expenditures'!$F$7:$X$91,MATCH($C220,'Labor Expenditures'!$D$7:$D$91,0),MATCH($G220,'Labor Expenditures'!$F$5:$X$5,0)),"NA")</f>
        <v>18946.90271693371</v>
      </c>
      <c r="K220" s="159">
        <f t="shared" si="426"/>
        <v>141.92436492085176</v>
      </c>
      <c r="L220" s="165">
        <f t="shared" si="432"/>
        <v>-4.315464663748713E-2</v>
      </c>
      <c r="M220" s="76">
        <f t="shared" si="435"/>
        <v>-3.2214377181575589E-4</v>
      </c>
      <c r="N220" s="62">
        <f t="shared" si="441"/>
        <v>119.55568509362456</v>
      </c>
      <c r="O220" s="96">
        <f t="shared" si="436"/>
        <v>-1.4005029078418661E-2</v>
      </c>
      <c r="P220" s="96"/>
      <c r="Q220" s="159">
        <f>IFERROR(INDEX('Non-Labor Expenditures'!$F$7:$AB$91,MATCH($C220,'Non-Labor Expenditures'!$D$7:$D$91,0),MATCH($G220,'Non-Labor Expenditures'!$F$5:$AB$5,0)),"NA")</f>
        <v>27438.653927408177</v>
      </c>
      <c r="R220" s="159">
        <f t="shared" si="427"/>
        <v>262.22205800330829</v>
      </c>
      <c r="S220" s="165">
        <f t="shared" si="437"/>
        <v>-2.1486987049425851E-2</v>
      </c>
      <c r="T220" s="165">
        <f t="shared" si="438"/>
        <v>-1.6039753751674797E-4</v>
      </c>
      <c r="U220" s="165"/>
      <c r="V220" s="165"/>
      <c r="W220" s="159">
        <f t="shared" si="408"/>
        <v>39440.40715275571</v>
      </c>
      <c r="X220" s="163"/>
      <c r="Y220" s="167">
        <v>2006.9781415958421</v>
      </c>
      <c r="Z220" s="168">
        <v>4.374940842769455E-2</v>
      </c>
      <c r="AA220" s="76">
        <f t="shared" si="428"/>
        <v>3.2658359049944944E-4</v>
      </c>
      <c r="AB220" s="168"/>
      <c r="AC220" s="168"/>
      <c r="AD220" s="163">
        <f t="shared" si="355"/>
        <v>85825.963797097589</v>
      </c>
      <c r="AE220" s="168">
        <f t="shared" si="439"/>
        <v>-9.5893293165932661E-3</v>
      </c>
      <c r="AF220" s="163"/>
      <c r="AG220" s="163"/>
      <c r="AH220" s="163"/>
      <c r="AI220" s="163"/>
      <c r="AJ220" s="116">
        <f t="shared" si="440"/>
        <v>313.69138814728655</v>
      </c>
      <c r="AK220" s="114">
        <f>+AV220/$AX$20</f>
        <v>7.5099210009011907E-3</v>
      </c>
      <c r="AL220" s="115">
        <f t="shared" si="429"/>
        <v>0.22075956830180618</v>
      </c>
      <c r="AM220" s="115">
        <f t="shared" si="430"/>
        <v>0.31970108710082534</v>
      </c>
      <c r="AN220" s="115">
        <f t="shared" si="431"/>
        <v>0.45953934459736856</v>
      </c>
      <c r="AO220" s="115">
        <f t="shared" si="442"/>
        <v>-1.6415685091945697E-2</v>
      </c>
      <c r="AP220" s="166">
        <f t="shared" si="445"/>
        <v>102.00043391287549</v>
      </c>
      <c r="AQ220" s="168">
        <f t="shared" si="446"/>
        <v>-1.6415685091945718E-2</v>
      </c>
      <c r="AR220" s="69">
        <f>+AD220/$AF$20</f>
        <v>7.4648687202068147E-3</v>
      </c>
      <c r="AS220" s="169">
        <f t="shared" si="443"/>
        <v>-1.2254093416363092E-4</v>
      </c>
      <c r="AT220" s="115"/>
      <c r="AU220" s="115"/>
      <c r="AV220" s="113">
        <f>IFERROR(INDEX('Total Customers'!$F$7:$AB$91,MATCH($C220,'Total Customers'!$D$7:$D$91,0),MATCH($G220,'Total Customers'!$F$5:$AB$5,0)),"NA")</f>
        <v>273600</v>
      </c>
      <c r="AW220" s="68">
        <f t="shared" si="403"/>
        <v>1.5555300323977738E-2</v>
      </c>
      <c r="AX220" s="114"/>
      <c r="AY220" s="114"/>
      <c r="AZ220" s="116"/>
      <c r="BA220" s="116"/>
      <c r="BB220" s="166"/>
      <c r="BC220" s="166"/>
      <c r="BD220" s="166"/>
      <c r="BE220" s="166"/>
      <c r="BF220" s="166"/>
      <c r="BG220" s="166"/>
      <c r="BH220" s="166"/>
      <c r="BI220" s="113"/>
      <c r="BJ220" s="113"/>
      <c r="BK220" s="113">
        <f>INDEX('Dist. Plant Gas Additions'!$F$7:$AE$91,MATCH($C220,'Dist. Plant Gas Additions'!$D$7:$D$91,0),MATCH(Calculation!$G220,'Dist. Plant Gas Additions'!$F$5:$AE$5,0))</f>
        <v>58575</v>
      </c>
      <c r="BL220" s="113">
        <f>INDEX('Gen. Plant Additions'!$F$7:$AE$91,MATCH($C220,'Gen. Plant Additions'!$D$7:$D$91,0),MATCH(Calculation!$G220,'Gen. Plant Additions'!$F$5:$AE$5,0))</f>
        <v>10492</v>
      </c>
      <c r="BM220" s="231">
        <f t="shared" si="409"/>
        <v>0.92318811162573267</v>
      </c>
      <c r="BN220" s="61">
        <f t="shared" si="407"/>
        <v>9686.0896671771879</v>
      </c>
      <c r="BO220" s="113">
        <f>INDEX('Dist Plant Depreciation'!$E$7:$AD$94,MATCH($C220,'Dist Plant Depreciation'!$D$7:$D$94,0),MATCH(Calculation!$G220,'Dist Plant Depreciation'!$E$5:$AD$5,0))</f>
        <v>383849</v>
      </c>
      <c r="BP220" s="113">
        <f>INDEX('Gen. Plant Depreciation'!$E$7:$AD$94,MATCH($C220,'Gen. Plant Depreciation'!$D$7:$D$94,0),MATCH(Calculation!$G220,'Gen. Plant Depreciation'!$E$5:$AD$5,0))</f>
        <v>25786</v>
      </c>
      <c r="BQ220" s="113"/>
      <c r="BR220" s="113"/>
      <c r="BS220" s="113"/>
      <c r="BT220" s="113"/>
      <c r="BU220" s="113"/>
      <c r="BV220" s="113"/>
      <c r="BW220" s="113">
        <f>INDEX('Gross Dx Plant'!$E$7:$AD$91,MATCH($C220,'Gross Dx Plant'!$D$7:$D$91,0),MATCH(Calculation!$G220,'Gross Dx Plant'!$E$5:$AD$5,0))</f>
        <v>750455</v>
      </c>
      <c r="BX220" s="113">
        <f>INDEX('Gross Gen Plant'!$E$7:$AD$91,MATCH($C220,'Gross Gen Plant'!$D$7:$D$91,0),MATCH(Calculation!$G220,'Gross Gen Plant'!$E$5:$AD$5,0))</f>
        <v>62440</v>
      </c>
      <c r="BY220" s="113">
        <f t="shared" si="444"/>
        <v>403260</v>
      </c>
      <c r="BZ220" s="113"/>
      <c r="CA220" s="116">
        <v>2015</v>
      </c>
      <c r="CB220" s="113"/>
      <c r="CC220" s="113"/>
      <c r="CD220" s="113"/>
      <c r="CE220" s="175"/>
      <c r="CF220" s="113">
        <f t="shared" si="410"/>
        <v>69067</v>
      </c>
      <c r="CG220" s="113">
        <f t="shared" si="411"/>
        <v>102.22839562319118</v>
      </c>
      <c r="CH220" s="178">
        <v>0.88888888888888884</v>
      </c>
      <c r="CI220" s="61">
        <f>+CI203*CH220+CG204*CH219+CG205*CH218+CG206*CH217+CG207*CH216+CG208*CH215+CG209*CH214+CG210*CH213+CG211*CH212+CG212*CH211+CG213*CH210+CG214*CH209+CG215*CH208+CG216*CH207+CG217*CH206+CG218*CH205+CG219*CH204+CG220</f>
        <v>2006.9781415958421</v>
      </c>
      <c r="CJ220" s="114">
        <f t="shared" si="412"/>
        <v>4.374940842769455E-2</v>
      </c>
      <c r="CK220" s="114"/>
      <c r="CL220" s="169">
        <f t="shared" si="413"/>
        <v>8.4938588439900879E-3</v>
      </c>
      <c r="CM220" s="169">
        <f t="shared" si="421"/>
        <v>8.2062032718215067E-3</v>
      </c>
      <c r="CN220" s="114">
        <f>VLOOKUP($H220,RoR!$E:$F,2,FALSE)</f>
        <v>3.8866666666666674E-2</v>
      </c>
      <c r="CO220" s="169">
        <v>9.5709475431029478E-3</v>
      </c>
      <c r="CP220" s="169">
        <f t="shared" si="419"/>
        <v>2.9295719123563727E-2</v>
      </c>
      <c r="CQ220" s="169">
        <f t="shared" si="422"/>
        <v>2.2695738336712117E-2</v>
      </c>
      <c r="CR220" s="169">
        <f t="shared" si="423"/>
        <v>3.5270373279175926E-3</v>
      </c>
      <c r="CS220" s="179">
        <f t="shared" si="414"/>
        <v>0.87050000000000005</v>
      </c>
      <c r="CT220" s="180">
        <f t="shared" si="415"/>
        <v>1.3194352816994324</v>
      </c>
      <c r="CU220" s="180">
        <f t="shared" si="416"/>
        <v>0.33177530017152673</v>
      </c>
      <c r="CV220" s="180">
        <f t="shared" si="417"/>
        <v>0.78242572977668579</v>
      </c>
      <c r="CW220" s="180">
        <f t="shared" si="418"/>
        <v>0.34251158643433932</v>
      </c>
      <c r="CX220" s="181">
        <f>INDEX('State Tax Lookup'!$D$7:$Z$91,MATCH(Calculation!$C220,'State Tax Lookup'!$B$7:$B$91,0),MATCH($H220,'State Tax Lookup'!$D$6:$Z$6,0))</f>
        <v>0.35</v>
      </c>
      <c r="CY220" s="72">
        <v>0.37</v>
      </c>
      <c r="CZ220" s="70">
        <f t="shared" si="420"/>
        <v>20.530469151831664</v>
      </c>
      <c r="DA220" s="70">
        <v>20.279488671080099</v>
      </c>
      <c r="DB220" s="69">
        <f t="shared" si="424"/>
        <v>-2.2912943492183993E-2</v>
      </c>
      <c r="DC220" s="111">
        <f>VLOOKUP($H220,RoR!$E:$F,2,FALSE)</f>
        <v>3.8866666666666674E-2</v>
      </c>
      <c r="DD220" s="216">
        <f>HLOOKUP($H220,'GDP-PI'!$D$8:$CQ$11,3,FALSE)</f>
        <v>9.5709475431029478E-3</v>
      </c>
      <c r="DE220" s="111">
        <f>VLOOKUP(H220,'HW Dx Data'!$E:$F,2,FALSE)</f>
        <v>675.61463308665782</v>
      </c>
      <c r="DF220" s="72">
        <f t="shared" si="433"/>
        <v>133.5</v>
      </c>
      <c r="DG220" s="69">
        <f t="shared" si="434"/>
        <v>3.1193095773504077E-2</v>
      </c>
      <c r="DH220" s="66">
        <f>HLOOKUP(H220,'GDP-PI'!$8:$9,2,FALSE)</f>
        <v>104.639</v>
      </c>
      <c r="DI220" s="69">
        <f t="shared" si="425"/>
        <v>9.5254361854427965E-3</v>
      </c>
      <c r="EB220"/>
    </row>
    <row r="221" spans="1:132" s="160" customFormat="1" ht="21">
      <c r="A221" s="160" t="s">
        <v>172</v>
      </c>
      <c r="B221" s="161" t="s">
        <v>172</v>
      </c>
      <c r="C221" s="161">
        <v>4057112</v>
      </c>
      <c r="D221" s="161" t="s">
        <v>146</v>
      </c>
      <c r="E221" s="161"/>
      <c r="F221" s="161"/>
      <c r="G221" s="161" t="s">
        <v>133</v>
      </c>
      <c r="H221" s="162">
        <v>2016</v>
      </c>
      <c r="I221" s="163"/>
      <c r="J221" s="159">
        <f>IFERROR(INDEX('Labor Expenditures'!$F$7:$X$91,MATCH($C221,'Labor Expenditures'!$D$7:$D$91,0),MATCH($G221,'Labor Expenditures'!$F$5:$X$5,0)),"NA")</f>
        <v>19967.978313702592</v>
      </c>
      <c r="K221" s="159">
        <f t="shared" si="426"/>
        <v>145.80487998322448</v>
      </c>
      <c r="L221" s="165">
        <f t="shared" si="432"/>
        <v>2.6975015111937735E-2</v>
      </c>
      <c r="M221" s="76">
        <f t="shared" si="435"/>
        <v>2.0262218241062205E-4</v>
      </c>
      <c r="N221" s="62">
        <f t="shared" si="441"/>
        <v>297.87723701871658</v>
      </c>
      <c r="O221" s="96">
        <f t="shared" si="436"/>
        <v>0.9128991984332766</v>
      </c>
      <c r="P221" s="96"/>
      <c r="Q221" s="159">
        <f>IFERROR(INDEX('Non-Labor Expenditures'!$F$7:$AB$91,MATCH($C221,'Non-Labor Expenditures'!$D$7:$D$91,0),MATCH($G221,'Non-Labor Expenditures'!$F$5:$AB$5,0)),"NA")</f>
        <v>28917.362102144467</v>
      </c>
      <c r="R221" s="159">
        <f t="shared" si="427"/>
        <v>273.48643888689253</v>
      </c>
      <c r="S221" s="165">
        <f t="shared" si="437"/>
        <v>4.2060342613515773E-2</v>
      </c>
      <c r="T221" s="165">
        <f t="shared" si="438"/>
        <v>3.1593526001464598E-4</v>
      </c>
      <c r="U221" s="165"/>
      <c r="V221" s="165"/>
      <c r="W221" s="159">
        <f t="shared" si="408"/>
        <v>40484.273009669116</v>
      </c>
      <c r="X221" s="163"/>
      <c r="Y221" s="167">
        <v>2075.8842994757661</v>
      </c>
      <c r="Z221" s="168">
        <v>3.3757052649142069E-2</v>
      </c>
      <c r="AA221" s="76">
        <f t="shared" si="428"/>
        <v>2.5356529555723735E-4</v>
      </c>
      <c r="AB221" s="168"/>
      <c r="AC221" s="168"/>
      <c r="AD221" s="163">
        <f t="shared" si="355"/>
        <v>89369.613425516174</v>
      </c>
      <c r="AE221" s="168">
        <f t="shared" si="439"/>
        <v>4.0459160758023673E-2</v>
      </c>
      <c r="AF221" s="163"/>
      <c r="AG221" s="163"/>
      <c r="AH221" s="163"/>
      <c r="AI221" s="163"/>
      <c r="AJ221" s="116">
        <f t="shared" si="440"/>
        <v>321.06574538631224</v>
      </c>
      <c r="AK221" s="114">
        <f>+AV221/$AX$21</f>
        <v>7.5743603142736527E-3</v>
      </c>
      <c r="AL221" s="115">
        <f t="shared" si="429"/>
        <v>0.22343140524317717</v>
      </c>
      <c r="AM221" s="115">
        <f t="shared" si="430"/>
        <v>0.32357040602223514</v>
      </c>
      <c r="AN221" s="115">
        <f t="shared" si="431"/>
        <v>0.45299818873458769</v>
      </c>
      <c r="AO221" s="115">
        <f t="shared" si="442"/>
        <v>1.9519138809113021E-2</v>
      </c>
      <c r="AP221" s="166">
        <f t="shared" si="445"/>
        <v>104.01095250371674</v>
      </c>
      <c r="AQ221" s="168">
        <f t="shared" si="446"/>
        <v>1.9519138809113119E-2</v>
      </c>
      <c r="AR221" s="69">
        <f>+AD221/$AF$21</f>
        <v>7.5114761407845156E-3</v>
      </c>
      <c r="AS221" s="169">
        <f t="shared" si="443"/>
        <v>1.4661754545331428E-4</v>
      </c>
      <c r="AT221" s="115"/>
      <c r="AU221" s="115"/>
      <c r="AV221" s="113">
        <f>IFERROR(INDEX('Total Customers'!$F$7:$AB$91,MATCH($C221,'Total Customers'!$D$7:$D$91,0),MATCH($G221,'Total Customers'!$F$5:$AB$5,0)),"NA")</f>
        <v>278353</v>
      </c>
      <c r="AW221" s="68">
        <f t="shared" si="403"/>
        <v>1.7222906620777929E-2</v>
      </c>
      <c r="AX221" s="114"/>
      <c r="AY221" s="114"/>
      <c r="AZ221" s="116"/>
      <c r="BA221" s="116"/>
      <c r="BB221" s="166"/>
      <c r="BC221" s="166"/>
      <c r="BD221" s="166"/>
      <c r="BE221" s="166"/>
      <c r="BF221" s="166"/>
      <c r="BG221" s="166"/>
      <c r="BH221" s="166"/>
      <c r="BI221" s="113"/>
      <c r="BJ221" s="113"/>
      <c r="BK221" s="113">
        <f>INDEX('Dist. Plant Gas Additions'!$F$7:$AE$91,MATCH($C221,'Dist. Plant Gas Additions'!$D$7:$D$91,0),MATCH(Calculation!$G221,'Dist. Plant Gas Additions'!$F$5:$AE$5,0))</f>
        <v>53044</v>
      </c>
      <c r="BL221" s="113">
        <f>INDEX('Gen. Plant Additions'!$F$7:$AE$91,MATCH($C221,'Gen. Plant Additions'!$D$7:$D$91,0),MATCH(Calculation!$G221,'Gen. Plant Additions'!$F$5:$AE$5,0))</f>
        <v>4943</v>
      </c>
      <c r="BM221" s="231">
        <f t="shared" si="409"/>
        <v>0.92589190069923766</v>
      </c>
      <c r="BN221" s="61">
        <f t="shared" si="407"/>
        <v>4576.6836651563317</v>
      </c>
      <c r="BO221" s="113">
        <f>INDEX('Dist Plant Depreciation'!$E$7:$AD$94,MATCH($C221,'Dist Plant Depreciation'!$D$7:$D$94,0),MATCH(Calculation!$G221,'Dist Plant Depreciation'!$E$5:$AD$5,0))</f>
        <v>401047</v>
      </c>
      <c r="BP221" s="113">
        <f>INDEX('Gen. Plant Depreciation'!$E$7:$AD$94,MATCH($C221,'Gen. Plant Depreciation'!$D$7:$D$94,0),MATCH(Calculation!$G221,'Gen. Plant Depreciation'!$E$5:$AD$5,0))</f>
        <v>26398</v>
      </c>
      <c r="BQ221" s="113"/>
      <c r="BR221" s="113"/>
      <c r="BS221" s="113"/>
      <c r="BT221" s="113"/>
      <c r="BU221" s="113"/>
      <c r="BV221" s="113"/>
      <c r="BW221" s="113">
        <f>INDEX('Gross Dx Plant'!$E$7:$AD$91,MATCH($C221,'Gross Dx Plant'!$D$7:$D$91,0),MATCH(Calculation!$G221,'Gross Dx Plant'!$E$5:$AD$5,0))</f>
        <v>801240</v>
      </c>
      <c r="BX221" s="113">
        <f>INDEX('Gross Gen Plant'!$E$7:$AD$91,MATCH($C221,'Gross Gen Plant'!$D$7:$D$91,0),MATCH(Calculation!$G221,'Gross Gen Plant'!$E$5:$AD$5,0))</f>
        <v>64131</v>
      </c>
      <c r="BY221" s="113">
        <f t="shared" si="444"/>
        <v>437926</v>
      </c>
      <c r="BZ221" s="113"/>
      <c r="CA221" s="116">
        <v>2016</v>
      </c>
      <c r="CB221" s="113"/>
      <c r="CC221" s="113"/>
      <c r="CD221" s="113"/>
      <c r="CE221" s="175"/>
      <c r="CF221" s="113">
        <f t="shared" si="410"/>
        <v>57987</v>
      </c>
      <c r="CG221" s="113">
        <f t="shared" si="411"/>
        <v>86.360038463071447</v>
      </c>
      <c r="CH221" s="178">
        <v>0.88</v>
      </c>
      <c r="CI221" s="61">
        <f>+CI203*CH221+CG204*CH220+CG205*CH219+CG206*CH218+CG207*CH217+CG208*CH216+CG209*CH215+CG210*CH214+CG211*CH213+CG212*CH212+CG213*CH211+CG214*CH210+CG215*CH209+CG216*CH208+CG217*CH207+CG218*CH206+CG219*CH205+CG220*CH204+CG221</f>
        <v>2075.8842994757661</v>
      </c>
      <c r="CJ221" s="114">
        <f t="shared" si="412"/>
        <v>3.3757052649142069E-2</v>
      </c>
      <c r="CK221" s="114"/>
      <c r="CL221" s="169">
        <f t="shared" si="413"/>
        <v>8.6965972480742039E-3</v>
      </c>
      <c r="CM221" s="169">
        <f t="shared" si="421"/>
        <v>8.4634078228578435E-3</v>
      </c>
      <c r="CN221" s="114">
        <f>VLOOKUP($H221,RoR!$E:$F,2,FALSE)</f>
        <v>3.6658333333333334E-2</v>
      </c>
      <c r="CO221" s="169">
        <v>1.0483662879041455E-2</v>
      </c>
      <c r="CP221" s="169">
        <f t="shared" si="419"/>
        <v>2.6174670454291879E-2</v>
      </c>
      <c r="CQ221" s="169">
        <f t="shared" si="422"/>
        <v>2.2438533785675781E-2</v>
      </c>
      <c r="CR221" s="169">
        <f t="shared" si="423"/>
        <v>4.301363574220729E-3</v>
      </c>
      <c r="CS221" s="179">
        <f t="shared" si="414"/>
        <v>0.87050000000000005</v>
      </c>
      <c r="CT221" s="180">
        <f t="shared" si="415"/>
        <v>1.3989193348138562</v>
      </c>
      <c r="CU221" s="180">
        <f t="shared" si="416"/>
        <v>0.29302682427824522</v>
      </c>
      <c r="CV221" s="180">
        <f t="shared" si="417"/>
        <v>0.76309497491941802</v>
      </c>
      <c r="CW221" s="180">
        <f t="shared" si="418"/>
        <v>0.31280857135128509</v>
      </c>
      <c r="CX221" s="181">
        <f>INDEX('State Tax Lookup'!$D$7:$Z$91,MATCH(Calculation!$C221,'State Tax Lookup'!$B$7:$B$91,0),MATCH($H221,'State Tax Lookup'!$D$6:$Z$6,0))</f>
        <v>0.35</v>
      </c>
      <c r="CY221" s="72">
        <v>0.37</v>
      </c>
      <c r="CZ221" s="70">
        <f t="shared" si="420"/>
        <v>20.171755820657907</v>
      </c>
      <c r="DA221" s="70">
        <v>19.909765876209278</v>
      </c>
      <c r="DB221" s="69">
        <f t="shared" si="424"/>
        <v>-1.7626683507020416E-2</v>
      </c>
      <c r="DC221" s="111">
        <f>VLOOKUP($H221,RoR!$E:$F,2,FALSE)</f>
        <v>3.6658333333333334E-2</v>
      </c>
      <c r="DD221" s="216">
        <f>HLOOKUP($H221,'GDP-PI'!$D$8:$CQ$11,3,FALSE)</f>
        <v>1.0483662879041455E-2</v>
      </c>
      <c r="DE221" s="111">
        <f>VLOOKUP(H221,'HW Dx Data'!$E:$F,2,FALSE)</f>
        <v>671.45639385971219</v>
      </c>
      <c r="DF221" s="72">
        <f t="shared" si="433"/>
        <v>136.94999999999999</v>
      </c>
      <c r="DG221" s="69">
        <f t="shared" si="434"/>
        <v>2.5514417868782811E-2</v>
      </c>
      <c r="DH221" s="66">
        <f>HLOOKUP(H221,'GDP-PI'!$8:$9,2,FALSE)</f>
        <v>105.736</v>
      </c>
      <c r="DI221" s="69">
        <f t="shared" si="425"/>
        <v>1.0429090367205095E-2</v>
      </c>
      <c r="EB221"/>
    </row>
    <row r="222" spans="1:132" s="160" customFormat="1" ht="21">
      <c r="A222" s="160" t="s">
        <v>172</v>
      </c>
      <c r="B222" s="161" t="s">
        <v>172</v>
      </c>
      <c r="C222" s="161">
        <v>4057112</v>
      </c>
      <c r="D222" s="161" t="s">
        <v>146</v>
      </c>
      <c r="E222" s="161"/>
      <c r="F222" s="161"/>
      <c r="G222" s="161" t="s">
        <v>135</v>
      </c>
      <c r="H222" s="162">
        <v>2017</v>
      </c>
      <c r="I222" s="163"/>
      <c r="J222" s="159">
        <f>IFERROR(INDEX('Labor Expenditures'!$F$7:$X$91,MATCH($C222,'Labor Expenditures'!$D$7:$D$91,0),MATCH($G222,'Labor Expenditures'!$F$5:$X$5,0)),"NA")</f>
        <v>21516.265551134897</v>
      </c>
      <c r="K222" s="159">
        <f t="shared" si="426"/>
        <v>153.19519794328869</v>
      </c>
      <c r="L222" s="165">
        <f t="shared" si="432"/>
        <v>4.9443622390604958E-2</v>
      </c>
      <c r="M222" s="76">
        <f t="shared" si="435"/>
        <v>3.7980816296594828E-4</v>
      </c>
      <c r="N222" s="62">
        <f t="shared" si="441"/>
        <v>166.47683315426045</v>
      </c>
      <c r="O222" s="96">
        <f t="shared" si="436"/>
        <v>-0.58182528579011072</v>
      </c>
      <c r="P222" s="96"/>
      <c r="Q222" s="159">
        <f>IFERROR(INDEX('Non-Labor Expenditures'!$F$7:$AB$91,MATCH($C222,'Non-Labor Expenditures'!$D$7:$D$91,0),MATCH($G222,'Non-Labor Expenditures'!$F$5:$AB$5,0)),"NA")</f>
        <v>31159.571202113028</v>
      </c>
      <c r="R222" s="159">
        <f t="shared" si="427"/>
        <v>289.18127165514034</v>
      </c>
      <c r="S222" s="165">
        <f t="shared" si="437"/>
        <v>5.5801692004025051E-2</v>
      </c>
      <c r="T222" s="165">
        <f t="shared" si="438"/>
        <v>4.2864857196360219E-4</v>
      </c>
      <c r="U222" s="165"/>
      <c r="V222" s="165"/>
      <c r="W222" s="159">
        <f t="shared" si="408"/>
        <v>38280.702159475535</v>
      </c>
      <c r="X222" s="163"/>
      <c r="Y222" s="167">
        <v>2154.3769369114298</v>
      </c>
      <c r="Z222" s="168">
        <v>3.7114326027396505E-2</v>
      </c>
      <c r="AA222" s="76">
        <f t="shared" si="428"/>
        <v>2.8509893301958527E-4</v>
      </c>
      <c r="AB222" s="168"/>
      <c r="AC222" s="168"/>
      <c r="AD222" s="163">
        <f t="shared" si="355"/>
        <v>90956.538912723452</v>
      </c>
      <c r="AE222" s="168">
        <f t="shared" si="439"/>
        <v>1.760106823361254E-2</v>
      </c>
      <c r="AF222" s="163"/>
      <c r="AG222" s="163"/>
      <c r="AH222" s="163"/>
      <c r="AI222" s="163"/>
      <c r="AJ222" s="116">
        <f t="shared" si="440"/>
        <v>320.86830674400625</v>
      </c>
      <c r="AK222" s="114">
        <f>+AV222/$AX$22</f>
        <v>7.655647273404508E-3</v>
      </c>
      <c r="AL222" s="115">
        <f t="shared" si="429"/>
        <v>0.23655545613692094</v>
      </c>
      <c r="AM222" s="115">
        <f t="shared" si="430"/>
        <v>0.34257648295096099</v>
      </c>
      <c r="AN222" s="115">
        <f t="shared" si="431"/>
        <v>0.42086806091211809</v>
      </c>
      <c r="AO222" s="115">
        <f t="shared" si="442"/>
        <v>2.9957770103319438E-2</v>
      </c>
      <c r="AP222" s="166">
        <f t="shared" si="445"/>
        <v>107.17403154443333</v>
      </c>
      <c r="AQ222" s="168">
        <f t="shared" si="446"/>
        <v>2.9957770103319445E-2</v>
      </c>
      <c r="AR222" s="69">
        <f>+AD222/$AF$22</f>
        <v>7.681641121790414E-3</v>
      </c>
      <c r="AS222" s="169">
        <f t="shared" si="443"/>
        <v>2.3012483874280211E-4</v>
      </c>
      <c r="AT222" s="115"/>
      <c r="AU222" s="115"/>
      <c r="AV222" s="113">
        <f>IFERROR(INDEX('Total Customers'!$F$7:$AB$91,MATCH($C222,'Total Customers'!$D$7:$D$91,0),MATCH($G222,'Total Customers'!$F$5:$AB$5,0)),"NA")</f>
        <v>283470</v>
      </c>
      <c r="AW222" s="68">
        <f t="shared" si="403"/>
        <v>1.8216205093470741E-2</v>
      </c>
      <c r="AX222" s="114"/>
      <c r="AY222" s="114"/>
      <c r="AZ222" s="116"/>
      <c r="BA222" s="116"/>
      <c r="BB222" s="166"/>
      <c r="BC222" s="166"/>
      <c r="BD222" s="166"/>
      <c r="BE222" s="166"/>
      <c r="BF222" s="166"/>
      <c r="BG222" s="166"/>
      <c r="BH222" s="166"/>
      <c r="BI222" s="113"/>
      <c r="BJ222" s="113"/>
      <c r="BK222" s="113">
        <f>INDEX('Dist. Plant Gas Additions'!$F$7:$AE$91,MATCH($C222,'Dist. Plant Gas Additions'!$D$7:$D$91,0),MATCH(Calculation!$G222,'Dist. Plant Gas Additions'!$F$5:$AE$5,0))</f>
        <v>64716</v>
      </c>
      <c r="BL222" s="113">
        <f>INDEX('Gen. Plant Additions'!$F$7:$AE$91,MATCH($C222,'Gen. Plant Additions'!$D$7:$D$91,0),MATCH(Calculation!$G222,'Gen. Plant Additions'!$F$5:$AE$5,0))</f>
        <v>4430</v>
      </c>
      <c r="BM222" s="231">
        <f t="shared" si="409"/>
        <v>0.92877083411716022</v>
      </c>
      <c r="BN222" s="61">
        <f>+BM222*BL222</f>
        <v>4114.4547951390196</v>
      </c>
      <c r="BO222" s="113">
        <f>INDEX('Dist Plant Depreciation'!$E$7:$AD$94,MATCH($C222,'Dist Plant Depreciation'!$D$7:$D$94,0),MATCH(Calculation!$G222,'Dist Plant Depreciation'!$E$5:$AD$5,0))</f>
        <v>420420</v>
      </c>
      <c r="BP222" s="113">
        <f>INDEX('Gen. Plant Depreciation'!$E$7:$AD$94,MATCH($C222,'Gen. Plant Depreciation'!$D$7:$D$94,0),MATCH(Calculation!$G222,'Gen. Plant Depreciation'!$E$5:$AD$5,0))</f>
        <v>27375</v>
      </c>
      <c r="BQ222" s="113"/>
      <c r="BR222" s="113"/>
      <c r="BS222" s="113"/>
      <c r="BT222" s="113"/>
      <c r="BU222" s="113"/>
      <c r="BV222" s="113"/>
      <c r="BW222" s="113">
        <f>INDEX('Gross Dx Plant'!$E$7:$AD$91,MATCH($C222,'Gross Dx Plant'!$D$7:$D$91,0),MATCH(Calculation!$G222,'Gross Dx Plant'!$E$5:$AD$5,0))</f>
        <v>864003</v>
      </c>
      <c r="BX222" s="113">
        <f>INDEX('Gross Gen Plant'!$E$7:$AD$91,MATCH($C222,'Gross Gen Plant'!$D$7:$D$91,0),MATCH(Calculation!$G222,'Gross Gen Plant'!$E$5:$AD$5,0))</f>
        <v>66262</v>
      </c>
      <c r="BY222" s="113">
        <f t="shared" si="444"/>
        <v>482470</v>
      </c>
      <c r="BZ222" s="113"/>
      <c r="CA222" s="116">
        <v>2017</v>
      </c>
      <c r="CB222" s="113"/>
      <c r="CC222" s="113"/>
      <c r="CD222" s="113"/>
      <c r="CE222" s="175"/>
      <c r="CF222" s="113">
        <f t="shared" si="410"/>
        <v>69146</v>
      </c>
      <c r="CG222" s="113">
        <f t="shared" si="411"/>
        <v>97.056745871518899</v>
      </c>
      <c r="CH222" s="178">
        <v>0.87074829931972786</v>
      </c>
      <c r="CI222" s="61">
        <f>+CI203*CH222+CG204*CH221+CG205*CH220+CG206*CH219+CG207*CH218+CG208*CH217+CG209*CH216+CG210*CH215+CG211*CH214+CG212*CH213+CG213*CH212+CG214*CH211+CG215*CH210+CG216*CH209+CG217*CH208+CG218*CH207+CG219*CH206+CG220*CH205+CG221*CH204+CG222</f>
        <v>2154.3769369114298</v>
      </c>
      <c r="CJ222" s="114">
        <f t="shared" si="412"/>
        <v>3.7114326027396505E-2</v>
      </c>
      <c r="CK222" s="114"/>
      <c r="CL222" s="169">
        <f t="shared" si="413"/>
        <v>8.9427471658913172E-3</v>
      </c>
      <c r="CM222" s="169">
        <f t="shared" si="421"/>
        <v>8.7110677526518691E-3</v>
      </c>
      <c r="CN222" s="114">
        <f>VLOOKUP($H222,RoR!$E:$F,2,FALSE)</f>
        <v>3.7433333333333339E-2</v>
      </c>
      <c r="CO222" s="169">
        <v>1.9056896421275615E-2</v>
      </c>
      <c r="CP222" s="169">
        <f t="shared" si="419"/>
        <v>1.8376436912057724E-2</v>
      </c>
      <c r="CQ222" s="169">
        <f t="shared" si="422"/>
        <v>2.2190873855881754E-2</v>
      </c>
      <c r="CR222" s="169">
        <f t="shared" si="423"/>
        <v>1.3976271617800498E-2</v>
      </c>
      <c r="CS222" s="179">
        <f t="shared" si="414"/>
        <v>0.92230000000000001</v>
      </c>
      <c r="CT222" s="180">
        <f t="shared" si="415"/>
        <v>1.3699568463593395</v>
      </c>
      <c r="CU222" s="180">
        <f t="shared" si="416"/>
        <v>0.30714603739982199</v>
      </c>
      <c r="CV222" s="180">
        <f t="shared" si="417"/>
        <v>0.77007188472689425</v>
      </c>
      <c r="CW222" s="180">
        <f t="shared" si="418"/>
        <v>0.32402839633793828</v>
      </c>
      <c r="CX222" s="181">
        <f>INDEX('State Tax Lookup'!$D$7:$Z$91,MATCH(Calculation!$C222,'State Tax Lookup'!$B$7:$B$91,0),MATCH($H222,'State Tax Lookup'!$D$6:$Z$6,0))</f>
        <v>0.20999999999999996</v>
      </c>
      <c r="CY222" s="72">
        <v>0.37</v>
      </c>
      <c r="CZ222" s="70">
        <f t="shared" si="420"/>
        <v>18.440672328964943</v>
      </c>
      <c r="DA222" s="70">
        <v>18.231812616449311</v>
      </c>
      <c r="DB222" s="69">
        <f t="shared" si="424"/>
        <v>-8.9724721456149417E-2</v>
      </c>
      <c r="DC222" s="111">
        <f>VLOOKUP($H222,RoR!$E:$F,2,FALSE)</f>
        <v>3.7433333333333339E-2</v>
      </c>
      <c r="DD222" s="216">
        <f>HLOOKUP($H222,'GDP-PI'!$D$8:$CQ$11,3,FALSE)</f>
        <v>1.9056896421275615E-2</v>
      </c>
      <c r="DE222" s="111">
        <f>VLOOKUP(H222,'HW Dx Data'!$E:$F,2,FALSE)</f>
        <v>712.42858370229726</v>
      </c>
      <c r="DF222" s="72">
        <f t="shared" si="433"/>
        <v>140.44999999999999</v>
      </c>
      <c r="DG222" s="69">
        <f t="shared" si="434"/>
        <v>2.5235657841165486E-2</v>
      </c>
      <c r="DH222" s="66">
        <f>HLOOKUP(H222,'GDP-PI'!$8:$9,2,FALSE)</f>
        <v>107.751</v>
      </c>
      <c r="DI222" s="69">
        <f t="shared" si="425"/>
        <v>1.8877588227745139E-2</v>
      </c>
      <c r="EB222"/>
    </row>
    <row r="223" spans="1:132" s="160" customFormat="1" ht="21">
      <c r="A223" s="160" t="s">
        <v>172</v>
      </c>
      <c r="B223" s="161" t="s">
        <v>172</v>
      </c>
      <c r="C223" s="161">
        <v>4057112</v>
      </c>
      <c r="D223" s="161" t="s">
        <v>146</v>
      </c>
      <c r="E223" s="161"/>
      <c r="F223" s="161"/>
      <c r="G223" s="161" t="s">
        <v>136</v>
      </c>
      <c r="H223" s="162">
        <v>2018</v>
      </c>
      <c r="I223" s="163"/>
      <c r="J223" s="159">
        <f>IFERROR(INDEX('Labor Expenditures'!$F$7:$X$91,MATCH($C223,'Labor Expenditures'!$D$7:$D$91,0),MATCH($G223,'Labor Expenditures'!$F$5:$X$5,0)),"NA")</f>
        <v>21690.932886911934</v>
      </c>
      <c r="K223" s="159">
        <f t="shared" si="426"/>
        <v>150.16222143933496</v>
      </c>
      <c r="L223" s="165">
        <f t="shared" si="432"/>
        <v>-1.9996725813205312E-2</v>
      </c>
      <c r="M223" s="76">
        <f t="shared" si="435"/>
        <v>-1.4716222508152023E-4</v>
      </c>
      <c r="N223" s="62">
        <f t="shared" si="441"/>
        <v>115.99116697033094</v>
      </c>
      <c r="O223" s="96">
        <f t="shared" si="436"/>
        <v>-0.36134211812539141</v>
      </c>
      <c r="P223" s="96"/>
      <c r="Q223" s="159">
        <f>IFERROR(INDEX('Non-Labor Expenditures'!$F$7:$AB$91,MATCH($C223,'Non-Labor Expenditures'!$D$7:$D$91,0),MATCH($G223,'Non-Labor Expenditures'!$F$5:$AB$5,0)),"NA")</f>
        <v>31412.52212767645</v>
      </c>
      <c r="R223" s="159">
        <f t="shared" si="427"/>
        <v>284.73488631167356</v>
      </c>
      <c r="S223" s="165">
        <f t="shared" si="437"/>
        <v>-1.549520516772232E-2</v>
      </c>
      <c r="T223" s="165">
        <f t="shared" si="438"/>
        <v>-1.140341119780135E-4</v>
      </c>
      <c r="U223" s="165"/>
      <c r="V223" s="165"/>
      <c r="W223" s="159">
        <f t="shared" si="408"/>
        <v>41615.108048848298</v>
      </c>
      <c r="X223" s="163"/>
      <c r="Y223" s="167">
        <v>2262.3114405854285</v>
      </c>
      <c r="Z223" s="168">
        <v>4.8885494593020072E-2</v>
      </c>
      <c r="AA223" s="76">
        <f t="shared" si="428"/>
        <v>3.5976380462088785E-4</v>
      </c>
      <c r="AB223" s="168"/>
      <c r="AC223" s="168"/>
      <c r="AD223" s="163">
        <f t="shared" si="355"/>
        <v>94718.563063436683</v>
      </c>
      <c r="AE223" s="168">
        <f t="shared" si="439"/>
        <v>4.0528202593288459E-2</v>
      </c>
      <c r="AF223" s="163"/>
      <c r="AG223" s="163"/>
      <c r="AH223" s="163"/>
      <c r="AI223" s="163"/>
      <c r="AJ223" s="116">
        <f t="shared" si="440"/>
        <v>327.24539998838003</v>
      </c>
      <c r="AK223" s="114">
        <f>+AV223/$AX$23</f>
        <v>7.7484727765029723E-3</v>
      </c>
      <c r="AL223" s="115">
        <f t="shared" si="429"/>
        <v>0.22900403242376766</v>
      </c>
      <c r="AM223" s="115">
        <f t="shared" si="430"/>
        <v>0.33164061100291681</v>
      </c>
      <c r="AN223" s="115">
        <f t="shared" si="431"/>
        <v>0.43935535657331554</v>
      </c>
      <c r="AO223" s="115">
        <f t="shared" si="442"/>
        <v>-9.8783988204425195E-3</v>
      </c>
      <c r="AP223" s="166">
        <f t="shared" si="445"/>
        <v>106.12053571054973</v>
      </c>
      <c r="AQ223" s="168">
        <f t="shared" si="446"/>
        <v>-9.878398820442601E-3</v>
      </c>
      <c r="AR223" s="69">
        <f>+AD223/$AF$23</f>
        <v>7.3593160428462832E-3</v>
      </c>
      <c r="AS223" s="169">
        <f t="shared" si="443"/>
        <v>-7.2698258916917041E-5</v>
      </c>
      <c r="AT223" s="115"/>
      <c r="AU223" s="115"/>
      <c r="AV223" s="113">
        <f>IFERROR(INDEX('Total Customers'!$F$7:$AB$91,MATCH($C223,'Total Customers'!$D$7:$D$91,0),MATCH($G223,'Total Customers'!$F$5:$AB$5,0)),"NA")</f>
        <v>289442</v>
      </c>
      <c r="AW223" s="68">
        <f t="shared" si="403"/>
        <v>2.084863405543725E-2</v>
      </c>
      <c r="AX223" s="114"/>
      <c r="AY223" s="114"/>
      <c r="AZ223" s="116"/>
      <c r="BA223" s="116"/>
      <c r="BB223" s="166"/>
      <c r="BC223" s="166"/>
      <c r="BD223" s="166"/>
      <c r="BE223" s="166"/>
      <c r="BF223" s="166"/>
      <c r="BG223" s="166"/>
      <c r="BH223" s="166"/>
      <c r="BI223" s="113"/>
      <c r="BJ223" s="113"/>
      <c r="BK223" s="113">
        <f>INDEX('Dist. Plant Gas Additions'!$F$7:$AE$91,MATCH($C223,'Dist. Plant Gas Additions'!$D$7:$D$91,0),MATCH(Calculation!$G223,'Dist. Plant Gas Additions'!$F$5:$AE$5,0))</f>
        <v>88477</v>
      </c>
      <c r="BL223" s="113">
        <f>INDEX('Gen. Plant Additions'!$F$7:$AE$91,MATCH($C223,'Gen. Plant Additions'!$D$7:$D$91,0),MATCH(Calculation!$G223,'Gen. Plant Additions'!$F$5:$AE$5,0))</f>
        <v>7966</v>
      </c>
      <c r="BM223" s="231">
        <f t="shared" si="409"/>
        <v>0.93032514338439709</v>
      </c>
      <c r="BN223" s="61">
        <f t="shared" ref="BN223:BN226" si="447">+BM223*BL223</f>
        <v>7410.9700922001075</v>
      </c>
      <c r="BO223" s="113">
        <f>INDEX('Dist Plant Depreciation'!$E$7:$AD$94,MATCH($C223,'Dist Plant Depreciation'!$D$7:$D$94,0),MATCH(Calculation!$G223,'Dist Plant Depreciation'!$E$5:$AD$5,0))</f>
        <v>428550</v>
      </c>
      <c r="BP223" s="113">
        <f>INDEX('Gen. Plant Depreciation'!$E$7:$AD$94,MATCH($C223,'Gen. Plant Depreciation'!$D$7:$D$94,0),MATCH(Calculation!$G223,'Gen. Plant Depreciation'!$E$5:$AD$5,0))</f>
        <v>29116</v>
      </c>
      <c r="BQ223" s="113"/>
      <c r="BR223" s="113"/>
      <c r="BS223" s="113"/>
      <c r="BT223" s="113"/>
      <c r="BU223" s="113"/>
      <c r="BV223" s="113"/>
      <c r="BW223" s="113">
        <f>INDEX('Gross Dx Plant'!$E$7:$AD$91,MATCH($C223,'Gross Dx Plant'!$D$7:$D$91,0),MATCH(Calculation!$G223,'Gross Dx Plant'!$E$5:$AD$5,0))</f>
        <v>938699</v>
      </c>
      <c r="BX223" s="113">
        <f>INDEX('Gross Gen Plant'!$E$7:$AD$91,MATCH($C223,'Gross Gen Plant'!$D$7:$D$91,0),MATCH(Calculation!$G223,'Gross Gen Plant'!$E$5:$AD$5,0))</f>
        <v>70302</v>
      </c>
      <c r="BY223" s="113">
        <f t="shared" si="444"/>
        <v>551335</v>
      </c>
      <c r="BZ223" s="113"/>
      <c r="CA223" s="116">
        <v>2018</v>
      </c>
      <c r="CB223" s="113"/>
      <c r="CC223" s="113"/>
      <c r="CD223" s="113"/>
      <c r="CE223" s="175"/>
      <c r="CF223" s="113">
        <f t="shared" si="410"/>
        <v>96443</v>
      </c>
      <c r="CG223" s="113">
        <f t="shared" si="411"/>
        <v>127.71594622315408</v>
      </c>
      <c r="CH223" s="178">
        <v>0.86111111111111116</v>
      </c>
      <c r="CI223" s="61">
        <f>+CI203*CH223++CG204*CH222+CG205*CH221+CG206*CH220+CG207*CH219+CG208*CH218+CG209*CH217+CG210*CH216+CG211*CH215+CG212*CH214+CG213*CH213+CG214*CH212+CG215*CH211+CG216*CH210+CG217*CH209+CG218*CH208+CG219*CH207+CG220*CH206+CG221*CH205+CG222*CH204+CG223</f>
        <v>2262.3114405854285</v>
      </c>
      <c r="CJ223" s="114">
        <f t="shared" si="412"/>
        <v>4.8885494593020072E-2</v>
      </c>
      <c r="CK223" s="114"/>
      <c r="CL223" s="169">
        <f t="shared" si="413"/>
        <v>9.1819784227334562E-3</v>
      </c>
      <c r="CM223" s="169">
        <f t="shared" si="421"/>
        <v>8.9404409455663258E-3</v>
      </c>
      <c r="CN223" s="114">
        <f>VLOOKUP($H223,RoR!$E:$F,2,FALSE)</f>
        <v>3.9299999999999995E-2</v>
      </c>
      <c r="CO223" s="169">
        <v>2.386056741932796E-2</v>
      </c>
      <c r="CP223" s="169">
        <f t="shared" si="419"/>
        <v>1.5439432580672034E-2</v>
      </c>
      <c r="CQ223" s="169">
        <f t="shared" si="422"/>
        <v>2.1961500662967301E-2</v>
      </c>
      <c r="CR223" s="169">
        <f t="shared" si="423"/>
        <v>3.8270792163076606E-2</v>
      </c>
      <c r="CS223" s="179">
        <f t="shared" si="414"/>
        <v>0.92230000000000001</v>
      </c>
      <c r="CT223" s="180">
        <f t="shared" si="415"/>
        <v>1.3048868010700074</v>
      </c>
      <c r="CU223" s="180">
        <f t="shared" si="416"/>
        <v>0.33886768447837151</v>
      </c>
      <c r="CV223" s="180">
        <f t="shared" si="417"/>
        <v>0.78602506232557801</v>
      </c>
      <c r="CW223" s="180">
        <f t="shared" si="418"/>
        <v>0.34756768162358759</v>
      </c>
      <c r="CX223" s="181">
        <f>INDEX('State Tax Lookup'!$D$7:$Z$91,MATCH(Calculation!$C223,'State Tax Lookup'!$B$7:$B$91,0),MATCH($H223,'State Tax Lookup'!$D$6:$Z$6,0))</f>
        <v>0.20999999999999996</v>
      </c>
      <c r="CY223" s="72">
        <v>0.37</v>
      </c>
      <c r="CZ223" s="70">
        <f t="shared" si="420"/>
        <v>19.316539894132355</v>
      </c>
      <c r="DA223" s="70">
        <v>19.050901628905343</v>
      </c>
      <c r="DB223" s="69">
        <f t="shared" si="424"/>
        <v>4.640304041862725E-2</v>
      </c>
      <c r="DC223" s="111">
        <f>VLOOKUP($H223,RoR!$E:$F,2,FALSE)</f>
        <v>3.9299999999999995E-2</v>
      </c>
      <c r="DD223" s="216">
        <f>HLOOKUP($H223,'GDP-PI'!$D$8:$CQ$11,3,FALSE)</f>
        <v>2.386056741932796E-2</v>
      </c>
      <c r="DE223" s="111">
        <f>VLOOKUP(H223,'HW Dx Data'!$E:$F,2,FALSE)</f>
        <v>755.13671434174842</v>
      </c>
      <c r="DF223" s="72">
        <f t="shared" si="433"/>
        <v>144.44999999999999</v>
      </c>
      <c r="DG223" s="69">
        <f t="shared" si="434"/>
        <v>2.80818733619915E-2</v>
      </c>
      <c r="DH223" s="66">
        <f>HLOOKUP(H223,'GDP-PI'!$8:$9,2,FALSE)</f>
        <v>110.322</v>
      </c>
      <c r="DI223" s="69">
        <f t="shared" si="425"/>
        <v>2.3580352716508712E-2</v>
      </c>
      <c r="EB223"/>
    </row>
    <row r="224" spans="1:132" s="160" customFormat="1" ht="21">
      <c r="A224" s="160" t="s">
        <v>172</v>
      </c>
      <c r="B224" s="161" t="s">
        <v>172</v>
      </c>
      <c r="C224" s="161">
        <v>4057112</v>
      </c>
      <c r="D224" s="161" t="s">
        <v>146</v>
      </c>
      <c r="E224" s="161"/>
      <c r="F224" s="161"/>
      <c r="G224" s="161" t="s">
        <v>140</v>
      </c>
      <c r="H224" s="162">
        <v>2019</v>
      </c>
      <c r="I224" s="163"/>
      <c r="J224" s="159">
        <f>IFERROR(INDEX('Labor Expenditures'!$F$7:$X$91,MATCH($C224,'Labor Expenditures'!$D$7:$D$91,0),MATCH($G224,'Labor Expenditures'!$F$5:$X$5,0)),"NA")</f>
        <v>22926.441436848672</v>
      </c>
      <c r="K224" s="159">
        <f t="shared" si="426"/>
        <v>153.17482169265855</v>
      </c>
      <c r="L224" s="165">
        <f t="shared" si="432"/>
        <v>1.9863708550717396E-2</v>
      </c>
      <c r="M224" s="76">
        <f t="shared" si="435"/>
        <v>1.5030447113911744E-4</v>
      </c>
      <c r="N224" s="62">
        <f t="shared" si="441"/>
        <v>115.88254333026404</v>
      </c>
      <c r="O224" s="96">
        <f t="shared" si="436"/>
        <v>-9.36920773571835E-4</v>
      </c>
      <c r="P224" s="96"/>
      <c r="Q224" s="159">
        <f>IFERROR(INDEX('Non-Labor Expenditures'!$F$7:$AB$91,MATCH($C224,'Non-Labor Expenditures'!$D$7:$D$91,0),MATCH($G224,'Non-Labor Expenditures'!$F$5:$AB$5,0)),"NA")</f>
        <v>33201.7692691509</v>
      </c>
      <c r="R224" s="159">
        <f t="shared" si="427"/>
        <v>295.60506124709218</v>
      </c>
      <c r="S224" s="165">
        <f t="shared" si="437"/>
        <v>3.7465786998487155E-2</v>
      </c>
      <c r="T224" s="165">
        <f t="shared" si="438"/>
        <v>2.8349566679556699E-4</v>
      </c>
      <c r="U224" s="165"/>
      <c r="V224" s="165"/>
      <c r="W224" s="159">
        <f t="shared" si="408"/>
        <v>44278.096263555955</v>
      </c>
      <c r="X224" s="163"/>
      <c r="Y224" s="167">
        <v>2349.4390565693448</v>
      </c>
      <c r="Z224" s="168">
        <v>3.7789548389489939E-2</v>
      </c>
      <c r="AA224" s="76">
        <f t="shared" si="428"/>
        <v>2.8594550059803591E-4</v>
      </c>
      <c r="AB224" s="168"/>
      <c r="AC224" s="168"/>
      <c r="AD224" s="163">
        <f t="shared" si="355"/>
        <v>100406.30696955553</v>
      </c>
      <c r="AE224" s="168">
        <f t="shared" si="439"/>
        <v>5.8315023046554712E-2</v>
      </c>
      <c r="AF224" s="163"/>
      <c r="AG224" s="163"/>
      <c r="AH224" s="163"/>
      <c r="AI224" s="163"/>
      <c r="AJ224" s="116">
        <f t="shared" si="440"/>
        <v>340.34421068002035</v>
      </c>
      <c r="AK224" s="114">
        <f>+AV224/$AX$24</f>
        <v>7.8325040875102479E-3</v>
      </c>
      <c r="AL224" s="115">
        <f t="shared" si="429"/>
        <v>0.22833666657812901</v>
      </c>
      <c r="AM224" s="115">
        <f t="shared" si="430"/>
        <v>0.33067414061168587</v>
      </c>
      <c r="AN224" s="115">
        <f t="shared" si="431"/>
        <v>0.44098919281018512</v>
      </c>
      <c r="AO224" s="115">
        <f t="shared" si="442"/>
        <v>1.6949312881651836E-2</v>
      </c>
      <c r="AP224" s="166">
        <f t="shared" si="445"/>
        <v>107.93453547140686</v>
      </c>
      <c r="AQ224" s="168">
        <f t="shared" si="446"/>
        <v>1.6949312881651898E-2</v>
      </c>
      <c r="AR224" s="69">
        <f>+AD224/$AF$24</f>
        <v>7.5667879819797824E-3</v>
      </c>
      <c r="AS224" s="169">
        <f t="shared" si="443"/>
        <v>1.2825185701569869E-4</v>
      </c>
      <c r="AT224" s="115"/>
      <c r="AU224" s="115"/>
      <c r="AV224" s="113">
        <f>IFERROR(INDEX('Total Customers'!$F$7:$AB$91,MATCH($C224,'Total Customers'!$D$7:$D$91,0),MATCH($G224,'Total Customers'!$F$5:$AB$5,0)),"NA")</f>
        <v>295014</v>
      </c>
      <c r="AW224" s="68">
        <f t="shared" si="403"/>
        <v>1.9067881322779597E-2</v>
      </c>
      <c r="AX224" s="114"/>
      <c r="AY224" s="114"/>
      <c r="AZ224" s="116"/>
      <c r="BA224" s="116"/>
      <c r="BB224" s="166"/>
      <c r="BC224" s="166"/>
      <c r="BD224" s="166"/>
      <c r="BE224" s="166"/>
      <c r="BF224" s="166"/>
      <c r="BG224" s="166"/>
      <c r="BH224" s="166"/>
      <c r="BI224" s="113"/>
      <c r="BJ224" s="113"/>
      <c r="BK224" s="113">
        <f>INDEX('Dist. Plant Gas Additions'!$F$7:$AE$91,MATCH($C224,'Dist. Plant Gas Additions'!$D$7:$D$91,0),MATCH(Calculation!$G224,'Dist. Plant Gas Additions'!$F$5:$AE$5,0))</f>
        <v>73360</v>
      </c>
      <c r="BL224" s="113">
        <f>INDEX('Gen. Plant Additions'!$F$7:$AE$91,MATCH($C224,'Gen. Plant Additions'!$D$7:$D$91,0),MATCH(Calculation!$G224,'Gen. Plant Additions'!$F$5:$AE$5,0))</f>
        <v>10444</v>
      </c>
      <c r="BM224" s="231">
        <f t="shared" si="409"/>
        <v>0.93040712928364944</v>
      </c>
      <c r="BN224" s="61">
        <f t="shared" si="447"/>
        <v>9717.1720582384351</v>
      </c>
      <c r="BO224" s="113">
        <f>INDEX('Dist Plant Depreciation'!$E$7:$AD$94,MATCH($C224,'Dist Plant Depreciation'!$D$7:$D$94,0),MATCH(Calculation!$G224,'Dist Plant Depreciation'!$E$5:$AD$5,0))</f>
        <v>445692</v>
      </c>
      <c r="BP224" s="113">
        <f>INDEX('Gen. Plant Depreciation'!$E$7:$AD$94,MATCH($C224,'Gen. Plant Depreciation'!$D$7:$D$94,0),MATCH(Calculation!$G224,'Gen. Plant Depreciation'!$E$5:$AD$5,0))</f>
        <v>25911</v>
      </c>
      <c r="BQ224" s="113"/>
      <c r="BR224" s="113"/>
      <c r="BS224" s="113"/>
      <c r="BT224" s="113"/>
      <c r="BU224" s="113"/>
      <c r="BV224" s="113"/>
      <c r="BW224" s="113">
        <f>INDEX('Gross Dx Plant'!$E$7:$AD$91,MATCH($C224,'Gross Dx Plant'!$D$7:$D$91,0),MATCH(Calculation!$G224,'Gross Dx Plant'!$E$5:$AD$5,0))</f>
        <v>1003218</v>
      </c>
      <c r="BX224" s="113">
        <f>INDEX('Gross Gen Plant'!$E$7:$AD$91,MATCH($C224,'Gross Gen Plant'!$D$7:$D$91,0),MATCH(Calculation!$G224,'Gross Gen Plant'!$E$5:$AD$5,0))</f>
        <v>75039</v>
      </c>
      <c r="BY224" s="113">
        <f t="shared" si="444"/>
        <v>606654</v>
      </c>
      <c r="BZ224" s="113"/>
      <c r="CA224" s="116">
        <v>2019</v>
      </c>
      <c r="CB224" s="113"/>
      <c r="CC224" s="113"/>
      <c r="CD224" s="113"/>
      <c r="CE224" s="175"/>
      <c r="CF224" s="113">
        <f t="shared" si="410"/>
        <v>83804</v>
      </c>
      <c r="CG224" s="113">
        <f t="shared" si="411"/>
        <v>108.33838723287035</v>
      </c>
      <c r="CH224" s="178">
        <v>0.85106382978723405</v>
      </c>
      <c r="CI224" s="61">
        <f>CI203*CH224+CG204*CH223+CG205*CH222+CG206*CH221+CG207*CH220+CG208*CH219+CG209*CH218+CG210*CH217+CG211*CH216+CG212*CH215+CG213*CH214+CG214*CH213+CG215*CH212+CG216*CH211+CG217*CH210+CG218*CH209+CG219*CH208+CG220*CH207+CG221*CH206+CG222*CH205+CG223*CH204+CG224</f>
        <v>2349.4390565693448</v>
      </c>
      <c r="CJ224" s="114">
        <f t="shared" si="412"/>
        <v>3.7789548389489939E-2</v>
      </c>
      <c r="CK224" s="114"/>
      <c r="CL224" s="169">
        <f t="shared" si="413"/>
        <v>9.3757079014131148E-3</v>
      </c>
      <c r="CM224" s="169">
        <f t="shared" si="421"/>
        <v>9.1668111633459639E-3</v>
      </c>
      <c r="CN224" s="114">
        <f>VLOOKUP($H224,RoR!$E:$F,2,FALSE)</f>
        <v>3.3875000000000009E-2</v>
      </c>
      <c r="CO224" s="169">
        <v>1.8092492884465461E-2</v>
      </c>
      <c r="CP224" s="169">
        <f t="shared" si="419"/>
        <v>1.5782507115534548E-2</v>
      </c>
      <c r="CQ224" s="169">
        <f t="shared" si="422"/>
        <v>2.1735130445187663E-2</v>
      </c>
      <c r="CR224" s="169">
        <f t="shared" si="423"/>
        <v>4.8445665544254078E-2</v>
      </c>
      <c r="CS224" s="179">
        <f t="shared" si="414"/>
        <v>0.92230000000000001</v>
      </c>
      <c r="CT224" s="180">
        <f t="shared" si="415"/>
        <v>1.513861292459078</v>
      </c>
      <c r="CU224" s="180">
        <f t="shared" si="416"/>
        <v>0.23699261992619944</v>
      </c>
      <c r="CV224" s="180">
        <f t="shared" si="417"/>
        <v>0.73619765810468829</v>
      </c>
      <c r="CW224" s="180">
        <f t="shared" si="418"/>
        <v>0.26412854465362851</v>
      </c>
      <c r="CX224" s="181">
        <f>INDEX('State Tax Lookup'!$D$7:$Z$91,MATCH(Calculation!$C224,'State Tax Lookup'!$B$7:$B$91,0),MATCH($H224,'State Tax Lookup'!$D$6:$Z$6,0))</f>
        <v>0.20999999999999996</v>
      </c>
      <c r="CY224" s="72">
        <v>0.37</v>
      </c>
      <c r="CZ224" s="70">
        <f t="shared" si="420"/>
        <v>19.57206044632737</v>
      </c>
      <c r="DA224" s="70">
        <v>19.236104090735289</v>
      </c>
      <c r="DB224" s="69">
        <f t="shared" si="424"/>
        <v>1.3141343591985436E-2</v>
      </c>
      <c r="DC224" s="111">
        <f>VLOOKUP($H224,RoR!$E:$F,2,FALSE)</f>
        <v>3.3875000000000009E-2</v>
      </c>
      <c r="DD224" s="216">
        <f>HLOOKUP($H224,'GDP-PI'!$D$8:$CQ$11,3,FALSE)</f>
        <v>1.8092492884465461E-2</v>
      </c>
      <c r="DE224" s="111">
        <f>VLOOKUP(H224,'HW Dx Data'!$E:$F,2,FALSE)</f>
        <v>773.53929793938721</v>
      </c>
      <c r="DF224" s="72">
        <f t="shared" si="433"/>
        <v>149.67500000000001</v>
      </c>
      <c r="DG224" s="69">
        <f t="shared" si="434"/>
        <v>3.5532849899171604E-2</v>
      </c>
      <c r="DH224" s="66">
        <f>HLOOKUP(H224,'GDP-PI'!$8:$9,2,FALSE)</f>
        <v>112.318</v>
      </c>
      <c r="DI224" s="69">
        <f t="shared" si="425"/>
        <v>1.7930771451401852E-2</v>
      </c>
      <c r="EB224"/>
    </row>
    <row r="225" spans="1:132" s="160" customFormat="1" ht="21">
      <c r="A225" s="160" t="s">
        <v>172</v>
      </c>
      <c r="B225" s="160" t="s">
        <v>172</v>
      </c>
      <c r="C225" s="160">
        <v>4057112</v>
      </c>
      <c r="D225" s="160" t="s">
        <v>146</v>
      </c>
      <c r="G225" s="161" t="s">
        <v>141</v>
      </c>
      <c r="H225" s="162">
        <v>2020</v>
      </c>
      <c r="I225" s="163"/>
      <c r="J225" s="159">
        <f>IFERROR(INDEX('Labor Expenditures'!$F$7:$X$91,MATCH($C225,'Labor Expenditures'!$D$7:$D$91,0),MATCH($G225,'Labor Expenditures'!$F$5:$X$5,0)),"NA")</f>
        <v>22975.710343798259</v>
      </c>
      <c r="K225" s="159">
        <f t="shared" si="426"/>
        <v>150.02096208813751</v>
      </c>
      <c r="L225" s="165">
        <f t="shared" si="432"/>
        <v>-2.0804862948271875E-2</v>
      </c>
      <c r="M225" s="76">
        <f t="shared" si="435"/>
        <v>-1.5834116799778216E-4</v>
      </c>
      <c r="N225" s="62">
        <f t="shared" si="441"/>
        <v>114.26578314584948</v>
      </c>
      <c r="O225" s="96">
        <f t="shared" si="436"/>
        <v>-1.4049954696196368E-2</v>
      </c>
      <c r="P225" s="96"/>
      <c r="Q225" s="159">
        <f>IFERROR(INDEX('Non-Labor Expenditures'!$F$7:$AB$91,MATCH($C225,'Non-Labor Expenditures'!$D$7:$D$91,0),MATCH($G225,'Non-Labor Expenditures'!$F$5:$AB$5,0)),"NA")</f>
        <v>33273.119848576374</v>
      </c>
      <c r="R225" s="159">
        <f t="shared" si="427"/>
        <v>292.83789240361875</v>
      </c>
      <c r="S225" s="165">
        <f t="shared" si="437"/>
        <v>-9.4051232122964509E-3</v>
      </c>
      <c r="T225" s="165">
        <f t="shared" si="438"/>
        <v>-7.1580293429511513E-5</v>
      </c>
      <c r="U225" s="165"/>
      <c r="V225" s="165"/>
      <c r="W225" s="159">
        <f t="shared" si="408"/>
        <v>47842.910714985621</v>
      </c>
      <c r="X225" s="163"/>
      <c r="Y225" s="167">
        <v>2453.0825467650834</v>
      </c>
      <c r="Z225" s="168">
        <v>4.3168815730944679E-2</v>
      </c>
      <c r="AA225" s="76">
        <f t="shared" si="428"/>
        <v>3.2854822071714656E-4</v>
      </c>
      <c r="AB225" s="168"/>
      <c r="AC225" s="168"/>
      <c r="AD225" s="163">
        <f t="shared" si="355"/>
        <v>104091.74090736025</v>
      </c>
      <c r="AE225" s="168">
        <f t="shared" si="439"/>
        <v>3.6047610701286488E-2</v>
      </c>
      <c r="AF225" s="163"/>
      <c r="AG225" s="163"/>
      <c r="AH225" s="163"/>
      <c r="AI225" s="163"/>
      <c r="AJ225" s="116">
        <f t="shared" si="440"/>
        <v>346.02206242640295</v>
      </c>
      <c r="AK225" s="114">
        <f>+AV225/$AX$25</f>
        <v>7.9303582398508408E-3</v>
      </c>
      <c r="AL225" s="115">
        <f t="shared" si="429"/>
        <v>0.2207255844077603</v>
      </c>
      <c r="AM225" s="115">
        <f t="shared" si="430"/>
        <v>0.31965187207493095</v>
      </c>
      <c r="AN225" s="115">
        <f t="shared" si="431"/>
        <v>0.45962254351730886</v>
      </c>
      <c r="AO225" s="115">
        <f t="shared" si="442"/>
        <v>-7.7295374322414942E-3</v>
      </c>
      <c r="AP225" s="166">
        <f t="shared" si="445"/>
        <v>107.10346746261796</v>
      </c>
      <c r="AQ225" s="168">
        <f t="shared" si="446"/>
        <v>-7.7295374322415081E-3</v>
      </c>
      <c r="AR225" s="69">
        <f>+AD225/$AF$25</f>
        <v>7.6107767876901359E-3</v>
      </c>
      <c r="AS225" s="169">
        <f t="shared" si="443"/>
        <v>-5.8827784068885689E-5</v>
      </c>
      <c r="AT225" s="115"/>
      <c r="AU225" s="115"/>
      <c r="AV225" s="113">
        <f>IFERROR(INDEX('Total Customers'!$F$7:$AB$91,MATCH($C225,'Total Customers'!$D$7:$D$91,0),MATCH($G225,'Total Customers'!$F$5:$AB$5,0)),"NA")</f>
        <v>300824</v>
      </c>
      <c r="AW225" s="68">
        <f t="shared" si="403"/>
        <v>1.9502563286034353E-2</v>
      </c>
      <c r="AX225" s="114"/>
      <c r="AY225" s="114"/>
      <c r="AZ225" s="116"/>
      <c r="BA225" s="116"/>
      <c r="BB225" s="166"/>
      <c r="BC225" s="166"/>
      <c r="BD225" s="166"/>
      <c r="BE225" s="166"/>
      <c r="BF225" s="166"/>
      <c r="BG225" s="166"/>
      <c r="BH225" s="166"/>
      <c r="BI225" s="113"/>
      <c r="BJ225" s="113"/>
      <c r="BK225" s="113">
        <f>INDEX('Dist. Plant Gas Additions'!$F$7:$AE$91,MATCH($C225,'Dist. Plant Gas Additions'!$D$7:$D$91,0),MATCH(Calculation!$G225,'Dist. Plant Gas Additions'!$F$5:$AE$5,0))</f>
        <v>96416</v>
      </c>
      <c r="BL225" s="113">
        <f>INDEX('Gen. Plant Additions'!$F$7:$AE$91,MATCH($C225,'Gen. Plant Additions'!$D$7:$D$91,0),MATCH(Calculation!$G225,'Gen. Plant Additions'!$F$5:$AE$5,0))</f>
        <v>6240</v>
      </c>
      <c r="BM225" s="231">
        <f t="shared" si="409"/>
        <v>0.93357129064336086</v>
      </c>
      <c r="BN225" s="61">
        <f t="shared" si="447"/>
        <v>5825.4848536145719</v>
      </c>
      <c r="BO225" s="113">
        <f>INDEX('Dist Plant Depreciation'!$E$7:$AD$94,MATCH($C225,'Dist Plant Depreciation'!$D$7:$D$94,0),MATCH(Calculation!$G225,'Dist Plant Depreciation'!$E$5:$AD$5,0))</f>
        <v>464076</v>
      </c>
      <c r="BP225" s="113">
        <f>INDEX('Gen. Plant Depreciation'!$E$7:$AD$94,MATCH($C225,'Gen. Plant Depreciation'!$D$7:$D$94,0),MATCH(Calculation!$G225,'Gen. Plant Depreciation'!$E$5:$AD$5,0))</f>
        <v>31306</v>
      </c>
      <c r="BQ225" s="113"/>
      <c r="BR225" s="113"/>
      <c r="BS225" s="113"/>
      <c r="BT225" s="113"/>
      <c r="BU225" s="113"/>
      <c r="BV225" s="113"/>
      <c r="BW225" s="113">
        <f>INDEX('Gross Dx Plant'!$E$7:$AD$91,MATCH($C225,'Gross Dx Plant'!$D$7:$D$91,0),MATCH(Calculation!$G225,'Gross Dx Plant'!$E$5:$AD$5,0))</f>
        <v>1097470</v>
      </c>
      <c r="BX225" s="113">
        <f>INDEX('Gross Gen Plant'!$E$7:$AD$91,MATCH($C225,'Gross Gen Plant'!$D$7:$D$91,0),MATCH(Calculation!$G225,'Gross Gen Plant'!$E$5:$AD$5,0))</f>
        <v>78091</v>
      </c>
      <c r="BY225" s="113">
        <f t="shared" si="444"/>
        <v>680179</v>
      </c>
      <c r="BZ225" s="113"/>
      <c r="CA225" s="116">
        <v>2020</v>
      </c>
      <c r="CB225" s="113"/>
      <c r="CC225" s="113"/>
      <c r="CD225" s="113"/>
      <c r="CE225" s="175"/>
      <c r="CF225" s="113">
        <f t="shared" si="410"/>
        <v>102656</v>
      </c>
      <c r="CG225" s="113">
        <f t="shared" si="411"/>
        <v>126.25569376770716</v>
      </c>
      <c r="CH225" s="178">
        <v>0.84057971014492749</v>
      </c>
      <c r="CI225" s="61">
        <f>CI203*CH225+CG204*CH224+CG205*CH223+CG206*CH222+CG207*CH221+CG208*CH220+CG209*CH219+CG210*CH218+CG211*CH217+CG212*CH216+CG213*CH215+CG214*CH214+CG215*CH213+CG216*CH212+CG217*CH211+CG218*CH210+CG219*CH209+CG220*CH208+CG221*CH207+CG222*CH206+CG223*CH205+CG224*CH204+CG225</f>
        <v>2453.0825467650834</v>
      </c>
      <c r="CJ225" s="114">
        <f t="shared" si="412"/>
        <v>4.3168815730944679E-2</v>
      </c>
      <c r="CK225" s="114"/>
      <c r="CL225" s="169">
        <f t="shared" si="413"/>
        <v>9.624511650447698E-3</v>
      </c>
      <c r="CM225" s="169">
        <f t="shared" si="421"/>
        <v>9.394065991531423E-3</v>
      </c>
      <c r="CN225" s="114">
        <f>VLOOKUP($H225,RoR!$E:$F,2,FALSE)</f>
        <v>2.4766666666666666E-2</v>
      </c>
      <c r="CO225" s="169">
        <v>1.1618796630994188E-2</v>
      </c>
      <c r="CP225" s="169">
        <f t="shared" si="419"/>
        <v>1.3147870035672478E-2</v>
      </c>
      <c r="CQ225" s="169">
        <f t="shared" si="422"/>
        <v>2.1507875617002202E-2</v>
      </c>
      <c r="CR225" s="169">
        <f t="shared" si="423"/>
        <v>4.5144642961987357E-2</v>
      </c>
      <c r="CS225" s="179">
        <f t="shared" si="414"/>
        <v>0.92230000000000001</v>
      </c>
      <c r="CT225" s="180">
        <f t="shared" si="415"/>
        <v>2.0706077233668081</v>
      </c>
      <c r="CU225" s="180">
        <f t="shared" si="416"/>
        <v>-3.4421265141318998E-2</v>
      </c>
      <c r="CV225" s="180">
        <f t="shared" si="417"/>
        <v>0.62416226176410472</v>
      </c>
      <c r="CW225" s="180">
        <f t="shared" si="418"/>
        <v>-4.4485877841158712E-2</v>
      </c>
      <c r="CX225" s="181">
        <f>INDEX('State Tax Lookup'!$D$7:$Z$91,MATCH(Calculation!$C225,'State Tax Lookup'!$B$7:$B$91,0),MATCH($H225,'State Tax Lookup'!$D$6:$Z$6,0))</f>
        <v>0.20999999999999996</v>
      </c>
      <c r="CY225" s="72">
        <v>0.37</v>
      </c>
      <c r="CZ225" s="70">
        <f t="shared" si="420"/>
        <v>20.36354617550537</v>
      </c>
      <c r="DA225" s="70">
        <v>19.952659173050833</v>
      </c>
      <c r="DB225" s="69">
        <f t="shared" si="424"/>
        <v>3.9643288335014785E-2</v>
      </c>
      <c r="DC225" s="111">
        <f>VLOOKUP($H225,RoR!$E:$F,2,FALSE)</f>
        <v>2.4766666666666666E-2</v>
      </c>
      <c r="DD225" s="216">
        <f>HLOOKUP($H225,'GDP-PI'!$D$8:$CQ$11,3,FALSE)</f>
        <v>1.1618796630994188E-2</v>
      </c>
      <c r="DE225" s="111">
        <f>VLOOKUP(H225,'HW Dx Data'!$E:$F,2,FALSE)</f>
        <v>813.080162458833</v>
      </c>
      <c r="DF225" s="72">
        <f t="shared" si="433"/>
        <v>153.15</v>
      </c>
      <c r="DG225" s="69">
        <f t="shared" si="434"/>
        <v>2.2951556467368479E-2</v>
      </c>
      <c r="DH225" s="66">
        <f>HLOOKUP(H225,'GDP-PI'!$8:$9,2,FALSE)</f>
        <v>113.623</v>
      </c>
      <c r="DI225" s="69">
        <f t="shared" si="425"/>
        <v>1.1551816731392881E-2</v>
      </c>
      <c r="EB225"/>
    </row>
    <row r="226" spans="1:132" s="160" customFormat="1" ht="21">
      <c r="A226" s="160" t="s">
        <v>172</v>
      </c>
      <c r="B226" s="160" t="s">
        <v>172</v>
      </c>
      <c r="C226" s="160">
        <v>4057112</v>
      </c>
      <c r="D226" s="160" t="s">
        <v>146</v>
      </c>
      <c r="G226" s="161" t="s">
        <v>142</v>
      </c>
      <c r="H226" s="162">
        <v>2021</v>
      </c>
      <c r="I226" s="163"/>
      <c r="J226" s="159">
        <v>24247.879940624462</v>
      </c>
      <c r="K226" s="159">
        <f t="shared" si="426"/>
        <v>154.19955447137971</v>
      </c>
      <c r="L226" s="164">
        <f t="shared" si="432"/>
        <v>2.7472540247623883E-2</v>
      </c>
      <c r="M226" s="76">
        <f t="shared" si="435"/>
        <v>2.1844283678481834E-4</v>
      </c>
      <c r="N226" s="166">
        <f>+N225*EXP(O226)</f>
        <v>119.40042126116211</v>
      </c>
      <c r="O226" s="114">
        <f t="shared" si="436"/>
        <v>4.395556317292508E-2</v>
      </c>
      <c r="P226" s="114"/>
      <c r="Q226" s="159">
        <v>34180.746422326047</v>
      </c>
      <c r="R226" s="159">
        <f t="shared" si="427"/>
        <v>288.46946090240567</v>
      </c>
      <c r="S226" s="165">
        <f t="shared" si="437"/>
        <v>-1.5029962073228062E-2</v>
      </c>
      <c r="T226" s="165">
        <f t="shared" si="438"/>
        <v>-1.1950797132158654E-4</v>
      </c>
      <c r="U226" s="165"/>
      <c r="V226" s="165"/>
      <c r="W226" s="159">
        <f t="shared" si="408"/>
        <v>63404.270349849059</v>
      </c>
      <c r="X226" s="163"/>
      <c r="Y226" s="167">
        <v>2516.6615436114989</v>
      </c>
      <c r="Z226" s="168"/>
      <c r="AA226" s="76">
        <f t="shared" si="428"/>
        <v>0</v>
      </c>
      <c r="AB226" s="168"/>
      <c r="AC226" s="168"/>
      <c r="AD226" s="163">
        <f t="shared" si="355"/>
        <v>121832.89671279957</v>
      </c>
      <c r="AE226" s="168">
        <f t="shared" si="439"/>
        <v>0.15737777235484196</v>
      </c>
      <c r="AF226" s="113"/>
      <c r="AG226" s="114"/>
      <c r="AH226" s="114"/>
      <c r="AI226" s="114"/>
      <c r="AJ226" s="116">
        <f t="shared" si="440"/>
        <v>397.32869162443194</v>
      </c>
      <c r="AK226" s="114">
        <f>+AV226/$AX$26</f>
        <v>7.9424910927158691E-3</v>
      </c>
      <c r="AL226" s="115">
        <f t="shared" si="429"/>
        <v>0.19902571961154902</v>
      </c>
      <c r="AM226" s="115">
        <f t="shared" si="430"/>
        <v>0.28055432764519561</v>
      </c>
      <c r="AN226" s="115">
        <f t="shared" si="431"/>
        <v>0.52041995274325537</v>
      </c>
      <c r="AO226" s="115">
        <f t="shared" si="442"/>
        <v>1.2552790878766172E-3</v>
      </c>
      <c r="AP226" s="166">
        <f t="shared" si="445"/>
        <v>107.2379966237191</v>
      </c>
      <c r="AQ226" s="168">
        <f t="shared" si="446"/>
        <v>1.2552790878766493E-3</v>
      </c>
      <c r="AR226" s="69">
        <f>+AD226/$AF$26</f>
        <v>7.9513155614982338E-3</v>
      </c>
      <c r="AS226" s="169">
        <f t="shared" si="443"/>
        <v>9.9811201454569105E-6</v>
      </c>
      <c r="AT226" s="115"/>
      <c r="AU226" s="115"/>
      <c r="AV226" s="113">
        <f>INDEX('Total Customers'!$E$7:$E$91,MATCH(Calculation!$C226,'Total Customers'!$D$7:$D$91,0))</f>
        <v>306630</v>
      </c>
      <c r="AW226" s="68">
        <f t="shared" si="403"/>
        <v>1.9116432882199323E-2</v>
      </c>
      <c r="AX226" s="113"/>
      <c r="AY226" s="113"/>
      <c r="AZ226" s="116"/>
      <c r="BA226" s="116"/>
      <c r="BB226" s="166"/>
      <c r="BC226" s="166"/>
      <c r="BD226" s="166"/>
      <c r="BE226" s="166"/>
      <c r="BF226" s="166"/>
      <c r="BG226" s="166"/>
      <c r="BH226" s="166"/>
      <c r="BI226" s="113"/>
      <c r="BJ226" s="113"/>
      <c r="BK226" s="113">
        <f>INDEX('Dist. Plant Gas Additions'!$E$7:$AE$91,MATCH($C226,'Dist. Plant Gas Additions'!$D$7:$D$91,0),MATCH(Calculation!$G226,'Dist. Plant Gas Additions'!$E$5:$AE$5,0))</f>
        <v>56437</v>
      </c>
      <c r="BL226" s="113">
        <f>INDEX('Gen. Plant Additions'!$E$7:$AE$91,MATCH($C226,'Gen. Plant Additions'!$D$7:$D$91,0),MATCH(Calculation!$G226,'Gen. Plant Additions'!$E$5:$AE$5,0))</f>
        <v>8105</v>
      </c>
      <c r="BM226" s="232">
        <v>0.93357129064336086</v>
      </c>
      <c r="BN226" s="61">
        <f t="shared" si="447"/>
        <v>7566.5953106644401</v>
      </c>
      <c r="BO226" s="113"/>
      <c r="BP226" s="113"/>
      <c r="BQ226" s="175"/>
      <c r="BR226" s="175"/>
      <c r="BS226" s="170"/>
      <c r="BT226" s="176"/>
      <c r="BU226" s="177"/>
      <c r="BV226" s="177"/>
      <c r="BW226" s="113"/>
      <c r="BX226" s="113"/>
      <c r="BY226" s="113"/>
      <c r="BZ226" s="113"/>
      <c r="CA226" s="116">
        <v>2021</v>
      </c>
      <c r="CB226" s="113"/>
      <c r="CC226" s="113"/>
      <c r="CD226" s="113"/>
      <c r="CE226" s="175"/>
      <c r="CF226" s="113">
        <f t="shared" si="410"/>
        <v>64542</v>
      </c>
      <c r="CG226" s="113">
        <f t="shared" si="411"/>
        <v>69.175180720925866</v>
      </c>
      <c r="CH226" s="178">
        <f>+(51-23)/(51-23*0.75)</f>
        <v>0.82962962962962961</v>
      </c>
      <c r="CI226" s="113">
        <f>CI203*CH226+CG204*CH225+CG205*CH224+CG206*CH223+CG207*CH222+CG208*CH221+CG209*CH220+CG210*CH219+CG211*CH218+CG212*CH217+CG213*CH216+CG214*CH215+CG215*CH214+CG216*CH213+CG217*CH212+CG208*CH211+CG219*CH210+CG220*CH209+CG221*CH208+CG222*CH207+CG223*CH206+CG224*CH205+CG226+CG225*CH204</f>
        <v>2516.6615436114989</v>
      </c>
      <c r="CJ226" s="114"/>
      <c r="CK226" s="113"/>
      <c r="CL226" s="169">
        <f t="shared" si="413"/>
        <v>2.2812864091712346E-3</v>
      </c>
      <c r="CM226" s="169">
        <f t="shared" si="421"/>
        <v>7.0938353203440158E-3</v>
      </c>
      <c r="CN226" s="114">
        <f>VLOOKUP($H226,RoR!$E:$F,2,FALSE)</f>
        <v>2.7033333333333336E-2</v>
      </c>
      <c r="CO226" s="169"/>
      <c r="CP226" s="169"/>
      <c r="CQ226" s="169">
        <f t="shared" si="422"/>
        <v>2.380810628818961E-2</v>
      </c>
      <c r="CR226" s="169">
        <f t="shared" si="423"/>
        <v>7.433422950153494E-2</v>
      </c>
      <c r="CS226" s="179">
        <f t="shared" si="414"/>
        <v>0.92230000000000001</v>
      </c>
      <c r="CT226" s="180">
        <f t="shared" si="415"/>
        <v>1.8969932656739068</v>
      </c>
      <c r="CU226" s="180">
        <f t="shared" si="416"/>
        <v>5.0215782983970621E-2</v>
      </c>
      <c r="CV226" s="180">
        <f t="shared" si="417"/>
        <v>0.655952481704143</v>
      </c>
      <c r="CW226" s="180">
        <f t="shared" si="418"/>
        <v>6.2485378865697057E-2</v>
      </c>
      <c r="CX226" s="181">
        <f>CX225</f>
        <v>0.20999999999999996</v>
      </c>
      <c r="CY226" s="72">
        <v>0.37</v>
      </c>
      <c r="CZ226" s="182">
        <f t="shared" si="420"/>
        <v>25.846774065333111</v>
      </c>
      <c r="DA226" s="182"/>
      <c r="DB226" s="169">
        <f t="shared" si="424"/>
        <v>0.23843944862371347</v>
      </c>
      <c r="DC226" s="181">
        <f>VLOOKUP($H226,RoR!$E:$F,2,FALSE)</f>
        <v>2.7033333333333336E-2</v>
      </c>
      <c r="DD226" s="183">
        <f>HLOOKUP($H226,'GDP-PI'!$D$8:$CR$11,3,FALSE)</f>
        <v>4.2834637353352578E-2</v>
      </c>
      <c r="DE226" s="181">
        <f>VLOOKUP(H226,'HW Dx Data'!$E:$F,2,FALSE)</f>
        <v>933.02249921662576</v>
      </c>
      <c r="DF226" s="72">
        <f t="shared" si="433"/>
        <v>157.25</v>
      </c>
      <c r="DG226" s="69">
        <f t="shared" si="434"/>
        <v>2.6419062301765574E-2</v>
      </c>
      <c r="DH226" s="175">
        <f>HLOOKUP(H226,'GDP-PI'!$8:$9,2,FALSE)</f>
        <v>118.49</v>
      </c>
      <c r="DI226" s="169">
        <f t="shared" si="425"/>
        <v>4.194261824609434E-2</v>
      </c>
      <c r="EB226"/>
    </row>
    <row r="227" spans="1:132" s="160" customFormat="1" ht="21">
      <c r="G227" s="161" t="s">
        <v>144</v>
      </c>
      <c r="H227" s="162"/>
      <c r="I227" s="163"/>
      <c r="J227" s="159">
        <v>25741.118060669603</v>
      </c>
      <c r="K227" s="159">
        <f t="shared" si="426"/>
        <v>158.358154787263</v>
      </c>
      <c r="L227" s="164">
        <f t="shared" ref="L227" si="448">LN(K227/K226)</f>
        <v>2.6611698322916082E-2</v>
      </c>
      <c r="M227" s="76">
        <f t="shared" si="435"/>
        <v>2.0576174614459904E-4</v>
      </c>
      <c r="N227" s="166">
        <f>+N226*EXP(O227)</f>
        <v>119.59594883534895</v>
      </c>
      <c r="O227" s="114">
        <f t="shared" si="436"/>
        <v>1.636239225988076E-3</v>
      </c>
      <c r="P227" s="114"/>
      <c r="Q227" s="163">
        <v>36285.672446968005</v>
      </c>
      <c r="R227" s="159">
        <f t="shared" si="427"/>
        <v>285.15263219621221</v>
      </c>
      <c r="S227" s="165">
        <f t="shared" ref="S227" si="449">LN(R227/R226)</f>
        <v>-1.1564637109702699E-2</v>
      </c>
      <c r="T227" s="165">
        <f t="shared" si="438"/>
        <v>-8.9417815291102656E-5</v>
      </c>
      <c r="U227" s="166"/>
      <c r="V227" s="114"/>
      <c r="W227" s="159">
        <f t="shared" si="408"/>
        <v>63581.111364821154</v>
      </c>
      <c r="X227" s="165">
        <f>LN(W227/W226)</f>
        <v>2.7852202655747169E-3</v>
      </c>
      <c r="Y227" s="167">
        <v>2535.1676235999753</v>
      </c>
      <c r="Z227" s="168">
        <v>7.3265196254558304E-3</v>
      </c>
      <c r="AA227" s="76">
        <f t="shared" si="428"/>
        <v>5.6648675819321902E-5</v>
      </c>
      <c r="AB227" s="166"/>
      <c r="AC227" s="114"/>
      <c r="AD227" s="163">
        <f t="shared" si="355"/>
        <v>125607.90187245875</v>
      </c>
      <c r="AE227" s="168">
        <f t="shared" si="439"/>
        <v>3.0514758289810887E-2</v>
      </c>
      <c r="AF227" s="113"/>
      <c r="AG227" s="114"/>
      <c r="AH227" s="114"/>
      <c r="AI227" s="114"/>
      <c r="AJ227" s="116">
        <f t="shared" si="440"/>
        <v>403.76708307068293</v>
      </c>
      <c r="AK227" s="114"/>
      <c r="AL227" s="115">
        <f t="shared" si="429"/>
        <v>0.20493231458325709</v>
      </c>
      <c r="AM227" s="115">
        <f t="shared" si="430"/>
        <v>0.28888049164145885</v>
      </c>
      <c r="AN227" s="115">
        <f t="shared" si="431"/>
        <v>0.50618719377528409</v>
      </c>
      <c r="AO227" s="115"/>
      <c r="AP227" s="166"/>
      <c r="AQ227" s="168"/>
      <c r="AR227" s="69">
        <f>+AD227/$AF$27</f>
        <v>7.7320035590292191E-3</v>
      </c>
      <c r="AS227" s="169"/>
      <c r="AT227" s="166"/>
      <c r="AU227" s="168"/>
      <c r="AV227" s="113">
        <v>311090</v>
      </c>
      <c r="AW227" s="68">
        <f t="shared" si="403"/>
        <v>1.4440450372724213E-2</v>
      </c>
      <c r="AX227" s="113"/>
      <c r="AY227" s="113"/>
      <c r="AZ227" s="113"/>
      <c r="BA227" s="113"/>
      <c r="BB227" s="171"/>
      <c r="BC227" s="172"/>
      <c r="BD227" s="173"/>
      <c r="BE227" s="115"/>
      <c r="BF227" s="174"/>
      <c r="BG227" s="174"/>
      <c r="BH227" s="166"/>
      <c r="BI227" s="113"/>
      <c r="BJ227" s="113"/>
      <c r="BK227" s="113"/>
      <c r="BL227" s="113"/>
      <c r="BM227" s="232">
        <v>0.93357129064336086</v>
      </c>
      <c r="BN227" s="61">
        <f>+BM227*BL227</f>
        <v>0</v>
      </c>
      <c r="BO227" s="113"/>
      <c r="BP227" s="113"/>
      <c r="BQ227" s="175"/>
      <c r="BR227" s="175"/>
      <c r="BS227" s="170"/>
      <c r="BT227" s="176"/>
      <c r="BU227" s="177"/>
      <c r="BV227" s="177"/>
      <c r="BW227" s="113"/>
      <c r="BX227" s="113"/>
      <c r="BY227" s="113"/>
      <c r="BZ227" s="113"/>
      <c r="CA227" s="116">
        <v>2022</v>
      </c>
      <c r="CB227" s="113"/>
      <c r="CC227" s="113"/>
      <c r="CD227" s="113"/>
      <c r="CE227" s="175"/>
      <c r="CF227" s="238">
        <v>85707</v>
      </c>
      <c r="CG227" s="113">
        <f>+CF227/DE227</f>
        <v>83.145293507047853</v>
      </c>
      <c r="CH227" s="178">
        <f>+(51-24)/(51-24*0.75)</f>
        <v>0.81818181818181823</v>
      </c>
      <c r="CI227" s="113">
        <f>+CI203*CH227+CG204*CH226+CG205*CH225+CG206*CH224+CG207*CH223+CG208*CH222+CG209*CH221+CG210*CH220+CG211*CH219+CG212*CH218+CG213*CH217+CG214*CH216+CG215*CH215+CG216*CH214+CG217*CH213+CG218*CH212+CG219*CH211+CG220*CH210+CG221*CH209+CG222*CH208+CG223*CH207+CG224*CH206+CG225*CH205+CG226*CH204+CG227*CH203</f>
        <v>2555.7000204529354</v>
      </c>
      <c r="CJ227" s="114">
        <f t="shared" ref="CJ227" si="450">LN(CI227/CI226)</f>
        <v>1.5392927797946007E-2</v>
      </c>
      <c r="CK227" s="113"/>
      <c r="CL227" s="169">
        <f t="shared" ref="CL227" si="451">+(CI226-CI227+CG227)/CI226</f>
        <v>1.7525923093463146E-2</v>
      </c>
      <c r="CM227" s="169">
        <f t="shared" ref="CM227" si="452">+(CL227+CL226+CL225)/3</f>
        <v>9.810573717694027E-3</v>
      </c>
      <c r="CN227" s="114"/>
      <c r="CO227" s="169"/>
      <c r="CP227" s="169"/>
      <c r="CQ227" s="69">
        <f t="shared" si="422"/>
        <v>2.1091367890839596E-2</v>
      </c>
      <c r="CR227" s="169">
        <f t="shared" si="423"/>
        <v>0.10114668178709289</v>
      </c>
      <c r="CS227" s="179">
        <f t="shared" si="414"/>
        <v>0.92230000000000001</v>
      </c>
      <c r="CT227" s="180"/>
      <c r="CU227" s="180"/>
      <c r="CV227" s="180"/>
      <c r="CW227" s="180"/>
      <c r="CX227" s="181">
        <f>CX226</f>
        <v>0.20999999999999996</v>
      </c>
      <c r="CY227" s="72">
        <v>0.37</v>
      </c>
      <c r="CZ227" s="182">
        <f t="shared" si="420"/>
        <v>25.264069189685316</v>
      </c>
      <c r="DA227" s="182"/>
      <c r="DB227" s="169">
        <f t="shared" si="424"/>
        <v>-2.2802602612518267E-2</v>
      </c>
      <c r="DC227" s="181">
        <v>0.04</v>
      </c>
      <c r="DD227" s="183">
        <v>7.0000000000000001E-3</v>
      </c>
      <c r="DE227" s="181">
        <v>1030.81</v>
      </c>
      <c r="DF227" s="72">
        <f t="shared" si="433"/>
        <v>162.55000000000001</v>
      </c>
      <c r="DG227" s="169">
        <f t="shared" si="434"/>
        <v>3.3148751169364422E-2</v>
      </c>
      <c r="DH227" s="175">
        <v>127.25</v>
      </c>
      <c r="DI227" s="169">
        <f t="shared" si="425"/>
        <v>7.1325086601983473E-2</v>
      </c>
      <c r="EB227"/>
    </row>
    <row r="228" spans="1:132" s="160" customFormat="1" ht="21">
      <c r="A228" s="160" t="s">
        <v>173</v>
      </c>
      <c r="B228" s="161" t="s">
        <v>173</v>
      </c>
      <c r="C228" s="161">
        <v>4057076</v>
      </c>
      <c r="D228" s="161" t="s">
        <v>171</v>
      </c>
      <c r="E228" s="161" t="s">
        <v>3</v>
      </c>
      <c r="F228" s="161"/>
      <c r="G228" s="161" t="s">
        <v>100</v>
      </c>
      <c r="H228" s="162">
        <v>1998</v>
      </c>
      <c r="I228" s="163"/>
      <c r="J228" s="159"/>
      <c r="K228" s="159"/>
      <c r="L228" s="159"/>
      <c r="M228" s="60"/>
      <c r="N228" s="131"/>
      <c r="O228" s="76"/>
      <c r="P228" s="76"/>
      <c r="Q228" s="165"/>
      <c r="R228" s="165"/>
      <c r="S228" s="165"/>
      <c r="T228" s="159"/>
      <c r="U228" s="165"/>
      <c r="V228" s="165"/>
      <c r="W228" s="159"/>
      <c r="X228" s="163"/>
      <c r="Y228" s="167">
        <v>409.45979493697843</v>
      </c>
      <c r="Z228" s="168"/>
      <c r="AA228" s="78"/>
      <c r="AB228" s="168"/>
      <c r="AC228" s="168"/>
      <c r="AD228" s="163">
        <f t="shared" si="355"/>
        <v>0</v>
      </c>
      <c r="AE228" s="163"/>
      <c r="AF228" s="163"/>
      <c r="AG228" s="114"/>
      <c r="AH228" s="114"/>
      <c r="AI228" s="114"/>
      <c r="AJ228" s="166">
        <f>+(AJ225+AJ226+AJ227)/3</f>
        <v>382.37261237383927</v>
      </c>
      <c r="AK228" s="168"/>
      <c r="AL228" s="115"/>
      <c r="AM228" s="115"/>
      <c r="AN228" s="115"/>
      <c r="AO228" s="115"/>
      <c r="AP228" s="115"/>
      <c r="AQ228" s="168">
        <f>AVERAGE(AQ237:AQ251)</f>
        <v>3.033947400191446E-2</v>
      </c>
      <c r="AR228" s="79"/>
      <c r="AS228" s="115"/>
      <c r="AT228" s="115"/>
      <c r="AU228" s="115"/>
      <c r="AV228" s="113">
        <f>IFERROR(INDEX('Total Customers'!$F$7:$AB$91,MATCH($C228,'Total Customers'!$D$7:$D$91,0),MATCH($G228,'Total Customers'!$F$5:$AB$5,0)),"NA")</f>
        <v>62104</v>
      </c>
      <c r="AW228" s="68"/>
      <c r="AX228" s="114"/>
      <c r="AY228" s="114"/>
      <c r="AZ228" s="116"/>
      <c r="BA228" s="116"/>
      <c r="BB228" s="166"/>
      <c r="BC228" s="166"/>
      <c r="BD228" s="166"/>
      <c r="BE228" s="166"/>
      <c r="BF228" s="166"/>
      <c r="BG228" s="166"/>
      <c r="BH228" s="166"/>
      <c r="BI228" s="113">
        <f>INDEX('Gross Dx Plant'!$E$7:$AD$91,MATCH($C228,'Gross Dx Plant'!$D$7:$D$91,0),MATCH(Calculation!$G228,'Gross Dx Plant'!$E$5:$AD$5,0))</f>
        <v>115543</v>
      </c>
      <c r="BJ228" s="113">
        <f>INDEX('Gross Gen Plant'!$E$7:$AD$91,MATCH($C228,'Gross Gen Plant'!$D$7:$D$91,0),MATCH(Calculation!$G228,'Gross Gen Plant'!$E$5:$AD$5,0))</f>
        <v>0</v>
      </c>
      <c r="BK228" s="113">
        <f>INDEX('Dist. Plant Gas Additions'!$F$7:$AE$91,MATCH($C228,'Dist. Plant Gas Additions'!$D$7:$D$91,0),MATCH(Calculation!$G228,'Dist. Plant Gas Additions'!$F$5:$AE$5,0))</f>
        <v>7337</v>
      </c>
      <c r="BL228" s="113">
        <f>INDEX('Gen. Plant Additions'!$F$7:$AE$91,MATCH($C228,'Gen. Plant Additions'!$D$7:$D$91,0),MATCH(Calculation!$G228,'Gen. Plant Additions'!$F$5:$AE$5,0))</f>
        <v>0</v>
      </c>
      <c r="BM228" s="231">
        <f>+(BW228/(BW228+BX228))</f>
        <v>1</v>
      </c>
      <c r="BN228" s="61">
        <f t="shared" ref="BN228:BN246" si="453">+BM228*BL228</f>
        <v>0</v>
      </c>
      <c r="BO228" s="113">
        <f>INDEX('Dist Plant Depreciation'!$E$7:$AD$94,MATCH($C228,'Dist Plant Depreciation'!$D$7:$D$94,0),MATCH(Calculation!$G228,'Dist Plant Depreciation'!$E$5:$AD$5,0))</f>
        <v>32003</v>
      </c>
      <c r="BP228" s="113">
        <f>INDEX('Gen. Plant Depreciation'!$E$7:$AD$94,MATCH($C228,'Gen. Plant Depreciation'!$D$7:$D$94,0),MATCH(Calculation!$G228,'Gen. Plant Depreciation'!$E$5:$AD$5,0))</f>
        <v>944</v>
      </c>
      <c r="BQ228" s="113"/>
      <c r="BR228" s="113"/>
      <c r="BS228" s="113"/>
      <c r="BT228" s="113"/>
      <c r="BU228" s="113"/>
      <c r="BV228" s="113"/>
      <c r="BW228" s="113">
        <f>INDEX('Gross Dx Plant'!$E$7:$AD$91,MATCH($C228,'Gross Dx Plant'!$D$7:$D$91,0),MATCH(Calculation!$G228,'Gross Dx Plant'!$E$5:$AD$5,0))</f>
        <v>115543</v>
      </c>
      <c r="BX228" s="113">
        <f>INDEX('Gross Gen Plant'!$E$7:$AD$91,MATCH($C228,'Gross Gen Plant'!$D$7:$D$91,0),MATCH(Calculation!$G228,'Gross Gen Plant'!$E$5:$AD$5,0))</f>
        <v>0</v>
      </c>
      <c r="BY228" s="113">
        <f t="shared" si="444"/>
        <v>82596</v>
      </c>
      <c r="BZ228" s="113"/>
      <c r="CA228" s="116">
        <v>1998</v>
      </c>
      <c r="CB228" s="113">
        <f>BI228+BJ228</f>
        <v>115543</v>
      </c>
      <c r="CC228" s="113">
        <f>32003+944</f>
        <v>32947</v>
      </c>
      <c r="CD228" s="113">
        <f>+CB228-CC228</f>
        <v>82596</v>
      </c>
      <c r="CE228" s="113">
        <f>CD228/$BV$3</f>
        <v>409.45979493697843</v>
      </c>
      <c r="CF228" s="175"/>
      <c r="CG228" s="175"/>
      <c r="CH228" s="178">
        <v>1</v>
      </c>
      <c r="CI228" s="113">
        <f>+CE228</f>
        <v>409.45979493697843</v>
      </c>
      <c r="CJ228" s="114"/>
      <c r="CK228" s="114"/>
      <c r="CL228" s="169"/>
      <c r="CM228" s="169"/>
      <c r="CN228" s="114" t="e">
        <f>VLOOKUP($H228,RoR!$E:$F,2,FALSE)</f>
        <v>#N/A</v>
      </c>
      <c r="CO228" s="169">
        <v>1.1028127770464469E-2</v>
      </c>
      <c r="CP228" s="169"/>
      <c r="CQ228" s="169"/>
      <c r="CR228" s="169"/>
      <c r="CS228" s="179"/>
      <c r="CT228" s="182" t="e">
        <f>2/(DC228*39)</f>
        <v>#N/A</v>
      </c>
      <c r="CU228" s="180" t="e">
        <f>+(DC228*40-(1+DC228))/(DC228*40)</f>
        <v>#N/A</v>
      </c>
      <c r="CV228" s="180" t="e">
        <f>+(1-(1/(1+DC228)^40))</f>
        <v>#N/A</v>
      </c>
      <c r="CW228" s="180" t="e">
        <f>+CV228*CU228*CT228</f>
        <v>#N/A</v>
      </c>
      <c r="CX228" s="181">
        <f>INDEX('State Tax Lookup'!$D$7:$Z$91,MATCH(Calculation!$C228,'State Tax Lookup'!$B$7:$B$91,0),MATCH($H228,'State Tax Lookup'!$D$6:$Z$6,0))</f>
        <v>0.39649667</v>
      </c>
      <c r="CY228" s="72">
        <v>0.37</v>
      </c>
      <c r="CZ228" s="66"/>
      <c r="DA228" s="66"/>
      <c r="DB228" s="69"/>
      <c r="DC228" s="111" t="e">
        <f>VLOOKUP($H228,RoR!$E:$F,2,FALSE)</f>
        <v>#N/A</v>
      </c>
      <c r="DD228" s="216">
        <f>HLOOKUP($H228,'GDP-PI'!$D$8:$CQ$11,3,FALSE)</f>
        <v>1.1028127770464469E-2</v>
      </c>
      <c r="DE228" s="111">
        <f>VLOOKUP(H228,'HW Dx Data'!$E:$F,2,FALSE)</f>
        <v>329.24564746449528</v>
      </c>
      <c r="DF228" s="72" t="e">
        <f t="shared" si="433"/>
        <v>#N/A</v>
      </c>
      <c r="DG228" s="169" t="e">
        <f t="shared" si="434"/>
        <v>#N/A</v>
      </c>
      <c r="DH228" s="66">
        <f>HLOOKUP(H228,'GDP-PI'!$8:$9,2,FALSE)</f>
        <v>75.266999999999996</v>
      </c>
      <c r="DI228"/>
      <c r="EB228"/>
    </row>
    <row r="229" spans="1:132" s="160" customFormat="1" ht="21">
      <c r="A229" s="160" t="s">
        <v>173</v>
      </c>
      <c r="B229" s="161" t="s">
        <v>173</v>
      </c>
      <c r="C229" s="161">
        <v>4057076</v>
      </c>
      <c r="D229" s="161" t="s">
        <v>171</v>
      </c>
      <c r="E229" s="161" t="s">
        <v>3</v>
      </c>
      <c r="F229" s="161"/>
      <c r="G229" s="161" t="s">
        <v>106</v>
      </c>
      <c r="H229" s="162">
        <v>1999</v>
      </c>
      <c r="I229" s="163"/>
      <c r="J229" s="159"/>
      <c r="K229" s="159"/>
      <c r="L229" s="159"/>
      <c r="M229" s="60"/>
      <c r="N229" s="152"/>
      <c r="O229" s="60"/>
      <c r="P229" s="59"/>
      <c r="Q229" s="169"/>
      <c r="R229" s="169"/>
      <c r="S229" s="169"/>
      <c r="T229" s="187"/>
      <c r="U229" s="169"/>
      <c r="V229" s="169"/>
      <c r="W229" s="159">
        <f t="shared" ref="W229:W252" si="454">+CI228*CZ229</f>
        <v>0</v>
      </c>
      <c r="X229" s="163"/>
      <c r="Y229" s="167">
        <v>426.30585505094001</v>
      </c>
      <c r="Z229" s="168">
        <v>4.0318340644652173E-2</v>
      </c>
      <c r="AA229" s="78"/>
      <c r="AB229" s="168"/>
      <c r="AC229" s="168"/>
      <c r="AD229" s="163">
        <f t="shared" si="355"/>
        <v>0</v>
      </c>
      <c r="AE229" s="168"/>
      <c r="AF229" s="163"/>
      <c r="AG229" s="114"/>
      <c r="AH229" s="114"/>
      <c r="AI229" s="114"/>
      <c r="AJ229" s="167"/>
      <c r="AK229" s="168"/>
      <c r="AL229" s="115"/>
      <c r="AM229" s="115"/>
      <c r="AN229" s="115"/>
      <c r="AO229" s="115"/>
      <c r="AP229" s="115"/>
      <c r="AQ229" s="168"/>
      <c r="AR229" s="79"/>
      <c r="AS229" s="115"/>
      <c r="AT229" s="115"/>
      <c r="AU229" s="115"/>
      <c r="AV229" s="113">
        <f>IFERROR(INDEX('Total Customers'!$F$7:$AB$91,MATCH($C229,'Total Customers'!$D$7:$D$91,0),MATCH($G229,'Total Customers'!$F$5:$AB$5,0)),"NA")</f>
        <v>62605</v>
      </c>
      <c r="AW229" s="68">
        <f t="shared" si="403"/>
        <v>8.0347480175318332E-3</v>
      </c>
      <c r="AX229" s="114"/>
      <c r="AY229" s="114"/>
      <c r="AZ229" s="116"/>
      <c r="BA229" s="116"/>
      <c r="BB229" s="166"/>
      <c r="BC229" s="166"/>
      <c r="BD229" s="166"/>
      <c r="BE229" s="166"/>
      <c r="BF229" s="166"/>
      <c r="BG229" s="166"/>
      <c r="BH229" s="166"/>
      <c r="BI229" s="113"/>
      <c r="BJ229" s="113"/>
      <c r="BK229" s="113">
        <f>INDEX('Dist. Plant Gas Additions'!$F$7:$AE$91,MATCH($C229,'Dist. Plant Gas Additions'!$D$7:$D$91,0),MATCH(Calculation!$G229,'Dist. Plant Gas Additions'!$F$5:$AE$5,0))</f>
        <v>6332</v>
      </c>
      <c r="BL229" s="113">
        <f>INDEX('Gen. Plant Additions'!$F$7:$AE$91,MATCH($C229,'Gen. Plant Additions'!$D$7:$D$91,0),MATCH(Calculation!$G229,'Gen. Plant Additions'!$F$5:$AE$5,0))</f>
        <v>0</v>
      </c>
      <c r="BM229" s="231">
        <f t="shared" ref="BM229:BM249" si="455">+(BW229/(BW229+BX229))</f>
        <v>1</v>
      </c>
      <c r="BN229" s="61">
        <f t="shared" si="453"/>
        <v>0</v>
      </c>
      <c r="BO229" s="113">
        <f>INDEX('Dist Plant Depreciation'!$E$7:$AD$94,MATCH($C229,'Dist Plant Depreciation'!$D$7:$D$94,0),MATCH(Calculation!$G229,'Dist Plant Depreciation'!$E$5:$AD$5,0))</f>
        <v>34373</v>
      </c>
      <c r="BP229" s="113">
        <f>INDEX('Gen. Plant Depreciation'!$E$7:$AD$94,MATCH($C229,'Gen. Plant Depreciation'!$D$7:$D$94,0),MATCH(Calculation!$G229,'Gen. Plant Depreciation'!$E$5:$AD$5,0))</f>
        <v>636</v>
      </c>
      <c r="BQ229" s="113"/>
      <c r="BR229" s="113"/>
      <c r="BS229" s="113"/>
      <c r="BT229" s="113"/>
      <c r="BU229" s="113"/>
      <c r="BV229" s="113"/>
      <c r="BW229" s="113">
        <f>INDEX('Gross Dx Plant'!$E$7:$AD$91,MATCH($C229,'Gross Dx Plant'!$D$7:$D$91,0),MATCH(Calculation!$G229,'Gross Dx Plant'!$E$5:$AD$5,0))</f>
        <v>121513</v>
      </c>
      <c r="BX229" s="113">
        <f>INDEX('Gross Gen Plant'!$E$7:$AD$91,MATCH($C229,'Gross Gen Plant'!$D$7:$D$91,0),MATCH(Calculation!$G229,'Gross Gen Plant'!$E$5:$AD$5,0))</f>
        <v>0</v>
      </c>
      <c r="BY229" s="113">
        <f t="shared" si="444"/>
        <v>86504</v>
      </c>
      <c r="BZ229" s="113"/>
      <c r="CA229" s="116">
        <v>1999</v>
      </c>
      <c r="CB229" s="113"/>
      <c r="CC229" s="113"/>
      <c r="CD229" s="113"/>
      <c r="CE229" s="175"/>
      <c r="CF229" s="113">
        <f t="shared" ref="CF229:CF249" si="456">+BL229+BK229</f>
        <v>6332</v>
      </c>
      <c r="CG229" s="113">
        <f t="shared" ref="CG229:CG251" si="457">+CF229/$DE229</f>
        <v>18.883173521608246</v>
      </c>
      <c r="CH229" s="178">
        <v>0.99502487562189057</v>
      </c>
      <c r="CI229" s="61">
        <f>+CI228*CH229+CG229</f>
        <v>426.30585505094001</v>
      </c>
      <c r="CJ229" s="114">
        <f t="shared" ref="CJ229:CJ250" si="458">LN(CI229/CI228)</f>
        <v>4.0318340644652173E-2</v>
      </c>
      <c r="CK229" s="114"/>
      <c r="CL229" s="169">
        <f t="shared" ref="CL229:CL252" si="459">+(CI228-CI229+CG229)/CI228</f>
        <v>4.9751243781094578E-3</v>
      </c>
      <c r="CM229" s="169"/>
      <c r="CN229" s="114">
        <f>VLOOKUP($H229,RoR!$E:$F,2,FALSE)</f>
        <v>7.0416666666666669E-2</v>
      </c>
      <c r="CO229" s="169">
        <v>1.4335631817396832E-2</v>
      </c>
      <c r="CP229" s="169">
        <f>+CN229-CO229</f>
        <v>5.6081034849269837E-2</v>
      </c>
      <c r="CQ229" s="169"/>
      <c r="CR229" s="169"/>
      <c r="CS229" s="179">
        <f t="shared" ref="CS229:CS252" si="460">1-CX229*CY229</f>
        <v>0.85329623209999994</v>
      </c>
      <c r="CT229" s="180">
        <f t="shared" ref="CT229:CT251" si="461">2/(DC229*39)</f>
        <v>0.72826581702321336</v>
      </c>
      <c r="CU229" s="180">
        <f t="shared" ref="CU229:CU251" si="462">+(DC229*40-(1+DC229))/(DC229*40)</f>
        <v>0.61997041420118348</v>
      </c>
      <c r="CV229" s="180">
        <f t="shared" ref="CV229:CV251" si="463">+(1-(1/(1+DC229)^40))</f>
        <v>0.93425155319585029</v>
      </c>
      <c r="CW229" s="180">
        <f t="shared" ref="CW229:CW251" si="464">+CV229*CU229*CT229</f>
        <v>0.42181762214141483</v>
      </c>
      <c r="CX229" s="181">
        <f>INDEX('State Tax Lookup'!$D$7:$Z$91,MATCH(Calculation!$C229,'State Tax Lookup'!$B$7:$B$91,0),MATCH($H229,'State Tax Lookup'!$D$6:$Z$6,0))</f>
        <v>0.39649667</v>
      </c>
      <c r="CY229" s="72">
        <v>0.37</v>
      </c>
      <c r="CZ229" s="70"/>
      <c r="DA229" s="70"/>
      <c r="DB229" s="69"/>
      <c r="DC229" s="111">
        <f>VLOOKUP($H229,RoR!$E:$F,2,FALSE)</f>
        <v>7.0416666666666669E-2</v>
      </c>
      <c r="DD229" s="216">
        <f>HLOOKUP($H229,'GDP-PI'!$D$8:$CQ$11,3,FALSE)</f>
        <v>1.4335631817396832E-2</v>
      </c>
      <c r="DE229" s="111">
        <f>VLOOKUP(H229,'HW Dx Data'!$E:$F,2,FALSE)</f>
        <v>335.32499146683239</v>
      </c>
      <c r="DF229" s="66"/>
      <c r="DG229" s="69"/>
      <c r="DH229" s="66">
        <f>HLOOKUP(H229,'GDP-PI'!$8:$9,2,FALSE)</f>
        <v>76.346000000000004</v>
      </c>
      <c r="DI229"/>
      <c r="EB229"/>
    </row>
    <row r="230" spans="1:132" s="160" customFormat="1" ht="21">
      <c r="A230" s="160" t="s">
        <v>173</v>
      </c>
      <c r="B230" s="161" t="s">
        <v>173</v>
      </c>
      <c r="C230" s="161">
        <v>4057076</v>
      </c>
      <c r="D230" s="161" t="s">
        <v>171</v>
      </c>
      <c r="E230" s="161" t="s">
        <v>3</v>
      </c>
      <c r="F230" s="161"/>
      <c r="G230" s="161" t="s">
        <v>107</v>
      </c>
      <c r="H230" s="162">
        <v>2000</v>
      </c>
      <c r="I230" s="163"/>
      <c r="J230" s="159"/>
      <c r="K230" s="159"/>
      <c r="L230" s="159"/>
      <c r="M230" s="60"/>
      <c r="N230" s="152"/>
      <c r="O230" s="60"/>
      <c r="P230" s="60"/>
      <c r="Q230" s="159"/>
      <c r="R230" s="159"/>
      <c r="S230" s="159"/>
      <c r="T230" s="159"/>
      <c r="U230" s="159"/>
      <c r="V230" s="159"/>
      <c r="W230" s="159">
        <f t="shared" si="454"/>
        <v>0</v>
      </c>
      <c r="X230" s="163"/>
      <c r="Y230" s="167">
        <v>445.83966631603175</v>
      </c>
      <c r="Z230" s="168">
        <v>4.4802336566529814E-2</v>
      </c>
      <c r="AA230" s="78"/>
      <c r="AB230" s="168"/>
      <c r="AC230" s="168"/>
      <c r="AD230" s="163">
        <f t="shared" ref="AD230:AD295" si="465">+J230+Q230+W230</f>
        <v>0</v>
      </c>
      <c r="AE230" s="168"/>
      <c r="AF230" s="163"/>
      <c r="AG230" s="163"/>
      <c r="AH230" s="163"/>
      <c r="AI230" s="163"/>
      <c r="AJ230" s="167"/>
      <c r="AK230" s="168"/>
      <c r="AL230" s="115"/>
      <c r="AM230" s="115"/>
      <c r="AN230" s="115"/>
      <c r="AO230" s="115"/>
      <c r="AP230" s="115"/>
      <c r="AQ230" s="168"/>
      <c r="AR230" s="79"/>
      <c r="AS230" s="115"/>
      <c r="AT230" s="115"/>
      <c r="AU230" s="115"/>
      <c r="AV230" s="113">
        <f>IFERROR(INDEX('Total Customers'!$F$7:$AB$91,MATCH($C230,'Total Customers'!$D$7:$D$91,0),MATCH($G230,'Total Customers'!$F$5:$AB$5,0)),"NA")</f>
        <v>63852</v>
      </c>
      <c r="AW230" s="68">
        <f t="shared" si="403"/>
        <v>1.9722758281321445E-2</v>
      </c>
      <c r="AX230" s="114"/>
      <c r="AY230" s="114"/>
      <c r="AZ230" s="116"/>
      <c r="BA230" s="116"/>
      <c r="BB230" s="166"/>
      <c r="BC230" s="166"/>
      <c r="BD230" s="166"/>
      <c r="BE230" s="166"/>
      <c r="BF230" s="166"/>
      <c r="BG230" s="166"/>
      <c r="BH230" s="166"/>
      <c r="BI230" s="113"/>
      <c r="BJ230" s="113"/>
      <c r="BK230" s="113">
        <f>INDEX('Dist. Plant Gas Additions'!$F$7:$AE$91,MATCH($C230,'Dist. Plant Gas Additions'!$D$7:$D$91,0),MATCH(Calculation!$G230,'Dist. Plant Gas Additions'!$F$5:$AE$5,0))</f>
        <v>7529</v>
      </c>
      <c r="BL230" s="113">
        <f>INDEX('Gen. Plant Additions'!$F$7:$AE$91,MATCH($C230,'Gen. Plant Additions'!$D$7:$D$91,0),MATCH(Calculation!$G230,'Gen. Plant Additions'!$F$5:$AE$5,0))</f>
        <v>0</v>
      </c>
      <c r="BM230" s="231">
        <f t="shared" si="455"/>
        <v>1</v>
      </c>
      <c r="BN230" s="61">
        <f t="shared" si="453"/>
        <v>0</v>
      </c>
      <c r="BO230" s="113">
        <f>INDEX('Dist Plant Depreciation'!$E$7:$AD$94,MATCH($C230,'Dist Plant Depreciation'!$D$7:$D$94,0),MATCH(Calculation!$G230,'Dist Plant Depreciation'!$E$5:$AD$5,0))</f>
        <v>36972</v>
      </c>
      <c r="BP230" s="113">
        <f>INDEX('Gen. Plant Depreciation'!$E$7:$AD$94,MATCH($C230,'Gen. Plant Depreciation'!$D$7:$D$94,0),MATCH(Calculation!$G230,'Gen. Plant Depreciation'!$E$5:$AD$5,0))</f>
        <v>328</v>
      </c>
      <c r="BQ230" s="113"/>
      <c r="BR230" s="113"/>
      <c r="BS230" s="113"/>
      <c r="BT230" s="113"/>
      <c r="BU230" s="113"/>
      <c r="BV230" s="113"/>
      <c r="BW230" s="113">
        <f>INDEX('Gross Dx Plant'!$E$7:$AD$91,MATCH($C230,'Gross Dx Plant'!$D$7:$D$91,0),MATCH(Calculation!$G230,'Gross Dx Plant'!$E$5:$AD$5,0))</f>
        <v>128712</v>
      </c>
      <c r="BX230" s="113">
        <f>INDEX('Gross Gen Plant'!$E$7:$AD$91,MATCH($C230,'Gross Gen Plant'!$D$7:$D$91,0),MATCH(Calculation!$G230,'Gross Gen Plant'!$E$5:$AD$5,0))</f>
        <v>0</v>
      </c>
      <c r="BY230" s="113">
        <f t="shared" si="444"/>
        <v>91412</v>
      </c>
      <c r="BZ230" s="113"/>
      <c r="CA230" s="116">
        <v>2000</v>
      </c>
      <c r="CB230" s="113"/>
      <c r="CC230" s="113"/>
      <c r="CD230" s="113"/>
      <c r="CE230" s="175"/>
      <c r="CF230" s="113">
        <f t="shared" si="456"/>
        <v>7529</v>
      </c>
      <c r="CG230" s="113">
        <f t="shared" si="457"/>
        <v>21.726601518984438</v>
      </c>
      <c r="CH230" s="178">
        <v>0.98989898989898994</v>
      </c>
      <c r="CI230" s="61">
        <f>+CI228*CH230+CG229*CH229+CG230</f>
        <v>445.83966631603175</v>
      </c>
      <c r="CJ230" s="114">
        <f t="shared" si="458"/>
        <v>4.4802336566529814E-2</v>
      </c>
      <c r="CK230" s="114"/>
      <c r="CL230" s="169">
        <f t="shared" si="459"/>
        <v>5.1437019405484721E-3</v>
      </c>
      <c r="CM230" s="169"/>
      <c r="CN230" s="114">
        <f>VLOOKUP($H230,RoR!$E:$F,2,FALSE)</f>
        <v>7.6225000000000001E-2</v>
      </c>
      <c r="CO230" s="169">
        <v>2.2568307442433211E-2</v>
      </c>
      <c r="CP230" s="169">
        <f t="shared" ref="CP230:CP250" si="466">+CN230-CO230</f>
        <v>5.365669255756679E-2</v>
      </c>
      <c r="CQ230" s="169"/>
      <c r="CR230" s="169"/>
      <c r="CS230" s="179">
        <f t="shared" si="460"/>
        <v>0.85329623209999994</v>
      </c>
      <c r="CT230" s="180">
        <f t="shared" si="461"/>
        <v>0.67277207323124022</v>
      </c>
      <c r="CU230" s="180">
        <f t="shared" si="462"/>
        <v>0.6470236142997704</v>
      </c>
      <c r="CV230" s="180">
        <f t="shared" si="463"/>
        <v>0.94704866037543145</v>
      </c>
      <c r="CW230" s="180">
        <f t="shared" si="464"/>
        <v>0.41224973107878493</v>
      </c>
      <c r="CX230" s="181">
        <f>INDEX('State Tax Lookup'!$D$7:$Z$91,MATCH(Calculation!$C230,'State Tax Lookup'!$B$7:$B$91,0),MATCH($H230,'State Tax Lookup'!$D$6:$Z$6,0))</f>
        <v>0.39649667</v>
      </c>
      <c r="CY230" s="72">
        <v>0.37</v>
      </c>
      <c r="CZ230" s="70"/>
      <c r="DA230" s="70"/>
      <c r="DB230" s="69"/>
      <c r="DC230" s="111">
        <f>VLOOKUP($H230,RoR!$E:$F,2,FALSE)</f>
        <v>7.6225000000000001E-2</v>
      </c>
      <c r="DD230" s="216">
        <f>HLOOKUP($H230,'GDP-PI'!$D$8:$CQ$11,3,FALSE)</f>
        <v>2.2568307442433211E-2</v>
      </c>
      <c r="DE230" s="111">
        <f>VLOOKUP(H230,'HW Dx Data'!$E:$F,2,FALSE)</f>
        <v>346.53371782150339</v>
      </c>
      <c r="DF230" s="66"/>
      <c r="DG230" s="69"/>
      <c r="DH230" s="66">
        <f>HLOOKUP(H230,'GDP-PI'!$8:$9,2,FALSE)</f>
        <v>78.069000000000003</v>
      </c>
      <c r="DI230"/>
      <c r="EB230"/>
    </row>
    <row r="231" spans="1:132" s="160" customFormat="1" ht="21">
      <c r="A231" s="160" t="s">
        <v>173</v>
      </c>
      <c r="B231" s="161" t="s">
        <v>173</v>
      </c>
      <c r="C231" s="161">
        <v>4057076</v>
      </c>
      <c r="D231" s="161" t="s">
        <v>171</v>
      </c>
      <c r="E231" s="161" t="s">
        <v>3</v>
      </c>
      <c r="F231" s="161"/>
      <c r="G231" s="161" t="s">
        <v>111</v>
      </c>
      <c r="H231" s="162">
        <v>2001</v>
      </c>
      <c r="I231" s="163"/>
      <c r="J231" s="159"/>
      <c r="K231" s="159"/>
      <c r="L231" s="159"/>
      <c r="M231" s="60"/>
      <c r="N231" s="152"/>
      <c r="O231" s="60"/>
      <c r="P231" s="60"/>
      <c r="Q231" s="159"/>
      <c r="R231" s="159"/>
      <c r="S231" s="159"/>
      <c r="T231" s="159"/>
      <c r="U231" s="159"/>
      <c r="V231" s="159"/>
      <c r="W231" s="159">
        <f t="shared" si="454"/>
        <v>5741.9769242035009</v>
      </c>
      <c r="X231" s="163"/>
      <c r="Y231" s="167">
        <v>463.44662168792689</v>
      </c>
      <c r="Z231" s="168">
        <v>3.8731819987564017E-2</v>
      </c>
      <c r="AA231" s="78"/>
      <c r="AB231" s="168"/>
      <c r="AC231" s="168"/>
      <c r="AD231" s="163">
        <f t="shared" si="465"/>
        <v>5741.9769242035009</v>
      </c>
      <c r="AE231" s="168"/>
      <c r="AF231" s="163"/>
      <c r="AG231" s="163"/>
      <c r="AH231" s="163"/>
      <c r="AI231" s="163"/>
      <c r="AJ231" s="167"/>
      <c r="AK231" s="168"/>
      <c r="AL231" s="115"/>
      <c r="AM231" s="115"/>
      <c r="AN231" s="115"/>
      <c r="AO231" s="115"/>
      <c r="AP231" s="115"/>
      <c r="AQ231" s="168"/>
      <c r="AR231" s="79"/>
      <c r="AS231" s="115"/>
      <c r="AT231" s="115"/>
      <c r="AU231" s="115"/>
      <c r="AV231" s="113">
        <f>IFERROR(INDEX('Total Customers'!$F$7:$AB$91,MATCH($C231,'Total Customers'!$D$7:$D$91,0),MATCH($G231,'Total Customers'!$F$5:$AB$5,0)),"NA")</f>
        <v>65784</v>
      </c>
      <c r="AW231" s="68">
        <f t="shared" si="403"/>
        <v>2.98087422663618E-2</v>
      </c>
      <c r="AX231" s="114"/>
      <c r="AY231" s="114"/>
      <c r="AZ231" s="116"/>
      <c r="BA231" s="116"/>
      <c r="BB231" s="166"/>
      <c r="BC231" s="166"/>
      <c r="BD231" s="166"/>
      <c r="BE231" s="166"/>
      <c r="BF231" s="166"/>
      <c r="BG231" s="166"/>
      <c r="BH231" s="166"/>
      <c r="BI231" s="113"/>
      <c r="BJ231" s="113"/>
      <c r="BK231" s="113">
        <f>INDEX('Dist. Plant Gas Additions'!$F$7:$AE$91,MATCH($C231,'Dist. Plant Gas Additions'!$D$7:$D$91,0),MATCH(Calculation!$G231,'Dist. Plant Gas Additions'!$F$5:$AE$5,0))</f>
        <v>7022</v>
      </c>
      <c r="BL231" s="113">
        <f>INDEX('Gen. Plant Additions'!$F$7:$AE$91,MATCH($C231,'Gen. Plant Additions'!$D$7:$D$91,0),MATCH(Calculation!$G231,'Gen. Plant Additions'!$F$5:$AE$5,0))</f>
        <v>0</v>
      </c>
      <c r="BM231" s="231">
        <f t="shared" si="455"/>
        <v>1</v>
      </c>
      <c r="BN231" s="61">
        <f t="shared" si="453"/>
        <v>0</v>
      </c>
      <c r="BO231" s="113">
        <f>INDEX('Dist Plant Depreciation'!$E$7:$AD$94,MATCH($C231,'Dist Plant Depreciation'!$D$7:$D$94,0),MATCH(Calculation!$G231,'Dist Plant Depreciation'!$E$5:$AD$5,0))</f>
        <v>39224</v>
      </c>
      <c r="BP231" s="113">
        <f>INDEX('Gen. Plant Depreciation'!$E$7:$AD$94,MATCH($C231,'Gen. Plant Depreciation'!$D$7:$D$94,0),MATCH(Calculation!$G231,'Gen. Plant Depreciation'!$E$5:$AD$5,0))</f>
        <v>0</v>
      </c>
      <c r="BQ231" s="113"/>
      <c r="BR231" s="113"/>
      <c r="BS231" s="113"/>
      <c r="BT231" s="113"/>
      <c r="BU231" s="113"/>
      <c r="BV231" s="113"/>
      <c r="BW231" s="113">
        <f>INDEX('Gross Dx Plant'!$E$7:$AD$91,MATCH($C231,'Gross Dx Plant'!$D$7:$D$91,0),MATCH(Calculation!$G231,'Gross Dx Plant'!$E$5:$AD$5,0))</f>
        <v>135245</v>
      </c>
      <c r="BX231" s="113">
        <f>INDEX('Gross Gen Plant'!$E$7:$AD$91,MATCH($C231,'Gross Gen Plant'!$D$7:$D$91,0),MATCH(Calculation!$G231,'Gross Gen Plant'!$E$5:$AD$5,0))</f>
        <v>0</v>
      </c>
      <c r="BY231" s="113">
        <f t="shared" si="444"/>
        <v>96021</v>
      </c>
      <c r="BZ231" s="113"/>
      <c r="CA231" s="116">
        <v>2001</v>
      </c>
      <c r="CB231" s="113"/>
      <c r="CC231" s="113"/>
      <c r="CD231" s="113"/>
      <c r="CE231" s="175"/>
      <c r="CF231" s="113">
        <f t="shared" si="456"/>
        <v>7022</v>
      </c>
      <c r="CG231" s="113">
        <f t="shared" si="457"/>
        <v>19.867172297405613</v>
      </c>
      <c r="CH231" s="178">
        <v>0.98461538461538467</v>
      </c>
      <c r="CI231" s="61">
        <f>+CI228*CH231+CG229*CH230+CG230*CH228+CG231</f>
        <v>463.44662168792689</v>
      </c>
      <c r="CJ231" s="114">
        <f t="shared" si="458"/>
        <v>3.8731819987564017E-2</v>
      </c>
      <c r="CK231" s="114"/>
      <c r="CL231" s="169">
        <f t="shared" si="459"/>
        <v>5.069573428014203E-3</v>
      </c>
      <c r="CM231" s="169">
        <f>+(CL231+CL230+CL229)/3</f>
        <v>5.0627999155573771E-3</v>
      </c>
      <c r="CN231" s="114">
        <f>VLOOKUP($H231,RoR!$E:$F,2,FALSE)</f>
        <v>7.0824999999999999E-2</v>
      </c>
      <c r="CO231" s="169">
        <v>2.2454495382290052E-2</v>
      </c>
      <c r="CP231" s="169">
        <f t="shared" si="466"/>
        <v>4.8370504617709947E-2</v>
      </c>
      <c r="CQ231" s="169">
        <f>+$CP$2-CM231</f>
        <v>2.5839141692976249E-2</v>
      </c>
      <c r="CR231" s="169">
        <f>+((DE229/DE228-1)+(DE230/DE229-1)+(DE231/DE230-1))/3</f>
        <v>2.3947275901631187E-2</v>
      </c>
      <c r="CS231" s="179">
        <f t="shared" si="460"/>
        <v>0.85329623209999994</v>
      </c>
      <c r="CT231" s="180">
        <f t="shared" si="461"/>
        <v>0.72406708481540816</v>
      </c>
      <c r="CU231" s="180">
        <f t="shared" si="462"/>
        <v>0.62201729615248857</v>
      </c>
      <c r="CV231" s="180">
        <f t="shared" si="463"/>
        <v>0.9352469954311422</v>
      </c>
      <c r="CW231" s="180">
        <f t="shared" si="464"/>
        <v>0.42121864641655071</v>
      </c>
      <c r="CX231" s="181">
        <f>INDEX('State Tax Lookup'!$D$7:$Z$91,MATCH(Calculation!$C231,'State Tax Lookup'!$B$7:$B$91,0),MATCH($H231,'State Tax Lookup'!$D$6:$Z$6,0))</f>
        <v>0.39649667</v>
      </c>
      <c r="CY231" s="72">
        <v>0.37</v>
      </c>
      <c r="CZ231" s="70">
        <f t="shared" ref="CZ231:CZ252" si="467">+(DE231*CQ231-CR231)*CS231/(1-CX231)</f>
        <v>12.879017633512497</v>
      </c>
      <c r="DA231" s="70"/>
      <c r="DB231" s="69"/>
      <c r="DC231" s="111">
        <f>VLOOKUP($H231,RoR!$E:$F,2,FALSE)</f>
        <v>7.0824999999999999E-2</v>
      </c>
      <c r="DD231" s="216">
        <f>HLOOKUP($H231,'GDP-PI'!$D$8:$CQ$11,3,FALSE)</f>
        <v>2.2454495382290052E-2</v>
      </c>
      <c r="DE231" s="111">
        <f>VLOOKUP(H231,'HW Dx Data'!$E:$F,2,FALSE)</f>
        <v>353.44738017483138</v>
      </c>
      <c r="DF231" s="66"/>
      <c r="DG231" s="69"/>
      <c r="DH231" s="66">
        <f>HLOOKUP(H231,'GDP-PI'!$8:$9,2,FALSE)</f>
        <v>79.822000000000003</v>
      </c>
      <c r="DI231"/>
      <c r="EB231"/>
    </row>
    <row r="232" spans="1:132" s="160" customFormat="1" ht="21">
      <c r="A232" s="160" t="s">
        <v>173</v>
      </c>
      <c r="B232" s="161" t="s">
        <v>173</v>
      </c>
      <c r="C232" s="161">
        <v>4057076</v>
      </c>
      <c r="D232" s="161" t="s">
        <v>171</v>
      </c>
      <c r="E232" s="161" t="s">
        <v>3</v>
      </c>
      <c r="F232" s="161"/>
      <c r="G232" s="161" t="s">
        <v>113</v>
      </c>
      <c r="H232" s="162">
        <v>2002</v>
      </c>
      <c r="I232" s="163"/>
      <c r="J232" s="159"/>
      <c r="K232" s="159"/>
      <c r="L232" s="159"/>
      <c r="M232" s="60"/>
      <c r="N232" s="152"/>
      <c r="O232" s="60"/>
      <c r="P232" s="60"/>
      <c r="Q232" s="159"/>
      <c r="R232" s="159"/>
      <c r="S232" s="159"/>
      <c r="T232" s="159"/>
      <c r="U232" s="159"/>
      <c r="V232" s="159"/>
      <c r="W232" s="159">
        <f t="shared" si="454"/>
        <v>6043.1783292288083</v>
      </c>
      <c r="X232" s="163"/>
      <c r="Y232" s="167">
        <v>485.31957336675146</v>
      </c>
      <c r="Z232" s="168">
        <v>4.611637329737818E-2</v>
      </c>
      <c r="AA232" s="78"/>
      <c r="AB232" s="168"/>
      <c r="AC232" s="168"/>
      <c r="AD232" s="163">
        <f t="shared" si="465"/>
        <v>6043.1783292288083</v>
      </c>
      <c r="AE232" s="168"/>
      <c r="AF232" s="163"/>
      <c r="AG232" s="163"/>
      <c r="AH232" s="163"/>
      <c r="AI232" s="163"/>
      <c r="AJ232" s="167"/>
      <c r="AK232" s="168"/>
      <c r="AL232" s="115"/>
      <c r="AM232" s="115"/>
      <c r="AN232" s="115"/>
      <c r="AO232" s="115"/>
      <c r="AP232" s="115"/>
      <c r="AQ232" s="168"/>
      <c r="AR232" s="79"/>
      <c r="AS232" s="115"/>
      <c r="AT232" s="115"/>
      <c r="AU232" s="115"/>
      <c r="AV232" s="113">
        <f>IFERROR(INDEX('Total Customers'!$F$7:$AB$91,MATCH($C232,'Total Customers'!$D$7:$D$91,0),MATCH($G232,'Total Customers'!$F$5:$AB$5,0)),"NA")</f>
        <v>66757</v>
      </c>
      <c r="AW232" s="68">
        <f t="shared" si="403"/>
        <v>1.4682513027262025E-2</v>
      </c>
      <c r="AX232" s="114"/>
      <c r="AY232" s="114"/>
      <c r="AZ232" s="116"/>
      <c r="BA232" s="116"/>
      <c r="BB232" s="166"/>
      <c r="BC232" s="166"/>
      <c r="BD232" s="166"/>
      <c r="BE232" s="166"/>
      <c r="BF232" s="166"/>
      <c r="BG232" s="166"/>
      <c r="BH232" s="166"/>
      <c r="BI232" s="113"/>
      <c r="BJ232" s="113"/>
      <c r="BK232" s="113">
        <f>INDEX('Dist. Plant Gas Additions'!$F$7:$AE$91,MATCH($C232,'Dist. Plant Gas Additions'!$D$7:$D$91,0),MATCH(Calculation!$G232,'Dist. Plant Gas Additions'!$F$5:$AE$5,0))</f>
        <v>8861</v>
      </c>
      <c r="BL232" s="113">
        <f>INDEX('Gen. Plant Additions'!$F$7:$AE$91,MATCH($C232,'Gen. Plant Additions'!$D$7:$D$91,0),MATCH(Calculation!$G232,'Gen. Plant Additions'!$F$5:$AE$5,0))</f>
        <v>0</v>
      </c>
      <c r="BM232" s="231">
        <f t="shared" si="455"/>
        <v>1</v>
      </c>
      <c r="BN232" s="61">
        <f t="shared" si="453"/>
        <v>0</v>
      </c>
      <c r="BO232" s="113">
        <f>INDEX('Dist Plant Depreciation'!$E$7:$AD$94,MATCH($C232,'Dist Plant Depreciation'!$D$7:$D$94,0),MATCH(Calculation!$G232,'Dist Plant Depreciation'!$E$5:$AD$5,0))</f>
        <v>41719</v>
      </c>
      <c r="BP232" s="113">
        <f>INDEX('Gen. Plant Depreciation'!$E$7:$AD$94,MATCH($C232,'Gen. Plant Depreciation'!$D$7:$D$94,0),MATCH(Calculation!$G232,'Gen. Plant Depreciation'!$E$5:$AD$5,0))</f>
        <v>0</v>
      </c>
      <c r="BQ232" s="113"/>
      <c r="BR232" s="113"/>
      <c r="BS232" s="113"/>
      <c r="BT232" s="113"/>
      <c r="BU232" s="113"/>
      <c r="BV232" s="113"/>
      <c r="BW232" s="113">
        <f>INDEX('Gross Dx Plant'!$E$7:$AD$91,MATCH($C232,'Gross Dx Plant'!$D$7:$D$91,0),MATCH(Calculation!$G232,'Gross Dx Plant'!$E$5:$AD$5,0))</f>
        <v>143692</v>
      </c>
      <c r="BX232" s="113">
        <f>INDEX('Gross Gen Plant'!$E$7:$AD$91,MATCH($C232,'Gross Gen Plant'!$D$7:$D$91,0),MATCH(Calculation!$G232,'Gross Gen Plant'!$E$5:$AD$5,0))</f>
        <v>0</v>
      </c>
      <c r="BY232" s="113">
        <f t="shared" si="444"/>
        <v>101973</v>
      </c>
      <c r="BZ232" s="113"/>
      <c r="CA232" s="116">
        <v>2002</v>
      </c>
      <c r="CB232" s="113"/>
      <c r="CC232" s="113"/>
      <c r="CD232" s="113"/>
      <c r="CE232" s="175"/>
      <c r="CF232" s="113">
        <f t="shared" si="456"/>
        <v>8861</v>
      </c>
      <c r="CG232" s="113">
        <f t="shared" si="457"/>
        <v>24.522056122790815</v>
      </c>
      <c r="CH232" s="178">
        <v>0.97916666666666663</v>
      </c>
      <c r="CI232" s="61">
        <f>+CI228*CH232+CG229*CH231+CG230*CH230+CG231*CH229+CG232</f>
        <v>485.31957336675146</v>
      </c>
      <c r="CJ232" s="114">
        <f t="shared" si="458"/>
        <v>4.611637329737818E-2</v>
      </c>
      <c r="CK232" s="114"/>
      <c r="CL232" s="169">
        <f t="shared" si="459"/>
        <v>5.7160939793193507E-3</v>
      </c>
      <c r="CM232" s="169">
        <f t="shared" ref="CM232:CM252" si="468">+(CL232+CL231+CL230)/3</f>
        <v>5.3097897826273428E-3</v>
      </c>
      <c r="CN232" s="114">
        <f>VLOOKUP($H232,RoR!$E:$F,2,FALSE)</f>
        <v>6.4916666666666664E-2</v>
      </c>
      <c r="CO232" s="169">
        <v>1.5246423291824351E-2</v>
      </c>
      <c r="CP232" s="169">
        <f t="shared" si="466"/>
        <v>4.9670243374842313E-2</v>
      </c>
      <c r="CQ232" s="169">
        <f t="shared" ref="CQ232:CQ252" si="469">+$CP$2-CM232</f>
        <v>2.5592151825906281E-2</v>
      </c>
      <c r="CR232" s="169">
        <f t="shared" ref="CR232:CR252" si="470">+((DE230/DE229-1)+(DE231/DE230-1)+(DE232/DE231-1))/3</f>
        <v>2.5243621214759093E-2</v>
      </c>
      <c r="CS232" s="179">
        <f t="shared" si="460"/>
        <v>0.85329623209999994</v>
      </c>
      <c r="CT232" s="180">
        <f t="shared" si="461"/>
        <v>0.78996741384417901</v>
      </c>
      <c r="CU232" s="180">
        <f t="shared" si="462"/>
        <v>0.58989088575096271</v>
      </c>
      <c r="CV232" s="180">
        <f t="shared" si="463"/>
        <v>0.91920675783645744</v>
      </c>
      <c r="CW232" s="180">
        <f t="shared" si="464"/>
        <v>0.42834536472275586</v>
      </c>
      <c r="CX232" s="181">
        <f>INDEX('State Tax Lookup'!$D$7:$Z$91,MATCH(Calculation!$C232,'State Tax Lookup'!$B$7:$B$91,0),MATCH($H232,'State Tax Lookup'!$D$6:$Z$6,0))</f>
        <v>0.39649667</v>
      </c>
      <c r="CY232" s="72">
        <v>0.37</v>
      </c>
      <c r="CZ232" s="70">
        <f t="shared" si="467"/>
        <v>13.03964263935908</v>
      </c>
      <c r="DA232" s="70"/>
      <c r="DB232" s="69">
        <f>LN(CZ232/CZ231)</f>
        <v>1.2394704088431296E-2</v>
      </c>
      <c r="DC232" s="111">
        <f>VLOOKUP($H232,RoR!$E:$F,2,FALSE)</f>
        <v>6.4916666666666664E-2</v>
      </c>
      <c r="DD232" s="216">
        <f>HLOOKUP($H232,'GDP-PI'!$D$8:$CQ$11,3,FALSE)</f>
        <v>1.5246423291824351E-2</v>
      </c>
      <c r="DE232" s="111">
        <f>VLOOKUP(H232,'HW Dx Data'!$E:$F,2,FALSE)</f>
        <v>361.34816573413599</v>
      </c>
      <c r="DF232" s="66"/>
      <c r="DG232" s="69"/>
      <c r="DH232" s="66">
        <f>HLOOKUP(H232,'GDP-PI'!$8:$9,2,FALSE)</f>
        <v>81.039000000000001</v>
      </c>
      <c r="DI232" s="69">
        <f>LN(DH232/DH231)</f>
        <v>1.513136459537477E-2</v>
      </c>
      <c r="EB232"/>
    </row>
    <row r="233" spans="1:132" s="160" customFormat="1" ht="21">
      <c r="A233" s="160" t="s">
        <v>173</v>
      </c>
      <c r="B233" s="161" t="s">
        <v>173</v>
      </c>
      <c r="C233" s="161">
        <v>4057076</v>
      </c>
      <c r="D233" s="161" t="s">
        <v>171</v>
      </c>
      <c r="E233" s="161" t="s">
        <v>3</v>
      </c>
      <c r="F233" s="161"/>
      <c r="G233" s="161" t="s">
        <v>114</v>
      </c>
      <c r="H233" s="162">
        <v>2003</v>
      </c>
      <c r="I233" s="163"/>
      <c r="J233" s="159"/>
      <c r="K233" s="159"/>
      <c r="L233" s="165"/>
      <c r="M233" s="76"/>
      <c r="N233" s="152"/>
      <c r="O233" s="76"/>
      <c r="P233" s="76"/>
      <c r="Q233" s="159"/>
      <c r="R233" s="159"/>
      <c r="S233" s="159"/>
      <c r="T233" s="159"/>
      <c r="U233" s="159"/>
      <c r="V233" s="159"/>
      <c r="W233" s="159">
        <f t="shared" si="454"/>
        <v>6426.526185390685</v>
      </c>
      <c r="X233" s="163"/>
      <c r="Y233" s="167">
        <v>509.82998791315896</v>
      </c>
      <c r="Z233" s="168">
        <v>4.9269725002430355E-2</v>
      </c>
      <c r="AA233" s="78"/>
      <c r="AB233" s="168"/>
      <c r="AC233" s="168"/>
      <c r="AD233" s="163">
        <f t="shared" si="465"/>
        <v>6426.526185390685</v>
      </c>
      <c r="AE233" s="168"/>
      <c r="AF233" s="163"/>
      <c r="AG233" s="163"/>
      <c r="AH233" s="163"/>
      <c r="AI233" s="163"/>
      <c r="AJ233" s="167"/>
      <c r="AK233" s="168"/>
      <c r="AL233" s="115"/>
      <c r="AM233" s="115"/>
      <c r="AN233" s="115"/>
      <c r="AO233" s="115"/>
      <c r="AP233" s="115"/>
      <c r="AQ233" s="168"/>
      <c r="AR233" s="79"/>
      <c r="AS233" s="115"/>
      <c r="AT233" s="115"/>
      <c r="AU233" s="115"/>
      <c r="AV233" s="113">
        <f>IFERROR(INDEX('Total Customers'!$F$7:$AB$91,MATCH($C233,'Total Customers'!$D$7:$D$91,0),MATCH($G233,'Total Customers'!$F$5:$AB$5,0)),"NA")</f>
        <v>67914</v>
      </c>
      <c r="AW233" s="68">
        <f t="shared" si="403"/>
        <v>1.7183038182481632E-2</v>
      </c>
      <c r="AX233" s="114"/>
      <c r="AY233" s="114"/>
      <c r="AZ233" s="116"/>
      <c r="BA233" s="116"/>
      <c r="BB233" s="166"/>
      <c r="BC233" s="166"/>
      <c r="BD233" s="166"/>
      <c r="BE233" s="166"/>
      <c r="BF233" s="166"/>
      <c r="BG233" s="166"/>
      <c r="BH233" s="166"/>
      <c r="BI233" s="113"/>
      <c r="BJ233" s="113"/>
      <c r="BK233" s="113">
        <f>INDEX('Dist. Plant Gas Additions'!$F$7:$AE$91,MATCH($C233,'Dist. Plant Gas Additions'!$D$7:$D$91,0),MATCH(Calculation!$G233,'Dist. Plant Gas Additions'!$F$5:$AE$5,0))</f>
        <v>10063</v>
      </c>
      <c r="BL233" s="113">
        <f>INDEX('Gen. Plant Additions'!$F$7:$AE$91,MATCH($C233,'Gen. Plant Additions'!$D$7:$D$91,0),MATCH(Calculation!$G233,'Gen. Plant Additions'!$F$5:$AE$5,0))</f>
        <v>0</v>
      </c>
      <c r="BM233" s="231">
        <f t="shared" si="455"/>
        <v>1</v>
      </c>
      <c r="BN233" s="61">
        <f t="shared" si="453"/>
        <v>0</v>
      </c>
      <c r="BO233" s="113">
        <f>INDEX('Dist Plant Depreciation'!$E$7:$AD$94,MATCH($C233,'Dist Plant Depreciation'!$D$7:$D$94,0),MATCH(Calculation!$G233,'Dist Plant Depreciation'!$E$5:$AD$5,0))</f>
        <v>44335</v>
      </c>
      <c r="BP233" s="113">
        <f>INDEX('Gen. Plant Depreciation'!$E$7:$AD$94,MATCH($C233,'Gen. Plant Depreciation'!$D$7:$D$94,0),MATCH(Calculation!$G233,'Gen. Plant Depreciation'!$E$5:$AD$5,0))</f>
        <v>0</v>
      </c>
      <c r="BQ233" s="113"/>
      <c r="BR233" s="113"/>
      <c r="BS233" s="113"/>
      <c r="BT233" s="113"/>
      <c r="BU233" s="113"/>
      <c r="BV233" s="113"/>
      <c r="BW233" s="113">
        <f>INDEX('Gross Dx Plant'!$E$7:$AD$91,MATCH($C233,'Gross Dx Plant'!$D$7:$D$91,0),MATCH(Calculation!$G233,'Gross Dx Plant'!$E$5:$AD$5,0))</f>
        <v>153214</v>
      </c>
      <c r="BX233" s="113">
        <f>INDEX('Gross Gen Plant'!$E$7:$AD$91,MATCH($C233,'Gross Gen Plant'!$D$7:$D$91,0),MATCH(Calculation!$G233,'Gross Gen Plant'!$E$5:$AD$5,0))</f>
        <v>0</v>
      </c>
      <c r="BY233" s="113">
        <f t="shared" si="444"/>
        <v>108879</v>
      </c>
      <c r="BZ233" s="113"/>
      <c r="CA233" s="116">
        <v>2003</v>
      </c>
      <c r="CB233" s="113"/>
      <c r="CC233" s="113"/>
      <c r="CD233" s="113"/>
      <c r="CE233" s="175"/>
      <c r="CF233" s="113">
        <f t="shared" si="456"/>
        <v>10063</v>
      </c>
      <c r="CG233" s="113">
        <f t="shared" si="457"/>
        <v>27.253792866342646</v>
      </c>
      <c r="CH233" s="178">
        <v>0.97354497354497349</v>
      </c>
      <c r="CI233" s="61">
        <f>+CI228*CH233+CG229*CH232+CG230*CH231+CG231*CH230+CG232*CH229+CG233</f>
        <v>509.82998791315896</v>
      </c>
      <c r="CJ233" s="114">
        <f t="shared" si="458"/>
        <v>4.9269725002430355E-2</v>
      </c>
      <c r="CK233" s="114"/>
      <c r="CL233" s="169">
        <f t="shared" si="459"/>
        <v>5.6527254833424944E-3</v>
      </c>
      <c r="CM233" s="169">
        <f t="shared" si="468"/>
        <v>5.4794642968920169E-3</v>
      </c>
      <c r="CN233" s="114">
        <f>VLOOKUP($H233,RoR!$E:$F,2,FALSE)</f>
        <v>5.6666666666666671E-2</v>
      </c>
      <c r="CO233" s="169">
        <v>1.8855119140166909E-2</v>
      </c>
      <c r="CP233" s="169">
        <f t="shared" si="466"/>
        <v>3.7811547526499761E-2</v>
      </c>
      <c r="CQ233" s="169">
        <f t="shared" si="469"/>
        <v>2.5422477311641607E-2</v>
      </c>
      <c r="CR233" s="169">
        <f t="shared" si="470"/>
        <v>2.1375012817671957E-2</v>
      </c>
      <c r="CS233" s="179">
        <f t="shared" si="460"/>
        <v>0.85329623209999994</v>
      </c>
      <c r="CT233" s="180">
        <f t="shared" si="461"/>
        <v>0.90497737556561086</v>
      </c>
      <c r="CU233" s="180">
        <f t="shared" si="462"/>
        <v>0.5338235294117647</v>
      </c>
      <c r="CV233" s="180">
        <f t="shared" si="463"/>
        <v>0.88972433127405692</v>
      </c>
      <c r="CW233" s="180">
        <f t="shared" si="464"/>
        <v>0.42982423775949252</v>
      </c>
      <c r="CX233" s="181">
        <f>INDEX('State Tax Lookup'!$D$7:$Z$91,MATCH(Calculation!$C233,'State Tax Lookup'!$B$7:$B$91,0),MATCH($H233,'State Tax Lookup'!$D$6:$Z$6,0))</f>
        <v>0.39649667</v>
      </c>
      <c r="CY233" s="72">
        <v>0.37</v>
      </c>
      <c r="CZ233" s="70">
        <f t="shared" si="467"/>
        <v>13.241844215778661</v>
      </c>
      <c r="DA233" s="70"/>
      <c r="DB233" s="69">
        <f t="shared" ref="DB233:DB252" si="471">LN(CZ233/CZ232)</f>
        <v>1.5387680864835466E-2</v>
      </c>
      <c r="DC233" s="111">
        <f>VLOOKUP($H233,RoR!$E:$F,2,FALSE)</f>
        <v>5.6666666666666671E-2</v>
      </c>
      <c r="DD233" s="216">
        <f>HLOOKUP($H233,'GDP-PI'!$D$8:$CQ$11,3,FALSE)</f>
        <v>1.8855119140166909E-2</v>
      </c>
      <c r="DE233" s="111">
        <f>VLOOKUP(H233,'HW Dx Data'!$E:$F,2,FALSE)</f>
        <v>369.23301095560191</v>
      </c>
      <c r="DF233" s="66"/>
      <c r="DG233" s="69"/>
      <c r="DH233" s="66">
        <f>HLOOKUP(H233,'GDP-PI'!$8:$9,2,FALSE)</f>
        <v>82.566999999999993</v>
      </c>
      <c r="DI233" s="69">
        <f t="shared" ref="DI233:DI252" si="472">LN(DH233/DH232)</f>
        <v>1.8679564681853753E-2</v>
      </c>
      <c r="EB233"/>
    </row>
    <row r="234" spans="1:132" s="160" customFormat="1" ht="21">
      <c r="A234" s="160" t="s">
        <v>173</v>
      </c>
      <c r="B234" s="161" t="s">
        <v>173</v>
      </c>
      <c r="C234" s="161">
        <v>4057076</v>
      </c>
      <c r="D234" s="161" t="s">
        <v>171</v>
      </c>
      <c r="E234" s="161" t="s">
        <v>3</v>
      </c>
      <c r="F234" s="161"/>
      <c r="G234" s="161" t="s">
        <v>115</v>
      </c>
      <c r="H234" s="162">
        <v>2004</v>
      </c>
      <c r="I234" s="163"/>
      <c r="J234" s="159"/>
      <c r="K234" s="159">
        <f t="shared" ref="K234:K252" si="473">+J234/DF234</f>
        <v>0</v>
      </c>
      <c r="L234" s="165"/>
      <c r="M234" s="76"/>
      <c r="N234" s="152"/>
      <c r="O234" s="76"/>
      <c r="P234" s="76"/>
      <c r="Q234" s="159"/>
      <c r="R234" s="159">
        <f t="shared" ref="R234:R252" si="474">+Q234/DH234</f>
        <v>0</v>
      </c>
      <c r="S234" s="159"/>
      <c r="T234" s="159"/>
      <c r="U234" s="159"/>
      <c r="V234" s="159"/>
      <c r="W234" s="159">
        <f t="shared" si="454"/>
        <v>7488.0721910543634</v>
      </c>
      <c r="X234" s="163"/>
      <c r="Y234" s="167">
        <v>544.79628392057282</v>
      </c>
      <c r="Z234" s="168">
        <v>6.6334620705016709E-2</v>
      </c>
      <c r="AA234" s="76">
        <f t="shared" ref="AA234:AA252" si="475">+Z234*$AR234</f>
        <v>0</v>
      </c>
      <c r="AB234" s="168"/>
      <c r="AC234" s="168"/>
      <c r="AD234" s="163">
        <f t="shared" si="465"/>
        <v>7488.0721910543634</v>
      </c>
      <c r="AE234" s="168"/>
      <c r="AF234" s="163"/>
      <c r="AG234" s="163"/>
      <c r="AH234" s="163"/>
      <c r="AI234" s="163"/>
      <c r="AJ234" s="167"/>
      <c r="AK234" s="168"/>
      <c r="AL234" s="115">
        <f t="shared" ref="AL234:AL252" si="476">+J234/AD234</f>
        <v>0</v>
      </c>
      <c r="AM234" s="115">
        <f t="shared" ref="AM234:AM252" si="477">+Q234/AD234</f>
        <v>0</v>
      </c>
      <c r="AN234" s="115">
        <f t="shared" ref="AN234:AN252" si="478">+W234/AD234</f>
        <v>1</v>
      </c>
      <c r="AO234" s="115"/>
      <c r="AP234" s="115"/>
      <c r="AQ234" s="168"/>
      <c r="AR234" s="79"/>
      <c r="AS234" s="115"/>
      <c r="AT234" s="115"/>
      <c r="AU234" s="115"/>
      <c r="AV234" s="113">
        <f>IFERROR(INDEX('Total Customers'!$F$7:$AB$91,MATCH($C234,'Total Customers'!$D$7:$D$91,0),MATCH($G234,'Total Customers'!$F$5:$AB$5,0)),"NA")</f>
        <v>69081</v>
      </c>
      <c r="AW234" s="68">
        <f t="shared" si="403"/>
        <v>1.703753026525387E-2</v>
      </c>
      <c r="AX234" s="114"/>
      <c r="AY234" s="114"/>
      <c r="AZ234" s="116"/>
      <c r="BA234" s="116"/>
      <c r="BB234" s="166"/>
      <c r="BC234" s="166"/>
      <c r="BD234" s="166"/>
      <c r="BE234" s="166"/>
      <c r="BF234" s="166"/>
      <c r="BG234" s="166"/>
      <c r="BH234" s="166"/>
      <c r="BI234" s="113"/>
      <c r="BJ234" s="113"/>
      <c r="BK234" s="113">
        <f>INDEX('Dist. Plant Gas Additions'!$F$7:$AE$91,MATCH($C234,'Dist. Plant Gas Additions'!$D$7:$D$91,0),MATCH(Calculation!$G234,'Dist. Plant Gas Additions'!$F$5:$AE$5,0))</f>
        <v>15738</v>
      </c>
      <c r="BL234" s="113">
        <f>INDEX('Gen. Plant Additions'!$F$7:$AE$91,MATCH($C234,'Gen. Plant Additions'!$D$7:$D$91,0),MATCH(Calculation!$G234,'Gen. Plant Additions'!$F$5:$AE$5,0))</f>
        <v>0</v>
      </c>
      <c r="BM234" s="231">
        <f t="shared" si="455"/>
        <v>1</v>
      </c>
      <c r="BN234" s="61">
        <f t="shared" si="453"/>
        <v>0</v>
      </c>
      <c r="BO234" s="113">
        <f>INDEX('Dist Plant Depreciation'!$E$7:$AD$94,MATCH($C234,'Dist Plant Depreciation'!$D$7:$D$94,0),MATCH(Calculation!$G234,'Dist Plant Depreciation'!$E$5:$AD$5,0))</f>
        <v>46729</v>
      </c>
      <c r="BP234" s="113">
        <f>INDEX('Gen. Plant Depreciation'!$E$7:$AD$94,MATCH($C234,'Gen. Plant Depreciation'!$D$7:$D$94,0),MATCH(Calculation!$G234,'Gen. Plant Depreciation'!$E$5:$AD$5,0))</f>
        <v>0</v>
      </c>
      <c r="BQ234" s="113"/>
      <c r="BR234" s="113"/>
      <c r="BS234" s="113"/>
      <c r="BT234" s="113"/>
      <c r="BU234" s="113"/>
      <c r="BV234" s="113"/>
      <c r="BW234" s="113">
        <f>INDEX('Gross Dx Plant'!$E$7:$AD$91,MATCH($C234,'Gross Dx Plant'!$D$7:$D$91,0),MATCH(Calculation!$G234,'Gross Dx Plant'!$E$5:$AD$5,0))</f>
        <v>168147</v>
      </c>
      <c r="BX234" s="113">
        <f>INDEX('Gross Gen Plant'!$E$7:$AD$91,MATCH($C234,'Gross Gen Plant'!$D$7:$D$91,0),MATCH(Calculation!$G234,'Gross Gen Plant'!$E$5:$AD$5,0))</f>
        <v>0</v>
      </c>
      <c r="BY234" s="113">
        <f t="shared" si="444"/>
        <v>121418</v>
      </c>
      <c r="BZ234" s="113"/>
      <c r="CA234" s="116">
        <v>2004</v>
      </c>
      <c r="CB234" s="113"/>
      <c r="CC234" s="113"/>
      <c r="CD234" s="113"/>
      <c r="CE234" s="175"/>
      <c r="CF234" s="113">
        <f t="shared" si="456"/>
        <v>15738</v>
      </c>
      <c r="CG234" s="113">
        <f t="shared" si="457"/>
        <v>37.933202875469718</v>
      </c>
      <c r="CH234" s="178">
        <v>0.967741935483871</v>
      </c>
      <c r="CI234" s="61">
        <f>+CI228*CH234+CG229*CH233+CG230*CH232+CG231*CH231+CG232*CH230+CG233*CH229+CG234</f>
        <v>544.79628392057282</v>
      </c>
      <c r="CJ234" s="114">
        <f t="shared" si="458"/>
        <v>6.6334620705016709E-2</v>
      </c>
      <c r="CK234" s="114"/>
      <c r="CL234" s="169">
        <f t="shared" si="459"/>
        <v>5.8194043865486024E-3</v>
      </c>
      <c r="CM234" s="169">
        <f t="shared" si="468"/>
        <v>5.7294079497368158E-3</v>
      </c>
      <c r="CN234" s="114">
        <f>VLOOKUP($H234,RoR!$E:$F,2,FALSE)</f>
        <v>5.6283333333333331E-2</v>
      </c>
      <c r="CO234" s="169">
        <v>2.6778252812867276E-2</v>
      </c>
      <c r="CP234" s="169">
        <f t="shared" si="466"/>
        <v>2.9505080520466055E-2</v>
      </c>
      <c r="CQ234" s="169">
        <f t="shared" si="469"/>
        <v>2.5172533658796809E-2</v>
      </c>
      <c r="CR234" s="169">
        <f t="shared" si="470"/>
        <v>5.5940039414565046E-2</v>
      </c>
      <c r="CS234" s="179">
        <f t="shared" si="460"/>
        <v>0.85329623209999994</v>
      </c>
      <c r="CT234" s="180">
        <f t="shared" si="461"/>
        <v>0.91114097628755619</v>
      </c>
      <c r="CU234" s="180">
        <f t="shared" si="462"/>
        <v>0.53081877405981637</v>
      </c>
      <c r="CV234" s="180">
        <f t="shared" si="463"/>
        <v>0.88811215519385678</v>
      </c>
      <c r="CW234" s="180">
        <f t="shared" si="464"/>
        <v>0.42953609753547711</v>
      </c>
      <c r="CX234" s="181">
        <f>INDEX('State Tax Lookup'!$D$7:$Z$91,MATCH(Calculation!$C234,'State Tax Lookup'!$B$7:$B$91,0),MATCH($H234,'State Tax Lookup'!$D$6:$Z$6,0))</f>
        <v>0.39649667</v>
      </c>
      <c r="CY234" s="72">
        <v>0.37</v>
      </c>
      <c r="CZ234" s="70">
        <f t="shared" si="467"/>
        <v>14.687390637229115</v>
      </c>
      <c r="DA234" s="70"/>
      <c r="DB234" s="69">
        <f t="shared" si="471"/>
        <v>0.10360751387007239</v>
      </c>
      <c r="DC234" s="111">
        <f>VLOOKUP($H234,RoR!$E:$F,2,FALSE)</f>
        <v>5.6283333333333331E-2</v>
      </c>
      <c r="DD234" s="216">
        <f>HLOOKUP($H234,'GDP-PI'!$D$8:$CQ$11,3,FALSE)</f>
        <v>2.6778252812867276E-2</v>
      </c>
      <c r="DE234" s="111">
        <f>VLOOKUP(H234,'HW Dx Data'!$E:$F,2,FALSE)</f>
        <v>414.88719135228365</v>
      </c>
      <c r="DF234" s="72">
        <f>VLOOKUP(G234,EG$8:EH$27,2,FALSE)</f>
        <v>94.35</v>
      </c>
      <c r="DG234" s="69"/>
      <c r="DH234" s="66">
        <f>HLOOKUP(H234,'GDP-PI'!$8:$9,2,FALSE)</f>
        <v>84.778000000000006</v>
      </c>
      <c r="DI234" s="69">
        <f t="shared" si="472"/>
        <v>2.6425990216022755E-2</v>
      </c>
      <c r="EB234"/>
    </row>
    <row r="235" spans="1:132" s="160" customFormat="1" ht="21">
      <c r="A235" s="160" t="s">
        <v>173</v>
      </c>
      <c r="B235" s="161" t="s">
        <v>173</v>
      </c>
      <c r="C235" s="161">
        <v>4057076</v>
      </c>
      <c r="D235" s="161" t="s">
        <v>171</v>
      </c>
      <c r="E235" s="161" t="s">
        <v>3</v>
      </c>
      <c r="F235" s="161"/>
      <c r="G235" s="161" t="s">
        <v>116</v>
      </c>
      <c r="H235" s="162">
        <v>2005</v>
      </c>
      <c r="I235" s="163"/>
      <c r="J235" s="159">
        <f>IFERROR(INDEX('Labor Expenditures'!$F$7:$X$91,MATCH($C235,'Labor Expenditures'!$D$7:$D$91,0),MATCH($G235,'Labor Expenditures'!$F$5:$X$5,0)),"NA")</f>
        <v>5599.9993822991601</v>
      </c>
      <c r="K235" s="159">
        <f t="shared" si="473"/>
        <v>56.43738354546899</v>
      </c>
      <c r="L235" s="165"/>
      <c r="M235" s="76"/>
      <c r="N235" s="62">
        <v>100</v>
      </c>
      <c r="O235" s="77"/>
      <c r="P235" s="77"/>
      <c r="Q235" s="159">
        <f>IFERROR(INDEX('Non-Labor Expenditures'!$F$7:$AB$91,MATCH($C235,'Non-Labor Expenditures'!$D$7:$D$91,0),MATCH($G235,'Non-Labor Expenditures'!$F$5:$AB$5,0)),"NA")</f>
        <v>8109.8450411779668</v>
      </c>
      <c r="R235" s="159">
        <f t="shared" si="474"/>
        <v>92.782557932178975</v>
      </c>
      <c r="S235" s="165"/>
      <c r="T235" s="165"/>
      <c r="U235" s="165"/>
      <c r="V235" s="165"/>
      <c r="W235" s="159">
        <f t="shared" si="454"/>
        <v>8996.505159217726</v>
      </c>
      <c r="X235" s="163"/>
      <c r="Y235" s="167">
        <v>567.8441072225454</v>
      </c>
      <c r="Z235" s="168">
        <v>4.1434988120559166E-2</v>
      </c>
      <c r="AA235" s="76">
        <f t="shared" si="475"/>
        <v>0</v>
      </c>
      <c r="AB235" s="168"/>
      <c r="AC235" s="168"/>
      <c r="AD235" s="163">
        <f t="shared" si="465"/>
        <v>22706.349582694853</v>
      </c>
      <c r="AE235" s="168">
        <f>LN(AD235/AD234)</f>
        <v>1.1093332226449277</v>
      </c>
      <c r="AF235" s="163"/>
      <c r="AG235" s="163"/>
      <c r="AH235" s="163"/>
      <c r="AI235" s="163"/>
      <c r="AJ235" s="116"/>
      <c r="AK235" s="114"/>
      <c r="AL235" s="115">
        <f t="shared" si="476"/>
        <v>0.2466270221862116</v>
      </c>
      <c r="AM235" s="115">
        <f t="shared" si="477"/>
        <v>0.35716199169939267</v>
      </c>
      <c r="AN235" s="115">
        <f t="shared" si="478"/>
        <v>0.39621098611439576</v>
      </c>
      <c r="AO235" s="115">
        <f>+(((AL235+AL234)/2)*L235+((AM234+AM235)/2)*S235+((AN234+AN235)/2)*Z235)</f>
        <v>2.8925992811722097E-2</v>
      </c>
      <c r="AP235" s="166">
        <v>100</v>
      </c>
      <c r="AQ235" s="168"/>
      <c r="AR235" s="16"/>
      <c r="AS235" s="115"/>
      <c r="AT235" s="115"/>
      <c r="AU235" s="115"/>
      <c r="AV235" s="113">
        <f>IFERROR(INDEX('Total Customers'!$F$7:$AB$91,MATCH($C235,'Total Customers'!$D$7:$D$91,0),MATCH($G235,'Total Customers'!$F$5:$AB$5,0)),"NA")</f>
        <v>70714</v>
      </c>
      <c r="AW235" s="68">
        <f t="shared" si="403"/>
        <v>2.3363843957582169E-2</v>
      </c>
      <c r="AX235" s="114"/>
      <c r="AY235" s="114"/>
      <c r="AZ235" s="116"/>
      <c r="BA235" s="116"/>
      <c r="BB235" s="166"/>
      <c r="BC235" s="166"/>
      <c r="BD235" s="166"/>
      <c r="BE235" s="166"/>
      <c r="BF235" s="166"/>
      <c r="BG235" s="166"/>
      <c r="BH235" s="166"/>
      <c r="BI235" s="113"/>
      <c r="BJ235" s="113"/>
      <c r="BK235" s="113">
        <f>INDEX('Dist. Plant Gas Additions'!$F$7:$AE$91,MATCH($C235,'Dist. Plant Gas Additions'!$D$7:$D$91,0),MATCH(Calculation!$G235,'Dist. Plant Gas Additions'!$F$5:$AE$5,0))</f>
        <v>12340</v>
      </c>
      <c r="BL235" s="113">
        <f>INDEX('Gen. Plant Additions'!$F$7:$AE$91,MATCH($C235,'Gen. Plant Additions'!$D$7:$D$91,0),MATCH(Calculation!$G235,'Gen. Plant Additions'!$F$5:$AE$5,0))</f>
        <v>0</v>
      </c>
      <c r="BM235" s="231">
        <f t="shared" si="455"/>
        <v>1</v>
      </c>
      <c r="BN235" s="61">
        <f t="shared" si="453"/>
        <v>0</v>
      </c>
      <c r="BO235" s="113">
        <f>INDEX('Dist Plant Depreciation'!$E$7:$AD$94,MATCH($C235,'Dist Plant Depreciation'!$D$7:$D$94,0),MATCH(Calculation!$G235,'Dist Plant Depreciation'!$E$5:$AD$5,0))</f>
        <v>49636</v>
      </c>
      <c r="BP235" s="113">
        <f>INDEX('Gen. Plant Depreciation'!$E$7:$AD$94,MATCH($C235,'Gen. Plant Depreciation'!$D$7:$D$94,0),MATCH(Calculation!$G235,'Gen. Plant Depreciation'!$E$5:$AD$5,0))</f>
        <v>0</v>
      </c>
      <c r="BQ235" s="113"/>
      <c r="BR235" s="113"/>
      <c r="BS235" s="113"/>
      <c r="BT235" s="113"/>
      <c r="BU235" s="113"/>
      <c r="BV235" s="113"/>
      <c r="BW235" s="113">
        <f>INDEX('Gross Dx Plant'!$E$7:$AD$91,MATCH($C235,'Gross Dx Plant'!$D$7:$D$91,0),MATCH(Calculation!$G235,'Gross Dx Plant'!$E$5:$AD$5,0))</f>
        <v>179702</v>
      </c>
      <c r="BX235" s="113">
        <f>INDEX('Gross Gen Plant'!$E$7:$AD$91,MATCH($C235,'Gross Gen Plant'!$D$7:$D$91,0),MATCH(Calculation!$G235,'Gross Gen Plant'!$E$5:$AD$5,0))</f>
        <v>0</v>
      </c>
      <c r="BY235" s="113">
        <f t="shared" si="444"/>
        <v>130066</v>
      </c>
      <c r="BZ235" s="113"/>
      <c r="CA235" s="116">
        <v>2005</v>
      </c>
      <c r="CB235" s="113"/>
      <c r="CC235" s="113"/>
      <c r="CD235" s="113"/>
      <c r="CE235" s="175"/>
      <c r="CF235" s="113">
        <f t="shared" si="456"/>
        <v>12340</v>
      </c>
      <c r="CG235" s="113">
        <f t="shared" si="457"/>
        <v>26.299797122452315</v>
      </c>
      <c r="CH235" s="178">
        <v>0.96174863387978138</v>
      </c>
      <c r="CI235" s="61">
        <f>+CI228*CH235+CG229*CH234+CG230*CH233+CG231*CH232+CG232*CH231+CG233*CH230+CG234*CH229+CG235</f>
        <v>567.8441072225454</v>
      </c>
      <c r="CJ235" s="114">
        <f t="shared" si="458"/>
        <v>4.1434988120559166E-2</v>
      </c>
      <c r="CK235" s="114"/>
      <c r="CL235" s="169">
        <f t="shared" si="459"/>
        <v>5.96915565773911E-3</v>
      </c>
      <c r="CM235" s="169">
        <f t="shared" si="468"/>
        <v>5.8137618425434029E-3</v>
      </c>
      <c r="CN235" s="114">
        <f>VLOOKUP($H235,RoR!$E:$F,2,FALSE)</f>
        <v>5.2350000000000001E-2</v>
      </c>
      <c r="CO235" s="169">
        <v>3.1010403642454332E-2</v>
      </c>
      <c r="CP235" s="169">
        <f t="shared" si="466"/>
        <v>2.1339596357545669E-2</v>
      </c>
      <c r="CQ235" s="169">
        <f t="shared" si="469"/>
        <v>2.5088179765990221E-2</v>
      </c>
      <c r="CR235" s="169">
        <f t="shared" si="470"/>
        <v>9.2129610649277341E-2</v>
      </c>
      <c r="CS235" s="179">
        <f t="shared" si="460"/>
        <v>0.85329623209999994</v>
      </c>
      <c r="CT235" s="180">
        <f t="shared" si="461"/>
        <v>0.97959983346802826</v>
      </c>
      <c r="CU235" s="180">
        <f t="shared" si="462"/>
        <v>0.49744508118433622</v>
      </c>
      <c r="CV235" s="180">
        <f t="shared" si="463"/>
        <v>0.87010519444335932</v>
      </c>
      <c r="CW235" s="180">
        <f t="shared" si="464"/>
        <v>0.42399975420741998</v>
      </c>
      <c r="CX235" s="181">
        <f>INDEX('State Tax Lookup'!$D$7:$Z$91,MATCH(Calculation!$C235,'State Tax Lookup'!$B$7:$B$91,0),MATCH($H235,'State Tax Lookup'!$D$6:$Z$6,0))</f>
        <v>0.39649667</v>
      </c>
      <c r="CY235" s="72">
        <v>0.37</v>
      </c>
      <c r="CZ235" s="70">
        <f t="shared" si="467"/>
        <v>16.513521521246918</v>
      </c>
      <c r="DA235" s="70"/>
      <c r="DB235" s="69">
        <f t="shared" si="471"/>
        <v>0.11719018554651317</v>
      </c>
      <c r="DC235" s="111">
        <f>VLOOKUP($H235,RoR!$E:$F,2,FALSE)</f>
        <v>5.2350000000000001E-2</v>
      </c>
      <c r="DD235" s="216">
        <f>HLOOKUP($H235,'GDP-PI'!$D$8:$CQ$11,3,FALSE)</f>
        <v>3.1010403642454332E-2</v>
      </c>
      <c r="DE235" s="111">
        <f>VLOOKUP(H235,'HW Dx Data'!$E:$F,2,FALSE)</f>
        <v>469.20514034936258</v>
      </c>
      <c r="DF235" s="72">
        <f t="shared" ref="DF235:DF253" si="479">VLOOKUP(G235,EG$8:EH$27,2,FALSE)</f>
        <v>99.224999999999994</v>
      </c>
      <c r="DG235" s="69">
        <f t="shared" ref="DG235:DG253" si="480">LN(DF235/DF234)</f>
        <v>5.0378726854569796E-2</v>
      </c>
      <c r="DH235" s="66">
        <f>HLOOKUP(H235,'GDP-PI'!$8:$9,2,FALSE)</f>
        <v>87.406999999999996</v>
      </c>
      <c r="DI235" s="69">
        <f t="shared" si="472"/>
        <v>3.0539295810733648E-2</v>
      </c>
      <c r="EB235"/>
    </row>
    <row r="236" spans="1:132" s="160" customFormat="1" ht="21">
      <c r="A236" s="160" t="s">
        <v>173</v>
      </c>
      <c r="B236" s="161" t="s">
        <v>173</v>
      </c>
      <c r="C236" s="161">
        <v>4057076</v>
      </c>
      <c r="D236" s="161" t="s">
        <v>171</v>
      </c>
      <c r="E236" s="161" t="s">
        <v>3</v>
      </c>
      <c r="F236" s="161"/>
      <c r="G236" s="161" t="s">
        <v>117</v>
      </c>
      <c r="H236" s="162">
        <v>2006</v>
      </c>
      <c r="I236" s="163"/>
      <c r="J236" s="159">
        <f>IFERROR(INDEX('Labor Expenditures'!$F$7:$X$91,MATCH($C236,'Labor Expenditures'!$D$7:$D$91,0),MATCH($G236,'Labor Expenditures'!$F$5:$X$5,0)),"NA")</f>
        <v>6216.7600738173915</v>
      </c>
      <c r="K236" s="159">
        <f t="shared" si="473"/>
        <v>56.825960455369206</v>
      </c>
      <c r="L236" s="165">
        <f t="shared" ref="L236:L251" si="481">LN(K236/K235)</f>
        <v>6.8615038316454293E-3</v>
      </c>
      <c r="M236" s="76">
        <f t="shared" ref="M236:M252" si="482">+L236*$AR236</f>
        <v>2.1019099368191501E-5</v>
      </c>
      <c r="N236" s="62">
        <f>+N235*EXP(O236)</f>
        <v>106.11047780865157</v>
      </c>
      <c r="O236" s="96">
        <f t="shared" ref="O236:O252" si="483">+M236+M261+M286+M311+M336+M361+M386+M411+M436+M461+M486+M511+M536+M561+M586+M611+M636+M661+M686+M711+M736+M761+M786+M811+M836+M861+M886+M911+M936+M961+M986+M1011+M1036+M1061+M1086+M1111+M1136+M1161+M1186+M1211+M1236+M1261+M1286+M1311+M1336+M1361+M1386+M1411+M1436+M1461+M1486+M1511+M1536+M1561</f>
        <v>5.9310608843178916E-2</v>
      </c>
      <c r="P236" s="96"/>
      <c r="Q236" s="159">
        <f>IFERROR(INDEX('Non-Labor Expenditures'!$F$7:$AB$91,MATCH($C236,'Non-Labor Expenditures'!$D$7:$D$91,0),MATCH($G236,'Non-Labor Expenditures'!$F$5:$AB$5,0)),"NA")</f>
        <v>9003.0297175036012</v>
      </c>
      <c r="R236" s="159">
        <f t="shared" si="474"/>
        <v>99.951481198832084</v>
      </c>
      <c r="S236" s="165">
        <f t="shared" ref="S236:S251" si="484">LN(R236/R235)</f>
        <v>7.4426211424942906E-2</v>
      </c>
      <c r="T236" s="165">
        <f t="shared" ref="T236:T252" si="485">+S236*AR236</f>
        <v>2.2799257596038661E-4</v>
      </c>
      <c r="U236" s="165"/>
      <c r="V236" s="165"/>
      <c r="W236" s="159">
        <f t="shared" si="454"/>
        <v>9163.2277591997226</v>
      </c>
      <c r="X236" s="163"/>
      <c r="Y236" s="167">
        <v>591.58583437749394</v>
      </c>
      <c r="Z236" s="168">
        <v>4.0959864019673928E-2</v>
      </c>
      <c r="AA236" s="76">
        <f t="shared" si="475"/>
        <v>1.2547387177231666E-4</v>
      </c>
      <c r="AB236" s="168"/>
      <c r="AC236" s="168"/>
      <c r="AD236" s="163">
        <f t="shared" si="465"/>
        <v>24383.017550520715</v>
      </c>
      <c r="AE236" s="168">
        <f t="shared" ref="AE236:AE252" si="486">LN(AD236/AD235)</f>
        <v>7.1242285276361408E-2</v>
      </c>
      <c r="AF236" s="163"/>
      <c r="AG236" s="163"/>
      <c r="AH236" s="163"/>
      <c r="AI236" s="163"/>
      <c r="AJ236" s="116">
        <f t="shared" ref="AJ236:AJ252" si="487">+(AD236*1000)/AV236</f>
        <v>338.54487525541447</v>
      </c>
      <c r="AK236" s="114">
        <f>+AV236/$AX$11</f>
        <v>2.076701005197332E-3</v>
      </c>
      <c r="AL236" s="115">
        <f t="shared" si="476"/>
        <v>0.25496270348559169</v>
      </c>
      <c r="AM236" s="115">
        <f t="shared" si="477"/>
        <v>0.36923361511140507</v>
      </c>
      <c r="AN236" s="115">
        <f t="shared" si="478"/>
        <v>0.37580368140300319</v>
      </c>
      <c r="AO236" s="115">
        <f>+(((AL236+AL235)/2)*L236+((AM235+AM236)/2)*S236+((AN235+AN236)/2)*Z236)</f>
        <v>4.4563074318983813E-2</v>
      </c>
      <c r="AP236" s="166">
        <f>+AP235*EXP(AO236)</f>
        <v>104.55709233046022</v>
      </c>
      <c r="AQ236" s="168">
        <f>LN(AP236/AP235)</f>
        <v>4.4563074318983882E-2</v>
      </c>
      <c r="AR236" s="69">
        <f>+AD236/$AF$11</f>
        <v>3.0633371173314633E-3</v>
      </c>
      <c r="AS236" s="169">
        <f>+AR236*AQ236</f>
        <v>1.3651171962374384E-4</v>
      </c>
      <c r="AT236" s="115"/>
      <c r="AU236" s="115"/>
      <c r="AV236" s="113">
        <f>IFERROR(INDEX('Total Customers'!$F$7:$AB$91,MATCH($C236,'Total Customers'!$D$7:$D$91,0),MATCH($G236,'Total Customers'!$F$5:$AB$5,0)),"NA")</f>
        <v>72023</v>
      </c>
      <c r="AW236" s="68">
        <f t="shared" si="403"/>
        <v>1.8341939347812343E-2</v>
      </c>
      <c r="AX236" s="114"/>
      <c r="AY236" s="114"/>
      <c r="AZ236" s="116">
        <v>8247377</v>
      </c>
      <c r="BA236" s="116"/>
      <c r="BB236" s="166"/>
      <c r="BC236" s="166"/>
      <c r="BD236" s="166"/>
      <c r="BE236" s="166"/>
      <c r="BF236" s="166"/>
      <c r="BG236" s="166"/>
      <c r="BH236" s="166"/>
      <c r="BI236" s="113"/>
      <c r="BJ236" s="113"/>
      <c r="BK236" s="113">
        <f>INDEX('Dist. Plant Gas Additions'!$F$7:$AE$91,MATCH($C236,'Dist. Plant Gas Additions'!$D$7:$D$91,0),MATCH(Calculation!$G236,'Dist. Plant Gas Additions'!$F$5:$AE$5,0))</f>
        <v>12556</v>
      </c>
      <c r="BL236" s="113">
        <f>INDEX('Gen. Plant Additions'!$F$7:$AE$91,MATCH($C236,'Gen. Plant Additions'!$D$7:$D$91,0),MATCH(Calculation!$G236,'Gen. Plant Additions'!$F$5:$AE$5,0))</f>
        <v>0</v>
      </c>
      <c r="BM236" s="231">
        <f t="shared" si="455"/>
        <v>1</v>
      </c>
      <c r="BN236" s="61">
        <f t="shared" si="453"/>
        <v>0</v>
      </c>
      <c r="BO236" s="113">
        <f>INDEX('Dist Plant Depreciation'!$E$7:$AD$94,MATCH($C236,'Dist Plant Depreciation'!$D$7:$D$94,0),MATCH(Calculation!$G236,'Dist Plant Depreciation'!$E$5:$AD$5,0))</f>
        <v>52862</v>
      </c>
      <c r="BP236" s="113">
        <f>INDEX('Gen. Plant Depreciation'!$E$7:$AD$94,MATCH($C236,'Gen. Plant Depreciation'!$D$7:$D$94,0),MATCH(Calculation!$G236,'Gen. Plant Depreciation'!$E$5:$AD$5,0))</f>
        <v>0</v>
      </c>
      <c r="BQ236" s="113"/>
      <c r="BR236" s="113"/>
      <c r="BS236" s="113"/>
      <c r="BT236" s="113"/>
      <c r="BU236" s="113"/>
      <c r="BV236" s="113"/>
      <c r="BW236" s="113">
        <f>INDEX('Gross Dx Plant'!$E$7:$AD$91,MATCH($C236,'Gross Dx Plant'!$D$7:$D$91,0),MATCH(Calculation!$G236,'Gross Dx Plant'!$E$5:$AD$5,0))</f>
        <v>191746</v>
      </c>
      <c r="BX236" s="113">
        <f>INDEX('Gross Gen Plant'!$E$7:$AD$91,MATCH($C236,'Gross Gen Plant'!$D$7:$D$91,0),MATCH(Calculation!$G236,'Gross Gen Plant'!$E$5:$AD$5,0))</f>
        <v>0</v>
      </c>
      <c r="BY236" s="113">
        <f t="shared" si="444"/>
        <v>138884</v>
      </c>
      <c r="BZ236" s="114"/>
      <c r="CA236" s="116">
        <v>2006</v>
      </c>
      <c r="CB236" s="113"/>
      <c r="CC236" s="113"/>
      <c r="CD236" s="113"/>
      <c r="CE236" s="175"/>
      <c r="CF236" s="113">
        <f t="shared" si="456"/>
        <v>12556</v>
      </c>
      <c r="CG236" s="113">
        <f t="shared" si="457"/>
        <v>27.231381807346128</v>
      </c>
      <c r="CH236" s="178">
        <v>0.9555555555555556</v>
      </c>
      <c r="CI236" s="61">
        <f>+CI228*CH236+CG229*CH235+CG230*CH234+CG231*CH233+CG232*CH232+CG233*CH231+CG234*CH230+CG235*CH229+CG236</f>
        <v>591.58583437749394</v>
      </c>
      <c r="CJ236" s="114">
        <f t="shared" si="458"/>
        <v>4.0959864019673928E-2</v>
      </c>
      <c r="CK236" s="114"/>
      <c r="CL236" s="169">
        <f t="shared" si="459"/>
        <v>6.1454448642009997E-3</v>
      </c>
      <c r="CM236" s="169">
        <f t="shared" si="468"/>
        <v>5.9780016361629038E-3</v>
      </c>
      <c r="CN236" s="114">
        <f>VLOOKUP($H236,RoR!$E:$F,2,FALSE)</f>
        <v>5.5874999999999994E-2</v>
      </c>
      <c r="CO236" s="169">
        <v>3.0512430354548314E-2</v>
      </c>
      <c r="CP236" s="169">
        <f t="shared" si="466"/>
        <v>2.536256964545168E-2</v>
      </c>
      <c r="CQ236" s="169">
        <f t="shared" si="469"/>
        <v>2.4923939972370721E-2</v>
      </c>
      <c r="CR236" s="169">
        <f t="shared" si="470"/>
        <v>7.9087823893859641E-2</v>
      </c>
      <c r="CS236" s="179">
        <f t="shared" si="460"/>
        <v>0.85329623209999994</v>
      </c>
      <c r="CT236" s="180">
        <f t="shared" si="461"/>
        <v>0.91779957551769631</v>
      </c>
      <c r="CU236" s="180">
        <f t="shared" si="462"/>
        <v>0.52757270693512304</v>
      </c>
      <c r="CV236" s="180">
        <f t="shared" si="463"/>
        <v>0.88636824549024895</v>
      </c>
      <c r="CW236" s="180">
        <f t="shared" si="464"/>
        <v>0.42918482841932087</v>
      </c>
      <c r="CX236" s="181">
        <f>INDEX('State Tax Lookup'!$D$7:$Z$91,MATCH(Calculation!$C236,'State Tax Lookup'!$B$7:$B$91,0),MATCH($H236,'State Tax Lookup'!$D$6:$Z$6,0))</f>
        <v>0.39649667</v>
      </c>
      <c r="CY236" s="72">
        <v>0.37</v>
      </c>
      <c r="CZ236" s="70">
        <f t="shared" si="467"/>
        <v>16.136872149680574</v>
      </c>
      <c r="DA236" s="70">
        <v>14.788696346247992</v>
      </c>
      <c r="DB236" s="69">
        <f t="shared" si="471"/>
        <v>-2.3072682325388141E-2</v>
      </c>
      <c r="DC236" s="111">
        <f>VLOOKUP($H236,RoR!$E:$F,2,FALSE)</f>
        <v>5.5874999999999994E-2</v>
      </c>
      <c r="DD236" s="216">
        <f>HLOOKUP($H236,'GDP-PI'!$D$8:$CQ$11,3,FALSE)</f>
        <v>3.0512430354548314E-2</v>
      </c>
      <c r="DE236" s="111">
        <f>VLOOKUP(H236,'HW Dx Data'!$E:$F,2,FALSE)</f>
        <v>461.08567272971823</v>
      </c>
      <c r="DF236" s="72">
        <f t="shared" si="479"/>
        <v>109.4</v>
      </c>
      <c r="DG236" s="69">
        <f t="shared" si="480"/>
        <v>9.7620891318751846E-2</v>
      </c>
      <c r="DH236" s="66">
        <f>HLOOKUP(H236,'GDP-PI'!$8:$9,2,FALSE)</f>
        <v>90.073999999999998</v>
      </c>
      <c r="DI236" s="69">
        <f t="shared" si="472"/>
        <v>3.005618372545445E-2</v>
      </c>
      <c r="EB236"/>
    </row>
    <row r="237" spans="1:132" s="160" customFormat="1" ht="21">
      <c r="A237" s="160" t="s">
        <v>173</v>
      </c>
      <c r="B237" s="161" t="s">
        <v>173</v>
      </c>
      <c r="C237" s="161">
        <v>4057076</v>
      </c>
      <c r="D237" s="161" t="s">
        <v>171</v>
      </c>
      <c r="E237" s="161" t="s">
        <v>3</v>
      </c>
      <c r="F237" s="161"/>
      <c r="G237" s="161" t="s">
        <v>118</v>
      </c>
      <c r="H237" s="162">
        <v>2007</v>
      </c>
      <c r="I237" s="163"/>
      <c r="J237" s="159">
        <f>IFERROR(INDEX('Labor Expenditures'!$F$7:$X$91,MATCH($C237,'Labor Expenditures'!$D$7:$D$91,0),MATCH($G237,'Labor Expenditures'!$F$5:$X$5,0)),"NA")</f>
        <v>8715.5998550258519</v>
      </c>
      <c r="K237" s="159">
        <f t="shared" si="473"/>
        <v>83.382921358773999</v>
      </c>
      <c r="L237" s="165">
        <f t="shared" si="481"/>
        <v>0.38345023694159541</v>
      </c>
      <c r="M237" s="76">
        <f t="shared" si="482"/>
        <v>1.4409848662001255E-3</v>
      </c>
      <c r="N237" s="62">
        <f t="shared" ref="N237:N250" si="488">+N236*EXP(O237)</f>
        <v>117.76096698772344</v>
      </c>
      <c r="O237" s="96">
        <f t="shared" si="483"/>
        <v>0.10417607162817866</v>
      </c>
      <c r="P237" s="96"/>
      <c r="Q237" s="159">
        <f>IFERROR(INDEX('Non-Labor Expenditures'!$F$7:$AB$91,MATCH($C237,'Non-Labor Expenditures'!$D$7:$D$91,0),MATCH($G237,'Non-Labor Expenditures'!$F$5:$AB$5,0)),"NA")</f>
        <v>12621.816439585611</v>
      </c>
      <c r="R237" s="159">
        <f t="shared" si="474"/>
        <v>136.45501999595245</v>
      </c>
      <c r="S237" s="165">
        <f t="shared" si="484"/>
        <v>0.31131015624630515</v>
      </c>
      <c r="T237" s="165">
        <f t="shared" si="485"/>
        <v>1.1698864171353972E-3</v>
      </c>
      <c r="U237" s="165"/>
      <c r="V237" s="165"/>
      <c r="W237" s="159">
        <f t="shared" si="454"/>
        <v>10258.431228632677</v>
      </c>
      <c r="X237" s="163"/>
      <c r="Y237" s="167">
        <v>612.39765850308459</v>
      </c>
      <c r="Z237" s="168">
        <v>3.4575054345078952E-2</v>
      </c>
      <c r="AA237" s="76">
        <f t="shared" si="475"/>
        <v>1.2993114949331545E-4</v>
      </c>
      <c r="AB237" s="168"/>
      <c r="AC237" s="168"/>
      <c r="AD237" s="163">
        <f t="shared" si="465"/>
        <v>31595.847523244141</v>
      </c>
      <c r="AE237" s="168">
        <f t="shared" si="486"/>
        <v>0.2591388165164103</v>
      </c>
      <c r="AF237" s="163"/>
      <c r="AG237" s="163"/>
      <c r="AH237" s="163"/>
      <c r="AI237" s="163"/>
      <c r="AJ237" s="116">
        <f t="shared" si="487"/>
        <v>431.57830246201536</v>
      </c>
      <c r="AK237" s="114">
        <f>+AV237/$AX$12</f>
        <v>2.0950334771812338E-3</v>
      </c>
      <c r="AL237" s="115">
        <f t="shared" si="476"/>
        <v>0.27584637027425962</v>
      </c>
      <c r="AM237" s="115">
        <f t="shared" si="477"/>
        <v>0.39947706515231501</v>
      </c>
      <c r="AN237" s="115">
        <f t="shared" si="478"/>
        <v>0.32467656457342531</v>
      </c>
      <c r="AO237" s="115">
        <f t="shared" ref="AO237:AO251" si="489">+(((AL237+AL236)/2)*L237+((AM236+AM237)/2)*S237+((AN236+AN237)/2)*X237)</f>
        <v>0.221423153542533</v>
      </c>
      <c r="AP237" s="166">
        <f>+AP236*EXP(AO237)</f>
        <v>130.47170898187508</v>
      </c>
      <c r="AQ237" s="168">
        <f>LN(AP237/AP236)</f>
        <v>0.22142315354253278</v>
      </c>
      <c r="AR237" s="69">
        <f>+AD237/$AF$12</f>
        <v>3.7579449101229965E-3</v>
      </c>
      <c r="AS237" s="169">
        <f t="shared" ref="AS237:AS251" si="490">+AR237*AQ237</f>
        <v>8.3209601283854386E-4</v>
      </c>
      <c r="AT237" s="115"/>
      <c r="AU237" s="115"/>
      <c r="AV237" s="113">
        <f>IFERROR(INDEX('Total Customers'!$F$7:$AB$91,MATCH($C237,'Total Customers'!$D$7:$D$91,0),MATCH($G237,'Total Customers'!$F$5:$AB$5,0)),"NA")</f>
        <v>73210</v>
      </c>
      <c r="AW237" s="68">
        <f t="shared" si="403"/>
        <v>1.6346511209564745E-2</v>
      </c>
      <c r="AX237" s="114"/>
      <c r="AY237" s="114"/>
      <c r="AZ237" s="116">
        <v>8187757</v>
      </c>
      <c r="BA237" s="116"/>
      <c r="BB237" s="166"/>
      <c r="BC237" s="166"/>
      <c r="BD237" s="166"/>
      <c r="BE237" s="166"/>
      <c r="BF237" s="166"/>
      <c r="BG237" s="166"/>
      <c r="BH237" s="166"/>
      <c r="BI237" s="113"/>
      <c r="BJ237" s="113"/>
      <c r="BK237" s="113">
        <f>INDEX('Dist. Plant Gas Additions'!$F$7:$AE$91,MATCH($C237,'Dist. Plant Gas Additions'!$D$7:$D$91,0),MATCH(Calculation!$G237,'Dist. Plant Gas Additions'!$F$5:$AE$5,0))</f>
        <v>12228</v>
      </c>
      <c r="BL237" s="113">
        <f>INDEX('Gen. Plant Additions'!$F$7:$AE$91,MATCH($C237,'Gen. Plant Additions'!$D$7:$D$91,0),MATCH(Calculation!$G237,'Gen. Plant Additions'!$F$5:$AE$5,0))</f>
        <v>0</v>
      </c>
      <c r="BM237" s="231">
        <f t="shared" si="455"/>
        <v>1</v>
      </c>
      <c r="BN237" s="61">
        <f t="shared" si="453"/>
        <v>0</v>
      </c>
      <c r="BO237" s="113">
        <f>INDEX('Dist Plant Depreciation'!$E$7:$AD$94,MATCH($C237,'Dist Plant Depreciation'!$D$7:$D$94,0),MATCH(Calculation!$G237,'Dist Plant Depreciation'!$E$5:$AD$5,0))</f>
        <v>53593</v>
      </c>
      <c r="BP237" s="113">
        <f>INDEX('Gen. Plant Depreciation'!$E$7:$AD$94,MATCH($C237,'Gen. Plant Depreciation'!$D$7:$D$94,0),MATCH(Calculation!$G237,'Gen. Plant Depreciation'!$E$5:$AD$5,0))</f>
        <v>0</v>
      </c>
      <c r="BQ237" s="113"/>
      <c r="BR237" s="113"/>
      <c r="BS237" s="113"/>
      <c r="BT237" s="113"/>
      <c r="BU237" s="113"/>
      <c r="BV237" s="113"/>
      <c r="BW237" s="113">
        <f>INDEX('Gross Dx Plant'!$E$7:$AD$91,MATCH($C237,'Gross Dx Plant'!$D$7:$D$91,0),MATCH(Calculation!$G237,'Gross Dx Plant'!$E$5:$AD$5,0))</f>
        <v>200954</v>
      </c>
      <c r="BX237" s="113">
        <f>INDEX('Gross Gen Plant'!$E$7:$AD$91,MATCH($C237,'Gross Gen Plant'!$D$7:$D$91,0),MATCH(Calculation!$G237,'Gross Gen Plant'!$E$5:$AD$5,0))</f>
        <v>0</v>
      </c>
      <c r="BY237" s="113">
        <f t="shared" si="444"/>
        <v>147361</v>
      </c>
      <c r="BZ237" s="113"/>
      <c r="CA237" s="116">
        <v>2007</v>
      </c>
      <c r="CB237" s="113"/>
      <c r="CC237" s="113"/>
      <c r="CD237" s="113"/>
      <c r="CE237" s="175"/>
      <c r="CF237" s="113">
        <f t="shared" si="456"/>
        <v>12228</v>
      </c>
      <c r="CG237" s="113">
        <f t="shared" si="457"/>
        <v>24.553116637517917</v>
      </c>
      <c r="CH237" s="178">
        <v>0.94915254237288138</v>
      </c>
      <c r="CI237" s="61">
        <f>+CI228*CH237+CG229*CH236+CG230*CH235+CG231*CH234+CG232*CH233+CG233*CH232+CG234*CH231+CG235*CH230+CG236*CH229+CG237</f>
        <v>612.39765850308459</v>
      </c>
      <c r="CJ237" s="114">
        <f t="shared" si="458"/>
        <v>3.4575054345078952E-2</v>
      </c>
      <c r="CK237" s="114"/>
      <c r="CL237" s="169">
        <f t="shared" si="459"/>
        <v>6.3241752836494256E-3</v>
      </c>
      <c r="CM237" s="169">
        <f t="shared" si="468"/>
        <v>6.146258601863179E-3</v>
      </c>
      <c r="CN237" s="114">
        <f>VLOOKUP($H237,RoR!$E:$F,2,FALSE)</f>
        <v>5.5558333333333321E-2</v>
      </c>
      <c r="CO237" s="169">
        <v>2.691120634145272E-2</v>
      </c>
      <c r="CP237" s="169">
        <f t="shared" si="466"/>
        <v>2.86471269918806E-2</v>
      </c>
      <c r="CQ237" s="169">
        <f t="shared" si="469"/>
        <v>2.4755683006670446E-2</v>
      </c>
      <c r="CR237" s="169">
        <f t="shared" si="470"/>
        <v>6.4575155250632399E-2</v>
      </c>
      <c r="CS237" s="179">
        <f t="shared" si="460"/>
        <v>0.85329623209999994</v>
      </c>
      <c r="CT237" s="180">
        <f t="shared" si="461"/>
        <v>0.92303077153834634</v>
      </c>
      <c r="CU237" s="180">
        <f t="shared" si="462"/>
        <v>0.52502249887505614</v>
      </c>
      <c r="CV237" s="180">
        <f t="shared" si="463"/>
        <v>0.88499666072084604</v>
      </c>
      <c r="CW237" s="180">
        <f t="shared" si="464"/>
        <v>0.42887993290280618</v>
      </c>
      <c r="CX237" s="181">
        <f>INDEX('State Tax Lookup'!$D$7:$Z$91,MATCH(Calculation!$C237,'State Tax Lookup'!$B$7:$B$91,0),MATCH($H237,'State Tax Lookup'!$D$6:$Z$6,0))</f>
        <v>0.39649667</v>
      </c>
      <c r="CY237" s="72">
        <v>0.37</v>
      </c>
      <c r="CZ237" s="70">
        <f t="shared" si="467"/>
        <v>17.34056265804147</v>
      </c>
      <c r="DA237" s="70">
        <v>16.108943221861779</v>
      </c>
      <c r="DB237" s="69">
        <f t="shared" si="471"/>
        <v>7.1941570264699814E-2</v>
      </c>
      <c r="DC237" s="111">
        <f>VLOOKUP($H237,RoR!$E:$F,2,FALSE)</f>
        <v>5.5558333333333321E-2</v>
      </c>
      <c r="DD237" s="216">
        <f>HLOOKUP($H237,'GDP-PI'!$D$8:$CQ$11,3,FALSE)</f>
        <v>2.691120634145272E-2</v>
      </c>
      <c r="DE237" s="111">
        <f>VLOOKUP(H237,'HW Dx Data'!$E:$F,2,FALSE)</f>
        <v>498.0223154772637</v>
      </c>
      <c r="DF237" s="72">
        <f t="shared" si="479"/>
        <v>104.52499999999999</v>
      </c>
      <c r="DG237" s="69">
        <f t="shared" si="480"/>
        <v>-4.5584612745252218E-2</v>
      </c>
      <c r="DH237" s="66">
        <f>HLOOKUP(H237,'GDP-PI'!$8:$9,2,FALSE)</f>
        <v>92.498000000000005</v>
      </c>
      <c r="DI237" s="69">
        <f t="shared" si="472"/>
        <v>2.6555467950038037E-2</v>
      </c>
      <c r="EB237"/>
    </row>
    <row r="238" spans="1:132" s="160" customFormat="1" ht="21">
      <c r="A238" s="160" t="s">
        <v>173</v>
      </c>
      <c r="B238" s="161" t="s">
        <v>173</v>
      </c>
      <c r="C238" s="161">
        <v>4057076</v>
      </c>
      <c r="D238" s="161" t="s">
        <v>171</v>
      </c>
      <c r="E238" s="161" t="s">
        <v>3</v>
      </c>
      <c r="F238" s="161"/>
      <c r="G238" s="161" t="s">
        <v>120</v>
      </c>
      <c r="H238" s="162">
        <v>2008</v>
      </c>
      <c r="I238" s="163"/>
      <c r="J238" s="159">
        <f>IFERROR(INDEX('Labor Expenditures'!$F$7:$X$91,MATCH($C238,'Labor Expenditures'!$D$7:$D$91,0),MATCH($G238,'Labor Expenditures'!$F$5:$X$5,0)),"NA")</f>
        <v>9822.3257407589626</v>
      </c>
      <c r="K238" s="159">
        <f t="shared" si="473"/>
        <v>91.031749219267496</v>
      </c>
      <c r="L238" s="165">
        <f t="shared" si="481"/>
        <v>8.7764829663805721E-2</v>
      </c>
      <c r="M238" s="76">
        <f t="shared" si="482"/>
        <v>3.5259207629552674E-4</v>
      </c>
      <c r="N238" s="62">
        <f t="shared" si="488"/>
        <v>109.82108362175636</v>
      </c>
      <c r="O238" s="96">
        <f t="shared" si="483"/>
        <v>-6.9804337404113001E-2</v>
      </c>
      <c r="P238" s="96"/>
      <c r="Q238" s="159">
        <f>IFERROR(INDEX('Non-Labor Expenditures'!$F$7:$AB$91,MATCH($C238,'Non-Labor Expenditures'!$D$7:$D$91,0),MATCH($G238,'Non-Labor Expenditures'!$F$5:$AB$5,0)),"NA")</f>
        <v>14224.562230009429</v>
      </c>
      <c r="R238" s="159">
        <f t="shared" si="474"/>
        <v>150.90132213792572</v>
      </c>
      <c r="S238" s="165">
        <f t="shared" si="484"/>
        <v>0.10063109093723377</v>
      </c>
      <c r="T238" s="165">
        <f t="shared" si="485"/>
        <v>4.0428182256332582E-4</v>
      </c>
      <c r="U238" s="165"/>
      <c r="V238" s="165"/>
      <c r="W238" s="159">
        <f t="shared" si="454"/>
        <v>12066.035838484142</v>
      </c>
      <c r="X238" s="163"/>
      <c r="Y238" s="167">
        <v>634.49418103034884</v>
      </c>
      <c r="Z238" s="168">
        <v>3.5446275859560707E-2</v>
      </c>
      <c r="AA238" s="76">
        <f t="shared" si="475"/>
        <v>1.4240415038850959E-4</v>
      </c>
      <c r="AB238" s="168"/>
      <c r="AC238" s="168"/>
      <c r="AD238" s="163">
        <f t="shared" si="465"/>
        <v>36112.923809252534</v>
      </c>
      <c r="AE238" s="168">
        <f t="shared" si="486"/>
        <v>0.133625097062465</v>
      </c>
      <c r="AF238" s="163"/>
      <c r="AG238" s="163"/>
      <c r="AH238" s="163"/>
      <c r="AI238" s="163"/>
      <c r="AJ238" s="116">
        <f t="shared" si="487"/>
        <v>486.96616471706108</v>
      </c>
      <c r="AK238" s="114">
        <f>+AV238/$AX$13</f>
        <v>2.1108443328943178E-3</v>
      </c>
      <c r="AL238" s="115">
        <f t="shared" si="476"/>
        <v>0.27198921340847992</v>
      </c>
      <c r="AM238" s="115">
        <f t="shared" si="477"/>
        <v>0.39389118159313752</v>
      </c>
      <c r="AN238" s="115">
        <f t="shared" si="478"/>
        <v>0.33411960499838256</v>
      </c>
      <c r="AO238" s="115">
        <f t="shared" si="489"/>
        <v>6.3959104435321296E-2</v>
      </c>
      <c r="AP238" s="166">
        <f t="shared" ref="AP238:AP251" si="491">+AP237*EXP(AO238)</f>
        <v>139.0892089509482</v>
      </c>
      <c r="AQ238" s="168">
        <f t="shared" ref="AQ238:AQ251" si="492">LN(AP238/AP237)</f>
        <v>6.3959104435321296E-2</v>
      </c>
      <c r="AR238" s="69">
        <f>+AD238/$AF$13</f>
        <v>4.0174643720745007E-3</v>
      </c>
      <c r="AS238" s="169">
        <f t="shared" si="490"/>
        <v>2.5695342333869546E-4</v>
      </c>
      <c r="AT238" s="115"/>
      <c r="AU238" s="115"/>
      <c r="AV238" s="113">
        <f>IFERROR(INDEX('Total Customers'!$F$7:$AB$91,MATCH($C238,'Total Customers'!$D$7:$D$91,0),MATCH($G238,'Total Customers'!$F$5:$AB$5,0)),"NA")</f>
        <v>74159</v>
      </c>
      <c r="AW238" s="68">
        <f t="shared" si="403"/>
        <v>1.2879413149988998E-2</v>
      </c>
      <c r="AX238" s="114"/>
      <c r="AY238" s="114"/>
      <c r="AZ238" s="116">
        <v>8244107</v>
      </c>
      <c r="BA238" s="116"/>
      <c r="BB238" s="166"/>
      <c r="BC238" s="166"/>
      <c r="BD238" s="166"/>
      <c r="BE238" s="166"/>
      <c r="BF238" s="166"/>
      <c r="BG238" s="166"/>
      <c r="BH238" s="166"/>
      <c r="BI238" s="113"/>
      <c r="BJ238" s="113"/>
      <c r="BK238" s="113">
        <f>INDEX('Dist. Plant Gas Additions'!$F$7:$AE$91,MATCH($C238,'Dist. Plant Gas Additions'!$D$7:$D$91,0),MATCH(Calculation!$G238,'Dist. Plant Gas Additions'!$F$5:$AE$5,0))</f>
        <v>14866</v>
      </c>
      <c r="BL238" s="113">
        <f>INDEX('Gen. Plant Additions'!$F$7:$AE$91,MATCH($C238,'Gen. Plant Additions'!$D$7:$D$91,0),MATCH(Calculation!$G238,'Gen. Plant Additions'!$F$5:$AE$5,0))</f>
        <v>0</v>
      </c>
      <c r="BM238" s="231">
        <f t="shared" si="455"/>
        <v>1</v>
      </c>
      <c r="BN238" s="61">
        <f t="shared" si="453"/>
        <v>0</v>
      </c>
      <c r="BO238" s="113">
        <f>INDEX('Dist Plant Depreciation'!$E$7:$AD$94,MATCH($C238,'Dist Plant Depreciation'!$D$7:$D$94,0),MATCH(Calculation!$G238,'Dist Plant Depreciation'!$E$5:$AD$5,0))</f>
        <v>56075</v>
      </c>
      <c r="BP238" s="113">
        <f>INDEX('Gen. Plant Depreciation'!$E$7:$AD$94,MATCH($C238,'Gen. Plant Depreciation'!$D$7:$D$94,0),MATCH(Calculation!$G238,'Gen. Plant Depreciation'!$E$5:$AD$5,0))</f>
        <v>0</v>
      </c>
      <c r="BQ238" s="113"/>
      <c r="BR238" s="113"/>
      <c r="BS238" s="113"/>
      <c r="BT238" s="113"/>
      <c r="BU238" s="113"/>
      <c r="BV238" s="113"/>
      <c r="BW238" s="113">
        <f>INDEX('Gross Dx Plant'!$E$7:$AD$91,MATCH($C238,'Gross Dx Plant'!$D$7:$D$91,0),MATCH(Calculation!$G238,'Gross Dx Plant'!$E$5:$AD$5,0))</f>
        <v>214171</v>
      </c>
      <c r="BX238" s="113">
        <f>INDEX('Gross Gen Plant'!$E$7:$AD$91,MATCH($C238,'Gross Gen Plant'!$D$7:$D$91,0),MATCH(Calculation!$G238,'Gross Gen Plant'!$E$5:$AD$5,0))</f>
        <v>0</v>
      </c>
      <c r="BY238" s="113">
        <f t="shared" si="444"/>
        <v>158096</v>
      </c>
      <c r="BZ238" s="113"/>
      <c r="CA238" s="116">
        <v>2008</v>
      </c>
      <c r="CB238" s="113"/>
      <c r="CC238" s="113"/>
      <c r="CD238" s="113"/>
      <c r="CE238" s="175"/>
      <c r="CF238" s="113">
        <f t="shared" si="456"/>
        <v>14866</v>
      </c>
      <c r="CG238" s="113">
        <f t="shared" si="457"/>
        <v>26.086138502197993</v>
      </c>
      <c r="CH238" s="178">
        <v>0.94252873563218387</v>
      </c>
      <c r="CI238" s="61">
        <f>+CI228*CH238+CG229*CH237+CG230*CH236+CG231*CH235+CG232*CH234+CG233*CH233+CG234*CH232+CG235*CH231+CG236*CH230+CG237*CH229+CG238</f>
        <v>634.49418103034884</v>
      </c>
      <c r="CJ238" s="114">
        <f t="shared" si="458"/>
        <v>3.5446275859560707E-2</v>
      </c>
      <c r="CK238" s="114"/>
      <c r="CL238" s="169">
        <f t="shared" si="459"/>
        <v>6.5147472717086534E-3</v>
      </c>
      <c r="CM238" s="169">
        <f t="shared" si="468"/>
        <v>6.3281224731863593E-3</v>
      </c>
      <c r="CN238" s="114">
        <f>VLOOKUP($H238,RoR!$E:$F,2,FALSE)</f>
        <v>5.6316666666666668E-2</v>
      </c>
      <c r="CO238" s="169">
        <v>1.9092304698479889E-2</v>
      </c>
      <c r="CP238" s="169">
        <f t="shared" si="466"/>
        <v>3.7224361968186778E-2</v>
      </c>
      <c r="CQ238" s="169">
        <f t="shared" si="469"/>
        <v>2.4573819135347265E-2</v>
      </c>
      <c r="CR238" s="169">
        <f t="shared" si="470"/>
        <v>6.9030581091053131E-2</v>
      </c>
      <c r="CS238" s="179">
        <f t="shared" si="460"/>
        <v>0.85329623209999994</v>
      </c>
      <c r="CT238" s="180">
        <f t="shared" si="461"/>
        <v>0.91060168006009956</v>
      </c>
      <c r="CU238" s="180">
        <f t="shared" si="462"/>
        <v>0.53108168097070152</v>
      </c>
      <c r="CV238" s="180">
        <f t="shared" si="463"/>
        <v>0.88825329850328805</v>
      </c>
      <c r="CW238" s="180">
        <f t="shared" si="464"/>
        <v>0.4295627335323573</v>
      </c>
      <c r="CX238" s="181">
        <f>INDEX('State Tax Lookup'!$D$7:$Z$91,MATCH(Calculation!$C238,'State Tax Lookup'!$B$7:$B$91,0),MATCH($H238,'State Tax Lookup'!$D$6:$Z$6,0))</f>
        <v>0.39649667</v>
      </c>
      <c r="CY238" s="72">
        <v>0.37</v>
      </c>
      <c r="CZ238" s="70">
        <f t="shared" si="467"/>
        <v>19.702942476915702</v>
      </c>
      <c r="DA238" s="70">
        <v>18.300102035478151</v>
      </c>
      <c r="DB238" s="69">
        <f t="shared" si="471"/>
        <v>0.12771956951405553</v>
      </c>
      <c r="DC238" s="111">
        <f>VLOOKUP($H238,RoR!$E:$F,2,FALSE)</f>
        <v>5.6316666666666668E-2</v>
      </c>
      <c r="DD238" s="216">
        <f>HLOOKUP($H238,'GDP-PI'!$D$8:$CQ$11,3,FALSE)</f>
        <v>1.9092304698479889E-2</v>
      </c>
      <c r="DE238" s="111">
        <f>VLOOKUP(H238,'HW Dx Data'!$E:$F,2,FALSE)</f>
        <v>569.88120333515076</v>
      </c>
      <c r="DF238" s="72">
        <f t="shared" si="479"/>
        <v>107.9</v>
      </c>
      <c r="DG238" s="69">
        <f t="shared" si="480"/>
        <v>3.1778595021460486E-2</v>
      </c>
      <c r="DH238" s="66">
        <f>HLOOKUP(H238,'GDP-PI'!$8:$9,2,FALSE)</f>
        <v>94.263999999999996</v>
      </c>
      <c r="DI238" s="69">
        <f t="shared" si="472"/>
        <v>1.8912333748032254E-2</v>
      </c>
      <c r="EB238"/>
    </row>
    <row r="239" spans="1:132" s="160" customFormat="1" ht="21">
      <c r="A239" s="160" t="s">
        <v>173</v>
      </c>
      <c r="B239" s="161" t="s">
        <v>173</v>
      </c>
      <c r="C239" s="161">
        <v>4057076</v>
      </c>
      <c r="D239" s="161" t="s">
        <v>171</v>
      </c>
      <c r="E239" s="161" t="s">
        <v>3</v>
      </c>
      <c r="F239" s="161"/>
      <c r="G239" s="161" t="s">
        <v>125</v>
      </c>
      <c r="H239" s="162">
        <v>2009</v>
      </c>
      <c r="I239" s="163"/>
      <c r="J239" s="159">
        <f>IFERROR(INDEX('Labor Expenditures'!$F$7:$X$91,MATCH($C239,'Labor Expenditures'!$D$7:$D$91,0),MATCH($G239,'Labor Expenditures'!$F$5:$X$5,0)),"NA")</f>
        <v>10880.157355897276</v>
      </c>
      <c r="K239" s="159">
        <f t="shared" si="473"/>
        <v>98.085709766935096</v>
      </c>
      <c r="L239" s="165">
        <f t="shared" si="481"/>
        <v>7.4633347711149059E-2</v>
      </c>
      <c r="M239" s="76">
        <f t="shared" si="482"/>
        <v>3.0752983370370521E-4</v>
      </c>
      <c r="N239" s="62">
        <f t="shared" si="488"/>
        <v>118.33278158488781</v>
      </c>
      <c r="O239" s="96">
        <f t="shared" si="483"/>
        <v>7.464830907817982E-2</v>
      </c>
      <c r="P239" s="96"/>
      <c r="Q239" s="159">
        <f>IFERROR(INDEX('Non-Labor Expenditures'!$F$7:$AB$91,MATCH($C239,'Non-Labor Expenditures'!$D$7:$D$91,0),MATCH($G239,'Non-Labor Expenditures'!$F$5:$AB$5,0)),"NA")</f>
        <v>15756.499984421926</v>
      </c>
      <c r="R239" s="159">
        <f t="shared" si="474"/>
        <v>165.85964046381463</v>
      </c>
      <c r="S239" s="165">
        <f t="shared" si="484"/>
        <v>9.4515763893723598E-2</v>
      </c>
      <c r="T239" s="165">
        <f t="shared" si="485"/>
        <v>3.894561619439913E-4</v>
      </c>
      <c r="U239" s="165"/>
      <c r="V239" s="165"/>
      <c r="W239" s="159">
        <f t="shared" si="454"/>
        <v>11996.037701298674</v>
      </c>
      <c r="X239" s="163"/>
      <c r="Y239" s="167">
        <v>661.4813414686422</v>
      </c>
      <c r="Z239" s="168">
        <v>4.1653660601160047E-2</v>
      </c>
      <c r="AA239" s="76">
        <f t="shared" si="475"/>
        <v>1.716356523011998E-4</v>
      </c>
      <c r="AB239" s="168"/>
      <c r="AC239" s="168"/>
      <c r="AD239" s="163">
        <f t="shared" si="465"/>
        <v>38632.695041617873</v>
      </c>
      <c r="AE239" s="168">
        <f t="shared" si="486"/>
        <v>6.7448138225488119E-2</v>
      </c>
      <c r="AF239" s="163"/>
      <c r="AG239" s="163"/>
      <c r="AH239" s="163"/>
      <c r="AI239" s="163"/>
      <c r="AJ239" s="116">
        <f t="shared" si="487"/>
        <v>519.61284000615842</v>
      </c>
      <c r="AK239" s="114">
        <f>+AV239/$AX$14</f>
        <v>2.1135547057002497E-3</v>
      </c>
      <c r="AL239" s="115">
        <f t="shared" si="476"/>
        <v>0.28163081411163265</v>
      </c>
      <c r="AM239" s="115">
        <f t="shared" si="477"/>
        <v>0.40785402021391232</v>
      </c>
      <c r="AN239" s="115">
        <f t="shared" si="478"/>
        <v>0.31051516567445508</v>
      </c>
      <c r="AO239" s="115">
        <f t="shared" si="489"/>
        <v>5.854803810534269E-2</v>
      </c>
      <c r="AP239" s="166">
        <f t="shared" si="491"/>
        <v>147.4757206385153</v>
      </c>
      <c r="AQ239" s="168">
        <f t="shared" si="492"/>
        <v>5.8548038105342731E-2</v>
      </c>
      <c r="AR239" s="69">
        <f>+AD239/$AF$14</f>
        <v>4.1205418641265777E-3</v>
      </c>
      <c r="AS239" s="169">
        <f t="shared" si="490"/>
        <v>2.4124964207554285E-4</v>
      </c>
      <c r="AT239" s="115"/>
      <c r="AU239" s="115"/>
      <c r="AV239" s="113">
        <f>IFERROR(INDEX('Total Customers'!$F$7:$AB$91,MATCH($C239,'Total Customers'!$D$7:$D$91,0),MATCH($G239,'Total Customers'!$F$5:$AB$5,0)),"NA")</f>
        <v>74349</v>
      </c>
      <c r="AW239" s="68">
        <f t="shared" si="403"/>
        <v>2.5587861080471732E-3</v>
      </c>
      <c r="AX239" s="114"/>
      <c r="AY239" s="114"/>
      <c r="AZ239" s="116">
        <v>8336812</v>
      </c>
      <c r="BA239" s="116"/>
      <c r="BB239" s="166"/>
      <c r="BC239" s="166"/>
      <c r="BD239" s="166"/>
      <c r="BE239" s="166"/>
      <c r="BF239" s="166"/>
      <c r="BG239" s="166"/>
      <c r="BH239" s="166"/>
      <c r="BI239" s="113"/>
      <c r="BJ239" s="113"/>
      <c r="BK239" s="113">
        <f>INDEX('Dist. Plant Gas Additions'!$F$7:$AE$91,MATCH($C239,'Dist. Plant Gas Additions'!$D$7:$D$91,0),MATCH(Calculation!$G239,'Dist. Plant Gas Additions'!$F$5:$AE$5,0))</f>
        <v>17213</v>
      </c>
      <c r="BL239" s="113">
        <f>INDEX('Gen. Plant Additions'!$F$7:$AE$91,MATCH($C239,'Gen. Plant Additions'!$D$7:$D$91,0),MATCH(Calculation!$G239,'Gen. Plant Additions'!$F$5:$AE$5,0))</f>
        <v>0</v>
      </c>
      <c r="BM239" s="231">
        <f t="shared" si="455"/>
        <v>1</v>
      </c>
      <c r="BN239" s="61">
        <f t="shared" si="453"/>
        <v>0</v>
      </c>
      <c r="BO239" s="113">
        <f>INDEX('Dist Plant Depreciation'!$E$7:$AD$94,MATCH($C239,'Dist Plant Depreciation'!$D$7:$D$94,0),MATCH(Calculation!$G239,'Dist Plant Depreciation'!$E$5:$AD$5,0))</f>
        <v>62761</v>
      </c>
      <c r="BP239" s="113">
        <f>INDEX('Gen. Plant Depreciation'!$E$7:$AD$94,MATCH($C239,'Gen. Plant Depreciation'!$D$7:$D$94,0),MATCH(Calculation!$G239,'Gen. Plant Depreciation'!$E$5:$AD$5,0))</f>
        <v>0</v>
      </c>
      <c r="BQ239" s="113"/>
      <c r="BR239" s="113"/>
      <c r="BS239" s="113"/>
      <c r="BT239" s="113"/>
      <c r="BU239" s="113"/>
      <c r="BV239" s="113"/>
      <c r="BW239" s="113">
        <f>INDEX('Gross Dx Plant'!$E$7:$AD$91,MATCH($C239,'Gross Dx Plant'!$D$7:$D$91,0),MATCH(Calculation!$G239,'Gross Dx Plant'!$E$5:$AD$5,0))</f>
        <v>230224</v>
      </c>
      <c r="BX239" s="113">
        <f>INDEX('Gross Gen Plant'!$E$7:$AD$91,MATCH($C239,'Gross Gen Plant'!$D$7:$D$91,0),MATCH(Calculation!$G239,'Gross Gen Plant'!$E$5:$AD$5,0))</f>
        <v>0</v>
      </c>
      <c r="BY239" s="113">
        <f t="shared" si="444"/>
        <v>167463</v>
      </c>
      <c r="BZ239" s="113"/>
      <c r="CA239" s="116">
        <v>2009</v>
      </c>
      <c r="CB239" s="113"/>
      <c r="CC239" s="113"/>
      <c r="CD239" s="113"/>
      <c r="CE239" s="175"/>
      <c r="CF239" s="113">
        <f t="shared" si="456"/>
        <v>17213</v>
      </c>
      <c r="CG239" s="113">
        <f t="shared" si="457"/>
        <v>31.242930454492072</v>
      </c>
      <c r="CH239" s="178">
        <v>0.93567251461988299</v>
      </c>
      <c r="CI239" s="61">
        <f>+CI228*CH239+CG229*CH238+CG230*CH237+CG231*CH236+CG232*CH235+CG233*CH234+CG234*CH233+CG235*CH232+CG236*CH231+CG237*CH230+CG238*CH229+CG239</f>
        <v>661.4813414686422</v>
      </c>
      <c r="CJ239" s="114">
        <f t="shared" si="458"/>
        <v>4.1653660601160047E-2</v>
      </c>
      <c r="CK239" s="114"/>
      <c r="CL239" s="169">
        <f t="shared" si="459"/>
        <v>6.7073428621328103E-3</v>
      </c>
      <c r="CM239" s="169">
        <f t="shared" si="468"/>
        <v>6.5154218058302961E-3</v>
      </c>
      <c r="CN239" s="114">
        <f>VLOOKUP($H239,RoR!$E:$F,2,FALSE)</f>
        <v>5.3133333333333324E-2</v>
      </c>
      <c r="CO239" s="169">
        <v>7.7972502758210105E-3</v>
      </c>
      <c r="CP239" s="169">
        <f t="shared" si="466"/>
        <v>4.5336083057512314E-2</v>
      </c>
      <c r="CQ239" s="169">
        <f t="shared" si="469"/>
        <v>2.438651980270333E-2</v>
      </c>
      <c r="CR239" s="169">
        <f t="shared" si="470"/>
        <v>6.3720160300892073E-2</v>
      </c>
      <c r="CS239" s="179">
        <f t="shared" si="460"/>
        <v>0.85329623209999994</v>
      </c>
      <c r="CT239" s="180">
        <f t="shared" si="461"/>
        <v>0.96515780330083989</v>
      </c>
      <c r="CU239" s="180">
        <f t="shared" si="462"/>
        <v>0.50448557089084056</v>
      </c>
      <c r="CV239" s="180">
        <f t="shared" si="463"/>
        <v>0.87391435735465484</v>
      </c>
      <c r="CW239" s="180">
        <f t="shared" si="464"/>
        <v>0.42551605393279146</v>
      </c>
      <c r="CX239" s="181">
        <f>INDEX('State Tax Lookup'!$D$7:$Z$91,MATCH(Calculation!$C239,'State Tax Lookup'!$B$7:$B$91,0),MATCH($H239,'State Tax Lookup'!$D$6:$Z$6,0))</f>
        <v>0.39649667</v>
      </c>
      <c r="CY239" s="72">
        <v>0.37</v>
      </c>
      <c r="CZ239" s="70">
        <f t="shared" si="467"/>
        <v>18.906458183459502</v>
      </c>
      <c r="DA239" s="70">
        <v>17.478615056163342</v>
      </c>
      <c r="DB239" s="69">
        <f t="shared" si="471"/>
        <v>-4.1264422373620498E-2</v>
      </c>
      <c r="DC239" s="111">
        <f>VLOOKUP($H239,RoR!$E:$F,2,FALSE)</f>
        <v>5.3133333333333324E-2</v>
      </c>
      <c r="DD239" s="216">
        <f>HLOOKUP($H239,'GDP-PI'!$D$8:$CQ$11,3,FALSE)</f>
        <v>7.7972502758210105E-3</v>
      </c>
      <c r="DE239" s="111">
        <f>VLOOKUP(H239,'HW Dx Data'!$E:$F,2,FALSE)</f>
        <v>550.94063679692806</v>
      </c>
      <c r="DF239" s="72">
        <f t="shared" si="479"/>
        <v>110.925</v>
      </c>
      <c r="DG239" s="69">
        <f t="shared" si="480"/>
        <v>2.7649425000884052E-2</v>
      </c>
      <c r="DH239" s="66">
        <f>HLOOKUP(H239,'GDP-PI'!$8:$9,2,FALSE)</f>
        <v>94.998999999999995</v>
      </c>
      <c r="DI239" s="69">
        <f t="shared" si="472"/>
        <v>7.7670088183096342E-3</v>
      </c>
      <c r="EB239"/>
    </row>
    <row r="240" spans="1:132" s="160" customFormat="1" ht="21">
      <c r="A240" s="160" t="s">
        <v>173</v>
      </c>
      <c r="B240" s="161" t="s">
        <v>173</v>
      </c>
      <c r="C240" s="161">
        <v>4057076</v>
      </c>
      <c r="D240" s="161" t="s">
        <v>171</v>
      </c>
      <c r="E240" s="161" t="s">
        <v>3</v>
      </c>
      <c r="F240" s="161"/>
      <c r="G240" s="161" t="s">
        <v>126</v>
      </c>
      <c r="H240" s="162">
        <v>2010</v>
      </c>
      <c r="I240" s="163"/>
      <c r="J240" s="159">
        <f>IFERROR(INDEX('Labor Expenditures'!$F$7:$X$91,MATCH($C240,'Labor Expenditures'!$D$7:$D$91,0),MATCH($G240,'Labor Expenditures'!$F$5:$X$5,0)),"NA")</f>
        <v>12820.685218056511</v>
      </c>
      <c r="K240" s="159">
        <f t="shared" si="473"/>
        <v>109.64879382558487</v>
      </c>
      <c r="L240" s="165">
        <f t="shared" si="481"/>
        <v>0.11144078868215028</v>
      </c>
      <c r="M240" s="76">
        <f t="shared" si="482"/>
        <v>5.0708139970707174E-4</v>
      </c>
      <c r="N240" s="62">
        <f t="shared" si="488"/>
        <v>97.587777908468041</v>
      </c>
      <c r="O240" s="96">
        <f t="shared" si="483"/>
        <v>-0.19274857890360642</v>
      </c>
      <c r="P240" s="96"/>
      <c r="Q240" s="159">
        <f>IFERROR(INDEX('Non-Labor Expenditures'!$F$7:$AB$91,MATCH($C240,'Non-Labor Expenditures'!$D$7:$D$91,0),MATCH($G240,'Non-Labor Expenditures'!$F$5:$AB$5,0)),"NA")</f>
        <v>18566.746769438272</v>
      </c>
      <c r="R240" s="159">
        <f t="shared" si="474"/>
        <v>193.1842675445408</v>
      </c>
      <c r="S240" s="165">
        <f t="shared" si="484"/>
        <v>0.15250259622197643</v>
      </c>
      <c r="T240" s="165">
        <f t="shared" si="485"/>
        <v>6.9392213448672864E-4</v>
      </c>
      <c r="U240" s="165"/>
      <c r="V240" s="165"/>
      <c r="W240" s="159">
        <f t="shared" si="454"/>
        <v>12832.04222950962</v>
      </c>
      <c r="X240" s="163"/>
      <c r="Y240" s="167">
        <v>676.20952420141441</v>
      </c>
      <c r="Z240" s="168">
        <v>2.2021198302222569E-2</v>
      </c>
      <c r="AA240" s="76">
        <f t="shared" si="475"/>
        <v>1.0020155268433219E-4</v>
      </c>
      <c r="AB240" s="168"/>
      <c r="AC240" s="168"/>
      <c r="AD240" s="163">
        <f t="shared" si="465"/>
        <v>44219.474217004405</v>
      </c>
      <c r="AE240" s="168">
        <f t="shared" si="486"/>
        <v>0.13506634544206433</v>
      </c>
      <c r="AF240" s="163"/>
      <c r="AG240" s="163"/>
      <c r="AH240" s="163"/>
      <c r="AI240" s="163"/>
      <c r="AJ240" s="116">
        <f t="shared" si="487"/>
        <v>590.12803898206914</v>
      </c>
      <c r="AK240" s="114">
        <f>+AV240/$AX$15</f>
        <v>2.1184731183877935E-3</v>
      </c>
      <c r="AL240" s="115">
        <f t="shared" si="476"/>
        <v>0.28993300904347641</v>
      </c>
      <c r="AM240" s="115">
        <f t="shared" si="477"/>
        <v>0.41987714911134133</v>
      </c>
      <c r="AN240" s="115">
        <f t="shared" si="478"/>
        <v>0.29018984184518221</v>
      </c>
      <c r="AO240" s="115">
        <f t="shared" si="489"/>
        <v>9.4963337765271993E-2</v>
      </c>
      <c r="AP240" s="166">
        <f t="shared" si="491"/>
        <v>162.16703660129843</v>
      </c>
      <c r="AQ240" s="168">
        <f t="shared" si="492"/>
        <v>9.4963337765272007E-2</v>
      </c>
      <c r="AR240" s="69">
        <f>+AD240/$AF$15</f>
        <v>4.5502316136092824E-3</v>
      </c>
      <c r="AS240" s="169">
        <f t="shared" si="490"/>
        <v>4.3210518163339697E-4</v>
      </c>
      <c r="AT240" s="115"/>
      <c r="AU240" s="115"/>
      <c r="AV240" s="113">
        <f>IFERROR(INDEX('Total Customers'!$F$7:$AB$91,MATCH($C240,'Total Customers'!$D$7:$D$91,0),MATCH($G240,'Total Customers'!$F$5:$AB$5,0)),"NA")</f>
        <v>74932</v>
      </c>
      <c r="AW240" s="68">
        <f t="shared" si="403"/>
        <v>7.8108126822246746E-3</v>
      </c>
      <c r="AX240" s="114"/>
      <c r="AY240" s="114"/>
      <c r="AZ240" s="116">
        <v>8403441</v>
      </c>
      <c r="BA240" s="116"/>
      <c r="BB240" s="166"/>
      <c r="BC240" s="166"/>
      <c r="BD240" s="166"/>
      <c r="BE240" s="166"/>
      <c r="BF240" s="166"/>
      <c r="BG240" s="166"/>
      <c r="BH240" s="166"/>
      <c r="BI240" s="113"/>
      <c r="BJ240" s="113"/>
      <c r="BK240" s="113">
        <f>INDEX('Dist. Plant Gas Additions'!$F$7:$AE$91,MATCH($C240,'Dist. Plant Gas Additions'!$D$7:$D$91,0),MATCH(Calculation!$G240,'Dist. Plant Gas Additions'!$F$5:$AE$5,0))</f>
        <v>10974</v>
      </c>
      <c r="BL240" s="113">
        <f>INDEX('Gen. Plant Additions'!$F$7:$AE$91,MATCH($C240,'Gen. Plant Additions'!$D$7:$D$91,0),MATCH(Calculation!$G240,'Gen. Plant Additions'!$F$5:$AE$5,0))</f>
        <v>0</v>
      </c>
      <c r="BM240" s="231">
        <f t="shared" si="455"/>
        <v>1</v>
      </c>
      <c r="BN240" s="61">
        <f t="shared" si="453"/>
        <v>0</v>
      </c>
      <c r="BO240" s="113">
        <f>INDEX('Dist Plant Depreciation'!$E$7:$AD$94,MATCH($C240,'Dist Plant Depreciation'!$D$7:$D$94,0),MATCH(Calculation!$G240,'Dist Plant Depreciation'!$E$5:$AD$5,0))</f>
        <v>67170</v>
      </c>
      <c r="BP240" s="113">
        <f>INDEX('Gen. Plant Depreciation'!$E$7:$AD$94,MATCH($C240,'Gen. Plant Depreciation'!$D$7:$D$94,0),MATCH(Calculation!$G240,'Gen. Plant Depreciation'!$E$5:$AD$5,0))</f>
        <v>0</v>
      </c>
      <c r="BQ240" s="113"/>
      <c r="BR240" s="113"/>
      <c r="BS240" s="113"/>
      <c r="BT240" s="113"/>
      <c r="BU240" s="113"/>
      <c r="BV240" s="113"/>
      <c r="BW240" s="113">
        <f>INDEX('Gross Dx Plant'!$E$7:$AD$91,MATCH($C240,'Gross Dx Plant'!$D$7:$D$91,0),MATCH(Calculation!$G240,'Gross Dx Plant'!$E$5:$AD$5,0))</f>
        <v>240247</v>
      </c>
      <c r="BX240" s="113">
        <f>INDEX('Gross Gen Plant'!$E$7:$AD$91,MATCH($C240,'Gross Gen Plant'!$D$7:$D$91,0),MATCH(Calculation!$G240,'Gross Gen Plant'!$E$5:$AD$5,0))</f>
        <v>0</v>
      </c>
      <c r="BY240" s="113">
        <f t="shared" si="444"/>
        <v>173077</v>
      </c>
      <c r="BZ240" s="113"/>
      <c r="CA240" s="116">
        <v>2010</v>
      </c>
      <c r="CB240" s="113"/>
      <c r="CC240" s="113"/>
      <c r="CD240" s="113"/>
      <c r="CE240" s="175"/>
      <c r="CF240" s="113">
        <f t="shared" si="456"/>
        <v>10974</v>
      </c>
      <c r="CG240" s="113">
        <f t="shared" si="457"/>
        <v>19.28682330566927</v>
      </c>
      <c r="CH240" s="178">
        <v>0.9285714285714286</v>
      </c>
      <c r="CI240" s="61">
        <f>+CI228*CH240+CG229*CH239+CG230*CH238+CG231*CH237+CG232*CH236+CG233*CH235+CG234*CH234+CG235*CH233+CG236*CH232+CG237*CH231+CG238*CH230+CG239*CH229+CG240</f>
        <v>676.20952420141441</v>
      </c>
      <c r="CJ240" s="114">
        <f t="shared" si="458"/>
        <v>2.2021198302222569E-2</v>
      </c>
      <c r="CK240" s="114"/>
      <c r="CL240" s="169">
        <f t="shared" si="459"/>
        <v>6.8915633550234653E-3</v>
      </c>
      <c r="CM240" s="169">
        <f t="shared" si="468"/>
        <v>6.7045511629549763E-3</v>
      </c>
      <c r="CN240" s="114">
        <f>VLOOKUP($H240,RoR!$E:$F,2,FALSE)</f>
        <v>4.9433333333333322E-2</v>
      </c>
      <c r="CO240" s="169">
        <v>1.1684333519300205E-2</v>
      </c>
      <c r="CP240" s="169">
        <f t="shared" si="466"/>
        <v>3.7748999814033117E-2</v>
      </c>
      <c r="CQ240" s="169">
        <f t="shared" si="469"/>
        <v>2.419739044557865E-2</v>
      </c>
      <c r="CR240" s="169">
        <f t="shared" si="470"/>
        <v>4.7937530248493419E-2</v>
      </c>
      <c r="CS240" s="179">
        <f t="shared" si="460"/>
        <v>0.85329623209999994</v>
      </c>
      <c r="CT240" s="180">
        <f t="shared" si="461"/>
        <v>1.037398205301105</v>
      </c>
      <c r="CU240" s="180">
        <f t="shared" si="462"/>
        <v>0.46926837491571133</v>
      </c>
      <c r="CV240" s="180">
        <f t="shared" si="463"/>
        <v>0.8548537519972772</v>
      </c>
      <c r="CW240" s="180">
        <f t="shared" si="464"/>
        <v>0.41615833911547367</v>
      </c>
      <c r="CX240" s="181">
        <f>INDEX('State Tax Lookup'!$D$7:$Z$91,MATCH(Calculation!$C240,'State Tax Lookup'!$B$7:$B$91,0),MATCH($H240,'State Tax Lookup'!$D$6:$Z$6,0))</f>
        <v>0.39649667</v>
      </c>
      <c r="CY240" s="72">
        <v>0.37</v>
      </c>
      <c r="CZ240" s="70">
        <f t="shared" si="467"/>
        <v>19.398948126064305</v>
      </c>
      <c r="DA240" s="70">
        <v>17.956102603965455</v>
      </c>
      <c r="DB240" s="69">
        <f t="shared" si="471"/>
        <v>2.5715277766318882E-2</v>
      </c>
      <c r="DC240" s="111">
        <f>VLOOKUP($H240,RoR!$E:$F,2,FALSE)</f>
        <v>4.9433333333333322E-2</v>
      </c>
      <c r="DD240" s="216">
        <f>HLOOKUP($H240,'GDP-PI'!$D$8:$CQ$11,3,FALSE)</f>
        <v>1.1684333519300205E-2</v>
      </c>
      <c r="DE240" s="111">
        <f>VLOOKUP(H240,'HW Dx Data'!$E:$F,2,FALSE)</f>
        <v>568.98950262971744</v>
      </c>
      <c r="DF240" s="72">
        <f t="shared" si="479"/>
        <v>116.925</v>
      </c>
      <c r="DG240" s="69">
        <f t="shared" si="480"/>
        <v>5.2678406346976722E-2</v>
      </c>
      <c r="DH240" s="66">
        <f>HLOOKUP(H240,'GDP-PI'!$8:$9,2,FALSE)</f>
        <v>96.108999999999995</v>
      </c>
      <c r="DI240" s="69">
        <f t="shared" si="472"/>
        <v>1.1616598807150427E-2</v>
      </c>
      <c r="EB240"/>
    </row>
    <row r="241" spans="1:132" s="160" customFormat="1" ht="21">
      <c r="A241" s="160" t="s">
        <v>173</v>
      </c>
      <c r="B241" s="161" t="s">
        <v>173</v>
      </c>
      <c r="C241" s="161">
        <v>4057076</v>
      </c>
      <c r="D241" s="161" t="s">
        <v>171</v>
      </c>
      <c r="E241" s="161" t="s">
        <v>3</v>
      </c>
      <c r="F241" s="161"/>
      <c r="G241" s="161" t="s">
        <v>127</v>
      </c>
      <c r="H241" s="162">
        <v>2011</v>
      </c>
      <c r="I241" s="163"/>
      <c r="J241" s="159">
        <f>IFERROR(INDEX('Labor Expenditures'!$F$7:$X$91,MATCH($C241,'Labor Expenditures'!$D$7:$D$91,0),MATCH($G241,'Labor Expenditures'!$F$5:$X$5,0)),"NA")</f>
        <v>13750.100596054281</v>
      </c>
      <c r="K241" s="159">
        <f t="shared" si="473"/>
        <v>113.75471020520604</v>
      </c>
      <c r="L241" s="165">
        <f t="shared" si="481"/>
        <v>3.6761990790441311E-2</v>
      </c>
      <c r="M241" s="76">
        <f t="shared" si="482"/>
        <v>1.7170974350432785E-4</v>
      </c>
      <c r="N241" s="62">
        <f t="shared" si="488"/>
        <v>117.2329848413081</v>
      </c>
      <c r="O241" s="96">
        <f t="shared" si="483"/>
        <v>0.1834110189415149</v>
      </c>
      <c r="P241" s="96"/>
      <c r="Q241" s="159">
        <f>IFERROR(INDEX('Non-Labor Expenditures'!$F$7:$AB$91,MATCH($C241,'Non-Labor Expenditures'!$D$7:$D$91,0),MATCH($G241,'Non-Labor Expenditures'!$F$5:$AB$5,0)),"NA")</f>
        <v>19912.71382762662</v>
      </c>
      <c r="R241" s="159">
        <f t="shared" si="474"/>
        <v>202.95900427701628</v>
      </c>
      <c r="S241" s="165">
        <f t="shared" si="484"/>
        <v>4.9359521739100916E-2</v>
      </c>
      <c r="T241" s="165">
        <f t="shared" si="485"/>
        <v>2.305509205317868E-4</v>
      </c>
      <c r="U241" s="165"/>
      <c r="V241" s="165"/>
      <c r="W241" s="159">
        <f t="shared" si="454"/>
        <v>14007.957664371148</v>
      </c>
      <c r="X241" s="163"/>
      <c r="Y241" s="167">
        <v>692.79418918676663</v>
      </c>
      <c r="Z241" s="168">
        <v>2.4229994717739938E-2</v>
      </c>
      <c r="AA241" s="76">
        <f t="shared" si="475"/>
        <v>1.1317467005013626E-4</v>
      </c>
      <c r="AB241" s="168"/>
      <c r="AC241" s="168"/>
      <c r="AD241" s="163">
        <f t="shared" si="465"/>
        <v>47670.77208805205</v>
      </c>
      <c r="AE241" s="168">
        <f t="shared" si="486"/>
        <v>7.5153180408500914E-2</v>
      </c>
      <c r="AF241" s="163"/>
      <c r="AG241" s="163"/>
      <c r="AH241" s="163"/>
      <c r="AI241" s="163"/>
      <c r="AJ241" s="116">
        <f t="shared" si="487"/>
        <v>632.28028500632729</v>
      </c>
      <c r="AK241" s="114">
        <f>+AV241/$AX$16</f>
        <v>2.1212782567585973E-3</v>
      </c>
      <c r="AL241" s="115">
        <f t="shared" si="476"/>
        <v>0.28843880629113061</v>
      </c>
      <c r="AM241" s="115">
        <f t="shared" si="477"/>
        <v>0.41771326444736639</v>
      </c>
      <c r="AN241" s="115">
        <f t="shared" si="478"/>
        <v>0.29384792926150294</v>
      </c>
      <c r="AO241" s="115">
        <f t="shared" si="489"/>
        <v>3.1302580787647603E-2</v>
      </c>
      <c r="AP241" s="166">
        <f t="shared" si="491"/>
        <v>167.32356870079067</v>
      </c>
      <c r="AQ241" s="168">
        <f t="shared" si="492"/>
        <v>3.130258078764752E-2</v>
      </c>
      <c r="AR241" s="69">
        <f>+AD241/$AF$16</f>
        <v>4.6708499679232567E-3</v>
      </c>
      <c r="AS241" s="169">
        <f t="shared" si="490"/>
        <v>1.4620965846789857E-4</v>
      </c>
      <c r="AT241" s="115"/>
      <c r="AU241" s="115"/>
      <c r="AV241" s="113">
        <f>IFERROR(INDEX('Total Customers'!$F$7:$AB$91,MATCH($C241,'Total Customers'!$D$7:$D$91,0),MATCH($G241,'Total Customers'!$F$5:$AB$5,0)),"NA")</f>
        <v>75395</v>
      </c>
      <c r="AW241" s="68">
        <f t="shared" si="403"/>
        <v>6.1599242189464025E-3</v>
      </c>
      <c r="AX241" s="114"/>
      <c r="AY241" s="114"/>
      <c r="AZ241" s="116">
        <v>8437841</v>
      </c>
      <c r="BA241" s="116"/>
      <c r="BB241" s="166"/>
      <c r="BC241" s="166"/>
      <c r="BD241" s="166"/>
      <c r="BE241" s="166"/>
      <c r="BF241" s="166"/>
      <c r="BG241" s="166"/>
      <c r="BH241" s="166"/>
      <c r="BI241" s="113"/>
      <c r="BJ241" s="113"/>
      <c r="BK241" s="113">
        <f>INDEX('Dist. Plant Gas Additions'!$F$7:$AE$91,MATCH($C241,'Dist. Plant Gas Additions'!$D$7:$D$91,0),MATCH(Calculation!$G241,'Dist. Plant Gas Additions'!$F$5:$AE$5,0))</f>
        <v>13088</v>
      </c>
      <c r="BL241" s="113">
        <f>INDEX('Gen. Plant Additions'!$F$7:$AE$91,MATCH($C241,'Gen. Plant Additions'!$D$7:$D$91,0),MATCH(Calculation!$G241,'Gen. Plant Additions'!$F$5:$AE$5,0))</f>
        <v>0</v>
      </c>
      <c r="BM241" s="231">
        <f t="shared" si="455"/>
        <v>1</v>
      </c>
      <c r="BN241" s="61">
        <f t="shared" si="453"/>
        <v>0</v>
      </c>
      <c r="BO241" s="113">
        <f>INDEX('Dist Plant Depreciation'!$E$7:$AD$94,MATCH($C241,'Dist Plant Depreciation'!$D$7:$D$94,0),MATCH(Calculation!$G241,'Dist Plant Depreciation'!$E$5:$AD$5,0))</f>
        <v>71549</v>
      </c>
      <c r="BP241" s="113">
        <f>INDEX('Gen. Plant Depreciation'!$E$7:$AD$94,MATCH($C241,'Gen. Plant Depreciation'!$D$7:$D$94,0),MATCH(Calculation!$G241,'Gen. Plant Depreciation'!$E$5:$AD$5,0))</f>
        <v>0</v>
      </c>
      <c r="BQ241" s="113"/>
      <c r="BR241" s="113"/>
      <c r="BS241" s="113"/>
      <c r="BT241" s="113"/>
      <c r="BU241" s="113"/>
      <c r="BV241" s="113"/>
      <c r="BW241" s="113">
        <f>INDEX('Gross Dx Plant'!$E$7:$AD$91,MATCH($C241,'Gross Dx Plant'!$D$7:$D$91,0),MATCH(Calculation!$G241,'Gross Dx Plant'!$E$5:$AD$5,0))</f>
        <v>252699</v>
      </c>
      <c r="BX241" s="113">
        <f>INDEX('Gross Gen Plant'!$E$7:$AD$91,MATCH($C241,'Gross Gen Plant'!$D$7:$D$91,0),MATCH(Calculation!$G241,'Gross Gen Plant'!$E$5:$AD$5,0))</f>
        <v>0</v>
      </c>
      <c r="BY241" s="113">
        <f t="shared" si="444"/>
        <v>181150</v>
      </c>
      <c r="BZ241" s="113"/>
      <c r="CA241" s="116">
        <v>2011</v>
      </c>
      <c r="CB241" s="113"/>
      <c r="CC241" s="113"/>
      <c r="CD241" s="113"/>
      <c r="CE241" s="175"/>
      <c r="CF241" s="113">
        <f t="shared" si="456"/>
        <v>13088</v>
      </c>
      <c r="CG241" s="113">
        <f t="shared" si="457"/>
        <v>21.399219345378736</v>
      </c>
      <c r="CH241" s="178">
        <v>0.92121212121212126</v>
      </c>
      <c r="CI241" s="61">
        <f>+CI228*CH241+CG229*CH240+CG230*CH239+CG231*CH238+CG232*CH237+CG233*CH236+CG234*CH235+CG235*CH234+CG236*CH233+CG237*CH232+CG238*CH231+CG239*CH230+CG240*CH229+CG241</f>
        <v>692.79418918676663</v>
      </c>
      <c r="CJ241" s="114">
        <f t="shared" si="458"/>
        <v>2.4229994717739938E-2</v>
      </c>
      <c r="CK241" s="114"/>
      <c r="CL241" s="169">
        <f t="shared" si="459"/>
        <v>7.1199150377427439E-3</v>
      </c>
      <c r="CM241" s="169">
        <f t="shared" si="468"/>
        <v>6.9062737516330068E-3</v>
      </c>
      <c r="CN241" s="114">
        <f>VLOOKUP($H241,RoR!$E:$F,2,FALSE)</f>
        <v>4.6391666666666664E-2</v>
      </c>
      <c r="CO241" s="169">
        <v>2.0840920205183799E-2</v>
      </c>
      <c r="CP241" s="169">
        <f t="shared" si="466"/>
        <v>2.5550746461482865E-2</v>
      </c>
      <c r="CQ241" s="169">
        <f t="shared" si="469"/>
        <v>2.3995667856900618E-2</v>
      </c>
      <c r="CR241" s="169">
        <f t="shared" si="470"/>
        <v>2.4810540821321614E-2</v>
      </c>
      <c r="CS241" s="179">
        <f t="shared" si="460"/>
        <v>0.85329623209999994</v>
      </c>
      <c r="CT241" s="180">
        <f t="shared" si="461"/>
        <v>1.1054151524782025</v>
      </c>
      <c r="CU241" s="180">
        <f t="shared" si="462"/>
        <v>0.43611011316687626</v>
      </c>
      <c r="CV241" s="180">
        <f t="shared" si="463"/>
        <v>0.83698442246886229</v>
      </c>
      <c r="CW241" s="180">
        <f t="shared" si="464"/>
        <v>0.40349573304423936</v>
      </c>
      <c r="CX241" s="181">
        <f>INDEX('State Tax Lookup'!$D$7:$Z$91,MATCH(Calculation!$C241,'State Tax Lookup'!$B$7:$B$91,0),MATCH($H241,'State Tax Lookup'!$D$6:$Z$6,0))</f>
        <v>0.39649667</v>
      </c>
      <c r="CY241" s="72">
        <v>0.37</v>
      </c>
      <c r="CZ241" s="70">
        <f t="shared" si="467"/>
        <v>20.715410184312585</v>
      </c>
      <c r="DA241" s="70">
        <v>19.146574949201604</v>
      </c>
      <c r="DB241" s="69">
        <f t="shared" si="471"/>
        <v>6.5659032358469802E-2</v>
      </c>
      <c r="DC241" s="111">
        <f>VLOOKUP($H241,RoR!$E:$F,2,FALSE)</f>
        <v>4.6391666666666664E-2</v>
      </c>
      <c r="DD241" s="216">
        <f>HLOOKUP($H241,'GDP-PI'!$D$8:$CQ$11,3,FALSE)</f>
        <v>2.0840920205183799E-2</v>
      </c>
      <c r="DE241" s="111">
        <f>VLOOKUP(H241,'HW Dx Data'!$E:$F,2,FALSE)</f>
        <v>611.61109612283201</v>
      </c>
      <c r="DF241" s="72">
        <f t="shared" si="479"/>
        <v>120.875</v>
      </c>
      <c r="DG241" s="69">
        <f t="shared" si="480"/>
        <v>3.3224250161508609E-2</v>
      </c>
      <c r="DH241" s="66">
        <f>HLOOKUP(H241,'GDP-PI'!$8:$9,2,FALSE)</f>
        <v>98.111999999999995</v>
      </c>
      <c r="DI241" s="69">
        <f t="shared" si="472"/>
        <v>2.0626719212849295E-2</v>
      </c>
      <c r="EB241"/>
    </row>
    <row r="242" spans="1:132" s="160" customFormat="1" ht="21">
      <c r="A242" s="160" t="s">
        <v>173</v>
      </c>
      <c r="B242" s="161" t="s">
        <v>173</v>
      </c>
      <c r="C242" s="161">
        <v>4057076</v>
      </c>
      <c r="D242" s="161" t="s">
        <v>171</v>
      </c>
      <c r="E242" s="161" t="s">
        <v>3</v>
      </c>
      <c r="F242" s="161"/>
      <c r="G242" s="161" t="s">
        <v>128</v>
      </c>
      <c r="H242" s="162">
        <v>2012</v>
      </c>
      <c r="I242" s="163"/>
      <c r="J242" s="159">
        <f>IFERROR(INDEX('Labor Expenditures'!$F$7:$X$91,MATCH($C242,'Labor Expenditures'!$D$7:$D$91,0),MATCH($G242,'Labor Expenditures'!$F$5:$X$5,0)),"NA")</f>
        <v>13681.900192801932</v>
      </c>
      <c r="K242" s="159">
        <f t="shared" si="473"/>
        <v>109.63061051924623</v>
      </c>
      <c r="L242" s="165">
        <f t="shared" si="481"/>
        <v>-3.6927836793486164E-2</v>
      </c>
      <c r="M242" s="76">
        <f t="shared" si="482"/>
        <v>-1.6924607871450978E-4</v>
      </c>
      <c r="N242" s="62">
        <f t="shared" si="488"/>
        <v>114.99485337415497</v>
      </c>
      <c r="O242" s="96">
        <f t="shared" si="483"/>
        <v>-1.9275904077849407E-2</v>
      </c>
      <c r="P242" s="96"/>
      <c r="Q242" s="159">
        <f>IFERROR(INDEX('Non-Labor Expenditures'!$F$7:$AB$91,MATCH($C242,'Non-Labor Expenditures'!$D$7:$D$91,0),MATCH($G242,'Non-Labor Expenditures'!$F$5:$AB$5,0)),"NA")</f>
        <v>19813.946905638975</v>
      </c>
      <c r="R242" s="159">
        <f t="shared" si="474"/>
        <v>198.13946905638974</v>
      </c>
      <c r="S242" s="165">
        <f t="shared" si="484"/>
        <v>-2.4032837370359762E-2</v>
      </c>
      <c r="T242" s="165">
        <f t="shared" si="485"/>
        <v>-1.1014627009059992E-4</v>
      </c>
      <c r="U242" s="165"/>
      <c r="V242" s="165"/>
      <c r="W242" s="159">
        <f t="shared" si="454"/>
        <v>15516.585092517404</v>
      </c>
      <c r="X242" s="163"/>
      <c r="Y242" s="167">
        <v>716.77546683201854</v>
      </c>
      <c r="Z242" s="168">
        <v>3.4029665334649156E-2</v>
      </c>
      <c r="AA242" s="76">
        <f t="shared" si="475"/>
        <v>1.5596330351179345E-4</v>
      </c>
      <c r="AB242" s="168"/>
      <c r="AC242" s="168"/>
      <c r="AD242" s="163">
        <f t="shared" si="465"/>
        <v>49012.432190958309</v>
      </c>
      <c r="AE242" s="168">
        <f t="shared" si="486"/>
        <v>2.7755518508044228E-2</v>
      </c>
      <c r="AF242" s="163"/>
      <c r="AG242" s="163"/>
      <c r="AH242" s="163"/>
      <c r="AI242" s="163"/>
      <c r="AJ242" s="116">
        <f t="shared" si="487"/>
        <v>647.45617161107407</v>
      </c>
      <c r="AK242" s="114">
        <f>+AV242/$AX$17</f>
        <v>2.1196526267354167E-3</v>
      </c>
      <c r="AL242" s="115">
        <f t="shared" si="476"/>
        <v>0.27915162707077273</v>
      </c>
      <c r="AM242" s="115">
        <f t="shared" si="477"/>
        <v>0.40426369433048054</v>
      </c>
      <c r="AN242" s="115">
        <f t="shared" si="478"/>
        <v>0.31658467859874673</v>
      </c>
      <c r="AO242" s="115">
        <f t="shared" si="489"/>
        <v>-2.0357162730611677E-2</v>
      </c>
      <c r="AP242" s="166">
        <f t="shared" si="491"/>
        <v>163.95177213232662</v>
      </c>
      <c r="AQ242" s="168">
        <f t="shared" si="492"/>
        <v>-2.0357162730611604E-2</v>
      </c>
      <c r="AR242" s="69">
        <f>+AD242/$AF$17</f>
        <v>4.5831571359296009E-3</v>
      </c>
      <c r="AS242" s="169">
        <f t="shared" si="490"/>
        <v>-9.3300075636082688E-5</v>
      </c>
      <c r="AT242" s="115"/>
      <c r="AU242" s="115"/>
      <c r="AV242" s="113">
        <f>IFERROR(INDEX('Total Customers'!$F$7:$AB$91,MATCH($C242,'Total Customers'!$D$7:$D$91,0),MATCH($G242,'Total Customers'!$F$5:$AB$5,0)),"NA")</f>
        <v>75700</v>
      </c>
      <c r="AW242" s="68">
        <f t="shared" si="403"/>
        <v>4.0372006256442087E-3</v>
      </c>
      <c r="AX242" s="114"/>
      <c r="AY242" s="114"/>
      <c r="AZ242" s="116">
        <v>8485072</v>
      </c>
      <c r="BA242" s="116"/>
      <c r="BB242" s="166"/>
      <c r="BC242" s="166"/>
      <c r="BD242" s="166"/>
      <c r="BE242" s="166"/>
      <c r="BF242" s="166"/>
      <c r="BG242" s="166"/>
      <c r="BH242" s="166"/>
      <c r="BI242" s="113"/>
      <c r="BJ242" s="113"/>
      <c r="BK242" s="113">
        <f>INDEX('Dist. Plant Gas Additions'!$F$7:$AE$91,MATCH($C242,'Dist. Plant Gas Additions'!$D$7:$D$91,0),MATCH(Calculation!$G242,'Dist. Plant Gas Additions'!$F$5:$AE$5,0))</f>
        <v>19448</v>
      </c>
      <c r="BL242" s="113">
        <f>INDEX('Gen. Plant Additions'!$F$7:$AE$91,MATCH($C242,'Gen. Plant Additions'!$D$7:$D$91,0),MATCH(Calculation!$G242,'Gen. Plant Additions'!$F$5:$AE$5,0))</f>
        <v>0</v>
      </c>
      <c r="BM242" s="231">
        <f t="shared" si="455"/>
        <v>1</v>
      </c>
      <c r="BN242" s="61">
        <f t="shared" si="453"/>
        <v>0</v>
      </c>
      <c r="BO242" s="113">
        <f>INDEX('Dist Plant Depreciation'!$E$7:$AD$94,MATCH($C242,'Dist Plant Depreciation'!$D$7:$D$94,0),MATCH(Calculation!$G242,'Dist Plant Depreciation'!$E$5:$AD$5,0))</f>
        <v>75443</v>
      </c>
      <c r="BP242" s="113">
        <f>INDEX('Gen. Plant Depreciation'!$E$7:$AD$94,MATCH($C242,'Gen. Plant Depreciation'!$D$7:$D$94,0),MATCH(Calculation!$G242,'Gen. Plant Depreciation'!$E$5:$AD$5,0))</f>
        <v>0</v>
      </c>
      <c r="BQ242" s="113"/>
      <c r="BR242" s="113"/>
      <c r="BS242" s="113"/>
      <c r="BT242" s="113"/>
      <c r="BU242" s="113"/>
      <c r="BV242" s="113"/>
      <c r="BW242" s="113">
        <f>INDEX('Gross Dx Plant'!$E$7:$AD$91,MATCH($C242,'Gross Dx Plant'!$D$7:$D$91,0),MATCH(Calculation!$G242,'Gross Dx Plant'!$E$5:$AD$5,0))</f>
        <v>270716</v>
      </c>
      <c r="BX242" s="113">
        <f>INDEX('Gross Gen Plant'!$E$7:$AD$91,MATCH($C242,'Gross Gen Plant'!$D$7:$D$91,0),MATCH(Calculation!$G242,'Gross Gen Plant'!$E$5:$AD$5,0))</f>
        <v>0</v>
      </c>
      <c r="BY242" s="113">
        <f t="shared" si="444"/>
        <v>195273</v>
      </c>
      <c r="BZ242" s="113"/>
      <c r="CA242" s="116">
        <v>2012</v>
      </c>
      <c r="CB242" s="113"/>
      <c r="CC242" s="113"/>
      <c r="CD242" s="113"/>
      <c r="CE242" s="175"/>
      <c r="CF242" s="113">
        <f t="shared" si="456"/>
        <v>19448</v>
      </c>
      <c r="CG242" s="113">
        <f t="shared" si="457"/>
        <v>29.073760253446029</v>
      </c>
      <c r="CH242" s="178">
        <v>0.9135802469135802</v>
      </c>
      <c r="CI242" s="61">
        <f>+CI228*CH242+CG229*CH241+CG230*CH240+CG231*CH239+CG232*CH238+CG233*CH237+CG234*CH236+CG235*CH235+CG236*CH234+CG237*CH233+CG238*CH232+CG239*CH231+CG240*CH230+CG241*CH229+CG242</f>
        <v>716.77546683201854</v>
      </c>
      <c r="CJ242" s="114">
        <f t="shared" si="458"/>
        <v>3.4029665334649156E-2</v>
      </c>
      <c r="CK242" s="114"/>
      <c r="CL242" s="169">
        <f t="shared" si="459"/>
        <v>7.3506427849400835E-3</v>
      </c>
      <c r="CM242" s="169">
        <f t="shared" si="468"/>
        <v>7.1207070592354304E-3</v>
      </c>
      <c r="CN242" s="114">
        <f>VLOOKUP($H242,RoR!$E:$F,2,FALSE)</f>
        <v>3.6733333333333333E-2</v>
      </c>
      <c r="CO242" s="169">
        <v>1.924331376386168E-2</v>
      </c>
      <c r="CP242" s="169">
        <f t="shared" si="466"/>
        <v>1.7490019569471653E-2</v>
      </c>
      <c r="CQ242" s="169">
        <f t="shared" si="469"/>
        <v>2.3781234549298196E-2</v>
      </c>
      <c r="CR242" s="169">
        <f t="shared" si="470"/>
        <v>6.7122682943869583E-2</v>
      </c>
      <c r="CS242" s="179">
        <f t="shared" si="460"/>
        <v>0.85329623209999994</v>
      </c>
      <c r="CT242" s="180">
        <f t="shared" si="461"/>
        <v>1.3960631020522127</v>
      </c>
      <c r="CU242" s="180">
        <f t="shared" si="462"/>
        <v>0.29441923774954631</v>
      </c>
      <c r="CV242" s="180">
        <f t="shared" si="463"/>
        <v>0.76377954189366437</v>
      </c>
      <c r="CW242" s="180">
        <f t="shared" si="464"/>
        <v>0.31393465103033691</v>
      </c>
      <c r="CX242" s="181">
        <f>INDEX('State Tax Lookup'!$D$7:$Z$91,MATCH(Calculation!$C242,'State Tax Lookup'!$B$7:$B$91,0),MATCH($H242,'State Tax Lookup'!$D$6:$Z$6,0))</f>
        <v>0.39649667</v>
      </c>
      <c r="CY242" s="72">
        <v>0.37</v>
      </c>
      <c r="CZ242" s="70">
        <f t="shared" si="467"/>
        <v>22.397106290298822</v>
      </c>
      <c r="DA242" s="70">
        <v>20.759737328210988</v>
      </c>
      <c r="DB242" s="69">
        <f t="shared" si="471"/>
        <v>7.8053890395473904E-2</v>
      </c>
      <c r="DC242" s="111">
        <f>VLOOKUP($H242,RoR!$E:$F,2,FALSE)</f>
        <v>3.6733333333333333E-2</v>
      </c>
      <c r="DD242" s="216">
        <f>HLOOKUP($H242,'GDP-PI'!$D$8:$CQ$11,3,FALSE)</f>
        <v>1.924331376386168E-2</v>
      </c>
      <c r="DE242" s="111">
        <f>VLOOKUP(H242,'HW Dx Data'!$E:$F,2,FALSE)</f>
        <v>668.91932211262167</v>
      </c>
      <c r="DF242" s="72">
        <f t="shared" si="479"/>
        <v>124.80000000000001</v>
      </c>
      <c r="DG242" s="69">
        <f t="shared" si="480"/>
        <v>3.1955502161869064E-2</v>
      </c>
      <c r="DH242" s="66">
        <f>HLOOKUP(H242,'GDP-PI'!$8:$9,2,FALSE)</f>
        <v>100</v>
      </c>
      <c r="DI242" s="69">
        <f t="shared" si="472"/>
        <v>1.9060502738742411E-2</v>
      </c>
      <c r="EB242"/>
    </row>
    <row r="243" spans="1:132" s="160" customFormat="1" ht="21">
      <c r="A243" s="160" t="s">
        <v>173</v>
      </c>
      <c r="B243" s="161" t="s">
        <v>173</v>
      </c>
      <c r="C243" s="161">
        <v>4057076</v>
      </c>
      <c r="D243" s="161" t="s">
        <v>171</v>
      </c>
      <c r="E243" s="161" t="s">
        <v>3</v>
      </c>
      <c r="F243" s="161"/>
      <c r="G243" s="161" t="s">
        <v>129</v>
      </c>
      <c r="H243" s="162">
        <v>2013</v>
      </c>
      <c r="I243" s="163"/>
      <c r="J243" s="159">
        <f>IFERROR(INDEX('Labor Expenditures'!$F$7:$X$91,MATCH($C243,'Labor Expenditures'!$D$7:$D$91,0),MATCH($G243,'Labor Expenditures'!$F$5:$X$5,0)),"NA")</f>
        <v>14451.438658423232</v>
      </c>
      <c r="K243" s="159">
        <f t="shared" si="473"/>
        <v>113.97033642289615</v>
      </c>
      <c r="L243" s="165">
        <f t="shared" si="481"/>
        <v>3.8821579140442118E-2</v>
      </c>
      <c r="M243" s="76">
        <f t="shared" si="482"/>
        <v>1.7907137121047021E-4</v>
      </c>
      <c r="N243" s="62">
        <f t="shared" si="488"/>
        <v>108.33832738613825</v>
      </c>
      <c r="O243" s="96">
        <f t="shared" si="483"/>
        <v>-5.9628382545502671E-2</v>
      </c>
      <c r="P243" s="96"/>
      <c r="Q243" s="159">
        <f>IFERROR(INDEX('Non-Labor Expenditures'!$F$7:$AB$91,MATCH($C243,'Non-Labor Expenditures'!$D$7:$D$91,0),MATCH($G243,'Non-Labor Expenditures'!$F$5:$AB$5,0)),"NA")</f>
        <v>20928.382333817957</v>
      </c>
      <c r="R243" s="159">
        <f t="shared" si="474"/>
        <v>205.63786400929479</v>
      </c>
      <c r="S243" s="165">
        <f t="shared" si="484"/>
        <v>3.7145508191729786E-2</v>
      </c>
      <c r="T243" s="165">
        <f t="shared" si="485"/>
        <v>1.7134019876263729E-4</v>
      </c>
      <c r="U243" s="165"/>
      <c r="V243" s="165"/>
      <c r="W243" s="159">
        <f t="shared" si="454"/>
        <v>15780.446961228208</v>
      </c>
      <c r="X243" s="163"/>
      <c r="Y243" s="167">
        <v>765.64013199788974</v>
      </c>
      <c r="Z243" s="168">
        <v>6.5949622664719723E-2</v>
      </c>
      <c r="AA243" s="76">
        <f t="shared" si="475"/>
        <v>3.0420424987508561E-4</v>
      </c>
      <c r="AB243" s="168"/>
      <c r="AC243" s="168"/>
      <c r="AD243" s="163">
        <f t="shared" si="465"/>
        <v>51160.267953469403</v>
      </c>
      <c r="AE243" s="168">
        <f t="shared" si="486"/>
        <v>4.2889230142533194E-2</v>
      </c>
      <c r="AF243" s="163"/>
      <c r="AG243" s="163"/>
      <c r="AH243" s="163"/>
      <c r="AI243" s="163"/>
      <c r="AJ243" s="116">
        <f t="shared" si="487"/>
        <v>666.94827076014758</v>
      </c>
      <c r="AK243" s="114">
        <f>+AV243/$AX$18</f>
        <v>2.1341882105382179E-3</v>
      </c>
      <c r="AL243" s="115">
        <f t="shared" si="476"/>
        <v>0.28247386568746885</v>
      </c>
      <c r="AM243" s="115">
        <f t="shared" si="477"/>
        <v>0.40907491635603743</v>
      </c>
      <c r="AN243" s="115">
        <f t="shared" si="478"/>
        <v>0.30845121795649366</v>
      </c>
      <c r="AO243" s="115">
        <f t="shared" si="489"/>
        <v>2.6007532270155027E-2</v>
      </c>
      <c r="AP243" s="166">
        <f t="shared" si="491"/>
        <v>168.27168477720949</v>
      </c>
      <c r="AQ243" s="168">
        <f t="shared" si="492"/>
        <v>2.600753227015495E-2</v>
      </c>
      <c r="AR243" s="69">
        <f>+AD243/$AF$18</f>
        <v>4.6126761243445611E-3</v>
      </c>
      <c r="AS243" s="169">
        <f t="shared" si="490"/>
        <v>1.1996432315566444E-4</v>
      </c>
      <c r="AT243" s="115"/>
      <c r="AU243" s="115"/>
      <c r="AV243" s="113">
        <f>IFERROR(INDEX('Total Customers'!$F$7:$AB$91,MATCH($C243,'Total Customers'!$D$7:$D$91,0),MATCH($G243,'Total Customers'!$F$5:$AB$5,0)),"NA")</f>
        <v>76708</v>
      </c>
      <c r="AW243" s="68">
        <f t="shared" si="403"/>
        <v>1.3227844967866088E-2</v>
      </c>
      <c r="AX243" s="114"/>
      <c r="AY243" s="114"/>
      <c r="AZ243" s="116">
        <v>8534921</v>
      </c>
      <c r="BA243" s="116"/>
      <c r="BB243" s="166"/>
      <c r="BC243" s="166"/>
      <c r="BD243" s="166"/>
      <c r="BE243" s="166"/>
      <c r="BF243" s="166"/>
      <c r="BG243" s="166"/>
      <c r="BH243" s="166"/>
      <c r="BI243" s="113"/>
      <c r="BJ243" s="113"/>
      <c r="BK243" s="113">
        <f>INDEX('Dist. Plant Gas Additions'!$F$7:$AE$91,MATCH($C243,'Dist. Plant Gas Additions'!$D$7:$D$91,0),MATCH(Calculation!$G243,'Dist. Plant Gas Additions'!$F$5:$AE$5,0))</f>
        <v>36005</v>
      </c>
      <c r="BL243" s="113">
        <f>INDEX('Gen. Plant Additions'!$F$7:$AE$91,MATCH($C243,'Gen. Plant Additions'!$D$7:$D$91,0),MATCH(Calculation!$G243,'Gen. Plant Additions'!$F$5:$AE$5,0))</f>
        <v>0</v>
      </c>
      <c r="BM243" s="231">
        <f t="shared" si="455"/>
        <v>1</v>
      </c>
      <c r="BN243" s="61">
        <f t="shared" si="453"/>
        <v>0</v>
      </c>
      <c r="BO243" s="113">
        <f>INDEX('Dist Plant Depreciation'!$E$7:$AD$94,MATCH($C243,'Dist Plant Depreciation'!$D$7:$D$94,0),MATCH(Calculation!$G243,'Dist Plant Depreciation'!$E$5:$AD$5,0))</f>
        <v>78709</v>
      </c>
      <c r="BP243" s="113">
        <f>INDEX('Gen. Plant Depreciation'!$E$7:$AD$94,MATCH($C243,'Gen. Plant Depreciation'!$D$7:$D$94,0),MATCH(Calculation!$G243,'Gen. Plant Depreciation'!$E$5:$AD$5,0))</f>
        <v>0</v>
      </c>
      <c r="BQ243" s="113"/>
      <c r="BR243" s="113"/>
      <c r="BS243" s="113"/>
      <c r="BT243" s="113"/>
      <c r="BU243" s="113"/>
      <c r="BV243" s="113"/>
      <c r="BW243" s="113">
        <f>INDEX('Gross Dx Plant'!$E$7:$AD$91,MATCH($C243,'Gross Dx Plant'!$D$7:$D$91,0),MATCH(Calculation!$G243,'Gross Dx Plant'!$E$5:$AD$5,0))</f>
        <v>304469</v>
      </c>
      <c r="BX243" s="113">
        <f>INDEX('Gross Gen Plant'!$E$7:$AD$91,MATCH($C243,'Gross Gen Plant'!$D$7:$D$91,0),MATCH(Calculation!$G243,'Gross Gen Plant'!$E$5:$AD$5,0))</f>
        <v>0</v>
      </c>
      <c r="BY243" s="113">
        <f t="shared" si="444"/>
        <v>225760</v>
      </c>
      <c r="BZ243" s="113"/>
      <c r="CA243" s="116">
        <v>2013</v>
      </c>
      <c r="CB243" s="113"/>
      <c r="CC243" s="113"/>
      <c r="CD243" s="113"/>
      <c r="CE243" s="175"/>
      <c r="CF243" s="113">
        <f t="shared" si="456"/>
        <v>36005</v>
      </c>
      <c r="CG243" s="113">
        <f t="shared" si="457"/>
        <v>54.285844793696704</v>
      </c>
      <c r="CH243" s="178">
        <v>0.90566037735849059</v>
      </c>
      <c r="CI243" s="61">
        <f>+CI228*CH243+CG229*CH242+CG230*CH241+CG231*CH240+CG232*CH239+CG233*CH238+CG234*CH237+CG235*CH236+CG236*CH235+CG237*CH234+CG238*CH233+CG239*CH232+CG240*CH231+CG241*CH230+CG242*CH229+CG243</f>
        <v>765.64013199788974</v>
      </c>
      <c r="CJ243" s="114">
        <f t="shared" si="458"/>
        <v>6.5949622664719723E-2</v>
      </c>
      <c r="CK243" s="114"/>
      <c r="CL243" s="169">
        <f t="shared" si="459"/>
        <v>7.5632884755192026E-3</v>
      </c>
      <c r="CM243" s="169">
        <f t="shared" si="468"/>
        <v>7.3446154327340097E-3</v>
      </c>
      <c r="CN243" s="114">
        <f>VLOOKUP($H243,RoR!$E:$F,2,FALSE)</f>
        <v>4.2350000000000006E-2</v>
      </c>
      <c r="CO243" s="169">
        <v>1.7730000000000024E-2</v>
      </c>
      <c r="CP243" s="169">
        <f t="shared" si="466"/>
        <v>2.4619999999999982E-2</v>
      </c>
      <c r="CQ243" s="169">
        <f t="shared" si="469"/>
        <v>2.3557326175799614E-2</v>
      </c>
      <c r="CR243" s="169">
        <f t="shared" si="470"/>
        <v>5.3376742735721204E-2</v>
      </c>
      <c r="CS243" s="179">
        <f t="shared" si="460"/>
        <v>0.85329623209999994</v>
      </c>
      <c r="CT243" s="180">
        <f t="shared" si="461"/>
        <v>1.2109103018193925</v>
      </c>
      <c r="CU243" s="180">
        <f t="shared" si="462"/>
        <v>0.38468122786304604</v>
      </c>
      <c r="CV243" s="180">
        <f t="shared" si="463"/>
        <v>0.80969194503422559</v>
      </c>
      <c r="CW243" s="180">
        <f t="shared" si="464"/>
        <v>0.37716621754800816</v>
      </c>
      <c r="CX243" s="181">
        <f>INDEX('State Tax Lookup'!$D$7:$Z$91,MATCH(Calculation!$C243,'State Tax Lookup'!$B$7:$B$91,0),MATCH($H243,'State Tax Lookup'!$D$6:$Z$6,0))</f>
        <v>0.39649667</v>
      </c>
      <c r="CY243" s="72">
        <v>0.37</v>
      </c>
      <c r="CZ243" s="70">
        <f t="shared" si="467"/>
        <v>22.015885994220934</v>
      </c>
      <c r="DA243" s="70">
        <v>20.339519021246105</v>
      </c>
      <c r="DB243" s="69">
        <f t="shared" si="471"/>
        <v>-1.716748362458247E-2</v>
      </c>
      <c r="DC243" s="111">
        <f>VLOOKUP($H243,RoR!$E:$F,2,FALSE)</f>
        <v>4.2350000000000006E-2</v>
      </c>
      <c r="DD243" s="216">
        <f>HLOOKUP($H243,'GDP-PI'!$D$8:$CQ$11,3,FALSE)</f>
        <v>1.7730000000000024E-2</v>
      </c>
      <c r="DE243" s="111">
        <f>VLOOKUP(H243,'HW Dx Data'!$E:$F,2,FALSE)</f>
        <v>663.24840548821396</v>
      </c>
      <c r="DF243" s="72">
        <f t="shared" si="479"/>
        <v>126.8</v>
      </c>
      <c r="DG243" s="69">
        <f t="shared" si="480"/>
        <v>1.5898586067798204E-2</v>
      </c>
      <c r="DH243" s="66">
        <f>HLOOKUP(H243,'GDP-PI'!$8:$9,2,FALSE)</f>
        <v>101.773</v>
      </c>
      <c r="DI243" s="69">
        <f t="shared" si="472"/>
        <v>1.7574657016510519E-2</v>
      </c>
      <c r="EB243"/>
    </row>
    <row r="244" spans="1:132" s="160" customFormat="1" ht="21">
      <c r="A244" s="160" t="s">
        <v>173</v>
      </c>
      <c r="B244" s="161" t="s">
        <v>173</v>
      </c>
      <c r="C244" s="161">
        <v>4057076</v>
      </c>
      <c r="D244" s="161" t="s">
        <v>171</v>
      </c>
      <c r="E244" s="161" t="s">
        <v>3</v>
      </c>
      <c r="F244" s="161"/>
      <c r="G244" s="161" t="s">
        <v>130</v>
      </c>
      <c r="H244" s="162">
        <v>2014</v>
      </c>
      <c r="I244" s="163"/>
      <c r="J244" s="159">
        <f>IFERROR(INDEX('Labor Expenditures'!$F$7:$X$91,MATCH($C244,'Labor Expenditures'!$D$7:$D$91,0),MATCH($G244,'Labor Expenditures'!$F$5:$X$5,0)),"NA")</f>
        <v>14691.301987625618</v>
      </c>
      <c r="K244" s="159">
        <f t="shared" si="473"/>
        <v>113.53401845151173</v>
      </c>
      <c r="L244" s="165">
        <f t="shared" si="481"/>
        <v>-3.8356936645968531E-3</v>
      </c>
      <c r="M244" s="76">
        <f t="shared" si="482"/>
        <v>-1.7936851650827974E-5</v>
      </c>
      <c r="N244" s="62">
        <f t="shared" si="488"/>
        <v>121.24256645791981</v>
      </c>
      <c r="O244" s="96">
        <f t="shared" si="483"/>
        <v>0.11253422882658666</v>
      </c>
      <c r="P244" s="96"/>
      <c r="Q244" s="159">
        <f>IFERROR(INDEX('Non-Labor Expenditures'!$F$7:$AB$91,MATCH($C244,'Non-Labor Expenditures'!$D$7:$D$91,0),MATCH($G244,'Non-Labor Expenditures'!$F$5:$AB$5,0)),"NA")</f>
        <v>21275.74923479318</v>
      </c>
      <c r="R244" s="159">
        <f t="shared" si="474"/>
        <v>205.27124986534275</v>
      </c>
      <c r="S244" s="165">
        <f t="shared" si="484"/>
        <v>-1.7844054991780136E-3</v>
      </c>
      <c r="T244" s="165">
        <f t="shared" si="485"/>
        <v>-8.3444142109408238E-6</v>
      </c>
      <c r="U244" s="165"/>
      <c r="V244" s="165"/>
      <c r="W244" s="159">
        <f t="shared" si="454"/>
        <v>17271.406967601604</v>
      </c>
      <c r="X244" s="163"/>
      <c r="Y244" s="167">
        <v>794.11993402431949</v>
      </c>
      <c r="Z244" s="168">
        <v>3.6522242468710747E-2</v>
      </c>
      <c r="AA244" s="76">
        <f t="shared" si="475"/>
        <v>1.7078893738655404E-4</v>
      </c>
      <c r="AB244" s="168"/>
      <c r="AC244" s="168"/>
      <c r="AD244" s="163">
        <f t="shared" si="465"/>
        <v>53238.458190020407</v>
      </c>
      <c r="AE244" s="168">
        <f t="shared" si="486"/>
        <v>3.9817819236159346E-2</v>
      </c>
      <c r="AF244" s="163"/>
      <c r="AG244" s="163"/>
      <c r="AH244" s="163"/>
      <c r="AI244" s="163"/>
      <c r="AJ244" s="116">
        <f t="shared" si="487"/>
        <v>683.99124031631538</v>
      </c>
      <c r="AK244" s="114">
        <f>+AV244/$AX$19</f>
        <v>2.1539718344002878E-3</v>
      </c>
      <c r="AL244" s="115">
        <f t="shared" si="476"/>
        <v>0.27595280718290066</v>
      </c>
      <c r="AM244" s="115">
        <f t="shared" si="477"/>
        <v>0.3996312056756996</v>
      </c>
      <c r="AN244" s="115">
        <f t="shared" si="478"/>
        <v>0.32441598714139969</v>
      </c>
      <c r="AO244" s="115">
        <f t="shared" si="489"/>
        <v>-1.7925066513215667E-3</v>
      </c>
      <c r="AP244" s="166">
        <f t="shared" si="491"/>
        <v>167.97032683676417</v>
      </c>
      <c r="AQ244" s="168">
        <f t="shared" si="492"/>
        <v>-1.7925066513216966E-3</v>
      </c>
      <c r="AR244" s="69">
        <f>+AD244/$AF$19</f>
        <v>4.6762993135723236E-3</v>
      </c>
      <c r="AS244" s="169">
        <f t="shared" si="490"/>
        <v>-8.3822976231494739E-6</v>
      </c>
      <c r="AT244" s="115"/>
      <c r="AU244" s="115"/>
      <c r="AV244" s="113">
        <f>IFERROR(INDEX('Total Customers'!$F$7:$AB$91,MATCH($C244,'Total Customers'!$D$7:$D$91,0),MATCH($G244,'Total Customers'!$F$5:$AB$5,0)),"NA")</f>
        <v>77835</v>
      </c>
      <c r="AW244" s="68">
        <f t="shared" si="403"/>
        <v>1.4585196076543471E-2</v>
      </c>
      <c r="AX244" s="114"/>
      <c r="AY244" s="114"/>
      <c r="AZ244" s="116">
        <v>8599754</v>
      </c>
      <c r="BA244" s="116"/>
      <c r="BB244" s="166"/>
      <c r="BC244" s="166"/>
      <c r="BD244" s="166"/>
      <c r="BE244" s="166"/>
      <c r="BF244" s="166"/>
      <c r="BG244" s="166"/>
      <c r="BH244" s="166"/>
      <c r="BI244" s="113"/>
      <c r="BJ244" s="113"/>
      <c r="BK244" s="113">
        <f>INDEX('Dist. Plant Gas Additions'!$F$7:$AE$91,MATCH($C244,'Dist. Plant Gas Additions'!$D$7:$D$91,0),MATCH(Calculation!$G244,'Dist. Plant Gas Additions'!$F$5:$AE$5,0))</f>
        <v>23525</v>
      </c>
      <c r="BL244" s="113">
        <f>INDEX('Gen. Plant Additions'!$F$7:$AE$91,MATCH($C244,'Gen. Plant Additions'!$D$7:$D$91,0),MATCH(Calculation!$G244,'Gen. Plant Additions'!$F$5:$AE$5,0))</f>
        <v>0</v>
      </c>
      <c r="BM244" s="231">
        <f t="shared" si="455"/>
        <v>1</v>
      </c>
      <c r="BN244" s="61">
        <f t="shared" si="453"/>
        <v>0</v>
      </c>
      <c r="BO244" s="113">
        <f>INDEX('Dist Plant Depreciation'!$E$7:$AD$94,MATCH($C244,'Dist Plant Depreciation'!$D$7:$D$94,0),MATCH(Calculation!$G244,'Dist Plant Depreciation'!$E$5:$AD$5,0))</f>
        <v>84618</v>
      </c>
      <c r="BP244" s="113">
        <f>INDEX('Gen. Plant Depreciation'!$E$7:$AD$94,MATCH($C244,'Gen. Plant Depreciation'!$D$7:$D$94,0),MATCH(Calculation!$G244,'Gen. Plant Depreciation'!$E$5:$AD$5,0))</f>
        <v>0</v>
      </c>
      <c r="BQ244" s="113"/>
      <c r="BR244" s="113"/>
      <c r="BS244" s="113"/>
      <c r="BT244" s="113"/>
      <c r="BU244" s="113"/>
      <c r="BV244" s="113"/>
      <c r="BW244" s="113">
        <f>INDEX('Gross Dx Plant'!$E$7:$AD$91,MATCH($C244,'Gross Dx Plant'!$D$7:$D$91,0),MATCH(Calculation!$G244,'Gross Dx Plant'!$E$5:$AD$5,0))</f>
        <v>326724</v>
      </c>
      <c r="BX244" s="113">
        <f>INDEX('Gross Gen Plant'!$E$7:$AD$91,MATCH($C244,'Gross Gen Plant'!$D$7:$D$91,0),MATCH(Calculation!$G244,'Gross Gen Plant'!$E$5:$AD$5,0))</f>
        <v>0</v>
      </c>
      <c r="BY244" s="113">
        <f t="shared" si="444"/>
        <v>242106</v>
      </c>
      <c r="BZ244" s="113"/>
      <c r="CA244" s="116">
        <v>2014</v>
      </c>
      <c r="CB244" s="113"/>
      <c r="CC244" s="113"/>
      <c r="CD244" s="113"/>
      <c r="CE244" s="175"/>
      <c r="CF244" s="113">
        <f t="shared" si="456"/>
        <v>23525</v>
      </c>
      <c r="CG244" s="113">
        <f t="shared" si="457"/>
        <v>34.369701316310056</v>
      </c>
      <c r="CH244" s="178">
        <v>0.89743589743589747</v>
      </c>
      <c r="CI244" s="61">
        <f>+CI228*CH244+CG229*CH243+CG230*CH242+CG231*CH241+CG232*CH240+CG233*CH239+CG234*CH238+CG235*CH237+CG236*CH236+CG237*CH235+CG238*CH234+CG239*CH233+CG240*CH232+CG241*CH231+CG242*CH230+CG243*CH229+CG244</f>
        <v>794.11993402431949</v>
      </c>
      <c r="CJ244" s="114">
        <f t="shared" si="458"/>
        <v>3.6522242468710747E-2</v>
      </c>
      <c r="CK244" s="114"/>
      <c r="CL244" s="169">
        <f t="shared" si="459"/>
        <v>7.6927776428215473E-3</v>
      </c>
      <c r="CM244" s="169">
        <f t="shared" si="468"/>
        <v>7.5355696344269439E-3</v>
      </c>
      <c r="CN244" s="114">
        <f>VLOOKUP($H244,RoR!$E:$F,2,FALSE)</f>
        <v>4.1625000000000002E-2</v>
      </c>
      <c r="CO244" s="169">
        <v>1.841352814597208E-2</v>
      </c>
      <c r="CP244" s="169">
        <f t="shared" si="466"/>
        <v>2.3211471854027922E-2</v>
      </c>
      <c r="CQ244" s="169">
        <f t="shared" si="469"/>
        <v>2.3366371974106681E-2</v>
      </c>
      <c r="CR244" s="169">
        <f t="shared" si="470"/>
        <v>3.9072621432650924E-2</v>
      </c>
      <c r="CS244" s="179">
        <f t="shared" si="460"/>
        <v>0.85329623209999994</v>
      </c>
      <c r="CT244" s="180">
        <f t="shared" si="461"/>
        <v>1.2320012320012319</v>
      </c>
      <c r="CU244" s="180">
        <f t="shared" si="462"/>
        <v>0.37439939939939942</v>
      </c>
      <c r="CV244" s="180">
        <f t="shared" si="463"/>
        <v>0.80432100613819935</v>
      </c>
      <c r="CW244" s="180">
        <f t="shared" si="464"/>
        <v>0.37100152660040037</v>
      </c>
      <c r="CX244" s="181">
        <f>INDEX('State Tax Lookup'!$D$7:$Z$91,MATCH(Calculation!$C244,'State Tax Lookup'!$B$7:$B$91,0),MATCH($H244,'State Tax Lookup'!$D$6:$Z$6,0))</f>
        <v>0.39649667</v>
      </c>
      <c r="CY244" s="72">
        <v>0.37</v>
      </c>
      <c r="CZ244" s="70">
        <f t="shared" si="467"/>
        <v>22.558126521572156</v>
      </c>
      <c r="DA244" s="70">
        <v>20.763592984765573</v>
      </c>
      <c r="DB244" s="69">
        <f t="shared" si="471"/>
        <v>2.4331095502233533E-2</v>
      </c>
      <c r="DC244" s="111">
        <f>VLOOKUP($H244,RoR!$E:$F,2,FALSE)</f>
        <v>4.1625000000000002E-2</v>
      </c>
      <c r="DD244" s="216">
        <f>HLOOKUP($H244,'GDP-PI'!$D$8:$CQ$11,3,FALSE)</f>
        <v>1.841352814597208E-2</v>
      </c>
      <c r="DE244" s="111">
        <f>VLOOKUP(H244,'HW Dx Data'!$E:$F,2,FALSE)</f>
        <v>684.46914285042885</v>
      </c>
      <c r="DF244" s="72">
        <f t="shared" si="479"/>
        <v>129.4</v>
      </c>
      <c r="DG244" s="69">
        <f t="shared" si="480"/>
        <v>2.0297340063674733E-2</v>
      </c>
      <c r="DH244" s="66">
        <f>HLOOKUP(H244,'GDP-PI'!$8:$9,2,FALSE)</f>
        <v>103.64700000000001</v>
      </c>
      <c r="DI244" s="69">
        <f t="shared" si="472"/>
        <v>1.8246051898256087E-2</v>
      </c>
      <c r="EB244"/>
    </row>
    <row r="245" spans="1:132" s="160" customFormat="1" ht="21">
      <c r="A245" s="160" t="s">
        <v>173</v>
      </c>
      <c r="B245" s="161" t="s">
        <v>173</v>
      </c>
      <c r="C245" s="161">
        <v>4057076</v>
      </c>
      <c r="D245" s="161" t="s">
        <v>171</v>
      </c>
      <c r="E245" s="161" t="s">
        <v>3</v>
      </c>
      <c r="F245" s="161"/>
      <c r="G245" s="161" t="s">
        <v>132</v>
      </c>
      <c r="H245" s="162">
        <v>2015</v>
      </c>
      <c r="I245" s="163"/>
      <c r="J245" s="159">
        <f>IFERROR(INDEX('Labor Expenditures'!$F$7:$X$91,MATCH($C245,'Labor Expenditures'!$D$7:$D$91,0),MATCH($G245,'Labor Expenditures'!$F$5:$X$5,0)),"NA")</f>
        <v>14166.783364681485</v>
      </c>
      <c r="K245" s="159">
        <f t="shared" si="473"/>
        <v>106.11822745079765</v>
      </c>
      <c r="L245" s="165">
        <f t="shared" si="481"/>
        <v>-6.7548688176436014E-2</v>
      </c>
      <c r="M245" s="76">
        <f t="shared" si="482"/>
        <v>-3.070585580707704E-4</v>
      </c>
      <c r="N245" s="62">
        <f t="shared" si="488"/>
        <v>119.59491633680737</v>
      </c>
      <c r="O245" s="96">
        <f t="shared" si="483"/>
        <v>-1.3682885306602903E-2</v>
      </c>
      <c r="P245" s="96"/>
      <c r="Q245" s="159">
        <f>IFERROR(INDEX('Non-Labor Expenditures'!$F$7:$AB$91,MATCH($C245,'Non-Labor Expenditures'!$D$7:$D$91,0),MATCH($G245,'Non-Labor Expenditures'!$F$5:$AB$5,0)),"NA")</f>
        <v>20516.148302204769</v>
      </c>
      <c r="R245" s="159">
        <f t="shared" si="474"/>
        <v>196.0659821118777</v>
      </c>
      <c r="S245" s="165">
        <f t="shared" si="484"/>
        <v>-4.588102858837495E-2</v>
      </c>
      <c r="T245" s="165">
        <f t="shared" si="485"/>
        <v>-2.0856308037177818E-4</v>
      </c>
      <c r="U245" s="165"/>
      <c r="V245" s="165"/>
      <c r="W245" s="159">
        <f t="shared" si="454"/>
        <v>17580.846465619394</v>
      </c>
      <c r="X245" s="163"/>
      <c r="Y245" s="167">
        <v>842.11753915286272</v>
      </c>
      <c r="Z245" s="168">
        <v>5.8685099444613718E-2</v>
      </c>
      <c r="AA245" s="76">
        <f t="shared" si="475"/>
        <v>2.6676701653532557E-4</v>
      </c>
      <c r="AB245" s="168"/>
      <c r="AC245" s="168"/>
      <c r="AD245" s="163">
        <f t="shared" si="465"/>
        <v>52263.778132505642</v>
      </c>
      <c r="AE245" s="168">
        <f t="shared" si="486"/>
        <v>-1.8477481092071663E-2</v>
      </c>
      <c r="AF245" s="163"/>
      <c r="AG245" s="163"/>
      <c r="AH245" s="163"/>
      <c r="AI245" s="163"/>
      <c r="AJ245" s="116">
        <f t="shared" si="487"/>
        <v>660.76385825459749</v>
      </c>
      <c r="AK245" s="114">
        <f>+AV245/$AX$20</f>
        <v>2.1710698519271949E-3</v>
      </c>
      <c r="AL245" s="115">
        <f t="shared" si="476"/>
        <v>0.27106313150121086</v>
      </c>
      <c r="AM245" s="115">
        <f t="shared" si="477"/>
        <v>0.3925500420231709</v>
      </c>
      <c r="AN245" s="115">
        <f t="shared" si="478"/>
        <v>0.33638682647561835</v>
      </c>
      <c r="AO245" s="115">
        <f t="shared" si="489"/>
        <v>-3.6648149771279961E-2</v>
      </c>
      <c r="AP245" s="166">
        <f t="shared" si="491"/>
        <v>161.9259590831827</v>
      </c>
      <c r="AQ245" s="168">
        <f t="shared" si="492"/>
        <v>-3.6648149771279823E-2</v>
      </c>
      <c r="AR245" s="69">
        <f>+AD245/$AF$20</f>
        <v>4.5457368064460218E-3</v>
      </c>
      <c r="AS245" s="169">
        <f t="shared" si="490"/>
        <v>-1.6659284330345305E-4</v>
      </c>
      <c r="AT245" s="115"/>
      <c r="AU245" s="115"/>
      <c r="AV245" s="113">
        <f>IFERROR(INDEX('Total Customers'!$F$7:$AB$91,MATCH($C245,'Total Customers'!$D$7:$D$91,0),MATCH($G245,'Total Customers'!$F$5:$AB$5,0)),"NA")</f>
        <v>79096</v>
      </c>
      <c r="AW245" s="68">
        <f t="shared" si="403"/>
        <v>1.6071103107019223E-2</v>
      </c>
      <c r="AX245" s="114"/>
      <c r="AY245" s="114"/>
      <c r="AZ245" s="116">
        <v>8659109</v>
      </c>
      <c r="BA245" s="116"/>
      <c r="BB245" s="166"/>
      <c r="BC245" s="166"/>
      <c r="BD245" s="166"/>
      <c r="BE245" s="166"/>
      <c r="BF245" s="166"/>
      <c r="BG245" s="166"/>
      <c r="BH245" s="166"/>
      <c r="BI245" s="113"/>
      <c r="BJ245" s="113"/>
      <c r="BK245" s="113">
        <f>INDEX('Dist. Plant Gas Additions'!$F$7:$AE$91,MATCH($C245,'Dist. Plant Gas Additions'!$D$7:$D$91,0),MATCH(Calculation!$G245,'Dist. Plant Gas Additions'!$F$5:$AE$5,0))</f>
        <v>36670</v>
      </c>
      <c r="BL245" s="113">
        <f>INDEX('Gen. Plant Additions'!$F$7:$AE$91,MATCH($C245,'Gen. Plant Additions'!$D$7:$D$91,0),MATCH(Calculation!$G245,'Gen. Plant Additions'!$F$5:$AE$5,0))</f>
        <v>0</v>
      </c>
      <c r="BM245" s="231">
        <f t="shared" si="455"/>
        <v>1</v>
      </c>
      <c r="BN245" s="61">
        <f t="shared" si="453"/>
        <v>0</v>
      </c>
      <c r="BO245" s="113">
        <f>INDEX('Dist Plant Depreciation'!$E$7:$AD$94,MATCH($C245,'Dist Plant Depreciation'!$D$7:$D$94,0),MATCH(Calculation!$G245,'Dist Plant Depreciation'!$E$5:$AD$5,0))</f>
        <v>87192</v>
      </c>
      <c r="BP245" s="113">
        <f>INDEX('Gen. Plant Depreciation'!$E$7:$AD$94,MATCH($C245,'Gen. Plant Depreciation'!$D$7:$D$94,0),MATCH(Calculation!$G245,'Gen. Plant Depreciation'!$E$5:$AD$5,0))</f>
        <v>0</v>
      </c>
      <c r="BQ245" s="113"/>
      <c r="BR245" s="113"/>
      <c r="BS245" s="113"/>
      <c r="BT245" s="113"/>
      <c r="BU245" s="113"/>
      <c r="BV245" s="113"/>
      <c r="BW245" s="113">
        <f>INDEX('Gross Dx Plant'!$E$7:$AD$91,MATCH($C245,'Gross Dx Plant'!$D$7:$D$91,0),MATCH(Calculation!$G245,'Gross Dx Plant'!$E$5:$AD$5,0))</f>
        <v>360938</v>
      </c>
      <c r="BX245" s="113">
        <f>INDEX('Gross Gen Plant'!$E$7:$AD$91,MATCH($C245,'Gross Gen Plant'!$D$7:$D$91,0),MATCH(Calculation!$G245,'Gross Gen Plant'!$E$5:$AD$5,0))</f>
        <v>0</v>
      </c>
      <c r="BY245" s="113">
        <f t="shared" si="444"/>
        <v>273746</v>
      </c>
      <c r="BZ245" s="113"/>
      <c r="CA245" s="116">
        <v>2015</v>
      </c>
      <c r="CB245" s="113"/>
      <c r="CC245" s="113"/>
      <c r="CD245" s="113"/>
      <c r="CE245" s="175"/>
      <c r="CF245" s="113">
        <f t="shared" si="456"/>
        <v>36670</v>
      </c>
      <c r="CG245" s="113">
        <f t="shared" si="457"/>
        <v>54.276503503879134</v>
      </c>
      <c r="CH245" s="178">
        <v>0.88888888888888884</v>
      </c>
      <c r="CI245" s="61">
        <f>+CI228*CH245+CG229*CH244+CG230*CH243+CG231*CH242+CG232*CH241+CG233*CH240+CG234*CH239+CG235*CH238+CG236*CH237+CG237*CH236+CG238*CH235+CG239*CH234+CG240*CH233+CG241*CH232+CG242*CH231+CG243*CH230+CG244*CH229+CG245</f>
        <v>842.11753915286272</v>
      </c>
      <c r="CJ245" s="114">
        <f t="shared" si="458"/>
        <v>5.8685099444613718E-2</v>
      </c>
      <c r="CK245" s="114"/>
      <c r="CL245" s="169">
        <f t="shared" si="459"/>
        <v>7.9067381466130255E-3</v>
      </c>
      <c r="CM245" s="169">
        <f t="shared" si="468"/>
        <v>7.7209347549845918E-3</v>
      </c>
      <c r="CN245" s="114">
        <f>VLOOKUP($H245,RoR!$E:$F,2,FALSE)</f>
        <v>3.8866666666666674E-2</v>
      </c>
      <c r="CO245" s="169">
        <v>9.5709475431029478E-3</v>
      </c>
      <c r="CP245" s="169">
        <f t="shared" si="466"/>
        <v>2.9295719123563727E-2</v>
      </c>
      <c r="CQ245" s="169">
        <f t="shared" si="469"/>
        <v>2.3181006853549034E-2</v>
      </c>
      <c r="CR245" s="169">
        <f t="shared" si="470"/>
        <v>3.5270373279175926E-3</v>
      </c>
      <c r="CS245" s="179">
        <f t="shared" si="460"/>
        <v>0.85329623209999994</v>
      </c>
      <c r="CT245" s="180">
        <f t="shared" si="461"/>
        <v>1.3194352816994324</v>
      </c>
      <c r="CU245" s="180">
        <f t="shared" si="462"/>
        <v>0.33177530017152673</v>
      </c>
      <c r="CV245" s="180">
        <f t="shared" si="463"/>
        <v>0.78242572977668579</v>
      </c>
      <c r="CW245" s="180">
        <f t="shared" si="464"/>
        <v>0.34251158643433932</v>
      </c>
      <c r="CX245" s="181">
        <f>INDEX('State Tax Lookup'!$D$7:$Z$91,MATCH(Calculation!$C245,'State Tax Lookup'!$B$7:$B$91,0),MATCH($H245,'State Tax Lookup'!$D$6:$Z$6,0))</f>
        <v>0.39649667</v>
      </c>
      <c r="CY245" s="72">
        <v>0.37</v>
      </c>
      <c r="CZ245" s="70">
        <f t="shared" si="467"/>
        <v>22.138779940362245</v>
      </c>
      <c r="DA245" s="70">
        <v>20.279488671080099</v>
      </c>
      <c r="DB245" s="69">
        <f t="shared" si="471"/>
        <v>-1.8764559740909785E-2</v>
      </c>
      <c r="DC245" s="111">
        <f>VLOOKUP($H245,RoR!$E:$F,2,FALSE)</f>
        <v>3.8866666666666674E-2</v>
      </c>
      <c r="DD245" s="216">
        <f>HLOOKUP($H245,'GDP-PI'!$D$8:$CQ$11,3,FALSE)</f>
        <v>9.5709475431029478E-3</v>
      </c>
      <c r="DE245" s="111">
        <f>VLOOKUP(H245,'HW Dx Data'!$E:$F,2,FALSE)</f>
        <v>675.61463308665782</v>
      </c>
      <c r="DF245" s="72">
        <f t="shared" si="479"/>
        <v>133.5</v>
      </c>
      <c r="DG245" s="69">
        <f t="shared" si="480"/>
        <v>3.1193095773504077E-2</v>
      </c>
      <c r="DH245" s="66">
        <f>HLOOKUP(H245,'GDP-PI'!$8:$9,2,FALSE)</f>
        <v>104.639</v>
      </c>
      <c r="DI245" s="69">
        <f t="shared" si="472"/>
        <v>9.5254361854427965E-3</v>
      </c>
      <c r="EB245"/>
    </row>
    <row r="246" spans="1:132" s="160" customFormat="1" ht="21">
      <c r="A246" s="160" t="s">
        <v>173</v>
      </c>
      <c r="B246" s="161" t="s">
        <v>173</v>
      </c>
      <c r="C246" s="161">
        <v>4057076</v>
      </c>
      <c r="D246" s="161" t="s">
        <v>171</v>
      </c>
      <c r="E246" s="161" t="s">
        <v>3</v>
      </c>
      <c r="F246" s="161"/>
      <c r="G246" s="161" t="s">
        <v>133</v>
      </c>
      <c r="H246" s="162">
        <v>2016</v>
      </c>
      <c r="I246" s="163"/>
      <c r="J246" s="159">
        <f>IFERROR(INDEX('Labor Expenditures'!$F$7:$X$91,MATCH($C246,'Labor Expenditures'!$D$7:$D$91,0),MATCH($G246,'Labor Expenditures'!$F$5:$X$5,0)),"NA")</f>
        <v>13486.558108553112</v>
      </c>
      <c r="K246" s="159">
        <f t="shared" si="473"/>
        <v>98.477970854714229</v>
      </c>
      <c r="L246" s="165">
        <f t="shared" si="481"/>
        <v>-7.4720948856613109E-2</v>
      </c>
      <c r="M246" s="76">
        <f t="shared" si="482"/>
        <v>-3.2289297875892409E-4</v>
      </c>
      <c r="N246" s="62">
        <f t="shared" si="488"/>
        <v>297.91461282993475</v>
      </c>
      <c r="O246" s="96">
        <f t="shared" si="483"/>
        <v>0.91269657625086598</v>
      </c>
      <c r="P246" s="96"/>
      <c r="Q246" s="159">
        <f>IFERROR(INDEX('Non-Labor Expenditures'!$F$7:$AB$91,MATCH($C246,'Non-Labor Expenditures'!$D$7:$D$91,0),MATCH($G246,'Non-Labor Expenditures'!$F$5:$AB$5,0)),"NA")</f>
        <v>19531.05508277805</v>
      </c>
      <c r="R246" s="159">
        <f t="shared" si="474"/>
        <v>184.71528223857578</v>
      </c>
      <c r="S246" s="165">
        <f t="shared" si="484"/>
        <v>-5.9635621355035487E-2</v>
      </c>
      <c r="T246" s="165">
        <f t="shared" si="485"/>
        <v>-2.577044819976545E-4</v>
      </c>
      <c r="U246" s="165"/>
      <c r="V246" s="165"/>
      <c r="W246" s="159">
        <f t="shared" si="454"/>
        <v>18396.317826446208</v>
      </c>
      <c r="X246" s="163"/>
      <c r="Y246" s="167">
        <v>899.83160758071676</v>
      </c>
      <c r="Z246" s="168">
        <v>6.6288043437078656E-2</v>
      </c>
      <c r="AA246" s="76">
        <f t="shared" si="475"/>
        <v>2.8645171306072007E-4</v>
      </c>
      <c r="AB246" s="168"/>
      <c r="AC246" s="168"/>
      <c r="AD246" s="163">
        <f t="shared" si="465"/>
        <v>51413.931017777373</v>
      </c>
      <c r="AE246" s="168">
        <f t="shared" si="486"/>
        <v>-1.6394385186062725E-2</v>
      </c>
      <c r="AF246" s="163"/>
      <c r="AG246" s="163"/>
      <c r="AH246" s="163"/>
      <c r="AI246" s="163"/>
      <c r="AJ246" s="116">
        <f t="shared" si="487"/>
        <v>621.75217696726861</v>
      </c>
      <c r="AK246" s="114">
        <f>+AV246/$AX$21</f>
        <v>2.250160778248903E-3</v>
      </c>
      <c r="AL246" s="115">
        <f t="shared" si="476"/>
        <v>0.26231330383762858</v>
      </c>
      <c r="AM246" s="115">
        <f t="shared" si="477"/>
        <v>0.37987865732392267</v>
      </c>
      <c r="AN246" s="115">
        <f t="shared" si="478"/>
        <v>0.35780803883844869</v>
      </c>
      <c r="AO246" s="115">
        <f t="shared" si="489"/>
        <v>-4.2959329392150927E-2</v>
      </c>
      <c r="AP246" s="166">
        <f t="shared" si="491"/>
        <v>155.11702912888342</v>
      </c>
      <c r="AQ246" s="168">
        <f t="shared" si="492"/>
        <v>-4.295932939215092E-2</v>
      </c>
      <c r="AR246" s="69">
        <f>+AD246/$AF$21</f>
        <v>4.3213179663784042E-3</v>
      </c>
      <c r="AS246" s="169">
        <f t="shared" si="490"/>
        <v>-1.8564092192586962E-4</v>
      </c>
      <c r="AT246" s="115"/>
      <c r="AU246" s="115"/>
      <c r="AV246" s="113">
        <f>IFERROR(INDEX('Total Customers'!$F$7:$AB$91,MATCH($C246,'Total Customers'!$D$7:$D$91,0),MATCH($G246,'Total Customers'!$F$5:$AB$5,0)),"NA")</f>
        <v>82692</v>
      </c>
      <c r="AW246" s="68">
        <f t="shared" si="403"/>
        <v>4.4460557568239377E-2</v>
      </c>
      <c r="AX246" s="114"/>
      <c r="AY246" s="114"/>
      <c r="AZ246" s="116">
        <v>8759079</v>
      </c>
      <c r="BA246" s="116"/>
      <c r="BB246" s="166"/>
      <c r="BC246" s="166"/>
      <c r="BD246" s="166"/>
      <c r="BE246" s="166"/>
      <c r="BF246" s="166"/>
      <c r="BG246" s="166"/>
      <c r="BH246" s="166"/>
      <c r="BI246" s="113"/>
      <c r="BJ246" s="113"/>
      <c r="BK246" s="113">
        <f>INDEX('Dist. Plant Gas Additions'!$F$7:$AE$91,MATCH($C246,'Dist. Plant Gas Additions'!$D$7:$D$91,0),MATCH(Calculation!$G246,'Dist. Plant Gas Additions'!$F$5:$AE$5,0))</f>
        <v>43308</v>
      </c>
      <c r="BL246" s="113">
        <f>INDEX('Gen. Plant Additions'!$F$7:$AE$91,MATCH($C246,'Gen. Plant Additions'!$D$7:$D$91,0),MATCH(Calculation!$G246,'Gen. Plant Additions'!$F$5:$AE$5,0))</f>
        <v>0</v>
      </c>
      <c r="BM246" s="231">
        <f t="shared" si="455"/>
        <v>1</v>
      </c>
      <c r="BN246" s="61">
        <f t="shared" si="453"/>
        <v>0</v>
      </c>
      <c r="BO246" s="113">
        <f>INDEX('Dist Plant Depreciation'!$E$7:$AD$94,MATCH($C246,'Dist Plant Depreciation'!$D$7:$D$94,0),MATCH(Calculation!$G246,'Dist Plant Depreciation'!$E$5:$AD$5,0))</f>
        <v>90203</v>
      </c>
      <c r="BP246" s="113">
        <f>INDEX('Gen. Plant Depreciation'!$E$7:$AD$94,MATCH($C246,'Gen. Plant Depreciation'!$D$7:$D$94,0),MATCH(Calculation!$G246,'Gen. Plant Depreciation'!$E$5:$AD$5,0))</f>
        <v>0</v>
      </c>
      <c r="BQ246" s="113"/>
      <c r="BR246" s="113"/>
      <c r="BS246" s="113"/>
      <c r="BT246" s="113"/>
      <c r="BU246" s="113"/>
      <c r="BV246" s="113"/>
      <c r="BW246" s="113">
        <f>INDEX('Gross Dx Plant'!$E$7:$AD$91,MATCH($C246,'Gross Dx Plant'!$D$7:$D$91,0),MATCH(Calculation!$G246,'Gross Dx Plant'!$E$5:$AD$5,0))</f>
        <v>400854</v>
      </c>
      <c r="BX246" s="113">
        <f>INDEX('Gross Gen Plant'!$E$7:$AD$91,MATCH($C246,'Gross Gen Plant'!$D$7:$D$91,0),MATCH(Calculation!$G246,'Gross Gen Plant'!$E$5:$AD$5,0))</f>
        <v>0</v>
      </c>
      <c r="BY246" s="113">
        <f t="shared" si="444"/>
        <v>310651</v>
      </c>
      <c r="BZ246" s="113"/>
      <c r="CA246" s="116">
        <v>2016</v>
      </c>
      <c r="CB246" s="113"/>
      <c r="CC246" s="113"/>
      <c r="CD246" s="113"/>
      <c r="CE246" s="175"/>
      <c r="CF246" s="113">
        <f t="shared" si="456"/>
        <v>43308</v>
      </c>
      <c r="CG246" s="113">
        <f t="shared" si="457"/>
        <v>64.498603924305428</v>
      </c>
      <c r="CH246" s="178">
        <v>0.88</v>
      </c>
      <c r="CI246" s="61">
        <f>+CI228*CH246+CG229*CH245+CG230*CH244+CG231*CH243+CG232*CH242+CG233*CH241+CG234*CH240+CG235*CH239+CG236*CH238+CG237*CH237+CG238*CH236+CG239*CH235+CG240*CH234+CG241*CH233+CG242*CH232+CG243*CH231+CG244*CH230+CG245*CH229+CG246</f>
        <v>899.83160758071676</v>
      </c>
      <c r="CJ246" s="114">
        <f t="shared" si="458"/>
        <v>6.6288043437078656E-2</v>
      </c>
      <c r="CK246" s="114"/>
      <c r="CL246" s="169">
        <f t="shared" si="459"/>
        <v>8.056518456172234E-3</v>
      </c>
      <c r="CM246" s="169">
        <f t="shared" si="468"/>
        <v>7.8853447485356023E-3</v>
      </c>
      <c r="CN246" s="114">
        <f>VLOOKUP($H246,RoR!$E:$F,2,FALSE)</f>
        <v>3.6658333333333334E-2</v>
      </c>
      <c r="CO246" s="169">
        <v>1.0483662879041455E-2</v>
      </c>
      <c r="CP246" s="169">
        <f t="shared" si="466"/>
        <v>2.6174670454291879E-2</v>
      </c>
      <c r="CQ246" s="169">
        <f t="shared" si="469"/>
        <v>2.3016596859998024E-2</v>
      </c>
      <c r="CR246" s="169">
        <f t="shared" si="470"/>
        <v>4.301363574220729E-3</v>
      </c>
      <c r="CS246" s="179">
        <f t="shared" si="460"/>
        <v>0.85329623209999994</v>
      </c>
      <c r="CT246" s="180">
        <f t="shared" si="461"/>
        <v>1.3989193348138562</v>
      </c>
      <c r="CU246" s="180">
        <f t="shared" si="462"/>
        <v>0.29302682427824522</v>
      </c>
      <c r="CV246" s="180">
        <f t="shared" si="463"/>
        <v>0.76309497491941802</v>
      </c>
      <c r="CW246" s="180">
        <f t="shared" si="464"/>
        <v>0.31280857135128509</v>
      </c>
      <c r="CX246" s="181">
        <f>INDEX('State Tax Lookup'!$D$7:$Z$91,MATCH(Calculation!$C246,'State Tax Lookup'!$B$7:$B$91,0),MATCH($H246,'State Tax Lookup'!$D$6:$Z$6,0))</f>
        <v>0.39649667</v>
      </c>
      <c r="CY246" s="72">
        <v>0.37</v>
      </c>
      <c r="CZ246" s="70">
        <f t="shared" si="467"/>
        <v>21.845308963582664</v>
      </c>
      <c r="DA246" s="70">
        <v>19.909765876209278</v>
      </c>
      <c r="DB246" s="69">
        <f t="shared" si="471"/>
        <v>-1.3344613434428824E-2</v>
      </c>
      <c r="DC246" s="111">
        <f>VLOOKUP($H246,RoR!$E:$F,2,FALSE)</f>
        <v>3.6658333333333334E-2</v>
      </c>
      <c r="DD246" s="216">
        <f>HLOOKUP($H246,'GDP-PI'!$D$8:$CQ$11,3,FALSE)</f>
        <v>1.0483662879041455E-2</v>
      </c>
      <c r="DE246" s="111">
        <f>VLOOKUP(H246,'HW Dx Data'!$E:$F,2,FALSE)</f>
        <v>671.45639385971219</v>
      </c>
      <c r="DF246" s="72">
        <f t="shared" si="479"/>
        <v>136.94999999999999</v>
      </c>
      <c r="DG246" s="69">
        <f t="shared" si="480"/>
        <v>2.5514417868782811E-2</v>
      </c>
      <c r="DH246" s="66">
        <f>HLOOKUP(H246,'GDP-PI'!$8:$9,2,FALSE)</f>
        <v>105.736</v>
      </c>
      <c r="DI246" s="69">
        <f t="shared" si="472"/>
        <v>1.0429090367205095E-2</v>
      </c>
      <c r="EB246"/>
    </row>
    <row r="247" spans="1:132" s="160" customFormat="1" ht="21">
      <c r="A247" s="160" t="s">
        <v>173</v>
      </c>
      <c r="B247" s="161" t="s">
        <v>173</v>
      </c>
      <c r="C247" s="161">
        <v>4057076</v>
      </c>
      <c r="D247" s="161" t="s">
        <v>171</v>
      </c>
      <c r="E247" s="161" t="s">
        <v>3</v>
      </c>
      <c r="F247" s="161"/>
      <c r="G247" s="161" t="s">
        <v>135</v>
      </c>
      <c r="H247" s="162">
        <v>2017</v>
      </c>
      <c r="I247" s="163"/>
      <c r="J247" s="159">
        <f>IFERROR(INDEX('Labor Expenditures'!$F$7:$X$91,MATCH($C247,'Labor Expenditures'!$D$7:$D$91,0),MATCH($G247,'Labor Expenditures'!$F$5:$X$5,0)),"NA")</f>
        <v>14763.719502983</v>
      </c>
      <c r="K247" s="159">
        <f t="shared" si="473"/>
        <v>105.1172623921894</v>
      </c>
      <c r="L247" s="165">
        <f t="shared" si="481"/>
        <v>6.5243634684439902E-2</v>
      </c>
      <c r="M247" s="76">
        <f t="shared" si="482"/>
        <v>2.9734445337570455E-4</v>
      </c>
      <c r="N247" s="62">
        <f t="shared" si="488"/>
        <v>166.43449646130645</v>
      </c>
      <c r="O247" s="96">
        <f t="shared" si="483"/>
        <v>-0.58220509395307674</v>
      </c>
      <c r="P247" s="96"/>
      <c r="Q247" s="159">
        <f>IFERROR(INDEX('Non-Labor Expenditures'!$F$7:$AB$91,MATCH($C247,'Non-Labor Expenditures'!$D$7:$D$91,0),MATCH($G247,'Non-Labor Expenditures'!$F$5:$AB$5,0)),"NA")</f>
        <v>21380.623322756805</v>
      </c>
      <c r="R247" s="159">
        <f t="shared" si="474"/>
        <v>198.42621713725907</v>
      </c>
      <c r="S247" s="165">
        <f t="shared" si="484"/>
        <v>7.160170429786028E-2</v>
      </c>
      <c r="T247" s="165">
        <f t="shared" si="485"/>
        <v>3.2632102316478831E-4</v>
      </c>
      <c r="U247" s="165"/>
      <c r="V247" s="165"/>
      <c r="W247" s="159">
        <f t="shared" si="454"/>
        <v>17819.343221699575</v>
      </c>
      <c r="X247" s="163"/>
      <c r="Y247" s="167">
        <v>960.3576816577463</v>
      </c>
      <c r="Z247" s="168">
        <v>6.5098156999129936E-2</v>
      </c>
      <c r="AA247" s="76">
        <f t="shared" si="475"/>
        <v>2.9668144643217549E-4</v>
      </c>
      <c r="AB247" s="168"/>
      <c r="AC247" s="168"/>
      <c r="AD247" s="163">
        <f t="shared" si="465"/>
        <v>53963.686047439376</v>
      </c>
      <c r="AE247" s="168">
        <f t="shared" si="486"/>
        <v>4.8402172531803567E-2</v>
      </c>
      <c r="AF247" s="163"/>
      <c r="AG247" s="163"/>
      <c r="AH247" s="163"/>
      <c r="AI247" s="163"/>
      <c r="AJ247" s="116">
        <f t="shared" si="487"/>
        <v>665.06064809947338</v>
      </c>
      <c r="AK247" s="114">
        <f>+AV247/$AX$22</f>
        <v>2.1913672537175544E-3</v>
      </c>
      <c r="AL247" s="115">
        <f t="shared" si="476"/>
        <v>0.27358619442719762</v>
      </c>
      <c r="AM247" s="115">
        <f t="shared" si="477"/>
        <v>0.39620390838315117</v>
      </c>
      <c r="AN247" s="115">
        <f t="shared" si="478"/>
        <v>0.33020989718965127</v>
      </c>
      <c r="AO247" s="115">
        <f t="shared" si="489"/>
        <v>4.5266432736423792E-2</v>
      </c>
      <c r="AP247" s="166">
        <f t="shared" si="491"/>
        <v>162.29997028025329</v>
      </c>
      <c r="AQ247" s="168">
        <f t="shared" si="492"/>
        <v>4.526643273642373E-2</v>
      </c>
      <c r="AR247" s="69">
        <f>+AD247/$AF$22</f>
        <v>4.5574477083297578E-3</v>
      </c>
      <c r="AS247" s="169">
        <f t="shared" si="490"/>
        <v>2.0629940013887745E-4</v>
      </c>
      <c r="AT247" s="115"/>
      <c r="AU247" s="115"/>
      <c r="AV247" s="113">
        <f>IFERROR(INDEX('Total Customers'!$F$7:$AB$91,MATCH($C247,'Total Customers'!$D$7:$D$91,0),MATCH($G247,'Total Customers'!$F$5:$AB$5,0)),"NA")</f>
        <v>81141</v>
      </c>
      <c r="AW247" s="68">
        <f t="shared" si="403"/>
        <v>-1.8934480083095638E-2</v>
      </c>
      <c r="AX247" s="114"/>
      <c r="AY247" s="114"/>
      <c r="AZ247" s="116">
        <v>8824403</v>
      </c>
      <c r="BA247" s="116"/>
      <c r="BB247" s="166"/>
      <c r="BC247" s="166"/>
      <c r="BD247" s="166"/>
      <c r="BE247" s="166"/>
      <c r="BF247" s="166"/>
      <c r="BG247" s="166"/>
      <c r="BH247" s="166"/>
      <c r="BI247" s="113"/>
      <c r="BJ247" s="113"/>
      <c r="BK247" s="113">
        <f>INDEX('Dist. Plant Gas Additions'!$F$7:$AE$91,MATCH($C247,'Dist. Plant Gas Additions'!$D$7:$D$91,0),MATCH(Calculation!$G247,'Dist. Plant Gas Additions'!$F$5:$AE$5,0))</f>
        <v>48366</v>
      </c>
      <c r="BL247" s="113">
        <f>INDEX('Gen. Plant Additions'!$F$7:$AE$91,MATCH($C247,'Gen. Plant Additions'!$D$7:$D$91,0),MATCH(Calculation!$G247,'Gen. Plant Additions'!$F$5:$AE$5,0))</f>
        <v>0</v>
      </c>
      <c r="BM247" s="231">
        <f t="shared" si="455"/>
        <v>1</v>
      </c>
      <c r="BN247" s="113"/>
      <c r="BO247" s="113">
        <f>INDEX('Dist Plant Depreciation'!$E$7:$AD$94,MATCH($C247,'Dist Plant Depreciation'!$D$7:$D$94,0),MATCH(Calculation!$G247,'Dist Plant Depreciation'!$E$5:$AD$5,0))</f>
        <v>92315</v>
      </c>
      <c r="BP247" s="113">
        <f>INDEX('Gen. Plant Depreciation'!$E$7:$AD$94,MATCH($C247,'Gen. Plant Depreciation'!$D$7:$D$94,0),MATCH(Calculation!$G247,'Gen. Plant Depreciation'!$E$5:$AD$5,0))</f>
        <v>0</v>
      </c>
      <c r="BQ247" s="113"/>
      <c r="BR247" s="113"/>
      <c r="BS247" s="113"/>
      <c r="BT247" s="113"/>
      <c r="BU247" s="113"/>
      <c r="BV247" s="113"/>
      <c r="BW247" s="113">
        <f>INDEX('Gross Dx Plant'!$E$7:$AD$91,MATCH($C247,'Gross Dx Plant'!$D$7:$D$91,0),MATCH(Calculation!$G247,'Gross Dx Plant'!$E$5:$AD$5,0))</f>
        <v>444474</v>
      </c>
      <c r="BX247" s="113">
        <f>INDEX('Gross Gen Plant'!$E$7:$AD$91,MATCH($C247,'Gross Gen Plant'!$D$7:$D$91,0),MATCH(Calculation!$G247,'Gross Gen Plant'!$E$5:$AD$5,0))</f>
        <v>0</v>
      </c>
      <c r="BY247" s="113">
        <f t="shared" si="444"/>
        <v>352159</v>
      </c>
      <c r="BZ247" s="113"/>
      <c r="CA247" s="116">
        <v>2017</v>
      </c>
      <c r="CB247" s="113"/>
      <c r="CC247" s="113"/>
      <c r="CD247" s="113"/>
      <c r="CE247" s="175"/>
      <c r="CF247" s="113">
        <f t="shared" si="456"/>
        <v>48366</v>
      </c>
      <c r="CG247" s="113">
        <f t="shared" si="457"/>
        <v>67.888909999448757</v>
      </c>
      <c r="CH247" s="178">
        <v>0.87074829931972786</v>
      </c>
      <c r="CI247" s="61">
        <f>+CI228*CH247+CG229*CH246+CG230*CH245+CG231*CH244+CG232*CH243+CG233*CH242+CG234*CH241+CG235*CH240+CG236*CH239+CG237*CH238+CG238*CH237+CG239*CH236+CG240*CH235+CG241*CH234+CG242*CH233+CG243*CH232+CG244*CH231+CG245*CH230+CG246*CH229+CG247</f>
        <v>960.3576816577463</v>
      </c>
      <c r="CJ247" s="114">
        <f t="shared" si="458"/>
        <v>6.5098156999129936E-2</v>
      </c>
      <c r="CK247" s="114"/>
      <c r="CL247" s="169">
        <f t="shared" si="459"/>
        <v>8.1824597629048725E-3</v>
      </c>
      <c r="CM247" s="169">
        <f t="shared" si="468"/>
        <v>8.0485721218967101E-3</v>
      </c>
      <c r="CN247" s="114">
        <f>VLOOKUP($H247,RoR!$E:$F,2,FALSE)</f>
        <v>3.7433333333333339E-2</v>
      </c>
      <c r="CO247" s="169">
        <v>1.9056896421275615E-2</v>
      </c>
      <c r="CP247" s="169">
        <f t="shared" si="466"/>
        <v>1.8376436912057724E-2</v>
      </c>
      <c r="CQ247" s="169">
        <f t="shared" si="469"/>
        <v>2.2853369486636917E-2</v>
      </c>
      <c r="CR247" s="169">
        <f t="shared" si="470"/>
        <v>1.3976271617800498E-2</v>
      </c>
      <c r="CS247" s="179">
        <f t="shared" si="460"/>
        <v>0.90509623210000001</v>
      </c>
      <c r="CT247" s="180">
        <f t="shared" si="461"/>
        <v>1.3699568463593395</v>
      </c>
      <c r="CU247" s="180">
        <f t="shared" si="462"/>
        <v>0.30714603739982199</v>
      </c>
      <c r="CV247" s="180">
        <f t="shared" si="463"/>
        <v>0.77007188472689425</v>
      </c>
      <c r="CW247" s="180">
        <f t="shared" si="464"/>
        <v>0.32402839633793828</v>
      </c>
      <c r="CX247" s="181">
        <f>INDEX('State Tax Lookup'!$D$7:$Z$91,MATCH(Calculation!$C247,'State Tax Lookup'!$B$7:$B$91,0),MATCH($H247,'State Tax Lookup'!$D$6:$Z$6,0))</f>
        <v>0.25649666999999998</v>
      </c>
      <c r="CY247" s="72">
        <v>0.37</v>
      </c>
      <c r="CZ247" s="70">
        <f t="shared" si="467"/>
        <v>19.802975436269218</v>
      </c>
      <c r="DA247" s="70">
        <v>18.231812616449311</v>
      </c>
      <c r="DB247" s="69">
        <f t="shared" si="471"/>
        <v>-9.8154004780150614E-2</v>
      </c>
      <c r="DC247" s="111">
        <f>VLOOKUP($H247,RoR!$E:$F,2,FALSE)</f>
        <v>3.7433333333333339E-2</v>
      </c>
      <c r="DD247" s="216">
        <f>HLOOKUP($H247,'GDP-PI'!$D$8:$CQ$11,3,FALSE)</f>
        <v>1.9056896421275615E-2</v>
      </c>
      <c r="DE247" s="111">
        <f>VLOOKUP(H247,'HW Dx Data'!$E:$F,2,FALSE)</f>
        <v>712.42858370229726</v>
      </c>
      <c r="DF247" s="72">
        <f t="shared" si="479"/>
        <v>140.44999999999999</v>
      </c>
      <c r="DG247" s="69">
        <f t="shared" si="480"/>
        <v>2.5235657841165486E-2</v>
      </c>
      <c r="DH247" s="66">
        <f>HLOOKUP(H247,'GDP-PI'!$8:$9,2,FALSE)</f>
        <v>107.751</v>
      </c>
      <c r="DI247" s="69">
        <f t="shared" si="472"/>
        <v>1.8877588227745139E-2</v>
      </c>
      <c r="EB247"/>
    </row>
    <row r="248" spans="1:132" s="160" customFormat="1" ht="21">
      <c r="A248" s="160" t="s">
        <v>173</v>
      </c>
      <c r="B248" s="161" t="s">
        <v>173</v>
      </c>
      <c r="C248" s="161">
        <v>4057076</v>
      </c>
      <c r="D248" s="161" t="s">
        <v>171</v>
      </c>
      <c r="E248" s="161" t="s">
        <v>3</v>
      </c>
      <c r="F248" s="161"/>
      <c r="G248" s="161" t="s">
        <v>136</v>
      </c>
      <c r="H248" s="162">
        <v>2018</v>
      </c>
      <c r="I248" s="163"/>
      <c r="J248" s="159">
        <f>IFERROR(INDEX('Labor Expenditures'!$F$7:$X$91,MATCH($C248,'Labor Expenditures'!$D$7:$D$91,0),MATCH($G248,'Labor Expenditures'!$F$5:$X$5,0)),"NA")</f>
        <v>14215.607213268248</v>
      </c>
      <c r="K248" s="159">
        <f t="shared" si="473"/>
        <v>98.41195717042747</v>
      </c>
      <c r="L248" s="165">
        <f t="shared" si="481"/>
        <v>-6.5914199069551094E-2</v>
      </c>
      <c r="M248" s="76">
        <f t="shared" si="482"/>
        <v>-2.8071810980612064E-4</v>
      </c>
      <c r="N248" s="62">
        <f t="shared" si="488"/>
        <v>115.97873571091061</v>
      </c>
      <c r="O248" s="96">
        <f t="shared" si="483"/>
        <v>-0.36119495590030987</v>
      </c>
      <c r="P248" s="96"/>
      <c r="Q248" s="159">
        <f>IFERROR(INDEX('Non-Labor Expenditures'!$F$7:$AB$91,MATCH($C248,'Non-Labor Expenditures'!$D$7:$D$91,0),MATCH($G248,'Non-Labor Expenditures'!$F$5:$AB$5,0)),"NA")</f>
        <v>20586.854353995441</v>
      </c>
      <c r="R248" s="159">
        <f t="shared" si="474"/>
        <v>186.60697190039556</v>
      </c>
      <c r="S248" s="165">
        <f t="shared" si="484"/>
        <v>-6.1412678424067994E-2</v>
      </c>
      <c r="T248" s="165">
        <f t="shared" si="485"/>
        <v>-2.6154684800379092E-4</v>
      </c>
      <c r="U248" s="165"/>
      <c r="V248" s="165"/>
      <c r="W248" s="159">
        <f t="shared" si="454"/>
        <v>20011.235921512514</v>
      </c>
      <c r="X248" s="163"/>
      <c r="Y248" s="167">
        <v>1041.4607283173036</v>
      </c>
      <c r="Z248" s="168">
        <v>8.1073753012164698E-2</v>
      </c>
      <c r="AA248" s="76">
        <f t="shared" si="475"/>
        <v>3.4528024343356633E-4</v>
      </c>
      <c r="AB248" s="168"/>
      <c r="AC248" s="168"/>
      <c r="AD248" s="163">
        <f t="shared" si="465"/>
        <v>54813.697488776204</v>
      </c>
      <c r="AE248" s="168">
        <f t="shared" si="486"/>
        <v>1.5628777150581814E-2</v>
      </c>
      <c r="AF248" s="163"/>
      <c r="AG248" s="163"/>
      <c r="AH248" s="163"/>
      <c r="AI248" s="163"/>
      <c r="AJ248" s="116">
        <f t="shared" si="487"/>
        <v>664.71462599471522</v>
      </c>
      <c r="AK248" s="114">
        <f>+AV248/$AX$23</f>
        <v>2.2075392033498527E-3</v>
      </c>
      <c r="AL248" s="115">
        <f t="shared" si="476"/>
        <v>0.25934406662092213</v>
      </c>
      <c r="AM248" s="115">
        <f t="shared" si="477"/>
        <v>0.37557864725711776</v>
      </c>
      <c r="AN248" s="115">
        <f t="shared" si="478"/>
        <v>0.36507728612196005</v>
      </c>
      <c r="AO248" s="115">
        <f t="shared" si="489"/>
        <v>-4.126245260987739E-2</v>
      </c>
      <c r="AP248" s="166">
        <f t="shared" si="491"/>
        <v>155.7393596989958</v>
      </c>
      <c r="AQ248" s="168">
        <f t="shared" si="492"/>
        <v>-4.1262452609877445E-2</v>
      </c>
      <c r="AR248" s="69">
        <f>+AD248/$AF$23</f>
        <v>4.2588412476940452E-3</v>
      </c>
      <c r="AS248" s="169">
        <f t="shared" si="490"/>
        <v>-1.7573023515596686E-4</v>
      </c>
      <c r="AT248" s="115"/>
      <c r="AU248" s="115"/>
      <c r="AV248" s="113">
        <f>IFERROR(INDEX('Total Customers'!$F$7:$AB$91,MATCH($C248,'Total Customers'!$D$7:$D$91,0),MATCH($G248,'Total Customers'!$F$5:$AB$5,0)),"NA")</f>
        <v>82462</v>
      </c>
      <c r="AW248" s="68">
        <f t="shared" si="403"/>
        <v>1.6149199088497067E-2</v>
      </c>
      <c r="AX248" s="114"/>
      <c r="AY248" s="114"/>
      <c r="AZ248" s="116">
        <v>8911356</v>
      </c>
      <c r="BA248" s="116"/>
      <c r="BB248" s="166"/>
      <c r="BC248" s="166"/>
      <c r="BD248" s="166"/>
      <c r="BE248" s="166"/>
      <c r="BF248" s="166"/>
      <c r="BG248" s="166"/>
      <c r="BH248" s="166"/>
      <c r="BI248" s="113"/>
      <c r="BJ248" s="113"/>
      <c r="BK248" s="113">
        <f>INDEX('Dist. Plant Gas Additions'!$F$7:$AE$91,MATCH($C248,'Dist. Plant Gas Additions'!$D$7:$D$91,0),MATCH(Calculation!$G248,'Dist. Plant Gas Additions'!$F$5:$AE$5,0))</f>
        <v>67272</v>
      </c>
      <c r="BL248" s="113">
        <f>INDEX('Gen. Plant Additions'!$F$7:$AE$91,MATCH($C248,'Gen. Plant Additions'!$D$7:$D$91,0),MATCH(Calculation!$G248,'Gen. Plant Additions'!$F$5:$AE$5,0))</f>
        <v>0</v>
      </c>
      <c r="BM248" s="231">
        <f t="shared" si="455"/>
        <v>1</v>
      </c>
      <c r="BN248" s="113"/>
      <c r="BO248" s="113">
        <f>INDEX('Dist Plant Depreciation'!$E$7:$AD$94,MATCH($C248,'Dist Plant Depreciation'!$D$7:$D$94,0),MATCH(Calculation!$G248,'Dist Plant Depreciation'!$E$5:$AD$5,0))</f>
        <v>95576</v>
      </c>
      <c r="BP248" s="113">
        <f>INDEX('Gen. Plant Depreciation'!$E$7:$AD$94,MATCH($C248,'Gen. Plant Depreciation'!$D$7:$D$94,0),MATCH(Calculation!$G248,'Gen. Plant Depreciation'!$E$5:$AD$5,0))</f>
        <v>0</v>
      </c>
      <c r="BQ248" s="113"/>
      <c r="BR248" s="113"/>
      <c r="BS248" s="113"/>
      <c r="BT248" s="113"/>
      <c r="BU248" s="113"/>
      <c r="BV248" s="113"/>
      <c r="BW248" s="113">
        <f>INDEX('Gross Dx Plant'!$E$7:$AD$91,MATCH($C248,'Gross Dx Plant'!$D$7:$D$91,0),MATCH(Calculation!$G248,'Gross Dx Plant'!$E$5:$AD$5,0))</f>
        <v>507034</v>
      </c>
      <c r="BX248" s="113">
        <f>INDEX('Gross Gen Plant'!$E$7:$AD$91,MATCH($C248,'Gross Gen Plant'!$D$7:$D$91,0),MATCH(Calculation!$G248,'Gross Gen Plant'!$E$5:$AD$5,0))</f>
        <v>0</v>
      </c>
      <c r="BY248" s="113">
        <f t="shared" si="444"/>
        <v>411458</v>
      </c>
      <c r="BZ248" s="113"/>
      <c r="CA248" s="116">
        <v>2018</v>
      </c>
      <c r="CB248" s="113"/>
      <c r="CC248" s="113"/>
      <c r="CD248" s="113"/>
      <c r="CE248" s="175"/>
      <c r="CF248" s="113">
        <f t="shared" si="456"/>
        <v>67272</v>
      </c>
      <c r="CG248" s="113">
        <f t="shared" si="457"/>
        <v>89.085855213172763</v>
      </c>
      <c r="CH248" s="178">
        <v>0.86111111111111116</v>
      </c>
      <c r="CI248" s="61">
        <f>+CI228*CH248++CG229*CH247+CG230*CH246+CG231*CH245+CG232*CH244+CG233*CH243+CG234*CH242+CG235*CH241+CG236*CH240+CG237*CH239+CG238*CH238+CG239*CH237+CG240*CH236+CG241*CH235+CG242*CH234+CG243*CH233+CG244*CH232+CG245*CH231+CG246*CH230+CG247*CH229+CG248</f>
        <v>1041.4607283173036</v>
      </c>
      <c r="CJ248" s="114">
        <f t="shared" si="458"/>
        <v>8.1073753012164698E-2</v>
      </c>
      <c r="CK248" s="114"/>
      <c r="CL248" s="169">
        <f t="shared" si="459"/>
        <v>8.3123285272584165E-3</v>
      </c>
      <c r="CM248" s="169">
        <f t="shared" si="468"/>
        <v>8.1837689154451738E-3</v>
      </c>
      <c r="CN248" s="114">
        <f>VLOOKUP($H248,RoR!$E:$F,2,FALSE)</f>
        <v>3.9299999999999995E-2</v>
      </c>
      <c r="CO248" s="169">
        <v>2.386056741932796E-2</v>
      </c>
      <c r="CP248" s="169">
        <f t="shared" si="466"/>
        <v>1.5439432580672034E-2</v>
      </c>
      <c r="CQ248" s="169">
        <f t="shared" si="469"/>
        <v>2.2718172693088449E-2</v>
      </c>
      <c r="CR248" s="169">
        <f t="shared" si="470"/>
        <v>3.8270792163076606E-2</v>
      </c>
      <c r="CS248" s="179">
        <f t="shared" si="460"/>
        <v>0.90509623210000001</v>
      </c>
      <c r="CT248" s="180">
        <f t="shared" si="461"/>
        <v>1.3048868010700074</v>
      </c>
      <c r="CU248" s="180">
        <f t="shared" si="462"/>
        <v>0.33886768447837151</v>
      </c>
      <c r="CV248" s="180">
        <f t="shared" si="463"/>
        <v>0.78602506232557801</v>
      </c>
      <c r="CW248" s="180">
        <f t="shared" si="464"/>
        <v>0.34756768162358759</v>
      </c>
      <c r="CX248" s="181">
        <f>INDEX('State Tax Lookup'!$D$7:$Z$91,MATCH(Calculation!$C248,'State Tax Lookup'!$B$7:$B$91,0),MATCH($H248,'State Tax Lookup'!$D$6:$Z$6,0))</f>
        <v>0.25649666999999998</v>
      </c>
      <c r="CY248" s="72">
        <v>0.37</v>
      </c>
      <c r="CZ248" s="70">
        <f t="shared" si="467"/>
        <v>20.83727376134442</v>
      </c>
      <c r="DA248" s="70">
        <v>19.050901628905343</v>
      </c>
      <c r="DB248" s="69">
        <f t="shared" si="471"/>
        <v>5.0911189764510062E-2</v>
      </c>
      <c r="DC248" s="111">
        <f>VLOOKUP($H248,RoR!$E:$F,2,FALSE)</f>
        <v>3.9299999999999995E-2</v>
      </c>
      <c r="DD248" s="216">
        <f>HLOOKUP($H248,'GDP-PI'!$D$8:$CQ$11,3,FALSE)</f>
        <v>2.386056741932796E-2</v>
      </c>
      <c r="DE248" s="111">
        <f>VLOOKUP(H248,'HW Dx Data'!$E:$F,2,FALSE)</f>
        <v>755.13671434174842</v>
      </c>
      <c r="DF248" s="72">
        <f t="shared" si="479"/>
        <v>144.44999999999999</v>
      </c>
      <c r="DG248" s="69">
        <f t="shared" si="480"/>
        <v>2.80818733619915E-2</v>
      </c>
      <c r="DH248" s="66">
        <f>HLOOKUP(H248,'GDP-PI'!$8:$9,2,FALSE)</f>
        <v>110.322</v>
      </c>
      <c r="DI248" s="69">
        <f t="shared" si="472"/>
        <v>2.3580352716508712E-2</v>
      </c>
      <c r="EB248"/>
    </row>
    <row r="249" spans="1:132" s="160" customFormat="1" ht="21">
      <c r="A249" s="160" t="s">
        <v>173</v>
      </c>
      <c r="B249" s="161" t="s">
        <v>173</v>
      </c>
      <c r="C249" s="161">
        <v>4057076</v>
      </c>
      <c r="D249" s="161" t="s">
        <v>171</v>
      </c>
      <c r="E249" s="161" t="s">
        <v>3</v>
      </c>
      <c r="F249" s="161"/>
      <c r="G249" s="161" t="s">
        <v>140</v>
      </c>
      <c r="H249" s="162">
        <v>2019</v>
      </c>
      <c r="I249" s="163"/>
      <c r="J249" s="159">
        <f>IFERROR(INDEX('Labor Expenditures'!$F$7:$X$91,MATCH($C249,'Labor Expenditures'!$D$7:$D$91,0),MATCH($G249,'Labor Expenditures'!$F$5:$X$5,0)),"NA")</f>
        <v>15791.30565927831</v>
      </c>
      <c r="K249" s="159">
        <f t="shared" si="473"/>
        <v>105.50396298164897</v>
      </c>
      <c r="L249" s="165">
        <f t="shared" si="481"/>
        <v>6.9586203382347833E-2</v>
      </c>
      <c r="M249" s="76">
        <f t="shared" si="482"/>
        <v>3.1868712376289366E-4</v>
      </c>
      <c r="N249" s="62">
        <f t="shared" si="488"/>
        <v>115.85270922359953</v>
      </c>
      <c r="O249" s="96">
        <f t="shared" si="483"/>
        <v>-1.0872252447109484E-3</v>
      </c>
      <c r="P249" s="96"/>
      <c r="Q249" s="159">
        <f>IFERROR(INDEX('Non-Labor Expenditures'!$F$7:$AB$91,MATCH($C249,'Non-Labor Expenditures'!$D$7:$D$91,0),MATCH($G249,'Non-Labor Expenditures'!$F$5:$AB$5,0)),"NA")</f>
        <v>22868.76000369215</v>
      </c>
      <c r="R249" s="159">
        <f t="shared" si="474"/>
        <v>203.60725799686739</v>
      </c>
      <c r="S249" s="165">
        <f t="shared" si="484"/>
        <v>8.718828183011787E-2</v>
      </c>
      <c r="T249" s="165">
        <f t="shared" si="485"/>
        <v>3.9930016887970265E-4</v>
      </c>
      <c r="U249" s="165"/>
      <c r="V249" s="165"/>
      <c r="W249" s="159">
        <f t="shared" si="454"/>
        <v>22110.153523487337</v>
      </c>
      <c r="X249" s="163"/>
      <c r="Y249" s="167">
        <v>1101.455052083397</v>
      </c>
      <c r="Z249" s="168">
        <v>5.600780617049738E-2</v>
      </c>
      <c r="AA249" s="76">
        <f t="shared" si="475"/>
        <v>2.5650151594954331E-4</v>
      </c>
      <c r="AB249" s="168"/>
      <c r="AC249" s="168"/>
      <c r="AD249" s="163">
        <f t="shared" si="465"/>
        <v>60770.219186457798</v>
      </c>
      <c r="AE249" s="168">
        <f t="shared" si="486"/>
        <v>0.10315973606548666</v>
      </c>
      <c r="AF249" s="163"/>
      <c r="AG249" s="163"/>
      <c r="AH249" s="163"/>
      <c r="AI249" s="163"/>
      <c r="AJ249" s="116">
        <f t="shared" si="487"/>
        <v>725.57123976428625</v>
      </c>
      <c r="AK249" s="114">
        <f>+AV249/$AX$24</f>
        <v>2.2236618596046991E-3</v>
      </c>
      <c r="AL249" s="115">
        <f t="shared" si="476"/>
        <v>0.25985270204187921</v>
      </c>
      <c r="AM249" s="115">
        <f t="shared" si="477"/>
        <v>0.37631524634665603</v>
      </c>
      <c r="AN249" s="115">
        <f t="shared" si="478"/>
        <v>0.3638320516114647</v>
      </c>
      <c r="AO249" s="115">
        <f t="shared" si="489"/>
        <v>5.0842634320748994E-2</v>
      </c>
      <c r="AP249" s="166">
        <f t="shared" si="491"/>
        <v>163.86230526450331</v>
      </c>
      <c r="AQ249" s="168">
        <f t="shared" si="492"/>
        <v>5.0842634320749029E-2</v>
      </c>
      <c r="AR249" s="69">
        <f>+AD249/$AF$24</f>
        <v>4.579745815587003E-3</v>
      </c>
      <c r="AS249" s="169">
        <f t="shared" si="490"/>
        <v>2.3284634178387051E-4</v>
      </c>
      <c r="AT249" s="115"/>
      <c r="AU249" s="115"/>
      <c r="AV249" s="113">
        <f>IFERROR(INDEX('Total Customers'!$F$7:$AB$91,MATCH($C249,'Total Customers'!$D$7:$D$91,0),MATCH($G249,'Total Customers'!$F$5:$AB$5,0)),"NA")</f>
        <v>83755</v>
      </c>
      <c r="AW249" s="68">
        <f t="shared" si="403"/>
        <v>1.5558289247177141E-2</v>
      </c>
      <c r="AX249" s="114"/>
      <c r="AY249" s="114"/>
      <c r="AZ249" s="116">
        <v>8963640</v>
      </c>
      <c r="BA249" s="116"/>
      <c r="BB249" s="166"/>
      <c r="BC249" s="166"/>
      <c r="BD249" s="166"/>
      <c r="BE249" s="166"/>
      <c r="BF249" s="166"/>
      <c r="BG249" s="166"/>
      <c r="BH249" s="166"/>
      <c r="BI249" s="113"/>
      <c r="BJ249" s="113"/>
      <c r="BK249" s="113">
        <f>INDEX('Dist. Plant Gas Additions'!$F$7:$AE$91,MATCH($C249,'Dist. Plant Gas Additions'!$D$7:$D$91,0),MATCH(Calculation!$G249,'Dist. Plant Gas Additions'!$F$5:$AE$5,0))</f>
        <v>53165</v>
      </c>
      <c r="BL249" s="113">
        <f>INDEX('Gen. Plant Additions'!$F$7:$AE$91,MATCH($C249,'Gen. Plant Additions'!$D$7:$D$91,0),MATCH(Calculation!$G249,'Gen. Plant Additions'!$F$5:$AE$5,0))</f>
        <v>0</v>
      </c>
      <c r="BM249" s="231">
        <f t="shared" si="455"/>
        <v>1</v>
      </c>
      <c r="BN249" s="113"/>
      <c r="BO249" s="113">
        <f>INDEX('Dist Plant Depreciation'!$E$7:$AD$94,MATCH($C249,'Dist Plant Depreciation'!$D$7:$D$94,0),MATCH(Calculation!$G249,'Dist Plant Depreciation'!$E$5:$AD$5,0))</f>
        <v>100143</v>
      </c>
      <c r="BP249" s="113">
        <f>INDEX('Gen. Plant Depreciation'!$E$7:$AD$94,MATCH($C249,'Gen. Plant Depreciation'!$D$7:$D$94,0),MATCH(Calculation!$G249,'Gen. Plant Depreciation'!$E$5:$AD$5,0))</f>
        <v>0</v>
      </c>
      <c r="BQ249" s="113"/>
      <c r="BR249" s="113"/>
      <c r="BS249" s="113"/>
      <c r="BT249" s="113"/>
      <c r="BU249" s="113"/>
      <c r="BV249" s="113"/>
      <c r="BW249" s="113">
        <f>INDEX('Gross Dx Plant'!$E$7:$AD$91,MATCH($C249,'Gross Dx Plant'!$D$7:$D$91,0),MATCH(Calculation!$G249,'Gross Dx Plant'!$E$5:$AD$5,0))</f>
        <v>555806</v>
      </c>
      <c r="BX249" s="113">
        <f>INDEX('Gross Gen Plant'!$E$7:$AD$91,MATCH($C249,'Gross Gen Plant'!$D$7:$D$91,0),MATCH(Calculation!$G249,'Gross Gen Plant'!$E$5:$AD$5,0))</f>
        <v>0</v>
      </c>
      <c r="BY249" s="113">
        <f t="shared" si="444"/>
        <v>455663</v>
      </c>
      <c r="BZ249" s="113"/>
      <c r="CA249" s="116">
        <v>2019</v>
      </c>
      <c r="CB249" s="113"/>
      <c r="CC249" s="113"/>
      <c r="CD249" s="113"/>
      <c r="CE249" s="175"/>
      <c r="CF249" s="113">
        <f t="shared" si="456"/>
        <v>53165</v>
      </c>
      <c r="CG249" s="113">
        <f t="shared" si="457"/>
        <v>68.729539845777666</v>
      </c>
      <c r="CH249" s="178">
        <v>0.85106382978723405</v>
      </c>
      <c r="CI249" s="61">
        <f>CI228*CH249+CG229*CH248+CG230*CH247+CG231*CH246+CG232*CH245+CG233*CH244+CG234*CH243+CG235*CH242+CG236*CH241+CG237*CH240+CG238*CH239+CG239*CH238+CG240*CH237+CG241*CH236+CG242*CH235+CG243*CH234+CG244*CH233+CG245*CH232+CG246*CH231+CG247*CH230+CG248*CH229+CG249</f>
        <v>1101.455052083397</v>
      </c>
      <c r="CJ249" s="114">
        <f t="shared" si="458"/>
        <v>5.600780617049738E-2</v>
      </c>
      <c r="CK249" s="114"/>
      <c r="CL249" s="169">
        <f t="shared" si="459"/>
        <v>8.3874656452939834E-3</v>
      </c>
      <c r="CM249" s="169">
        <f t="shared" si="468"/>
        <v>8.2940846451524247E-3</v>
      </c>
      <c r="CN249" s="114">
        <f>VLOOKUP($H249,RoR!$E:$F,2,FALSE)</f>
        <v>3.3875000000000009E-2</v>
      </c>
      <c r="CO249" s="169">
        <v>1.8092492884465461E-2</v>
      </c>
      <c r="CP249" s="169">
        <f t="shared" si="466"/>
        <v>1.5782507115534548E-2</v>
      </c>
      <c r="CQ249" s="169">
        <f t="shared" si="469"/>
        <v>2.26078569633812E-2</v>
      </c>
      <c r="CR249" s="169">
        <f t="shared" si="470"/>
        <v>4.8445665544254078E-2</v>
      </c>
      <c r="CS249" s="179">
        <f t="shared" si="460"/>
        <v>0.90509623210000001</v>
      </c>
      <c r="CT249" s="180">
        <f t="shared" si="461"/>
        <v>1.513861292459078</v>
      </c>
      <c r="CU249" s="180">
        <f t="shared" si="462"/>
        <v>0.23699261992619944</v>
      </c>
      <c r="CV249" s="180">
        <f t="shared" si="463"/>
        <v>0.73619765810468829</v>
      </c>
      <c r="CW249" s="180">
        <f t="shared" si="464"/>
        <v>0.26412854465362851</v>
      </c>
      <c r="CX249" s="181">
        <f>INDEX('State Tax Lookup'!$D$7:$Z$91,MATCH(Calculation!$C249,'State Tax Lookup'!$B$7:$B$91,0),MATCH($H249,'State Tax Lookup'!$D$6:$Z$6,0))</f>
        <v>0.25649666999999998</v>
      </c>
      <c r="CY249" s="72">
        <v>0.37</v>
      </c>
      <c r="CZ249" s="70">
        <f t="shared" si="467"/>
        <v>21.229944559897987</v>
      </c>
      <c r="DA249" s="70">
        <v>19.236104090735289</v>
      </c>
      <c r="DB249" s="69">
        <f t="shared" si="471"/>
        <v>1.8669273574025591E-2</v>
      </c>
      <c r="DC249" s="111">
        <f>VLOOKUP($H249,RoR!$E:$F,2,FALSE)</f>
        <v>3.3875000000000009E-2</v>
      </c>
      <c r="DD249" s="216">
        <f>HLOOKUP($H249,'GDP-PI'!$D$8:$CQ$11,3,FALSE)</f>
        <v>1.8092492884465461E-2</v>
      </c>
      <c r="DE249" s="111">
        <f>VLOOKUP(H249,'HW Dx Data'!$E:$F,2,FALSE)</f>
        <v>773.53929793938721</v>
      </c>
      <c r="DF249" s="72">
        <f t="shared" si="479"/>
        <v>149.67500000000001</v>
      </c>
      <c r="DG249" s="69">
        <f t="shared" si="480"/>
        <v>3.5532849899171604E-2</v>
      </c>
      <c r="DH249" s="66">
        <f>HLOOKUP(H249,'GDP-PI'!$8:$9,2,FALSE)</f>
        <v>112.318</v>
      </c>
      <c r="DI249" s="69">
        <f t="shared" si="472"/>
        <v>1.7930771451401852E-2</v>
      </c>
      <c r="EB249"/>
    </row>
    <row r="250" spans="1:132" s="160" customFormat="1" ht="21">
      <c r="A250" s="160" t="s">
        <v>173</v>
      </c>
      <c r="B250" s="160" t="s">
        <v>173</v>
      </c>
      <c r="C250" s="160">
        <v>4057076</v>
      </c>
      <c r="D250" s="160" t="s">
        <v>171</v>
      </c>
      <c r="E250" s="160" t="s">
        <v>3</v>
      </c>
      <c r="G250" s="161" t="s">
        <v>141</v>
      </c>
      <c r="H250" s="162">
        <v>2020</v>
      </c>
      <c r="I250" s="163"/>
      <c r="J250" s="159">
        <v>15791</v>
      </c>
      <c r="K250" s="159">
        <f t="shared" si="473"/>
        <v>103.10806398955272</v>
      </c>
      <c r="L250" s="165">
        <f t="shared" si="481"/>
        <v>-2.2970912829859406E-2</v>
      </c>
      <c r="M250" s="76">
        <f t="shared" si="482"/>
        <v>-1.0600098168174764E-4</v>
      </c>
      <c r="N250" s="62">
        <f t="shared" si="488"/>
        <v>114.25445502777384</v>
      </c>
      <c r="O250" s="96">
        <f t="shared" si="483"/>
        <v>-1.3891613528198593E-2</v>
      </c>
      <c r="P250" s="96"/>
      <c r="Q250" s="159">
        <v>22869</v>
      </c>
      <c r="R250" s="159">
        <f t="shared" si="474"/>
        <v>201.27086945424782</v>
      </c>
      <c r="S250" s="165">
        <f t="shared" si="484"/>
        <v>-1.1541322281825089E-2</v>
      </c>
      <c r="T250" s="165">
        <f t="shared" si="485"/>
        <v>-5.3258288028877385E-5</v>
      </c>
      <c r="U250" s="165"/>
      <c r="V250" s="165"/>
      <c r="W250" s="159">
        <f t="shared" si="454"/>
        <v>24453.014001476655</v>
      </c>
      <c r="X250" s="163"/>
      <c r="Y250" s="167">
        <v>1157.423848904607</v>
      </c>
      <c r="Z250" s="168">
        <v>4.9564635200783809E-2</v>
      </c>
      <c r="AA250" s="76">
        <f t="shared" si="475"/>
        <v>2.2871968680109896E-4</v>
      </c>
      <c r="AB250" s="168"/>
      <c r="AC250" s="168"/>
      <c r="AD250" s="163">
        <f t="shared" si="465"/>
        <v>63113.014001476651</v>
      </c>
      <c r="AE250" s="168">
        <f t="shared" si="486"/>
        <v>3.7827139401370349E-2</v>
      </c>
      <c r="AF250" s="163"/>
      <c r="AG250" s="163"/>
      <c r="AH250" s="163"/>
      <c r="AI250" s="163"/>
      <c r="AJ250" s="116">
        <f t="shared" si="487"/>
        <v>753.54323922723006</v>
      </c>
      <c r="AK250" s="114">
        <f>+AV250/$AX$25</f>
        <v>2.207959319664346E-3</v>
      </c>
      <c r="AL250" s="115">
        <f t="shared" si="476"/>
        <v>0.25020196309481496</v>
      </c>
      <c r="AM250" s="115">
        <f t="shared" si="477"/>
        <v>0.36234999012192531</v>
      </c>
      <c r="AN250" s="115">
        <f t="shared" si="478"/>
        <v>0.38744804678325978</v>
      </c>
      <c r="AO250" s="115">
        <f t="shared" si="489"/>
        <v>-1.0120797401891283E-2</v>
      </c>
      <c r="AP250" s="166">
        <f t="shared" si="491"/>
        <v>162.21225208272114</v>
      </c>
      <c r="AQ250" s="168">
        <f t="shared" si="492"/>
        <v>-1.012079740189132E-2</v>
      </c>
      <c r="AR250" s="69">
        <f>+AD250/$AF$25</f>
        <v>4.614574199417935E-3</v>
      </c>
      <c r="AS250" s="169">
        <f t="shared" si="490"/>
        <v>-4.6703170568303754E-5</v>
      </c>
      <c r="AT250" s="115"/>
      <c r="AU250" s="115"/>
      <c r="AV250" s="113">
        <v>83755</v>
      </c>
      <c r="AW250" s="68">
        <f t="shared" si="403"/>
        <v>0</v>
      </c>
      <c r="AX250" s="114"/>
      <c r="AY250" s="114"/>
      <c r="AZ250" s="116">
        <v>9060252</v>
      </c>
      <c r="BA250" s="116"/>
      <c r="BB250" s="166"/>
      <c r="BC250" s="166"/>
      <c r="BD250" s="166"/>
      <c r="BE250" s="166"/>
      <c r="BF250" s="166"/>
      <c r="BG250" s="166"/>
      <c r="BH250" s="166"/>
      <c r="BI250" s="113"/>
      <c r="BJ250" s="113"/>
      <c r="BK250" s="113"/>
      <c r="BL250" s="113"/>
      <c r="BM250" s="231">
        <v>1</v>
      </c>
      <c r="BN250" s="113"/>
      <c r="BO250" s="113"/>
      <c r="BP250" s="113"/>
      <c r="BQ250" s="113"/>
      <c r="BR250" s="113"/>
      <c r="BS250" s="113"/>
      <c r="BT250" s="113"/>
      <c r="BU250" s="113"/>
      <c r="BV250" s="113"/>
      <c r="BW250" s="113"/>
      <c r="BX250" s="113"/>
      <c r="BY250" s="113"/>
      <c r="BZ250" s="113"/>
      <c r="CA250" s="116">
        <v>2020</v>
      </c>
      <c r="CB250" s="113"/>
      <c r="CC250" s="113"/>
      <c r="CD250" s="113"/>
      <c r="CE250" s="175"/>
      <c r="CF250" s="238">
        <v>53165</v>
      </c>
      <c r="CG250" s="113">
        <f t="shared" si="457"/>
        <v>65.387156709399846</v>
      </c>
      <c r="CH250" s="178">
        <v>0.84057971014492749</v>
      </c>
      <c r="CI250" s="61">
        <f>CI228*CH250+CG229*CH249+CG230*CH248+CG231*CH247+CG232*CH246+CG233*CH245+CG234*CH244+CG235*CH243+CG236*CH242+CG237*CH241+CG238*CH240+CG239*CH239+CG240*CH238+CG241*CH237+CG242*CH236+CG243*CH235+CG244*CH234+CG245*CH233+CG246*CH232+CG247*CH231+CG248*CH230+CG249*CH229+CG250</f>
        <v>1157.423848904607</v>
      </c>
      <c r="CJ250" s="114">
        <f t="shared" si="458"/>
        <v>4.9564635200783809E-2</v>
      </c>
      <c r="CK250" s="114"/>
      <c r="CL250" s="169">
        <f t="shared" si="459"/>
        <v>8.5508345259982486E-3</v>
      </c>
      <c r="CM250" s="169">
        <f t="shared" si="468"/>
        <v>8.4168762328502168E-3</v>
      </c>
      <c r="CN250" s="114">
        <f>VLOOKUP($H250,RoR!$E:$F,2,FALSE)</f>
        <v>2.4766666666666666E-2</v>
      </c>
      <c r="CO250" s="169">
        <v>1.1618796630994188E-2</v>
      </c>
      <c r="CP250" s="169">
        <f t="shared" si="466"/>
        <v>1.3147870035672478E-2</v>
      </c>
      <c r="CQ250" s="169">
        <f t="shared" si="469"/>
        <v>2.2485065375683407E-2</v>
      </c>
      <c r="CR250" s="169">
        <f t="shared" si="470"/>
        <v>4.5144642961987357E-2</v>
      </c>
      <c r="CS250" s="179">
        <f t="shared" si="460"/>
        <v>0.90509623210000001</v>
      </c>
      <c r="CT250" s="180">
        <f t="shared" si="461"/>
        <v>2.0706077233668081</v>
      </c>
      <c r="CU250" s="180">
        <f t="shared" si="462"/>
        <v>-3.4421265141318998E-2</v>
      </c>
      <c r="CV250" s="180">
        <f t="shared" si="463"/>
        <v>0.62416226176410472</v>
      </c>
      <c r="CW250" s="180">
        <f t="shared" si="464"/>
        <v>-4.4485877841158712E-2</v>
      </c>
      <c r="CX250" s="181">
        <f>INDEX('State Tax Lookup'!$D$7:$Z$91,MATCH(Calculation!$C250,'State Tax Lookup'!$B$7:$B$91,0),MATCH($H250,'State Tax Lookup'!$D$6:$Z$6,0))</f>
        <v>0.25649666999999998</v>
      </c>
      <c r="CY250" s="72">
        <v>0.37</v>
      </c>
      <c r="CZ250" s="70">
        <f t="shared" si="467"/>
        <v>22.200646277143942</v>
      </c>
      <c r="DA250" s="70">
        <v>19.952659173050833</v>
      </c>
      <c r="DB250" s="69">
        <f t="shared" si="471"/>
        <v>4.4708735729574151E-2</v>
      </c>
      <c r="DC250" s="111">
        <f>VLOOKUP($H250,RoR!$E:$F,2,FALSE)</f>
        <v>2.4766666666666666E-2</v>
      </c>
      <c r="DD250" s="216">
        <f>HLOOKUP($H250,'GDP-PI'!$D$8:$CQ$11,3,FALSE)</f>
        <v>1.1618796630994188E-2</v>
      </c>
      <c r="DE250" s="111">
        <f>VLOOKUP(H250,'HW Dx Data'!$E:$F,2,FALSE)</f>
        <v>813.080162458833</v>
      </c>
      <c r="DF250" s="72">
        <f t="shared" si="479"/>
        <v>153.15</v>
      </c>
      <c r="DG250" s="69">
        <f t="shared" si="480"/>
        <v>2.2951556467368479E-2</v>
      </c>
      <c r="DH250" s="66">
        <f>HLOOKUP(H250,'GDP-PI'!$8:$9,2,FALSE)</f>
        <v>113.623</v>
      </c>
      <c r="DI250" s="69">
        <f t="shared" si="472"/>
        <v>1.1551816731392881E-2</v>
      </c>
      <c r="EB250"/>
    </row>
    <row r="251" spans="1:132" s="160" customFormat="1" ht="21">
      <c r="A251" s="160" t="s">
        <v>173</v>
      </c>
      <c r="B251" s="160" t="s">
        <v>173</v>
      </c>
      <c r="C251" s="160">
        <v>4057076</v>
      </c>
      <c r="D251" s="160" t="s">
        <v>171</v>
      </c>
      <c r="E251" s="160" t="s">
        <v>3</v>
      </c>
      <c r="G251" s="161" t="s">
        <v>142</v>
      </c>
      <c r="H251" s="162">
        <v>2021</v>
      </c>
      <c r="I251" s="163"/>
      <c r="J251" s="159">
        <v>17039.617857770394</v>
      </c>
      <c r="K251" s="159">
        <f t="shared" si="473"/>
        <v>108.36004996992301</v>
      </c>
      <c r="L251" s="164">
        <f t="shared" si="481"/>
        <v>4.9681875176243839E-2</v>
      </c>
      <c r="M251" s="76">
        <f t="shared" si="482"/>
        <v>1.9631916431879851E-4</v>
      </c>
      <c r="N251" s="166">
        <f>+N250*EXP(O251)</f>
        <v>119.36250737092648</v>
      </c>
      <c r="O251" s="114">
        <f t="shared" si="483"/>
        <v>4.3737120336140259E-2</v>
      </c>
      <c r="P251" s="114"/>
      <c r="Q251" s="159">
        <v>24019.702281435373</v>
      </c>
      <c r="R251" s="159">
        <f t="shared" si="474"/>
        <v>202.71501630040825</v>
      </c>
      <c r="S251" s="165">
        <f t="shared" si="484"/>
        <v>7.1495220433326701E-3</v>
      </c>
      <c r="T251" s="165">
        <f t="shared" si="485"/>
        <v>2.8251514014854373E-5</v>
      </c>
      <c r="U251" s="165"/>
      <c r="V251" s="165"/>
      <c r="W251" s="159">
        <f t="shared" si="454"/>
        <v>19487.3548228728</v>
      </c>
      <c r="X251" s="163"/>
      <c r="Y251" s="167">
        <v>1184.9044400613809</v>
      </c>
      <c r="Z251" s="168"/>
      <c r="AA251" s="76">
        <f t="shared" si="475"/>
        <v>0</v>
      </c>
      <c r="AB251" s="168"/>
      <c r="AC251" s="168"/>
      <c r="AD251" s="163">
        <f t="shared" si="465"/>
        <v>60546.67496207857</v>
      </c>
      <c r="AE251" s="168">
        <f t="shared" si="486"/>
        <v>-4.1512437792038892E-2</v>
      </c>
      <c r="AF251" s="113"/>
      <c r="AG251" s="114"/>
      <c r="AH251" s="114"/>
      <c r="AI251" s="114"/>
      <c r="AJ251" s="116">
        <f t="shared" si="487"/>
        <v>722.68649990544964</v>
      </c>
      <c r="AK251" s="114">
        <f>+AV251/$AX$26</f>
        <v>2.1701135040528832E-3</v>
      </c>
      <c r="AL251" s="115">
        <f t="shared" si="476"/>
        <v>0.28142945700061317</v>
      </c>
      <c r="AM251" s="115">
        <f t="shared" si="477"/>
        <v>0.39671381288038243</v>
      </c>
      <c r="AN251" s="115">
        <f t="shared" si="478"/>
        <v>0.32185673011900434</v>
      </c>
      <c r="AO251" s="115">
        <f t="shared" si="489"/>
        <v>1.5919694622405622E-2</v>
      </c>
      <c r="AP251" s="166">
        <f t="shared" si="491"/>
        <v>164.81528638031409</v>
      </c>
      <c r="AQ251" s="168">
        <f t="shared" si="492"/>
        <v>1.591969462240566E-2</v>
      </c>
      <c r="AR251" s="69">
        <f>+AD251/$AF$26</f>
        <v>3.9515248493010094E-3</v>
      </c>
      <c r="AS251" s="169">
        <f t="shared" si="490"/>
        <v>6.2907068893719613E-5</v>
      </c>
      <c r="AT251" s="115"/>
      <c r="AU251" s="115"/>
      <c r="AV251" s="113">
        <f>INDEX('Total Customers'!$E$7:$E$91,MATCH(Calculation!$C251,'Total Customers'!$D$7:$D$91,0))</f>
        <v>83780</v>
      </c>
      <c r="AW251" s="68">
        <f t="shared" si="403"/>
        <v>2.9844510323887046E-4</v>
      </c>
      <c r="AX251" s="113"/>
      <c r="AY251" s="113"/>
      <c r="AZ251" s="116"/>
      <c r="BA251" s="116"/>
      <c r="BB251" s="166"/>
      <c r="BC251" s="166"/>
      <c r="BD251" s="166"/>
      <c r="BE251" s="166"/>
      <c r="BF251" s="166"/>
      <c r="BG251" s="166"/>
      <c r="BH251" s="166"/>
      <c r="BI251" s="113"/>
      <c r="BJ251" s="113"/>
      <c r="BK251" s="113">
        <f>INDEX('Dist. Plant Gas Additions'!$E$7:$AE$91,MATCH($C251,'Dist. Plant Gas Additions'!$D$7:$D$91,0),MATCH(Calculation!$G251,'Dist. Plant Gas Additions'!$E$5:$AE$5,0))</f>
        <v>59179</v>
      </c>
      <c r="BL251" s="113">
        <f>INDEX('Gen. Plant Additions'!$E$7:$AE$91,MATCH($C251,'Gen. Plant Additions'!$D$7:$D$91,0),MATCH(Calculation!$G251,'Gen. Plant Additions'!$E$5:$AE$5,0))</f>
        <v>0</v>
      </c>
      <c r="BM251" s="232">
        <v>1</v>
      </c>
      <c r="BN251" s="61">
        <f>+BM251*BL251</f>
        <v>0</v>
      </c>
      <c r="BO251" s="113"/>
      <c r="BP251" s="113"/>
      <c r="BQ251" s="175"/>
      <c r="BR251" s="175"/>
      <c r="BS251" s="170"/>
      <c r="BT251" s="176"/>
      <c r="BU251" s="177"/>
      <c r="BV251" s="177"/>
      <c r="BW251" s="113"/>
      <c r="BX251" s="113"/>
      <c r="BY251" s="113"/>
      <c r="BZ251" s="113"/>
      <c r="CA251" s="116">
        <v>2021</v>
      </c>
      <c r="CB251" s="113"/>
      <c r="CC251" s="113"/>
      <c r="CD251" s="113"/>
      <c r="CE251" s="175"/>
      <c r="CF251" s="238">
        <f t="shared" ref="CF251" si="493">+BL251+BK251</f>
        <v>59179</v>
      </c>
      <c r="CG251" s="113">
        <f t="shared" si="457"/>
        <v>63.427195003000712</v>
      </c>
      <c r="CH251" s="178">
        <f>+(51-23)/(51-23*0.75)</f>
        <v>0.82962962962962961</v>
      </c>
      <c r="CI251" s="113">
        <f>CI228*CH251+CG229*CH250+CG230*CH249+CG231*CH248+CG232*CH247+CG233*CH246+CG234*CH245+CG235*CH244+CG236*CH243+CG237*CH242+CG238*CH241+CG239*CH240+CG240*CH239+CG241*CH238+CG242*CH237+CG233*CH236+CG244*CH235+CG245*CH234+CG246*CH233+CG247*CH232+CG248*CH231+CG249*CH230+CG251+CG250*CH229</f>
        <v>1184.9044400613809</v>
      </c>
      <c r="CJ251" s="114"/>
      <c r="CK251" s="113"/>
      <c r="CL251" s="169">
        <f t="shared" si="459"/>
        <v>3.1057424538337337E-2</v>
      </c>
      <c r="CM251" s="169">
        <f t="shared" si="468"/>
        <v>1.5998574903209856E-2</v>
      </c>
      <c r="CN251" s="114">
        <f>VLOOKUP($H251,RoR!$E:$F,2,FALSE)</f>
        <v>2.7033333333333336E-2</v>
      </c>
      <c r="CO251" s="169">
        <v>1.4335631817396832E-2</v>
      </c>
      <c r="CP251" s="169">
        <f>+CN251-CO251</f>
        <v>1.2697701515936504E-2</v>
      </c>
      <c r="CQ251" s="169">
        <f t="shared" si="469"/>
        <v>1.4903366705323769E-2</v>
      </c>
      <c r="CR251" s="169">
        <f t="shared" si="470"/>
        <v>7.433422950153494E-2</v>
      </c>
      <c r="CS251" s="179">
        <f t="shared" si="460"/>
        <v>0.90509623210000001</v>
      </c>
      <c r="CT251" s="180">
        <f t="shared" si="461"/>
        <v>1.8969932656739068</v>
      </c>
      <c r="CU251" s="180">
        <f t="shared" si="462"/>
        <v>5.0215782983970621E-2</v>
      </c>
      <c r="CV251" s="180">
        <f t="shared" si="463"/>
        <v>0.655952481704143</v>
      </c>
      <c r="CW251" s="180">
        <f t="shared" si="464"/>
        <v>6.2485378865697057E-2</v>
      </c>
      <c r="CX251" s="181">
        <f>CX250</f>
        <v>0.25649666999999998</v>
      </c>
      <c r="CY251" s="72">
        <v>0.37</v>
      </c>
      <c r="CZ251" s="182">
        <f t="shared" si="467"/>
        <v>16.836835392078495</v>
      </c>
      <c r="DA251" s="182"/>
      <c r="DB251" s="169">
        <f t="shared" si="471"/>
        <v>-0.27655233096854737</v>
      </c>
      <c r="DC251" s="181">
        <f>VLOOKUP($H251,RoR!$E:$F,2,FALSE)</f>
        <v>2.7033333333333336E-2</v>
      </c>
      <c r="DD251" s="183">
        <f>HLOOKUP($H251,'GDP-PI'!$D$8:$CR$11,3,FALSE)</f>
        <v>4.2834637353352578E-2</v>
      </c>
      <c r="DE251" s="181">
        <f>VLOOKUP(H251,'HW Dx Data'!$E:$F,2,FALSE)</f>
        <v>933.02249921662576</v>
      </c>
      <c r="DF251" s="72">
        <f t="shared" si="479"/>
        <v>157.25</v>
      </c>
      <c r="DG251" s="69">
        <f t="shared" si="480"/>
        <v>2.6419062301765574E-2</v>
      </c>
      <c r="DH251" s="175">
        <f>HLOOKUP(H251,'GDP-PI'!$8:$9,2,FALSE)</f>
        <v>118.49</v>
      </c>
      <c r="DI251" s="169">
        <f t="shared" si="472"/>
        <v>4.194261824609434E-2</v>
      </c>
      <c r="EB251"/>
    </row>
    <row r="252" spans="1:132" s="160" customFormat="1" ht="21">
      <c r="G252" s="161" t="s">
        <v>144</v>
      </c>
      <c r="H252" s="162"/>
      <c r="I252" s="163"/>
      <c r="J252" s="159">
        <v>17118.912227970868</v>
      </c>
      <c r="K252" s="159">
        <f t="shared" si="473"/>
        <v>105.31474763439475</v>
      </c>
      <c r="L252" s="164">
        <f t="shared" ref="L252" si="494">LN(K252/K251)</f>
        <v>-2.850601552272743E-2</v>
      </c>
      <c r="M252" s="76">
        <f t="shared" si="482"/>
        <v>-1.2931107532988126E-4</v>
      </c>
      <c r="N252" s="166">
        <f>+N251*EXP(O252)</f>
        <v>119.53337493162034</v>
      </c>
      <c r="O252" s="114">
        <f t="shared" si="483"/>
        <v>1.4304774798434762E-3</v>
      </c>
      <c r="P252" s="114"/>
      <c r="Q252" s="163">
        <v>24131.478682802306</v>
      </c>
      <c r="R252" s="159">
        <f t="shared" si="474"/>
        <v>189.63833935404563</v>
      </c>
      <c r="S252" s="165">
        <f t="shared" ref="S252" si="495">LN(R252/R251)</f>
        <v>-6.6682350955346512E-2</v>
      </c>
      <c r="T252" s="165">
        <f t="shared" si="485"/>
        <v>-3.0248936406722946E-4</v>
      </c>
      <c r="U252" s="166"/>
      <c r="V252" s="114"/>
      <c r="W252" s="159">
        <f t="shared" si="454"/>
        <v>32442.250247579203</v>
      </c>
      <c r="X252" s="165">
        <f>LN(W252/W251)</f>
        <v>0.50969580868988051</v>
      </c>
      <c r="Y252" s="167">
        <v>1257.3085991408745</v>
      </c>
      <c r="Z252" s="168">
        <v>5.9311273927386998E-2</v>
      </c>
      <c r="AA252" s="76">
        <f t="shared" si="475"/>
        <v>2.6905214461209773E-4</v>
      </c>
      <c r="AB252" s="166"/>
      <c r="AC252" s="114"/>
      <c r="AD252" s="163">
        <f t="shared" si="465"/>
        <v>73692.641158352373</v>
      </c>
      <c r="AE252" s="168">
        <f t="shared" si="486"/>
        <v>0.19648839104223059</v>
      </c>
      <c r="AF252" s="113"/>
      <c r="AG252" s="114"/>
      <c r="AH252" s="114"/>
      <c r="AI252" s="114"/>
      <c r="AJ252" s="116">
        <f t="shared" si="487"/>
        <v>844.27612027670705</v>
      </c>
      <c r="AK252" s="114"/>
      <c r="AL252" s="115">
        <f t="shared" si="476"/>
        <v>0.23230151557718459</v>
      </c>
      <c r="AM252" s="115">
        <f t="shared" si="477"/>
        <v>0.32746117256060958</v>
      </c>
      <c r="AN252" s="115">
        <f t="shared" si="478"/>
        <v>0.44023731186220588</v>
      </c>
      <c r="AO252" s="115"/>
      <c r="AP252" s="166"/>
      <c r="AQ252" s="168"/>
      <c r="AR252" s="69">
        <f>+AD252/$AF$27</f>
        <v>4.5362732377235756E-3</v>
      </c>
      <c r="AS252" s="169"/>
      <c r="AT252" s="166"/>
      <c r="AU252" s="168"/>
      <c r="AV252" s="113">
        <v>87285</v>
      </c>
      <c r="AW252" s="68"/>
      <c r="AX252" s="113"/>
      <c r="AY252" s="113"/>
      <c r="AZ252" s="113"/>
      <c r="BA252" s="113"/>
      <c r="BB252" s="171"/>
      <c r="BC252" s="172"/>
      <c r="BD252" s="173"/>
      <c r="BE252" s="115"/>
      <c r="BF252" s="174"/>
      <c r="BG252" s="174"/>
      <c r="BH252" s="166"/>
      <c r="BI252" s="113"/>
      <c r="BJ252" s="113"/>
      <c r="BK252" s="113"/>
      <c r="BL252" s="113"/>
      <c r="BM252" s="232">
        <v>1</v>
      </c>
      <c r="BN252" s="61">
        <f t="shared" ref="BN252:BN270" si="496">+BM252*BL252</f>
        <v>0</v>
      </c>
      <c r="BO252" s="113"/>
      <c r="BP252" s="113"/>
      <c r="BQ252" s="175"/>
      <c r="BR252" s="175"/>
      <c r="BS252" s="170"/>
      <c r="BT252" s="176"/>
      <c r="BU252" s="177"/>
      <c r="BV252" s="177"/>
      <c r="BW252" s="113"/>
      <c r="BX252" s="113"/>
      <c r="BY252" s="113"/>
      <c r="BZ252" s="113"/>
      <c r="CA252" s="116">
        <v>2022</v>
      </c>
      <c r="CB252" s="113"/>
      <c r="CC252" s="113"/>
      <c r="CD252" s="113"/>
      <c r="CE252" s="175"/>
      <c r="CF252" s="238">
        <v>57191</v>
      </c>
      <c r="CG252" s="113">
        <f>+CF252/DE252</f>
        <v>55.481611548199965</v>
      </c>
      <c r="CH252" s="178">
        <f>+(51-24)/(51-24*0.75)</f>
        <v>0.81818181818181823</v>
      </c>
      <c r="CI252" s="113">
        <f>+CI228*CH252+CG229*CH251+CG230*CH250+CG231*CH249+CG232*CH248+CG233*CH247+CG234*CH246+CG235*CH245+CG236*CH244+CG237*CH243+CG238*CH242+CG239*CH241+CG240*CH240+CG241*CH239+CG242*CH238+CG243*CH237+CG244*CH236+CG245*CH235+CG246*CH234+CG247*CH233+CG248*CH232+CG249*CH231+CG250*CH230+CG251*CH229+CG252*CH228</f>
        <v>1255.3800187041306</v>
      </c>
      <c r="CJ252" s="114">
        <f t="shared" ref="CJ252" si="497">LN(CI252/CI251)</f>
        <v>5.7776200459258575E-2</v>
      </c>
      <c r="CK252" s="113"/>
      <c r="CL252" s="169">
        <f t="shared" si="459"/>
        <v>-1.2654157236319442E-2</v>
      </c>
      <c r="CM252" s="169">
        <f t="shared" si="468"/>
        <v>8.9847006093387149E-3</v>
      </c>
      <c r="CN252" s="114"/>
      <c r="CO252" s="169"/>
      <c r="CP252" s="169"/>
      <c r="CQ252" s="69">
        <f t="shared" si="469"/>
        <v>2.1917240999194912E-2</v>
      </c>
      <c r="CR252" s="169">
        <f t="shared" si="470"/>
        <v>0.10114668178709289</v>
      </c>
      <c r="CS252" s="179">
        <f t="shared" si="460"/>
        <v>0.90509623210000001</v>
      </c>
      <c r="CT252" s="180"/>
      <c r="CU252" s="180"/>
      <c r="CV252" s="180"/>
      <c r="CW252" s="180"/>
      <c r="CX252" s="181">
        <f>CX251</f>
        <v>0.25649666999999998</v>
      </c>
      <c r="CY252" s="72">
        <v>0.37</v>
      </c>
      <c r="CZ252" s="182">
        <f t="shared" si="467"/>
        <v>27.379634298525048</v>
      </c>
      <c r="DA252" s="182"/>
      <c r="DB252" s="169">
        <f t="shared" si="471"/>
        <v>0.48623039418364838</v>
      </c>
      <c r="DC252" s="181">
        <v>0.04</v>
      </c>
      <c r="DD252" s="183">
        <v>7.0000000000000001E-3</v>
      </c>
      <c r="DE252" s="181">
        <v>1030.81</v>
      </c>
      <c r="DF252" s="72">
        <f t="shared" si="479"/>
        <v>162.55000000000001</v>
      </c>
      <c r="DG252" s="169">
        <f t="shared" si="480"/>
        <v>3.3148751169364422E-2</v>
      </c>
      <c r="DH252" s="175">
        <v>127.25</v>
      </c>
      <c r="DI252" s="169">
        <f t="shared" si="472"/>
        <v>7.1325086601983473E-2</v>
      </c>
      <c r="EB252"/>
    </row>
    <row r="253" spans="1:132" s="160" customFormat="1" ht="21">
      <c r="A253" s="160" t="s">
        <v>174</v>
      </c>
      <c r="B253" s="161" t="s">
        <v>174</v>
      </c>
      <c r="C253" s="161">
        <v>4057114</v>
      </c>
      <c r="D253" s="161" t="s">
        <v>164</v>
      </c>
      <c r="E253" s="161" t="s">
        <v>3</v>
      </c>
      <c r="F253" s="161"/>
      <c r="G253" s="161" t="s">
        <v>100</v>
      </c>
      <c r="H253" s="162">
        <v>1998</v>
      </c>
      <c r="I253" s="163"/>
      <c r="J253" s="159"/>
      <c r="K253" s="159"/>
      <c r="L253" s="159"/>
      <c r="M253" s="60"/>
      <c r="N253" s="131"/>
      <c r="O253" s="76"/>
      <c r="P253" s="76"/>
      <c r="Q253" s="165"/>
      <c r="R253" s="165"/>
      <c r="S253" s="165"/>
      <c r="T253" s="159"/>
      <c r="U253" s="165"/>
      <c r="V253" s="165"/>
      <c r="W253" s="159"/>
      <c r="X253" s="163"/>
      <c r="Y253" s="167">
        <v>1435.0476180320077</v>
      </c>
      <c r="Z253" s="168"/>
      <c r="AA253" s="78"/>
      <c r="AB253" s="168"/>
      <c r="AC253" s="168"/>
      <c r="AD253" s="163">
        <f t="shared" si="465"/>
        <v>0</v>
      </c>
      <c r="AE253" s="163"/>
      <c r="AF253" s="163"/>
      <c r="AG253" s="114"/>
      <c r="AH253" s="114"/>
      <c r="AI253" s="114"/>
      <c r="AJ253" s="166">
        <f>+(AJ250+AJ251+AJ252)/3</f>
        <v>773.50195313646225</v>
      </c>
      <c r="AK253" s="168"/>
      <c r="AL253" s="115"/>
      <c r="AM253" s="115"/>
      <c r="AN253" s="115"/>
      <c r="AO253" s="115"/>
      <c r="AP253" s="115"/>
      <c r="AQ253" s="168">
        <f>AVERAGE(AQ262:AQ276)</f>
        <v>-1.2384012932072721E-3</v>
      </c>
      <c r="AR253" s="79"/>
      <c r="AS253" s="115"/>
      <c r="AT253" s="115"/>
      <c r="AU253" s="115"/>
      <c r="AV253" s="113">
        <f>IFERROR(INDEX('Total Customers'!$F$7:$AB$91,MATCH($C253,'Total Customers'!$D$7:$D$91,0),MATCH($G253,'Total Customers'!$F$5:$AB$5,0)),"NA")</f>
        <v>139490</v>
      </c>
      <c r="AW253" s="68">
        <f t="shared" si="403"/>
        <v>0.46881428732740094</v>
      </c>
      <c r="AX253" s="114"/>
      <c r="AY253" s="114"/>
      <c r="AZ253" s="116"/>
      <c r="BA253" s="116"/>
      <c r="BB253" s="166"/>
      <c r="BC253" s="166"/>
      <c r="BD253" s="166"/>
      <c r="BE253" s="166"/>
      <c r="BF253" s="166"/>
      <c r="BG253" s="166"/>
      <c r="BH253" s="166"/>
      <c r="BI253" s="113">
        <f>INDEX('Gross Dx Plant'!$E$7:$AD$91,MATCH($C253,'Gross Dx Plant'!$D$7:$D$91,0),MATCH(Calculation!$G253,'Gross Dx Plant'!$E$5:$AD$5,0))</f>
        <v>330984</v>
      </c>
      <c r="BJ253" s="113">
        <f>INDEX('Gross Gen Plant'!$E$7:$AD$91,MATCH($C253,'Gross Gen Plant'!$D$7:$D$91,0),MATCH(Calculation!$G253,'Gross Gen Plant'!$E$5:$AD$5,0))</f>
        <v>19804</v>
      </c>
      <c r="BK253" s="113">
        <f>INDEX('Dist. Plant Gas Additions'!$F$7:$AE$91,MATCH($C253,'Dist. Plant Gas Additions'!$D$7:$D$91,0),MATCH(Calculation!$G253,'Dist. Plant Gas Additions'!$F$5:$AE$5,0))</f>
        <v>22978</v>
      </c>
      <c r="BL253" s="113">
        <f>INDEX('Gen. Plant Additions'!$F$7:$AE$91,MATCH($C253,'Gen. Plant Additions'!$D$7:$D$91,0),MATCH(Calculation!$G253,'Gen. Plant Additions'!$F$5:$AE$5,0))</f>
        <v>3885</v>
      </c>
      <c r="BM253" s="231">
        <f>+(BW253/(BW253+BX253))</f>
        <v>0.94354424894808264</v>
      </c>
      <c r="BN253" s="61">
        <f t="shared" si="496"/>
        <v>3665.669407163301</v>
      </c>
      <c r="BO253" s="113" t="str">
        <f>INDEX('Dist Plant Depreciation'!$E$7:$AD$94,MATCH($C253,'Dist Plant Depreciation'!$D$7:$D$94,0),MATCH(Calculation!$G253,'Dist Plant Depreciation'!$E$5:$AD$5,0))</f>
        <v>NA</v>
      </c>
      <c r="BP253" s="113" t="str">
        <f>INDEX('Gen. Plant Depreciation'!$E$7:$AD$94,MATCH($C253,'Gen. Plant Depreciation'!$D$7:$D$94,0),MATCH(Calculation!$G253,'Gen. Plant Depreciation'!$E$5:$AD$5,0))</f>
        <v>NA</v>
      </c>
      <c r="BQ253" s="113"/>
      <c r="BR253" s="113"/>
      <c r="BS253" s="113"/>
      <c r="BT253" s="113"/>
      <c r="BU253" s="113"/>
      <c r="BV253" s="113"/>
      <c r="BW253" s="113">
        <f>INDEX('Gross Dx Plant'!$E$7:$AD$91,MATCH($C253,'Gross Dx Plant'!$D$7:$D$91,0),MATCH(Calculation!$G253,'Gross Dx Plant'!$E$5:$AD$5,0))</f>
        <v>330984</v>
      </c>
      <c r="BX253" s="113">
        <f>INDEX('Gross Gen Plant'!$E$7:$AD$91,MATCH($C253,'Gross Gen Plant'!$D$7:$D$91,0),MATCH(Calculation!$G253,'Gross Gen Plant'!$E$5:$AD$5,0))</f>
        <v>19804</v>
      </c>
      <c r="BY253" s="113" t="str">
        <f t="shared" si="444"/>
        <v>NA</v>
      </c>
      <c r="BZ253" s="113"/>
      <c r="CA253" s="116">
        <v>1998</v>
      </c>
      <c r="CB253" s="113">
        <v>389086</v>
      </c>
      <c r="CC253" s="113">
        <v>99609</v>
      </c>
      <c r="CD253" s="113">
        <f>+CB253-CC253</f>
        <v>289477</v>
      </c>
      <c r="CE253" s="113">
        <f>CD253/$BV$3</f>
        <v>1435.0476180320077</v>
      </c>
      <c r="CF253" s="175"/>
      <c r="CG253" s="175"/>
      <c r="CH253" s="178">
        <v>1</v>
      </c>
      <c r="CI253" s="113">
        <f>+CE253</f>
        <v>1435.0476180320077</v>
      </c>
      <c r="CJ253" s="114"/>
      <c r="CK253" s="114"/>
      <c r="CL253" s="169"/>
      <c r="CM253" s="169"/>
      <c r="CN253" s="114" t="e">
        <f>VLOOKUP($H253,RoR!$E:$F,2,FALSE)</f>
        <v>#N/A</v>
      </c>
      <c r="CO253" s="169">
        <v>1.1028127770464469E-2</v>
      </c>
      <c r="CP253" s="169"/>
      <c r="CQ253" s="169"/>
      <c r="CR253" s="169"/>
      <c r="CS253" s="179"/>
      <c r="CT253" s="182" t="e">
        <f>2/(DC253*39)</f>
        <v>#N/A</v>
      </c>
      <c r="CU253" s="180" t="e">
        <f>+(DC253*40-(1+DC253))/(DC253*40)</f>
        <v>#N/A</v>
      </c>
      <c r="CV253" s="180" t="e">
        <f>+(1-(1/(1+DC253)^40))</f>
        <v>#N/A</v>
      </c>
      <c r="CW253" s="180" t="e">
        <f>+CV253*CU253*CT253</f>
        <v>#N/A</v>
      </c>
      <c r="CX253" s="181">
        <f>INDEX('State Tax Lookup'!$D$7:$Z$91,MATCH(Calculation!$C253,'State Tax Lookup'!$B$7:$B$91,0),MATCH($H253,'State Tax Lookup'!$D$6:$Z$6,0))</f>
        <v>0.40700500000000001</v>
      </c>
      <c r="CY253" s="72">
        <v>0.37</v>
      </c>
      <c r="CZ253" s="66"/>
      <c r="DA253" s="66"/>
      <c r="DB253" s="69"/>
      <c r="DC253" s="111" t="e">
        <f>VLOOKUP($H253,RoR!$E:$F,2,FALSE)</f>
        <v>#N/A</v>
      </c>
      <c r="DD253" s="216">
        <f>HLOOKUP($H253,'GDP-PI'!$D$8:$CQ$11,3,FALSE)</f>
        <v>1.1028127770464469E-2</v>
      </c>
      <c r="DE253" s="111">
        <f>VLOOKUP(H253,'HW Dx Data'!$E:$F,2,FALSE)</f>
        <v>329.24564746449528</v>
      </c>
      <c r="DF253" s="72" t="e">
        <f t="shared" si="479"/>
        <v>#N/A</v>
      </c>
      <c r="DG253" s="169" t="e">
        <f t="shared" si="480"/>
        <v>#N/A</v>
      </c>
      <c r="DH253" s="66">
        <f>HLOOKUP(H253,'GDP-PI'!$8:$9,2,FALSE)</f>
        <v>75.266999999999996</v>
      </c>
      <c r="DI253"/>
      <c r="EB253"/>
    </row>
    <row r="254" spans="1:132" s="160" customFormat="1" ht="21">
      <c r="A254" s="160" t="s">
        <v>174</v>
      </c>
      <c r="B254" s="161" t="s">
        <v>174</v>
      </c>
      <c r="C254" s="161">
        <v>4057114</v>
      </c>
      <c r="D254" s="161" t="s">
        <v>164</v>
      </c>
      <c r="E254" s="161" t="s">
        <v>3</v>
      </c>
      <c r="F254" s="161"/>
      <c r="G254" s="161" t="s">
        <v>106</v>
      </c>
      <c r="H254" s="162">
        <v>1999</v>
      </c>
      <c r="I254" s="163"/>
      <c r="J254" s="159"/>
      <c r="K254" s="163"/>
      <c r="L254" s="163"/>
      <c r="M254" s="60"/>
      <c r="N254" s="152"/>
      <c r="O254" s="60"/>
      <c r="P254" s="59"/>
      <c r="Q254" s="169"/>
      <c r="R254" s="169"/>
      <c r="S254" s="169"/>
      <c r="T254" s="187"/>
      <c r="U254" s="169"/>
      <c r="V254" s="169"/>
      <c r="W254" s="159">
        <f t="shared" ref="W254:W275" si="498">+CI253*CZ254</f>
        <v>0</v>
      </c>
      <c r="X254" s="163"/>
      <c r="Y254" s="167">
        <v>1500.3154454745925</v>
      </c>
      <c r="Z254" s="168">
        <v>4.4477351023317908E-2</v>
      </c>
      <c r="AA254" s="78"/>
      <c r="AB254" s="168"/>
      <c r="AC254" s="168"/>
      <c r="AD254" s="163">
        <f t="shared" si="465"/>
        <v>0</v>
      </c>
      <c r="AE254" s="168"/>
      <c r="AF254" s="163"/>
      <c r="AG254" s="114"/>
      <c r="AH254" s="114"/>
      <c r="AI254" s="114"/>
      <c r="AJ254" s="167"/>
      <c r="AK254" s="168"/>
      <c r="AL254" s="115"/>
      <c r="AM254" s="115"/>
      <c r="AN254" s="115"/>
      <c r="AO254" s="115"/>
      <c r="AP254" s="115"/>
      <c r="AQ254" s="168"/>
      <c r="AR254" s="79"/>
      <c r="AS254" s="115"/>
      <c r="AT254" s="115"/>
      <c r="AU254" s="115"/>
      <c r="AV254" s="113">
        <f>IFERROR(INDEX('Total Customers'!$F$7:$AB$91,MATCH($C254,'Total Customers'!$D$7:$D$91,0),MATCH($G254,'Total Customers'!$F$5:$AB$5,0)),"NA")</f>
        <v>157101</v>
      </c>
      <c r="AW254" s="68">
        <f t="shared" si="403"/>
        <v>0.11889599650954694</v>
      </c>
      <c r="AX254" s="114"/>
      <c r="AY254" s="114"/>
      <c r="AZ254" s="116"/>
      <c r="BA254" s="116"/>
      <c r="BB254" s="166"/>
      <c r="BC254" s="166"/>
      <c r="BD254" s="166"/>
      <c r="BE254" s="166"/>
      <c r="BF254" s="166"/>
      <c r="BG254" s="166"/>
      <c r="BH254" s="166"/>
      <c r="BI254" s="113"/>
      <c r="BJ254" s="113"/>
      <c r="BK254" s="113">
        <f>INDEX('Dist. Plant Gas Additions'!$F$7:$AE$91,MATCH($C254,'Dist. Plant Gas Additions'!$D$7:$D$91,0),MATCH(Calculation!$G254,'Dist. Plant Gas Additions'!$F$5:$AE$5,0))</f>
        <v>24088</v>
      </c>
      <c r="BL254" s="113">
        <f>INDEX('Gen. Plant Additions'!$F$7:$AE$91,MATCH($C254,'Gen. Plant Additions'!$D$7:$D$91,0),MATCH(Calculation!$G254,'Gen. Plant Additions'!$F$5:$AE$5,0))</f>
        <v>192</v>
      </c>
      <c r="BM254" s="231">
        <f t="shared" ref="BM254:BM275" si="499">+(BW254/(BW254+BX254))</f>
        <v>0.96115859268768644</v>
      </c>
      <c r="BN254" s="61">
        <f t="shared" si="496"/>
        <v>184.54244979603578</v>
      </c>
      <c r="BO254" s="113" t="str">
        <f>INDEX('Dist Plant Depreciation'!$E$7:$AD$94,MATCH($C254,'Dist Plant Depreciation'!$D$7:$D$94,0),MATCH(Calculation!$G254,'Dist Plant Depreciation'!$E$5:$AD$5,0))</f>
        <v>NA</v>
      </c>
      <c r="BP254" s="113" t="str">
        <f>INDEX('Gen. Plant Depreciation'!$E$7:$AD$94,MATCH($C254,'Gen. Plant Depreciation'!$D$7:$D$94,0),MATCH(Calculation!$G254,'Gen. Plant Depreciation'!$E$5:$AD$5,0))</f>
        <v>NA</v>
      </c>
      <c r="BQ254" s="113"/>
      <c r="BR254" s="113"/>
      <c r="BS254" s="113"/>
      <c r="BT254" s="113"/>
      <c r="BU254" s="113"/>
      <c r="BV254" s="113"/>
      <c r="BW254" s="113">
        <f>INDEX('Gross Dx Plant'!$E$7:$AD$91,MATCH($C254,'Gross Dx Plant'!$D$7:$D$91,0),MATCH(Calculation!$G254,'Gross Dx Plant'!$E$5:$AD$5,0))</f>
        <v>354136</v>
      </c>
      <c r="BX254" s="113">
        <f>INDEX('Gross Gen Plant'!$E$7:$AD$91,MATCH($C254,'Gross Gen Plant'!$D$7:$D$91,0),MATCH(Calculation!$G254,'Gross Gen Plant'!$E$5:$AD$5,0))</f>
        <v>14311</v>
      </c>
      <c r="BY254" s="113" t="str">
        <f t="shared" si="444"/>
        <v>NA</v>
      </c>
      <c r="BZ254" s="113"/>
      <c r="CA254" s="116">
        <v>1999</v>
      </c>
      <c r="CB254" s="113"/>
      <c r="CC254" s="113"/>
      <c r="CD254" s="113"/>
      <c r="CE254" s="175"/>
      <c r="CF254" s="113">
        <f t="shared" ref="CF254:CF275" si="500">+BL254+BK254</f>
        <v>24280</v>
      </c>
      <c r="CG254" s="113">
        <f t="shared" ref="CG254:CG276" si="501">+CF254/$DE254</f>
        <v>72.407367830803565</v>
      </c>
      <c r="CH254" s="178">
        <v>0.99502487562189057</v>
      </c>
      <c r="CI254" s="61">
        <f>+CI253*CH254+CG254</f>
        <v>1500.3154454745925</v>
      </c>
      <c r="CJ254" s="114">
        <f t="shared" ref="CJ254:CJ275" si="502">LN(CI254/CI253)</f>
        <v>4.4477351023317908E-2</v>
      </c>
      <c r="CK254" s="114"/>
      <c r="CL254" s="169">
        <f t="shared" ref="CL254:CL275" si="503">+(CI253-CI254+CG254)/CI253</f>
        <v>4.975124378109326E-3</v>
      </c>
      <c r="CM254" s="169"/>
      <c r="CN254" s="114">
        <f>VLOOKUP($H254,RoR!$E:$F,2,FALSE)</f>
        <v>7.0416666666666669E-2</v>
      </c>
      <c r="CO254" s="169">
        <v>1.4335631817396832E-2</v>
      </c>
      <c r="CP254" s="169">
        <f>+CN254-CO254</f>
        <v>5.6081034849269837E-2</v>
      </c>
      <c r="CQ254" s="169"/>
      <c r="CR254" s="169"/>
      <c r="CS254" s="179">
        <f t="shared" ref="CS254:CS277" si="504">1-CX254*CY254</f>
        <v>0.84940815000000003</v>
      </c>
      <c r="CT254" s="180">
        <f t="shared" ref="CT254:CT276" si="505">2/(DC254*39)</f>
        <v>0.72826581702321336</v>
      </c>
      <c r="CU254" s="180">
        <f t="shared" ref="CU254:CU276" si="506">+(DC254*40-(1+DC254))/(DC254*40)</f>
        <v>0.61997041420118348</v>
      </c>
      <c r="CV254" s="180">
        <f t="shared" ref="CV254:CV276" si="507">+(1-(1/(1+DC254)^40))</f>
        <v>0.93425155319585029</v>
      </c>
      <c r="CW254" s="180">
        <f t="shared" ref="CW254:CW276" si="508">+CV254*CU254*CT254</f>
        <v>0.42181762214141483</v>
      </c>
      <c r="CX254" s="181">
        <f>INDEX('State Tax Lookup'!$D$7:$Z$91,MATCH(Calculation!$C254,'State Tax Lookup'!$B$7:$B$91,0),MATCH($H254,'State Tax Lookup'!$D$6:$Z$6,0))</f>
        <v>0.40700500000000001</v>
      </c>
      <c r="CY254" s="72">
        <v>0.37</v>
      </c>
      <c r="CZ254" s="70"/>
      <c r="DA254" s="70"/>
      <c r="DB254" s="69"/>
      <c r="DC254" s="111">
        <f>VLOOKUP($H254,RoR!$E:$F,2,FALSE)</f>
        <v>7.0416666666666669E-2</v>
      </c>
      <c r="DD254" s="216">
        <f>HLOOKUP($H254,'GDP-PI'!$D$8:$CQ$11,3,FALSE)</f>
        <v>1.4335631817396832E-2</v>
      </c>
      <c r="DE254" s="111">
        <f>VLOOKUP(H254,'HW Dx Data'!$E:$F,2,FALSE)</f>
        <v>335.32499146683239</v>
      </c>
      <c r="DF254" s="66"/>
      <c r="DG254" s="69"/>
      <c r="DH254" s="66">
        <f>HLOOKUP(H254,'GDP-PI'!$8:$9,2,FALSE)</f>
        <v>76.346000000000004</v>
      </c>
      <c r="DI254"/>
      <c r="EB254"/>
    </row>
    <row r="255" spans="1:132" s="160" customFormat="1" ht="21">
      <c r="A255" s="160" t="s">
        <v>174</v>
      </c>
      <c r="B255" s="161" t="s">
        <v>174</v>
      </c>
      <c r="C255" s="161">
        <v>4057114</v>
      </c>
      <c r="D255" s="161" t="s">
        <v>164</v>
      </c>
      <c r="E255" s="161" t="s">
        <v>3</v>
      </c>
      <c r="F255" s="161"/>
      <c r="G255" s="161" t="s">
        <v>107</v>
      </c>
      <c r="H255" s="162">
        <v>2000</v>
      </c>
      <c r="I255" s="163"/>
      <c r="J255" s="159"/>
      <c r="K255" s="159"/>
      <c r="L255" s="159"/>
      <c r="M255" s="60"/>
      <c r="N255" s="152"/>
      <c r="O255" s="60"/>
      <c r="P255" s="60"/>
      <c r="Q255" s="159"/>
      <c r="R255" s="159"/>
      <c r="S255" s="159"/>
      <c r="T255" s="159"/>
      <c r="U255" s="159"/>
      <c r="V255" s="159"/>
      <c r="W255" s="159">
        <f t="shared" si="498"/>
        <v>0</v>
      </c>
      <c r="X255" s="163"/>
      <c r="Y255" s="167">
        <v>1529.4153619772762</v>
      </c>
      <c r="Z255" s="168">
        <v>1.9210163042649914E-2</v>
      </c>
      <c r="AA255" s="78"/>
      <c r="AB255" s="168"/>
      <c r="AC255" s="168"/>
      <c r="AD255" s="163">
        <f t="shared" si="465"/>
        <v>0</v>
      </c>
      <c r="AE255" s="168"/>
      <c r="AF255" s="163"/>
      <c r="AG255" s="163"/>
      <c r="AH255" s="163"/>
      <c r="AI255" s="163"/>
      <c r="AJ255" s="167"/>
      <c r="AK255" s="168"/>
      <c r="AL255" s="115"/>
      <c r="AM255" s="115"/>
      <c r="AN255" s="115"/>
      <c r="AO255" s="115"/>
      <c r="AP255" s="115"/>
      <c r="AQ255" s="168"/>
      <c r="AR255" s="79"/>
      <c r="AS255" s="115"/>
      <c r="AT255" s="115"/>
      <c r="AU255" s="115"/>
      <c r="AV255" s="113">
        <f>IFERROR(INDEX('Total Customers'!$F$7:$AB$91,MATCH($C255,'Total Customers'!$D$7:$D$91,0),MATCH($G255,'Total Customers'!$F$5:$AB$5,0)),"NA")</f>
        <v>160712</v>
      </c>
      <c r="AW255" s="68">
        <f t="shared" si="403"/>
        <v>2.2725032646157273E-2</v>
      </c>
      <c r="AX255" s="114"/>
      <c r="AY255" s="114"/>
      <c r="AZ255" s="116"/>
      <c r="BA255" s="116"/>
      <c r="BB255" s="166"/>
      <c r="BC255" s="166"/>
      <c r="BD255" s="166"/>
      <c r="BE255" s="166"/>
      <c r="BF255" s="166"/>
      <c r="BG255" s="166"/>
      <c r="BH255" s="166"/>
      <c r="BI255" s="113"/>
      <c r="BJ255" s="113"/>
      <c r="BK255" s="113">
        <f>INDEX('Dist. Plant Gas Additions'!$F$7:$AE$91,MATCH($C255,'Dist. Plant Gas Additions'!$D$7:$D$91,0),MATCH(Calculation!$G255,'Dist. Plant Gas Additions'!$F$5:$AE$5,0))</f>
        <v>12467</v>
      </c>
      <c r="BL255" s="113">
        <f>INDEX('Gen. Plant Additions'!$F$7:$AE$91,MATCH($C255,'Gen. Plant Additions'!$D$7:$D$91,0),MATCH(Calculation!$G255,'Gen. Plant Additions'!$F$5:$AE$5,0))</f>
        <v>291</v>
      </c>
      <c r="BM255" s="231">
        <f t="shared" si="499"/>
        <v>0.96080725986327364</v>
      </c>
      <c r="BN255" s="61">
        <f t="shared" si="496"/>
        <v>279.59491262021265</v>
      </c>
      <c r="BO255" s="113" t="str">
        <f>INDEX('Dist Plant Depreciation'!$E$7:$AD$94,MATCH($C255,'Dist Plant Depreciation'!$D$7:$D$94,0),MATCH(Calculation!$G255,'Dist Plant Depreciation'!$E$5:$AD$5,0))</f>
        <v>NA</v>
      </c>
      <c r="BP255" s="113" t="str">
        <f>INDEX('Gen. Plant Depreciation'!$E$7:$AD$94,MATCH($C255,'Gen. Plant Depreciation'!$D$7:$D$94,0),MATCH(Calculation!$G255,'Gen. Plant Depreciation'!$E$5:$AD$5,0))</f>
        <v>NA</v>
      </c>
      <c r="BQ255" s="113"/>
      <c r="BR255" s="113"/>
      <c r="BS255" s="113"/>
      <c r="BT255" s="113"/>
      <c r="BU255" s="113"/>
      <c r="BV255" s="113"/>
      <c r="BW255" s="113">
        <f>INDEX('Gross Dx Plant'!$E$7:$AD$91,MATCH($C255,'Gross Dx Plant'!$D$7:$D$91,0),MATCH(Calculation!$G255,'Gross Dx Plant'!$E$5:$AD$5,0))</f>
        <v>357967</v>
      </c>
      <c r="BX255" s="113">
        <f>INDEX('Gross Gen Plant'!$E$7:$AD$91,MATCH($C255,'Gross Gen Plant'!$D$7:$D$91,0),MATCH(Calculation!$G255,'Gross Gen Plant'!$E$5:$AD$5,0))</f>
        <v>14602</v>
      </c>
      <c r="BY255" s="113" t="str">
        <f t="shared" si="444"/>
        <v>NA</v>
      </c>
      <c r="BZ255" s="113"/>
      <c r="CA255" s="116">
        <v>2000</v>
      </c>
      <c r="CB255" s="113"/>
      <c r="CC255" s="113"/>
      <c r="CD255" s="113"/>
      <c r="CE255" s="175"/>
      <c r="CF255" s="113">
        <f t="shared" si="500"/>
        <v>12758</v>
      </c>
      <c r="CG255" s="113">
        <f t="shared" si="501"/>
        <v>36.816042260486583</v>
      </c>
      <c r="CH255" s="178">
        <v>0.98989898989898994</v>
      </c>
      <c r="CI255" s="61">
        <f>+CI253*CH255+CG254*CH254+CG255</f>
        <v>1529.4153619772762</v>
      </c>
      <c r="CJ255" s="114">
        <f t="shared" si="502"/>
        <v>1.9210163042649914E-2</v>
      </c>
      <c r="CK255" s="114"/>
      <c r="CL255" s="169">
        <f t="shared" si="503"/>
        <v>5.1430022806717149E-3</v>
      </c>
      <c r="CM255" s="169"/>
      <c r="CN255" s="114">
        <f>VLOOKUP($H255,RoR!$E:$F,2,FALSE)</f>
        <v>7.6225000000000001E-2</v>
      </c>
      <c r="CO255" s="169">
        <v>2.2568307442433211E-2</v>
      </c>
      <c r="CP255" s="169">
        <f t="shared" ref="CP255:CP275" si="509">+CN255-CO255</f>
        <v>5.365669255756679E-2</v>
      </c>
      <c r="CQ255" s="169"/>
      <c r="CR255" s="169"/>
      <c r="CS255" s="179">
        <f t="shared" si="504"/>
        <v>0.84940815000000003</v>
      </c>
      <c r="CT255" s="180">
        <f t="shared" si="505"/>
        <v>0.67277207323124022</v>
      </c>
      <c r="CU255" s="180">
        <f t="shared" si="506"/>
        <v>0.6470236142997704</v>
      </c>
      <c r="CV255" s="180">
        <f t="shared" si="507"/>
        <v>0.94704866037543145</v>
      </c>
      <c r="CW255" s="180">
        <f t="shared" si="508"/>
        <v>0.41224973107878493</v>
      </c>
      <c r="CX255" s="181">
        <f>INDEX('State Tax Lookup'!$D$7:$Z$91,MATCH(Calculation!$C255,'State Tax Lookup'!$B$7:$B$91,0),MATCH($H255,'State Tax Lookup'!$D$6:$Z$6,0))</f>
        <v>0.40700500000000001</v>
      </c>
      <c r="CY255" s="72">
        <v>0.37</v>
      </c>
      <c r="CZ255" s="70"/>
      <c r="DA255" s="70"/>
      <c r="DB255" s="69"/>
      <c r="DC255" s="111">
        <f>VLOOKUP($H255,RoR!$E:$F,2,FALSE)</f>
        <v>7.6225000000000001E-2</v>
      </c>
      <c r="DD255" s="216">
        <f>HLOOKUP($H255,'GDP-PI'!$D$8:$CQ$11,3,FALSE)</f>
        <v>2.2568307442433211E-2</v>
      </c>
      <c r="DE255" s="111">
        <f>VLOOKUP(H255,'HW Dx Data'!$E:$F,2,FALSE)</f>
        <v>346.53371782150339</v>
      </c>
      <c r="DF255" s="66"/>
      <c r="DG255" s="69"/>
      <c r="DH255" s="66">
        <f>HLOOKUP(H255,'GDP-PI'!$8:$9,2,FALSE)</f>
        <v>78.069000000000003</v>
      </c>
      <c r="DI255"/>
      <c r="EB255"/>
    </row>
    <row r="256" spans="1:132" s="160" customFormat="1" ht="21">
      <c r="A256" s="160" t="s">
        <v>174</v>
      </c>
      <c r="B256" s="161" t="s">
        <v>174</v>
      </c>
      <c r="C256" s="161">
        <v>4057114</v>
      </c>
      <c r="D256" s="161" t="s">
        <v>164</v>
      </c>
      <c r="E256" s="161" t="s">
        <v>3</v>
      </c>
      <c r="F256" s="161"/>
      <c r="G256" s="161" t="s">
        <v>111</v>
      </c>
      <c r="H256" s="162">
        <v>2001</v>
      </c>
      <c r="I256" s="163"/>
      <c r="J256" s="159"/>
      <c r="K256" s="159"/>
      <c r="L256" s="159"/>
      <c r="M256" s="60"/>
      <c r="N256" s="152"/>
      <c r="O256" s="60"/>
      <c r="P256" s="60"/>
      <c r="Q256" s="159"/>
      <c r="R256" s="159"/>
      <c r="S256" s="159"/>
      <c r="T256" s="159"/>
      <c r="U256" s="159"/>
      <c r="V256" s="159"/>
      <c r="W256" s="159">
        <f t="shared" si="498"/>
        <v>19921.524188590676</v>
      </c>
      <c r="X256" s="163"/>
      <c r="Y256" s="167">
        <v>1587.4265423147135</v>
      </c>
      <c r="Z256" s="168">
        <v>3.7228632131875994E-2</v>
      </c>
      <c r="AA256" s="78"/>
      <c r="AB256" s="168"/>
      <c r="AC256" s="168"/>
      <c r="AD256" s="163">
        <f t="shared" si="465"/>
        <v>19921.524188590676</v>
      </c>
      <c r="AE256" s="168"/>
      <c r="AF256" s="163"/>
      <c r="AG256" s="163"/>
      <c r="AH256" s="163"/>
      <c r="AI256" s="163"/>
      <c r="AJ256" s="167"/>
      <c r="AK256" s="168"/>
      <c r="AL256" s="115"/>
      <c r="AM256" s="115"/>
      <c r="AN256" s="115"/>
      <c r="AO256" s="115"/>
      <c r="AP256" s="115"/>
      <c r="AQ256" s="168"/>
      <c r="AR256" s="79"/>
      <c r="AS256" s="115"/>
      <c r="AT256" s="115"/>
      <c r="AU256" s="115"/>
      <c r="AV256" s="113">
        <f>IFERROR(INDEX('Total Customers'!$F$7:$AB$91,MATCH($C256,'Total Customers'!$D$7:$D$91,0),MATCH($G256,'Total Customers'!$F$5:$AB$5,0)),"NA")</f>
        <v>165342</v>
      </c>
      <c r="AW256" s="68">
        <f t="shared" si="403"/>
        <v>2.8402112777961872E-2</v>
      </c>
      <c r="AX256" s="114"/>
      <c r="AY256" s="114"/>
      <c r="AZ256" s="116"/>
      <c r="BA256" s="116"/>
      <c r="BB256" s="166"/>
      <c r="BC256" s="166"/>
      <c r="BD256" s="166"/>
      <c r="BE256" s="166"/>
      <c r="BF256" s="166"/>
      <c r="BG256" s="166"/>
      <c r="BH256" s="166"/>
      <c r="BI256" s="113"/>
      <c r="BJ256" s="113"/>
      <c r="BK256" s="113">
        <f>INDEX('Dist. Plant Gas Additions'!$F$7:$AE$91,MATCH($C256,'Dist. Plant Gas Additions'!$D$7:$D$91,0),MATCH(Calculation!$G256,'Dist. Plant Gas Additions'!$F$5:$AE$5,0))</f>
        <v>22350</v>
      </c>
      <c r="BL256" s="113">
        <f>INDEX('Gen. Plant Additions'!$F$7:$AE$91,MATCH($C256,'Gen. Plant Additions'!$D$7:$D$91,0),MATCH(Calculation!$G256,'Gen. Plant Additions'!$F$5:$AE$5,0))</f>
        <v>965</v>
      </c>
      <c r="BM256" s="231">
        <f t="shared" si="499"/>
        <v>0.96063163378593341</v>
      </c>
      <c r="BN256" s="61">
        <f t="shared" si="496"/>
        <v>927.0095266034258</v>
      </c>
      <c r="BO256" s="113" t="str">
        <f>INDEX('Dist Plant Depreciation'!$E$7:$AD$94,MATCH($C256,'Dist Plant Depreciation'!$D$7:$D$94,0),MATCH(Calculation!$G256,'Dist Plant Depreciation'!$E$5:$AD$5,0))</f>
        <v>NA</v>
      </c>
      <c r="BP256" s="113" t="str">
        <f>INDEX('Gen. Plant Depreciation'!$E$7:$AD$94,MATCH($C256,'Gen. Plant Depreciation'!$D$7:$D$94,0),MATCH(Calculation!$G256,'Gen. Plant Depreciation'!$E$5:$AD$5,0))</f>
        <v>NA</v>
      </c>
      <c r="BQ256" s="113"/>
      <c r="BR256" s="113"/>
      <c r="BS256" s="113"/>
      <c r="BT256" s="113"/>
      <c r="BU256" s="113"/>
      <c r="BV256" s="113"/>
      <c r="BW256" s="113">
        <f>INDEX('Gross Dx Plant'!$E$7:$AD$91,MATCH($C256,'Gross Dx Plant'!$D$7:$D$91,0),MATCH(Calculation!$G256,'Gross Dx Plant'!$E$5:$AD$5,0))</f>
        <v>379852</v>
      </c>
      <c r="BX256" s="113">
        <f>INDEX('Gross Gen Plant'!$E$7:$AD$91,MATCH($C256,'Gross Gen Plant'!$D$7:$D$91,0),MATCH(Calculation!$G256,'Gross Gen Plant'!$E$5:$AD$5,0))</f>
        <v>15567</v>
      </c>
      <c r="BY256" s="113" t="str">
        <f t="shared" si="444"/>
        <v>NA</v>
      </c>
      <c r="BZ256" s="113"/>
      <c r="CA256" s="116">
        <v>2001</v>
      </c>
      <c r="CB256" s="113"/>
      <c r="CC256" s="113"/>
      <c r="CD256" s="113"/>
      <c r="CE256" s="175"/>
      <c r="CF256" s="113">
        <f t="shared" si="500"/>
        <v>23315</v>
      </c>
      <c r="CG256" s="113">
        <f t="shared" si="501"/>
        <v>65.964557407293057</v>
      </c>
      <c r="CH256" s="178">
        <v>0.98461538461538467</v>
      </c>
      <c r="CI256" s="61">
        <f>+CI253*CH256+CG254*CH255+CG255*CH253+CG256</f>
        <v>1587.4265423147135</v>
      </c>
      <c r="CJ256" s="114">
        <f t="shared" si="502"/>
        <v>3.7228632131875994E-2</v>
      </c>
      <c r="CK256" s="114"/>
      <c r="CL256" s="169">
        <f t="shared" si="503"/>
        <v>5.200272775849067E-3</v>
      </c>
      <c r="CM256" s="169">
        <f>+(CL256+CL255+CL254)/3</f>
        <v>5.1061331448767023E-3</v>
      </c>
      <c r="CN256" s="114">
        <f>VLOOKUP($H256,RoR!$E:$F,2,FALSE)</f>
        <v>7.0824999999999999E-2</v>
      </c>
      <c r="CO256" s="169">
        <v>2.2454495382290052E-2</v>
      </c>
      <c r="CP256" s="169">
        <f t="shared" si="509"/>
        <v>4.8370504617709947E-2</v>
      </c>
      <c r="CQ256" s="169">
        <f>+$CP$2-CM256</f>
        <v>2.5795808463656922E-2</v>
      </c>
      <c r="CR256" s="169">
        <f>+((DE254/DE253-1)+(DE255/DE254-1)+(DE256/DE255-1))/3</f>
        <v>2.3947275901631187E-2</v>
      </c>
      <c r="CS256" s="179">
        <f t="shared" si="504"/>
        <v>0.84940815000000003</v>
      </c>
      <c r="CT256" s="180">
        <f t="shared" si="505"/>
        <v>0.72406708481540816</v>
      </c>
      <c r="CU256" s="180">
        <f t="shared" si="506"/>
        <v>0.62201729615248857</v>
      </c>
      <c r="CV256" s="180">
        <f t="shared" si="507"/>
        <v>0.9352469954311422</v>
      </c>
      <c r="CW256" s="180">
        <f t="shared" si="508"/>
        <v>0.42121864641655071</v>
      </c>
      <c r="CX256" s="181">
        <f>INDEX('State Tax Lookup'!$D$7:$Z$91,MATCH(Calculation!$C256,'State Tax Lookup'!$B$7:$B$91,0),MATCH($H256,'State Tax Lookup'!$D$6:$Z$6,0))</f>
        <v>0.40700500000000001</v>
      </c>
      <c r="CY256" s="72">
        <v>0.37</v>
      </c>
      <c r="CZ256" s="70">
        <f t="shared" ref="CZ256:CZ277" si="510">+(DE256*CQ256-CR256)*CS256/(1-CX256)</f>
        <v>13.025581332487404</v>
      </c>
      <c r="DA256" s="70"/>
      <c r="DB256" s="69"/>
      <c r="DC256" s="111">
        <f>VLOOKUP($H256,RoR!$E:$F,2,FALSE)</f>
        <v>7.0824999999999999E-2</v>
      </c>
      <c r="DD256" s="216">
        <f>HLOOKUP($H256,'GDP-PI'!$D$8:$CQ$11,3,FALSE)</f>
        <v>2.2454495382290052E-2</v>
      </c>
      <c r="DE256" s="111">
        <f>VLOOKUP(H256,'HW Dx Data'!$E:$F,2,FALSE)</f>
        <v>353.44738017483138</v>
      </c>
      <c r="DF256" s="66"/>
      <c r="DG256" s="69"/>
      <c r="DH256" s="66">
        <f>HLOOKUP(H256,'GDP-PI'!$8:$9,2,FALSE)</f>
        <v>79.822000000000003</v>
      </c>
      <c r="DI256"/>
      <c r="EB256"/>
    </row>
    <row r="257" spans="1:132" s="160" customFormat="1" ht="21">
      <c r="A257" s="160" t="s">
        <v>174</v>
      </c>
      <c r="B257" s="161" t="s">
        <v>174</v>
      </c>
      <c r="C257" s="161">
        <v>4057114</v>
      </c>
      <c r="D257" s="161" t="s">
        <v>164</v>
      </c>
      <c r="E257" s="161" t="s">
        <v>3</v>
      </c>
      <c r="F257" s="161"/>
      <c r="G257" s="161" t="s">
        <v>113</v>
      </c>
      <c r="H257" s="162">
        <v>2002</v>
      </c>
      <c r="I257" s="163"/>
      <c r="J257" s="159"/>
      <c r="K257" s="159"/>
      <c r="L257" s="159"/>
      <c r="M257" s="60"/>
      <c r="N257" s="152"/>
      <c r="O257" s="60"/>
      <c r="P257" s="60"/>
      <c r="Q257" s="159"/>
      <c r="R257" s="159"/>
      <c r="S257" s="159"/>
      <c r="T257" s="159"/>
      <c r="U257" s="159"/>
      <c r="V257" s="159"/>
      <c r="W257" s="159">
        <f t="shared" si="498"/>
        <v>20964.380213734265</v>
      </c>
      <c r="X257" s="163"/>
      <c r="Y257" s="167">
        <v>1636.4273442586139</v>
      </c>
      <c r="Z257" s="168">
        <v>3.0401238785985205E-2</v>
      </c>
      <c r="AA257" s="78"/>
      <c r="AB257" s="168"/>
      <c r="AC257" s="168"/>
      <c r="AD257" s="163">
        <f t="shared" si="465"/>
        <v>20964.380213734265</v>
      </c>
      <c r="AE257" s="168"/>
      <c r="AF257" s="163"/>
      <c r="AG257" s="163"/>
      <c r="AH257" s="163"/>
      <c r="AI257" s="163"/>
      <c r="AJ257" s="167"/>
      <c r="AK257" s="168"/>
      <c r="AL257" s="115"/>
      <c r="AM257" s="115"/>
      <c r="AN257" s="115"/>
      <c r="AO257" s="115"/>
      <c r="AP257" s="115"/>
      <c r="AQ257" s="168"/>
      <c r="AR257" s="79"/>
      <c r="AS257" s="115"/>
      <c r="AT257" s="115"/>
      <c r="AU257" s="115"/>
      <c r="AV257" s="113">
        <f>IFERROR(INDEX('Total Customers'!$F$7:$AB$91,MATCH($C257,'Total Customers'!$D$7:$D$91,0),MATCH($G257,'Total Customers'!$F$5:$AB$5,0)),"NA")</f>
        <v>168558</v>
      </c>
      <c r="AW257" s="68">
        <f t="shared" si="403"/>
        <v>1.9263848176530561E-2</v>
      </c>
      <c r="AX257" s="114"/>
      <c r="AY257" s="114"/>
      <c r="AZ257" s="116"/>
      <c r="BA257" s="116"/>
      <c r="BB257" s="166"/>
      <c r="BC257" s="166"/>
      <c r="BD257" s="166"/>
      <c r="BE257" s="166"/>
      <c r="BF257" s="166"/>
      <c r="BG257" s="166"/>
      <c r="BH257" s="166"/>
      <c r="BI257" s="113"/>
      <c r="BJ257" s="113"/>
      <c r="BK257" s="113">
        <f>INDEX('Dist. Plant Gas Additions'!$F$7:$AE$91,MATCH($C257,'Dist. Plant Gas Additions'!$D$7:$D$91,0),MATCH(Calculation!$G257,'Dist. Plant Gas Additions'!$F$5:$AE$5,0))</f>
        <v>20282</v>
      </c>
      <c r="BL257" s="113">
        <f>INDEX('Gen. Plant Additions'!$F$7:$AE$91,MATCH($C257,'Gen. Plant Additions'!$D$7:$D$91,0),MATCH(Calculation!$G257,'Gen. Plant Additions'!$F$5:$AE$5,0))</f>
        <v>641</v>
      </c>
      <c r="BM257" s="231">
        <f t="shared" si="499"/>
        <v>0.96074022620174215</v>
      </c>
      <c r="BN257" s="61">
        <f t="shared" si="496"/>
        <v>615.83448499531676</v>
      </c>
      <c r="BO257" s="113" t="str">
        <f>INDEX('Dist Plant Depreciation'!$E$7:$AD$94,MATCH($C257,'Dist Plant Depreciation'!$D$7:$D$94,0),MATCH(Calculation!$G257,'Dist Plant Depreciation'!$E$5:$AD$5,0))</f>
        <v>NA</v>
      </c>
      <c r="BP257" s="113" t="str">
        <f>INDEX('Gen. Plant Depreciation'!$E$7:$AD$94,MATCH($C257,'Gen. Plant Depreciation'!$D$7:$D$94,0),MATCH(Calculation!$G257,'Gen. Plant Depreciation'!$E$5:$AD$5,0))</f>
        <v>NA</v>
      </c>
      <c r="BQ257" s="113"/>
      <c r="BR257" s="113"/>
      <c r="BS257" s="113"/>
      <c r="BT257" s="113"/>
      <c r="BU257" s="113"/>
      <c r="BV257" s="113"/>
      <c r="BW257" s="113">
        <f>INDEX('Gross Dx Plant'!$E$7:$AD$91,MATCH($C257,'Gross Dx Plant'!$D$7:$D$91,0),MATCH(Calculation!$G257,'Gross Dx Plant'!$E$5:$AD$5,0))</f>
        <v>396950</v>
      </c>
      <c r="BX257" s="113">
        <f>INDEX('Gross Gen Plant'!$E$7:$AD$91,MATCH($C257,'Gross Gen Plant'!$D$7:$D$91,0),MATCH(Calculation!$G257,'Gross Gen Plant'!$E$5:$AD$5,0))</f>
        <v>16221</v>
      </c>
      <c r="BY257" s="113" t="str">
        <f t="shared" si="444"/>
        <v>NA</v>
      </c>
      <c r="BZ257" s="113"/>
      <c r="CA257" s="116">
        <v>2002</v>
      </c>
      <c r="CB257" s="113"/>
      <c r="CC257" s="113"/>
      <c r="CD257" s="113"/>
      <c r="CE257" s="175"/>
      <c r="CF257" s="113">
        <f t="shared" si="500"/>
        <v>20923</v>
      </c>
      <c r="CG257" s="113">
        <f t="shared" si="501"/>
        <v>57.902604701179577</v>
      </c>
      <c r="CH257" s="178">
        <v>0.97916666666666663</v>
      </c>
      <c r="CI257" s="61">
        <f>+CI253*CH257+CG254*CH256+CG255*CH255+CG256*CH254+CG257</f>
        <v>1636.4273442586139</v>
      </c>
      <c r="CJ257" s="114">
        <f t="shared" si="502"/>
        <v>3.0401238785985205E-2</v>
      </c>
      <c r="CK257" s="114"/>
      <c r="CL257" s="169">
        <f t="shared" si="503"/>
        <v>5.6076942900923337E-3</v>
      </c>
      <c r="CM257" s="169">
        <f t="shared" ref="CM257:CM275" si="511">+(CL257+CL256+CL255)/3</f>
        <v>5.3169897822043719E-3</v>
      </c>
      <c r="CN257" s="114">
        <f>VLOOKUP($H257,RoR!$E:$F,2,FALSE)</f>
        <v>6.4916666666666664E-2</v>
      </c>
      <c r="CO257" s="169">
        <v>1.5246423291824351E-2</v>
      </c>
      <c r="CP257" s="169">
        <f t="shared" si="509"/>
        <v>4.9670243374842313E-2</v>
      </c>
      <c r="CQ257" s="169">
        <f t="shared" ref="CQ257:CQ275" si="512">+$CP$2-CM257</f>
        <v>2.5584951826329253E-2</v>
      </c>
      <c r="CR257" s="169">
        <f t="shared" ref="CR257:CR277" si="513">+((DE255/DE254-1)+(DE256/DE255-1)+(DE257/DE256-1))/3</f>
        <v>2.5243621214759093E-2</v>
      </c>
      <c r="CS257" s="179">
        <f t="shared" si="504"/>
        <v>0.84940815000000003</v>
      </c>
      <c r="CT257" s="180">
        <f t="shared" si="505"/>
        <v>0.78996741384417901</v>
      </c>
      <c r="CU257" s="180">
        <f t="shared" si="506"/>
        <v>0.58989088575096271</v>
      </c>
      <c r="CV257" s="180">
        <f t="shared" si="507"/>
        <v>0.91920675783645744</v>
      </c>
      <c r="CW257" s="180">
        <f t="shared" si="508"/>
        <v>0.42834536472275586</v>
      </c>
      <c r="CX257" s="181">
        <f>INDEX('State Tax Lookup'!$D$7:$Z$91,MATCH(Calculation!$C257,'State Tax Lookup'!$B$7:$B$91,0),MATCH($H257,'State Tax Lookup'!$D$6:$Z$6,0))</f>
        <v>0.40700500000000001</v>
      </c>
      <c r="CY257" s="72">
        <v>0.37</v>
      </c>
      <c r="CZ257" s="70">
        <f t="shared" si="510"/>
        <v>13.206519895506442</v>
      </c>
      <c r="DA257" s="70"/>
      <c r="DB257" s="69">
        <f>LN(CZ257/CZ256)</f>
        <v>1.3795420429860752E-2</v>
      </c>
      <c r="DC257" s="111">
        <f>VLOOKUP($H257,RoR!$E:$F,2,FALSE)</f>
        <v>6.4916666666666664E-2</v>
      </c>
      <c r="DD257" s="216">
        <f>HLOOKUP($H257,'GDP-PI'!$D$8:$CQ$11,3,FALSE)</f>
        <v>1.5246423291824351E-2</v>
      </c>
      <c r="DE257" s="111">
        <f>VLOOKUP(H257,'HW Dx Data'!$E:$F,2,FALSE)</f>
        <v>361.34816573413599</v>
      </c>
      <c r="DF257" s="66"/>
      <c r="DG257" s="69"/>
      <c r="DH257" s="66">
        <f>HLOOKUP(H257,'GDP-PI'!$8:$9,2,FALSE)</f>
        <v>81.039000000000001</v>
      </c>
      <c r="DI257" s="69">
        <f>LN(DH257/DH256)</f>
        <v>1.513136459537477E-2</v>
      </c>
      <c r="EB257"/>
    </row>
    <row r="258" spans="1:132" s="160" customFormat="1" ht="21">
      <c r="A258" s="160" t="s">
        <v>174</v>
      </c>
      <c r="B258" s="161" t="s">
        <v>174</v>
      </c>
      <c r="C258" s="161">
        <v>4057114</v>
      </c>
      <c r="D258" s="161" t="s">
        <v>164</v>
      </c>
      <c r="E258" s="161" t="s">
        <v>3</v>
      </c>
      <c r="F258" s="161"/>
      <c r="G258" s="161" t="s">
        <v>114</v>
      </c>
      <c r="H258" s="162">
        <v>2003</v>
      </c>
      <c r="I258" s="163"/>
      <c r="J258" s="159"/>
      <c r="K258" s="159"/>
      <c r="L258" s="159"/>
      <c r="M258" s="76"/>
      <c r="N258" s="152"/>
      <c r="O258" s="76"/>
      <c r="P258" s="76"/>
      <c r="Q258" s="159"/>
      <c r="R258" s="159"/>
      <c r="S258" s="159"/>
      <c r="T258" s="159"/>
      <c r="U258" s="159"/>
      <c r="V258" s="159"/>
      <c r="W258" s="159">
        <f t="shared" si="498"/>
        <v>21940.685813658121</v>
      </c>
      <c r="X258" s="163"/>
      <c r="Y258" s="167">
        <v>1658.7967982277257</v>
      </c>
      <c r="Z258" s="168">
        <v>1.3577102272015383E-2</v>
      </c>
      <c r="AA258" s="78"/>
      <c r="AB258" s="168"/>
      <c r="AC258" s="168"/>
      <c r="AD258" s="163">
        <f t="shared" si="465"/>
        <v>21940.685813658121</v>
      </c>
      <c r="AE258" s="168"/>
      <c r="AF258" s="163"/>
      <c r="AG258" s="163"/>
      <c r="AH258" s="163"/>
      <c r="AI258" s="163"/>
      <c r="AJ258" s="167"/>
      <c r="AK258" s="168"/>
      <c r="AL258" s="115"/>
      <c r="AM258" s="115"/>
      <c r="AN258" s="115"/>
      <c r="AO258" s="115"/>
      <c r="AP258" s="115"/>
      <c r="AQ258" s="168"/>
      <c r="AR258" s="79"/>
      <c r="AS258" s="115"/>
      <c r="AT258" s="115"/>
      <c r="AU258" s="115"/>
      <c r="AV258" s="113">
        <f>IFERROR(INDEX('Total Customers'!$F$7:$AB$91,MATCH($C258,'Total Customers'!$D$7:$D$91,0),MATCH($G258,'Total Customers'!$F$5:$AB$5,0)),"NA")</f>
        <v>175810</v>
      </c>
      <c r="AW258" s="68">
        <f t="shared" si="403"/>
        <v>4.2123962240357526E-2</v>
      </c>
      <c r="AX258" s="114"/>
      <c r="AY258" s="114"/>
      <c r="AZ258" s="116"/>
      <c r="BA258" s="116"/>
      <c r="BB258" s="166"/>
      <c r="BC258" s="166"/>
      <c r="BD258" s="166"/>
      <c r="BE258" s="166"/>
      <c r="BF258" s="166"/>
      <c r="BG258" s="166"/>
      <c r="BH258" s="166"/>
      <c r="BI258" s="113"/>
      <c r="BJ258" s="113"/>
      <c r="BK258" s="113">
        <f>INDEX('Dist. Plant Gas Additions'!$F$7:$AE$91,MATCH($C258,'Dist. Plant Gas Additions'!$D$7:$D$91,0),MATCH(Calculation!$G258,'Dist. Plant Gas Additions'!$F$5:$AE$5,0))</f>
        <v>10170</v>
      </c>
      <c r="BL258" s="113">
        <f>INDEX('Gen. Plant Additions'!$F$7:$AE$91,MATCH($C258,'Gen. Plant Additions'!$D$7:$D$91,0),MATCH(Calculation!$G258,'Gen. Plant Additions'!$F$5:$AE$5,0))</f>
        <v>1517</v>
      </c>
      <c r="BM258" s="231">
        <f t="shared" si="499"/>
        <v>0.93214142748971507</v>
      </c>
      <c r="BN258" s="61">
        <f t="shared" si="496"/>
        <v>1414.0585455018977</v>
      </c>
      <c r="BO258" s="113" t="str">
        <f>INDEX('Dist Plant Depreciation'!$E$7:$AD$94,MATCH($C258,'Dist Plant Depreciation'!$D$7:$D$94,0),MATCH(Calculation!$G258,'Dist Plant Depreciation'!$E$5:$AD$5,0))</f>
        <v>NA</v>
      </c>
      <c r="BP258" s="113" t="str">
        <f>INDEX('Gen. Plant Depreciation'!$E$7:$AD$94,MATCH($C258,'Gen. Plant Depreciation'!$D$7:$D$94,0),MATCH(Calculation!$G258,'Gen. Plant Depreciation'!$E$5:$AD$5,0))</f>
        <v>NA</v>
      </c>
      <c r="BQ258" s="113"/>
      <c r="BR258" s="113"/>
      <c r="BS258" s="113"/>
      <c r="BT258" s="113"/>
      <c r="BU258" s="113"/>
      <c r="BV258" s="113"/>
      <c r="BW258" s="113">
        <f>INDEX('Gross Dx Plant'!$E$7:$AD$91,MATCH($C258,'Gross Dx Plant'!$D$7:$D$91,0),MATCH(Calculation!$G258,'Gross Dx Plant'!$E$5:$AD$5,0))</f>
        <v>193273</v>
      </c>
      <c r="BX258" s="113">
        <f>INDEX('Gross Gen Plant'!$E$7:$AD$91,MATCH($C258,'Gross Gen Plant'!$D$7:$D$91,0),MATCH(Calculation!$G258,'Gross Gen Plant'!$E$5:$AD$5,0))</f>
        <v>14070</v>
      </c>
      <c r="BY258" s="113" t="str">
        <f t="shared" si="444"/>
        <v>NA</v>
      </c>
      <c r="BZ258" s="113"/>
      <c r="CA258" s="116">
        <v>2003</v>
      </c>
      <c r="CB258" s="113"/>
      <c r="CC258" s="113"/>
      <c r="CD258" s="113"/>
      <c r="CE258" s="175"/>
      <c r="CF258" s="113">
        <f t="shared" si="500"/>
        <v>11687</v>
      </c>
      <c r="CG258" s="113">
        <f t="shared" si="501"/>
        <v>31.652099496069415</v>
      </c>
      <c r="CH258" s="178">
        <v>0.97354497354497349</v>
      </c>
      <c r="CI258" s="61">
        <f>+CI253*CH258+CG254*CH257+CG255*CH256+CG256*CH255+CG257*CH254+CG258</f>
        <v>1658.7967982277257</v>
      </c>
      <c r="CJ258" s="114">
        <f t="shared" si="502"/>
        <v>1.3577102272015383E-2</v>
      </c>
      <c r="CK258" s="114"/>
      <c r="CL258" s="169">
        <f t="shared" si="503"/>
        <v>5.6725069765703896E-3</v>
      </c>
      <c r="CM258" s="169">
        <f t="shared" si="511"/>
        <v>5.4934913475039307E-3</v>
      </c>
      <c r="CN258" s="114">
        <f>VLOOKUP($H258,RoR!$E:$F,2,FALSE)</f>
        <v>5.6666666666666671E-2</v>
      </c>
      <c r="CO258" s="169">
        <v>1.8855119140166909E-2</v>
      </c>
      <c r="CP258" s="169">
        <f t="shared" si="509"/>
        <v>3.7811547526499761E-2</v>
      </c>
      <c r="CQ258" s="169">
        <f t="shared" si="512"/>
        <v>2.5408450261029693E-2</v>
      </c>
      <c r="CR258" s="169">
        <f t="shared" si="513"/>
        <v>2.1375012817671957E-2</v>
      </c>
      <c r="CS258" s="179">
        <f t="shared" si="504"/>
        <v>0.84940815000000003</v>
      </c>
      <c r="CT258" s="180">
        <f t="shared" si="505"/>
        <v>0.90497737556561086</v>
      </c>
      <c r="CU258" s="180">
        <f t="shared" si="506"/>
        <v>0.5338235294117647</v>
      </c>
      <c r="CV258" s="180">
        <f t="shared" si="507"/>
        <v>0.88972433127405692</v>
      </c>
      <c r="CW258" s="180">
        <f t="shared" si="508"/>
        <v>0.42982423775949252</v>
      </c>
      <c r="CX258" s="181">
        <f>INDEX('State Tax Lookup'!$D$7:$Z$91,MATCH(Calculation!$C258,'State Tax Lookup'!$B$7:$B$91,0),MATCH($H258,'State Tax Lookup'!$D$6:$Z$6,0))</f>
        <v>0.40700500000000001</v>
      </c>
      <c r="CY258" s="72">
        <v>0.37</v>
      </c>
      <c r="CZ258" s="70">
        <f t="shared" si="510"/>
        <v>13.407674890447632</v>
      </c>
      <c r="DA258" s="70"/>
      <c r="DB258" s="69">
        <f t="shared" ref="DB258:DB275" si="514">LN(CZ258/CZ257)</f>
        <v>1.5116656888851896E-2</v>
      </c>
      <c r="DC258" s="111">
        <f>VLOOKUP($H258,RoR!$E:$F,2,FALSE)</f>
        <v>5.6666666666666671E-2</v>
      </c>
      <c r="DD258" s="216">
        <f>HLOOKUP($H258,'GDP-PI'!$D$8:$CQ$11,3,FALSE)</f>
        <v>1.8855119140166909E-2</v>
      </c>
      <c r="DE258" s="111">
        <f>VLOOKUP(H258,'HW Dx Data'!$E:$F,2,FALSE)</f>
        <v>369.23301095560191</v>
      </c>
      <c r="DF258" s="66"/>
      <c r="DG258" s="69"/>
      <c r="DH258" s="66">
        <f>HLOOKUP(H258,'GDP-PI'!$8:$9,2,FALSE)</f>
        <v>82.566999999999993</v>
      </c>
      <c r="DI258" s="69">
        <f t="shared" ref="DI258:DI277" si="515">LN(DH258/DH257)</f>
        <v>1.8679564681853753E-2</v>
      </c>
      <c r="EB258"/>
    </row>
    <row r="259" spans="1:132" s="160" customFormat="1" ht="21">
      <c r="A259" s="160" t="s">
        <v>174</v>
      </c>
      <c r="B259" s="161" t="s">
        <v>174</v>
      </c>
      <c r="C259" s="161">
        <v>4057114</v>
      </c>
      <c r="D259" s="161" t="s">
        <v>164</v>
      </c>
      <c r="E259" s="161" t="s">
        <v>3</v>
      </c>
      <c r="F259" s="161"/>
      <c r="G259" s="161" t="s">
        <v>115</v>
      </c>
      <c r="H259" s="162">
        <v>2004</v>
      </c>
      <c r="I259" s="163"/>
      <c r="J259" s="159">
        <f>IFERROR(INDEX('Labor Expenditures'!$F$7:$X$91,MATCH($C259,'Labor Expenditures'!$D$7:$D$91,0),MATCH($G259,'Labor Expenditures'!$F$5:$X$5,0)),"NA")</f>
        <v>9633.9267908357033</v>
      </c>
      <c r="K259" s="159">
        <f t="shared" ref="K259:K276" si="516">+J259/DF259</f>
        <v>102.10839205973188</v>
      </c>
      <c r="L259" s="165"/>
      <c r="M259" s="76"/>
      <c r="N259" s="152"/>
      <c r="O259" s="76"/>
      <c r="P259" s="76"/>
      <c r="Q259" s="159">
        <f>IFERROR(INDEX('Non-Labor Expenditures'!$F$7:$AB$91,MATCH($C259,'Non-Labor Expenditures'!$D$7:$D$91,0),MATCH($G259,'Non-Labor Expenditures'!$F$5:$AB$5,0)),"NA")</f>
        <v>13951.725362450528</v>
      </c>
      <c r="R259" s="159">
        <f t="shared" ref="R259:R275" si="517">+Q259/DH259</f>
        <v>164.56775770188642</v>
      </c>
      <c r="S259" s="159"/>
      <c r="T259" s="159"/>
      <c r="U259" s="159"/>
      <c r="V259" s="159"/>
      <c r="W259" s="159">
        <f t="shared" si="498"/>
        <v>24694.459314151642</v>
      </c>
      <c r="X259" s="163"/>
      <c r="Y259" s="167">
        <v>1677.4519643519259</v>
      </c>
      <c r="Z259" s="168">
        <v>1.1183434979604747E-2</v>
      </c>
      <c r="AA259" s="76">
        <f t="shared" ref="AA259:AA277" si="518">+Z259*$AR259</f>
        <v>0</v>
      </c>
      <c r="AB259" s="168"/>
      <c r="AC259" s="168"/>
      <c r="AD259" s="163">
        <f t="shared" si="465"/>
        <v>48280.111467437877</v>
      </c>
      <c r="AE259" s="168"/>
      <c r="AF259" s="163"/>
      <c r="AG259" s="163"/>
      <c r="AH259" s="163"/>
      <c r="AI259" s="163"/>
      <c r="AJ259" s="167"/>
      <c r="AK259" s="168"/>
      <c r="AL259" s="115">
        <f t="shared" ref="AL259:AL275" si="519">+J259/AD259</f>
        <v>0.19954234772911048</v>
      </c>
      <c r="AM259" s="115">
        <f t="shared" ref="AM259:AM275" si="520">+Q259/AD259</f>
        <v>0.28897458888138972</v>
      </c>
      <c r="AN259" s="115">
        <f t="shared" ref="AN259:AN275" si="521">+W259/AD259</f>
        <v>0.51148306338949978</v>
      </c>
      <c r="AO259" s="115"/>
      <c r="AP259" s="115"/>
      <c r="AQ259" s="168"/>
      <c r="AR259" s="79"/>
      <c r="AS259" s="115"/>
      <c r="AT259" s="115"/>
      <c r="AU259" s="115"/>
      <c r="AV259" s="113">
        <f>IFERROR(INDEX('Total Customers'!$F$7:$AB$91,MATCH($C259,'Total Customers'!$D$7:$D$91,0),MATCH($G259,'Total Customers'!$F$5:$AB$5,0)),"NA")</f>
        <v>181999</v>
      </c>
      <c r="AW259" s="68">
        <f t="shared" si="403"/>
        <v>3.4597326101507751E-2</v>
      </c>
      <c r="AX259" s="114"/>
      <c r="AY259" s="114"/>
      <c r="AZ259" s="116"/>
      <c r="BA259" s="116"/>
      <c r="BB259" s="166"/>
      <c r="BC259" s="166"/>
      <c r="BD259" s="166"/>
      <c r="BE259" s="166"/>
      <c r="BF259" s="166"/>
      <c r="BG259" s="166"/>
      <c r="BH259" s="166"/>
      <c r="BI259" s="113"/>
      <c r="BJ259" s="113"/>
      <c r="BK259" s="113">
        <f>INDEX('Dist. Plant Gas Additions'!$F$7:$AE$91,MATCH($C259,'Dist. Plant Gas Additions'!$D$7:$D$91,0),MATCH(Calculation!$G259,'Dist. Plant Gas Additions'!$F$5:$AE$5,0))</f>
        <v>10670</v>
      </c>
      <c r="BL259" s="113">
        <f>INDEX('Gen. Plant Additions'!$F$7:$AE$91,MATCH($C259,'Gen. Plant Additions'!$D$7:$D$91,0),MATCH(Calculation!$G259,'Gen. Plant Additions'!$F$5:$AE$5,0))</f>
        <v>1110</v>
      </c>
      <c r="BM259" s="231">
        <f t="shared" si="499"/>
        <v>0.92881112286147238</v>
      </c>
      <c r="BN259" s="61">
        <f t="shared" si="496"/>
        <v>1030.9803463762344</v>
      </c>
      <c r="BO259" s="113" t="str">
        <f>INDEX('Dist Plant Depreciation'!$E$7:$AD$94,MATCH($C259,'Dist Plant Depreciation'!$D$7:$D$94,0),MATCH(Calculation!$G259,'Dist Plant Depreciation'!$E$5:$AD$5,0))</f>
        <v>NA</v>
      </c>
      <c r="BP259" s="113" t="str">
        <f>INDEX('Gen. Plant Depreciation'!$E$7:$AD$94,MATCH($C259,'Gen. Plant Depreciation'!$D$7:$D$94,0),MATCH(Calculation!$G259,'Gen. Plant Depreciation'!$E$5:$AD$5,0))</f>
        <v>NA</v>
      </c>
      <c r="BQ259" s="113"/>
      <c r="BR259" s="113"/>
      <c r="BS259" s="113"/>
      <c r="BT259" s="113"/>
      <c r="BU259" s="113"/>
      <c r="BV259" s="113"/>
      <c r="BW259" s="113">
        <f>INDEX('Gross Dx Plant'!$E$7:$AD$91,MATCH($C259,'Gross Dx Plant'!$D$7:$D$91,0),MATCH(Calculation!$G259,'Gross Dx Plant'!$E$5:$AD$5,0))</f>
        <v>202883</v>
      </c>
      <c r="BX259" s="113">
        <f>INDEX('Gross Gen Plant'!$E$7:$AD$91,MATCH($C259,'Gross Gen Plant'!$D$7:$D$91,0),MATCH(Calculation!$G259,'Gross Gen Plant'!$E$5:$AD$5,0))</f>
        <v>15550</v>
      </c>
      <c r="BY259" s="113" t="str">
        <f t="shared" si="444"/>
        <v>NA</v>
      </c>
      <c r="BZ259" s="113"/>
      <c r="CA259" s="116">
        <v>2004</v>
      </c>
      <c r="CB259" s="113"/>
      <c r="CC259" s="113"/>
      <c r="CD259" s="113"/>
      <c r="CE259" s="175"/>
      <c r="CF259" s="113">
        <f t="shared" si="500"/>
        <v>11780</v>
      </c>
      <c r="CG259" s="113">
        <f t="shared" si="501"/>
        <v>28.39326025371923</v>
      </c>
      <c r="CH259" s="178">
        <v>0.967741935483871</v>
      </c>
      <c r="CI259" s="61">
        <f>+CI253*CH259+CG254*CH258+CG255*CH257+CG256*CH256+CG257*CH255+CG258*CH254+CG259</f>
        <v>1677.4519643519259</v>
      </c>
      <c r="CJ259" s="114">
        <f t="shared" si="502"/>
        <v>1.1183434979604747E-2</v>
      </c>
      <c r="CK259" s="114"/>
      <c r="CL259" s="169">
        <f t="shared" si="503"/>
        <v>5.8705768783273229E-3</v>
      </c>
      <c r="CM259" s="169">
        <f t="shared" si="511"/>
        <v>5.7169260483300151E-3</v>
      </c>
      <c r="CN259" s="114">
        <f>VLOOKUP($H259,RoR!$E:$F,2,FALSE)</f>
        <v>5.6283333333333331E-2</v>
      </c>
      <c r="CO259" s="169">
        <v>2.6778252812867276E-2</v>
      </c>
      <c r="CP259" s="169">
        <f t="shared" si="509"/>
        <v>2.9505080520466055E-2</v>
      </c>
      <c r="CQ259" s="169">
        <f t="shared" si="512"/>
        <v>2.5185015560203611E-2</v>
      </c>
      <c r="CR259" s="169">
        <f t="shared" si="513"/>
        <v>5.5940039414565046E-2</v>
      </c>
      <c r="CS259" s="179">
        <f t="shared" si="504"/>
        <v>0.84940815000000003</v>
      </c>
      <c r="CT259" s="180">
        <f t="shared" si="505"/>
        <v>0.91114097628755619</v>
      </c>
      <c r="CU259" s="180">
        <f t="shared" si="506"/>
        <v>0.53081877405981637</v>
      </c>
      <c r="CV259" s="180">
        <f t="shared" si="507"/>
        <v>0.88811215519385678</v>
      </c>
      <c r="CW259" s="180">
        <f t="shared" si="508"/>
        <v>0.42953609753547711</v>
      </c>
      <c r="CX259" s="181">
        <f>INDEX('State Tax Lookup'!$D$7:$Z$91,MATCH(Calculation!$C259,'State Tax Lookup'!$B$7:$B$91,0),MATCH($H259,'State Tax Lookup'!$D$6:$Z$6,0))</f>
        <v>0.40700500000000001</v>
      </c>
      <c r="CY259" s="72">
        <v>0.37</v>
      </c>
      <c r="CZ259" s="70">
        <f t="shared" si="510"/>
        <v>14.886970688956861</v>
      </c>
      <c r="DA259" s="70"/>
      <c r="DB259" s="69">
        <f t="shared" si="514"/>
        <v>0.1046590839761062</v>
      </c>
      <c r="DC259" s="111">
        <f>VLOOKUP($H259,RoR!$E:$F,2,FALSE)</f>
        <v>5.6283333333333331E-2</v>
      </c>
      <c r="DD259" s="216">
        <f>HLOOKUP($H259,'GDP-PI'!$D$8:$CQ$11,3,FALSE)</f>
        <v>2.6778252812867276E-2</v>
      </c>
      <c r="DE259" s="111">
        <f>VLOOKUP(H259,'HW Dx Data'!$E:$F,2,FALSE)</f>
        <v>414.88719135228365</v>
      </c>
      <c r="DF259" s="72">
        <f>VLOOKUP(G259,EG$8:EH$27,2,FALSE)</f>
        <v>94.35</v>
      </c>
      <c r="DG259" s="69"/>
      <c r="DH259" s="66">
        <f>HLOOKUP(H259,'GDP-PI'!$8:$9,2,FALSE)</f>
        <v>84.778000000000006</v>
      </c>
      <c r="DI259" s="69">
        <f t="shared" si="515"/>
        <v>2.6425990216022755E-2</v>
      </c>
      <c r="EB259"/>
    </row>
    <row r="260" spans="1:132" s="160" customFormat="1" ht="21">
      <c r="A260" s="160" t="s">
        <v>174</v>
      </c>
      <c r="B260" s="161" t="s">
        <v>174</v>
      </c>
      <c r="C260" s="161">
        <v>4057114</v>
      </c>
      <c r="D260" s="161" t="s">
        <v>164</v>
      </c>
      <c r="E260" s="161" t="s">
        <v>3</v>
      </c>
      <c r="F260" s="161"/>
      <c r="G260" s="161" t="s">
        <v>116</v>
      </c>
      <c r="H260" s="162">
        <v>2005</v>
      </c>
      <c r="I260" s="163"/>
      <c r="J260" s="159">
        <f>IFERROR(INDEX('Labor Expenditures'!$F$7:$X$91,MATCH($C260,'Labor Expenditures'!$D$7:$D$91,0),MATCH($G260,'Labor Expenditures'!$F$5:$X$5,0)),"NA")</f>
        <v>7994.33991280585</v>
      </c>
      <c r="K260" s="159">
        <f t="shared" si="516"/>
        <v>80.567799574762915</v>
      </c>
      <c r="L260" s="165">
        <f t="shared" ref="L260:L275" si="522">LN(K260/K259)</f>
        <v>-0.23693585561576824</v>
      </c>
      <c r="M260" s="76"/>
      <c r="N260" s="62">
        <v>100</v>
      </c>
      <c r="O260" s="77"/>
      <c r="P260" s="77"/>
      <c r="Q260" s="159">
        <f>IFERROR(INDEX('Non-Labor Expenditures'!$F$7:$AB$91,MATCH($C260,'Non-Labor Expenditures'!$D$7:$D$91,0),MATCH($G260,'Non-Labor Expenditures'!$F$5:$AB$5,0)),"NA")</f>
        <v>11577.297330476054</v>
      </c>
      <c r="R260" s="159">
        <f t="shared" si="517"/>
        <v>132.45274784028803</v>
      </c>
      <c r="S260" s="165">
        <f>LN(R260/R259)</f>
        <v>-0.21709642457193196</v>
      </c>
      <c r="T260" s="165"/>
      <c r="U260" s="165"/>
      <c r="V260" s="165"/>
      <c r="W260" s="159">
        <f t="shared" si="498"/>
        <v>27995.237859449204</v>
      </c>
      <c r="X260" s="163"/>
      <c r="Y260" s="167">
        <v>1688.5828364666197</v>
      </c>
      <c r="Z260" s="168">
        <v>6.6136646504699097E-3</v>
      </c>
      <c r="AA260" s="76">
        <f t="shared" si="518"/>
        <v>0</v>
      </c>
      <c r="AB260" s="168"/>
      <c r="AC260" s="168"/>
      <c r="AD260" s="163">
        <f t="shared" si="465"/>
        <v>47566.875102731108</v>
      </c>
      <c r="AE260" s="168">
        <f>LN(AD260/AD259)</f>
        <v>-1.488308721451825E-2</v>
      </c>
      <c r="AF260" s="163"/>
      <c r="AG260" s="163"/>
      <c r="AH260" s="163"/>
      <c r="AI260" s="163"/>
      <c r="AJ260" s="116"/>
      <c r="AK260" s="114"/>
      <c r="AL260" s="115">
        <f t="shared" si="519"/>
        <v>0.1680652743225263</v>
      </c>
      <c r="AM260" s="115">
        <f t="shared" si="520"/>
        <v>0.24338990748230444</v>
      </c>
      <c r="AN260" s="115">
        <f t="shared" si="521"/>
        <v>0.58854481819516924</v>
      </c>
      <c r="AO260" s="115">
        <f>+(((AL260+AL259)/2)*L260+((AM259+AM260)/2)*S260+((AN259+AN260)/2)*Z260)</f>
        <v>-9.7699319838154983E-2</v>
      </c>
      <c r="AP260" s="166">
        <v>100</v>
      </c>
      <c r="AQ260" s="168"/>
      <c r="AR260" s="16"/>
      <c r="AS260" s="115"/>
      <c r="AT260" s="115"/>
      <c r="AU260" s="115"/>
      <c r="AV260" s="113">
        <f>IFERROR(INDEX('Total Customers'!$F$7:$AB$91,MATCH($C260,'Total Customers'!$D$7:$D$91,0),MATCH($G260,'Total Customers'!$F$5:$AB$5,0)),"NA")</f>
        <v>183569</v>
      </c>
      <c r="AW260" s="68">
        <f t="shared" ref="AW260:AW323" si="523">LN(AV260/AV259)</f>
        <v>8.5894260583049883E-3</v>
      </c>
      <c r="AX260" s="114"/>
      <c r="AY260" s="114"/>
      <c r="AZ260" s="116"/>
      <c r="BA260" s="116"/>
      <c r="BB260" s="166"/>
      <c r="BC260" s="166"/>
      <c r="BD260" s="166"/>
      <c r="BE260" s="166"/>
      <c r="BF260" s="166"/>
      <c r="BG260" s="166"/>
      <c r="BH260" s="166"/>
      <c r="BI260" s="113"/>
      <c r="BJ260" s="113"/>
      <c r="BK260" s="113">
        <f>INDEX('Dist. Plant Gas Additions'!$F$7:$AE$91,MATCH($C260,'Dist. Plant Gas Additions'!$D$7:$D$91,0),MATCH(Calculation!$G260,'Dist. Plant Gas Additions'!$F$5:$AE$5,0))</f>
        <v>8863</v>
      </c>
      <c r="BL260" s="113">
        <f>INDEX('Gen. Plant Additions'!$F$7:$AE$91,MATCH($C260,'Gen. Plant Additions'!$D$7:$D$91,0),MATCH(Calculation!$G260,'Gen. Plant Additions'!$F$5:$AE$5,0))</f>
        <v>1144</v>
      </c>
      <c r="BM260" s="231">
        <f t="shared" si="499"/>
        <v>0.93566813164395291</v>
      </c>
      <c r="BN260" s="61">
        <f t="shared" si="496"/>
        <v>1070.4043426006822</v>
      </c>
      <c r="BO260" s="113" t="str">
        <f>INDEX('Dist Plant Depreciation'!$E$7:$AD$94,MATCH($C260,'Dist Plant Depreciation'!$D$7:$D$94,0),MATCH(Calculation!$G260,'Dist Plant Depreciation'!$E$5:$AD$5,0))</f>
        <v>NA</v>
      </c>
      <c r="BP260" s="113" t="str">
        <f>INDEX('Gen. Plant Depreciation'!$E$7:$AD$94,MATCH($C260,'Gen. Plant Depreciation'!$D$7:$D$94,0),MATCH(Calculation!$G260,'Gen. Plant Depreciation'!$E$5:$AD$5,0))</f>
        <v>NA</v>
      </c>
      <c r="BQ260" s="113"/>
      <c r="BR260" s="113"/>
      <c r="BS260" s="113"/>
      <c r="BT260" s="113"/>
      <c r="BU260" s="113"/>
      <c r="BV260" s="113"/>
      <c r="BW260" s="113">
        <f>INDEX('Gross Dx Plant'!$E$7:$AD$91,MATCH($C260,'Gross Dx Plant'!$D$7:$D$91,0),MATCH(Calculation!$G260,'Gross Dx Plant'!$E$5:$AD$5,0))</f>
        <v>210981</v>
      </c>
      <c r="BX260" s="113">
        <f>INDEX('Gross Gen Plant'!$E$7:$AD$91,MATCH($C260,'Gross Gen Plant'!$D$7:$D$91,0),MATCH(Calculation!$G260,'Gross Gen Plant'!$E$5:$AD$5,0))</f>
        <v>14506</v>
      </c>
      <c r="BY260" s="113" t="str">
        <f t="shared" si="444"/>
        <v>NA</v>
      </c>
      <c r="BZ260" s="113"/>
      <c r="CA260" s="116">
        <v>2005</v>
      </c>
      <c r="CB260" s="113"/>
      <c r="CC260" s="113"/>
      <c r="CD260" s="113"/>
      <c r="CE260" s="175"/>
      <c r="CF260" s="113">
        <f t="shared" si="500"/>
        <v>10007</v>
      </c>
      <c r="CG260" s="113">
        <f t="shared" si="501"/>
        <v>21.32755833098706</v>
      </c>
      <c r="CH260" s="178">
        <v>0.96174863387978138</v>
      </c>
      <c r="CI260" s="61">
        <f>+CI253*CH260+CG254*CH259+CG255*CH258+CG256*CH257+CG257*CH256+CG258*CH255+CG259*CH254+CG260</f>
        <v>1688.5828364666197</v>
      </c>
      <c r="CJ260" s="114">
        <f t="shared" si="502"/>
        <v>6.6136646504699097E-3</v>
      </c>
      <c r="CK260" s="114"/>
      <c r="CL260" s="169">
        <f t="shared" si="503"/>
        <v>6.078675534671815E-3</v>
      </c>
      <c r="CM260" s="169">
        <f t="shared" si="511"/>
        <v>5.8739197965231764E-3</v>
      </c>
      <c r="CN260" s="114">
        <f>VLOOKUP($H260,RoR!$E:$F,2,FALSE)</f>
        <v>5.2350000000000001E-2</v>
      </c>
      <c r="CO260" s="169">
        <v>3.1010403642454332E-2</v>
      </c>
      <c r="CP260" s="169">
        <f t="shared" si="509"/>
        <v>2.1339596357545669E-2</v>
      </c>
      <c r="CQ260" s="169">
        <f t="shared" si="512"/>
        <v>2.5028021812010449E-2</v>
      </c>
      <c r="CR260" s="169">
        <f t="shared" si="513"/>
        <v>9.2129610649277341E-2</v>
      </c>
      <c r="CS260" s="179">
        <f t="shared" si="504"/>
        <v>0.84940815000000003</v>
      </c>
      <c r="CT260" s="180">
        <f t="shared" si="505"/>
        <v>0.97959983346802826</v>
      </c>
      <c r="CU260" s="180">
        <f t="shared" si="506"/>
        <v>0.49744508118433622</v>
      </c>
      <c r="CV260" s="180">
        <f t="shared" si="507"/>
        <v>0.87010519444335932</v>
      </c>
      <c r="CW260" s="180">
        <f t="shared" si="508"/>
        <v>0.42399975420741998</v>
      </c>
      <c r="CX260" s="181">
        <f>INDEX('State Tax Lookup'!$D$7:$Z$91,MATCH(Calculation!$C260,'State Tax Lookup'!$B$7:$B$91,0),MATCH($H260,'State Tax Lookup'!$D$6:$Z$6,0))</f>
        <v>0.40700500000000001</v>
      </c>
      <c r="CY260" s="72">
        <v>0.37</v>
      </c>
      <c r="CZ260" s="70">
        <f t="shared" si="510"/>
        <v>16.68914428215237</v>
      </c>
      <c r="DA260" s="70"/>
      <c r="DB260" s="69">
        <f t="shared" si="514"/>
        <v>0.11427208507723116</v>
      </c>
      <c r="DC260" s="111">
        <f>VLOOKUP($H260,RoR!$E:$F,2,FALSE)</f>
        <v>5.2350000000000001E-2</v>
      </c>
      <c r="DD260" s="216">
        <f>HLOOKUP($H260,'GDP-PI'!$D$8:$CQ$11,3,FALSE)</f>
        <v>3.1010403642454332E-2</v>
      </c>
      <c r="DE260" s="111">
        <f>VLOOKUP(H260,'HW Dx Data'!$E:$F,2,FALSE)</f>
        <v>469.20514034936258</v>
      </c>
      <c r="DF260" s="72">
        <f t="shared" ref="DF260:DF278" si="524">VLOOKUP(G260,EG$8:EH$27,2,FALSE)</f>
        <v>99.224999999999994</v>
      </c>
      <c r="DG260" s="69">
        <f t="shared" ref="DG260:DG278" si="525">LN(DF260/DF259)</f>
        <v>5.0378726854569796E-2</v>
      </c>
      <c r="DH260" s="66">
        <f>HLOOKUP(H260,'GDP-PI'!$8:$9,2,FALSE)</f>
        <v>87.406999999999996</v>
      </c>
      <c r="DI260" s="69">
        <f t="shared" si="515"/>
        <v>3.0539295810733648E-2</v>
      </c>
      <c r="EB260"/>
    </row>
    <row r="261" spans="1:132" s="160" customFormat="1" ht="21">
      <c r="A261" s="160" t="s">
        <v>174</v>
      </c>
      <c r="B261" s="161" t="s">
        <v>174</v>
      </c>
      <c r="C261" s="161">
        <v>4057114</v>
      </c>
      <c r="D261" s="161" t="s">
        <v>164</v>
      </c>
      <c r="E261" s="161" t="s">
        <v>3</v>
      </c>
      <c r="F261" s="161"/>
      <c r="G261" s="161" t="s">
        <v>117</v>
      </c>
      <c r="H261" s="162">
        <v>2006</v>
      </c>
      <c r="I261" s="163"/>
      <c r="J261" s="159">
        <f>IFERROR(INDEX('Labor Expenditures'!$F$7:$X$91,MATCH($C261,'Labor Expenditures'!$D$7:$D$91,0),MATCH($G261,'Labor Expenditures'!$F$5:$X$5,0)),"NA")</f>
        <v>8812.1784266913746</v>
      </c>
      <c r="K261" s="159">
        <f t="shared" si="516"/>
        <v>80.550077026429378</v>
      </c>
      <c r="L261" s="165">
        <f t="shared" si="522"/>
        <v>-2.1999481099020522E-4</v>
      </c>
      <c r="M261" s="76">
        <f t="shared" ref="M261:M275" si="526">+L261*$AR261</f>
        <v>-1.3559932351336643E-6</v>
      </c>
      <c r="N261" s="62">
        <f>+N260*EXP(O261)</f>
        <v>106.10824748541428</v>
      </c>
      <c r="O261" s="96">
        <f t="shared" ref="O261:O275" si="527">+M261+M286+M311+M336+M361+M386+M411+M436+M461+M486+M511+M536+M561+M586+M611+M636+M661+M686+M711+M736+M761+M786+M811+M836+M861+M886+M911+M936+M961+M986+M1011+M1036+M1061+M1086+M1111+M1136+M1161+M1186+M1211+M1236+M1261+M1286+M1311+M1336+M1361+M1386+M1411+M1436+M1461+M1486+M1511+M1536+M1561+M1586</f>
        <v>5.9289589743810725E-2</v>
      </c>
      <c r="P261" s="96"/>
      <c r="Q261" s="159">
        <f>IFERROR(INDEX('Non-Labor Expenditures'!$F$7:$AB$91,MATCH($C261,'Non-Labor Expenditures'!$D$7:$D$91,0),MATCH($G261,'Non-Labor Expenditures'!$F$5:$AB$5,0)),"NA")</f>
        <v>12761.68024974627</v>
      </c>
      <c r="R261" s="159">
        <f t="shared" si="517"/>
        <v>141.67995481211304</v>
      </c>
      <c r="S261" s="165">
        <f t="shared" ref="S261:S275" si="528">LN(R261/R260)</f>
        <v>6.7344712782307248E-2</v>
      </c>
      <c r="T261" s="165">
        <f t="shared" ref="T261:T276" si="529">+S261*AR261</f>
        <v>4.1509604041930793E-4</v>
      </c>
      <c r="U261" s="165"/>
      <c r="V261" s="165"/>
      <c r="W261" s="159">
        <f t="shared" si="498"/>
        <v>27487.293567497811</v>
      </c>
      <c r="X261" s="163"/>
      <c r="Y261" s="167">
        <v>1697.3056534782054</v>
      </c>
      <c r="Z261" s="168">
        <v>5.1524652008984448E-3</v>
      </c>
      <c r="AA261" s="76">
        <f t="shared" si="518"/>
        <v>3.1758512508692647E-5</v>
      </c>
      <c r="AB261" s="168"/>
      <c r="AC261" s="168"/>
      <c r="AD261" s="163">
        <f t="shared" si="465"/>
        <v>49061.152243935459</v>
      </c>
      <c r="AE261" s="168">
        <f t="shared" ref="AE261:AE275" si="530">LN(AD261/AD260)</f>
        <v>3.0930907195403097E-2</v>
      </c>
      <c r="AF261" s="163"/>
      <c r="AG261" s="163"/>
      <c r="AH261" s="163"/>
      <c r="AI261" s="163"/>
      <c r="AJ261" s="116">
        <f t="shared" ref="AJ261:AJ275" si="531">+(AD261*1000)/AV261</f>
        <v>268.36502608612784</v>
      </c>
      <c r="AK261" s="114">
        <f>+AV261/$AX$11</f>
        <v>5.2712618783603881E-3</v>
      </c>
      <c r="AL261" s="115">
        <f t="shared" si="519"/>
        <v>0.17961621412551851</v>
      </c>
      <c r="AM261" s="115">
        <f t="shared" si="520"/>
        <v>0.26011782573499925</v>
      </c>
      <c r="AN261" s="115">
        <f t="shared" si="521"/>
        <v>0.56026596013948216</v>
      </c>
      <c r="AO261" s="115">
        <f>+(((AL261+AL260)/2)*L261+((AM260+AM261)/2)*S261+((AN260+AN261)/2)*Z261)</f>
        <v>1.9875651555820165E-2</v>
      </c>
      <c r="AP261" s="166">
        <f>+AP260*EXP(AO261)</f>
        <v>102.0074487464496</v>
      </c>
      <c r="AQ261" s="168">
        <f>LN(AP261/AP260)</f>
        <v>1.9875651555820061E-2</v>
      </c>
      <c r="AR261" s="69">
        <f>+AD261/$AF$11</f>
        <v>6.163750994990681E-3</v>
      </c>
      <c r="AS261" s="169">
        <f>+AR261*AQ261</f>
        <v>1.2250856705327398E-4</v>
      </c>
      <c r="AT261" s="115"/>
      <c r="AU261" s="115"/>
      <c r="AV261" s="113">
        <f>IFERROR(INDEX('Total Customers'!$F$7:$AB$91,MATCH($C261,'Total Customers'!$D$7:$D$91,0),MATCH($G261,'Total Customers'!$F$5:$AB$5,0)),"NA")</f>
        <v>182815</v>
      </c>
      <c r="AW261" s="68">
        <f t="shared" si="523"/>
        <v>-4.1159060681649588E-3</v>
      </c>
      <c r="AX261" s="114"/>
      <c r="AY261" s="114"/>
      <c r="AZ261" s="116">
        <v>8247377</v>
      </c>
      <c r="BA261" s="116"/>
      <c r="BB261" s="166"/>
      <c r="BC261" s="166"/>
      <c r="BD261" s="166"/>
      <c r="BE261" s="166"/>
      <c r="BF261" s="166"/>
      <c r="BG261" s="166"/>
      <c r="BH261" s="166"/>
      <c r="BI261" s="113"/>
      <c r="BJ261" s="113"/>
      <c r="BK261" s="113">
        <f>INDEX('Dist. Plant Gas Additions'!$F$7:$AE$91,MATCH($C261,'Dist. Plant Gas Additions'!$D$7:$D$91,0),MATCH(Calculation!$G261,'Dist. Plant Gas Additions'!$F$5:$AE$5,0))</f>
        <v>7201</v>
      </c>
      <c r="BL261" s="113">
        <f>INDEX('Gen. Plant Additions'!$F$7:$AE$91,MATCH($C261,'Gen. Plant Additions'!$D$7:$D$91,0),MATCH(Calculation!$G261,'Gen. Plant Additions'!$F$5:$AE$5,0))</f>
        <v>1727</v>
      </c>
      <c r="BM261" s="231">
        <f t="shared" si="499"/>
        <v>0.93164933135215455</v>
      </c>
      <c r="BN261" s="61">
        <f t="shared" si="496"/>
        <v>1608.958395245171</v>
      </c>
      <c r="BO261" s="113" t="str">
        <f>INDEX('Dist Plant Depreciation'!$E$7:$AD$94,MATCH($C261,'Dist Plant Depreciation'!$D$7:$D$94,0),MATCH(Calculation!$G261,'Dist Plant Depreciation'!$E$5:$AD$5,0))</f>
        <v>NA</v>
      </c>
      <c r="BP261" s="113" t="str">
        <f>INDEX('Gen. Plant Depreciation'!$E$7:$AD$94,MATCH($C261,'Gen. Plant Depreciation'!$D$7:$D$94,0),MATCH(Calculation!$G261,'Gen. Plant Depreciation'!$E$5:$AD$5,0))</f>
        <v>NA</v>
      </c>
      <c r="BQ261" s="113"/>
      <c r="BR261" s="113"/>
      <c r="BS261" s="113"/>
      <c r="BT261" s="113"/>
      <c r="BU261" s="113"/>
      <c r="BV261" s="113"/>
      <c r="BW261" s="113">
        <f>INDEX('Gross Dx Plant'!$E$7:$AD$91,MATCH($C261,'Gross Dx Plant'!$D$7:$D$91,0),MATCH(Calculation!$G261,'Gross Dx Plant'!$E$5:$AD$5,0))</f>
        <v>216942</v>
      </c>
      <c r="BX261" s="113">
        <f>INDEX('Gross Gen Plant'!$E$7:$AD$91,MATCH($C261,'Gross Gen Plant'!$D$7:$D$91,0),MATCH(Calculation!$G261,'Gross Gen Plant'!$E$5:$AD$5,0))</f>
        <v>15916</v>
      </c>
      <c r="BY261" s="113" t="str">
        <f t="shared" si="444"/>
        <v>NA</v>
      </c>
      <c r="BZ261" s="114"/>
      <c r="CA261" s="116">
        <v>2006</v>
      </c>
      <c r="CB261" s="113"/>
      <c r="CC261" s="113"/>
      <c r="CD261" s="113"/>
      <c r="CE261" s="175"/>
      <c r="CF261" s="113">
        <f t="shared" si="500"/>
        <v>8928</v>
      </c>
      <c r="CG261" s="113">
        <f t="shared" si="501"/>
        <v>19.362995920355704</v>
      </c>
      <c r="CH261" s="178">
        <v>0.9555555555555556</v>
      </c>
      <c r="CI261" s="61">
        <f>+CI253*CH261+CG254*CH260+CG255*CH259+CG256*CH258+CG257*CH257+CG258*CH256+CG259*CH255+CG260*CH254+CG261</f>
        <v>1697.3056534782054</v>
      </c>
      <c r="CJ261" s="114">
        <f t="shared" si="502"/>
        <v>5.1524652008984448E-3</v>
      </c>
      <c r="CK261" s="114"/>
      <c r="CL261" s="169">
        <f t="shared" si="503"/>
        <v>6.301247815022646E-3</v>
      </c>
      <c r="CM261" s="169">
        <f t="shared" si="511"/>
        <v>6.0835000760072616E-3</v>
      </c>
      <c r="CN261" s="114">
        <f>VLOOKUP($H261,RoR!$E:$F,2,FALSE)</f>
        <v>5.5874999999999994E-2</v>
      </c>
      <c r="CO261" s="169">
        <v>3.0512430354548314E-2</v>
      </c>
      <c r="CP261" s="169">
        <f t="shared" si="509"/>
        <v>2.536256964545168E-2</v>
      </c>
      <c r="CQ261" s="169">
        <f t="shared" si="512"/>
        <v>2.4818441532526363E-2</v>
      </c>
      <c r="CR261" s="169">
        <f t="shared" si="513"/>
        <v>7.9087823893859641E-2</v>
      </c>
      <c r="CS261" s="179">
        <f t="shared" si="504"/>
        <v>0.84940815000000003</v>
      </c>
      <c r="CT261" s="180">
        <f t="shared" si="505"/>
        <v>0.91779957551769631</v>
      </c>
      <c r="CU261" s="180">
        <f t="shared" si="506"/>
        <v>0.52757270693512304</v>
      </c>
      <c r="CV261" s="180">
        <f t="shared" si="507"/>
        <v>0.88636824549024895</v>
      </c>
      <c r="CW261" s="180">
        <f t="shared" si="508"/>
        <v>0.42918482841932087</v>
      </c>
      <c r="CX261" s="181">
        <f>INDEX('State Tax Lookup'!$D$7:$Z$91,MATCH(Calculation!$C261,'State Tax Lookup'!$B$7:$B$91,0),MATCH($H261,'State Tax Lookup'!$D$6:$Z$6,0))</f>
        <v>0.40700500000000001</v>
      </c>
      <c r="CY261" s="72">
        <v>0.37</v>
      </c>
      <c r="CZ261" s="70">
        <f t="shared" si="510"/>
        <v>16.278321071304568</v>
      </c>
      <c r="DA261" s="70">
        <v>14.788696346247992</v>
      </c>
      <c r="DB261" s="69">
        <f t="shared" si="514"/>
        <v>-2.4924238110215314E-2</v>
      </c>
      <c r="DC261" s="111">
        <f>VLOOKUP($H261,RoR!$E:$F,2,FALSE)</f>
        <v>5.5874999999999994E-2</v>
      </c>
      <c r="DD261" s="216">
        <f>HLOOKUP($H261,'GDP-PI'!$D$8:$CQ$11,3,FALSE)</f>
        <v>3.0512430354548314E-2</v>
      </c>
      <c r="DE261" s="111">
        <f>VLOOKUP(H261,'HW Dx Data'!$E:$F,2,FALSE)</f>
        <v>461.08567272971823</v>
      </c>
      <c r="DF261" s="72">
        <f t="shared" si="524"/>
        <v>109.4</v>
      </c>
      <c r="DG261" s="69">
        <f t="shared" si="525"/>
        <v>9.7620891318751846E-2</v>
      </c>
      <c r="DH261" s="66">
        <f>HLOOKUP(H261,'GDP-PI'!$8:$9,2,FALSE)</f>
        <v>90.073999999999998</v>
      </c>
      <c r="DI261" s="69">
        <f t="shared" si="515"/>
        <v>3.005618372545445E-2</v>
      </c>
      <c r="EB261"/>
    </row>
    <row r="262" spans="1:132" s="160" customFormat="1" ht="21">
      <c r="A262" s="160" t="s">
        <v>174</v>
      </c>
      <c r="B262" s="161" t="s">
        <v>174</v>
      </c>
      <c r="C262" s="161">
        <v>4057114</v>
      </c>
      <c r="D262" s="161" t="s">
        <v>164</v>
      </c>
      <c r="E262" s="161" t="s">
        <v>3</v>
      </c>
      <c r="F262" s="161"/>
      <c r="G262" s="161" t="s">
        <v>118</v>
      </c>
      <c r="H262" s="162">
        <v>2007</v>
      </c>
      <c r="I262" s="163"/>
      <c r="J262" s="159">
        <f>IFERROR(INDEX('Labor Expenditures'!$F$7:$X$91,MATCH($C262,'Labor Expenditures'!$D$7:$D$91,0),MATCH($G262,'Labor Expenditures'!$F$5:$X$5,0)),"NA")</f>
        <v>8659.7867179072291</v>
      </c>
      <c r="K262" s="159">
        <f t="shared" si="516"/>
        <v>82.848952096696763</v>
      </c>
      <c r="L262" s="165">
        <f t="shared" si="522"/>
        <v>2.8140029714755859E-2</v>
      </c>
      <c r="M262" s="76">
        <f t="shared" si="526"/>
        <v>1.7010832036422089E-4</v>
      </c>
      <c r="N262" s="62">
        <f t="shared" ref="N262:N275" si="532">+N261*EXP(O262)</f>
        <v>117.58892578010632</v>
      </c>
      <c r="O262" s="96">
        <f t="shared" si="527"/>
        <v>0.10273508676197854</v>
      </c>
      <c r="P262" s="96"/>
      <c r="Q262" s="159">
        <f>IFERROR(INDEX('Non-Labor Expenditures'!$F$7:$AB$91,MATCH($C262,'Non-Labor Expenditures'!$D$7:$D$91,0),MATCH($G262,'Non-Labor Expenditures'!$F$5:$AB$5,0)),"NA")</f>
        <v>12540.988592581778</v>
      </c>
      <c r="R262" s="159">
        <f t="shared" si="517"/>
        <v>135.5811865400525</v>
      </c>
      <c r="S262" s="165">
        <f t="shared" si="528"/>
        <v>-4.4000050980534264E-2</v>
      </c>
      <c r="T262" s="165">
        <f t="shared" si="529"/>
        <v>-2.6598318637574016E-4</v>
      </c>
      <c r="U262" s="165"/>
      <c r="V262" s="165"/>
      <c r="W262" s="159">
        <f t="shared" si="498"/>
        <v>29624.60122955823</v>
      </c>
      <c r="X262" s="163"/>
      <c r="Y262" s="167">
        <v>1713.2062812172335</v>
      </c>
      <c r="Z262" s="168">
        <v>9.3245490723607074E-3</v>
      </c>
      <c r="AA262" s="76">
        <f t="shared" si="518"/>
        <v>5.6367509094039187E-5</v>
      </c>
      <c r="AB262" s="168"/>
      <c r="AC262" s="168"/>
      <c r="AD262" s="163">
        <f t="shared" si="465"/>
        <v>50825.376540047233</v>
      </c>
      <c r="AE262" s="168">
        <f t="shared" si="530"/>
        <v>3.532824306866468E-2</v>
      </c>
      <c r="AF262" s="163"/>
      <c r="AG262" s="163"/>
      <c r="AH262" s="163"/>
      <c r="AI262" s="163"/>
      <c r="AJ262" s="116">
        <f t="shared" si="531"/>
        <v>272.20248898102085</v>
      </c>
      <c r="AK262" s="114">
        <f>+AV262/$AX$12</f>
        <v>5.3432940284906813E-3</v>
      </c>
      <c r="AL262" s="115">
        <f t="shared" si="519"/>
        <v>0.17038312959833865</v>
      </c>
      <c r="AM262" s="115">
        <f t="shared" si="520"/>
        <v>0.24674659483733011</v>
      </c>
      <c r="AN262" s="115">
        <f t="shared" si="521"/>
        <v>0.58287027556433124</v>
      </c>
      <c r="AO262" s="115">
        <f t="shared" ref="AO262:AO275" si="533">+(((AL262+AL261)/2)*L262+((AM261+AM262)/2)*S262+((AN261+AN262)/2)*X262)</f>
        <v>-6.2265342064335314E-3</v>
      </c>
      <c r="AP262" s="166">
        <f>+AP261*EXP(AO262)</f>
        <v>101.37426918031449</v>
      </c>
      <c r="AQ262" s="168">
        <f>LN(AP262/AP261)</f>
        <v>-6.2265342064335098E-3</v>
      </c>
      <c r="AR262" s="69">
        <f>+AD262/$AF$12</f>
        <v>6.0450654135244478E-3</v>
      </c>
      <c r="AS262" s="169">
        <f t="shared" ref="AS262:AS275" si="534">+AR262*AQ262</f>
        <v>-3.7639806577438103E-5</v>
      </c>
      <c r="AT262" s="115"/>
      <c r="AU262" s="115"/>
      <c r="AV262" s="113">
        <f>IFERROR(INDEX('Total Customers'!$F$7:$AB$91,MATCH($C262,'Total Customers'!$D$7:$D$91,0),MATCH($G262,'Total Customers'!$F$5:$AB$5,0)),"NA")</f>
        <v>186719</v>
      </c>
      <c r="AW262" s="68">
        <f t="shared" si="523"/>
        <v>2.1130100364876434E-2</v>
      </c>
      <c r="AX262" s="114"/>
      <c r="AY262" s="114"/>
      <c r="AZ262" s="116">
        <v>8187757</v>
      </c>
      <c r="BA262" s="116"/>
      <c r="BB262" s="166"/>
      <c r="BC262" s="166"/>
      <c r="BD262" s="166"/>
      <c r="BE262" s="166"/>
      <c r="BF262" s="166"/>
      <c r="BG262" s="166"/>
      <c r="BH262" s="166"/>
      <c r="BI262" s="113"/>
      <c r="BJ262" s="113"/>
      <c r="BK262" s="113">
        <f>INDEX('Dist. Plant Gas Additions'!$F$7:$AE$91,MATCH($C262,'Dist. Plant Gas Additions'!$D$7:$D$91,0),MATCH(Calculation!$G262,'Dist. Plant Gas Additions'!$F$5:$AE$5,0))</f>
        <v>12350</v>
      </c>
      <c r="BL262" s="113">
        <f>INDEX('Gen. Plant Additions'!$F$7:$AE$91,MATCH($C262,'Gen. Plant Additions'!$D$7:$D$91,0),MATCH(Calculation!$G262,'Gen. Plant Additions'!$F$5:$AE$5,0))</f>
        <v>1094</v>
      </c>
      <c r="BM262" s="231">
        <f t="shared" si="499"/>
        <v>0.93114370981992001</v>
      </c>
      <c r="BN262" s="61">
        <f t="shared" si="496"/>
        <v>1018.6712185429925</v>
      </c>
      <c r="BO262" s="113" t="str">
        <f>INDEX('Dist Plant Depreciation'!$E$7:$AD$94,MATCH($C262,'Dist Plant Depreciation'!$D$7:$D$94,0),MATCH(Calculation!$G262,'Dist Plant Depreciation'!$E$5:$AD$5,0))</f>
        <v>NA</v>
      </c>
      <c r="BP262" s="113" t="str">
        <f>INDEX('Gen. Plant Depreciation'!$E$7:$AD$94,MATCH($C262,'Gen. Plant Depreciation'!$D$7:$D$94,0),MATCH(Calculation!$G262,'Gen. Plant Depreciation'!$E$5:$AD$5,0))</f>
        <v>NA</v>
      </c>
      <c r="BQ262" s="113"/>
      <c r="BR262" s="113"/>
      <c r="BS262" s="113"/>
      <c r="BT262" s="113"/>
      <c r="BU262" s="113"/>
      <c r="BV262" s="113"/>
      <c r="BW262" s="113">
        <f>INDEX('Gross Dx Plant'!$E$7:$AD$91,MATCH($C262,'Gross Dx Plant'!$D$7:$D$91,0),MATCH(Calculation!$G262,'Gross Dx Plant'!$E$5:$AD$5,0))</f>
        <v>228701</v>
      </c>
      <c r="BX262" s="113">
        <f>INDEX('Gross Gen Plant'!$E$7:$AD$91,MATCH($C262,'Gross Gen Plant'!$D$7:$D$91,0),MATCH(Calculation!$G262,'Gross Gen Plant'!$E$5:$AD$5,0))</f>
        <v>16912</v>
      </c>
      <c r="BY262" s="113" t="str">
        <f t="shared" si="444"/>
        <v>NA</v>
      </c>
      <c r="BZ262" s="113"/>
      <c r="CA262" s="116">
        <v>2007</v>
      </c>
      <c r="CB262" s="113"/>
      <c r="CC262" s="113"/>
      <c r="CD262" s="113"/>
      <c r="CE262" s="175"/>
      <c r="CF262" s="113">
        <f t="shared" si="500"/>
        <v>13444</v>
      </c>
      <c r="CG262" s="113">
        <f t="shared" si="501"/>
        <v>26.994774294634517</v>
      </c>
      <c r="CH262" s="178">
        <v>0.94915254237288138</v>
      </c>
      <c r="CI262" s="61">
        <f>+CI253*CH262+CG254*CH261+CG255*CH260+CG256*CH259+CG257*CH258+CG258*CH257+CG259*CH256+CG260*CH255+CG261*CH254+CG262</f>
        <v>1713.2062812172335</v>
      </c>
      <c r="CJ262" s="114">
        <f t="shared" si="502"/>
        <v>9.3245490723607074E-3</v>
      </c>
      <c r="CK262" s="114"/>
      <c r="CL262" s="169">
        <f t="shared" si="503"/>
        <v>6.5363280519756296E-3</v>
      </c>
      <c r="CM262" s="169">
        <f t="shared" si="511"/>
        <v>6.3054171338900308E-3</v>
      </c>
      <c r="CN262" s="114">
        <f>VLOOKUP($H262,RoR!$E:$F,2,FALSE)</f>
        <v>5.5558333333333321E-2</v>
      </c>
      <c r="CO262" s="169">
        <v>2.691120634145272E-2</v>
      </c>
      <c r="CP262" s="169">
        <f t="shared" si="509"/>
        <v>2.86471269918806E-2</v>
      </c>
      <c r="CQ262" s="169">
        <f t="shared" si="512"/>
        <v>2.4596524474643593E-2</v>
      </c>
      <c r="CR262" s="169">
        <f t="shared" si="513"/>
        <v>6.4575155250632399E-2</v>
      </c>
      <c r="CS262" s="179">
        <f t="shared" si="504"/>
        <v>0.84940815000000003</v>
      </c>
      <c r="CT262" s="180">
        <f t="shared" si="505"/>
        <v>0.92303077153834634</v>
      </c>
      <c r="CU262" s="180">
        <f t="shared" si="506"/>
        <v>0.52502249887505614</v>
      </c>
      <c r="CV262" s="180">
        <f t="shared" si="507"/>
        <v>0.88499666072084604</v>
      </c>
      <c r="CW262" s="180">
        <f t="shared" si="508"/>
        <v>0.42887993290280618</v>
      </c>
      <c r="CX262" s="181">
        <f>INDEX('State Tax Lookup'!$D$7:$Z$91,MATCH(Calculation!$C262,'State Tax Lookup'!$B$7:$B$91,0),MATCH($H262,'State Tax Lookup'!$D$6:$Z$6,0))</f>
        <v>0.40700500000000001</v>
      </c>
      <c r="CY262" s="72">
        <v>0.37</v>
      </c>
      <c r="CZ262" s="70">
        <f t="shared" si="510"/>
        <v>17.453898871337632</v>
      </c>
      <c r="DA262" s="70">
        <v>16.108943221861779</v>
      </c>
      <c r="DB262" s="69">
        <f t="shared" si="514"/>
        <v>6.9728827755596121E-2</v>
      </c>
      <c r="DC262" s="111">
        <f>VLOOKUP($H262,RoR!$E:$F,2,FALSE)</f>
        <v>5.5558333333333321E-2</v>
      </c>
      <c r="DD262" s="216">
        <f>HLOOKUP($H262,'GDP-PI'!$D$8:$CQ$11,3,FALSE)</f>
        <v>2.691120634145272E-2</v>
      </c>
      <c r="DE262" s="111">
        <f>VLOOKUP(H262,'HW Dx Data'!$E:$F,2,FALSE)</f>
        <v>498.0223154772637</v>
      </c>
      <c r="DF262" s="72">
        <f t="shared" si="524"/>
        <v>104.52499999999999</v>
      </c>
      <c r="DG262" s="69">
        <f t="shared" si="525"/>
        <v>-4.5584612745252218E-2</v>
      </c>
      <c r="DH262" s="66">
        <f>HLOOKUP(H262,'GDP-PI'!$8:$9,2,FALSE)</f>
        <v>92.498000000000005</v>
      </c>
      <c r="DI262" s="69">
        <f t="shared" si="515"/>
        <v>2.6555467950038037E-2</v>
      </c>
      <c r="EB262"/>
    </row>
    <row r="263" spans="1:132" s="160" customFormat="1" ht="21">
      <c r="A263" s="160" t="s">
        <v>174</v>
      </c>
      <c r="B263" s="161" t="s">
        <v>174</v>
      </c>
      <c r="C263" s="161">
        <v>4057114</v>
      </c>
      <c r="D263" s="161" t="s">
        <v>164</v>
      </c>
      <c r="E263" s="161" t="s">
        <v>3</v>
      </c>
      <c r="F263" s="161"/>
      <c r="G263" s="161" t="s">
        <v>120</v>
      </c>
      <c r="H263" s="162">
        <v>2008</v>
      </c>
      <c r="I263" s="163"/>
      <c r="J263" s="159">
        <f>IFERROR(INDEX('Labor Expenditures'!$F$7:$X$91,MATCH($C263,'Labor Expenditures'!$D$7:$D$91,0),MATCH($G263,'Labor Expenditures'!$F$5:$X$5,0)),"NA")</f>
        <v>9942.8555052792763</v>
      </c>
      <c r="K263" s="159">
        <f t="shared" si="516"/>
        <v>92.148799863570673</v>
      </c>
      <c r="L263" s="165">
        <f t="shared" si="522"/>
        <v>0.10638556471078318</v>
      </c>
      <c r="M263" s="76">
        <f t="shared" si="526"/>
        <v>6.8934578714308027E-4</v>
      </c>
      <c r="N263" s="62">
        <f t="shared" si="532"/>
        <v>109.62198341595821</v>
      </c>
      <c r="O263" s="96">
        <f t="shared" si="527"/>
        <v>-7.0156929480408525E-2</v>
      </c>
      <c r="P263" s="96"/>
      <c r="Q263" s="159">
        <f>IFERROR(INDEX('Non-Labor Expenditures'!$F$7:$AB$91,MATCH($C263,'Non-Labor Expenditures'!$D$7:$D$91,0),MATCH($G263,'Non-Labor Expenditures'!$F$5:$AB$5,0)),"NA")</f>
        <v>14399.111840889582</v>
      </c>
      <c r="R263" s="159">
        <f t="shared" si="517"/>
        <v>152.75303234415665</v>
      </c>
      <c r="S263" s="165">
        <f t="shared" si="528"/>
        <v>0.11925182598421107</v>
      </c>
      <c r="T263" s="165">
        <f t="shared" si="529"/>
        <v>7.7271520882384601E-4</v>
      </c>
      <c r="U263" s="165"/>
      <c r="V263" s="165"/>
      <c r="W263" s="159">
        <f t="shared" si="498"/>
        <v>33903.889725382462</v>
      </c>
      <c r="X263" s="163"/>
      <c r="Y263" s="167">
        <v>1723.1016572495478</v>
      </c>
      <c r="Z263" s="168">
        <v>5.7593228324103723E-3</v>
      </c>
      <c r="AA263" s="76">
        <f t="shared" si="518"/>
        <v>3.7318643202319989E-5</v>
      </c>
      <c r="AB263" s="168"/>
      <c r="AC263" s="168"/>
      <c r="AD263" s="163">
        <f t="shared" si="465"/>
        <v>58245.85707155132</v>
      </c>
      <c r="AE263" s="168">
        <f t="shared" si="530"/>
        <v>0.13627719863458579</v>
      </c>
      <c r="AF263" s="163"/>
      <c r="AG263" s="163"/>
      <c r="AH263" s="163"/>
      <c r="AI263" s="163"/>
      <c r="AJ263" s="116">
        <f t="shared" si="531"/>
        <v>307.75414412663633</v>
      </c>
      <c r="AK263" s="114">
        <f>+AV263/$AX$13</f>
        <v>5.387080587493244E-3</v>
      </c>
      <c r="AL263" s="115">
        <f t="shared" si="519"/>
        <v>0.17070493946144724</v>
      </c>
      <c r="AM263" s="115">
        <f t="shared" si="520"/>
        <v>0.24721263562490275</v>
      </c>
      <c r="AN263" s="115">
        <f t="shared" si="521"/>
        <v>0.58208242491365003</v>
      </c>
      <c r="AO263" s="115">
        <f t="shared" si="533"/>
        <v>4.7596193518706476E-2</v>
      </c>
      <c r="AP263" s="166">
        <f t="shared" ref="AP263:AP275" si="535">+AP262*EXP(AO263)</f>
        <v>106.31596868264033</v>
      </c>
      <c r="AQ263" s="168">
        <f t="shared" ref="AQ263:AQ275" si="536">LN(AP263/AP262)</f>
        <v>4.7596193518706573E-2</v>
      </c>
      <c r="AR263" s="69">
        <f>+AD263/$AF$13</f>
        <v>6.4796928889470709E-3</v>
      </c>
      <c r="AS263" s="169">
        <f t="shared" si="534"/>
        <v>3.0840871668411167E-4</v>
      </c>
      <c r="AT263" s="115"/>
      <c r="AU263" s="115"/>
      <c r="AV263" s="113">
        <f>IFERROR(INDEX('Total Customers'!$F$7:$AB$91,MATCH($C263,'Total Customers'!$D$7:$D$91,0),MATCH($G263,'Total Customers'!$F$5:$AB$5,0)),"NA")</f>
        <v>189261</v>
      </c>
      <c r="AW263" s="68">
        <f t="shared" si="523"/>
        <v>1.3522201891563905E-2</v>
      </c>
      <c r="AX263" s="114"/>
      <c r="AY263" s="114"/>
      <c r="AZ263" s="116">
        <v>8244107</v>
      </c>
      <c r="BA263" s="116"/>
      <c r="BB263" s="166"/>
      <c r="BC263" s="166"/>
      <c r="BD263" s="166"/>
      <c r="BE263" s="166"/>
      <c r="BF263" s="166"/>
      <c r="BG263" s="166"/>
      <c r="BH263" s="166"/>
      <c r="BI263" s="113"/>
      <c r="BJ263" s="113"/>
      <c r="BK263" s="113">
        <f>INDEX('Dist. Plant Gas Additions'!$F$7:$AE$91,MATCH($C263,'Dist. Plant Gas Additions'!$D$7:$D$91,0),MATCH(Calculation!$G263,'Dist. Plant Gas Additions'!$F$5:$AE$5,0))</f>
        <v>9098</v>
      </c>
      <c r="BL263" s="113">
        <f>INDEX('Gen. Plant Additions'!$F$7:$AE$91,MATCH($C263,'Gen. Plant Additions'!$D$7:$D$91,0),MATCH(Calculation!$G263,'Gen. Plant Additions'!$F$5:$AE$5,0))</f>
        <v>3156</v>
      </c>
      <c r="BM263" s="231">
        <f t="shared" si="499"/>
        <v>0.92309309250861249</v>
      </c>
      <c r="BN263" s="61">
        <f t="shared" si="496"/>
        <v>2913.2817999571812</v>
      </c>
      <c r="BO263" s="113" t="str">
        <f>INDEX('Dist Plant Depreciation'!$E$7:$AD$94,MATCH($C263,'Dist Plant Depreciation'!$D$7:$D$94,0),MATCH(Calculation!$G263,'Dist Plant Depreciation'!$E$5:$AD$5,0))</f>
        <v>NA</v>
      </c>
      <c r="BP263" s="113" t="str">
        <f>INDEX('Gen. Plant Depreciation'!$E$7:$AD$94,MATCH($C263,'Gen. Plant Depreciation'!$D$7:$D$94,0),MATCH(Calculation!$G263,'Gen. Plant Depreciation'!$E$5:$AD$5,0))</f>
        <v>NA</v>
      </c>
      <c r="BQ263" s="113"/>
      <c r="BR263" s="113"/>
      <c r="BS263" s="113"/>
      <c r="BT263" s="113"/>
      <c r="BU263" s="113"/>
      <c r="BV263" s="113"/>
      <c r="BW263" s="113">
        <f>INDEX('Gross Dx Plant'!$E$7:$AD$91,MATCH($C263,'Gross Dx Plant'!$D$7:$D$91,0),MATCH(Calculation!$G263,'Gross Dx Plant'!$E$5:$AD$5,0))</f>
        <v>237138</v>
      </c>
      <c r="BX263" s="113">
        <f>INDEX('Gross Gen Plant'!$E$7:$AD$91,MATCH($C263,'Gross Gen Plant'!$D$7:$D$91,0),MATCH(Calculation!$G263,'Gross Gen Plant'!$E$5:$AD$5,0))</f>
        <v>19757</v>
      </c>
      <c r="BY263" s="113" t="str">
        <f t="shared" si="444"/>
        <v>NA</v>
      </c>
      <c r="BZ263" s="113"/>
      <c r="CA263" s="116">
        <v>2008</v>
      </c>
      <c r="CB263" s="113"/>
      <c r="CC263" s="113"/>
      <c r="CD263" s="113"/>
      <c r="CE263" s="175"/>
      <c r="CF263" s="113">
        <f t="shared" si="500"/>
        <v>12254</v>
      </c>
      <c r="CG263" s="113">
        <f t="shared" si="501"/>
        <v>21.50272710923814</v>
      </c>
      <c r="CH263" s="178">
        <v>0.94252873563218387</v>
      </c>
      <c r="CI263" s="61">
        <f>+CI253*CH263+CG254*CH262+CG255*CH261+CG256*CH260+CG257*CH259+CG258*CH258+CG259*CH257+CG260*CH256+CG261*CH255+CG262*CH254+CG263</f>
        <v>1723.1016572495478</v>
      </c>
      <c r="CJ263" s="114">
        <f t="shared" si="502"/>
        <v>5.7593228324103723E-3</v>
      </c>
      <c r="CK263" s="114"/>
      <c r="CL263" s="169">
        <f t="shared" si="503"/>
        <v>6.7752209434329335E-3</v>
      </c>
      <c r="CM263" s="169">
        <f t="shared" si="511"/>
        <v>6.5375989368104031E-3</v>
      </c>
      <c r="CN263" s="114">
        <f>VLOOKUP($H263,RoR!$E:$F,2,FALSE)</f>
        <v>5.6316666666666668E-2</v>
      </c>
      <c r="CO263" s="169">
        <v>1.9092304698479889E-2</v>
      </c>
      <c r="CP263" s="169">
        <f t="shared" si="509"/>
        <v>3.7224361968186778E-2</v>
      </c>
      <c r="CQ263" s="169">
        <f t="shared" si="512"/>
        <v>2.4364342671723223E-2</v>
      </c>
      <c r="CR263" s="169">
        <f t="shared" si="513"/>
        <v>6.9030581091053131E-2</v>
      </c>
      <c r="CS263" s="179">
        <f t="shared" si="504"/>
        <v>0.84940815000000003</v>
      </c>
      <c r="CT263" s="180">
        <f t="shared" si="505"/>
        <v>0.91060168006009956</v>
      </c>
      <c r="CU263" s="180">
        <f t="shared" si="506"/>
        <v>0.53108168097070152</v>
      </c>
      <c r="CV263" s="180">
        <f t="shared" si="507"/>
        <v>0.88825329850328805</v>
      </c>
      <c r="CW263" s="180">
        <f t="shared" si="508"/>
        <v>0.4295627335323573</v>
      </c>
      <c r="CX263" s="181">
        <f>INDEX('State Tax Lookup'!$D$7:$Z$91,MATCH(Calculation!$C263,'State Tax Lookup'!$B$7:$B$91,0),MATCH($H263,'State Tax Lookup'!$D$6:$Z$6,0))</f>
        <v>0.40700500000000001</v>
      </c>
      <c r="CY263" s="72">
        <v>0.37</v>
      </c>
      <c r="CZ263" s="70">
        <f t="shared" si="510"/>
        <v>19.789729991705226</v>
      </c>
      <c r="DA263" s="70">
        <v>18.300102035478151</v>
      </c>
      <c r="DB263" s="69">
        <f t="shared" si="514"/>
        <v>0.12560006113443362</v>
      </c>
      <c r="DC263" s="111">
        <f>VLOOKUP($H263,RoR!$E:$F,2,FALSE)</f>
        <v>5.6316666666666668E-2</v>
      </c>
      <c r="DD263" s="216">
        <f>HLOOKUP($H263,'GDP-PI'!$D$8:$CQ$11,3,FALSE)</f>
        <v>1.9092304698479889E-2</v>
      </c>
      <c r="DE263" s="111">
        <f>VLOOKUP(H263,'HW Dx Data'!$E:$F,2,FALSE)</f>
        <v>569.88120333515076</v>
      </c>
      <c r="DF263" s="72">
        <f t="shared" si="524"/>
        <v>107.9</v>
      </c>
      <c r="DG263" s="69">
        <f t="shared" si="525"/>
        <v>3.1778595021460486E-2</v>
      </c>
      <c r="DH263" s="66">
        <f>HLOOKUP(H263,'GDP-PI'!$8:$9,2,FALSE)</f>
        <v>94.263999999999996</v>
      </c>
      <c r="DI263" s="69">
        <f t="shared" si="515"/>
        <v>1.8912333748032254E-2</v>
      </c>
      <c r="EB263"/>
    </row>
    <row r="264" spans="1:132" s="160" customFormat="1" ht="21">
      <c r="A264" s="160" t="s">
        <v>174</v>
      </c>
      <c r="B264" s="161" t="s">
        <v>174</v>
      </c>
      <c r="C264" s="161">
        <v>4057114</v>
      </c>
      <c r="D264" s="161" t="s">
        <v>164</v>
      </c>
      <c r="E264" s="161" t="s">
        <v>3</v>
      </c>
      <c r="F264" s="161"/>
      <c r="G264" s="161" t="s">
        <v>125</v>
      </c>
      <c r="H264" s="162">
        <v>2009</v>
      </c>
      <c r="I264" s="163"/>
      <c r="J264" s="159">
        <f>IFERROR(INDEX('Labor Expenditures'!$F$7:$X$91,MATCH($C264,'Labor Expenditures'!$D$7:$D$91,0),MATCH($G264,'Labor Expenditures'!$F$5:$X$5,0)),"NA")</f>
        <v>11162.441092217234</v>
      </c>
      <c r="K264" s="159">
        <f t="shared" si="516"/>
        <v>100.63052596093968</v>
      </c>
      <c r="L264" s="165">
        <f t="shared" si="522"/>
        <v>8.8050990308715535E-2</v>
      </c>
      <c r="M264" s="76">
        <f t="shared" si="526"/>
        <v>5.6320905621331336E-4</v>
      </c>
      <c r="N264" s="62">
        <f t="shared" si="532"/>
        <v>118.08193078978071</v>
      </c>
      <c r="O264" s="96">
        <f t="shared" si="527"/>
        <v>7.4340779244476116E-2</v>
      </c>
      <c r="P264" s="96"/>
      <c r="Q264" s="159">
        <f>IFERROR(INDEX('Non-Labor Expenditures'!$F$7:$AB$91,MATCH($C264,'Non-Labor Expenditures'!$D$7:$D$91,0),MATCH($G264,'Non-Labor Expenditures'!$F$5:$AB$5,0)),"NA")</f>
        <v>16165.299557942539</v>
      </c>
      <c r="R264" s="159">
        <f t="shared" si="517"/>
        <v>170.16283916612321</v>
      </c>
      <c r="S264" s="165">
        <f t="shared" si="528"/>
        <v>0.10793340649129014</v>
      </c>
      <c r="T264" s="165">
        <f t="shared" si="529"/>
        <v>6.9038487574886887E-4</v>
      </c>
      <c r="U264" s="165"/>
      <c r="V264" s="165"/>
      <c r="W264" s="159">
        <f t="shared" si="498"/>
        <v>32642.53701656175</v>
      </c>
      <c r="X264" s="163"/>
      <c r="Y264" s="167">
        <v>1740.0439865973044</v>
      </c>
      <c r="Z264" s="168">
        <v>9.7844366103500609E-3</v>
      </c>
      <c r="AA264" s="76">
        <f t="shared" si="518"/>
        <v>6.2585137198039968E-5</v>
      </c>
      <c r="AB264" s="168"/>
      <c r="AC264" s="168"/>
      <c r="AD264" s="163">
        <f t="shared" si="465"/>
        <v>59970.277666721522</v>
      </c>
      <c r="AE264" s="168">
        <f t="shared" si="530"/>
        <v>2.91761005821763E-2</v>
      </c>
      <c r="AF264" s="163"/>
      <c r="AG264" s="163"/>
      <c r="AH264" s="163"/>
      <c r="AI264" s="163"/>
      <c r="AJ264" s="116">
        <f t="shared" si="531"/>
        <v>305.97548772033002</v>
      </c>
      <c r="AK264" s="114">
        <f>+AV264/$AX$14</f>
        <v>5.5717007848542933E-3</v>
      </c>
      <c r="AL264" s="115">
        <f t="shared" si="519"/>
        <v>0.18613288993343202</v>
      </c>
      <c r="AM264" s="115">
        <f t="shared" si="520"/>
        <v>0.26955518945200624</v>
      </c>
      <c r="AN264" s="115">
        <f t="shared" si="521"/>
        <v>0.54431192061456168</v>
      </c>
      <c r="AO264" s="115">
        <f t="shared" si="533"/>
        <v>4.3598217991738769E-2</v>
      </c>
      <c r="AP264" s="166">
        <f t="shared" si="535"/>
        <v>111.05368297962816</v>
      </c>
      <c r="AQ264" s="168">
        <f t="shared" si="536"/>
        <v>4.3598217991738672E-2</v>
      </c>
      <c r="AR264" s="69">
        <f>+AD264/$AF$14</f>
        <v>6.3963966133560382E-3</v>
      </c>
      <c r="AS264" s="169">
        <f t="shared" si="534"/>
        <v>2.7887149391071553E-4</v>
      </c>
      <c r="AT264" s="115"/>
      <c r="AU264" s="115"/>
      <c r="AV264" s="113">
        <f>IFERROR(INDEX('Total Customers'!$F$7:$AB$91,MATCH($C264,'Total Customers'!$D$7:$D$91,0),MATCH($G264,'Total Customers'!$F$5:$AB$5,0)),"NA")</f>
        <v>195997</v>
      </c>
      <c r="AW264" s="68">
        <f t="shared" si="523"/>
        <v>3.4972338188142042E-2</v>
      </c>
      <c r="AX264" s="114"/>
      <c r="AY264" s="114"/>
      <c r="AZ264" s="116">
        <v>8336812</v>
      </c>
      <c r="BA264" s="116"/>
      <c r="BB264" s="166"/>
      <c r="BC264" s="166"/>
      <c r="BD264" s="166"/>
      <c r="BE264" s="166"/>
      <c r="BF264" s="166"/>
      <c r="BG264" s="166"/>
      <c r="BH264" s="166"/>
      <c r="BI264" s="113"/>
      <c r="BJ264" s="113"/>
      <c r="BK264" s="113">
        <f>INDEX('Dist. Plant Gas Additions'!$F$7:$AE$91,MATCH($C264,'Dist. Plant Gas Additions'!$D$7:$D$91,0),MATCH(Calculation!$G264,'Dist. Plant Gas Additions'!$F$5:$AE$5,0))</f>
        <v>13753</v>
      </c>
      <c r="BL264" s="113">
        <f>INDEX('Gen. Plant Additions'!$F$7:$AE$91,MATCH($C264,'Gen. Plant Additions'!$D$7:$D$91,0),MATCH(Calculation!$G264,'Gen. Plant Additions'!$F$5:$AE$5,0))</f>
        <v>2257</v>
      </c>
      <c r="BM264" s="231">
        <f t="shared" si="499"/>
        <v>0.92122426832914395</v>
      </c>
      <c r="BN264" s="61">
        <f t="shared" si="496"/>
        <v>2079.2031736188778</v>
      </c>
      <c r="BO264" s="113" t="str">
        <f>INDEX('Dist Plant Depreciation'!$E$7:$AD$94,MATCH($C264,'Dist Plant Depreciation'!$D$7:$D$94,0),MATCH(Calculation!$G264,'Dist Plant Depreciation'!$E$5:$AD$5,0))</f>
        <v>NA</v>
      </c>
      <c r="BP264" s="113" t="str">
        <f>INDEX('Gen. Plant Depreciation'!$E$7:$AD$94,MATCH($C264,'Gen. Plant Depreciation'!$D$7:$D$94,0),MATCH(Calculation!$G264,'Gen. Plant Depreciation'!$E$5:$AD$5,0))</f>
        <v>NA</v>
      </c>
      <c r="BQ264" s="113"/>
      <c r="BR264" s="113"/>
      <c r="BS264" s="113"/>
      <c r="BT264" s="113"/>
      <c r="BU264" s="113"/>
      <c r="BV264" s="113"/>
      <c r="BW264" s="113">
        <f>INDEX('Gross Dx Plant'!$E$7:$AD$91,MATCH($C264,'Gross Dx Plant'!$D$7:$D$91,0),MATCH(Calculation!$G264,'Gross Dx Plant'!$E$5:$AD$5,0))</f>
        <v>249579</v>
      </c>
      <c r="BX264" s="113">
        <f>INDEX('Gross Gen Plant'!$E$7:$AD$91,MATCH($C264,'Gross Gen Plant'!$D$7:$D$91,0),MATCH(Calculation!$G264,'Gross Gen Plant'!$E$5:$AD$5,0))</f>
        <v>21342</v>
      </c>
      <c r="BY264" s="113" t="str">
        <f t="shared" si="444"/>
        <v>NA</v>
      </c>
      <c r="BZ264" s="113"/>
      <c r="CA264" s="116">
        <v>2009</v>
      </c>
      <c r="CB264" s="113"/>
      <c r="CC264" s="113"/>
      <c r="CD264" s="113"/>
      <c r="CE264" s="175"/>
      <c r="CF264" s="113">
        <f t="shared" si="500"/>
        <v>16010</v>
      </c>
      <c r="CG264" s="113">
        <f t="shared" si="501"/>
        <v>29.05939212086319</v>
      </c>
      <c r="CH264" s="178">
        <v>0.93567251461988299</v>
      </c>
      <c r="CI264" s="61">
        <f>+CI253*CH264+CG254*CH263+CG255*CH262+CG256*CH261+CG257*CH260+CG258*CH259+CG259*CH258+CG260*CH257+CG261*CH256+CG262*CH255+CG263*CH254+CG264</f>
        <v>1740.0439865973044</v>
      </c>
      <c r="CJ264" s="114">
        <f t="shared" si="502"/>
        <v>9.7844366103500609E-3</v>
      </c>
      <c r="CK264" s="114"/>
      <c r="CL264" s="169">
        <f t="shared" si="503"/>
        <v>7.0321229871301199E-3</v>
      </c>
      <c r="CM264" s="169">
        <f t="shared" si="511"/>
        <v>6.781223994179561E-3</v>
      </c>
      <c r="CN264" s="114">
        <f>VLOOKUP($H264,RoR!$E:$F,2,FALSE)</f>
        <v>5.3133333333333324E-2</v>
      </c>
      <c r="CO264" s="169">
        <v>7.7972502758210105E-3</v>
      </c>
      <c r="CP264" s="169">
        <f t="shared" si="509"/>
        <v>4.5336083057512314E-2</v>
      </c>
      <c r="CQ264" s="169">
        <f t="shared" si="512"/>
        <v>2.4120717614354064E-2</v>
      </c>
      <c r="CR264" s="169">
        <f t="shared" si="513"/>
        <v>6.3720160300892073E-2</v>
      </c>
      <c r="CS264" s="179">
        <f t="shared" si="504"/>
        <v>0.84940815000000003</v>
      </c>
      <c r="CT264" s="180">
        <f t="shared" si="505"/>
        <v>0.96515780330083989</v>
      </c>
      <c r="CU264" s="180">
        <f t="shared" si="506"/>
        <v>0.50448557089084056</v>
      </c>
      <c r="CV264" s="180">
        <f t="shared" si="507"/>
        <v>0.87391435735465484</v>
      </c>
      <c r="CW264" s="180">
        <f t="shared" si="508"/>
        <v>0.42551605393279146</v>
      </c>
      <c r="CX264" s="181">
        <f>INDEX('State Tax Lookup'!$D$7:$Z$91,MATCH(Calculation!$C264,'State Tax Lookup'!$B$7:$B$91,0),MATCH($H264,'State Tax Lookup'!$D$6:$Z$6,0))</f>
        <v>0.40700500000000001</v>
      </c>
      <c r="CY264" s="72">
        <v>0.37</v>
      </c>
      <c r="CZ264" s="70">
        <f t="shared" si="510"/>
        <v>18.944057583152972</v>
      </c>
      <c r="DA264" s="70">
        <v>17.478615056163342</v>
      </c>
      <c r="DB264" s="69">
        <f t="shared" si="514"/>
        <v>-4.3672817499881014E-2</v>
      </c>
      <c r="DC264" s="111">
        <f>VLOOKUP($H264,RoR!$E:$F,2,FALSE)</f>
        <v>5.3133333333333324E-2</v>
      </c>
      <c r="DD264" s="216">
        <f>HLOOKUP($H264,'GDP-PI'!$D$8:$CQ$11,3,FALSE)</f>
        <v>7.7972502758210105E-3</v>
      </c>
      <c r="DE264" s="111">
        <f>VLOOKUP(H264,'HW Dx Data'!$E:$F,2,FALSE)</f>
        <v>550.94063679692806</v>
      </c>
      <c r="DF264" s="72">
        <f t="shared" si="524"/>
        <v>110.925</v>
      </c>
      <c r="DG264" s="69">
        <f t="shared" si="525"/>
        <v>2.7649425000884052E-2</v>
      </c>
      <c r="DH264" s="66">
        <f>HLOOKUP(H264,'GDP-PI'!$8:$9,2,FALSE)</f>
        <v>94.998999999999995</v>
      </c>
      <c r="DI264" s="69">
        <f t="shared" si="515"/>
        <v>7.7670088183096342E-3</v>
      </c>
      <c r="EB264"/>
    </row>
    <row r="265" spans="1:132" s="160" customFormat="1" ht="21">
      <c r="A265" s="160" t="s">
        <v>174</v>
      </c>
      <c r="B265" s="161" t="s">
        <v>174</v>
      </c>
      <c r="C265" s="161">
        <v>4057114</v>
      </c>
      <c r="D265" s="161" t="s">
        <v>164</v>
      </c>
      <c r="E265" s="161" t="s">
        <v>3</v>
      </c>
      <c r="F265" s="161"/>
      <c r="G265" s="161" t="s">
        <v>126</v>
      </c>
      <c r="H265" s="162">
        <v>2010</v>
      </c>
      <c r="I265" s="163"/>
      <c r="J265" s="159">
        <f>IFERROR(INDEX('Labor Expenditures'!$F$7:$X$91,MATCH($C265,'Labor Expenditures'!$D$7:$D$91,0),MATCH($G265,'Labor Expenditures'!$F$5:$X$5,0)),"NA")</f>
        <v>10761.044173848548</v>
      </c>
      <c r="K265" s="159">
        <f t="shared" si="516"/>
        <v>92.033732510998917</v>
      </c>
      <c r="L265" s="165">
        <f t="shared" si="522"/>
        <v>-8.9300483038116413E-2</v>
      </c>
      <c r="M265" s="76">
        <f t="shared" si="526"/>
        <v>-5.5204156851076458E-4</v>
      </c>
      <c r="N265" s="62">
        <f t="shared" si="532"/>
        <v>97.331536416421443</v>
      </c>
      <c r="O265" s="96">
        <f t="shared" si="527"/>
        <v>-0.19325566030331348</v>
      </c>
      <c r="P265" s="96"/>
      <c r="Q265" s="159">
        <f>IFERROR(INDEX('Non-Labor Expenditures'!$F$7:$AB$91,MATCH($C265,'Non-Labor Expenditures'!$D$7:$D$91,0),MATCH($G265,'Non-Labor Expenditures'!$F$5:$AB$5,0)),"NA")</f>
        <v>15584.001849541737</v>
      </c>
      <c r="R265" s="159">
        <f t="shared" si="517"/>
        <v>162.14924564340217</v>
      </c>
      <c r="S265" s="165">
        <f t="shared" si="528"/>
        <v>-4.8238675498290078E-2</v>
      </c>
      <c r="T265" s="165">
        <f t="shared" si="529"/>
        <v>-2.9820391983312539E-4</v>
      </c>
      <c r="U265" s="165"/>
      <c r="V265" s="165"/>
      <c r="W265" s="159">
        <f t="shared" si="498"/>
        <v>33730.543886075</v>
      </c>
      <c r="X265" s="163"/>
      <c r="Y265" s="167">
        <v>1745.8843669181967</v>
      </c>
      <c r="Z265" s="168">
        <v>3.3508352400286791E-3</v>
      </c>
      <c r="AA265" s="76">
        <f t="shared" si="518"/>
        <v>2.0714337468219742E-5</v>
      </c>
      <c r="AB265" s="168"/>
      <c r="AC265" s="168"/>
      <c r="AD265" s="163">
        <f t="shared" si="465"/>
        <v>60075.589909465285</v>
      </c>
      <c r="AE265" s="168">
        <f t="shared" si="530"/>
        <v>1.7545338608665501E-3</v>
      </c>
      <c r="AF265" s="163"/>
      <c r="AG265" s="163"/>
      <c r="AH265" s="163"/>
      <c r="AI265" s="163"/>
      <c r="AJ265" s="116">
        <f t="shared" si="531"/>
        <v>299.88164542414944</v>
      </c>
      <c r="AK265" s="114">
        <f>+AV265/$AX$15</f>
        <v>5.663746307048325E-3</v>
      </c>
      <c r="AL265" s="115">
        <f t="shared" si="519"/>
        <v>0.17912506876862275</v>
      </c>
      <c r="AM265" s="115">
        <f t="shared" si="520"/>
        <v>0.25940655552491509</v>
      </c>
      <c r="AN265" s="115">
        <f t="shared" si="521"/>
        <v>0.56146837570646213</v>
      </c>
      <c r="AO265" s="115">
        <f t="shared" si="533"/>
        <v>-2.9067063056280422E-2</v>
      </c>
      <c r="AP265" s="166">
        <f t="shared" si="535"/>
        <v>107.87214160798142</v>
      </c>
      <c r="AQ265" s="168">
        <f t="shared" si="536"/>
        <v>-2.9067063056280373E-2</v>
      </c>
      <c r="AR265" s="69">
        <f>+AD265/$AF$15</f>
        <v>6.181843028498904E-3</v>
      </c>
      <c r="AS265" s="169">
        <f t="shared" si="534"/>
        <v>-1.7968802111340487E-4</v>
      </c>
      <c r="AT265" s="115"/>
      <c r="AU265" s="115"/>
      <c r="AV265" s="113">
        <f>IFERROR(INDEX('Total Customers'!$F$7:$AB$91,MATCH($C265,'Total Customers'!$D$7:$D$91,0),MATCH($G265,'Total Customers'!$F$5:$AB$5,0)),"NA")</f>
        <v>200331</v>
      </c>
      <c r="AW265" s="68">
        <f t="shared" si="523"/>
        <v>2.1871645553764071E-2</v>
      </c>
      <c r="AX265" s="114"/>
      <c r="AY265" s="114"/>
      <c r="AZ265" s="116">
        <v>8403441</v>
      </c>
      <c r="BA265" s="116"/>
      <c r="BB265" s="166"/>
      <c r="BC265" s="166"/>
      <c r="BD265" s="166"/>
      <c r="BE265" s="166"/>
      <c r="BF265" s="166"/>
      <c r="BG265" s="166"/>
      <c r="BH265" s="166"/>
      <c r="BI265" s="113"/>
      <c r="BJ265" s="113"/>
      <c r="BK265" s="113">
        <f>INDEX('Dist. Plant Gas Additions'!$F$7:$AE$91,MATCH($C265,'Dist. Plant Gas Additions'!$D$7:$D$91,0),MATCH(Calculation!$G265,'Dist. Plant Gas Additions'!$F$5:$AE$5,0))</f>
        <v>10193</v>
      </c>
      <c r="BL265" s="113">
        <f>INDEX('Gen. Plant Additions'!$F$7:$AE$91,MATCH($C265,'Gen. Plant Additions'!$D$7:$D$91,0),MATCH(Calculation!$G265,'Gen. Plant Additions'!$F$5:$AE$5,0))</f>
        <v>350</v>
      </c>
      <c r="BM265" s="231">
        <f t="shared" si="499"/>
        <v>0.92900828643913091</v>
      </c>
      <c r="BN265" s="61">
        <f t="shared" si="496"/>
        <v>325.1529002536958</v>
      </c>
      <c r="BO265" s="113" t="str">
        <f>INDEX('Dist Plant Depreciation'!$E$7:$AD$94,MATCH($C265,'Dist Plant Depreciation'!$D$7:$D$94,0),MATCH(Calculation!$G265,'Dist Plant Depreciation'!$E$5:$AD$5,0))</f>
        <v>NA</v>
      </c>
      <c r="BP265" s="113" t="str">
        <f>INDEX('Gen. Plant Depreciation'!$E$7:$AD$94,MATCH($C265,'Gen. Plant Depreciation'!$D$7:$D$94,0),MATCH(Calculation!$G265,'Gen. Plant Depreciation'!$E$5:$AD$5,0))</f>
        <v>NA</v>
      </c>
      <c r="BQ265" s="113"/>
      <c r="BR265" s="113"/>
      <c r="BS265" s="113"/>
      <c r="BT265" s="113"/>
      <c r="BU265" s="113"/>
      <c r="BV265" s="113"/>
      <c r="BW265" s="113">
        <f>INDEX('Gross Dx Plant'!$E$7:$AD$91,MATCH($C265,'Gross Dx Plant'!$D$7:$D$91,0),MATCH(Calculation!$G265,'Gross Dx Plant'!$E$5:$AD$5,0))</f>
        <v>258530</v>
      </c>
      <c r="BX265" s="113">
        <f>INDEX('Gross Gen Plant'!$E$7:$AD$91,MATCH($C265,'Gross Gen Plant'!$D$7:$D$91,0),MATCH(Calculation!$G265,'Gross Gen Plant'!$E$5:$AD$5,0))</f>
        <v>19756</v>
      </c>
      <c r="BY265" s="113" t="str">
        <f t="shared" si="444"/>
        <v>NA</v>
      </c>
      <c r="BZ265" s="113"/>
      <c r="CA265" s="116">
        <v>2010</v>
      </c>
      <c r="CB265" s="113"/>
      <c r="CC265" s="113"/>
      <c r="CD265" s="113"/>
      <c r="CE265" s="175"/>
      <c r="CF265" s="113">
        <f t="shared" si="500"/>
        <v>10543</v>
      </c>
      <c r="CG265" s="113">
        <f t="shared" si="501"/>
        <v>18.529340086720531</v>
      </c>
      <c r="CH265" s="178">
        <v>0.9285714285714286</v>
      </c>
      <c r="CI265" s="61">
        <f>+CI253*CH265+CG254*CH264+CG255*CH263+CG256*CH262+CG257*CH261+CG258*CH260+CG259*CH259+CG260*CH258+CG261*CH257+CG262*CH256+CG263*CH255+CG264*CH254+CG265</f>
        <v>1745.8843669181967</v>
      </c>
      <c r="CJ265" s="114">
        <f t="shared" si="502"/>
        <v>3.3508352400286791E-3</v>
      </c>
      <c r="CK265" s="114"/>
      <c r="CL265" s="169">
        <f t="shared" si="503"/>
        <v>7.2923212651892456E-3</v>
      </c>
      <c r="CM265" s="169">
        <f t="shared" si="511"/>
        <v>7.033221731917433E-3</v>
      </c>
      <c r="CN265" s="114">
        <f>VLOOKUP($H265,RoR!$E:$F,2,FALSE)</f>
        <v>4.9433333333333322E-2</v>
      </c>
      <c r="CO265" s="169">
        <v>1.1684333519300205E-2</v>
      </c>
      <c r="CP265" s="169">
        <f t="shared" si="509"/>
        <v>3.7748999814033117E-2</v>
      </c>
      <c r="CQ265" s="169">
        <f t="shared" si="512"/>
        <v>2.3868719876616193E-2</v>
      </c>
      <c r="CR265" s="169">
        <f t="shared" si="513"/>
        <v>4.7937530248493419E-2</v>
      </c>
      <c r="CS265" s="179">
        <f t="shared" si="504"/>
        <v>0.84940815000000003</v>
      </c>
      <c r="CT265" s="180">
        <f t="shared" si="505"/>
        <v>1.037398205301105</v>
      </c>
      <c r="CU265" s="180">
        <f t="shared" si="506"/>
        <v>0.46926837491571133</v>
      </c>
      <c r="CV265" s="180">
        <f t="shared" si="507"/>
        <v>0.8548537519972772</v>
      </c>
      <c r="CW265" s="180">
        <f t="shared" si="508"/>
        <v>0.41615833911547367</v>
      </c>
      <c r="CX265" s="181">
        <f>INDEX('State Tax Lookup'!$D$7:$Z$91,MATCH(Calculation!$C265,'State Tax Lookup'!$B$7:$B$91,0),MATCH($H265,'State Tax Lookup'!$D$6:$Z$6,0))</f>
        <v>0.40700500000000001</v>
      </c>
      <c r="CY265" s="72">
        <v>0.37</v>
      </c>
      <c r="CZ265" s="70">
        <f t="shared" si="510"/>
        <v>19.384880006416303</v>
      </c>
      <c r="DA265" s="70">
        <v>17.956102603965455</v>
      </c>
      <c r="DB265" s="69">
        <f t="shared" si="514"/>
        <v>2.3003082733152078E-2</v>
      </c>
      <c r="DC265" s="111">
        <f>VLOOKUP($H265,RoR!$E:$F,2,FALSE)</f>
        <v>4.9433333333333322E-2</v>
      </c>
      <c r="DD265" s="216">
        <f>HLOOKUP($H265,'GDP-PI'!$D$8:$CQ$11,3,FALSE)</f>
        <v>1.1684333519300205E-2</v>
      </c>
      <c r="DE265" s="111">
        <f>VLOOKUP(H265,'HW Dx Data'!$E:$F,2,FALSE)</f>
        <v>568.98950262971744</v>
      </c>
      <c r="DF265" s="72">
        <f t="shared" si="524"/>
        <v>116.925</v>
      </c>
      <c r="DG265" s="69">
        <f t="shared" si="525"/>
        <v>5.2678406346976722E-2</v>
      </c>
      <c r="DH265" s="66">
        <f>HLOOKUP(H265,'GDP-PI'!$8:$9,2,FALSE)</f>
        <v>96.108999999999995</v>
      </c>
      <c r="DI265" s="69">
        <f t="shared" si="515"/>
        <v>1.1616598807150427E-2</v>
      </c>
      <c r="EB265"/>
    </row>
    <row r="266" spans="1:132" s="160" customFormat="1" ht="21">
      <c r="A266" s="160" t="s">
        <v>174</v>
      </c>
      <c r="B266" s="161" t="s">
        <v>174</v>
      </c>
      <c r="C266" s="161">
        <v>4057114</v>
      </c>
      <c r="D266" s="161" t="s">
        <v>164</v>
      </c>
      <c r="E266" s="161" t="s">
        <v>3</v>
      </c>
      <c r="F266" s="161"/>
      <c r="G266" s="161" t="s">
        <v>127</v>
      </c>
      <c r="H266" s="162">
        <v>2011</v>
      </c>
      <c r="I266" s="163"/>
      <c r="J266" s="159">
        <f>IFERROR(INDEX('Labor Expenditures'!$F$7:$X$91,MATCH($C266,'Labor Expenditures'!$D$7:$D$91,0),MATCH($G266,'Labor Expenditures'!$F$5:$X$5,0)),"NA")</f>
        <v>10654.301479713831</v>
      </c>
      <c r="K266" s="159">
        <f t="shared" si="516"/>
        <v>88.143135302699747</v>
      </c>
      <c r="L266" s="165">
        <f t="shared" si="522"/>
        <v>-4.3193136945400008E-2</v>
      </c>
      <c r="M266" s="76">
        <f t="shared" si="526"/>
        <v>-2.6289337908933533E-4</v>
      </c>
      <c r="N266" s="62">
        <f t="shared" si="532"/>
        <v>116.90508440422975</v>
      </c>
      <c r="O266" s="96">
        <f t="shared" si="527"/>
        <v>0.18323930919801057</v>
      </c>
      <c r="P266" s="96"/>
      <c r="Q266" s="159">
        <f>IFERROR(INDEX('Non-Labor Expenditures'!$F$7:$AB$91,MATCH($C266,'Non-Labor Expenditures'!$D$7:$D$91,0),MATCH($G266,'Non-Labor Expenditures'!$F$5:$AB$5,0)),"NA")</f>
        <v>15429.418491649474</v>
      </c>
      <c r="R266" s="159">
        <f t="shared" si="517"/>
        <v>157.26331632878217</v>
      </c>
      <c r="S266" s="165">
        <f t="shared" si="528"/>
        <v>-3.0595605996740702E-2</v>
      </c>
      <c r="T266" s="165">
        <f t="shared" si="529"/>
        <v>-1.8621898789005878E-4</v>
      </c>
      <c r="U266" s="165"/>
      <c r="V266" s="165"/>
      <c r="W266" s="159">
        <f t="shared" si="498"/>
        <v>36034.810155000981</v>
      </c>
      <c r="X266" s="163"/>
      <c r="Y266" s="167">
        <v>1758.1745072303875</v>
      </c>
      <c r="Z266" s="168">
        <v>7.0148311721829884E-3</v>
      </c>
      <c r="AA266" s="76">
        <f t="shared" si="518"/>
        <v>4.2695502133303332E-5</v>
      </c>
      <c r="AB266" s="168"/>
      <c r="AC266" s="168"/>
      <c r="AD266" s="163">
        <f t="shared" si="465"/>
        <v>62118.53012636429</v>
      </c>
      <c r="AE266" s="168">
        <f t="shared" si="530"/>
        <v>3.3440735034063661E-2</v>
      </c>
      <c r="AF266" s="163"/>
      <c r="AG266" s="163"/>
      <c r="AH266" s="163"/>
      <c r="AI266" s="163"/>
      <c r="AJ266" s="116">
        <f t="shared" si="531"/>
        <v>317.76134661137405</v>
      </c>
      <c r="AK266" s="114">
        <f>+AV266/$AX$16</f>
        <v>5.5001584170996046E-3</v>
      </c>
      <c r="AL266" s="115">
        <f t="shared" si="519"/>
        <v>0.17151567266708298</v>
      </c>
      <c r="AM266" s="115">
        <f t="shared" si="520"/>
        <v>0.24838672873073883</v>
      </c>
      <c r="AN266" s="115">
        <f t="shared" si="521"/>
        <v>0.58009759860217813</v>
      </c>
      <c r="AO266" s="115">
        <f t="shared" si="533"/>
        <v>-1.5340758408172988E-2</v>
      </c>
      <c r="AP266" s="166">
        <f t="shared" si="535"/>
        <v>106.22992973860335</v>
      </c>
      <c r="AQ266" s="168">
        <f t="shared" si="536"/>
        <v>-1.5340758408172974E-2</v>
      </c>
      <c r="AR266" s="69">
        <f>+AD266/$AF$16</f>
        <v>6.0864618242860227E-3</v>
      </c>
      <c r="AS266" s="169">
        <f t="shared" si="534"/>
        <v>-9.3370940406939626E-5</v>
      </c>
      <c r="AT266" s="115"/>
      <c r="AU266" s="115"/>
      <c r="AV266" s="113">
        <f>IFERROR(INDEX('Total Customers'!$F$7:$AB$91,MATCH($C266,'Total Customers'!$D$7:$D$91,0),MATCH($G266,'Total Customers'!$F$5:$AB$5,0)),"NA")</f>
        <v>195488</v>
      </c>
      <c r="AW266" s="68">
        <f t="shared" si="523"/>
        <v>-2.4472002077335984E-2</v>
      </c>
      <c r="AX266" s="114"/>
      <c r="AY266" s="114"/>
      <c r="AZ266" s="116">
        <v>8437841</v>
      </c>
      <c r="BA266" s="116"/>
      <c r="BB266" s="166"/>
      <c r="BC266" s="166"/>
      <c r="BD266" s="166"/>
      <c r="BE266" s="166"/>
      <c r="BF266" s="166"/>
      <c r="BG266" s="166"/>
      <c r="BH266" s="166"/>
      <c r="BI266" s="113"/>
      <c r="BJ266" s="113"/>
      <c r="BK266" s="113">
        <f>INDEX('Dist. Plant Gas Additions'!$F$7:$AE$91,MATCH($C266,'Dist. Plant Gas Additions'!$D$7:$D$91,0),MATCH(Calculation!$G266,'Dist. Plant Gas Additions'!$F$5:$AE$5,0))</f>
        <v>15303</v>
      </c>
      <c r="BL266" s="113">
        <f>INDEX('Gen. Plant Additions'!$F$7:$AE$91,MATCH($C266,'Gen. Plant Additions'!$D$7:$D$91,0),MATCH(Calculation!$G266,'Gen. Plant Additions'!$F$5:$AE$5,0))</f>
        <v>309</v>
      </c>
      <c r="BM266" s="231">
        <f t="shared" si="499"/>
        <v>0.93233054374672431</v>
      </c>
      <c r="BN266" s="61">
        <f t="shared" si="496"/>
        <v>288.09013801773779</v>
      </c>
      <c r="BO266" s="113" t="str">
        <f>INDEX('Dist Plant Depreciation'!$E$7:$AD$94,MATCH($C266,'Dist Plant Depreciation'!$D$7:$D$94,0),MATCH(Calculation!$G266,'Dist Plant Depreciation'!$E$5:$AD$5,0))</f>
        <v>NA</v>
      </c>
      <c r="BP266" s="113" t="str">
        <f>INDEX('Gen. Plant Depreciation'!$E$7:$AD$94,MATCH($C266,'Gen. Plant Depreciation'!$D$7:$D$94,0),MATCH(Calculation!$G266,'Gen. Plant Depreciation'!$E$5:$AD$5,0))</f>
        <v>NA</v>
      </c>
      <c r="BQ266" s="113"/>
      <c r="BR266" s="113"/>
      <c r="BS266" s="113"/>
      <c r="BT266" s="113"/>
      <c r="BU266" s="113"/>
      <c r="BV266" s="113"/>
      <c r="BW266" s="113">
        <f>INDEX('Gross Dx Plant'!$E$7:$AD$91,MATCH($C266,'Gross Dx Plant'!$D$7:$D$91,0),MATCH(Calculation!$G266,'Gross Dx Plant'!$E$5:$AD$5,0))</f>
        <v>272165</v>
      </c>
      <c r="BX266" s="113">
        <f>INDEX('Gross Gen Plant'!$E$7:$AD$91,MATCH($C266,'Gross Gen Plant'!$D$7:$D$91,0),MATCH(Calculation!$G266,'Gross Gen Plant'!$E$5:$AD$5,0))</f>
        <v>19754</v>
      </c>
      <c r="BY266" s="113" t="str">
        <f t="shared" si="444"/>
        <v>NA</v>
      </c>
      <c r="BZ266" s="113"/>
      <c r="CA266" s="116">
        <v>2011</v>
      </c>
      <c r="CB266" s="113"/>
      <c r="CC266" s="113"/>
      <c r="CD266" s="113"/>
      <c r="CE266" s="175"/>
      <c r="CF266" s="113">
        <f t="shared" si="500"/>
        <v>15612</v>
      </c>
      <c r="CG266" s="113">
        <f t="shared" si="501"/>
        <v>25.526024787595723</v>
      </c>
      <c r="CH266" s="178">
        <v>0.92121212121212126</v>
      </c>
      <c r="CI266" s="61">
        <f>+CI253*CH266+CG254*CH265+CG255*CH264+CG256*CH263+CG257*CH262+CG258*CH261+CG259*CH260+CG260*CH259+CG261*CH258+CG262*CH257+CG263*CH256+CG264*CH255+CG265*CH254+CG266</f>
        <v>1758.1745072303875</v>
      </c>
      <c r="CJ266" s="114">
        <f t="shared" si="502"/>
        <v>7.0148311721829884E-3</v>
      </c>
      <c r="CK266" s="114"/>
      <c r="CL266" s="169">
        <f t="shared" si="503"/>
        <v>7.58119193126676E-3</v>
      </c>
      <c r="CM266" s="169">
        <f t="shared" si="511"/>
        <v>7.3018787278620418E-3</v>
      </c>
      <c r="CN266" s="114">
        <f>VLOOKUP($H266,RoR!$E:$F,2,FALSE)</f>
        <v>4.6391666666666664E-2</v>
      </c>
      <c r="CO266" s="169">
        <v>2.0840920205183799E-2</v>
      </c>
      <c r="CP266" s="169">
        <f t="shared" si="509"/>
        <v>2.5550746461482865E-2</v>
      </c>
      <c r="CQ266" s="169">
        <f t="shared" si="512"/>
        <v>2.3600062880671582E-2</v>
      </c>
      <c r="CR266" s="169">
        <f t="shared" si="513"/>
        <v>2.4810540821321614E-2</v>
      </c>
      <c r="CS266" s="179">
        <f t="shared" si="504"/>
        <v>0.84940815000000003</v>
      </c>
      <c r="CT266" s="180">
        <f t="shared" si="505"/>
        <v>1.1054151524782025</v>
      </c>
      <c r="CU266" s="180">
        <f t="shared" si="506"/>
        <v>0.43611011316687626</v>
      </c>
      <c r="CV266" s="180">
        <f t="shared" si="507"/>
        <v>0.83698442246886229</v>
      </c>
      <c r="CW266" s="180">
        <f t="shared" si="508"/>
        <v>0.40349573304423936</v>
      </c>
      <c r="CX266" s="181">
        <f>INDEX('State Tax Lookup'!$D$7:$Z$91,MATCH(Calculation!$C266,'State Tax Lookup'!$B$7:$B$91,0),MATCH($H266,'State Tax Lookup'!$D$6:$Z$6,0))</f>
        <v>0.40700500000000001</v>
      </c>
      <c r="CY266" s="72">
        <v>0.37</v>
      </c>
      <c r="CZ266" s="70">
        <f t="shared" si="510"/>
        <v>20.639860713461207</v>
      </c>
      <c r="DA266" s="70">
        <v>19.146574949201604</v>
      </c>
      <c r="DB266" s="69">
        <f t="shared" si="514"/>
        <v>6.2730811130412803E-2</v>
      </c>
      <c r="DC266" s="111">
        <f>VLOOKUP($H266,RoR!$E:$F,2,FALSE)</f>
        <v>4.6391666666666664E-2</v>
      </c>
      <c r="DD266" s="216">
        <f>HLOOKUP($H266,'GDP-PI'!$D$8:$CQ$11,3,FALSE)</f>
        <v>2.0840920205183799E-2</v>
      </c>
      <c r="DE266" s="111">
        <f>VLOOKUP(H266,'HW Dx Data'!$E:$F,2,FALSE)</f>
        <v>611.61109612283201</v>
      </c>
      <c r="DF266" s="72">
        <f t="shared" si="524"/>
        <v>120.875</v>
      </c>
      <c r="DG266" s="69">
        <f t="shared" si="525"/>
        <v>3.3224250161508609E-2</v>
      </c>
      <c r="DH266" s="66">
        <f>HLOOKUP(H266,'GDP-PI'!$8:$9,2,FALSE)</f>
        <v>98.111999999999995</v>
      </c>
      <c r="DI266" s="69">
        <f t="shared" si="515"/>
        <v>2.0626719212849295E-2</v>
      </c>
      <c r="EB266"/>
    </row>
    <row r="267" spans="1:132" s="160" customFormat="1" ht="21">
      <c r="A267" s="160" t="s">
        <v>174</v>
      </c>
      <c r="B267" s="161" t="s">
        <v>174</v>
      </c>
      <c r="C267" s="161">
        <v>4057114</v>
      </c>
      <c r="D267" s="161" t="s">
        <v>164</v>
      </c>
      <c r="E267" s="161" t="s">
        <v>3</v>
      </c>
      <c r="F267" s="161"/>
      <c r="G267" s="161" t="s">
        <v>128</v>
      </c>
      <c r="H267" s="162">
        <v>2012</v>
      </c>
      <c r="I267" s="163"/>
      <c r="J267" s="159">
        <f>IFERROR(INDEX('Labor Expenditures'!$F$7:$X$91,MATCH($C267,'Labor Expenditures'!$D$7:$D$91,0),MATCH($G267,'Labor Expenditures'!$F$5:$X$5,0)),"NA")</f>
        <v>8384.0890162192154</v>
      </c>
      <c r="K267" s="159">
        <f t="shared" si="516"/>
        <v>67.180200450474473</v>
      </c>
      <c r="L267" s="165">
        <f t="shared" si="522"/>
        <v>-0.27158346266767996</v>
      </c>
      <c r="M267" s="76">
        <f t="shared" si="526"/>
        <v>-1.5146209032103715E-3</v>
      </c>
      <c r="N267" s="62">
        <f t="shared" si="532"/>
        <v>114.69262262064856</v>
      </c>
      <c r="O267" s="96">
        <f t="shared" si="527"/>
        <v>-1.9106657999134895E-2</v>
      </c>
      <c r="P267" s="96"/>
      <c r="Q267" s="159">
        <f>IFERROR(INDEX('Non-Labor Expenditures'!$F$7:$AB$91,MATCH($C267,'Non-Labor Expenditures'!$D$7:$D$91,0),MATCH($G267,'Non-Labor Expenditures'!$F$5:$AB$5,0)),"NA")</f>
        <v>12141.726827309809</v>
      </c>
      <c r="R267" s="159">
        <f t="shared" si="517"/>
        <v>121.41726827309809</v>
      </c>
      <c r="S267" s="165">
        <f t="shared" si="528"/>
        <v>-0.25868846324455336</v>
      </c>
      <c r="T267" s="165">
        <f t="shared" si="529"/>
        <v>-1.4427054946604327E-3</v>
      </c>
      <c r="U267" s="165"/>
      <c r="V267" s="165"/>
      <c r="W267" s="159">
        <f t="shared" si="498"/>
        <v>39114.801733917433</v>
      </c>
      <c r="X267" s="163"/>
      <c r="Y267" s="167">
        <v>1770.2680234376805</v>
      </c>
      <c r="Z267" s="168">
        <v>6.854901820286495E-3</v>
      </c>
      <c r="AA267" s="76">
        <f t="shared" si="518"/>
        <v>3.8229785733180942E-5</v>
      </c>
      <c r="AB267" s="168"/>
      <c r="AC267" s="168"/>
      <c r="AD267" s="163">
        <f t="shared" si="465"/>
        <v>59640.617577446457</v>
      </c>
      <c r="AE267" s="168">
        <f t="shared" si="530"/>
        <v>-4.0707491227475828E-2</v>
      </c>
      <c r="AF267" s="163"/>
      <c r="AG267" s="163"/>
      <c r="AH267" s="163"/>
      <c r="AI267" s="163"/>
      <c r="AJ267" s="116">
        <f t="shared" si="531"/>
        <v>300.97354940954716</v>
      </c>
      <c r="AK267" s="114">
        <f>+AV267/$AX$17</f>
        <v>5.548589760386571E-3</v>
      </c>
      <c r="AL267" s="115">
        <f t="shared" si="519"/>
        <v>0.14057683097147741</v>
      </c>
      <c r="AM267" s="115">
        <f t="shared" si="520"/>
        <v>0.20358150737696742</v>
      </c>
      <c r="AN267" s="115">
        <f t="shared" si="521"/>
        <v>0.65584166165155511</v>
      </c>
      <c r="AO267" s="115">
        <f t="shared" si="533"/>
        <v>-0.10083906562241987</v>
      </c>
      <c r="AP267" s="166">
        <f t="shared" si="535"/>
        <v>96.040197497627133</v>
      </c>
      <c r="AQ267" s="168">
        <f t="shared" si="536"/>
        <v>-0.10083906562241993</v>
      </c>
      <c r="AR267" s="69">
        <f>+AD267/$AF$17</f>
        <v>5.5769997492951928E-3</v>
      </c>
      <c r="AS267" s="169">
        <f t="shared" si="534"/>
        <v>-5.6237944369539738E-4</v>
      </c>
      <c r="AT267" s="115"/>
      <c r="AU267" s="115"/>
      <c r="AV267" s="113">
        <f>IFERROR(INDEX('Total Customers'!$F$7:$AB$91,MATCH($C267,'Total Customers'!$D$7:$D$91,0),MATCH($G267,'Total Customers'!$F$5:$AB$5,0)),"NA")</f>
        <v>198159</v>
      </c>
      <c r="AW267" s="68">
        <f t="shared" si="523"/>
        <v>1.357074227388478E-2</v>
      </c>
      <c r="AX267" s="114"/>
      <c r="AY267" s="114"/>
      <c r="AZ267" s="116">
        <v>8485072</v>
      </c>
      <c r="BA267" s="116"/>
      <c r="BB267" s="166"/>
      <c r="BC267" s="166"/>
      <c r="BD267" s="166"/>
      <c r="BE267" s="166"/>
      <c r="BF267" s="166"/>
      <c r="BG267" s="166"/>
      <c r="BH267" s="166"/>
      <c r="BI267" s="113"/>
      <c r="BJ267" s="113"/>
      <c r="BK267" s="113">
        <f>INDEX('Dist. Plant Gas Additions'!$F$7:$AE$91,MATCH($C267,'Dist. Plant Gas Additions'!$D$7:$D$91,0),MATCH(Calculation!$G267,'Dist. Plant Gas Additions'!$F$5:$AE$5,0))</f>
        <v>17040</v>
      </c>
      <c r="BL267" s="113">
        <f>INDEX('Gen. Plant Additions'!$F$7:$AE$91,MATCH($C267,'Gen. Plant Additions'!$D$7:$D$91,0),MATCH(Calculation!$G267,'Gen. Plant Additions'!$F$5:$AE$5,0))</f>
        <v>311</v>
      </c>
      <c r="BM267" s="231">
        <f t="shared" si="499"/>
        <v>0.93769323327005605</v>
      </c>
      <c r="BN267" s="61">
        <f t="shared" si="496"/>
        <v>291.62259554698744</v>
      </c>
      <c r="BO267" s="113" t="str">
        <f>INDEX('Dist Plant Depreciation'!$E$7:$AD$94,MATCH($C267,'Dist Plant Depreciation'!$D$7:$D$94,0),MATCH(Calculation!$G267,'Dist Plant Depreciation'!$E$5:$AD$5,0))</f>
        <v>NA</v>
      </c>
      <c r="BP267" s="113" t="str">
        <f>INDEX('Gen. Plant Depreciation'!$E$7:$AD$94,MATCH($C267,'Gen. Plant Depreciation'!$D$7:$D$94,0),MATCH(Calculation!$G267,'Gen. Plant Depreciation'!$E$5:$AD$5,0))</f>
        <v>NA</v>
      </c>
      <c r="BQ267" s="113"/>
      <c r="BR267" s="113"/>
      <c r="BS267" s="113"/>
      <c r="BT267" s="113"/>
      <c r="BU267" s="113"/>
      <c r="BV267" s="113"/>
      <c r="BW267" s="113">
        <f>INDEX('Gross Dx Plant'!$E$7:$AD$91,MATCH($C267,'Gross Dx Plant'!$D$7:$D$91,0),MATCH(Calculation!$G267,'Gross Dx Plant'!$E$5:$AD$5,0))</f>
        <v>286003</v>
      </c>
      <c r="BX267" s="113">
        <f>INDEX('Gross Gen Plant'!$E$7:$AD$91,MATCH($C267,'Gross Gen Plant'!$D$7:$D$91,0),MATCH(Calculation!$G267,'Gross Gen Plant'!$E$5:$AD$5,0))</f>
        <v>19004</v>
      </c>
      <c r="BY267" s="113" t="str">
        <f t="shared" si="444"/>
        <v>NA</v>
      </c>
      <c r="BZ267" s="113"/>
      <c r="CA267" s="116">
        <v>2012</v>
      </c>
      <c r="CB267" s="113"/>
      <c r="CC267" s="113"/>
      <c r="CD267" s="113"/>
      <c r="CE267" s="175"/>
      <c r="CF267" s="113">
        <f t="shared" si="500"/>
        <v>17351</v>
      </c>
      <c r="CG267" s="113">
        <f t="shared" si="501"/>
        <v>25.938853052115487</v>
      </c>
      <c r="CH267" s="178">
        <v>0.9135802469135802</v>
      </c>
      <c r="CI267" s="61">
        <f>+CI253*CH267+CG254*CH266+CG255*CH265+CG256*CH264+CG257*CH263+CG258*CH262+CG259*CH261+CG260*CH260+CG261*CH259+CG262*CH258+CG263*CH257+CG264*CH256+CG265*CH255+CG266*CH254+CG267</f>
        <v>1770.2680234376805</v>
      </c>
      <c r="CJ267" s="114">
        <f t="shared" si="502"/>
        <v>6.854901820286495E-3</v>
      </c>
      <c r="CK267" s="114"/>
      <c r="CL267" s="169">
        <f t="shared" si="503"/>
        <v>7.8748365352155261E-3</v>
      </c>
      <c r="CM267" s="169">
        <f t="shared" si="511"/>
        <v>7.5827832438905111E-3</v>
      </c>
      <c r="CN267" s="114">
        <f>VLOOKUP($H267,RoR!$E:$F,2,FALSE)</f>
        <v>3.6733333333333333E-2</v>
      </c>
      <c r="CO267" s="169">
        <v>1.924331376386168E-2</v>
      </c>
      <c r="CP267" s="169">
        <f t="shared" si="509"/>
        <v>1.7490019569471653E-2</v>
      </c>
      <c r="CQ267" s="169">
        <f t="shared" si="512"/>
        <v>2.3319158364643114E-2</v>
      </c>
      <c r="CR267" s="169">
        <f t="shared" si="513"/>
        <v>6.7122682943869583E-2</v>
      </c>
      <c r="CS267" s="179">
        <f t="shared" si="504"/>
        <v>0.84940815000000003</v>
      </c>
      <c r="CT267" s="180">
        <f t="shared" si="505"/>
        <v>1.3960631020522127</v>
      </c>
      <c r="CU267" s="180">
        <f t="shared" si="506"/>
        <v>0.29441923774954631</v>
      </c>
      <c r="CV267" s="180">
        <f t="shared" si="507"/>
        <v>0.76377954189366437</v>
      </c>
      <c r="CW267" s="180">
        <f t="shared" si="508"/>
        <v>0.31393465103033691</v>
      </c>
      <c r="CX267" s="181">
        <f>INDEX('State Tax Lookup'!$D$7:$Z$91,MATCH(Calculation!$C267,'State Tax Lookup'!$B$7:$B$91,0),MATCH($H267,'State Tax Lookup'!$D$6:$Z$6,0))</f>
        <v>0.40700500000000001</v>
      </c>
      <c r="CY267" s="72">
        <v>0.37</v>
      </c>
      <c r="CZ267" s="70">
        <f t="shared" si="510"/>
        <v>22.247394427037904</v>
      </c>
      <c r="DA267" s="70">
        <v>20.759737328210988</v>
      </c>
      <c r="DB267" s="69">
        <f t="shared" si="514"/>
        <v>7.500070514042835E-2</v>
      </c>
      <c r="DC267" s="111">
        <f>VLOOKUP($H267,RoR!$E:$F,2,FALSE)</f>
        <v>3.6733333333333333E-2</v>
      </c>
      <c r="DD267" s="216">
        <f>HLOOKUP($H267,'GDP-PI'!$D$8:$CQ$11,3,FALSE)</f>
        <v>1.924331376386168E-2</v>
      </c>
      <c r="DE267" s="111">
        <f>VLOOKUP(H267,'HW Dx Data'!$E:$F,2,FALSE)</f>
        <v>668.91932211262167</v>
      </c>
      <c r="DF267" s="72">
        <f t="shared" si="524"/>
        <v>124.80000000000001</v>
      </c>
      <c r="DG267" s="69">
        <f t="shared" si="525"/>
        <v>3.1955502161869064E-2</v>
      </c>
      <c r="DH267" s="66">
        <f>HLOOKUP(H267,'GDP-PI'!$8:$9,2,FALSE)</f>
        <v>100</v>
      </c>
      <c r="DI267" s="69">
        <f t="shared" si="515"/>
        <v>1.9060502738742411E-2</v>
      </c>
      <c r="EB267"/>
    </row>
    <row r="268" spans="1:132" s="160" customFormat="1" ht="21">
      <c r="A268" s="160" t="s">
        <v>174</v>
      </c>
      <c r="B268" s="161" t="s">
        <v>174</v>
      </c>
      <c r="C268" s="161">
        <v>4057114</v>
      </c>
      <c r="D268" s="161" t="s">
        <v>164</v>
      </c>
      <c r="E268" s="161" t="s">
        <v>3</v>
      </c>
      <c r="F268" s="161"/>
      <c r="G268" s="161" t="s">
        <v>129</v>
      </c>
      <c r="H268" s="162">
        <v>2013</v>
      </c>
      <c r="I268" s="163"/>
      <c r="J268" s="159">
        <f>IFERROR(INDEX('Labor Expenditures'!$F$7:$X$91,MATCH($C268,'Labor Expenditures'!$D$7:$D$91,0),MATCH($G268,'Labor Expenditures'!$F$5:$X$5,0)),"NA")</f>
        <v>10460.506545021377</v>
      </c>
      <c r="K268" s="159">
        <f t="shared" si="516"/>
        <v>82.496108399222223</v>
      </c>
      <c r="L268" s="165">
        <f t="shared" si="522"/>
        <v>0.20537255334784316</v>
      </c>
      <c r="M268" s="76">
        <f t="shared" si="526"/>
        <v>1.1886370139962447E-3</v>
      </c>
      <c r="N268" s="62">
        <f t="shared" si="532"/>
        <v>108.03424381589502</v>
      </c>
      <c r="O268" s="96">
        <f t="shared" si="527"/>
        <v>-5.9807453916713146E-2</v>
      </c>
      <c r="P268" s="96"/>
      <c r="Q268" s="159">
        <f>IFERROR(INDEX('Non-Labor Expenditures'!$F$7:$AB$91,MATCH($C268,'Non-Labor Expenditures'!$D$7:$D$91,0),MATCH($G268,'Non-Labor Expenditures'!$F$5:$AB$5,0)),"NA")</f>
        <v>15148.767230313842</v>
      </c>
      <c r="R268" s="159">
        <f t="shared" si="517"/>
        <v>148.84858685814353</v>
      </c>
      <c r="S268" s="165">
        <f t="shared" si="528"/>
        <v>0.20369648239913049</v>
      </c>
      <c r="T268" s="165">
        <f t="shared" si="529"/>
        <v>1.178936399502012E-3</v>
      </c>
      <c r="U268" s="165"/>
      <c r="V268" s="165"/>
      <c r="W268" s="159">
        <f t="shared" si="498"/>
        <v>38583.581860328348</v>
      </c>
      <c r="X268" s="163"/>
      <c r="Y268" s="167">
        <v>1775.1909458958817</v>
      </c>
      <c r="Z268" s="168">
        <v>2.7770315011626519E-3</v>
      </c>
      <c r="AA268" s="76">
        <f t="shared" si="518"/>
        <v>1.607265614370933E-5</v>
      </c>
      <c r="AB268" s="168"/>
      <c r="AC268" s="168"/>
      <c r="AD268" s="163">
        <f t="shared" si="465"/>
        <v>64192.855635663567</v>
      </c>
      <c r="AE268" s="168">
        <f t="shared" si="530"/>
        <v>7.3555076639028175E-2</v>
      </c>
      <c r="AF268" s="163"/>
      <c r="AG268" s="163"/>
      <c r="AH268" s="163"/>
      <c r="AI268" s="163"/>
      <c r="AJ268" s="116">
        <f t="shared" si="531"/>
        <v>319.45962335232838</v>
      </c>
      <c r="AK268" s="114">
        <f>+AV268/$AX$18</f>
        <v>5.5906560906550887E-3</v>
      </c>
      <c r="AL268" s="115">
        <f t="shared" si="519"/>
        <v>0.16295437305969984</v>
      </c>
      <c r="AM268" s="115">
        <f t="shared" si="520"/>
        <v>0.23598836786905075</v>
      </c>
      <c r="AN268" s="115">
        <f t="shared" si="521"/>
        <v>0.60105725907124941</v>
      </c>
      <c r="AO268" s="115">
        <f t="shared" si="533"/>
        <v>7.5937907874433275E-2</v>
      </c>
      <c r="AP268" s="166">
        <f t="shared" si="535"/>
        <v>103.61734469368713</v>
      </c>
      <c r="AQ268" s="168">
        <f t="shared" si="536"/>
        <v>7.5937907874433178E-2</v>
      </c>
      <c r="AR268" s="69">
        <f>+AD268/$AF$18</f>
        <v>5.7877111357866259E-3</v>
      </c>
      <c r="AS268" s="169">
        <f t="shared" si="534"/>
        <v>4.3950667503319583E-4</v>
      </c>
      <c r="AT268" s="115"/>
      <c r="AU268" s="115"/>
      <c r="AV268" s="113">
        <f>IFERROR(INDEX('Total Customers'!$F$7:$AB$91,MATCH($C268,'Total Customers'!$D$7:$D$91,0),MATCH($G268,'Total Customers'!$F$5:$AB$5,0)),"NA")</f>
        <v>200942</v>
      </c>
      <c r="AW268" s="68">
        <f t="shared" si="523"/>
        <v>1.3946570463260659E-2</v>
      </c>
      <c r="AX268" s="114"/>
      <c r="AY268" s="114"/>
      <c r="AZ268" s="116">
        <v>8534921</v>
      </c>
      <c r="BA268" s="116"/>
      <c r="BB268" s="166"/>
      <c r="BC268" s="166"/>
      <c r="BD268" s="166"/>
      <c r="BE268" s="166"/>
      <c r="BF268" s="166"/>
      <c r="BG268" s="166"/>
      <c r="BH268" s="166"/>
      <c r="BI268" s="113"/>
      <c r="BJ268" s="113"/>
      <c r="BK268" s="113">
        <f>INDEX('Dist. Plant Gas Additions'!$F$7:$AE$91,MATCH($C268,'Dist. Plant Gas Additions'!$D$7:$D$91,0),MATCH(Calculation!$G268,'Dist. Plant Gas Additions'!$F$5:$AE$5,0))</f>
        <v>11885</v>
      </c>
      <c r="BL268" s="113">
        <f>INDEX('Gen. Plant Additions'!$F$7:$AE$91,MATCH($C268,'Gen. Plant Additions'!$D$7:$D$91,0),MATCH(Calculation!$G268,'Gen. Plant Additions'!$F$5:$AE$5,0))</f>
        <v>989</v>
      </c>
      <c r="BM268" s="231">
        <f t="shared" si="499"/>
        <v>0.93645399900187865</v>
      </c>
      <c r="BN268" s="61">
        <f t="shared" si="496"/>
        <v>926.15300501285799</v>
      </c>
      <c r="BO268" s="113" t="str">
        <f>INDEX('Dist Plant Depreciation'!$E$7:$AD$94,MATCH($C268,'Dist Plant Depreciation'!$D$7:$D$94,0),MATCH(Calculation!$G268,'Dist Plant Depreciation'!$E$5:$AD$5,0))</f>
        <v>NA</v>
      </c>
      <c r="BP268" s="113" t="str">
        <f>INDEX('Gen. Plant Depreciation'!$E$7:$AD$94,MATCH($C268,'Gen. Plant Depreciation'!$D$7:$D$94,0),MATCH(Calculation!$G268,'Gen. Plant Depreciation'!$E$5:$AD$5,0))</f>
        <v>NA</v>
      </c>
      <c r="BQ268" s="113"/>
      <c r="BR268" s="113"/>
      <c r="BS268" s="113"/>
      <c r="BT268" s="113"/>
      <c r="BU268" s="113"/>
      <c r="BV268" s="113"/>
      <c r="BW268" s="113">
        <f>INDEX('Gross Dx Plant'!$E$7:$AD$91,MATCH($C268,'Gross Dx Plant'!$D$7:$D$91,0),MATCH(Calculation!$G268,'Gross Dx Plant'!$E$5:$AD$5,0))</f>
        <v>294600</v>
      </c>
      <c r="BX268" s="113">
        <f>INDEX('Gross Gen Plant'!$E$7:$AD$91,MATCH($C268,'Gross Gen Plant'!$D$7:$D$91,0),MATCH(Calculation!$G268,'Gross Gen Plant'!$E$5:$AD$5,0))</f>
        <v>19991</v>
      </c>
      <c r="BY268" s="113" t="str">
        <f t="shared" si="444"/>
        <v>NA</v>
      </c>
      <c r="BZ268" s="113"/>
      <c r="CA268" s="116">
        <v>2013</v>
      </c>
      <c r="CB268" s="113"/>
      <c r="CC268" s="113"/>
      <c r="CD268" s="113"/>
      <c r="CE268" s="175"/>
      <c r="CF268" s="113">
        <f t="shared" si="500"/>
        <v>12874</v>
      </c>
      <c r="CG268" s="113">
        <f t="shared" si="501"/>
        <v>19.410525367978096</v>
      </c>
      <c r="CH268" s="178">
        <v>0.90566037735849059</v>
      </c>
      <c r="CI268" s="61">
        <f>+CI253*CH268+CG254*CH267+CG255*CH266+CG256*CH265+CG257*CH264+CG258*CH263+CG259*CH262+CG260*CH261+CG261*CH260+CG262*CH259+CG263*CH258+CG264*CH257+CG265*CH256+CG266*CH255+CG267*CH254+CG268</f>
        <v>1775.1909458958817</v>
      </c>
      <c r="CJ268" s="114">
        <f t="shared" si="502"/>
        <v>2.7770315011626519E-3</v>
      </c>
      <c r="CK268" s="114"/>
      <c r="CL268" s="169">
        <f t="shared" si="503"/>
        <v>8.1838471451591357E-3</v>
      </c>
      <c r="CM268" s="169">
        <f t="shared" si="511"/>
        <v>7.8799585372138076E-3</v>
      </c>
      <c r="CN268" s="114">
        <f>VLOOKUP($H268,RoR!$E:$F,2,FALSE)</f>
        <v>4.2350000000000006E-2</v>
      </c>
      <c r="CO268" s="169">
        <v>1.7730000000000024E-2</v>
      </c>
      <c r="CP268" s="169">
        <f t="shared" si="509"/>
        <v>2.4619999999999982E-2</v>
      </c>
      <c r="CQ268" s="169">
        <f t="shared" si="512"/>
        <v>2.3021983071319817E-2</v>
      </c>
      <c r="CR268" s="169">
        <f t="shared" si="513"/>
        <v>5.3376742735721204E-2</v>
      </c>
      <c r="CS268" s="179">
        <f t="shared" si="504"/>
        <v>0.84940815000000003</v>
      </c>
      <c r="CT268" s="180">
        <f t="shared" si="505"/>
        <v>1.2109103018193925</v>
      </c>
      <c r="CU268" s="180">
        <f t="shared" si="506"/>
        <v>0.38468122786304604</v>
      </c>
      <c r="CV268" s="180">
        <f t="shared" si="507"/>
        <v>0.80969194503422559</v>
      </c>
      <c r="CW268" s="180">
        <f t="shared" si="508"/>
        <v>0.37716621754800816</v>
      </c>
      <c r="CX268" s="181">
        <f>INDEX('State Tax Lookup'!$D$7:$Z$91,MATCH(Calculation!$C268,'State Tax Lookup'!$B$7:$B$91,0),MATCH($H268,'State Tax Lookup'!$D$6:$Z$6,0))</f>
        <v>0.40700500000000001</v>
      </c>
      <c r="CY268" s="72">
        <v>0.37</v>
      </c>
      <c r="CZ268" s="70">
        <f t="shared" si="510"/>
        <v>21.795333446402626</v>
      </c>
      <c r="DA268" s="70">
        <v>20.339519021246105</v>
      </c>
      <c r="DB268" s="69">
        <f t="shared" si="514"/>
        <v>-2.0529012563341456E-2</v>
      </c>
      <c r="DC268" s="111">
        <f>VLOOKUP($H268,RoR!$E:$F,2,FALSE)</f>
        <v>4.2350000000000006E-2</v>
      </c>
      <c r="DD268" s="216">
        <f>HLOOKUP($H268,'GDP-PI'!$D$8:$CQ$11,3,FALSE)</f>
        <v>1.7730000000000024E-2</v>
      </c>
      <c r="DE268" s="111">
        <f>VLOOKUP(H268,'HW Dx Data'!$E:$F,2,FALSE)</f>
        <v>663.24840548821396</v>
      </c>
      <c r="DF268" s="72">
        <f t="shared" si="524"/>
        <v>126.8</v>
      </c>
      <c r="DG268" s="69">
        <f t="shared" si="525"/>
        <v>1.5898586067798204E-2</v>
      </c>
      <c r="DH268" s="66">
        <f>HLOOKUP(H268,'GDP-PI'!$8:$9,2,FALSE)</f>
        <v>101.773</v>
      </c>
      <c r="DI268" s="69">
        <f t="shared" si="515"/>
        <v>1.7574657016510519E-2</v>
      </c>
      <c r="EB268"/>
    </row>
    <row r="269" spans="1:132" s="160" customFormat="1" ht="21">
      <c r="A269" s="160" t="s">
        <v>174</v>
      </c>
      <c r="B269" s="161" t="s">
        <v>174</v>
      </c>
      <c r="C269" s="161">
        <v>4057114</v>
      </c>
      <c r="D269" s="161" t="s">
        <v>164</v>
      </c>
      <c r="E269" s="161" t="s">
        <v>3</v>
      </c>
      <c r="F269" s="161"/>
      <c r="G269" s="161" t="s">
        <v>130</v>
      </c>
      <c r="H269" s="162">
        <v>2014</v>
      </c>
      <c r="I269" s="163"/>
      <c r="J269" s="159">
        <f>IFERROR(INDEX('Labor Expenditures'!$F$7:$X$91,MATCH($C269,'Labor Expenditures'!$D$7:$D$91,0),MATCH($G269,'Labor Expenditures'!$F$5:$X$5,0)),"NA")</f>
        <v>10814.407376252071</v>
      </c>
      <c r="K269" s="159">
        <f t="shared" si="516"/>
        <v>83.573472768563136</v>
      </c>
      <c r="L269" s="165">
        <f t="shared" si="522"/>
        <v>1.2975037046389692E-2</v>
      </c>
      <c r="M269" s="76">
        <f t="shared" si="526"/>
        <v>7.5103811397578916E-5</v>
      </c>
      <c r="N269" s="62">
        <f t="shared" si="532"/>
        <v>120.90443194811053</v>
      </c>
      <c r="O269" s="96">
        <f t="shared" si="527"/>
        <v>0.11255216567823749</v>
      </c>
      <c r="P269" s="96"/>
      <c r="Q269" s="159">
        <f>IFERROR(INDEX('Non-Labor Expenditures'!$F$7:$AB$91,MATCH($C269,'Non-Labor Expenditures'!$D$7:$D$91,0),MATCH($G269,'Non-Labor Expenditures'!$F$5:$AB$5,0)),"NA")</f>
        <v>15661.281733493423</v>
      </c>
      <c r="R269" s="159">
        <f t="shared" si="517"/>
        <v>151.10212291232185</v>
      </c>
      <c r="S269" s="165">
        <f t="shared" si="528"/>
        <v>1.5026325211808689E-2</v>
      </c>
      <c r="T269" s="165">
        <f t="shared" si="529"/>
        <v>8.6977346628877624E-5</v>
      </c>
      <c r="U269" s="165"/>
      <c r="V269" s="165"/>
      <c r="W269" s="159">
        <f t="shared" si="498"/>
        <v>39422.964172127664</v>
      </c>
      <c r="X269" s="163"/>
      <c r="Y269" s="167">
        <v>1784.8855922718926</v>
      </c>
      <c r="Z269" s="168">
        <v>5.4463269179734252E-3</v>
      </c>
      <c r="AA269" s="76">
        <f t="shared" si="518"/>
        <v>3.1525143873932049E-5</v>
      </c>
      <c r="AB269" s="168"/>
      <c r="AC269" s="168"/>
      <c r="AD269" s="163">
        <f t="shared" si="465"/>
        <v>65898.65328187315</v>
      </c>
      <c r="AE269" s="168">
        <f t="shared" si="530"/>
        <v>2.6226083946315013E-2</v>
      </c>
      <c r="AF269" s="163"/>
      <c r="AG269" s="163"/>
      <c r="AH269" s="163"/>
      <c r="AI269" s="163"/>
      <c r="AJ269" s="116">
        <f t="shared" si="531"/>
        <v>323.19738141931748</v>
      </c>
      <c r="AK269" s="114">
        <f>+AV269/$AX$19</f>
        <v>5.6425289541579115E-3</v>
      </c>
      <c r="AL269" s="115">
        <f t="shared" si="519"/>
        <v>0.16410665222542276</v>
      </c>
      <c r="AM269" s="115">
        <f t="shared" si="520"/>
        <v>0.23765708331707891</v>
      </c>
      <c r="AN269" s="115">
        <f t="shared" si="521"/>
        <v>0.59823626445749845</v>
      </c>
      <c r="AO269" s="115">
        <f t="shared" si="533"/>
        <v>5.6803897520606517E-3</v>
      </c>
      <c r="AP269" s="166">
        <f t="shared" si="535"/>
        <v>104.20760646793221</v>
      </c>
      <c r="AQ269" s="168">
        <f t="shared" si="536"/>
        <v>5.6803897520605528E-3</v>
      </c>
      <c r="AR269" s="69">
        <f>+AD269/$AF$19</f>
        <v>5.7883311723165038E-3</v>
      </c>
      <c r="AS269" s="169">
        <f t="shared" si="534"/>
        <v>3.2879977072759311E-5</v>
      </c>
      <c r="AT269" s="115"/>
      <c r="AU269" s="115"/>
      <c r="AV269" s="113">
        <f>IFERROR(INDEX('Total Customers'!$F$7:$AB$91,MATCH($C269,'Total Customers'!$D$7:$D$91,0),MATCH($G269,'Total Customers'!$F$5:$AB$5,0)),"NA")</f>
        <v>203896</v>
      </c>
      <c r="AW269" s="68">
        <f t="shared" si="523"/>
        <v>1.459375072394384E-2</v>
      </c>
      <c r="AX269" s="114"/>
      <c r="AY269" s="114"/>
      <c r="AZ269" s="116">
        <v>8599754</v>
      </c>
      <c r="BA269" s="116"/>
      <c r="BB269" s="166"/>
      <c r="BC269" s="166"/>
      <c r="BD269" s="166"/>
      <c r="BE269" s="166"/>
      <c r="BF269" s="166"/>
      <c r="BG269" s="166"/>
      <c r="BH269" s="166"/>
      <c r="BI269" s="113"/>
      <c r="BJ269" s="113"/>
      <c r="BK269" s="113">
        <f>INDEX('Dist. Plant Gas Additions'!$F$7:$AE$91,MATCH($C269,'Dist. Plant Gas Additions'!$D$7:$D$91,0),MATCH(Calculation!$G269,'Dist. Plant Gas Additions'!$F$5:$AE$5,0))</f>
        <v>15374</v>
      </c>
      <c r="BL269" s="113">
        <f>INDEX('Gen. Plant Additions'!$F$7:$AE$91,MATCH($C269,'Gen. Plant Additions'!$D$7:$D$91,0),MATCH(Calculation!$G269,'Gen. Plant Additions'!$F$5:$AE$5,0))</f>
        <v>1618</v>
      </c>
      <c r="BM269" s="231">
        <f t="shared" si="499"/>
        <v>0.93341762782951954</v>
      </c>
      <c r="BN269" s="61">
        <f t="shared" si="496"/>
        <v>1510.2697218281626</v>
      </c>
      <c r="BO269" s="113" t="str">
        <f>INDEX('Dist Plant Depreciation'!$E$7:$AD$94,MATCH($C269,'Dist Plant Depreciation'!$D$7:$D$94,0),MATCH(Calculation!$G269,'Dist Plant Depreciation'!$E$5:$AD$5,0))</f>
        <v>NA</v>
      </c>
      <c r="BP269" s="113" t="str">
        <f>INDEX('Gen. Plant Depreciation'!$E$7:$AD$94,MATCH($C269,'Gen. Plant Depreciation'!$D$7:$D$94,0),MATCH(Calculation!$G269,'Gen. Plant Depreciation'!$E$5:$AD$5,0))</f>
        <v>NA</v>
      </c>
      <c r="BQ269" s="113"/>
      <c r="BR269" s="113"/>
      <c r="BS269" s="113"/>
      <c r="BT269" s="113"/>
      <c r="BU269" s="113"/>
      <c r="BV269" s="113"/>
      <c r="BW269" s="113">
        <f>INDEX('Gross Dx Plant'!$E$7:$AD$91,MATCH($C269,'Gross Dx Plant'!$D$7:$D$91,0),MATCH(Calculation!$G269,'Gross Dx Plant'!$E$5:$AD$5,0))</f>
        <v>302670</v>
      </c>
      <c r="BX269" s="113">
        <f>INDEX('Gross Gen Plant'!$E$7:$AD$91,MATCH($C269,'Gross Gen Plant'!$D$7:$D$91,0),MATCH(Calculation!$G269,'Gross Gen Plant'!$E$5:$AD$5,0))</f>
        <v>21590</v>
      </c>
      <c r="BY269" s="113" t="str">
        <f t="shared" si="444"/>
        <v>NA</v>
      </c>
      <c r="BZ269" s="113"/>
      <c r="CA269" s="116">
        <v>2014</v>
      </c>
      <c r="CB269" s="113"/>
      <c r="CC269" s="113"/>
      <c r="CD269" s="113"/>
      <c r="CE269" s="175"/>
      <c r="CF269" s="113">
        <f t="shared" si="500"/>
        <v>16992</v>
      </c>
      <c r="CG269" s="113">
        <f t="shared" si="501"/>
        <v>24.825078204749861</v>
      </c>
      <c r="CH269" s="178">
        <v>0.89743589743589747</v>
      </c>
      <c r="CI269" s="61">
        <f>+CI253*CH269+CG254*CH268+CG255*CH267+CG256*CH266+CG257*CH265+CG258*CH264+CG259*CH263+CG260*CH262+CG261*CH261+CG262*CH260+CG263*CH259+CG264*CH258+CG265*CH257+CG266*CH256+CG267*CH255+CG268*CH254+CG269</f>
        <v>1784.8855922718926</v>
      </c>
      <c r="CJ269" s="114">
        <f t="shared" si="502"/>
        <v>5.4463269179734252E-3</v>
      </c>
      <c r="CK269" s="114"/>
      <c r="CL269" s="169">
        <f t="shared" si="503"/>
        <v>8.5232700536916426E-3</v>
      </c>
      <c r="CM269" s="169">
        <f t="shared" si="511"/>
        <v>8.193984578022102E-3</v>
      </c>
      <c r="CN269" s="114">
        <f>VLOOKUP($H269,RoR!$E:$F,2,FALSE)</f>
        <v>4.1625000000000002E-2</v>
      </c>
      <c r="CO269" s="169">
        <v>1.841352814597208E-2</v>
      </c>
      <c r="CP269" s="169">
        <f t="shared" si="509"/>
        <v>2.3211471854027922E-2</v>
      </c>
      <c r="CQ269" s="169">
        <f t="shared" si="512"/>
        <v>2.2707957030511525E-2</v>
      </c>
      <c r="CR269" s="169">
        <f t="shared" si="513"/>
        <v>3.9072621432650924E-2</v>
      </c>
      <c r="CS269" s="179">
        <f t="shared" si="504"/>
        <v>0.84940815000000003</v>
      </c>
      <c r="CT269" s="180">
        <f t="shared" si="505"/>
        <v>1.2320012320012319</v>
      </c>
      <c r="CU269" s="180">
        <f t="shared" si="506"/>
        <v>0.37439939939939942</v>
      </c>
      <c r="CV269" s="180">
        <f t="shared" si="507"/>
        <v>0.80432100613819935</v>
      </c>
      <c r="CW269" s="180">
        <f t="shared" si="508"/>
        <v>0.37100152660040037</v>
      </c>
      <c r="CX269" s="181">
        <f>INDEX('State Tax Lookup'!$D$7:$Z$91,MATCH(Calculation!$C269,'State Tax Lookup'!$B$7:$B$91,0),MATCH($H269,'State Tax Lookup'!$D$6:$Z$6,0))</f>
        <v>0.40700500000000001</v>
      </c>
      <c r="CY269" s="72">
        <v>0.37</v>
      </c>
      <c r="CZ269" s="70">
        <f t="shared" si="510"/>
        <v>22.207731660231154</v>
      </c>
      <c r="DA269" s="70">
        <v>20.763592984765573</v>
      </c>
      <c r="DB269" s="69">
        <f t="shared" si="514"/>
        <v>1.8744616439800021E-2</v>
      </c>
      <c r="DC269" s="111">
        <f>VLOOKUP($H269,RoR!$E:$F,2,FALSE)</f>
        <v>4.1625000000000002E-2</v>
      </c>
      <c r="DD269" s="216">
        <f>HLOOKUP($H269,'GDP-PI'!$D$8:$CQ$11,3,FALSE)</f>
        <v>1.841352814597208E-2</v>
      </c>
      <c r="DE269" s="111">
        <f>VLOOKUP(H269,'HW Dx Data'!$E:$F,2,FALSE)</f>
        <v>684.46914285042885</v>
      </c>
      <c r="DF269" s="72">
        <f t="shared" si="524"/>
        <v>129.4</v>
      </c>
      <c r="DG269" s="69">
        <f t="shared" si="525"/>
        <v>2.0297340063674733E-2</v>
      </c>
      <c r="DH269" s="66">
        <f>HLOOKUP(H269,'GDP-PI'!$8:$9,2,FALSE)</f>
        <v>103.64700000000001</v>
      </c>
      <c r="DI269" s="69">
        <f t="shared" si="515"/>
        <v>1.8246051898256087E-2</v>
      </c>
      <c r="EB269"/>
    </row>
    <row r="270" spans="1:132" s="160" customFormat="1" ht="21">
      <c r="A270" s="160" t="s">
        <v>174</v>
      </c>
      <c r="B270" s="161" t="s">
        <v>174</v>
      </c>
      <c r="C270" s="161">
        <v>4057114</v>
      </c>
      <c r="D270" s="161" t="s">
        <v>164</v>
      </c>
      <c r="E270" s="161" t="s">
        <v>3</v>
      </c>
      <c r="F270" s="161"/>
      <c r="G270" s="161" t="s">
        <v>132</v>
      </c>
      <c r="H270" s="162">
        <v>2015</v>
      </c>
      <c r="I270" s="163"/>
      <c r="J270" s="159">
        <f>IFERROR(INDEX('Labor Expenditures'!$F$7:$X$91,MATCH($C270,'Labor Expenditures'!$D$7:$D$91,0),MATCH($G270,'Labor Expenditures'!$F$5:$X$5,0)),"NA")</f>
        <v>10744.200366256906</v>
      </c>
      <c r="K270" s="159">
        <f t="shared" si="516"/>
        <v>80.480901619901914</v>
      </c>
      <c r="L270" s="165">
        <f t="shared" si="522"/>
        <v>-3.7706249036657848E-2</v>
      </c>
      <c r="M270" s="76">
        <f t="shared" si="526"/>
        <v>-2.1299164117159186E-4</v>
      </c>
      <c r="N270" s="62">
        <f t="shared" si="532"/>
        <v>119.2980028228894</v>
      </c>
      <c r="O270" s="96">
        <f t="shared" si="527"/>
        <v>-1.3375826748532131E-2</v>
      </c>
      <c r="P270" s="96"/>
      <c r="Q270" s="159">
        <f>IFERROR(INDEX('Non-Labor Expenditures'!$F$7:$AB$91,MATCH($C270,'Non-Labor Expenditures'!$D$7:$D$91,0),MATCH($G270,'Non-Labor Expenditures'!$F$5:$AB$5,0)),"NA")</f>
        <v>15559.608870159738</v>
      </c>
      <c r="R270" s="159">
        <f t="shared" si="517"/>
        <v>148.69798899224705</v>
      </c>
      <c r="S270" s="165">
        <f t="shared" si="528"/>
        <v>-1.6038589448596704E-2</v>
      </c>
      <c r="T270" s="165">
        <f t="shared" si="529"/>
        <v>-9.0597330045024771E-5</v>
      </c>
      <c r="U270" s="165"/>
      <c r="V270" s="165"/>
      <c r="W270" s="159">
        <f t="shared" si="498"/>
        <v>38641.194035192391</v>
      </c>
      <c r="X270" s="163"/>
      <c r="Y270" s="167">
        <v>1791.2810321298016</v>
      </c>
      <c r="Z270" s="168">
        <v>3.5767050854086653E-3</v>
      </c>
      <c r="AA270" s="76">
        <f t="shared" si="518"/>
        <v>2.020376742824097E-5</v>
      </c>
      <c r="AB270" s="168"/>
      <c r="AC270" s="168"/>
      <c r="AD270" s="163">
        <f t="shared" si="465"/>
        <v>64945.003271609035</v>
      </c>
      <c r="AE270" s="168">
        <f t="shared" si="530"/>
        <v>-1.4577197281918282E-2</v>
      </c>
      <c r="AF270" s="163"/>
      <c r="AG270" s="163"/>
      <c r="AH270" s="163"/>
      <c r="AI270" s="163"/>
      <c r="AJ270" s="116">
        <f t="shared" si="531"/>
        <v>318.16758248306911</v>
      </c>
      <c r="AK270" s="114">
        <f>+AV270/$AX$20</f>
        <v>5.6028512227556757E-3</v>
      </c>
      <c r="AL270" s="115">
        <f t="shared" si="519"/>
        <v>0.16543536569431164</v>
      </c>
      <c r="AM270" s="115">
        <f t="shared" si="520"/>
        <v>0.23958130858947363</v>
      </c>
      <c r="AN270" s="115">
        <f t="shared" si="521"/>
        <v>0.59498332571621471</v>
      </c>
      <c r="AO270" s="115">
        <f t="shared" si="533"/>
        <v>-1.004001201631098E-2</v>
      </c>
      <c r="AP270" s="166">
        <f t="shared" si="535"/>
        <v>103.16659547289022</v>
      </c>
      <c r="AQ270" s="168">
        <f t="shared" si="536"/>
        <v>-1.0040012016311108E-2</v>
      </c>
      <c r="AR270" s="69">
        <f>+AD270/$AF$20</f>
        <v>5.6487093416404885E-3</v>
      </c>
      <c r="AS270" s="169">
        <f t="shared" si="534"/>
        <v>-5.6713109666719313E-5</v>
      </c>
      <c r="AT270" s="115"/>
      <c r="AU270" s="115"/>
      <c r="AV270" s="113">
        <f>IFERROR(INDEX('Total Customers'!$F$7:$AB$91,MATCH($C270,'Total Customers'!$D$7:$D$91,0),MATCH($G270,'Total Customers'!$F$5:$AB$5,0)),"NA")</f>
        <v>204122</v>
      </c>
      <c r="AW270" s="68">
        <f t="shared" si="523"/>
        <v>1.107794377269748E-3</v>
      </c>
      <c r="AX270" s="114"/>
      <c r="AY270" s="114"/>
      <c r="AZ270" s="116">
        <v>8659109</v>
      </c>
      <c r="BA270" s="116"/>
      <c r="BB270" s="166"/>
      <c r="BC270" s="166"/>
      <c r="BD270" s="166"/>
      <c r="BE270" s="166"/>
      <c r="BF270" s="166"/>
      <c r="BG270" s="166"/>
      <c r="BH270" s="166"/>
      <c r="BI270" s="113"/>
      <c r="BJ270" s="113"/>
      <c r="BK270" s="113">
        <f>INDEX('Dist. Plant Gas Additions'!$F$7:$AE$91,MATCH($C270,'Dist. Plant Gas Additions'!$D$7:$D$91,0),MATCH(Calculation!$G270,'Dist. Plant Gas Additions'!$F$5:$AE$5,0))</f>
        <v>12714</v>
      </c>
      <c r="BL270" s="113">
        <f>INDEX('Gen. Plant Additions'!$F$7:$AE$91,MATCH($C270,'Gen. Plant Additions'!$D$7:$D$91,0),MATCH(Calculation!$G270,'Gen. Plant Additions'!$F$5:$AE$5,0))</f>
        <v>2305</v>
      </c>
      <c r="BM270" s="231">
        <f t="shared" si="499"/>
        <v>0.92813892517626617</v>
      </c>
      <c r="BN270" s="61">
        <f t="shared" si="496"/>
        <v>2139.3602225312934</v>
      </c>
      <c r="BO270" s="113" t="str">
        <f>INDEX('Dist Plant Depreciation'!$E$7:$AD$94,MATCH($C270,'Dist Plant Depreciation'!$D$7:$D$94,0),MATCH(Calculation!$G270,'Dist Plant Depreciation'!$E$5:$AD$5,0))</f>
        <v>NA</v>
      </c>
      <c r="BP270" s="113" t="str">
        <f>INDEX('Gen. Plant Depreciation'!$E$7:$AD$94,MATCH($C270,'Gen. Plant Depreciation'!$D$7:$D$94,0),MATCH(Calculation!$G270,'Gen. Plant Depreciation'!$E$5:$AD$5,0))</f>
        <v>NA</v>
      </c>
      <c r="BQ270" s="113"/>
      <c r="BR270" s="113"/>
      <c r="BS270" s="113"/>
      <c r="BT270" s="113"/>
      <c r="BU270" s="113"/>
      <c r="BV270" s="113"/>
      <c r="BW270" s="113">
        <f>INDEX('Gross Dx Plant'!$E$7:$AD$91,MATCH($C270,'Gross Dx Plant'!$D$7:$D$91,0),MATCH(Calculation!$G270,'Gross Dx Plant'!$E$5:$AD$5,0))</f>
        <v>307640</v>
      </c>
      <c r="BX270" s="113">
        <f>INDEX('Gross Gen Plant'!$E$7:$AD$91,MATCH($C270,'Gross Gen Plant'!$D$7:$D$91,0),MATCH(Calculation!$G270,'Gross Gen Plant'!$E$5:$AD$5,0))</f>
        <v>23819</v>
      </c>
      <c r="BY270" s="113" t="str">
        <f t="shared" si="444"/>
        <v>NA</v>
      </c>
      <c r="BZ270" s="113"/>
      <c r="CA270" s="116">
        <v>2015</v>
      </c>
      <c r="CB270" s="113"/>
      <c r="CC270" s="113"/>
      <c r="CD270" s="113"/>
      <c r="CE270" s="175"/>
      <c r="CF270" s="113">
        <f t="shared" si="500"/>
        <v>15019</v>
      </c>
      <c r="CG270" s="113">
        <f t="shared" si="501"/>
        <v>22.230128337190095</v>
      </c>
      <c r="CH270" s="178">
        <v>0.88888888888888884</v>
      </c>
      <c r="CI270" s="61">
        <f>+CI253*CH270+CG254*CH269+CG255*CH268+CG256*CH267+CG257*CH266+CG258*CH265+CG259*CH264+CG260*CH263+CG261*CH262+CG262*CH261+CG263*CH260+CG264*CH259+CG265*CH258+CG266*CH257+CG267*CH256+CG268*CH255+CG269*CH254+CG270</f>
        <v>1791.2810321298016</v>
      </c>
      <c r="CJ270" s="114">
        <f t="shared" si="502"/>
        <v>3.5767050854086653E-3</v>
      </c>
      <c r="CK270" s="114"/>
      <c r="CL270" s="169">
        <f t="shared" si="503"/>
        <v>8.8715425503132304E-3</v>
      </c>
      <c r="CM270" s="169">
        <f t="shared" si="511"/>
        <v>8.5262199163880035E-3</v>
      </c>
      <c r="CN270" s="114">
        <f>VLOOKUP($H270,RoR!$E:$F,2,FALSE)</f>
        <v>3.8866666666666674E-2</v>
      </c>
      <c r="CO270" s="169">
        <v>9.5709475431029478E-3</v>
      </c>
      <c r="CP270" s="169">
        <f t="shared" si="509"/>
        <v>2.9295719123563727E-2</v>
      </c>
      <c r="CQ270" s="169">
        <f t="shared" si="512"/>
        <v>2.237572169214562E-2</v>
      </c>
      <c r="CR270" s="169">
        <f t="shared" si="513"/>
        <v>3.5270373279175926E-3</v>
      </c>
      <c r="CS270" s="179">
        <f t="shared" si="504"/>
        <v>0.84940815000000003</v>
      </c>
      <c r="CT270" s="180">
        <f t="shared" si="505"/>
        <v>1.3194352816994324</v>
      </c>
      <c r="CU270" s="180">
        <f t="shared" si="506"/>
        <v>0.33177530017152673</v>
      </c>
      <c r="CV270" s="180">
        <f t="shared" si="507"/>
        <v>0.78242572977668579</v>
      </c>
      <c r="CW270" s="180">
        <f t="shared" si="508"/>
        <v>0.34251158643433932</v>
      </c>
      <c r="CX270" s="181">
        <f>INDEX('State Tax Lookup'!$D$7:$Z$91,MATCH(Calculation!$C270,'State Tax Lookup'!$B$7:$B$91,0),MATCH($H270,'State Tax Lookup'!$D$6:$Z$6,0))</f>
        <v>0.40700500000000001</v>
      </c>
      <c r="CY270" s="72">
        <v>0.37</v>
      </c>
      <c r="CZ270" s="70">
        <f t="shared" si="510"/>
        <v>21.64911532845527</v>
      </c>
      <c r="DA270" s="70">
        <v>20.279488671080099</v>
      </c>
      <c r="DB270" s="69">
        <f t="shared" si="514"/>
        <v>-2.5475910042062216E-2</v>
      </c>
      <c r="DC270" s="111">
        <f>VLOOKUP($H270,RoR!$E:$F,2,FALSE)</f>
        <v>3.8866666666666674E-2</v>
      </c>
      <c r="DD270" s="216">
        <f>HLOOKUP($H270,'GDP-PI'!$D$8:$CQ$11,3,FALSE)</f>
        <v>9.5709475431029478E-3</v>
      </c>
      <c r="DE270" s="111">
        <f>VLOOKUP(H270,'HW Dx Data'!$E:$F,2,FALSE)</f>
        <v>675.61463308665782</v>
      </c>
      <c r="DF270" s="72">
        <f t="shared" si="524"/>
        <v>133.5</v>
      </c>
      <c r="DG270" s="69">
        <f t="shared" si="525"/>
        <v>3.1193095773504077E-2</v>
      </c>
      <c r="DH270" s="66">
        <f>HLOOKUP(H270,'GDP-PI'!$8:$9,2,FALSE)</f>
        <v>104.639</v>
      </c>
      <c r="DI270" s="69">
        <f t="shared" si="515"/>
        <v>9.5254361854427965E-3</v>
      </c>
      <c r="EB270"/>
    </row>
    <row r="271" spans="1:132" s="160" customFormat="1" ht="21">
      <c r="A271" s="160" t="s">
        <v>174</v>
      </c>
      <c r="B271" s="161" t="s">
        <v>174</v>
      </c>
      <c r="C271" s="161">
        <v>4057114</v>
      </c>
      <c r="D271" s="161" t="s">
        <v>164</v>
      </c>
      <c r="E271" s="161" t="s">
        <v>3</v>
      </c>
      <c r="F271" s="161"/>
      <c r="G271" s="161" t="s">
        <v>133</v>
      </c>
      <c r="H271" s="162">
        <v>2016</v>
      </c>
      <c r="I271" s="163"/>
      <c r="J271" s="159">
        <f>IFERROR(INDEX('Labor Expenditures'!$F$7:$X$91,MATCH($C271,'Labor Expenditures'!$D$7:$D$91,0),MATCH($G271,'Labor Expenditures'!$F$5:$X$5,0)),"NA")</f>
        <v>11487.015952919062</v>
      </c>
      <c r="K271" s="159">
        <f t="shared" si="516"/>
        <v>83.877443978963584</v>
      </c>
      <c r="L271" s="165">
        <f t="shared" si="522"/>
        <v>4.1336823896365435E-2</v>
      </c>
      <c r="M271" s="76">
        <f t="shared" si="526"/>
        <v>2.2948284551605792E-4</v>
      </c>
      <c r="N271" s="62">
        <f t="shared" si="532"/>
        <v>297.27096335172979</v>
      </c>
      <c r="O271" s="96">
        <f t="shared" si="527"/>
        <v>0.91301946922962485</v>
      </c>
      <c r="P271" s="96"/>
      <c r="Q271" s="159">
        <f>IFERROR(INDEX('Non-Labor Expenditures'!$F$7:$AB$91,MATCH($C271,'Non-Labor Expenditures'!$D$7:$D$91,0),MATCH($G271,'Non-Labor Expenditures'!$F$5:$AB$5,0)),"NA")</f>
        <v>16635.344578460565</v>
      </c>
      <c r="R271" s="159">
        <f t="shared" si="517"/>
        <v>157.32905139650228</v>
      </c>
      <c r="S271" s="165">
        <f t="shared" si="528"/>
        <v>5.6422151397943258E-2</v>
      </c>
      <c r="T271" s="165">
        <f t="shared" si="529"/>
        <v>3.1322957674250097E-4</v>
      </c>
      <c r="U271" s="165"/>
      <c r="V271" s="165"/>
      <c r="W271" s="159">
        <f t="shared" si="498"/>
        <v>37928.382715683496</v>
      </c>
      <c r="X271" s="163"/>
      <c r="Y271" s="167">
        <v>1800.9332191873921</v>
      </c>
      <c r="Z271" s="168">
        <v>5.3739613572342101E-3</v>
      </c>
      <c r="AA271" s="76">
        <f t="shared" si="518"/>
        <v>2.983373727607253E-5</v>
      </c>
      <c r="AB271" s="168"/>
      <c r="AC271" s="168"/>
      <c r="AD271" s="163">
        <f t="shared" si="465"/>
        <v>66050.743247063132</v>
      </c>
      <c r="AE271" s="168">
        <f t="shared" si="530"/>
        <v>1.68824754649986E-2</v>
      </c>
      <c r="AF271" s="163"/>
      <c r="AG271" s="163"/>
      <c r="AH271" s="163"/>
      <c r="AI271" s="163"/>
      <c r="AJ271" s="116">
        <f t="shared" si="531"/>
        <v>312.98923029238756</v>
      </c>
      <c r="AK271" s="114">
        <f>+AV271/$AX$21</f>
        <v>5.7424651641685108E-3</v>
      </c>
      <c r="AL271" s="115">
        <f t="shared" si="519"/>
        <v>0.17391198627321758</v>
      </c>
      <c r="AM271" s="115">
        <f t="shared" si="520"/>
        <v>0.25185703840206575</v>
      </c>
      <c r="AN271" s="115">
        <f t="shared" si="521"/>
        <v>0.57423097532471656</v>
      </c>
      <c r="AO271" s="115">
        <f t="shared" si="533"/>
        <v>2.0877775272345651E-2</v>
      </c>
      <c r="AP271" s="166">
        <f t="shared" si="535"/>
        <v>105.34312596751586</v>
      </c>
      <c r="AQ271" s="168">
        <f t="shared" si="536"/>
        <v>2.0877775272345619E-2</v>
      </c>
      <c r="AR271" s="69">
        <f>+AD271/$AF$21</f>
        <v>5.5515355047932296E-3</v>
      </c>
      <c r="AS271" s="169">
        <f t="shared" si="534"/>
        <v>1.1590371068552084E-4</v>
      </c>
      <c r="AT271" s="115"/>
      <c r="AU271" s="115"/>
      <c r="AV271" s="113">
        <f>IFERROR(INDEX('Total Customers'!$F$7:$AB$91,MATCH($C271,'Total Customers'!$D$7:$D$91,0),MATCH($G271,'Total Customers'!$F$5:$AB$5,0)),"NA")</f>
        <v>211032</v>
      </c>
      <c r="AW271" s="68">
        <f t="shared" si="523"/>
        <v>3.3291926439095315E-2</v>
      </c>
      <c r="AX271" s="114"/>
      <c r="AY271" s="114"/>
      <c r="AZ271" s="116">
        <v>8759079</v>
      </c>
      <c r="BA271" s="116"/>
      <c r="BB271" s="166"/>
      <c r="BC271" s="166"/>
      <c r="BD271" s="166"/>
      <c r="BE271" s="166"/>
      <c r="BF271" s="166"/>
      <c r="BG271" s="166"/>
      <c r="BH271" s="166"/>
      <c r="BI271" s="113"/>
      <c r="BJ271" s="113"/>
      <c r="BK271" s="113">
        <f>INDEX('Dist. Plant Gas Additions'!$F$7:$AE$91,MATCH($C271,'Dist. Plant Gas Additions'!$D$7:$D$91,0),MATCH(Calculation!$G271,'Dist. Plant Gas Additions'!$F$5:$AE$5,0))</f>
        <v>15411</v>
      </c>
      <c r="BL271" s="113">
        <f>INDEX('Gen. Plant Additions'!$F$7:$AE$91,MATCH($C271,'Gen. Plant Additions'!$D$7:$D$91,0),MATCH(Calculation!$G271,'Gen. Plant Additions'!$F$5:$AE$5,0))</f>
        <v>2192</v>
      </c>
      <c r="BM271" s="231">
        <f t="shared" si="499"/>
        <v>0.93517188633852144</v>
      </c>
      <c r="BN271" s="61">
        <f>+BM271*BL271</f>
        <v>2049.896774854039</v>
      </c>
      <c r="BO271" s="113" t="str">
        <f>INDEX('Dist Plant Depreciation'!$E$7:$AD$94,MATCH($C271,'Dist Plant Depreciation'!$D$7:$D$94,0),MATCH(Calculation!$G271,'Dist Plant Depreciation'!$E$5:$AD$5,0))</f>
        <v>NA</v>
      </c>
      <c r="BP271" s="113" t="str">
        <f>INDEX('Gen. Plant Depreciation'!$E$7:$AD$94,MATCH($C271,'Gen. Plant Depreciation'!$D$7:$D$94,0),MATCH(Calculation!$G271,'Gen. Plant Depreciation'!$E$5:$AD$5,0))</f>
        <v>NA</v>
      </c>
      <c r="BQ271" s="113"/>
      <c r="BR271" s="113"/>
      <c r="BS271" s="113"/>
      <c r="BT271" s="113"/>
      <c r="BU271" s="113"/>
      <c r="BV271" s="113"/>
      <c r="BW271" s="113">
        <f>INDEX('Gross Dx Plant'!$E$7:$AD$91,MATCH($C271,'Gross Dx Plant'!$D$7:$D$91,0),MATCH(Calculation!$G271,'Gross Dx Plant'!$E$5:$AD$5,0))</f>
        <v>310579</v>
      </c>
      <c r="BX271" s="113">
        <f>INDEX('Gross Gen Plant'!$E$7:$AD$91,MATCH($C271,'Gross Gen Plant'!$D$7:$D$91,0),MATCH(Calculation!$G271,'Gross Gen Plant'!$E$5:$AD$5,0))</f>
        <v>21530</v>
      </c>
      <c r="BY271" s="113" t="str">
        <f t="shared" si="444"/>
        <v>NA</v>
      </c>
      <c r="BZ271" s="113"/>
      <c r="CA271" s="116">
        <v>2016</v>
      </c>
      <c r="CB271" s="113"/>
      <c r="CC271" s="113"/>
      <c r="CD271" s="113"/>
      <c r="CE271" s="175"/>
      <c r="CF271" s="113">
        <f t="shared" si="500"/>
        <v>17603</v>
      </c>
      <c r="CG271" s="113">
        <f t="shared" si="501"/>
        <v>26.216147706648847</v>
      </c>
      <c r="CH271" s="178">
        <v>0.88</v>
      </c>
      <c r="CI271" s="61">
        <f>+CI253*CH271+CG254*CH270+CG255*CH269+CG256*CH268+CG257*CH267+CG258*CH266+CG259*CH265+CG260*CH264+CG261*CH263+CG262*CH262+CG263*CH261+CG264*CH260+CG265*CH259+CG266*CH258+CG267*CH257+CG268*CH256+CG269*CH255+CG270*CH254+CG271</f>
        <v>1800.9332191873921</v>
      </c>
      <c r="CJ271" s="114">
        <f t="shared" si="502"/>
        <v>5.3739613572342101E-3</v>
      </c>
      <c r="CK271" s="114"/>
      <c r="CL271" s="169">
        <f t="shared" si="503"/>
        <v>9.2469915953746849E-3</v>
      </c>
      <c r="CM271" s="169">
        <f t="shared" si="511"/>
        <v>8.8806013997931865E-3</v>
      </c>
      <c r="CN271" s="114">
        <f>VLOOKUP($H271,RoR!$E:$F,2,FALSE)</f>
        <v>3.6658333333333334E-2</v>
      </c>
      <c r="CO271" s="169">
        <v>1.0483662879041455E-2</v>
      </c>
      <c r="CP271" s="169">
        <f t="shared" si="509"/>
        <v>2.6174670454291879E-2</v>
      </c>
      <c r="CQ271" s="169">
        <f t="shared" si="512"/>
        <v>2.2021340208740438E-2</v>
      </c>
      <c r="CR271" s="169">
        <f t="shared" si="513"/>
        <v>4.301363574220729E-3</v>
      </c>
      <c r="CS271" s="179">
        <f t="shared" si="504"/>
        <v>0.84940815000000003</v>
      </c>
      <c r="CT271" s="180">
        <f t="shared" si="505"/>
        <v>1.3989193348138562</v>
      </c>
      <c r="CU271" s="180">
        <f t="shared" si="506"/>
        <v>0.29302682427824522</v>
      </c>
      <c r="CV271" s="180">
        <f t="shared" si="507"/>
        <v>0.76309497491941802</v>
      </c>
      <c r="CW271" s="180">
        <f t="shared" si="508"/>
        <v>0.31280857135128509</v>
      </c>
      <c r="CX271" s="181">
        <f>INDEX('State Tax Lookup'!$D$7:$Z$91,MATCH(Calculation!$C271,'State Tax Lookup'!$B$7:$B$91,0),MATCH($H271,'State Tax Lookup'!$D$6:$Z$6,0))</f>
        <v>0.40700500000000001</v>
      </c>
      <c r="CY271" s="72">
        <v>0.37</v>
      </c>
      <c r="CZ271" s="70">
        <f t="shared" si="510"/>
        <v>21.173887310461453</v>
      </c>
      <c r="DA271" s="70">
        <v>19.909765876209278</v>
      </c>
      <c r="DB271" s="69">
        <f t="shared" si="514"/>
        <v>-2.2195899350912852E-2</v>
      </c>
      <c r="DC271" s="111">
        <f>VLOOKUP($H271,RoR!$E:$F,2,FALSE)</f>
        <v>3.6658333333333334E-2</v>
      </c>
      <c r="DD271" s="216">
        <f>HLOOKUP($H271,'GDP-PI'!$D$8:$CQ$11,3,FALSE)</f>
        <v>1.0483662879041455E-2</v>
      </c>
      <c r="DE271" s="111">
        <f>VLOOKUP(H271,'HW Dx Data'!$E:$F,2,FALSE)</f>
        <v>671.45639385971219</v>
      </c>
      <c r="DF271" s="72">
        <f t="shared" si="524"/>
        <v>136.94999999999999</v>
      </c>
      <c r="DG271" s="69">
        <f t="shared" si="525"/>
        <v>2.5514417868782811E-2</v>
      </c>
      <c r="DH271" s="66">
        <f>HLOOKUP(H271,'GDP-PI'!$8:$9,2,FALSE)</f>
        <v>105.736</v>
      </c>
      <c r="DI271" s="69">
        <f t="shared" si="515"/>
        <v>1.0429090367205095E-2</v>
      </c>
      <c r="EB271"/>
    </row>
    <row r="272" spans="1:132" s="160" customFormat="1" ht="21">
      <c r="A272" s="160" t="s">
        <v>174</v>
      </c>
      <c r="B272" s="161" t="s">
        <v>174</v>
      </c>
      <c r="C272" s="161">
        <v>4057114</v>
      </c>
      <c r="D272" s="161" t="s">
        <v>164</v>
      </c>
      <c r="E272" s="161" t="s">
        <v>3</v>
      </c>
      <c r="F272" s="161"/>
      <c r="G272" s="161" t="s">
        <v>135</v>
      </c>
      <c r="H272" s="162">
        <v>2017</v>
      </c>
      <c r="I272" s="163"/>
      <c r="J272" s="159">
        <f>IFERROR(INDEX('Labor Expenditures'!$F$7:$X$91,MATCH($C272,'Labor Expenditures'!$D$7:$D$91,0),MATCH($G272,'Labor Expenditures'!$F$5:$X$5,0)),"NA")</f>
        <v>11882.023200725536</v>
      </c>
      <c r="K272" s="159">
        <f t="shared" si="516"/>
        <v>84.599666790498659</v>
      </c>
      <c r="L272" s="165">
        <f t="shared" si="522"/>
        <v>8.5735947422016998E-3</v>
      </c>
      <c r="M272" s="76">
        <f t="shared" si="526"/>
        <v>4.576988727971292E-5</v>
      </c>
      <c r="N272" s="62">
        <f t="shared" si="532"/>
        <v>166.02553784930134</v>
      </c>
      <c r="O272" s="96">
        <f t="shared" si="527"/>
        <v>-0.58250243840645244</v>
      </c>
      <c r="P272" s="96"/>
      <c r="Q272" s="159">
        <f>IFERROR(INDEX('Non-Labor Expenditures'!$F$7:$AB$91,MATCH($C272,'Non-Labor Expenditures'!$D$7:$D$91,0),MATCH($G272,'Non-Labor Expenditures'!$F$5:$AB$5,0)),"NA")</f>
        <v>17207.388850461444</v>
      </c>
      <c r="R272" s="159">
        <f t="shared" si="517"/>
        <v>159.69586222365865</v>
      </c>
      <c r="S272" s="165">
        <f t="shared" si="528"/>
        <v>1.4931664355622116E-2</v>
      </c>
      <c r="T272" s="165">
        <f t="shared" si="529"/>
        <v>7.9712257810756872E-5</v>
      </c>
      <c r="U272" s="165"/>
      <c r="V272" s="165"/>
      <c r="W272" s="159">
        <f t="shared" si="498"/>
        <v>34122.19099139038</v>
      </c>
      <c r="X272" s="163"/>
      <c r="Y272" s="167">
        <v>1809.0292736157623</v>
      </c>
      <c r="Z272" s="168">
        <v>4.4854028362383853E-3</v>
      </c>
      <c r="AA272" s="76">
        <f t="shared" si="518"/>
        <v>2.3945193164800255E-5</v>
      </c>
      <c r="AB272" s="168"/>
      <c r="AC272" s="168"/>
      <c r="AD272" s="163">
        <f t="shared" si="465"/>
        <v>63211.603042577364</v>
      </c>
      <c r="AE272" s="168">
        <f t="shared" si="530"/>
        <v>-4.3935406951690792E-2</v>
      </c>
      <c r="AF272" s="163"/>
      <c r="AG272" s="163"/>
      <c r="AH272" s="163"/>
      <c r="AI272" s="163"/>
      <c r="AJ272" s="116">
        <f t="shared" si="531"/>
        <v>297.34183350303806</v>
      </c>
      <c r="AK272" s="114">
        <f>+AV272/$AX$22</f>
        <v>5.7413708618400212E-3</v>
      </c>
      <c r="AL272" s="115">
        <f t="shared" si="519"/>
        <v>0.1879721859406441</v>
      </c>
      <c r="AM272" s="115">
        <f t="shared" si="520"/>
        <v>0.2722188336035567</v>
      </c>
      <c r="AN272" s="115">
        <f t="shared" si="521"/>
        <v>0.53980898045579917</v>
      </c>
      <c r="AO272" s="115">
        <f t="shared" si="533"/>
        <v>5.4639866269233549E-3</v>
      </c>
      <c r="AP272" s="166">
        <f t="shared" si="535"/>
        <v>105.92029478443482</v>
      </c>
      <c r="AQ272" s="168">
        <f t="shared" si="536"/>
        <v>5.4639866269232855E-3</v>
      </c>
      <c r="AR272" s="69">
        <f>+AD272/$AF$22</f>
        <v>5.3384710446389974E-3</v>
      </c>
      <c r="AS272" s="169">
        <f t="shared" si="534"/>
        <v>2.9169334396124663E-5</v>
      </c>
      <c r="AT272" s="115"/>
      <c r="AU272" s="115"/>
      <c r="AV272" s="113">
        <f>IFERROR(INDEX('Total Customers'!$F$7:$AB$91,MATCH($C272,'Total Customers'!$D$7:$D$91,0),MATCH($G272,'Total Customers'!$F$5:$AB$5,0)),"NA")</f>
        <v>212589</v>
      </c>
      <c r="AW272" s="68">
        <f t="shared" si="523"/>
        <v>7.350943466979485E-3</v>
      </c>
      <c r="AX272" s="114"/>
      <c r="AY272" s="114"/>
      <c r="AZ272" s="116">
        <v>8824403</v>
      </c>
      <c r="BA272" s="116"/>
      <c r="BB272" s="166"/>
      <c r="BC272" s="166"/>
      <c r="BD272" s="166"/>
      <c r="BE272" s="166"/>
      <c r="BF272" s="166"/>
      <c r="BG272" s="166"/>
      <c r="BH272" s="166"/>
      <c r="BI272" s="113"/>
      <c r="BJ272" s="113"/>
      <c r="BK272" s="113">
        <f>INDEX('Dist. Plant Gas Additions'!$F$7:$AE$91,MATCH($C272,'Dist. Plant Gas Additions'!$D$7:$D$91,0),MATCH(Calculation!$G272,'Dist. Plant Gas Additions'!$F$5:$AE$5,0))</f>
        <v>16910</v>
      </c>
      <c r="BL272" s="113">
        <f>INDEX('Gen. Plant Additions'!$F$7:$AE$91,MATCH($C272,'Gen. Plant Additions'!$D$7:$D$91,0),MATCH(Calculation!$G272,'Gen. Plant Additions'!$F$5:$AE$5,0))</f>
        <v>1221</v>
      </c>
      <c r="BM272" s="231">
        <f t="shared" si="499"/>
        <v>0.93307481940449255</v>
      </c>
      <c r="BN272" s="61">
        <f t="shared" ref="BN272:BN335" si="537">+BM272*BL272</f>
        <v>1139.2843544928853</v>
      </c>
      <c r="BO272" s="113" t="str">
        <f>INDEX('Dist Plant Depreciation'!$E$7:$AD$94,MATCH($C272,'Dist Plant Depreciation'!$D$7:$D$94,0),MATCH(Calculation!$G272,'Dist Plant Depreciation'!$E$5:$AD$5,0))</f>
        <v>NA</v>
      </c>
      <c r="BP272" s="113" t="str">
        <f>INDEX('Gen. Plant Depreciation'!$E$7:$AD$94,MATCH($C272,'Gen. Plant Depreciation'!$D$7:$D$94,0),MATCH(Calculation!$G272,'Gen. Plant Depreciation'!$E$5:$AD$5,0))</f>
        <v>NA</v>
      </c>
      <c r="BQ272" s="113"/>
      <c r="BR272" s="113"/>
      <c r="BS272" s="113"/>
      <c r="BT272" s="113"/>
      <c r="BU272" s="113"/>
      <c r="BV272" s="113"/>
      <c r="BW272" s="113">
        <f>INDEX('Gross Dx Plant'!$E$7:$AD$91,MATCH($C272,'Gross Dx Plant'!$D$7:$D$91,0),MATCH(Calculation!$G272,'Gross Dx Plant'!$E$5:$AD$5,0))</f>
        <v>315941</v>
      </c>
      <c r="BX272" s="113">
        <f>INDEX('Gross Gen Plant'!$E$7:$AD$91,MATCH($C272,'Gross Gen Plant'!$D$7:$D$91,0),MATCH(Calculation!$G272,'Gross Gen Plant'!$E$5:$AD$5,0))</f>
        <v>22661</v>
      </c>
      <c r="BY272" s="113" t="str">
        <f t="shared" si="444"/>
        <v>NA</v>
      </c>
      <c r="BZ272" s="113"/>
      <c r="CA272" s="116">
        <v>2017</v>
      </c>
      <c r="CB272" s="113"/>
      <c r="CC272" s="113"/>
      <c r="CD272" s="113"/>
      <c r="CE272" s="175"/>
      <c r="CF272" s="113">
        <f t="shared" si="500"/>
        <v>18131</v>
      </c>
      <c r="CG272" s="113">
        <f t="shared" si="501"/>
        <v>25.449568440640228</v>
      </c>
      <c r="CH272" s="178">
        <v>0.87074829931972786</v>
      </c>
      <c r="CI272" s="61">
        <f>+CI253*CH272+CG254*CH271+CG255*CH270+CG256*CH269+CG257*CH268+CG258*CH267+CG259*CH266+CG260*CH265+CG261*CH264+CG262*CH263+CG263*CH262+CG264*CH261+CG265*CH260+CG266*CH259+CG267*CH258+CG268*CH257+CG269*CH256+CG270*CH255+CG271*CH254+CG272</f>
        <v>1809.0292736157623</v>
      </c>
      <c r="CJ272" s="114">
        <f t="shared" si="502"/>
        <v>4.4854028362383853E-3</v>
      </c>
      <c r="CK272" s="114"/>
      <c r="CL272" s="169">
        <f t="shared" si="503"/>
        <v>9.6358453647160287E-3</v>
      </c>
      <c r="CM272" s="169">
        <f t="shared" si="511"/>
        <v>9.2514598368013141E-3</v>
      </c>
      <c r="CN272" s="114">
        <f>VLOOKUP($H272,RoR!$E:$F,2,FALSE)</f>
        <v>3.7433333333333339E-2</v>
      </c>
      <c r="CO272" s="169">
        <v>1.9056896421275615E-2</v>
      </c>
      <c r="CP272" s="169">
        <f t="shared" si="509"/>
        <v>1.8376436912057724E-2</v>
      </c>
      <c r="CQ272" s="169">
        <f t="shared" si="512"/>
        <v>2.1650481771732309E-2</v>
      </c>
      <c r="CR272" s="169">
        <f t="shared" si="513"/>
        <v>1.3976271617800498E-2</v>
      </c>
      <c r="CS272" s="179">
        <f t="shared" si="504"/>
        <v>0.90120814999999999</v>
      </c>
      <c r="CT272" s="180">
        <f t="shared" si="505"/>
        <v>1.3699568463593395</v>
      </c>
      <c r="CU272" s="180">
        <f t="shared" si="506"/>
        <v>0.30714603739982199</v>
      </c>
      <c r="CV272" s="180">
        <f t="shared" si="507"/>
        <v>0.77007188472689425</v>
      </c>
      <c r="CW272" s="180">
        <f t="shared" si="508"/>
        <v>0.32402839633793828</v>
      </c>
      <c r="CX272" s="181">
        <f>INDEX('State Tax Lookup'!$D$7:$Z$91,MATCH(Calculation!$C272,'State Tax Lookup'!$B$7:$B$91,0),MATCH($H272,'State Tax Lookup'!$D$6:$Z$6,0))</f>
        <v>0.26700499999999999</v>
      </c>
      <c r="CY272" s="72">
        <v>0.37</v>
      </c>
      <c r="CZ272" s="70">
        <f t="shared" si="510"/>
        <v>18.946949630251599</v>
      </c>
      <c r="DA272" s="70">
        <v>18.231812616449311</v>
      </c>
      <c r="DB272" s="69">
        <f t="shared" si="514"/>
        <v>-0.11112574264407465</v>
      </c>
      <c r="DC272" s="111">
        <f>VLOOKUP($H272,RoR!$E:$F,2,FALSE)</f>
        <v>3.7433333333333339E-2</v>
      </c>
      <c r="DD272" s="216">
        <f>HLOOKUP($H272,'GDP-PI'!$D$8:$CQ$11,3,FALSE)</f>
        <v>1.9056896421275615E-2</v>
      </c>
      <c r="DE272" s="111">
        <f>VLOOKUP(H272,'HW Dx Data'!$E:$F,2,FALSE)</f>
        <v>712.42858370229726</v>
      </c>
      <c r="DF272" s="72">
        <f t="shared" si="524"/>
        <v>140.44999999999999</v>
      </c>
      <c r="DG272" s="69">
        <f t="shared" si="525"/>
        <v>2.5235657841165486E-2</v>
      </c>
      <c r="DH272" s="66">
        <f>HLOOKUP(H272,'GDP-PI'!$8:$9,2,FALSE)</f>
        <v>107.751</v>
      </c>
      <c r="DI272" s="69">
        <f t="shared" si="515"/>
        <v>1.8877588227745139E-2</v>
      </c>
      <c r="EB272"/>
    </row>
    <row r="273" spans="1:132" s="160" customFormat="1" ht="21">
      <c r="A273" s="160" t="s">
        <v>174</v>
      </c>
      <c r="B273" s="161" t="s">
        <v>174</v>
      </c>
      <c r="C273" s="161">
        <v>4057114</v>
      </c>
      <c r="D273" s="161" t="s">
        <v>164</v>
      </c>
      <c r="E273" s="161" t="s">
        <v>3</v>
      </c>
      <c r="F273" s="161"/>
      <c r="G273" s="161" t="s">
        <v>136</v>
      </c>
      <c r="H273" s="162">
        <v>2018</v>
      </c>
      <c r="I273" s="163"/>
      <c r="J273" s="159">
        <f>IFERROR(INDEX('Labor Expenditures'!$F$7:$X$91,MATCH($C273,'Labor Expenditures'!$D$7:$D$91,0),MATCH($G273,'Labor Expenditures'!$F$5:$X$5,0)),"NA")</f>
        <v>38409.184834861066</v>
      </c>
      <c r="K273" s="159">
        <f t="shared" si="516"/>
        <v>265.89951426002818</v>
      </c>
      <c r="L273" s="165">
        <f t="shared" si="522"/>
        <v>1.1451881435125946</v>
      </c>
      <c r="M273" s="76">
        <f t="shared" si="526"/>
        <v>1.1535940556082397E-2</v>
      </c>
      <c r="N273" s="62">
        <f t="shared" si="532"/>
        <v>115.72623760238325</v>
      </c>
      <c r="O273" s="96">
        <f t="shared" si="527"/>
        <v>-0.36091423779050374</v>
      </c>
      <c r="P273" s="96"/>
      <c r="Q273" s="159">
        <f>IFERROR(INDEX('Non-Labor Expenditures'!$F$7:$AB$91,MATCH($C273,'Non-Labor Expenditures'!$D$7:$D$91,0),MATCH($G273,'Non-Labor Expenditures'!$F$5:$AB$5,0)),"NA")</f>
        <v>55623.673487049251</v>
      </c>
      <c r="R273" s="159">
        <f t="shared" si="517"/>
        <v>504.19384607829124</v>
      </c>
      <c r="S273" s="165">
        <f t="shared" si="528"/>
        <v>1.1496896641580774</v>
      </c>
      <c r="T273" s="165">
        <f t="shared" si="529"/>
        <v>1.1581286183237586E-2</v>
      </c>
      <c r="U273" s="165"/>
      <c r="V273" s="165"/>
      <c r="W273" s="159">
        <f t="shared" si="498"/>
        <v>35617.527497847062</v>
      </c>
      <c r="X273" s="163"/>
      <c r="Y273" s="167">
        <v>1819.3902790851735</v>
      </c>
      <c r="Z273" s="168">
        <v>5.7110449771036065E-3</v>
      </c>
      <c r="AA273" s="76">
        <f t="shared" si="518"/>
        <v>5.7529651998405966E-5</v>
      </c>
      <c r="AB273" s="168"/>
      <c r="AC273" s="168"/>
      <c r="AD273" s="163">
        <f t="shared" si="465"/>
        <v>129650.38581975739</v>
      </c>
      <c r="AE273" s="168">
        <f t="shared" si="530"/>
        <v>0.71835361108882823</v>
      </c>
      <c r="AF273" s="163"/>
      <c r="AG273" s="163"/>
      <c r="AH273" s="163"/>
      <c r="AI273" s="163"/>
      <c r="AJ273" s="116">
        <f t="shared" si="531"/>
        <v>604.91576378148159</v>
      </c>
      <c r="AK273" s="114">
        <f>+AV273/$AX$23</f>
        <v>5.7376423367801804E-3</v>
      </c>
      <c r="AL273" s="115">
        <f t="shared" si="519"/>
        <v>0.29625199024288518</v>
      </c>
      <c r="AM273" s="115">
        <f t="shared" si="520"/>
        <v>0.42902821411097392</v>
      </c>
      <c r="AN273" s="115">
        <f t="shared" si="521"/>
        <v>0.2747197956461408</v>
      </c>
      <c r="AO273" s="115">
        <f t="shared" si="533"/>
        <v>0.68037213407314678</v>
      </c>
      <c r="AP273" s="166">
        <f t="shared" si="535"/>
        <v>209.15152919649574</v>
      </c>
      <c r="AQ273" s="168">
        <f t="shared" si="536"/>
        <v>0.68037213407314678</v>
      </c>
      <c r="AR273" s="69">
        <f>+AD273/$AF$23</f>
        <v>1.0073402018203418E-2</v>
      </c>
      <c r="AS273" s="169">
        <f t="shared" si="534"/>
        <v>6.8536620285018033E-3</v>
      </c>
      <c r="AT273" s="115"/>
      <c r="AU273" s="115"/>
      <c r="AV273" s="113">
        <f>IFERROR(INDEX('Total Customers'!$F$7:$AB$91,MATCH($C273,'Total Customers'!$D$7:$D$91,0),MATCH($G273,'Total Customers'!$F$5:$AB$5,0)),"NA")</f>
        <v>214328</v>
      </c>
      <c r="AW273" s="68">
        <f t="shared" si="523"/>
        <v>8.1468276888699512E-3</v>
      </c>
      <c r="AX273" s="114"/>
      <c r="AY273" s="114"/>
      <c r="AZ273" s="116">
        <v>8911356</v>
      </c>
      <c r="BA273" s="116"/>
      <c r="BB273" s="166"/>
      <c r="BC273" s="166"/>
      <c r="BD273" s="166"/>
      <c r="BE273" s="166"/>
      <c r="BF273" s="166"/>
      <c r="BG273" s="166"/>
      <c r="BH273" s="166"/>
      <c r="BI273" s="113"/>
      <c r="BJ273" s="113"/>
      <c r="BK273" s="113">
        <f>INDEX('Dist. Plant Gas Additions'!$F$7:$AE$91,MATCH($C273,'Dist. Plant Gas Additions'!$D$7:$D$91,0),MATCH(Calculation!$G273,'Dist. Plant Gas Additions'!$F$5:$AE$5,0))</f>
        <v>20302</v>
      </c>
      <c r="BL273" s="113">
        <f>INDEX('Gen. Plant Additions'!$F$7:$AE$91,MATCH($C273,'Gen. Plant Additions'!$D$7:$D$91,0),MATCH(Calculation!$G273,'Gen. Plant Additions'!$F$5:$AE$5,0))</f>
        <v>1253</v>
      </c>
      <c r="BM273" s="231">
        <f t="shared" si="499"/>
        <v>0.93157314718635897</v>
      </c>
      <c r="BN273" s="61">
        <f t="shared" si="537"/>
        <v>1167.2611534245077</v>
      </c>
      <c r="BO273" s="113" t="str">
        <f>INDEX('Dist Plant Depreciation'!$E$7:$AD$94,MATCH($C273,'Dist Plant Depreciation'!$D$7:$D$94,0),MATCH(Calculation!$G273,'Dist Plant Depreciation'!$E$5:$AD$5,0))</f>
        <v>NA</v>
      </c>
      <c r="BP273" s="113" t="str">
        <f>INDEX('Gen. Plant Depreciation'!$E$7:$AD$94,MATCH($C273,'Gen. Plant Depreciation'!$D$7:$D$94,0),MATCH(Calculation!$G273,'Gen. Plant Depreciation'!$E$5:$AD$5,0))</f>
        <v>NA</v>
      </c>
      <c r="BQ273" s="113"/>
      <c r="BR273" s="113"/>
      <c r="BS273" s="113"/>
      <c r="BT273" s="113"/>
      <c r="BU273" s="113"/>
      <c r="BV273" s="113"/>
      <c r="BW273" s="113">
        <f>INDEX('Gross Dx Plant'!$E$7:$AD$91,MATCH($C273,'Gross Dx Plant'!$D$7:$D$91,0),MATCH(Calculation!$G273,'Gross Dx Plant'!$E$5:$AD$5,0))</f>
        <v>323758</v>
      </c>
      <c r="BX273" s="113">
        <f>INDEX('Gross Gen Plant'!$E$7:$AD$91,MATCH($C273,'Gross Gen Plant'!$D$7:$D$91,0),MATCH(Calculation!$G273,'Gross Gen Plant'!$E$5:$AD$5,0))</f>
        <v>23781</v>
      </c>
      <c r="BY273" s="113" t="str">
        <f t="shared" si="444"/>
        <v>NA</v>
      </c>
      <c r="BZ273" s="113"/>
      <c r="CA273" s="116">
        <v>2018</v>
      </c>
      <c r="CB273" s="113"/>
      <c r="CC273" s="113"/>
      <c r="CD273" s="113"/>
      <c r="CE273" s="175"/>
      <c r="CF273" s="113">
        <f t="shared" si="500"/>
        <v>21555</v>
      </c>
      <c r="CG273" s="113">
        <f t="shared" si="501"/>
        <v>28.544500076108022</v>
      </c>
      <c r="CH273" s="178">
        <v>0.86111111111111116</v>
      </c>
      <c r="CI273" s="61">
        <f>+CI253*CH273++CG254*CH272+CG255*CH271+CG256*CH270+CG257*CH269+CG258*CH268+CG259*CH267+CG260*CH266+CG261*CH265+CG262*CH264+CG263*CH263+CG264*CH262+CG265*CH261+CG266*CH260+CG267*CH259+CG268*CH258+CG269*CH257+CG270*CH256+CG271*CH255+CG272*CH254+CG273</f>
        <v>1819.3902790851735</v>
      </c>
      <c r="CJ273" s="114">
        <f t="shared" si="502"/>
        <v>5.7110449771036065E-3</v>
      </c>
      <c r="CK273" s="114"/>
      <c r="CL273" s="169">
        <f t="shared" si="503"/>
        <v>1.005152037719821E-2</v>
      </c>
      <c r="CM273" s="169">
        <f t="shared" si="511"/>
        <v>9.644785779096306E-3</v>
      </c>
      <c r="CN273" s="114">
        <f>VLOOKUP($H273,RoR!$E:$F,2,FALSE)</f>
        <v>3.9299999999999995E-2</v>
      </c>
      <c r="CO273" s="169">
        <v>2.386056741932796E-2</v>
      </c>
      <c r="CP273" s="169">
        <f t="shared" si="509"/>
        <v>1.5439432580672034E-2</v>
      </c>
      <c r="CQ273" s="169">
        <f t="shared" si="512"/>
        <v>2.1257155829437317E-2</v>
      </c>
      <c r="CR273" s="169">
        <f t="shared" si="513"/>
        <v>3.8270792163076606E-2</v>
      </c>
      <c r="CS273" s="179">
        <f t="shared" si="504"/>
        <v>0.90120814999999999</v>
      </c>
      <c r="CT273" s="180">
        <f t="shared" si="505"/>
        <v>1.3048868010700074</v>
      </c>
      <c r="CU273" s="180">
        <f t="shared" si="506"/>
        <v>0.33886768447837151</v>
      </c>
      <c r="CV273" s="180">
        <f t="shared" si="507"/>
        <v>0.78602506232557801</v>
      </c>
      <c r="CW273" s="180">
        <f t="shared" si="508"/>
        <v>0.34756768162358759</v>
      </c>
      <c r="CX273" s="181">
        <f>INDEX('State Tax Lookup'!$D$7:$Z$91,MATCH(Calculation!$C273,'State Tax Lookup'!$B$7:$B$91,0),MATCH($H273,'State Tax Lookup'!$D$6:$Z$6,0))</f>
        <v>0.26700499999999999</v>
      </c>
      <c r="CY273" s="72">
        <v>0.37</v>
      </c>
      <c r="CZ273" s="70">
        <f t="shared" si="510"/>
        <v>19.688751319461634</v>
      </c>
      <c r="DA273" s="70">
        <v>19.050901628905343</v>
      </c>
      <c r="DB273" s="69">
        <f t="shared" si="514"/>
        <v>3.8404524458213088E-2</v>
      </c>
      <c r="DC273" s="111">
        <f>VLOOKUP($H273,RoR!$E:$F,2,FALSE)</f>
        <v>3.9299999999999995E-2</v>
      </c>
      <c r="DD273" s="216">
        <f>HLOOKUP($H273,'GDP-PI'!$D$8:$CQ$11,3,FALSE)</f>
        <v>2.386056741932796E-2</v>
      </c>
      <c r="DE273" s="111">
        <f>VLOOKUP(H273,'HW Dx Data'!$E:$F,2,FALSE)</f>
        <v>755.13671434174842</v>
      </c>
      <c r="DF273" s="72">
        <f t="shared" si="524"/>
        <v>144.44999999999999</v>
      </c>
      <c r="DG273" s="69">
        <f t="shared" si="525"/>
        <v>2.80818733619915E-2</v>
      </c>
      <c r="DH273" s="66">
        <f>HLOOKUP(H273,'GDP-PI'!$8:$9,2,FALSE)</f>
        <v>110.322</v>
      </c>
      <c r="DI273" s="69">
        <f t="shared" si="515"/>
        <v>2.3580352716508712E-2</v>
      </c>
      <c r="EB273"/>
    </row>
    <row r="274" spans="1:132" s="160" customFormat="1" ht="21">
      <c r="A274" s="160" t="s">
        <v>174</v>
      </c>
      <c r="B274" s="161" t="s">
        <v>174</v>
      </c>
      <c r="C274" s="161">
        <v>4057114</v>
      </c>
      <c r="D274" s="161" t="s">
        <v>164</v>
      </c>
      <c r="E274" s="161" t="s">
        <v>3</v>
      </c>
      <c r="F274" s="161"/>
      <c r="G274" s="161" t="s">
        <v>140</v>
      </c>
      <c r="H274" s="162">
        <v>2019</v>
      </c>
      <c r="I274" s="163"/>
      <c r="J274" s="159">
        <f>IFERROR(INDEX('Labor Expenditures'!$F$7:$X$91,MATCH($C274,'Labor Expenditures'!$D$7:$D$91,0),MATCH($G274,'Labor Expenditures'!$F$5:$X$5,0)),"NA")</f>
        <v>19236.025816726495</v>
      </c>
      <c r="K274" s="159">
        <f t="shared" si="516"/>
        <v>128.51862914131613</v>
      </c>
      <c r="L274" s="165">
        <f t="shared" si="522"/>
        <v>-0.72704460378046576</v>
      </c>
      <c r="M274" s="76">
        <f t="shared" si="526"/>
        <v>-4.5505855614853099E-3</v>
      </c>
      <c r="N274" s="62">
        <f t="shared" si="532"/>
        <v>115.56365097163925</v>
      </c>
      <c r="O274" s="96">
        <f t="shared" si="527"/>
        <v>-1.4059123684738422E-3</v>
      </c>
      <c r="P274" s="96"/>
      <c r="Q274" s="159">
        <f>IFERROR(INDEX('Non-Labor Expenditures'!$F$7:$AB$91,MATCH($C274,'Non-Labor Expenditures'!$D$7:$D$91,0),MATCH($G274,'Non-Labor Expenditures'!$F$5:$AB$5,0)),"NA")</f>
        <v>27857.358176654332</v>
      </c>
      <c r="R274" s="159">
        <f t="shared" si="517"/>
        <v>248.02220638414443</v>
      </c>
      <c r="S274" s="165">
        <f t="shared" si="528"/>
        <v>-0.70944252533269558</v>
      </c>
      <c r="T274" s="165">
        <f t="shared" si="529"/>
        <v>-4.4404138283893569E-3</v>
      </c>
      <c r="U274" s="165"/>
      <c r="V274" s="165"/>
      <c r="W274" s="159">
        <f t="shared" si="498"/>
        <v>35959.679672575738</v>
      </c>
      <c r="X274" s="163"/>
      <c r="Y274" s="167">
        <v>1827.6491278717051</v>
      </c>
      <c r="Z274" s="168">
        <v>4.5290779629496881E-3</v>
      </c>
      <c r="AA274" s="76">
        <f t="shared" si="518"/>
        <v>2.8347582359972259E-5</v>
      </c>
      <c r="AB274" s="168"/>
      <c r="AC274" s="168"/>
      <c r="AD274" s="163">
        <f t="shared" si="465"/>
        <v>83053.063665956564</v>
      </c>
      <c r="AE274" s="168">
        <f t="shared" si="530"/>
        <v>-0.44536176304205616</v>
      </c>
      <c r="AF274" s="163"/>
      <c r="AG274" s="163"/>
      <c r="AH274" s="163"/>
      <c r="AI274" s="163"/>
      <c r="AJ274" s="116">
        <f t="shared" si="531"/>
        <v>382.70303094207628</v>
      </c>
      <c r="AK274" s="114">
        <f>+AV274/$AX$24</f>
        <v>5.7617148323781632E-3</v>
      </c>
      <c r="AL274" s="115">
        <f t="shared" si="519"/>
        <v>0.23161127317463834</v>
      </c>
      <c r="AM274" s="115">
        <f t="shared" si="520"/>
        <v>0.3354163825755781</v>
      </c>
      <c r="AN274" s="115">
        <f t="shared" si="521"/>
        <v>0.43297234424978359</v>
      </c>
      <c r="AO274" s="115">
        <f t="shared" si="533"/>
        <v>-0.46305482117594926</v>
      </c>
      <c r="AP274" s="166">
        <f t="shared" si="535"/>
        <v>131.63121517827935</v>
      </c>
      <c r="AQ274" s="168">
        <f t="shared" si="536"/>
        <v>-0.46305482117594926</v>
      </c>
      <c r="AR274" s="69">
        <f>+AD274/$AF$24</f>
        <v>6.2590184121074626E-3</v>
      </c>
      <c r="AS274" s="169">
        <f t="shared" si="534"/>
        <v>-2.898268651555395E-3</v>
      </c>
      <c r="AT274" s="115"/>
      <c r="AU274" s="115"/>
      <c r="AV274" s="113">
        <f>IFERROR(INDEX('Total Customers'!$F$7:$AB$91,MATCH($C274,'Total Customers'!$D$7:$D$91,0),MATCH($G274,'Total Customers'!$F$5:$AB$5,0)),"NA")</f>
        <v>217017</v>
      </c>
      <c r="AW274" s="68">
        <f t="shared" si="523"/>
        <v>1.2468139585127143E-2</v>
      </c>
      <c r="AX274" s="114"/>
      <c r="AY274" s="114"/>
      <c r="AZ274" s="116">
        <v>8963640</v>
      </c>
      <c r="BA274" s="116"/>
      <c r="BB274" s="166"/>
      <c r="BC274" s="166"/>
      <c r="BD274" s="166"/>
      <c r="BE274" s="166"/>
      <c r="BF274" s="166"/>
      <c r="BG274" s="166"/>
      <c r="BH274" s="166"/>
      <c r="BI274" s="113"/>
      <c r="BJ274" s="113"/>
      <c r="BK274" s="113">
        <f>INDEX('Dist. Plant Gas Additions'!$F$7:$AE$91,MATCH($C274,'Dist. Plant Gas Additions'!$D$7:$D$91,0),MATCH(Calculation!$G274,'Dist. Plant Gas Additions'!$F$5:$AE$5,0))</f>
        <v>20813</v>
      </c>
      <c r="BL274" s="113">
        <f>INDEX('Gen. Plant Additions'!$F$7:$AE$91,MATCH($C274,'Gen. Plant Additions'!$D$7:$D$91,0),MATCH(Calculation!$G274,'Gen. Plant Additions'!$F$5:$AE$5,0))</f>
        <v>332</v>
      </c>
      <c r="BM274" s="231">
        <f t="shared" si="499"/>
        <v>0.93318942736179189</v>
      </c>
      <c r="BN274" s="61">
        <f t="shared" si="537"/>
        <v>309.81888988411492</v>
      </c>
      <c r="BO274" s="113" t="str">
        <f>INDEX('Dist Plant Depreciation'!$E$7:$AD$94,MATCH($C274,'Dist Plant Depreciation'!$D$7:$D$94,0),MATCH(Calculation!$G274,'Dist Plant Depreciation'!$E$5:$AD$5,0))</f>
        <v>NA</v>
      </c>
      <c r="BP274" s="113" t="str">
        <f>INDEX('Gen. Plant Depreciation'!$E$7:$AD$94,MATCH($C274,'Gen. Plant Depreciation'!$D$7:$D$94,0),MATCH(Calculation!$G274,'Gen. Plant Depreciation'!$E$5:$AD$5,0))</f>
        <v>NA</v>
      </c>
      <c r="BQ274" s="113"/>
      <c r="BR274" s="113"/>
      <c r="BS274" s="113"/>
      <c r="BT274" s="113"/>
      <c r="BU274" s="113"/>
      <c r="BV274" s="113"/>
      <c r="BW274" s="113">
        <f>INDEX('Gross Dx Plant'!$E$7:$AD$91,MATCH($C274,'Gross Dx Plant'!$D$7:$D$91,0),MATCH(Calculation!$G274,'Gross Dx Plant'!$E$5:$AD$5,0))</f>
        <v>335476</v>
      </c>
      <c r="BX274" s="113">
        <f>INDEX('Gross Gen Plant'!$E$7:$AD$91,MATCH($C274,'Gross Gen Plant'!$D$7:$D$91,0),MATCH(Calculation!$G274,'Gross Gen Plant'!$E$5:$AD$5,0))</f>
        <v>24018</v>
      </c>
      <c r="BY274" s="113" t="str">
        <f t="shared" si="444"/>
        <v>NA</v>
      </c>
      <c r="BZ274" s="113"/>
      <c r="CA274" s="116">
        <v>2019</v>
      </c>
      <c r="CB274" s="113"/>
      <c r="CC274" s="113"/>
      <c r="CD274" s="113"/>
      <c r="CE274" s="175"/>
      <c r="CF274" s="113">
        <f t="shared" si="500"/>
        <v>21145</v>
      </c>
      <c r="CG274" s="113">
        <f t="shared" si="501"/>
        <v>27.335392081989447</v>
      </c>
      <c r="CH274" s="178">
        <v>0.85106382978723405</v>
      </c>
      <c r="CI274" s="61">
        <f>CI253*CH274+CG254*CH273+CG255*CH272+CG256*CH271+CG257*CH270+CG258*CH269+CG259*CH268+CG260*CH267+CG261*CH266+CG262*CH265+CG263*CH264+CG264*CH263+CG265*CH262+CG266*CH261+CG267*CH260+CG268*CH259+CG269*CH258+CG270*CH257+CG271*CH256+CG272*CH255+CG273*CH254+CG274</f>
        <v>1827.6491278717051</v>
      </c>
      <c r="CJ274" s="114">
        <f t="shared" si="502"/>
        <v>4.5290779629496881E-3</v>
      </c>
      <c r="CK274" s="114"/>
      <c r="CL274" s="169">
        <f t="shared" si="503"/>
        <v>1.0485129834292551E-2</v>
      </c>
      <c r="CM274" s="169">
        <f t="shared" si="511"/>
        <v>1.0057498525402263E-2</v>
      </c>
      <c r="CN274" s="114">
        <f>VLOOKUP($H274,RoR!$E:$F,2,FALSE)</f>
        <v>3.3875000000000009E-2</v>
      </c>
      <c r="CO274" s="169">
        <v>1.8092492884465461E-2</v>
      </c>
      <c r="CP274" s="169">
        <f t="shared" si="509"/>
        <v>1.5782507115534548E-2</v>
      </c>
      <c r="CQ274" s="169">
        <f t="shared" si="512"/>
        <v>2.084444308313136E-2</v>
      </c>
      <c r="CR274" s="169">
        <f t="shared" si="513"/>
        <v>4.8445665544254078E-2</v>
      </c>
      <c r="CS274" s="179">
        <f t="shared" si="504"/>
        <v>0.90120814999999999</v>
      </c>
      <c r="CT274" s="180">
        <f t="shared" si="505"/>
        <v>1.513861292459078</v>
      </c>
      <c r="CU274" s="180">
        <f t="shared" si="506"/>
        <v>0.23699261992619944</v>
      </c>
      <c r="CV274" s="180">
        <f t="shared" si="507"/>
        <v>0.73619765810468829</v>
      </c>
      <c r="CW274" s="180">
        <f t="shared" si="508"/>
        <v>0.26412854465362851</v>
      </c>
      <c r="CX274" s="181">
        <f>INDEX('State Tax Lookup'!$D$7:$Z$91,MATCH(Calculation!$C274,'State Tax Lookup'!$B$7:$B$91,0),MATCH($H274,'State Tax Lookup'!$D$6:$Z$6,0))</f>
        <v>0.26700499999999999</v>
      </c>
      <c r="CY274" s="72">
        <v>0.37</v>
      </c>
      <c r="CZ274" s="70">
        <f t="shared" si="510"/>
        <v>19.764687151487365</v>
      </c>
      <c r="DA274" s="70">
        <v>19.236104090735289</v>
      </c>
      <c r="DB274" s="69">
        <f t="shared" si="514"/>
        <v>3.8493945641112008E-3</v>
      </c>
      <c r="DC274" s="111">
        <f>VLOOKUP($H274,RoR!$E:$F,2,FALSE)</f>
        <v>3.3875000000000009E-2</v>
      </c>
      <c r="DD274" s="216">
        <f>HLOOKUP($H274,'GDP-PI'!$D$8:$CQ$11,3,FALSE)</f>
        <v>1.8092492884465461E-2</v>
      </c>
      <c r="DE274" s="111">
        <f>VLOOKUP(H274,'HW Dx Data'!$E:$F,2,FALSE)</f>
        <v>773.53929793938721</v>
      </c>
      <c r="DF274" s="72">
        <f t="shared" si="524"/>
        <v>149.67500000000001</v>
      </c>
      <c r="DG274" s="69">
        <f t="shared" si="525"/>
        <v>3.5532849899171604E-2</v>
      </c>
      <c r="DH274" s="66">
        <f>HLOOKUP(H274,'GDP-PI'!$8:$9,2,FALSE)</f>
        <v>112.318</v>
      </c>
      <c r="DI274" s="69">
        <f t="shared" si="515"/>
        <v>1.7930771451401852E-2</v>
      </c>
      <c r="EB274"/>
    </row>
    <row r="275" spans="1:132" s="160" customFormat="1" ht="21">
      <c r="A275" s="160" t="s">
        <v>174</v>
      </c>
      <c r="B275" s="160" t="s">
        <v>174</v>
      </c>
      <c r="C275" s="160">
        <v>4057114</v>
      </c>
      <c r="D275" s="160" t="s">
        <v>164</v>
      </c>
      <c r="E275" s="160" t="s">
        <v>3</v>
      </c>
      <c r="G275" s="161" t="s">
        <v>141</v>
      </c>
      <c r="H275" s="162">
        <v>2020</v>
      </c>
      <c r="I275" s="163"/>
      <c r="J275" s="159">
        <f>IFERROR(INDEX('Labor Expenditures'!$F$7:$X$91,MATCH($C275,'Labor Expenditures'!$D$7:$D$91,0),MATCH($G275,'Labor Expenditures'!$F$5:$X$5,0)),"NA")</f>
        <v>11301.535771974532</v>
      </c>
      <c r="K275" s="159">
        <f t="shared" si="516"/>
        <v>73.793899914949606</v>
      </c>
      <c r="L275" s="165">
        <f t="shared" si="522"/>
        <v>-0.55479779647881422</v>
      </c>
      <c r="M275" s="76">
        <f t="shared" si="526"/>
        <v>-2.6305897105060407E-3</v>
      </c>
      <c r="N275" s="62">
        <f t="shared" si="532"/>
        <v>113.98146600620554</v>
      </c>
      <c r="O275" s="96">
        <f t="shared" si="527"/>
        <v>-1.3785612546516841E-2</v>
      </c>
      <c r="P275" s="96"/>
      <c r="Q275" s="159">
        <f>IFERROR(INDEX('Non-Labor Expenditures'!$F$7:$AB$91,MATCH($C275,'Non-Labor Expenditures'!$D$7:$D$91,0),MATCH($G275,'Non-Labor Expenditures'!$F$5:$AB$5,0)),"NA")</f>
        <v>16366.734633533715</v>
      </c>
      <c r="R275" s="159">
        <f t="shared" si="517"/>
        <v>144.04420437353102</v>
      </c>
      <c r="S275" s="165">
        <f t="shared" si="528"/>
        <v>-0.54339805674283859</v>
      </c>
      <c r="T275" s="165">
        <f t="shared" si="529"/>
        <v>-2.5765375166396771E-3</v>
      </c>
      <c r="U275" s="165"/>
      <c r="V275" s="165"/>
      <c r="W275" s="159">
        <f t="shared" si="498"/>
        <v>37181.086950664379</v>
      </c>
      <c r="X275" s="163"/>
      <c r="Y275" s="167">
        <v>1856.6114546194096</v>
      </c>
      <c r="Z275" s="168">
        <v>1.5722516208991288E-2</v>
      </c>
      <c r="AA275" s="76">
        <f t="shared" si="518"/>
        <v>7.4548762855831393E-5</v>
      </c>
      <c r="AB275" s="168"/>
      <c r="AC275" s="168"/>
      <c r="AD275" s="163">
        <f t="shared" si="465"/>
        <v>64849.357356172623</v>
      </c>
      <c r="AE275" s="168">
        <f t="shared" si="530"/>
        <v>-0.24741272377769025</v>
      </c>
      <c r="AF275" s="163"/>
      <c r="AG275" s="163"/>
      <c r="AH275" s="163"/>
      <c r="AI275" s="163"/>
      <c r="AJ275" s="116">
        <f t="shared" si="531"/>
        <v>299.69155890221049</v>
      </c>
      <c r="AK275" s="114">
        <f>+AV275/$AX$25</f>
        <v>5.7044199546798261E-3</v>
      </c>
      <c r="AL275" s="115">
        <f t="shared" si="519"/>
        <v>0.17427367413840386</v>
      </c>
      <c r="AM275" s="115">
        <f t="shared" si="520"/>
        <v>0.25238082998483041</v>
      </c>
      <c r="AN275" s="115">
        <f t="shared" si="521"/>
        <v>0.57334549587676575</v>
      </c>
      <c r="AO275" s="115">
        <f t="shared" si="533"/>
        <v>-0.27229596872868933</v>
      </c>
      <c r="AP275" s="166">
        <f t="shared" si="535"/>
        <v>100.25412569843856</v>
      </c>
      <c r="AQ275" s="168">
        <f t="shared" si="536"/>
        <v>-0.27229596872868933</v>
      </c>
      <c r="AR275" s="69">
        <f>+AD275/$AF$25</f>
        <v>4.741528764536998E-3</v>
      </c>
      <c r="AS275" s="169">
        <f t="shared" si="534"/>
        <v>-1.2910991681945475E-3</v>
      </c>
      <c r="AT275" s="115"/>
      <c r="AU275" s="115"/>
      <c r="AV275" s="113">
        <f>IFERROR(INDEX('Total Customers'!$F$7:$AB$91,MATCH($C275,'Total Customers'!$D$7:$D$91,0),MATCH($G275,'Total Customers'!$F$5:$AB$5,0)),"NA")</f>
        <v>216387</v>
      </c>
      <c r="AW275" s="68">
        <f t="shared" si="523"/>
        <v>-2.9072202551256865E-3</v>
      </c>
      <c r="AX275" s="114"/>
      <c r="AY275" s="114"/>
      <c r="AZ275" s="116">
        <v>9060252</v>
      </c>
      <c r="BA275" s="116"/>
      <c r="BB275" s="166"/>
      <c r="BC275" s="166"/>
      <c r="BD275" s="166"/>
      <c r="BE275" s="166"/>
      <c r="BF275" s="166"/>
      <c r="BG275" s="166"/>
      <c r="BH275" s="166"/>
      <c r="BI275" s="113"/>
      <c r="BJ275" s="113"/>
      <c r="BK275" s="113">
        <f>INDEX('Dist. Plant Gas Additions'!$F$7:$AE$91,MATCH($C275,'Dist. Plant Gas Additions'!$D$7:$D$91,0),MATCH(Calculation!$G275,'Dist. Plant Gas Additions'!$F$5:$AE$5,0))</f>
        <v>37935</v>
      </c>
      <c r="BL275" s="113">
        <f>INDEX('Gen. Plant Additions'!$F$7:$AE$91,MATCH($C275,'Gen. Plant Additions'!$D$7:$D$91,0),MATCH(Calculation!$G275,'Gen. Plant Additions'!$F$5:$AE$5,0))</f>
        <v>1888</v>
      </c>
      <c r="BM275" s="231">
        <f t="shared" si="499"/>
        <v>0.93467550743562766</v>
      </c>
      <c r="BN275" s="61">
        <f t="shared" si="537"/>
        <v>1764.667358038465</v>
      </c>
      <c r="BO275" s="113" t="str">
        <f>INDEX('Dist Plant Depreciation'!$E$7:$AD$94,MATCH($C275,'Dist Plant Depreciation'!$D$7:$D$94,0),MATCH(Calculation!$G275,'Dist Plant Depreciation'!$E$5:$AD$5,0))</f>
        <v>NA</v>
      </c>
      <c r="BP275" s="113" t="str">
        <f>INDEX('Gen. Plant Depreciation'!$E$7:$AD$94,MATCH($C275,'Gen. Plant Depreciation'!$D$7:$D$94,0),MATCH(Calculation!$G275,'Gen. Plant Depreciation'!$E$5:$AD$5,0))</f>
        <v>NA</v>
      </c>
      <c r="BQ275" s="113"/>
      <c r="BR275" s="113"/>
      <c r="BS275" s="113"/>
      <c r="BT275" s="113"/>
      <c r="BU275" s="113"/>
      <c r="BV275" s="113"/>
      <c r="BW275" s="113">
        <f>INDEX('Gross Dx Plant'!$E$7:$AD$91,MATCH($C275,'Gross Dx Plant'!$D$7:$D$91,0),MATCH(Calculation!$G275,'Gross Dx Plant'!$E$5:$AD$5,0))</f>
        <v>368622</v>
      </c>
      <c r="BX275" s="113">
        <f>INDEX('Gross Gen Plant'!$E$7:$AD$91,MATCH($C275,'Gross Gen Plant'!$D$7:$D$91,0),MATCH(Calculation!$G275,'Gross Gen Plant'!$E$5:$AD$5,0))</f>
        <v>25763</v>
      </c>
      <c r="BY275" s="113" t="str">
        <f t="shared" si="444"/>
        <v>NA</v>
      </c>
      <c r="BZ275" s="113"/>
      <c r="CA275" s="116">
        <v>2020</v>
      </c>
      <c r="CB275" s="113"/>
      <c r="CC275" s="113"/>
      <c r="CD275" s="113"/>
      <c r="CE275" s="175"/>
      <c r="CF275" s="113">
        <f t="shared" si="500"/>
        <v>39823</v>
      </c>
      <c r="CG275" s="113">
        <f t="shared" si="501"/>
        <v>48.97795056218245</v>
      </c>
      <c r="CH275" s="178">
        <v>0.84057971014492749</v>
      </c>
      <c r="CI275" s="61">
        <f>CI253*CH275+CG254*CH274+CG255*CH273+CG256*CH272+CG257*CH271+CG258*CH270+CG259*CH269+CG260*CH268+CG261*CH267+CG262*CH266+CG263*CH265+CG264*CH264+CG265*CH263+CG266*CH262+CG267*CH261+CG268*CH260+CG269*CH259+CG270*CH258+CG271*CH257+CG272*CH256+CG273*CH255+CG274*CH254+CG275</f>
        <v>1856.6114546194096</v>
      </c>
      <c r="CJ275" s="114">
        <f t="shared" si="502"/>
        <v>1.5722516208991288E-2</v>
      </c>
      <c r="CK275" s="114"/>
      <c r="CL275" s="169">
        <f t="shared" si="503"/>
        <v>1.0951568060432956E-2</v>
      </c>
      <c r="CM275" s="169">
        <f t="shared" si="511"/>
        <v>1.0496072757307906E-2</v>
      </c>
      <c r="CN275" s="114">
        <f>VLOOKUP($H275,RoR!$E:$F,2,FALSE)</f>
        <v>2.4766666666666666E-2</v>
      </c>
      <c r="CO275" s="169">
        <v>1.1618796630994188E-2</v>
      </c>
      <c r="CP275" s="169">
        <f t="shared" si="509"/>
        <v>1.3147870035672478E-2</v>
      </c>
      <c r="CQ275" s="169">
        <f t="shared" si="512"/>
        <v>2.0405868851225719E-2</v>
      </c>
      <c r="CR275" s="169">
        <f t="shared" si="513"/>
        <v>4.5144642961987357E-2</v>
      </c>
      <c r="CS275" s="179">
        <f t="shared" si="504"/>
        <v>0.90120814999999999</v>
      </c>
      <c r="CT275" s="180">
        <f t="shared" si="505"/>
        <v>2.0706077233668081</v>
      </c>
      <c r="CU275" s="180">
        <f t="shared" si="506"/>
        <v>-3.4421265141318998E-2</v>
      </c>
      <c r="CV275" s="180">
        <f t="shared" si="507"/>
        <v>0.62416226176410472</v>
      </c>
      <c r="CW275" s="180">
        <f t="shared" si="508"/>
        <v>-4.4485877841158712E-2</v>
      </c>
      <c r="CX275" s="181">
        <f>INDEX('State Tax Lookup'!$D$7:$Z$91,MATCH(Calculation!$C275,'State Tax Lookup'!$B$7:$B$91,0),MATCH($H275,'State Tax Lookup'!$D$6:$Z$6,0))</f>
        <v>0.26700499999999999</v>
      </c>
      <c r="CY275" s="72">
        <v>0.37</v>
      </c>
      <c r="CZ275" s="70">
        <f t="shared" si="510"/>
        <v>20.343667930376604</v>
      </c>
      <c r="DA275" s="70">
        <v>19.952659173050833</v>
      </c>
      <c r="DB275" s="69">
        <f t="shared" si="514"/>
        <v>2.8872837042455624E-2</v>
      </c>
      <c r="DC275" s="111">
        <f>VLOOKUP($H275,RoR!$E:$F,2,FALSE)</f>
        <v>2.4766666666666666E-2</v>
      </c>
      <c r="DD275" s="216">
        <f>HLOOKUP($H275,'GDP-PI'!$D$8:$CQ$11,3,FALSE)</f>
        <v>1.1618796630994188E-2</v>
      </c>
      <c r="DE275" s="111">
        <f>VLOOKUP(H275,'HW Dx Data'!$E:$F,2,FALSE)</f>
        <v>813.080162458833</v>
      </c>
      <c r="DF275" s="72">
        <f t="shared" si="524"/>
        <v>153.15</v>
      </c>
      <c r="DG275" s="69">
        <f t="shared" si="525"/>
        <v>2.2951556467368479E-2</v>
      </c>
      <c r="DH275" s="66">
        <f>HLOOKUP(H275,'GDP-PI'!$8:$9,2,FALSE)</f>
        <v>113.623</v>
      </c>
      <c r="DI275" s="69">
        <f t="shared" si="515"/>
        <v>1.1551816731392881E-2</v>
      </c>
      <c r="EB275"/>
    </row>
    <row r="276" spans="1:132" s="160" customFormat="1" ht="21">
      <c r="A276" s="160" t="s">
        <v>174</v>
      </c>
      <c r="B276" s="160" t="s">
        <v>174</v>
      </c>
      <c r="C276" s="160">
        <v>4057114</v>
      </c>
      <c r="D276" s="160" t="s">
        <v>164</v>
      </c>
      <c r="E276" s="160" t="s">
        <v>3</v>
      </c>
      <c r="G276" s="161" t="s">
        <v>142</v>
      </c>
      <c r="H276" s="162">
        <v>2021</v>
      </c>
      <c r="I276" s="163"/>
      <c r="J276" s="159">
        <v>0</v>
      </c>
      <c r="K276" s="159">
        <f t="shared" si="516"/>
        <v>0</v>
      </c>
      <c r="L276" s="164"/>
      <c r="M276" s="76"/>
      <c r="N276" s="166"/>
      <c r="O276" s="114"/>
      <c r="P276" s="114"/>
      <c r="Q276" s="159"/>
      <c r="R276" s="159"/>
      <c r="S276" s="165"/>
      <c r="T276" s="165">
        <f t="shared" si="529"/>
        <v>0</v>
      </c>
      <c r="U276" s="165"/>
      <c r="V276" s="165"/>
      <c r="W276" s="159"/>
      <c r="X276" s="163"/>
      <c r="Y276" s="167"/>
      <c r="Z276" s="168"/>
      <c r="AA276" s="76">
        <f t="shared" si="518"/>
        <v>0</v>
      </c>
      <c r="AB276" s="168"/>
      <c r="AC276" s="168"/>
      <c r="AD276" s="163">
        <f t="shared" si="465"/>
        <v>0</v>
      </c>
      <c r="AE276" s="168"/>
      <c r="AF276" s="113"/>
      <c r="AG276" s="114"/>
      <c r="AH276" s="114"/>
      <c r="AI276" s="114"/>
      <c r="AJ276" s="166">
        <f>+(AJ273+AJ274+AJ275)/3</f>
        <v>429.10345120858943</v>
      </c>
      <c r="AK276" s="114"/>
      <c r="AL276" s="115"/>
      <c r="AM276" s="115"/>
      <c r="AN276" s="115"/>
      <c r="AO276" s="115"/>
      <c r="AP276" s="166"/>
      <c r="AQ276" s="168"/>
      <c r="AR276" s="69">
        <f>+AD276/$AF$26</f>
        <v>0</v>
      </c>
      <c r="AS276" s="169"/>
      <c r="AT276" s="115"/>
      <c r="AU276" s="115"/>
      <c r="AV276" s="113"/>
      <c r="AW276" s="68"/>
      <c r="AX276" s="113"/>
      <c r="AY276" s="113"/>
      <c r="AZ276" s="116"/>
      <c r="BA276" s="116"/>
      <c r="BB276" s="166"/>
      <c r="BC276" s="166"/>
      <c r="BD276" s="166"/>
      <c r="BE276" s="166"/>
      <c r="BF276" s="166"/>
      <c r="BG276" s="166"/>
      <c r="BH276" s="166"/>
      <c r="BI276" s="113"/>
      <c r="BJ276" s="113"/>
      <c r="BK276" s="113" t="str">
        <f>INDEX('Dist. Plant Gas Additions'!$E$7:$AE$91,MATCH($C276,'Dist. Plant Gas Additions'!$D$7:$D$91,0),MATCH(Calculation!$G276,'Dist. Plant Gas Additions'!$E$5:$AE$5,0))</f>
        <v>NA</v>
      </c>
      <c r="BL276" s="113" t="str">
        <f>INDEX('Gen. Plant Additions'!$E$7:$AE$91,MATCH($C276,'Gen. Plant Additions'!$D$7:$D$91,0),MATCH(Calculation!$G276,'Gen. Plant Additions'!$E$5:$AE$5,0))</f>
        <v>NA</v>
      </c>
      <c r="BM276" s="232"/>
      <c r="BN276" s="61" t="s">
        <v>175</v>
      </c>
      <c r="BO276" s="113"/>
      <c r="BP276" s="113"/>
      <c r="BQ276" s="175"/>
      <c r="BR276" s="175"/>
      <c r="BS276" s="170"/>
      <c r="BT276" s="176"/>
      <c r="BU276" s="177"/>
      <c r="BV276" s="177"/>
      <c r="BW276" s="113"/>
      <c r="BX276" s="113"/>
      <c r="BY276" s="113"/>
      <c r="BZ276" s="113"/>
      <c r="CA276" s="116">
        <v>2021</v>
      </c>
      <c r="CB276" s="113"/>
      <c r="CC276" s="113"/>
      <c r="CD276" s="113"/>
      <c r="CE276" s="175"/>
      <c r="CF276" s="113"/>
      <c r="CG276" s="113">
        <f t="shared" si="501"/>
        <v>0</v>
      </c>
      <c r="CH276" s="178">
        <f>+(51-23)/(51-23*0.75)</f>
        <v>0.82962962962962961</v>
      </c>
      <c r="CI276" s="113"/>
      <c r="CJ276" s="114"/>
      <c r="CK276" s="113"/>
      <c r="CL276" s="169"/>
      <c r="CM276" s="169"/>
      <c r="CN276" s="114">
        <f>VLOOKUP($H276,RoR!$E:$F,2,FALSE)</f>
        <v>2.7033333333333336E-2</v>
      </c>
      <c r="CO276" s="169"/>
      <c r="CP276" s="169"/>
      <c r="CQ276" s="169"/>
      <c r="CR276" s="169">
        <f t="shared" si="513"/>
        <v>7.433422950153494E-2</v>
      </c>
      <c r="CS276" s="179">
        <f t="shared" si="504"/>
        <v>0.90120814999999999</v>
      </c>
      <c r="CT276" s="180">
        <f t="shared" si="505"/>
        <v>1.8969932656739068</v>
      </c>
      <c r="CU276" s="180">
        <f t="shared" si="506"/>
        <v>5.0215782983970621E-2</v>
      </c>
      <c r="CV276" s="180">
        <f t="shared" si="507"/>
        <v>0.655952481704143</v>
      </c>
      <c r="CW276" s="180">
        <f t="shared" si="508"/>
        <v>6.2485378865697057E-2</v>
      </c>
      <c r="CX276" s="181">
        <f>CX275</f>
        <v>0.26700499999999999</v>
      </c>
      <c r="CY276" s="72">
        <v>0.37</v>
      </c>
      <c r="CZ276" s="182">
        <f t="shared" si="510"/>
        <v>-9.1393001931464365E-2</v>
      </c>
      <c r="DA276" s="182"/>
      <c r="DB276" s="169"/>
      <c r="DC276" s="181">
        <f>VLOOKUP($H276,RoR!$E:$F,2,FALSE)</f>
        <v>2.7033333333333336E-2</v>
      </c>
      <c r="DD276" s="183">
        <f>HLOOKUP($H276,'GDP-PI'!$D$8:$CR$11,3,FALSE)</f>
        <v>4.2834637353352578E-2</v>
      </c>
      <c r="DE276" s="181">
        <f>VLOOKUP(H276,'HW Dx Data'!$E:$F,2,FALSE)</f>
        <v>933.02249921662576</v>
      </c>
      <c r="DF276" s="72">
        <f t="shared" si="524"/>
        <v>157.25</v>
      </c>
      <c r="DG276" s="69">
        <f t="shared" si="525"/>
        <v>2.6419062301765574E-2</v>
      </c>
      <c r="DH276" s="175">
        <f>HLOOKUP(H276,'GDP-PI'!$8:$9,2,FALSE)</f>
        <v>118.49</v>
      </c>
      <c r="DI276" s="169">
        <f t="shared" si="515"/>
        <v>4.194261824609434E-2</v>
      </c>
      <c r="EB276"/>
    </row>
    <row r="277" spans="1:132" s="160" customFormat="1" ht="21">
      <c r="G277" s="161" t="s">
        <v>144</v>
      </c>
      <c r="H277" s="162"/>
      <c r="I277" s="163"/>
      <c r="J277" s="159"/>
      <c r="K277" s="159"/>
      <c r="L277" s="164"/>
      <c r="M277" s="76"/>
      <c r="N277" s="166"/>
      <c r="O277" s="114"/>
      <c r="P277" s="114"/>
      <c r="Q277" s="159"/>
      <c r="R277" s="159"/>
      <c r="S277" s="165"/>
      <c r="T277" s="165"/>
      <c r="U277" s="165"/>
      <c r="V277" s="165"/>
      <c r="W277" s="159"/>
      <c r="X277" s="165"/>
      <c r="Y277" s="167"/>
      <c r="Z277" s="168"/>
      <c r="AA277" s="76">
        <f t="shared" si="518"/>
        <v>0</v>
      </c>
      <c r="AB277" s="168"/>
      <c r="AC277" s="168"/>
      <c r="AD277" s="163">
        <f t="shared" si="465"/>
        <v>0</v>
      </c>
      <c r="AE277" s="168"/>
      <c r="AF277" s="113"/>
      <c r="AG277" s="114"/>
      <c r="AH277" s="114"/>
      <c r="AI277" s="114"/>
      <c r="AJ277" s="116"/>
      <c r="AK277" s="114"/>
      <c r="AL277" s="115"/>
      <c r="AM277" s="115"/>
      <c r="AN277" s="115"/>
      <c r="AO277" s="115"/>
      <c r="AP277" s="166"/>
      <c r="AQ277" s="168"/>
      <c r="AR277" s="69">
        <f>+AD277/$AF$27</f>
        <v>0</v>
      </c>
      <c r="AS277" s="169"/>
      <c r="AT277" s="115"/>
      <c r="AU277" s="115"/>
      <c r="AV277" s="113"/>
      <c r="AW277" s="68"/>
      <c r="AX277" s="113"/>
      <c r="AY277" s="113"/>
      <c r="AZ277" s="116"/>
      <c r="BA277" s="116"/>
      <c r="BB277" s="166"/>
      <c r="BC277" s="166"/>
      <c r="BD277" s="166"/>
      <c r="BE277" s="166"/>
      <c r="BF277" s="166"/>
      <c r="BG277" s="166"/>
      <c r="BH277" s="166"/>
      <c r="BI277" s="113"/>
      <c r="BJ277" s="113"/>
      <c r="BK277" s="113"/>
      <c r="BL277" s="113"/>
      <c r="BM277" s="232"/>
      <c r="BN277" s="61">
        <f t="shared" si="537"/>
        <v>0</v>
      </c>
      <c r="BO277" s="113"/>
      <c r="BP277" s="113"/>
      <c r="BQ277" s="175"/>
      <c r="BR277" s="175"/>
      <c r="BS277" s="170"/>
      <c r="BT277" s="176"/>
      <c r="BU277" s="177"/>
      <c r="BV277" s="177"/>
      <c r="BW277" s="113"/>
      <c r="BX277" s="113"/>
      <c r="BY277" s="113"/>
      <c r="BZ277" s="113"/>
      <c r="CA277" s="116">
        <v>2022</v>
      </c>
      <c r="CB277" s="113"/>
      <c r="CC277" s="113"/>
      <c r="CD277" s="113"/>
      <c r="CE277" s="175"/>
      <c r="CF277" s="113"/>
      <c r="CG277" s="113"/>
      <c r="CH277" s="178">
        <f>+(51-24)/(51-24*0.75)</f>
        <v>0.81818181818181823</v>
      </c>
      <c r="CI277" s="113"/>
      <c r="CJ277" s="114"/>
      <c r="CK277" s="113"/>
      <c r="CL277" s="169"/>
      <c r="CM277" s="169"/>
      <c r="CN277" s="114"/>
      <c r="CO277" s="169"/>
      <c r="CP277" s="169"/>
      <c r="CQ277" s="69"/>
      <c r="CR277" s="169">
        <f t="shared" si="513"/>
        <v>0.10114668178709289</v>
      </c>
      <c r="CS277" s="179">
        <f t="shared" si="504"/>
        <v>0.90120814999999999</v>
      </c>
      <c r="CT277" s="180"/>
      <c r="CU277" s="180"/>
      <c r="CV277" s="180"/>
      <c r="CW277" s="180"/>
      <c r="CX277" s="181">
        <f>CX276</f>
        <v>0.26700499999999999</v>
      </c>
      <c r="CY277" s="72">
        <v>0.37</v>
      </c>
      <c r="CZ277" s="182">
        <f t="shared" si="510"/>
        <v>-0.12435857539544563</v>
      </c>
      <c r="DA277" s="182"/>
      <c r="DB277" s="169"/>
      <c r="DC277" s="181">
        <v>0.04</v>
      </c>
      <c r="DD277" s="183">
        <v>7.0000000000000001E-3</v>
      </c>
      <c r="DE277" s="181">
        <v>1030.81</v>
      </c>
      <c r="DF277" s="72">
        <f t="shared" si="524"/>
        <v>162.55000000000001</v>
      </c>
      <c r="DG277" s="169">
        <f t="shared" si="525"/>
        <v>3.3148751169364422E-2</v>
      </c>
      <c r="DH277" s="175">
        <v>127.25</v>
      </c>
      <c r="DI277" s="169">
        <f t="shared" si="515"/>
        <v>7.1325086601983473E-2</v>
      </c>
      <c r="EB277"/>
    </row>
    <row r="278" spans="1:132" s="160" customFormat="1" ht="21">
      <c r="A278" s="160" t="s">
        <v>176</v>
      </c>
      <c r="B278" s="161" t="s">
        <v>176</v>
      </c>
      <c r="C278" s="161">
        <v>4059355</v>
      </c>
      <c r="D278" s="161" t="s">
        <v>177</v>
      </c>
      <c r="E278" s="161"/>
      <c r="F278" s="161"/>
      <c r="G278" s="161" t="s">
        <v>100</v>
      </c>
      <c r="H278" s="162">
        <v>1998</v>
      </c>
      <c r="I278" s="163"/>
      <c r="J278" s="159"/>
      <c r="K278" s="159"/>
      <c r="L278" s="159"/>
      <c r="M278" s="60"/>
      <c r="N278" s="131"/>
      <c r="O278" s="76"/>
      <c r="P278" s="76"/>
      <c r="Q278" s="165"/>
      <c r="R278" s="165"/>
      <c r="S278" s="165"/>
      <c r="T278" s="159"/>
      <c r="U278" s="165"/>
      <c r="V278" s="165"/>
      <c r="W278" s="159"/>
      <c r="X278" s="163"/>
      <c r="Y278" s="167">
        <v>564.0160449581681</v>
      </c>
      <c r="Z278" s="168"/>
      <c r="AA278" s="78"/>
      <c r="AB278" s="168"/>
      <c r="AC278" s="168"/>
      <c r="AD278" s="163">
        <f t="shared" si="465"/>
        <v>0</v>
      </c>
      <c r="AE278" s="163"/>
      <c r="AF278" s="163"/>
      <c r="AG278" s="114"/>
      <c r="AH278" s="114"/>
      <c r="AI278" s="114"/>
      <c r="AJ278" s="167"/>
      <c r="AK278" s="168"/>
      <c r="AL278" s="115"/>
      <c r="AM278" s="115"/>
      <c r="AN278" s="115"/>
      <c r="AO278" s="115"/>
      <c r="AP278" s="115"/>
      <c r="AQ278" s="168">
        <f>AVERAGE(AQ287:AQ301)</f>
        <v>2.8602202083992018E-2</v>
      </c>
      <c r="AR278" s="79"/>
      <c r="AS278" s="115"/>
      <c r="AT278" s="115"/>
      <c r="AU278" s="115"/>
      <c r="AV278" s="113">
        <f>IFERROR(INDEX('Total Customers'!$F$7:$AB$91,MATCH($C278,'Total Customers'!$D$7:$D$91,0),MATCH($G278,'Total Customers'!$F$5:$AB$5,0)),"NA")</f>
        <v>140078</v>
      </c>
      <c r="AW278" s="68"/>
      <c r="AX278" s="114"/>
      <c r="AY278" s="114"/>
      <c r="AZ278" s="116"/>
      <c r="BA278" s="116"/>
      <c r="BB278" s="166"/>
      <c r="BC278" s="166"/>
      <c r="BD278" s="166"/>
      <c r="BE278" s="166"/>
      <c r="BF278" s="166"/>
      <c r="BG278" s="166"/>
      <c r="BH278" s="166"/>
      <c r="BI278" s="113">
        <f>INDEX('Gross Dx Plant'!$E$7:$AD$91,MATCH($C278,'Gross Dx Plant'!$D$7:$D$91,0),MATCH(Calculation!$G278,'Gross Dx Plant'!$E$5:$AD$5,0))</f>
        <v>186927</v>
      </c>
      <c r="BJ278" s="113">
        <f>INDEX('Gross Gen Plant'!$E$7:$AD$91,MATCH($C278,'Gross Gen Plant'!$D$7:$D$91,0),MATCH(Calculation!$G278,'Gross Gen Plant'!$E$5:$AD$5,0))</f>
        <v>5084</v>
      </c>
      <c r="BK278" s="113">
        <f>INDEX('Dist. Plant Gas Additions'!$F$7:$AE$91,MATCH($C278,'Dist. Plant Gas Additions'!$D$7:$D$91,0),MATCH(Calculation!$G278,'Dist. Plant Gas Additions'!$F$5:$AE$5,0))</f>
        <v>10063</v>
      </c>
      <c r="BL278" s="113">
        <f>INDEX('Gen. Plant Additions'!$F$7:$AE$91,MATCH($C278,'Gen. Plant Additions'!$D$7:$D$91,0),MATCH(Calculation!$G278,'Gen. Plant Additions'!$F$5:$AE$5,0))</f>
        <v>482</v>
      </c>
      <c r="BM278" s="231">
        <f>+(BW278/(BW278+BX278))</f>
        <v>0.97352235028201506</v>
      </c>
      <c r="BN278" s="61">
        <f t="shared" si="537"/>
        <v>469.23777283593125</v>
      </c>
      <c r="BO278" s="113">
        <f>INDEX('Dist Plant Depreciation'!$E$7:$AD$94,MATCH($C278,'Dist Plant Depreciation'!$D$7:$D$94,0),MATCH(Calculation!$G278,'Dist Plant Depreciation'!$E$5:$AD$5,0))</f>
        <v>77619</v>
      </c>
      <c r="BP278" s="113">
        <f>INDEX('Gen. Plant Depreciation'!$E$7:$AD$94,MATCH($C278,'Gen. Plant Depreciation'!$D$7:$D$94,0),MATCH(Calculation!$G278,'Gen. Plant Depreciation'!$E$5:$AD$5,0))</f>
        <v>619</v>
      </c>
      <c r="BQ278" s="113"/>
      <c r="BR278" s="113"/>
      <c r="BS278" s="113"/>
      <c r="BT278" s="113"/>
      <c r="BU278" s="113"/>
      <c r="BV278" s="113"/>
      <c r="BW278" s="113">
        <f>INDEX('Gross Dx Plant'!$E$7:$AD$91,MATCH($C278,'Gross Dx Plant'!$D$7:$D$91,0),MATCH(Calculation!$G278,'Gross Dx Plant'!$E$5:$AD$5,0))</f>
        <v>186927</v>
      </c>
      <c r="BX278" s="113">
        <f>INDEX('Gross Gen Plant'!$E$7:$AD$91,MATCH($C278,'Gross Gen Plant'!$D$7:$D$91,0),MATCH(Calculation!$G278,'Gross Gen Plant'!$E$5:$AD$5,0))</f>
        <v>5084</v>
      </c>
      <c r="BY278" s="113">
        <f t="shared" si="444"/>
        <v>113773</v>
      </c>
      <c r="BZ278" s="113"/>
      <c r="CA278" s="116">
        <v>1998</v>
      </c>
      <c r="CB278" s="113">
        <f>BI278+BJ278</f>
        <v>192011</v>
      </c>
      <c r="CC278" s="113">
        <f>77619+619</f>
        <v>78238</v>
      </c>
      <c r="CD278" s="113">
        <f>+CB278-CC278</f>
        <v>113773</v>
      </c>
      <c r="CE278" s="113">
        <f>CD278/$BV$3</f>
        <v>564.0160449581681</v>
      </c>
      <c r="CF278" s="175"/>
      <c r="CG278" s="175"/>
      <c r="CH278" s="178">
        <v>1</v>
      </c>
      <c r="CI278" s="113">
        <f>+CE278</f>
        <v>564.0160449581681</v>
      </c>
      <c r="CJ278" s="114"/>
      <c r="CK278" s="114"/>
      <c r="CL278" s="169"/>
      <c r="CM278" s="169"/>
      <c r="CN278" s="114"/>
      <c r="CO278" s="169">
        <v>1.1028127770464469E-2</v>
      </c>
      <c r="CP278" s="169"/>
      <c r="CQ278" s="169"/>
      <c r="CR278" s="169"/>
      <c r="CS278" s="179"/>
      <c r="CT278" s="182" t="e">
        <f>2/(DC278*39)</f>
        <v>#N/A</v>
      </c>
      <c r="CU278" s="180" t="e">
        <f>+(DC278*40-(1+DC278))/(DC278*40)</f>
        <v>#N/A</v>
      </c>
      <c r="CV278" s="180" t="e">
        <f>+(1-(1/(1+DC278)^40))</f>
        <v>#N/A</v>
      </c>
      <c r="CW278" s="180" t="e">
        <f>+CV278*CU278*CT278</f>
        <v>#N/A</v>
      </c>
      <c r="CX278" s="181">
        <f>INDEX('State Tax Lookup'!$D$7:$Z$91,MATCH(Calculation!$C278,'State Tax Lookup'!$B$7:$B$91,0),MATCH($H278,'State Tax Lookup'!$D$6:$Z$6,0))</f>
        <v>0.35</v>
      </c>
      <c r="CY278" s="72">
        <v>0.37</v>
      </c>
      <c r="CZ278" s="66"/>
      <c r="DA278" s="66"/>
      <c r="DB278" s="69"/>
      <c r="DC278" s="111" t="e">
        <f>VLOOKUP($H278,RoR!$E:$F,2,FALSE)</f>
        <v>#N/A</v>
      </c>
      <c r="DD278" s="216">
        <f>HLOOKUP($H278,'GDP-PI'!$D$8:$CQ$11,3,FALSE)</f>
        <v>1.1028127770464469E-2</v>
      </c>
      <c r="DE278" s="111">
        <f>VLOOKUP(H278,'HW Dx Data'!$E:$F,2,FALSE)</f>
        <v>329.24564746449528</v>
      </c>
      <c r="DF278" s="72" t="e">
        <f t="shared" si="524"/>
        <v>#N/A</v>
      </c>
      <c r="DG278" s="169" t="e">
        <f t="shared" si="525"/>
        <v>#N/A</v>
      </c>
      <c r="DH278" s="66">
        <f>HLOOKUP(H278,'GDP-PI'!$8:$9,2,FALSE)</f>
        <v>75.266999999999996</v>
      </c>
      <c r="DI278"/>
      <c r="EB278"/>
    </row>
    <row r="279" spans="1:132" s="160" customFormat="1" ht="21">
      <c r="A279" s="160" t="s">
        <v>176</v>
      </c>
      <c r="B279" s="161" t="s">
        <v>176</v>
      </c>
      <c r="C279" s="161">
        <v>4059355</v>
      </c>
      <c r="D279" s="161" t="s">
        <v>177</v>
      </c>
      <c r="E279" s="161"/>
      <c r="F279" s="161"/>
      <c r="G279" s="161" t="s">
        <v>106</v>
      </c>
      <c r="H279" s="162">
        <v>1999</v>
      </c>
      <c r="I279" s="163"/>
      <c r="J279" s="159"/>
      <c r="K279" s="163"/>
      <c r="L279" s="163"/>
      <c r="M279" s="60"/>
      <c r="N279" s="152"/>
      <c r="O279" s="60"/>
      <c r="P279" s="59"/>
      <c r="Q279" s="169"/>
      <c r="R279" s="169"/>
      <c r="S279" s="169"/>
      <c r="T279" s="187"/>
      <c r="U279" s="169"/>
      <c r="V279" s="169"/>
      <c r="W279" s="159">
        <f t="shared" ref="W279:W302" si="538">+CI278*CZ279</f>
        <v>0</v>
      </c>
      <c r="X279" s="163"/>
      <c r="Y279" s="167">
        <v>591.44335145230809</v>
      </c>
      <c r="Z279" s="168">
        <v>4.7483208229293077E-2</v>
      </c>
      <c r="AA279" s="78"/>
      <c r="AB279" s="168"/>
      <c r="AC279" s="168"/>
      <c r="AD279" s="163">
        <f t="shared" si="465"/>
        <v>0</v>
      </c>
      <c r="AE279" s="168"/>
      <c r="AF279" s="163"/>
      <c r="AG279" s="163"/>
      <c r="AH279" s="163"/>
      <c r="AI279" s="163"/>
      <c r="AJ279" s="167"/>
      <c r="AK279" s="168"/>
      <c r="AL279" s="115"/>
      <c r="AM279" s="115"/>
      <c r="AN279" s="115"/>
      <c r="AO279" s="115"/>
      <c r="AP279" s="115"/>
      <c r="AQ279" s="168"/>
      <c r="AR279" s="79"/>
      <c r="AS279" s="115"/>
      <c r="AT279" s="115"/>
      <c r="AU279" s="115"/>
      <c r="AV279" s="113">
        <f>IFERROR(INDEX('Total Customers'!$F$7:$AB$91,MATCH($C279,'Total Customers'!$D$7:$D$91,0),MATCH($G279,'Total Customers'!$F$5:$AB$5,0)),"NA")</f>
        <v>141815</v>
      </c>
      <c r="AW279" s="68">
        <f t="shared" si="523"/>
        <v>1.2323980976099007E-2</v>
      </c>
      <c r="AX279" s="114"/>
      <c r="AY279" s="114"/>
      <c r="AZ279" s="116"/>
      <c r="BA279" s="116"/>
      <c r="BB279" s="166"/>
      <c r="BC279" s="166"/>
      <c r="BD279" s="166"/>
      <c r="BE279" s="166"/>
      <c r="BF279" s="166"/>
      <c r="BG279" s="166"/>
      <c r="BH279" s="166"/>
      <c r="BI279" s="113"/>
      <c r="BJ279" s="113"/>
      <c r="BK279" s="113">
        <f>INDEX('Dist. Plant Gas Additions'!$F$7:$AE$91,MATCH($C279,'Dist. Plant Gas Additions'!$D$7:$D$91,0),MATCH(Calculation!$G279,'Dist. Plant Gas Additions'!$F$5:$AE$5,0))</f>
        <v>9952</v>
      </c>
      <c r="BL279" s="113">
        <f>INDEX('Gen. Plant Additions'!$F$7:$AE$91,MATCH($C279,'Gen. Plant Additions'!$D$7:$D$91,0),MATCH(Calculation!$G279,'Gen. Plant Additions'!$F$5:$AE$5,0))</f>
        <v>186</v>
      </c>
      <c r="BM279" s="231">
        <f t="shared" ref="BM279:BM300" si="539">+(BW279/(BW279+BX279))</f>
        <v>0.97470939208908991</v>
      </c>
      <c r="BN279" s="61">
        <f t="shared" si="537"/>
        <v>181.29594692857071</v>
      </c>
      <c r="BO279" s="113">
        <f>INDEX('Dist Plant Depreciation'!$E$7:$AD$94,MATCH($C279,'Dist Plant Depreciation'!$D$7:$D$94,0),MATCH(Calculation!$G279,'Dist Plant Depreciation'!$E$5:$AD$5,0))</f>
        <v>83207</v>
      </c>
      <c r="BP279" s="113">
        <f>INDEX('Gen. Plant Depreciation'!$E$7:$AD$94,MATCH($C279,'Gen. Plant Depreciation'!$D$7:$D$94,0),MATCH(Calculation!$G279,'Gen. Plant Depreciation'!$E$5:$AD$5,0))</f>
        <v>650</v>
      </c>
      <c r="BQ279" s="113"/>
      <c r="BR279" s="113"/>
      <c r="BS279" s="113"/>
      <c r="BT279" s="113"/>
      <c r="BU279" s="113"/>
      <c r="BV279" s="113"/>
      <c r="BW279" s="113">
        <f>INDEX('Gross Dx Plant'!$E$7:$AD$91,MATCH($C279,'Gross Dx Plant'!$D$7:$D$91,0),MATCH(Calculation!$G279,'Gross Dx Plant'!$E$5:$AD$5,0))</f>
        <v>195708</v>
      </c>
      <c r="BX279" s="113">
        <f>INDEX('Gross Gen Plant'!$E$7:$AD$91,MATCH($C279,'Gross Gen Plant'!$D$7:$D$91,0),MATCH(Calculation!$G279,'Gross Gen Plant'!$E$5:$AD$5,0))</f>
        <v>5078</v>
      </c>
      <c r="BY279" s="113">
        <f t="shared" si="444"/>
        <v>116929</v>
      </c>
      <c r="BZ279" s="113"/>
      <c r="CA279" s="116">
        <v>1999</v>
      </c>
      <c r="CB279" s="113"/>
      <c r="CC279" s="113"/>
      <c r="CD279" s="113"/>
      <c r="CE279" s="175"/>
      <c r="CF279" s="113">
        <f t="shared" ref="CF279:CF301" si="540">+BL279+BK279</f>
        <v>10138</v>
      </c>
      <c r="CG279" s="113">
        <f t="shared" ref="CG279:CG301" si="541">+CF279/$DE279</f>
        <v>30.233356469056282</v>
      </c>
      <c r="CH279" s="178">
        <v>0.99502487562189057</v>
      </c>
      <c r="CI279" s="61">
        <f>+CI278*CH279+CG279</f>
        <v>591.44335145230809</v>
      </c>
      <c r="CJ279" s="114">
        <f t="shared" ref="CJ279:CJ300" si="542">LN(CI279/CI278)</f>
        <v>4.7483208229293077E-2</v>
      </c>
      <c r="CK279" s="114"/>
      <c r="CL279" s="169">
        <f t="shared" ref="CL279:CL302" si="543">+(CI278-CI279+CG279)/CI278</f>
        <v>4.9751243781094977E-3</v>
      </c>
      <c r="CM279" s="169"/>
      <c r="CN279" s="114">
        <f>VLOOKUP($H279,RoR!$E:$F,2,FALSE)</f>
        <v>7.0416666666666669E-2</v>
      </c>
      <c r="CO279" s="169">
        <v>1.4335631817396832E-2</v>
      </c>
      <c r="CP279" s="169">
        <f>+CN279-CO279</f>
        <v>5.6081034849269837E-2</v>
      </c>
      <c r="CQ279" s="169"/>
      <c r="CR279" s="169"/>
      <c r="CS279" s="179">
        <f t="shared" ref="CS279:CS302" si="544">1-CX279*CY279</f>
        <v>0.87050000000000005</v>
      </c>
      <c r="CT279" s="180">
        <f t="shared" ref="CT279:CT301" si="545">2/(DC279*39)</f>
        <v>0.72826581702321336</v>
      </c>
      <c r="CU279" s="180">
        <f t="shared" ref="CU279:CU301" si="546">+(DC279*40-(1+DC279))/(DC279*40)</f>
        <v>0.61997041420118348</v>
      </c>
      <c r="CV279" s="180">
        <f t="shared" ref="CV279:CV301" si="547">+(1-(1/(1+DC279)^40))</f>
        <v>0.93425155319585029</v>
      </c>
      <c r="CW279" s="180">
        <f t="shared" ref="CW279:CW301" si="548">+CV279*CU279*CT279</f>
        <v>0.42181762214141483</v>
      </c>
      <c r="CX279" s="181">
        <f>INDEX('State Tax Lookup'!$D$7:$Z$91,MATCH(Calculation!$C279,'State Tax Lookup'!$B$7:$B$91,0),MATCH($H279,'State Tax Lookup'!$D$6:$Z$6,0))</f>
        <v>0.35</v>
      </c>
      <c r="CY279" s="72">
        <v>0.37</v>
      </c>
      <c r="CZ279" s="70"/>
      <c r="DA279" s="70"/>
      <c r="DB279" s="69"/>
      <c r="DC279" s="111">
        <f>VLOOKUP($H279,RoR!$E:$F,2,FALSE)</f>
        <v>7.0416666666666669E-2</v>
      </c>
      <c r="DD279" s="216">
        <f>HLOOKUP($H279,'GDP-PI'!$D$8:$CQ$11,3,FALSE)</f>
        <v>1.4335631817396832E-2</v>
      </c>
      <c r="DE279" s="111">
        <f>VLOOKUP(H279,'HW Dx Data'!$E:$F,2,FALSE)</f>
        <v>335.32499146683239</v>
      </c>
      <c r="DF279" s="66"/>
      <c r="DG279" s="69"/>
      <c r="DH279" s="66">
        <f>HLOOKUP(H279,'GDP-PI'!$8:$9,2,FALSE)</f>
        <v>76.346000000000004</v>
      </c>
      <c r="DI279"/>
      <c r="EB279"/>
    </row>
    <row r="280" spans="1:132" s="160" customFormat="1" ht="21">
      <c r="A280" s="160" t="s">
        <v>176</v>
      </c>
      <c r="B280" s="161" t="s">
        <v>176</v>
      </c>
      <c r="C280" s="161">
        <v>4059355</v>
      </c>
      <c r="D280" s="161" t="s">
        <v>177</v>
      </c>
      <c r="E280" s="161"/>
      <c r="F280" s="161"/>
      <c r="G280" s="161" t="s">
        <v>107</v>
      </c>
      <c r="H280" s="162">
        <v>2000</v>
      </c>
      <c r="I280" s="163"/>
      <c r="J280" s="159"/>
      <c r="K280" s="159"/>
      <c r="L280" s="159"/>
      <c r="M280" s="60"/>
      <c r="N280" s="152"/>
      <c r="O280" s="60"/>
      <c r="P280" s="60"/>
      <c r="Q280" s="159"/>
      <c r="R280" s="159"/>
      <c r="S280" s="159"/>
      <c r="T280" s="159"/>
      <c r="U280" s="159"/>
      <c r="V280" s="159"/>
      <c r="W280" s="159">
        <f t="shared" si="538"/>
        <v>0</v>
      </c>
      <c r="X280" s="163"/>
      <c r="Y280" s="167">
        <v>588.40185495116896</v>
      </c>
      <c r="Z280" s="168">
        <v>-5.1557665735003496E-3</v>
      </c>
      <c r="AA280" s="78"/>
      <c r="AB280" s="168"/>
      <c r="AC280" s="168"/>
      <c r="AD280" s="163">
        <f t="shared" si="465"/>
        <v>0</v>
      </c>
      <c r="AE280" s="168"/>
      <c r="AF280" s="163"/>
      <c r="AG280" s="163"/>
      <c r="AH280" s="163"/>
      <c r="AI280" s="163"/>
      <c r="AJ280" s="167"/>
      <c r="AK280" s="168"/>
      <c r="AL280" s="115"/>
      <c r="AM280" s="115"/>
      <c r="AN280" s="115"/>
      <c r="AO280" s="115"/>
      <c r="AP280" s="115"/>
      <c r="AQ280" s="168"/>
      <c r="AR280" s="79"/>
      <c r="AS280" s="115"/>
      <c r="AT280" s="115"/>
      <c r="AU280" s="115"/>
      <c r="AV280" s="113">
        <f>IFERROR(INDEX('Total Customers'!$F$7:$AB$91,MATCH($C280,'Total Customers'!$D$7:$D$91,0),MATCH($G280,'Total Customers'!$F$5:$AB$5,0)),"NA")</f>
        <v>143182</v>
      </c>
      <c r="AW280" s="68">
        <f t="shared" si="523"/>
        <v>9.5931570057387165E-3</v>
      </c>
      <c r="AX280" s="114"/>
      <c r="AY280" s="114"/>
      <c r="AZ280" s="116"/>
      <c r="BA280" s="116"/>
      <c r="BB280" s="166"/>
      <c r="BC280" s="166"/>
      <c r="BD280" s="166"/>
      <c r="BE280" s="166"/>
      <c r="BF280" s="166"/>
      <c r="BG280" s="166"/>
      <c r="BH280" s="166"/>
      <c r="BI280" s="113"/>
      <c r="BJ280" s="113"/>
      <c r="BK280" s="113">
        <f>INDEX('Dist. Plant Gas Additions'!$F$7:$AE$91,MATCH($C280,'Dist. Plant Gas Additions'!$D$7:$D$91,0),MATCH(Calculation!$G280,'Dist. Plant Gas Additions'!$F$5:$AE$5,0))</f>
        <v>0</v>
      </c>
      <c r="BL280" s="113">
        <f>INDEX('Gen. Plant Additions'!$F$7:$AE$91,MATCH($C280,'Gen. Plant Additions'!$D$7:$D$91,0),MATCH(Calculation!$G280,'Gen. Plant Additions'!$F$5:$AE$5,0))</f>
        <v>0</v>
      </c>
      <c r="BM280" s="231">
        <f t="shared" si="539"/>
        <v>0.97558279213786969</v>
      </c>
      <c r="BN280" s="61">
        <f t="shared" si="537"/>
        <v>0</v>
      </c>
      <c r="BO280" s="113"/>
      <c r="BP280" s="113"/>
      <c r="BQ280" s="113"/>
      <c r="BR280" s="113"/>
      <c r="BS280" s="113"/>
      <c r="BT280" s="113"/>
      <c r="BU280" s="113"/>
      <c r="BV280" s="113"/>
      <c r="BW280" s="113">
        <f>INDEX('Gross Dx Plant'!$E$7:$AD$91,MATCH($C280,'Gross Dx Plant'!$D$7:$D$91,0),MATCH(Calculation!$G280,'Gross Dx Plant'!$E$5:$AD$5,0))</f>
        <v>203849</v>
      </c>
      <c r="BX280" s="113">
        <f>INDEX('Gross Gen Plant'!$E$7:$AD$91,MATCH($C280,'Gross Gen Plant'!$D$7:$D$91,0),MATCH(Calculation!$G280,'Gross Gen Plant'!$E$5:$AD$5,0))</f>
        <v>5102</v>
      </c>
      <c r="BY280" s="113">
        <f t="shared" si="444"/>
        <v>208951</v>
      </c>
      <c r="BZ280" s="113"/>
      <c r="CA280" s="116">
        <v>2000</v>
      </c>
      <c r="CB280" s="113"/>
      <c r="CC280" s="113"/>
      <c r="CD280" s="113"/>
      <c r="CE280" s="175"/>
      <c r="CF280" s="113">
        <f t="shared" si="540"/>
        <v>0</v>
      </c>
      <c r="CG280" s="113">
        <f t="shared" si="541"/>
        <v>0</v>
      </c>
      <c r="CH280" s="178">
        <v>0.98989898989898994</v>
      </c>
      <c r="CI280" s="61">
        <f>+CI278*CH280+CG279*CH279+CG280</f>
        <v>588.40185495116896</v>
      </c>
      <c r="CJ280" s="114">
        <f t="shared" si="542"/>
        <v>-5.1557665735003496E-3</v>
      </c>
      <c r="CK280" s="114"/>
      <c r="CL280" s="169">
        <f t="shared" si="543"/>
        <v>5.1424984213122756E-3</v>
      </c>
      <c r="CM280" s="169"/>
      <c r="CN280" s="114">
        <f>VLOOKUP($H280,RoR!$E:$F,2,FALSE)</f>
        <v>7.6225000000000001E-2</v>
      </c>
      <c r="CO280" s="169">
        <v>2.2568307442433211E-2</v>
      </c>
      <c r="CP280" s="169">
        <f t="shared" ref="CP280:CP300" si="549">+CN280-CO280</f>
        <v>5.365669255756679E-2</v>
      </c>
      <c r="CQ280" s="169"/>
      <c r="CR280" s="169"/>
      <c r="CS280" s="179">
        <f t="shared" si="544"/>
        <v>0.87050000000000005</v>
      </c>
      <c r="CT280" s="180">
        <f t="shared" si="545"/>
        <v>0.67277207323124022</v>
      </c>
      <c r="CU280" s="180">
        <f t="shared" si="546"/>
        <v>0.6470236142997704</v>
      </c>
      <c r="CV280" s="180">
        <f t="shared" si="547"/>
        <v>0.94704866037543145</v>
      </c>
      <c r="CW280" s="180">
        <f t="shared" si="548"/>
        <v>0.41224973107878493</v>
      </c>
      <c r="CX280" s="181">
        <f>INDEX('State Tax Lookup'!$D$7:$Z$91,MATCH(Calculation!$C280,'State Tax Lookup'!$B$7:$B$91,0),MATCH($H280,'State Tax Lookup'!$D$6:$Z$6,0))</f>
        <v>0.35</v>
      </c>
      <c r="CY280" s="72">
        <v>0.37</v>
      </c>
      <c r="CZ280" s="70"/>
      <c r="DA280" s="70"/>
      <c r="DB280" s="69"/>
      <c r="DC280" s="111">
        <f>VLOOKUP($H280,RoR!$E:$F,2,FALSE)</f>
        <v>7.6225000000000001E-2</v>
      </c>
      <c r="DD280" s="216">
        <f>HLOOKUP($H280,'GDP-PI'!$D$8:$CQ$11,3,FALSE)</f>
        <v>2.2568307442433211E-2</v>
      </c>
      <c r="DE280" s="111">
        <f>VLOOKUP(H280,'HW Dx Data'!$E:$F,2,FALSE)</f>
        <v>346.53371782150339</v>
      </c>
      <c r="DF280" s="66"/>
      <c r="DG280" s="69"/>
      <c r="DH280" s="66">
        <f>HLOOKUP(H280,'GDP-PI'!$8:$9,2,FALSE)</f>
        <v>78.069000000000003</v>
      </c>
      <c r="DI280"/>
      <c r="EB280"/>
    </row>
    <row r="281" spans="1:132" s="160" customFormat="1" ht="21">
      <c r="A281" s="160" t="s">
        <v>176</v>
      </c>
      <c r="B281" s="161" t="s">
        <v>176</v>
      </c>
      <c r="C281" s="161">
        <v>4059355</v>
      </c>
      <c r="D281" s="161" t="s">
        <v>177</v>
      </c>
      <c r="E281" s="161"/>
      <c r="F281" s="161"/>
      <c r="G281" s="161" t="s">
        <v>111</v>
      </c>
      <c r="H281" s="162">
        <v>2001</v>
      </c>
      <c r="I281" s="163"/>
      <c r="J281" s="159"/>
      <c r="K281" s="159"/>
      <c r="L281" s="159"/>
      <c r="M281" s="60"/>
      <c r="N281" s="152"/>
      <c r="O281" s="60"/>
      <c r="P281" s="60"/>
      <c r="Q281" s="159"/>
      <c r="R281" s="159"/>
      <c r="S281" s="159"/>
      <c r="T281" s="159"/>
      <c r="U281" s="159"/>
      <c r="V281" s="159"/>
      <c r="W281" s="159">
        <f t="shared" si="538"/>
        <v>7153.9298468030274</v>
      </c>
      <c r="X281" s="163"/>
      <c r="Y281" s="167">
        <v>614.47628394016351</v>
      </c>
      <c r="Z281" s="168">
        <v>4.3360192928509234E-2</v>
      </c>
      <c r="AA281" s="78"/>
      <c r="AB281" s="168"/>
      <c r="AC281" s="168"/>
      <c r="AD281" s="163">
        <f t="shared" si="465"/>
        <v>7153.9298468030274</v>
      </c>
      <c r="AE281" s="168"/>
      <c r="AF281" s="163"/>
      <c r="AG281" s="163"/>
      <c r="AH281" s="163"/>
      <c r="AI281" s="163"/>
      <c r="AJ281" s="167"/>
      <c r="AK281" s="168"/>
      <c r="AL281" s="115"/>
      <c r="AM281" s="115"/>
      <c r="AN281" s="115"/>
      <c r="AO281" s="115"/>
      <c r="AP281" s="115"/>
      <c r="AQ281" s="168"/>
      <c r="AR281" s="79"/>
      <c r="AS281" s="115"/>
      <c r="AT281" s="115"/>
      <c r="AU281" s="115"/>
      <c r="AV281" s="113">
        <f>IFERROR(INDEX('Total Customers'!$F$7:$AB$91,MATCH($C281,'Total Customers'!$D$7:$D$91,0),MATCH($G281,'Total Customers'!$F$5:$AB$5,0)),"NA")</f>
        <v>142162</v>
      </c>
      <c r="AW281" s="68">
        <f t="shared" si="523"/>
        <v>-7.1492958993565944E-3</v>
      </c>
      <c r="AX281" s="114"/>
      <c r="AY281" s="114"/>
      <c r="AZ281" s="116"/>
      <c r="BA281" s="116"/>
      <c r="BB281" s="166"/>
      <c r="BC281" s="166"/>
      <c r="BD281" s="166"/>
      <c r="BE281" s="166"/>
      <c r="BF281" s="166"/>
      <c r="BG281" s="166"/>
      <c r="BH281" s="166"/>
      <c r="BI281" s="113"/>
      <c r="BJ281" s="113"/>
      <c r="BK281" s="113">
        <f>INDEX('Dist. Plant Gas Additions'!$F$7:$AE$91,MATCH($C281,'Dist. Plant Gas Additions'!$D$7:$D$91,0),MATCH(Calculation!$G281,'Dist. Plant Gas Additions'!$F$5:$AE$5,0))</f>
        <v>10108</v>
      </c>
      <c r="BL281" s="113">
        <f>INDEX('Gen. Plant Additions'!$F$7:$AE$91,MATCH($C281,'Gen. Plant Additions'!$D$7:$D$91,0),MATCH(Calculation!$G281,'Gen. Plant Additions'!$F$5:$AE$5,0))</f>
        <v>216</v>
      </c>
      <c r="BM281" s="231">
        <f t="shared" si="539"/>
        <v>0.97675626005053984</v>
      </c>
      <c r="BN281" s="61">
        <f t="shared" si="537"/>
        <v>210.9793521709166</v>
      </c>
      <c r="BO281" s="113">
        <f>INDEX('Dist Plant Depreciation'!$E$7:$AD$94,MATCH($C281,'Dist Plant Depreciation'!$D$7:$D$94,0),MATCH(Calculation!$G281,'Dist Plant Depreciation'!$E$5:$AD$5,0))</f>
        <v>94318</v>
      </c>
      <c r="BP281" s="113">
        <f>INDEX('Gen. Plant Depreciation'!$E$7:$AD$94,MATCH($C281,'Gen. Plant Depreciation'!$D$7:$D$94,0),MATCH(Calculation!$G281,'Gen. Plant Depreciation'!$E$5:$AD$5,0))</f>
        <v>809</v>
      </c>
      <c r="BQ281" s="113"/>
      <c r="BR281" s="113"/>
      <c r="BS281" s="113"/>
      <c r="BT281" s="113"/>
      <c r="BU281" s="113"/>
      <c r="BV281" s="113"/>
      <c r="BW281" s="113">
        <f>INDEX('Gross Dx Plant'!$E$7:$AD$91,MATCH($C281,'Gross Dx Plant'!$D$7:$D$91,0),MATCH(Calculation!$G281,'Gross Dx Plant'!$E$5:$AD$5,0))</f>
        <v>212591</v>
      </c>
      <c r="BX281" s="113">
        <f>INDEX('Gross Gen Plant'!$E$7:$AD$91,MATCH($C281,'Gross Gen Plant'!$D$7:$D$91,0),MATCH(Calculation!$G281,'Gross Gen Plant'!$E$5:$AD$5,0))</f>
        <v>5059</v>
      </c>
      <c r="BY281" s="113">
        <f t="shared" si="444"/>
        <v>122523</v>
      </c>
      <c r="BZ281" s="113"/>
      <c r="CA281" s="116">
        <v>2001</v>
      </c>
      <c r="CB281" s="113"/>
      <c r="CC281" s="113"/>
      <c r="CD281" s="113"/>
      <c r="CE281" s="175"/>
      <c r="CF281" s="113">
        <f t="shared" si="540"/>
        <v>10324</v>
      </c>
      <c r="CG281" s="113">
        <f t="shared" si="541"/>
        <v>29.209439874453938</v>
      </c>
      <c r="CH281" s="178">
        <v>0.98461538461538467</v>
      </c>
      <c r="CI281" s="61">
        <f>+CI278*CH281+CG279*CH280+CG280*CH278+CG281</f>
        <v>614.47628394016351</v>
      </c>
      <c r="CJ281" s="114">
        <f t="shared" si="542"/>
        <v>4.3360192928509234E-2</v>
      </c>
      <c r="CK281" s="114"/>
      <c r="CL281" s="169">
        <f t="shared" si="543"/>
        <v>5.3280098610830441E-3</v>
      </c>
      <c r="CM281" s="169">
        <f>+(CL281+CL280+CL279)/3</f>
        <v>5.1485442201682722E-3</v>
      </c>
      <c r="CN281" s="114">
        <f>VLOOKUP($H281,RoR!$E:$F,2,FALSE)</f>
        <v>7.0824999999999999E-2</v>
      </c>
      <c r="CO281" s="169">
        <v>2.2454495382290052E-2</v>
      </c>
      <c r="CP281" s="169">
        <f t="shared" si="549"/>
        <v>4.8370504617709947E-2</v>
      </c>
      <c r="CQ281" s="169">
        <f>+$CP$2-CM281</f>
        <v>2.5753397388365351E-2</v>
      </c>
      <c r="CR281" s="169">
        <f>+((DE279/DE278-1)+(DE280/DE279-1)+(DE281/DE280-1))/3</f>
        <v>2.3947275901631187E-2</v>
      </c>
      <c r="CS281" s="179">
        <f t="shared" si="544"/>
        <v>0.87050000000000005</v>
      </c>
      <c r="CT281" s="180">
        <f t="shared" si="545"/>
        <v>0.72406708481540816</v>
      </c>
      <c r="CU281" s="180">
        <f t="shared" si="546"/>
        <v>0.62201729615248857</v>
      </c>
      <c r="CV281" s="180">
        <f t="shared" si="547"/>
        <v>0.9352469954311422</v>
      </c>
      <c r="CW281" s="180">
        <f t="shared" si="548"/>
        <v>0.42121864641655071</v>
      </c>
      <c r="CX281" s="181">
        <f>INDEX('State Tax Lookup'!$D$7:$Z$91,MATCH(Calculation!$C281,'State Tax Lookup'!$B$7:$B$91,0),MATCH($H281,'State Tax Lookup'!$D$6:$Z$6,0))</f>
        <v>0.35</v>
      </c>
      <c r="CY281" s="72">
        <v>0.37</v>
      </c>
      <c r="CZ281" s="70">
        <f t="shared" ref="CZ281:CZ302" si="550">+(DE281*CQ281-CR281)*CS281/(1-CX281)</f>
        <v>12.158238092904597</v>
      </c>
      <c r="DA281" s="70"/>
      <c r="DB281" s="69"/>
      <c r="DC281" s="111">
        <f>VLOOKUP($H281,RoR!$E:$F,2,FALSE)</f>
        <v>7.0824999999999999E-2</v>
      </c>
      <c r="DD281" s="216">
        <f>HLOOKUP($H281,'GDP-PI'!$D$8:$CQ$11,3,FALSE)</f>
        <v>2.2454495382290052E-2</v>
      </c>
      <c r="DE281" s="111">
        <f>VLOOKUP(H281,'HW Dx Data'!$E:$F,2,FALSE)</f>
        <v>353.44738017483138</v>
      </c>
      <c r="DF281" s="66"/>
      <c r="DG281" s="69"/>
      <c r="DH281" s="66">
        <f>HLOOKUP(H281,'GDP-PI'!$8:$9,2,FALSE)</f>
        <v>79.822000000000003</v>
      </c>
      <c r="DI281"/>
      <c r="EB281"/>
    </row>
    <row r="282" spans="1:132" s="160" customFormat="1" ht="21">
      <c r="A282" s="160" t="s">
        <v>176</v>
      </c>
      <c r="B282" s="161" t="s">
        <v>176</v>
      </c>
      <c r="C282" s="161">
        <v>4059355</v>
      </c>
      <c r="D282" s="161" t="s">
        <v>177</v>
      </c>
      <c r="E282" s="161"/>
      <c r="F282" s="161"/>
      <c r="G282" s="161" t="s">
        <v>113</v>
      </c>
      <c r="H282" s="162">
        <v>2002</v>
      </c>
      <c r="I282" s="163"/>
      <c r="J282" s="159"/>
      <c r="K282" s="159"/>
      <c r="L282" s="159"/>
      <c r="M282" s="60"/>
      <c r="N282" s="152"/>
      <c r="O282" s="60"/>
      <c r="P282" s="60"/>
      <c r="Q282" s="159"/>
      <c r="R282" s="159"/>
      <c r="S282" s="159"/>
      <c r="T282" s="159"/>
      <c r="U282" s="159"/>
      <c r="V282" s="159"/>
      <c r="W282" s="159">
        <f t="shared" si="538"/>
        <v>7585.5231826365753</v>
      </c>
      <c r="X282" s="163"/>
      <c r="Y282" s="167">
        <v>645.29776101899324</v>
      </c>
      <c r="Z282" s="168">
        <v>4.8941521076094098E-2</v>
      </c>
      <c r="AA282" s="78"/>
      <c r="AB282" s="168"/>
      <c r="AC282" s="168"/>
      <c r="AD282" s="163">
        <f t="shared" si="465"/>
        <v>7585.5231826365753</v>
      </c>
      <c r="AE282" s="168"/>
      <c r="AF282" s="163"/>
      <c r="AG282" s="163"/>
      <c r="AH282" s="163"/>
      <c r="AI282" s="163"/>
      <c r="AJ282" s="167"/>
      <c r="AK282" s="168"/>
      <c r="AL282" s="115"/>
      <c r="AM282" s="115"/>
      <c r="AN282" s="115"/>
      <c r="AO282" s="115"/>
      <c r="AP282" s="115"/>
      <c r="AQ282" s="168"/>
      <c r="AR282" s="79"/>
      <c r="AS282" s="115"/>
      <c r="AT282" s="115"/>
      <c r="AU282" s="115"/>
      <c r="AV282" s="113">
        <f>IFERROR(INDEX('Total Customers'!$F$7:$AB$91,MATCH($C282,'Total Customers'!$D$7:$D$91,0),MATCH($G282,'Total Customers'!$F$5:$AB$5,0)),"NA")</f>
        <v>143179</v>
      </c>
      <c r="AW282" s="68">
        <f t="shared" si="523"/>
        <v>7.1283433255067844E-3</v>
      </c>
      <c r="AX282" s="114"/>
      <c r="AY282" s="114"/>
      <c r="AZ282" s="116"/>
      <c r="BA282" s="116"/>
      <c r="BB282" s="166"/>
      <c r="BC282" s="166"/>
      <c r="BD282" s="166"/>
      <c r="BE282" s="166"/>
      <c r="BF282" s="166"/>
      <c r="BG282" s="166"/>
      <c r="BH282" s="166"/>
      <c r="BI282" s="113"/>
      <c r="BJ282" s="113"/>
      <c r="BK282" s="113">
        <f>INDEX('Dist. Plant Gas Additions'!$F$7:$AE$91,MATCH($C282,'Dist. Plant Gas Additions'!$D$7:$D$91,0),MATCH(Calculation!$G282,'Dist. Plant Gas Additions'!$F$5:$AE$5,0))</f>
        <v>11911</v>
      </c>
      <c r="BL282" s="113">
        <f>INDEX('Gen. Plant Additions'!$F$7:$AE$91,MATCH($C282,'Gen. Plant Additions'!$D$7:$D$91,0),MATCH(Calculation!$G282,'Gen. Plant Additions'!$F$5:$AE$5,0))</f>
        <v>447</v>
      </c>
      <c r="BM282" s="231">
        <f t="shared" si="539"/>
        <v>0.97684891399962359</v>
      </c>
      <c r="BN282" s="61">
        <f t="shared" si="537"/>
        <v>436.65146455783173</v>
      </c>
      <c r="BO282" s="113">
        <f>INDEX('Dist Plant Depreciation'!$E$7:$AD$94,MATCH($C282,'Dist Plant Depreciation'!$D$7:$D$94,0),MATCH(Calculation!$G282,'Dist Plant Depreciation'!$E$5:$AD$5,0))</f>
        <v>100934</v>
      </c>
      <c r="BP282" s="113">
        <f>INDEX('Gen. Plant Depreciation'!$E$7:$AD$94,MATCH($C282,'Gen. Plant Depreciation'!$D$7:$D$94,0),MATCH(Calculation!$G282,'Gen. Plant Depreciation'!$E$5:$AD$5,0))</f>
        <v>662</v>
      </c>
      <c r="BQ282" s="113"/>
      <c r="BR282" s="113"/>
      <c r="BS282" s="113"/>
      <c r="BT282" s="113"/>
      <c r="BU282" s="113"/>
      <c r="BV282" s="113"/>
      <c r="BW282" s="113">
        <f>INDEX('Gross Dx Plant'!$E$7:$AD$91,MATCH($C282,'Gross Dx Plant'!$D$7:$D$91,0),MATCH(Calculation!$G282,'Gross Dx Plant'!$E$5:$AD$5,0))</f>
        <v>223209</v>
      </c>
      <c r="BX282" s="113">
        <f>INDEX('Gross Gen Plant'!$E$7:$AD$91,MATCH($C282,'Gross Gen Plant'!$D$7:$D$91,0),MATCH(Calculation!$G282,'Gross Gen Plant'!$E$5:$AD$5,0))</f>
        <v>5290</v>
      </c>
      <c r="BY282" s="113">
        <f t="shared" ref="BY282:BY325" si="551">IF(OR(BO282="NA",BP282="NA"),"NA",(SUM(BW282:BX282)-SUM(BO282:BP282)))</f>
        <v>126903</v>
      </c>
      <c r="BZ282" s="113"/>
      <c r="CA282" s="116">
        <v>2002</v>
      </c>
      <c r="CB282" s="113"/>
      <c r="CC282" s="113"/>
      <c r="CD282" s="113"/>
      <c r="CE282" s="175"/>
      <c r="CF282" s="113">
        <f t="shared" si="540"/>
        <v>12358</v>
      </c>
      <c r="CG282" s="113">
        <f t="shared" si="541"/>
        <v>34.19970314472959</v>
      </c>
      <c r="CH282" s="178">
        <v>0.97916666666666663</v>
      </c>
      <c r="CI282" s="61">
        <f>+CI278*CH282+CG279*CH281+CG280*CH280+CG281*CH279+CG282</f>
        <v>645.29776101899324</v>
      </c>
      <c r="CJ282" s="114">
        <f t="shared" si="542"/>
        <v>4.8941521076094098E-2</v>
      </c>
      <c r="CK282" s="114"/>
      <c r="CL282" s="169">
        <f t="shared" si="543"/>
        <v>5.4977322220442675E-3</v>
      </c>
      <c r="CM282" s="169">
        <f t="shared" ref="CM282:CM302" si="552">+(CL282+CL281+CL280)/3</f>
        <v>5.3227468348131966E-3</v>
      </c>
      <c r="CN282" s="114">
        <f>VLOOKUP($H282,RoR!$E:$F,2,FALSE)</f>
        <v>6.4916666666666664E-2</v>
      </c>
      <c r="CO282" s="169">
        <v>1.5246423291824351E-2</v>
      </c>
      <c r="CP282" s="169">
        <f t="shared" si="549"/>
        <v>4.9670243374842313E-2</v>
      </c>
      <c r="CQ282" s="169">
        <f t="shared" ref="CQ282:CQ302" si="553">+$CP$2-CM282</f>
        <v>2.5579194773720428E-2</v>
      </c>
      <c r="CR282" s="169">
        <f t="shared" ref="CR282:CR302" si="554">+((DE280/DE279-1)+(DE281/DE280-1)+(DE282/DE281-1))/3</f>
        <v>2.5243621214759093E-2</v>
      </c>
      <c r="CS282" s="179">
        <f t="shared" si="544"/>
        <v>0.87050000000000005</v>
      </c>
      <c r="CT282" s="180">
        <f t="shared" si="545"/>
        <v>0.78996741384417901</v>
      </c>
      <c r="CU282" s="180">
        <f t="shared" si="546"/>
        <v>0.58989088575096271</v>
      </c>
      <c r="CV282" s="180">
        <f t="shared" si="547"/>
        <v>0.91920675783645744</v>
      </c>
      <c r="CW282" s="180">
        <f t="shared" si="548"/>
        <v>0.42834536472275586</v>
      </c>
      <c r="CX282" s="181">
        <f>INDEX('State Tax Lookup'!$D$7:$Z$91,MATCH(Calculation!$C282,'State Tax Lookup'!$B$7:$B$91,0),MATCH($H282,'State Tax Lookup'!$D$6:$Z$6,0))</f>
        <v>0.35</v>
      </c>
      <c r="CY282" s="72">
        <v>0.37</v>
      </c>
      <c r="CZ282" s="70">
        <f t="shared" si="550"/>
        <v>12.344696420171749</v>
      </c>
      <c r="DA282" s="70"/>
      <c r="DB282" s="69">
        <f>LN(CZ282/CZ281)</f>
        <v>1.5219558811851126E-2</v>
      </c>
      <c r="DC282" s="111">
        <f>VLOOKUP($H282,RoR!$E:$F,2,FALSE)</f>
        <v>6.4916666666666664E-2</v>
      </c>
      <c r="DD282" s="216">
        <f>HLOOKUP($H282,'GDP-PI'!$D$8:$CQ$11,3,FALSE)</f>
        <v>1.5246423291824351E-2</v>
      </c>
      <c r="DE282" s="111">
        <f>VLOOKUP(H282,'HW Dx Data'!$E:$F,2,FALSE)</f>
        <v>361.34816573413599</v>
      </c>
      <c r="DF282" s="66"/>
      <c r="DG282" s="69"/>
      <c r="DH282" s="66">
        <f>HLOOKUP(H282,'GDP-PI'!$8:$9,2,FALSE)</f>
        <v>81.039000000000001</v>
      </c>
      <c r="DI282" s="69">
        <f>LN(DH282/DH281)</f>
        <v>1.513136459537477E-2</v>
      </c>
      <c r="EB282"/>
    </row>
    <row r="283" spans="1:132" s="160" customFormat="1" ht="21">
      <c r="A283" s="160" t="s">
        <v>176</v>
      </c>
      <c r="B283" s="161" t="s">
        <v>176</v>
      </c>
      <c r="C283" s="161">
        <v>4059355</v>
      </c>
      <c r="D283" s="161" t="s">
        <v>177</v>
      </c>
      <c r="E283" s="161"/>
      <c r="F283" s="161"/>
      <c r="G283" s="161" t="s">
        <v>114</v>
      </c>
      <c r="H283" s="162">
        <v>2003</v>
      </c>
      <c r="I283" s="163"/>
      <c r="J283" s="159"/>
      <c r="K283" s="159"/>
      <c r="L283" s="159"/>
      <c r="M283" s="76"/>
      <c r="N283" s="152"/>
      <c r="O283" s="76"/>
      <c r="P283" s="76"/>
      <c r="Q283" s="159"/>
      <c r="R283" s="159"/>
      <c r="S283" s="159"/>
      <c r="T283" s="159"/>
      <c r="U283" s="159"/>
      <c r="V283" s="159"/>
      <c r="W283" s="159">
        <f t="shared" si="538"/>
        <v>8088.118552685075</v>
      </c>
      <c r="X283" s="163"/>
      <c r="Y283" s="167">
        <v>664.15125251348547</v>
      </c>
      <c r="Z283" s="168">
        <v>2.879805820500065E-2</v>
      </c>
      <c r="AA283" s="78"/>
      <c r="AB283" s="168"/>
      <c r="AC283" s="168"/>
      <c r="AD283" s="163">
        <f t="shared" si="465"/>
        <v>8088.118552685075</v>
      </c>
      <c r="AE283" s="168"/>
      <c r="AF283" s="163"/>
      <c r="AG283" s="163"/>
      <c r="AH283" s="163"/>
      <c r="AI283" s="163"/>
      <c r="AJ283" s="167"/>
      <c r="AK283" s="168"/>
      <c r="AL283" s="115"/>
      <c r="AM283" s="115"/>
      <c r="AN283" s="115"/>
      <c r="AO283" s="115"/>
      <c r="AP283" s="115"/>
      <c r="AQ283" s="168"/>
      <c r="AR283" s="79"/>
      <c r="AS283" s="115"/>
      <c r="AT283" s="115"/>
      <c r="AU283" s="115"/>
      <c r="AV283" s="113">
        <f>IFERROR(INDEX('Total Customers'!$F$7:$AB$91,MATCH($C283,'Total Customers'!$D$7:$D$91,0),MATCH($G283,'Total Customers'!$F$5:$AB$5,0)),"NA")</f>
        <v>142857</v>
      </c>
      <c r="AW283" s="68">
        <f t="shared" si="523"/>
        <v>-2.2514658016529235E-3</v>
      </c>
      <c r="AX283" s="114"/>
      <c r="AY283" s="114"/>
      <c r="AZ283" s="116"/>
      <c r="BA283" s="116"/>
      <c r="BB283" s="166"/>
      <c r="BC283" s="166"/>
      <c r="BD283" s="166"/>
      <c r="BE283" s="166"/>
      <c r="BF283" s="166"/>
      <c r="BG283" s="166"/>
      <c r="BH283" s="166"/>
      <c r="BI283" s="113"/>
      <c r="BJ283" s="113"/>
      <c r="BK283" s="113">
        <f>INDEX('Dist. Plant Gas Additions'!$F$7:$AE$91,MATCH($C283,'Dist. Plant Gas Additions'!$D$7:$D$91,0),MATCH(Calculation!$G283,'Dist. Plant Gas Additions'!$F$5:$AE$5,0))</f>
        <v>8279</v>
      </c>
      <c r="BL283" s="113">
        <f>INDEX('Gen. Plant Additions'!$F$7:$AE$91,MATCH($C283,'Gen. Plant Additions'!$D$7:$D$91,0),MATCH(Calculation!$G283,'Gen. Plant Additions'!$F$5:$AE$5,0))</f>
        <v>32</v>
      </c>
      <c r="BM283" s="231">
        <f t="shared" si="539"/>
        <v>0.97765674108710354</v>
      </c>
      <c r="BN283" s="61">
        <f t="shared" si="537"/>
        <v>31.285015714787313</v>
      </c>
      <c r="BO283" s="113">
        <f>INDEX('Dist Plant Depreciation'!$E$7:$AD$94,MATCH($C283,'Dist Plant Depreciation'!$D$7:$D$94,0),MATCH(Calculation!$G283,'Dist Plant Depreciation'!$E$5:$AD$5,0))</f>
        <v>103190</v>
      </c>
      <c r="BP283" s="113">
        <f>INDEX('Gen. Plant Depreciation'!$E$7:$AD$94,MATCH($C283,'Gen. Plant Depreciation'!$D$7:$D$94,0),MATCH(Calculation!$G283,'Gen. Plant Depreciation'!$E$5:$AD$5,0))</f>
        <v>944</v>
      </c>
      <c r="BQ283" s="113"/>
      <c r="BR283" s="113"/>
      <c r="BS283" s="113"/>
      <c r="BT283" s="113"/>
      <c r="BU283" s="113"/>
      <c r="BV283" s="113"/>
      <c r="BW283" s="113">
        <f>INDEX('Gross Dx Plant'!$E$7:$AD$91,MATCH($C283,'Gross Dx Plant'!$D$7:$D$91,0),MATCH(Calculation!$G283,'Gross Dx Plant'!$E$5:$AD$5,0))</f>
        <v>228320</v>
      </c>
      <c r="BX283" s="113">
        <f>INDEX('Gross Gen Plant'!$E$7:$AD$91,MATCH($C283,'Gross Gen Plant'!$D$7:$D$91,0),MATCH(Calculation!$G283,'Gross Gen Plant'!$E$5:$AD$5,0))</f>
        <v>5218</v>
      </c>
      <c r="BY283" s="113">
        <f t="shared" si="551"/>
        <v>129404</v>
      </c>
      <c r="BZ283" s="113"/>
      <c r="CA283" s="116">
        <v>2003</v>
      </c>
      <c r="CB283" s="113"/>
      <c r="CC283" s="113"/>
      <c r="CD283" s="113"/>
      <c r="CE283" s="175"/>
      <c r="CF283" s="113">
        <f t="shared" si="540"/>
        <v>8311</v>
      </c>
      <c r="CG283" s="113">
        <f t="shared" si="541"/>
        <v>22.508821674666972</v>
      </c>
      <c r="CH283" s="178">
        <v>0.97354497354497349</v>
      </c>
      <c r="CI283" s="61">
        <f>+CI278*CH283+CG279*CH282+CG280*CH281+CG281*CH280+CG282*CH279+CG283</f>
        <v>664.15125251348547</v>
      </c>
      <c r="CJ283" s="114">
        <f t="shared" si="542"/>
        <v>2.879805820500065E-2</v>
      </c>
      <c r="CK283" s="114"/>
      <c r="CL283" s="169">
        <f t="shared" si="543"/>
        <v>5.6645635565240274E-3</v>
      </c>
      <c r="CM283" s="169">
        <f t="shared" si="552"/>
        <v>5.4967685465504464E-3</v>
      </c>
      <c r="CN283" s="114">
        <f>VLOOKUP($H283,RoR!$E:$F,2,FALSE)</f>
        <v>5.6666666666666671E-2</v>
      </c>
      <c r="CO283" s="169">
        <v>1.8855119140166909E-2</v>
      </c>
      <c r="CP283" s="169">
        <f t="shared" si="549"/>
        <v>3.7811547526499761E-2</v>
      </c>
      <c r="CQ283" s="169">
        <f t="shared" si="553"/>
        <v>2.5405173061983179E-2</v>
      </c>
      <c r="CR283" s="169">
        <f t="shared" si="554"/>
        <v>2.1375012817671957E-2</v>
      </c>
      <c r="CS283" s="179">
        <f t="shared" si="544"/>
        <v>0.87050000000000005</v>
      </c>
      <c r="CT283" s="180">
        <f t="shared" si="545"/>
        <v>0.90497737556561086</v>
      </c>
      <c r="CU283" s="180">
        <f t="shared" si="546"/>
        <v>0.5338235294117647</v>
      </c>
      <c r="CV283" s="180">
        <f t="shared" si="547"/>
        <v>0.88972433127405692</v>
      </c>
      <c r="CW283" s="180">
        <f t="shared" si="548"/>
        <v>0.42982423775949252</v>
      </c>
      <c r="CX283" s="181">
        <f>INDEX('State Tax Lookup'!$D$7:$Z$91,MATCH(Calculation!$C283,'State Tax Lookup'!$B$7:$B$91,0),MATCH($H283,'State Tax Lookup'!$D$6:$Z$6,0))</f>
        <v>0.35</v>
      </c>
      <c r="CY283" s="72">
        <v>0.37</v>
      </c>
      <c r="CZ283" s="70">
        <f t="shared" si="550"/>
        <v>12.533932459200049</v>
      </c>
      <c r="DA283" s="70"/>
      <c r="DB283" s="69">
        <f t="shared" ref="DB283:DB302" si="555">LN(CZ283/CZ282)</f>
        <v>1.521303200481958E-2</v>
      </c>
      <c r="DC283" s="111">
        <f>VLOOKUP($H283,RoR!$E:$F,2,FALSE)</f>
        <v>5.6666666666666671E-2</v>
      </c>
      <c r="DD283" s="216">
        <f>HLOOKUP($H283,'GDP-PI'!$D$8:$CQ$11,3,FALSE)</f>
        <v>1.8855119140166909E-2</v>
      </c>
      <c r="DE283" s="111">
        <f>VLOOKUP(H283,'HW Dx Data'!$E:$F,2,FALSE)</f>
        <v>369.23301095560191</v>
      </c>
      <c r="DF283" s="66"/>
      <c r="DG283" s="69"/>
      <c r="DH283" s="66">
        <f>HLOOKUP(H283,'GDP-PI'!$8:$9,2,FALSE)</f>
        <v>82.566999999999993</v>
      </c>
      <c r="DI283" s="69">
        <f t="shared" ref="DI283:DI302" si="556">LN(DH283/DH282)</f>
        <v>1.8679564681853753E-2</v>
      </c>
      <c r="EB283"/>
    </row>
    <row r="284" spans="1:132" s="160" customFormat="1" ht="21">
      <c r="A284" s="160" t="s">
        <v>176</v>
      </c>
      <c r="B284" s="161" t="s">
        <v>176</v>
      </c>
      <c r="C284" s="161">
        <v>4059355</v>
      </c>
      <c r="D284" s="161" t="s">
        <v>177</v>
      </c>
      <c r="E284" s="161"/>
      <c r="F284" s="161"/>
      <c r="G284" s="161" t="s">
        <v>115</v>
      </c>
      <c r="H284" s="162">
        <v>2004</v>
      </c>
      <c r="I284" s="163"/>
      <c r="J284" s="159">
        <f>IFERROR(INDEX('Labor Expenditures'!$F$7:$X$91,MATCH($C284,'Labor Expenditures'!$D$7:$D$91,0),MATCH($G284,'Labor Expenditures'!$F$5:$X$5,0)),"NA")</f>
        <v>9890.8518779825426</v>
      </c>
      <c r="K284" s="159">
        <f t="shared" ref="K284:K302" si="557">+J284/DF284</f>
        <v>104.83149844178637</v>
      </c>
      <c r="L284" s="165"/>
      <c r="M284" s="76"/>
      <c r="N284" s="152"/>
      <c r="O284" s="76"/>
      <c r="P284" s="76"/>
      <c r="Q284" s="159">
        <f>IFERROR(INDEX('Non-Labor Expenditures'!$F$7:$AB$91,MATCH($C284,'Non-Labor Expenditures'!$D$7:$D$91,0),MATCH($G284,'Non-Labor Expenditures'!$F$5:$AB$5,0)),"NA")</f>
        <v>14323.80087562613</v>
      </c>
      <c r="R284" s="159">
        <f t="shared" ref="R284:R302" si="558">+Q284/DH284</f>
        <v>168.95657924964175</v>
      </c>
      <c r="S284" s="159"/>
      <c r="T284" s="159"/>
      <c r="U284" s="159"/>
      <c r="V284" s="159"/>
      <c r="W284" s="159">
        <f t="shared" si="538"/>
        <v>9261.2361272404378</v>
      </c>
      <c r="X284" s="163"/>
      <c r="Y284" s="167">
        <v>679.99250814278992</v>
      </c>
      <c r="Z284" s="168">
        <v>2.3571867206191262E-2</v>
      </c>
      <c r="AA284" s="76">
        <f t="shared" ref="AA284:AA302" si="559">+Z284*$AR284</f>
        <v>0</v>
      </c>
      <c r="AB284" s="168"/>
      <c r="AC284" s="168"/>
      <c r="AD284" s="163">
        <f t="shared" si="465"/>
        <v>33475.88888084911</v>
      </c>
      <c r="AE284" s="168"/>
      <c r="AF284" s="163"/>
      <c r="AG284" s="163"/>
      <c r="AH284" s="163"/>
      <c r="AI284" s="163"/>
      <c r="AJ284" s="167"/>
      <c r="AK284" s="168"/>
      <c r="AL284" s="115">
        <f t="shared" ref="AL284:AL302" si="560">+J284/AD284</f>
        <v>0.29546196407770076</v>
      </c>
      <c r="AM284" s="115">
        <f t="shared" ref="AM284:AM302" si="561">+Q284/AD284</f>
        <v>0.42788410866725307</v>
      </c>
      <c r="AN284" s="115">
        <f t="shared" ref="AN284:AN302" si="562">+W284/AD284</f>
        <v>0.27665392725504612</v>
      </c>
      <c r="AO284" s="115"/>
      <c r="AP284" s="115"/>
      <c r="AQ284" s="168"/>
      <c r="AR284" s="79"/>
      <c r="AS284" s="115"/>
      <c r="AT284" s="115"/>
      <c r="AU284" s="115"/>
      <c r="AV284" s="113">
        <f>IFERROR(INDEX('Total Customers'!$F$7:$AB$91,MATCH($C284,'Total Customers'!$D$7:$D$91,0),MATCH($G284,'Total Customers'!$F$5:$AB$5,0)),"NA")</f>
        <v>142057</v>
      </c>
      <c r="AW284" s="68">
        <f t="shared" si="523"/>
        <v>-5.6157444171779673E-3</v>
      </c>
      <c r="AX284" s="114"/>
      <c r="AY284" s="114"/>
      <c r="AZ284" s="116"/>
      <c r="BA284" s="116"/>
      <c r="BB284" s="166"/>
      <c r="BC284" s="166"/>
      <c r="BD284" s="166"/>
      <c r="BE284" s="166"/>
      <c r="BF284" s="166"/>
      <c r="BG284" s="166"/>
      <c r="BH284" s="166"/>
      <c r="BI284" s="113"/>
      <c r="BJ284" s="113"/>
      <c r="BK284" s="113">
        <f>INDEX('Dist. Plant Gas Additions'!$F$7:$AE$91,MATCH($C284,'Dist. Plant Gas Additions'!$D$7:$D$91,0),MATCH(Calculation!$G284,'Dist. Plant Gas Additions'!$F$5:$AE$5,0))</f>
        <v>7903</v>
      </c>
      <c r="BL284" s="113">
        <f>INDEX('Gen. Plant Additions'!$F$7:$AE$91,MATCH($C284,'Gen. Plant Additions'!$D$7:$D$91,0),MATCH(Calculation!$G284,'Gen. Plant Additions'!$F$5:$AE$5,0))</f>
        <v>281</v>
      </c>
      <c r="BM284" s="231">
        <f t="shared" si="539"/>
        <v>0.97779665435950913</v>
      </c>
      <c r="BN284" s="61">
        <f t="shared" si="537"/>
        <v>274.76085987502205</v>
      </c>
      <c r="BO284" s="113">
        <f>INDEX('Dist Plant Depreciation'!$E$7:$AD$94,MATCH($C284,'Dist Plant Depreciation'!$D$7:$D$94,0),MATCH(Calculation!$G284,'Dist Plant Depreciation'!$E$5:$AD$5,0))</f>
        <v>103376</v>
      </c>
      <c r="BP284" s="113">
        <f>INDEX('Gen. Plant Depreciation'!$E$7:$AD$94,MATCH($C284,'Gen. Plant Depreciation'!$D$7:$D$94,0),MATCH(Calculation!$G284,'Gen. Plant Depreciation'!$E$5:$AD$5,0))</f>
        <v>1045</v>
      </c>
      <c r="BQ284" s="113"/>
      <c r="BR284" s="113"/>
      <c r="BS284" s="113"/>
      <c r="BT284" s="113"/>
      <c r="BU284" s="113"/>
      <c r="BV284" s="113"/>
      <c r="BW284" s="113">
        <f>INDEX('Gross Dx Plant'!$E$7:$AD$91,MATCH($C284,'Gross Dx Plant'!$D$7:$D$91,0),MATCH(Calculation!$G284,'Gross Dx Plant'!$E$5:$AD$5,0))</f>
        <v>232522</v>
      </c>
      <c r="BX284" s="113">
        <f>INDEX('Gross Gen Plant'!$E$7:$AD$91,MATCH($C284,'Gross Gen Plant'!$D$7:$D$91,0),MATCH(Calculation!$G284,'Gross Gen Plant'!$E$5:$AD$5,0))</f>
        <v>5280</v>
      </c>
      <c r="BY284" s="113">
        <f t="shared" si="551"/>
        <v>133381</v>
      </c>
      <c r="BZ284" s="113"/>
      <c r="CA284" s="116">
        <v>2004</v>
      </c>
      <c r="CB284" s="113"/>
      <c r="CC284" s="113"/>
      <c r="CD284" s="113"/>
      <c r="CE284" s="175"/>
      <c r="CF284" s="113">
        <f t="shared" si="540"/>
        <v>8184</v>
      </c>
      <c r="CG284" s="113">
        <f t="shared" si="541"/>
        <v>19.725843965741781</v>
      </c>
      <c r="CH284" s="178">
        <v>0.967741935483871</v>
      </c>
      <c r="CI284" s="61">
        <f>+CI278*CH284+CG279*CH283+CG280*CH282+CG281*CH281+CG282*CH280+CG283*CH279+CG284</f>
        <v>679.99250814278992</v>
      </c>
      <c r="CJ284" s="114">
        <f t="shared" si="542"/>
        <v>2.3571867206191262E-2</v>
      </c>
      <c r="CK284" s="114"/>
      <c r="CL284" s="169">
        <f t="shared" si="543"/>
        <v>5.8489513070043688E-3</v>
      </c>
      <c r="CM284" s="169">
        <f t="shared" si="552"/>
        <v>5.6704156951908882E-3</v>
      </c>
      <c r="CN284" s="114">
        <f>VLOOKUP($H284,RoR!$E:$F,2,FALSE)</f>
        <v>5.6283333333333331E-2</v>
      </c>
      <c r="CO284" s="169">
        <v>2.6778252812867276E-2</v>
      </c>
      <c r="CP284" s="169">
        <f t="shared" si="549"/>
        <v>2.9505080520466055E-2</v>
      </c>
      <c r="CQ284" s="169">
        <f t="shared" si="553"/>
        <v>2.5231525913342736E-2</v>
      </c>
      <c r="CR284" s="169">
        <f t="shared" si="554"/>
        <v>5.5940039414565046E-2</v>
      </c>
      <c r="CS284" s="179">
        <f t="shared" si="544"/>
        <v>0.87050000000000005</v>
      </c>
      <c r="CT284" s="180">
        <f t="shared" si="545"/>
        <v>0.91114097628755619</v>
      </c>
      <c r="CU284" s="180">
        <f t="shared" si="546"/>
        <v>0.53081877405981637</v>
      </c>
      <c r="CV284" s="180">
        <f t="shared" si="547"/>
        <v>0.88811215519385678</v>
      </c>
      <c r="CW284" s="180">
        <f t="shared" si="548"/>
        <v>0.42953609753547711</v>
      </c>
      <c r="CX284" s="181">
        <f>INDEX('State Tax Lookup'!$D$7:$Z$91,MATCH(Calculation!$C284,'State Tax Lookup'!$B$7:$B$91,0),MATCH($H284,'State Tax Lookup'!$D$6:$Z$6,0))</f>
        <v>0.35</v>
      </c>
      <c r="CY284" s="72">
        <v>0.37</v>
      </c>
      <c r="CZ284" s="70">
        <f t="shared" si="550"/>
        <v>13.944468360469424</v>
      </c>
      <c r="DA284" s="70"/>
      <c r="DB284" s="69">
        <f t="shared" si="555"/>
        <v>0.10664333314659323</v>
      </c>
      <c r="DC284" s="111">
        <f>VLOOKUP($H284,RoR!$E:$F,2,FALSE)</f>
        <v>5.6283333333333331E-2</v>
      </c>
      <c r="DD284" s="216">
        <f>HLOOKUP($H284,'GDP-PI'!$D$8:$CQ$11,3,FALSE)</f>
        <v>2.6778252812867276E-2</v>
      </c>
      <c r="DE284" s="111">
        <f>VLOOKUP(H284,'HW Dx Data'!$E:$F,2,FALSE)</f>
        <v>414.88719135228365</v>
      </c>
      <c r="DF284" s="72">
        <f>VLOOKUP(G284,EG$8:EH$27,2,FALSE)</f>
        <v>94.35</v>
      </c>
      <c r="DG284" s="69"/>
      <c r="DH284" s="66">
        <f>HLOOKUP(H284,'GDP-PI'!$8:$9,2,FALSE)</f>
        <v>84.778000000000006</v>
      </c>
      <c r="DI284" s="69">
        <f t="shared" si="556"/>
        <v>2.6425990216022755E-2</v>
      </c>
      <c r="EB284"/>
    </row>
    <row r="285" spans="1:132" s="160" customFormat="1" ht="21">
      <c r="A285" s="160" t="s">
        <v>176</v>
      </c>
      <c r="B285" s="161" t="s">
        <v>176</v>
      </c>
      <c r="C285" s="161">
        <v>4059355</v>
      </c>
      <c r="D285" s="161" t="s">
        <v>177</v>
      </c>
      <c r="E285" s="161"/>
      <c r="F285" s="161"/>
      <c r="G285" s="161" t="s">
        <v>116</v>
      </c>
      <c r="H285" s="162">
        <v>2005</v>
      </c>
      <c r="I285" s="163"/>
      <c r="J285" s="159">
        <f>IFERROR(INDEX('Labor Expenditures'!$F$7:$X$91,MATCH($C285,'Labor Expenditures'!$D$7:$D$91,0),MATCH($G285,'Labor Expenditures'!$F$5:$X$5,0)),"NA")</f>
        <v>10683.830243822675</v>
      </c>
      <c r="K285" s="159">
        <f t="shared" si="557"/>
        <v>107.67276637765357</v>
      </c>
      <c r="L285" s="165">
        <f t="shared" ref="L285:L301" si="563">LN(K285/K284)</f>
        <v>2.6742402233033154E-2</v>
      </c>
      <c r="M285" s="76"/>
      <c r="N285" s="62">
        <v>100</v>
      </c>
      <c r="O285" s="77"/>
      <c r="P285" s="77"/>
      <c r="Q285" s="159">
        <f>IFERROR(INDEX('Non-Labor Expenditures'!$F$7:$AB$91,MATCH($C285,'Non-Labor Expenditures'!$D$7:$D$91,0),MATCH($G285,'Non-Labor Expenditures'!$F$5:$AB$5,0)),"NA")</f>
        <v>15472.181657291447</v>
      </c>
      <c r="R285" s="159">
        <f t="shared" si="558"/>
        <v>177.01307283502976</v>
      </c>
      <c r="S285" s="165">
        <f>LN(R285/R284)</f>
        <v>4.658183327686944E-2</v>
      </c>
      <c r="T285" s="165"/>
      <c r="U285" s="165"/>
      <c r="V285" s="165"/>
      <c r="W285" s="159">
        <f t="shared" si="538"/>
        <v>10619.619701810918</v>
      </c>
      <c r="X285" s="163"/>
      <c r="Y285" s="167">
        <v>689.98595019723348</v>
      </c>
      <c r="Z285" s="168">
        <v>1.4589454678614729E-2</v>
      </c>
      <c r="AA285" s="76">
        <f t="shared" si="559"/>
        <v>0</v>
      </c>
      <c r="AB285" s="168"/>
      <c r="AC285" s="168"/>
      <c r="AD285" s="163">
        <f t="shared" si="465"/>
        <v>36775.631602925037</v>
      </c>
      <c r="AE285" s="168">
        <f>LN(AD285/AD284)</f>
        <v>9.400999633315045E-2</v>
      </c>
      <c r="AF285" s="163"/>
      <c r="AG285" s="163"/>
      <c r="AH285" s="163"/>
      <c r="AI285" s="163"/>
      <c r="AJ285" s="116"/>
      <c r="AK285" s="114"/>
      <c r="AL285" s="115">
        <f t="shared" si="560"/>
        <v>0.29051384784300782</v>
      </c>
      <c r="AM285" s="115">
        <f t="shared" si="561"/>
        <v>0.42071831217878608</v>
      </c>
      <c r="AN285" s="115">
        <f t="shared" si="562"/>
        <v>0.28876783997820615</v>
      </c>
      <c r="AO285" s="115">
        <f t="shared" ref="AO285:AO301" si="564">+(((AL285+AL284)/2)*L285+((AM284+AM285)/2)*S285+((AN284+AN285)/2)*Z285)</f>
        <v>3.1724526297380776E-2</v>
      </c>
      <c r="AP285" s="166">
        <v>100</v>
      </c>
      <c r="AQ285" s="168"/>
      <c r="AR285" s="16"/>
      <c r="AS285" s="115"/>
      <c r="AT285" s="115"/>
      <c r="AU285" s="115"/>
      <c r="AV285" s="113">
        <f>IFERROR(INDEX('Total Customers'!$F$7:$AB$91,MATCH($C285,'Total Customers'!$D$7:$D$91,0),MATCH($G285,'Total Customers'!$F$5:$AB$5,0)),"NA")</f>
        <v>141506</v>
      </c>
      <c r="AW285" s="68">
        <f t="shared" si="523"/>
        <v>-3.8862664979728238E-3</v>
      </c>
      <c r="AX285" s="114"/>
      <c r="AY285" s="114"/>
      <c r="AZ285" s="116"/>
      <c r="BA285" s="116"/>
      <c r="BB285" s="166"/>
      <c r="BC285" s="166"/>
      <c r="BD285" s="166"/>
      <c r="BE285" s="166"/>
      <c r="BF285" s="166"/>
      <c r="BG285" s="166"/>
      <c r="BH285" s="166"/>
      <c r="BI285" s="113"/>
      <c r="BJ285" s="113"/>
      <c r="BK285" s="113">
        <f>INDEX('Dist. Plant Gas Additions'!$F$7:$AE$91,MATCH($C285,'Dist. Plant Gas Additions'!$D$7:$D$91,0),MATCH(Calculation!$G285,'Dist. Plant Gas Additions'!$F$5:$AE$5,0))</f>
        <v>6468</v>
      </c>
      <c r="BL285" s="113">
        <f>INDEX('Gen. Plant Additions'!$F$7:$AE$91,MATCH($C285,'Gen. Plant Additions'!$D$7:$D$91,0),MATCH(Calculation!$G285,'Gen. Plant Additions'!$F$5:$AE$5,0))</f>
        <v>149</v>
      </c>
      <c r="BM285" s="231">
        <f t="shared" si="539"/>
        <v>0.98019594121763476</v>
      </c>
      <c r="BN285" s="61">
        <f t="shared" si="537"/>
        <v>146.04919524142758</v>
      </c>
      <c r="BO285" s="113">
        <f>INDEX('Dist Plant Depreciation'!$E$7:$AD$94,MATCH($C285,'Dist Plant Depreciation'!$D$7:$D$94,0),MATCH(Calculation!$G285,'Dist Plant Depreciation'!$E$5:$AD$5,0))</f>
        <v>106587</v>
      </c>
      <c r="BP285" s="113">
        <f>INDEX('Gen. Plant Depreciation'!$E$7:$AD$94,MATCH($C285,'Gen. Plant Depreciation'!$D$7:$D$94,0),MATCH(Calculation!$G285,'Gen. Plant Depreciation'!$E$5:$AD$5,0))</f>
        <v>775</v>
      </c>
      <c r="BQ285" s="113"/>
      <c r="BR285" s="113"/>
      <c r="BS285" s="113"/>
      <c r="BT285" s="113"/>
      <c r="BU285" s="113"/>
      <c r="BV285" s="113"/>
      <c r="BW285" s="113">
        <f>INDEX('Gross Dx Plant'!$E$7:$AD$91,MATCH($C285,'Gross Dx Plant'!$D$7:$D$91,0),MATCH(Calculation!$G285,'Gross Dx Plant'!$E$5:$AD$5,0))</f>
        <v>238119</v>
      </c>
      <c r="BX285" s="113">
        <f>INDEX('Gross Gen Plant'!$E$7:$AD$91,MATCH($C285,'Gross Gen Plant'!$D$7:$D$91,0),MATCH(Calculation!$G285,'Gross Gen Plant'!$E$5:$AD$5,0))</f>
        <v>4811</v>
      </c>
      <c r="BY285" s="113">
        <f t="shared" si="551"/>
        <v>135568</v>
      </c>
      <c r="BZ285" s="113"/>
      <c r="CA285" s="116">
        <v>2005</v>
      </c>
      <c r="CB285" s="113"/>
      <c r="CC285" s="113"/>
      <c r="CD285" s="113"/>
      <c r="CE285" s="175"/>
      <c r="CF285" s="113">
        <f t="shared" si="540"/>
        <v>6617</v>
      </c>
      <c r="CG285" s="113">
        <f t="shared" si="541"/>
        <v>14.102573546131845</v>
      </c>
      <c r="CH285" s="178">
        <v>0.96174863387978138</v>
      </c>
      <c r="CI285" s="61">
        <f>+CI278*CH285+CG279*CH284+CG280*CH283+CG281*CH282+CG282*CH281+CG283*CH280+CG284*CH279+CG285</f>
        <v>689.98595019723348</v>
      </c>
      <c r="CJ285" s="114">
        <f t="shared" si="542"/>
        <v>1.4589454678614729E-2</v>
      </c>
      <c r="CK285" s="114"/>
      <c r="CL285" s="169">
        <f t="shared" si="543"/>
        <v>6.0429070063010406E-3</v>
      </c>
      <c r="CM285" s="169">
        <f t="shared" si="552"/>
        <v>5.8521406232764786E-3</v>
      </c>
      <c r="CN285" s="114">
        <f>VLOOKUP($H285,RoR!$E:$F,2,FALSE)</f>
        <v>5.2350000000000001E-2</v>
      </c>
      <c r="CO285" s="169">
        <v>3.1010403642454332E-2</v>
      </c>
      <c r="CP285" s="169">
        <f t="shared" si="549"/>
        <v>2.1339596357545669E-2</v>
      </c>
      <c r="CQ285" s="169">
        <f t="shared" si="553"/>
        <v>2.5049800985257147E-2</v>
      </c>
      <c r="CR285" s="169">
        <f t="shared" si="554"/>
        <v>9.2129610649277341E-2</v>
      </c>
      <c r="CS285" s="179">
        <f t="shared" si="544"/>
        <v>0.87050000000000005</v>
      </c>
      <c r="CT285" s="180">
        <f t="shared" si="545"/>
        <v>0.97959983346802826</v>
      </c>
      <c r="CU285" s="180">
        <f t="shared" si="546"/>
        <v>0.49744508118433622</v>
      </c>
      <c r="CV285" s="180">
        <f t="shared" si="547"/>
        <v>0.87010519444335932</v>
      </c>
      <c r="CW285" s="180">
        <f t="shared" si="548"/>
        <v>0.42399975420741998</v>
      </c>
      <c r="CX285" s="181">
        <f>INDEX('State Tax Lookup'!$D$7:$Z$91,MATCH(Calculation!$C285,'State Tax Lookup'!$B$7:$B$91,0),MATCH($H285,'State Tax Lookup'!$D$6:$Z$6,0))</f>
        <v>0.35</v>
      </c>
      <c r="CY285" s="72">
        <v>0.37</v>
      </c>
      <c r="CZ285" s="70">
        <f t="shared" si="550"/>
        <v>15.617259858958519</v>
      </c>
      <c r="DA285" s="70"/>
      <c r="DB285" s="69">
        <f t="shared" si="555"/>
        <v>0.11329380753246623</v>
      </c>
      <c r="DC285" s="111">
        <f>VLOOKUP($H285,RoR!$E:$F,2,FALSE)</f>
        <v>5.2350000000000001E-2</v>
      </c>
      <c r="DD285" s="216">
        <f>HLOOKUP($H285,'GDP-PI'!$D$8:$CQ$11,3,FALSE)</f>
        <v>3.1010403642454332E-2</v>
      </c>
      <c r="DE285" s="111">
        <f>VLOOKUP(H285,'HW Dx Data'!$E:$F,2,FALSE)</f>
        <v>469.20514034936258</v>
      </c>
      <c r="DF285" s="72">
        <f t="shared" ref="DF285:DF303" si="565">VLOOKUP(G285,EG$8:EH$27,2,FALSE)</f>
        <v>99.224999999999994</v>
      </c>
      <c r="DG285" s="69">
        <f t="shared" ref="DG285:DG303" si="566">LN(DF285/DF284)</f>
        <v>5.0378726854569796E-2</v>
      </c>
      <c r="DH285" s="66">
        <f>HLOOKUP(H285,'GDP-PI'!$8:$9,2,FALSE)</f>
        <v>87.406999999999996</v>
      </c>
      <c r="DI285" s="69">
        <f t="shared" si="556"/>
        <v>3.0539295810733648E-2</v>
      </c>
      <c r="EB285"/>
    </row>
    <row r="286" spans="1:132" s="160" customFormat="1" ht="21">
      <c r="A286" s="160" t="s">
        <v>176</v>
      </c>
      <c r="B286" s="161" t="s">
        <v>176</v>
      </c>
      <c r="C286" s="161">
        <v>4059355</v>
      </c>
      <c r="D286" s="161" t="s">
        <v>177</v>
      </c>
      <c r="E286" s="161"/>
      <c r="F286" s="161"/>
      <c r="G286" s="161" t="s">
        <v>117</v>
      </c>
      <c r="H286" s="162">
        <v>2006</v>
      </c>
      <c r="I286" s="163"/>
      <c r="J286" s="159">
        <f>IFERROR(INDEX('Labor Expenditures'!$F$7:$X$91,MATCH($C286,'Labor Expenditures'!$D$7:$D$91,0),MATCH($G286,'Labor Expenditures'!$F$5:$X$5,0)),"NA")</f>
        <v>9924.2400097521058</v>
      </c>
      <c r="K286" s="159">
        <f t="shared" si="557"/>
        <v>90.715173763730391</v>
      </c>
      <c r="L286" s="165">
        <f t="shared" si="563"/>
        <v>-0.17137204730130712</v>
      </c>
      <c r="M286" s="76">
        <f t="shared" ref="M286:M302" si="567">+L286*$AR286</f>
        <v>-7.4951933504596615E-4</v>
      </c>
      <c r="N286" s="62">
        <f>+N285*EXP(O286)</f>
        <v>106.10839136757761</v>
      </c>
      <c r="O286" s="96">
        <f t="shared" ref="O286:O302" si="568">+M286+M311+M336+M361+M386+M411+M436+M461+M486+M511+M536+M561+M586+M611+M636+M661+M686+M711+M736+M761+M786+M811+M836+M861+M886+M911+M936+M961+M986+M1011+M1036+M1061+M1086+M1111+M1136+M1161+M1186+M1211+M1236+M1261+M1286+M1311+M1336+M1361+M1386+M1411+M1436+M1461+M1486+M1511+M1536+M1561+M1586+M1611</f>
        <v>5.9290945737045866E-2</v>
      </c>
      <c r="P286" s="96"/>
      <c r="Q286" s="159">
        <f>IFERROR(INDEX('Non-Labor Expenditures'!$F$7:$AB$91,MATCH($C286,'Non-Labor Expenditures'!$D$7:$D$91,0),MATCH($G286,'Non-Labor Expenditures'!$F$5:$AB$5,0)),"NA")</f>
        <v>14372.153126471279</v>
      </c>
      <c r="R286" s="159">
        <f t="shared" si="558"/>
        <v>159.55939701213757</v>
      </c>
      <c r="S286" s="165">
        <f t="shared" ref="S286:S301" si="569">LN(R286/R285)</f>
        <v>-0.1038073397080093</v>
      </c>
      <c r="T286" s="165">
        <f t="shared" ref="T286:T302" si="570">+S286*AR286</f>
        <v>-4.5401574793606616E-4</v>
      </c>
      <c r="U286" s="165"/>
      <c r="V286" s="165"/>
      <c r="W286" s="159">
        <f t="shared" si="538"/>
        <v>10516.131006370988</v>
      </c>
      <c r="X286" s="163"/>
      <c r="Y286" s="167">
        <v>709.14386498461079</v>
      </c>
      <c r="Z286" s="168">
        <v>2.7387183128349094E-2</v>
      </c>
      <c r="AA286" s="76">
        <f t="shared" si="559"/>
        <v>1.1978163072914254E-4</v>
      </c>
      <c r="AB286" s="168"/>
      <c r="AC286" s="168"/>
      <c r="AD286" s="163">
        <f t="shared" si="465"/>
        <v>34812.524142594375</v>
      </c>
      <c r="AE286" s="168">
        <f t="shared" ref="AE286:AE302" si="571">LN(AD286/AD285)</f>
        <v>-5.4858229939764913E-2</v>
      </c>
      <c r="AF286" s="163"/>
      <c r="AG286" s="163"/>
      <c r="AH286" s="163"/>
      <c r="AI286" s="163"/>
      <c r="AJ286" s="116">
        <f t="shared" ref="AJ286:AJ302" si="572">+(AD286*1000)/AV286</f>
        <v>250.77636449329253</v>
      </c>
      <c r="AK286" s="114">
        <f>+AV286/$AX$11</f>
        <v>4.002687430966336E-3</v>
      </c>
      <c r="AL286" s="115">
        <f t="shared" si="560"/>
        <v>0.2850767146071273</v>
      </c>
      <c r="AM286" s="115">
        <f t="shared" si="561"/>
        <v>0.41284432773682256</v>
      </c>
      <c r="AN286" s="115">
        <f t="shared" si="562"/>
        <v>0.30207895765605008</v>
      </c>
      <c r="AO286" s="115">
        <f t="shared" si="564"/>
        <v>-8.449421188820358E-2</v>
      </c>
      <c r="AP286" s="166">
        <f>+AP285*EXP(AO286)</f>
        <v>91.897697450290465</v>
      </c>
      <c r="AQ286" s="168">
        <f>LN(AP286/AP285)</f>
        <v>-8.4494211888203566E-2</v>
      </c>
      <c r="AR286" s="69">
        <f>+AD286/$AF$11</f>
        <v>4.373638214919367E-3</v>
      </c>
      <c r="AS286" s="169">
        <f>+AR286*AQ286</f>
        <v>-3.695471140537414E-4</v>
      </c>
      <c r="AT286" s="115"/>
      <c r="AU286" s="115"/>
      <c r="AV286" s="113">
        <f>IFERROR(INDEX('Total Customers'!$F$7:$AB$91,MATCH($C286,'Total Customers'!$D$7:$D$91,0),MATCH($G286,'Total Customers'!$F$5:$AB$5,0)),"NA")</f>
        <v>138819</v>
      </c>
      <c r="AW286" s="68">
        <f t="shared" si="523"/>
        <v>-1.9171192698653413E-2</v>
      </c>
      <c r="AX286" s="114"/>
      <c r="AY286" s="114"/>
      <c r="AZ286" s="116"/>
      <c r="BA286" s="116"/>
      <c r="BB286" s="166"/>
      <c r="BC286" s="166"/>
      <c r="BD286" s="166"/>
      <c r="BE286" s="166"/>
      <c r="BF286" s="166"/>
      <c r="BG286" s="166"/>
      <c r="BH286" s="166"/>
      <c r="BI286" s="113"/>
      <c r="BJ286" s="113"/>
      <c r="BK286" s="113">
        <f>INDEX('Dist. Plant Gas Additions'!$F$7:$AE$91,MATCH($C286,'Dist. Plant Gas Additions'!$D$7:$D$91,0),MATCH(Calculation!$G286,'Dist. Plant Gas Additions'!$F$5:$AE$5,0))</f>
        <v>10771</v>
      </c>
      <c r="BL286" s="113">
        <f>INDEX('Gen. Plant Additions'!$F$7:$AE$91,MATCH($C286,'Gen. Plant Additions'!$D$7:$D$91,0),MATCH(Calculation!$G286,'Gen. Plant Additions'!$F$5:$AE$5,0))</f>
        <v>52</v>
      </c>
      <c r="BM286" s="231">
        <f t="shared" si="539"/>
        <v>0.9805619745609202</v>
      </c>
      <c r="BN286" s="61">
        <f t="shared" si="537"/>
        <v>50.989222677167852</v>
      </c>
      <c r="BO286" s="113">
        <f>INDEX('Dist Plant Depreciation'!$E$7:$AD$94,MATCH($C286,'Dist Plant Depreciation'!$D$7:$D$94,0),MATCH(Calculation!$G286,'Dist Plant Depreciation'!$E$5:$AD$5,0))</f>
        <v>109630</v>
      </c>
      <c r="BP286" s="113">
        <f>INDEX('Gen. Plant Depreciation'!$E$7:$AD$94,MATCH($C286,'Gen. Plant Depreciation'!$D$7:$D$94,0),MATCH(Calculation!$G286,'Gen. Plant Depreciation'!$E$5:$AD$5,0))</f>
        <v>745</v>
      </c>
      <c r="BQ286" s="113"/>
      <c r="BR286" s="113"/>
      <c r="BS286" s="113"/>
      <c r="BT286" s="113"/>
      <c r="BU286" s="113"/>
      <c r="BV286" s="113"/>
      <c r="BW286" s="113">
        <f>INDEX('Gross Dx Plant'!$E$7:$AD$91,MATCH($C286,'Gross Dx Plant'!$D$7:$D$91,0),MATCH(Calculation!$G286,'Gross Dx Plant'!$E$5:$AD$5,0))</f>
        <v>247385</v>
      </c>
      <c r="BX286" s="113">
        <f>INDEX('Gross Gen Plant'!$E$7:$AD$91,MATCH($C286,'Gross Gen Plant'!$D$7:$D$91,0),MATCH(Calculation!$G286,'Gross Gen Plant'!$E$5:$AD$5,0))</f>
        <v>4904</v>
      </c>
      <c r="BY286" s="113">
        <f t="shared" si="551"/>
        <v>141914</v>
      </c>
      <c r="BZ286" s="114"/>
      <c r="CA286" s="116">
        <v>2006</v>
      </c>
      <c r="CB286" s="113"/>
      <c r="CC286" s="113"/>
      <c r="CD286" s="113"/>
      <c r="CE286" s="175"/>
      <c r="CF286" s="113">
        <f t="shared" si="540"/>
        <v>10823</v>
      </c>
      <c r="CG286" s="113">
        <f t="shared" si="541"/>
        <v>23.472861205870274</v>
      </c>
      <c r="CH286" s="178">
        <v>0.9555555555555556</v>
      </c>
      <c r="CI286" s="61">
        <f>+CI278*CH286+CG279*CH285+CG280*CH284+CG281*CH283+CG282*CH282+CG283*CH281+CG284*CH280+CG285*CH279+CG286</f>
        <v>709.14386498461079</v>
      </c>
      <c r="CJ286" s="114">
        <f t="shared" si="542"/>
        <v>2.7387183128349094E-2</v>
      </c>
      <c r="CK286" s="114"/>
      <c r="CL286" s="169">
        <f t="shared" si="543"/>
        <v>6.2536728715411258E-3</v>
      </c>
      <c r="CM286" s="169">
        <f t="shared" si="552"/>
        <v>6.0485103949488445E-3</v>
      </c>
      <c r="CN286" s="114">
        <f>VLOOKUP($H286,RoR!$E:$F,2,FALSE)</f>
        <v>5.5874999999999994E-2</v>
      </c>
      <c r="CO286" s="169">
        <v>3.0512430354548314E-2</v>
      </c>
      <c r="CP286" s="169">
        <f t="shared" si="549"/>
        <v>2.536256964545168E-2</v>
      </c>
      <c r="CQ286" s="169">
        <f t="shared" si="553"/>
        <v>2.4853431213584781E-2</v>
      </c>
      <c r="CR286" s="169">
        <f t="shared" si="554"/>
        <v>7.9087823893859641E-2</v>
      </c>
      <c r="CS286" s="179">
        <f t="shared" si="544"/>
        <v>0.87050000000000005</v>
      </c>
      <c r="CT286" s="180">
        <f t="shared" si="545"/>
        <v>0.91779957551769631</v>
      </c>
      <c r="CU286" s="180">
        <f t="shared" si="546"/>
        <v>0.52757270693512304</v>
      </c>
      <c r="CV286" s="180">
        <f t="shared" si="547"/>
        <v>0.88636824549024895</v>
      </c>
      <c r="CW286" s="180">
        <f t="shared" si="548"/>
        <v>0.42918482841932087</v>
      </c>
      <c r="CX286" s="181">
        <f>INDEX('State Tax Lookup'!$D$7:$Z$91,MATCH(Calculation!$C286,'State Tax Lookup'!$B$7:$B$91,0),MATCH($H286,'State Tax Lookup'!$D$6:$Z$6,0))</f>
        <v>0.35</v>
      </c>
      <c r="CY286" s="72">
        <v>0.37</v>
      </c>
      <c r="CZ286" s="70">
        <f t="shared" si="550"/>
        <v>15.241079913822791</v>
      </c>
      <c r="DA286" s="70">
        <v>14.788696346247992</v>
      </c>
      <c r="DB286" s="69">
        <f t="shared" si="555"/>
        <v>-2.4382295624965227E-2</v>
      </c>
      <c r="DC286" s="111">
        <f>VLOOKUP($H286,RoR!$E:$F,2,FALSE)</f>
        <v>5.5874999999999994E-2</v>
      </c>
      <c r="DD286" s="216">
        <f>HLOOKUP($H286,'GDP-PI'!$D$8:$CQ$11,3,FALSE)</f>
        <v>3.0512430354548314E-2</v>
      </c>
      <c r="DE286" s="111">
        <f>VLOOKUP(H286,'HW Dx Data'!$E:$F,2,FALSE)</f>
        <v>461.08567272971823</v>
      </c>
      <c r="DF286" s="72">
        <f t="shared" si="565"/>
        <v>109.4</v>
      </c>
      <c r="DG286" s="69">
        <f t="shared" si="566"/>
        <v>9.7620891318751846E-2</v>
      </c>
      <c r="DH286" s="66">
        <f>HLOOKUP(H286,'GDP-PI'!$8:$9,2,FALSE)</f>
        <v>90.073999999999998</v>
      </c>
      <c r="DI286" s="69">
        <f t="shared" si="556"/>
        <v>3.005618372545445E-2</v>
      </c>
      <c r="EB286"/>
    </row>
    <row r="287" spans="1:132" s="160" customFormat="1" ht="21">
      <c r="A287" s="160" t="s">
        <v>176</v>
      </c>
      <c r="B287" s="161" t="s">
        <v>176</v>
      </c>
      <c r="C287" s="161">
        <v>4059355</v>
      </c>
      <c r="D287" s="161" t="s">
        <v>177</v>
      </c>
      <c r="E287" s="161"/>
      <c r="F287" s="161"/>
      <c r="G287" s="161" t="s">
        <v>118</v>
      </c>
      <c r="H287" s="162">
        <v>2007</v>
      </c>
      <c r="I287" s="163"/>
      <c r="J287" s="159">
        <f>IFERROR(INDEX('Labor Expenditures'!$F$7:$X$91,MATCH($C287,'Labor Expenditures'!$D$7:$D$91,0),MATCH($G287,'Labor Expenditures'!$F$5:$X$5,0)),"NA")</f>
        <v>9162.5988619010477</v>
      </c>
      <c r="K287" s="159">
        <f t="shared" si="557"/>
        <v>87.659400735719188</v>
      </c>
      <c r="L287" s="165">
        <f t="shared" si="563"/>
        <v>-3.4265780577698218E-2</v>
      </c>
      <c r="M287" s="76">
        <f t="shared" si="567"/>
        <v>-1.3869013208783849E-4</v>
      </c>
      <c r="N287" s="62">
        <f t="shared" ref="N287:N300" si="573">+N286*EXP(O287)</f>
        <v>117.56908404945253</v>
      </c>
      <c r="O287" s="96">
        <f t="shared" si="568"/>
        <v>0.10256497844161433</v>
      </c>
      <c r="P287" s="96"/>
      <c r="Q287" s="159">
        <f>IFERROR(INDEX('Non-Labor Expenditures'!$F$7:$AB$91,MATCH($C287,'Non-Labor Expenditures'!$D$7:$D$91,0),MATCH($G287,'Non-Labor Expenditures'!$F$5:$AB$5,0)),"NA")</f>
        <v>13269.154489439103</v>
      </c>
      <c r="R287" s="159">
        <f t="shared" si="558"/>
        <v>143.45342050032542</v>
      </c>
      <c r="S287" s="165">
        <f t="shared" si="569"/>
        <v>-0.10640586127298858</v>
      </c>
      <c r="T287" s="165">
        <f t="shared" si="570"/>
        <v>-4.3067581435678258E-4</v>
      </c>
      <c r="U287" s="165"/>
      <c r="V287" s="165"/>
      <c r="W287" s="159">
        <f t="shared" si="538"/>
        <v>11598.449063197602</v>
      </c>
      <c r="X287" s="163"/>
      <c r="Y287" s="167">
        <v>722.85184640139266</v>
      </c>
      <c r="Z287" s="168">
        <v>1.9145867607306445E-2</v>
      </c>
      <c r="AA287" s="76">
        <f t="shared" si="559"/>
        <v>7.7492555623315379E-5</v>
      </c>
      <c r="AB287" s="168"/>
      <c r="AC287" s="168"/>
      <c r="AD287" s="163">
        <f t="shared" si="465"/>
        <v>34030.202414537751</v>
      </c>
      <c r="AE287" s="168">
        <f t="shared" si="571"/>
        <v>-2.2728774575330735E-2</v>
      </c>
      <c r="AF287" s="163"/>
      <c r="AG287" s="163"/>
      <c r="AH287" s="163"/>
      <c r="AI287" s="163"/>
      <c r="AJ287" s="116">
        <f t="shared" si="572"/>
        <v>245.35644184472449</v>
      </c>
      <c r="AK287" s="114">
        <f>+AV287/$AX$12</f>
        <v>3.9690596665019201E-3</v>
      </c>
      <c r="AL287" s="115">
        <f t="shared" si="560"/>
        <v>0.26924902621169167</v>
      </c>
      <c r="AM287" s="115">
        <f t="shared" si="561"/>
        <v>0.38992287873581677</v>
      </c>
      <c r="AN287" s="115">
        <f t="shared" si="562"/>
        <v>0.34082809505249162</v>
      </c>
      <c r="AO287" s="115">
        <f t="shared" si="564"/>
        <v>-4.6052263447469287E-2</v>
      </c>
      <c r="AP287" s="166">
        <f>+AP286*EXP(AO287)</f>
        <v>87.761570451645881</v>
      </c>
      <c r="AQ287" s="168">
        <f>LN(AP287/AP286)</f>
        <v>-4.6052263447469141E-2</v>
      </c>
      <c r="AR287" s="69">
        <f>+AD287/$AF$12</f>
        <v>4.0474820578902714E-3</v>
      </c>
      <c r="AS287" s="169">
        <f t="shared" ref="AS287:AS301" si="574">+AR287*AQ287</f>
        <v>-1.8639571002886733E-4</v>
      </c>
      <c r="AT287" s="115"/>
      <c r="AU287" s="115"/>
      <c r="AV287" s="113">
        <f>IFERROR(INDEX('Total Customers'!$F$7:$AB$91,MATCH($C287,'Total Customers'!$D$7:$D$91,0),MATCH($G287,'Total Customers'!$F$5:$AB$5,0)),"NA")</f>
        <v>138697</v>
      </c>
      <c r="AW287" s="68">
        <f t="shared" si="523"/>
        <v>-8.7922864165862968E-4</v>
      </c>
      <c r="AX287" s="114"/>
      <c r="AY287" s="114"/>
      <c r="AZ287" s="116"/>
      <c r="BA287" s="116"/>
      <c r="BB287" s="166"/>
      <c r="BC287" s="166"/>
      <c r="BD287" s="166"/>
      <c r="BE287" s="166"/>
      <c r="BF287" s="166"/>
      <c r="BG287" s="166"/>
      <c r="BH287" s="166"/>
      <c r="BI287" s="113"/>
      <c r="BJ287" s="113"/>
      <c r="BK287" s="113">
        <f>INDEX('Dist. Plant Gas Additions'!$F$7:$AE$91,MATCH($C287,'Dist. Plant Gas Additions'!$D$7:$D$91,0),MATCH(Calculation!$G287,'Dist. Plant Gas Additions'!$F$5:$AE$5,0))</f>
        <v>9282</v>
      </c>
      <c r="BL287" s="113">
        <f>INDEX('Gen. Plant Additions'!$F$7:$AE$91,MATCH($C287,'Gen. Plant Additions'!$D$7:$D$91,0),MATCH(Calculation!$G287,'Gen. Plant Additions'!$F$5:$AE$5,0))</f>
        <v>-176</v>
      </c>
      <c r="BM287" s="231">
        <f t="shared" si="539"/>
        <v>0.98335604250539421</v>
      </c>
      <c r="BN287" s="61">
        <f t="shared" si="537"/>
        <v>-173.07066348094938</v>
      </c>
      <c r="BO287" s="113">
        <f>INDEX('Dist Plant Depreciation'!$E$7:$AD$94,MATCH($C287,'Dist Plant Depreciation'!$D$7:$D$94,0),MATCH(Calculation!$G287,'Dist Plant Depreciation'!$E$5:$AD$5,0))</f>
        <v>112207</v>
      </c>
      <c r="BP287" s="113">
        <f>INDEX('Gen. Plant Depreciation'!$E$7:$AD$94,MATCH($C287,'Gen. Plant Depreciation'!$D$7:$D$94,0),MATCH(Calculation!$G287,'Gen. Plant Depreciation'!$E$5:$AD$5,0))</f>
        <v>568</v>
      </c>
      <c r="BQ287" s="113"/>
      <c r="BR287" s="113"/>
      <c r="BS287" s="113"/>
      <c r="BT287" s="113"/>
      <c r="BU287" s="113"/>
      <c r="BV287" s="113"/>
      <c r="BW287" s="113">
        <f>INDEX('Gross Dx Plant'!$E$7:$AD$91,MATCH($C287,'Gross Dx Plant'!$D$7:$D$91,0),MATCH(Calculation!$G287,'Gross Dx Plant'!$E$5:$AD$5,0))</f>
        <v>254761</v>
      </c>
      <c r="BX287" s="113">
        <f>INDEX('Gross Gen Plant'!$E$7:$AD$91,MATCH($C287,'Gross Gen Plant'!$D$7:$D$91,0),MATCH(Calculation!$G287,'Gross Gen Plant'!$E$5:$AD$5,0))</f>
        <v>4312</v>
      </c>
      <c r="BY287" s="113">
        <f t="shared" si="551"/>
        <v>146298</v>
      </c>
      <c r="BZ287" s="113"/>
      <c r="CA287" s="116">
        <v>2007</v>
      </c>
      <c r="CB287" s="113"/>
      <c r="CC287" s="113"/>
      <c r="CD287" s="113"/>
      <c r="CE287" s="175"/>
      <c r="CF287" s="113">
        <f t="shared" si="540"/>
        <v>9106</v>
      </c>
      <c r="CG287" s="113">
        <f t="shared" si="541"/>
        <v>18.284321238243223</v>
      </c>
      <c r="CH287" s="178">
        <v>0.94915254237288138</v>
      </c>
      <c r="CI287" s="61">
        <f>+CI278*CH287+CG279*CH286+CG280*CH285+CG281*CH284+CG282*CH283+CG283*CH282+CG284*CH281+CG285*CH280+CG286*CH279+CG287</f>
        <v>722.85184640139266</v>
      </c>
      <c r="CJ287" s="114">
        <f t="shared" si="542"/>
        <v>1.9145867607306445E-2</v>
      </c>
      <c r="CK287" s="114"/>
      <c r="CL287" s="169">
        <f t="shared" si="543"/>
        <v>6.4533306250356658E-3</v>
      </c>
      <c r="CM287" s="169">
        <f t="shared" si="552"/>
        <v>6.249970167625944E-3</v>
      </c>
      <c r="CN287" s="114">
        <f>VLOOKUP($H287,RoR!$E:$F,2,FALSE)</f>
        <v>5.5558333333333321E-2</v>
      </c>
      <c r="CO287" s="169">
        <v>2.691120634145272E-2</v>
      </c>
      <c r="CP287" s="169">
        <f t="shared" si="549"/>
        <v>2.86471269918806E-2</v>
      </c>
      <c r="CQ287" s="169">
        <f t="shared" si="553"/>
        <v>2.465197144090768E-2</v>
      </c>
      <c r="CR287" s="169">
        <f t="shared" si="554"/>
        <v>6.4575155250632399E-2</v>
      </c>
      <c r="CS287" s="179">
        <f t="shared" si="544"/>
        <v>0.87050000000000005</v>
      </c>
      <c r="CT287" s="180">
        <f t="shared" si="545"/>
        <v>0.92303077153834634</v>
      </c>
      <c r="CU287" s="180">
        <f t="shared" si="546"/>
        <v>0.52502249887505614</v>
      </c>
      <c r="CV287" s="180">
        <f t="shared" si="547"/>
        <v>0.88499666072084604</v>
      </c>
      <c r="CW287" s="180">
        <f t="shared" si="548"/>
        <v>0.42887993290280618</v>
      </c>
      <c r="CX287" s="181">
        <f>INDEX('State Tax Lookup'!$D$7:$Z$91,MATCH(Calculation!$C287,'State Tax Lookup'!$B$7:$B$91,0),MATCH($H287,'State Tax Lookup'!$D$6:$Z$6,0))</f>
        <v>0.35</v>
      </c>
      <c r="CY287" s="72">
        <v>0.37</v>
      </c>
      <c r="CZ287" s="70">
        <f t="shared" si="550"/>
        <v>16.355565684051008</v>
      </c>
      <c r="DA287" s="70">
        <v>16.108943221861779</v>
      </c>
      <c r="DB287" s="69">
        <f t="shared" si="555"/>
        <v>7.0573839992713536E-2</v>
      </c>
      <c r="DC287" s="111">
        <f>VLOOKUP($H287,RoR!$E:$F,2,FALSE)</f>
        <v>5.5558333333333321E-2</v>
      </c>
      <c r="DD287" s="216">
        <f>HLOOKUP($H287,'GDP-PI'!$D$8:$CQ$11,3,FALSE)</f>
        <v>2.691120634145272E-2</v>
      </c>
      <c r="DE287" s="111">
        <f>VLOOKUP(H287,'HW Dx Data'!$E:$F,2,FALSE)</f>
        <v>498.0223154772637</v>
      </c>
      <c r="DF287" s="72">
        <f t="shared" si="565"/>
        <v>104.52499999999999</v>
      </c>
      <c r="DG287" s="69">
        <f t="shared" si="566"/>
        <v>-4.5584612745252218E-2</v>
      </c>
      <c r="DH287" s="66">
        <f>HLOOKUP(H287,'GDP-PI'!$8:$9,2,FALSE)</f>
        <v>92.498000000000005</v>
      </c>
      <c r="DI287" s="69">
        <f t="shared" si="556"/>
        <v>2.6555467950038037E-2</v>
      </c>
      <c r="EB287"/>
    </row>
    <row r="288" spans="1:132" s="160" customFormat="1" ht="21">
      <c r="A288" s="160" t="s">
        <v>176</v>
      </c>
      <c r="B288" s="161" t="s">
        <v>176</v>
      </c>
      <c r="C288" s="161">
        <v>4059355</v>
      </c>
      <c r="D288" s="161" t="s">
        <v>177</v>
      </c>
      <c r="E288" s="161"/>
      <c r="F288" s="161"/>
      <c r="G288" s="161" t="s">
        <v>120</v>
      </c>
      <c r="H288" s="162">
        <v>2008</v>
      </c>
      <c r="I288" s="163"/>
      <c r="J288" s="159">
        <f>IFERROR(INDEX('Labor Expenditures'!$F$7:$X$91,MATCH($C288,'Labor Expenditures'!$D$7:$D$91,0),MATCH($G288,'Labor Expenditures'!$F$5:$X$5,0)),"NA")</f>
        <v>10229.445274352172</v>
      </c>
      <c r="K288" s="159">
        <f t="shared" si="557"/>
        <v>94.8048681589636</v>
      </c>
      <c r="L288" s="165">
        <f t="shared" si="563"/>
        <v>7.8361901097114245E-2</v>
      </c>
      <c r="M288" s="76">
        <f t="shared" si="567"/>
        <v>3.3528682170180584E-4</v>
      </c>
      <c r="N288" s="62">
        <f t="shared" si="573"/>
        <v>109.5279573462723</v>
      </c>
      <c r="O288" s="96">
        <f t="shared" si="568"/>
        <v>-7.0846275267551606E-2</v>
      </c>
      <c r="P288" s="96"/>
      <c r="Q288" s="159">
        <f>IFERROR(INDEX('Non-Labor Expenditures'!$F$7:$AB$91,MATCH($C288,'Non-Labor Expenditures'!$D$7:$D$91,0),MATCH($G288,'Non-Labor Expenditures'!$F$5:$AB$5,0)),"NA")</f>
        <v>14814.147354092431</v>
      </c>
      <c r="R288" s="159">
        <f t="shared" si="558"/>
        <v>157.15593815340355</v>
      </c>
      <c r="S288" s="165">
        <f t="shared" si="569"/>
        <v>9.1228162370542404E-2</v>
      </c>
      <c r="T288" s="165">
        <f t="shared" si="570"/>
        <v>3.9033765366422256E-4</v>
      </c>
      <c r="U288" s="165"/>
      <c r="V288" s="165"/>
      <c r="W288" s="159">
        <f t="shared" si="538"/>
        <v>13417.546066159264</v>
      </c>
      <c r="X288" s="163"/>
      <c r="Y288" s="167">
        <v>740.71441846520781</v>
      </c>
      <c r="Z288" s="168">
        <v>2.4410864741787313E-2</v>
      </c>
      <c r="AA288" s="76">
        <f t="shared" si="559"/>
        <v>1.0444669079841848E-4</v>
      </c>
      <c r="AB288" s="168"/>
      <c r="AC288" s="168"/>
      <c r="AD288" s="163">
        <f t="shared" si="465"/>
        <v>38461.138694603869</v>
      </c>
      <c r="AE288" s="168">
        <f t="shared" si="571"/>
        <v>0.12239991035079802</v>
      </c>
      <c r="AF288" s="163"/>
      <c r="AG288" s="163"/>
      <c r="AH288" s="163"/>
      <c r="AI288" s="163"/>
      <c r="AJ288" s="116">
        <f t="shared" si="572"/>
        <v>279.64008997225397</v>
      </c>
      <c r="AK288" s="114">
        <f>+AV288/$AX$13</f>
        <v>3.9148492813767533E-3</v>
      </c>
      <c r="AL288" s="115">
        <f t="shared" si="560"/>
        <v>0.26596834159222055</v>
      </c>
      <c r="AM288" s="115">
        <f t="shared" si="561"/>
        <v>0.38517183465945765</v>
      </c>
      <c r="AN288" s="115">
        <f t="shared" si="562"/>
        <v>0.34885982374832175</v>
      </c>
      <c r="AO288" s="115">
        <f t="shared" si="564"/>
        <v>6.4743497653686283E-2</v>
      </c>
      <c r="AP288" s="166">
        <f t="shared" ref="AP288:AP301" si="575">+AP287*EXP(AO288)</f>
        <v>93.631532113492639</v>
      </c>
      <c r="AQ288" s="168">
        <f t="shared" ref="AQ288:AQ301" si="576">LN(AP288/AP287)</f>
        <v>6.4743497653686255E-2</v>
      </c>
      <c r="AR288" s="69">
        <f>+AD288/$AF$13</f>
        <v>4.2786968795752341E-3</v>
      </c>
      <c r="AS288" s="169">
        <f t="shared" si="574"/>
        <v>2.7701780138361388E-4</v>
      </c>
      <c r="AT288" s="115"/>
      <c r="AU288" s="115"/>
      <c r="AV288" s="113">
        <f>IFERROR(INDEX('Total Customers'!$F$7:$AB$91,MATCH($C288,'Total Customers'!$D$7:$D$91,0),MATCH($G288,'Total Customers'!$F$5:$AB$5,0)),"NA")</f>
        <v>137538</v>
      </c>
      <c r="AW288" s="68">
        <f t="shared" si="523"/>
        <v>-8.3914551092666261E-3</v>
      </c>
      <c r="AX288" s="114"/>
      <c r="AY288" s="114"/>
      <c r="AZ288" s="116"/>
      <c r="BA288" s="116"/>
      <c r="BB288" s="166"/>
      <c r="BC288" s="166"/>
      <c r="BD288" s="166"/>
      <c r="BE288" s="166"/>
      <c r="BF288" s="166"/>
      <c r="BG288" s="166"/>
      <c r="BH288" s="166"/>
      <c r="BI288" s="113"/>
      <c r="BJ288" s="113"/>
      <c r="BK288" s="113">
        <f>INDEX('Dist. Plant Gas Additions'!$F$7:$AE$91,MATCH($C288,'Dist. Plant Gas Additions'!$D$7:$D$91,0),MATCH(Calculation!$G288,'Dist. Plant Gas Additions'!$F$5:$AE$5,0))</f>
        <v>12674</v>
      </c>
      <c r="BL288" s="113">
        <f>INDEX('Gen. Plant Additions'!$F$7:$AE$91,MATCH($C288,'Gen. Plant Additions'!$D$7:$D$91,0),MATCH(Calculation!$G288,'Gen. Plant Additions'!$F$5:$AE$5,0))</f>
        <v>254</v>
      </c>
      <c r="BM288" s="231">
        <f t="shared" si="539"/>
        <v>0.98272984624493498</v>
      </c>
      <c r="BN288" s="61">
        <f t="shared" si="537"/>
        <v>249.61338094621348</v>
      </c>
      <c r="BO288" s="113">
        <f>INDEX('Dist Plant Depreciation'!$E$7:$AD$94,MATCH($C288,'Dist Plant Depreciation'!$D$7:$D$94,0),MATCH(Calculation!$G288,'Dist Plant Depreciation'!$E$5:$AD$5,0))</f>
        <v>115070</v>
      </c>
      <c r="BP288" s="113">
        <f>INDEX('Gen. Plant Depreciation'!$E$7:$AD$94,MATCH($C288,'Gen. Plant Depreciation'!$D$7:$D$94,0),MATCH(Calculation!$G288,'Gen. Plant Depreciation'!$E$5:$AD$5,0))</f>
        <v>804</v>
      </c>
      <c r="BQ288" s="113"/>
      <c r="BR288" s="113"/>
      <c r="BS288" s="113"/>
      <c r="BT288" s="113"/>
      <c r="BU288" s="113"/>
      <c r="BV288" s="113"/>
      <c r="BW288" s="113">
        <f>INDEX('Gross Dx Plant'!$E$7:$AD$91,MATCH($C288,'Gross Dx Plant'!$D$7:$D$91,0),MATCH(Calculation!$G288,'Gross Dx Plant'!$E$5:$AD$5,0))</f>
        <v>265568</v>
      </c>
      <c r="BX288" s="113">
        <f>INDEX('Gross Gen Plant'!$E$7:$AD$91,MATCH($C288,'Gross Gen Plant'!$D$7:$D$91,0),MATCH(Calculation!$G288,'Gross Gen Plant'!$E$5:$AD$5,0))</f>
        <v>4667</v>
      </c>
      <c r="BY288" s="113">
        <f t="shared" si="551"/>
        <v>154361</v>
      </c>
      <c r="BZ288" s="113"/>
      <c r="CA288" s="116">
        <v>2008</v>
      </c>
      <c r="CB288" s="113"/>
      <c r="CC288" s="113"/>
      <c r="CD288" s="113"/>
      <c r="CE288" s="175"/>
      <c r="CF288" s="113">
        <f t="shared" si="540"/>
        <v>12928</v>
      </c>
      <c r="CG288" s="113">
        <f t="shared" si="541"/>
        <v>22.685429742796696</v>
      </c>
      <c r="CH288" s="178">
        <v>0.94252873563218387</v>
      </c>
      <c r="CI288" s="61">
        <f>+CI278*CH288+CG279*CH287+CG280*CH286+CG281*CH285+CG282*CH284+CG283*CH283+CG284*CH282+CG285*CH281+CG286*CH280+CG287*CH279+CG288</f>
        <v>740.71441846520781</v>
      </c>
      <c r="CJ288" s="114">
        <f t="shared" si="542"/>
        <v>2.4410864741787313E-2</v>
      </c>
      <c r="CK288" s="114"/>
      <c r="CL288" s="169">
        <f t="shared" si="543"/>
        <v>6.6719863869635319E-3</v>
      </c>
      <c r="CM288" s="169">
        <f t="shared" si="552"/>
        <v>6.4596632945134414E-3</v>
      </c>
      <c r="CN288" s="114">
        <f>VLOOKUP($H288,RoR!$E:$F,2,FALSE)</f>
        <v>5.6316666666666668E-2</v>
      </c>
      <c r="CO288" s="169">
        <v>1.9092304698479889E-2</v>
      </c>
      <c r="CP288" s="169">
        <f t="shared" si="549"/>
        <v>3.7224361968186778E-2</v>
      </c>
      <c r="CQ288" s="169">
        <f t="shared" si="553"/>
        <v>2.4442278314020183E-2</v>
      </c>
      <c r="CR288" s="169">
        <f t="shared" si="554"/>
        <v>6.9030581091053131E-2</v>
      </c>
      <c r="CS288" s="179">
        <f t="shared" si="544"/>
        <v>0.87050000000000005</v>
      </c>
      <c r="CT288" s="180">
        <f t="shared" si="545"/>
        <v>0.91060168006009956</v>
      </c>
      <c r="CU288" s="180">
        <f t="shared" si="546"/>
        <v>0.53108168097070152</v>
      </c>
      <c r="CV288" s="180">
        <f t="shared" si="547"/>
        <v>0.88825329850328805</v>
      </c>
      <c r="CW288" s="180">
        <f t="shared" si="548"/>
        <v>0.4295627335323573</v>
      </c>
      <c r="CX288" s="181">
        <f>INDEX('State Tax Lookup'!$D$7:$Z$91,MATCH(Calculation!$C288,'State Tax Lookup'!$B$7:$B$91,0),MATCH($H288,'State Tax Lookup'!$D$6:$Z$6,0))</f>
        <v>0.35</v>
      </c>
      <c r="CY288" s="72">
        <v>0.37</v>
      </c>
      <c r="CZ288" s="70">
        <f t="shared" si="550"/>
        <v>18.561958626731695</v>
      </c>
      <c r="DA288" s="70">
        <v>18.300102035478151</v>
      </c>
      <c r="DB288" s="69">
        <f t="shared" si="555"/>
        <v>0.12654600301995186</v>
      </c>
      <c r="DC288" s="111">
        <f>VLOOKUP($H288,RoR!$E:$F,2,FALSE)</f>
        <v>5.6316666666666668E-2</v>
      </c>
      <c r="DD288" s="216">
        <f>HLOOKUP($H288,'GDP-PI'!$D$8:$CQ$11,3,FALSE)</f>
        <v>1.9092304698479889E-2</v>
      </c>
      <c r="DE288" s="111">
        <f>VLOOKUP(H288,'HW Dx Data'!$E:$F,2,FALSE)</f>
        <v>569.88120333515076</v>
      </c>
      <c r="DF288" s="72">
        <f t="shared" si="565"/>
        <v>107.9</v>
      </c>
      <c r="DG288" s="69">
        <f t="shared" si="566"/>
        <v>3.1778595021460486E-2</v>
      </c>
      <c r="DH288" s="66">
        <f>HLOOKUP(H288,'GDP-PI'!$8:$9,2,FALSE)</f>
        <v>94.263999999999996</v>
      </c>
      <c r="DI288" s="69">
        <f t="shared" si="556"/>
        <v>1.8912333748032254E-2</v>
      </c>
      <c r="EB288"/>
    </row>
    <row r="289" spans="1:132" s="160" customFormat="1" ht="21">
      <c r="A289" s="160" t="s">
        <v>176</v>
      </c>
      <c r="B289" s="161" t="s">
        <v>176</v>
      </c>
      <c r="C289" s="161">
        <v>4059355</v>
      </c>
      <c r="D289" s="161" t="s">
        <v>177</v>
      </c>
      <c r="E289" s="161"/>
      <c r="F289" s="161"/>
      <c r="G289" s="161" t="s">
        <v>125</v>
      </c>
      <c r="H289" s="162">
        <v>2009</v>
      </c>
      <c r="I289" s="163"/>
      <c r="J289" s="159">
        <f>IFERROR(INDEX('Labor Expenditures'!$F$7:$X$91,MATCH($C289,'Labor Expenditures'!$D$7:$D$91,0),MATCH($G289,'Labor Expenditures'!$F$5:$X$5,0)),"NA")</f>
        <v>11701.246745093305</v>
      </c>
      <c r="K289" s="159">
        <f t="shared" si="557"/>
        <v>105.48791296004784</v>
      </c>
      <c r="L289" s="165">
        <f t="shared" si="563"/>
        <v>0.10677561742319315</v>
      </c>
      <c r="M289" s="76">
        <f t="shared" si="567"/>
        <v>4.7634532084846296E-4</v>
      </c>
      <c r="N289" s="62">
        <f t="shared" si="573"/>
        <v>117.91421930784338</v>
      </c>
      <c r="O289" s="96">
        <f t="shared" si="568"/>
        <v>7.3777570188262809E-2</v>
      </c>
      <c r="P289" s="96"/>
      <c r="Q289" s="159">
        <f>IFERROR(INDEX('Non-Labor Expenditures'!$F$7:$AB$91,MATCH($C289,'Non-Labor Expenditures'!$D$7:$D$91,0),MATCH($G289,'Non-Labor Expenditures'!$F$5:$AB$5,0)),"NA")</f>
        <v>16945.590778321508</v>
      </c>
      <c r="R289" s="159">
        <f t="shared" si="558"/>
        <v>178.37651741935713</v>
      </c>
      <c r="S289" s="165">
        <f t="shared" si="569"/>
        <v>0.12665803360576786</v>
      </c>
      <c r="T289" s="165">
        <f t="shared" si="570"/>
        <v>5.6504437166447828E-4</v>
      </c>
      <c r="U289" s="165"/>
      <c r="V289" s="165"/>
      <c r="W289" s="159">
        <f t="shared" si="538"/>
        <v>13179.562539404495</v>
      </c>
      <c r="X289" s="163"/>
      <c r="Y289" s="167">
        <v>758.94332103195632</v>
      </c>
      <c r="Z289" s="168">
        <v>2.4311947931581319E-2</v>
      </c>
      <c r="AA289" s="76">
        <f t="shared" si="559"/>
        <v>1.0845999224730026E-4</v>
      </c>
      <c r="AB289" s="168"/>
      <c r="AC289" s="168"/>
      <c r="AD289" s="163">
        <f t="shared" si="465"/>
        <v>41826.400062819303</v>
      </c>
      <c r="AE289" s="168">
        <f t="shared" si="571"/>
        <v>8.3879373651600503E-2</v>
      </c>
      <c r="AF289" s="163"/>
      <c r="AG289" s="163"/>
      <c r="AH289" s="163"/>
      <c r="AI289" s="163"/>
      <c r="AJ289" s="116">
        <f t="shared" si="572"/>
        <v>308.44290448596513</v>
      </c>
      <c r="AK289" s="114">
        <f>+AV289/$AX$14</f>
        <v>3.8549084166092668E-3</v>
      </c>
      <c r="AL289" s="115">
        <f t="shared" si="560"/>
        <v>0.27975744332572583</v>
      </c>
      <c r="AM289" s="115">
        <f t="shared" si="561"/>
        <v>0.40514102941852109</v>
      </c>
      <c r="AN289" s="115">
        <f t="shared" si="562"/>
        <v>0.31510152725575324</v>
      </c>
      <c r="AO289" s="115">
        <f t="shared" si="564"/>
        <v>8.7255937360011582E-2</v>
      </c>
      <c r="AP289" s="166">
        <f t="shared" si="575"/>
        <v>102.16847288283756</v>
      </c>
      <c r="AQ289" s="168">
        <f t="shared" si="576"/>
        <v>8.7255937360011665E-2</v>
      </c>
      <c r="AR289" s="69">
        <f>+AD289/$AF$14</f>
        <v>4.4611806734914192E-3</v>
      </c>
      <c r="AS289" s="169">
        <f t="shared" si="574"/>
        <v>3.8926450139786193E-4</v>
      </c>
      <c r="AT289" s="115"/>
      <c r="AU289" s="115"/>
      <c r="AV289" s="113">
        <f>IFERROR(INDEX('Total Customers'!$F$7:$AB$91,MATCH($C289,'Total Customers'!$D$7:$D$91,0),MATCH($G289,'Total Customers'!$F$5:$AB$5,0)),"NA")</f>
        <v>135605</v>
      </c>
      <c r="AW289" s="68">
        <f t="shared" si="523"/>
        <v>-1.4153994578755096E-2</v>
      </c>
      <c r="AX289" s="114"/>
      <c r="AY289" s="114"/>
      <c r="AZ289" s="116"/>
      <c r="BA289" s="116"/>
      <c r="BB289" s="166"/>
      <c r="BC289" s="166"/>
      <c r="BD289" s="166"/>
      <c r="BE289" s="166"/>
      <c r="BF289" s="166"/>
      <c r="BG289" s="166"/>
      <c r="BH289" s="166"/>
      <c r="BI289" s="113"/>
      <c r="BJ289" s="113"/>
      <c r="BK289" s="113">
        <f>INDEX('Dist. Plant Gas Additions'!$F$7:$AE$91,MATCH($C289,'Dist. Plant Gas Additions'!$D$7:$D$91,0),MATCH(Calculation!$G289,'Dist. Plant Gas Additions'!$F$5:$AE$5,0))</f>
        <v>12789</v>
      </c>
      <c r="BL289" s="113">
        <f>INDEX('Gen. Plant Additions'!$F$7:$AE$91,MATCH($C289,'Gen. Plant Additions'!$D$7:$D$91,0),MATCH(Calculation!$G289,'Gen. Plant Additions'!$F$5:$AE$5,0))</f>
        <v>65</v>
      </c>
      <c r="BM289" s="231">
        <f t="shared" si="539"/>
        <v>0.98414394835702568</v>
      </c>
      <c r="BN289" s="61">
        <f t="shared" si="537"/>
        <v>63.969356643206666</v>
      </c>
      <c r="BO289" s="113">
        <f>INDEX('Dist Plant Depreciation'!$E$7:$AD$94,MATCH($C289,'Dist Plant Depreciation'!$D$7:$D$94,0),MATCH(Calculation!$G289,'Dist Plant Depreciation'!$E$5:$AD$5,0))</f>
        <v>116859</v>
      </c>
      <c r="BP289" s="113">
        <f>INDEX('Gen. Plant Depreciation'!$E$7:$AD$94,MATCH($C289,'Gen. Plant Depreciation'!$D$7:$D$94,0),MATCH(Calculation!$G289,'Gen. Plant Depreciation'!$E$5:$AD$5,0))</f>
        <v>858</v>
      </c>
      <c r="BQ289" s="113"/>
      <c r="BR289" s="113"/>
      <c r="BS289" s="113"/>
      <c r="BT289" s="113"/>
      <c r="BU289" s="113"/>
      <c r="BV289" s="113"/>
      <c r="BW289" s="113">
        <f>INDEX('Gross Dx Plant'!$E$7:$AD$91,MATCH($C289,'Gross Dx Plant'!$D$7:$D$91,0),MATCH(Calculation!$G289,'Gross Dx Plant'!$E$5:$AD$5,0))</f>
        <v>275331</v>
      </c>
      <c r="BX289" s="113">
        <f>INDEX('Gross Gen Plant'!$E$7:$AD$91,MATCH($C289,'Gross Gen Plant'!$D$7:$D$91,0),MATCH(Calculation!$G289,'Gross Gen Plant'!$E$5:$AD$5,0))</f>
        <v>4436</v>
      </c>
      <c r="BY289" s="113">
        <f t="shared" si="551"/>
        <v>162050</v>
      </c>
      <c r="BZ289" s="113"/>
      <c r="CA289" s="116">
        <v>2009</v>
      </c>
      <c r="CB289" s="113"/>
      <c r="CC289" s="113"/>
      <c r="CD289" s="113"/>
      <c r="CE289" s="175"/>
      <c r="CF289" s="113">
        <f t="shared" si="540"/>
        <v>12854</v>
      </c>
      <c r="CG289" s="113">
        <f t="shared" si="541"/>
        <v>23.331007265557492</v>
      </c>
      <c r="CH289" s="178">
        <v>0.93567251461988299</v>
      </c>
      <c r="CI289" s="61">
        <f>+CI278*CH289+CG279*CH288+CG280*CH287+CG281*CH286+CG282*CH285+CG283*CH284+CG284*CH283+CG285*CH282+CG286*CH281+CG287*CH280+CG288*CH279+CG289</f>
        <v>758.94332103195632</v>
      </c>
      <c r="CJ289" s="114">
        <f t="shared" si="542"/>
        <v>2.4311947931581319E-2</v>
      </c>
      <c r="CK289" s="114"/>
      <c r="CL289" s="169">
        <f t="shared" si="543"/>
        <v>6.8880861120278591E-3</v>
      </c>
      <c r="CM289" s="169">
        <f t="shared" si="552"/>
        <v>6.6711343746756859E-3</v>
      </c>
      <c r="CN289" s="114">
        <f>VLOOKUP($H289,RoR!$E:$F,2,FALSE)</f>
        <v>5.3133333333333324E-2</v>
      </c>
      <c r="CO289" s="169">
        <v>7.7972502758210105E-3</v>
      </c>
      <c r="CP289" s="169">
        <f t="shared" si="549"/>
        <v>4.5336083057512314E-2</v>
      </c>
      <c r="CQ289" s="169">
        <f t="shared" si="553"/>
        <v>2.423080723385794E-2</v>
      </c>
      <c r="CR289" s="169">
        <f t="shared" si="554"/>
        <v>6.3720160300892073E-2</v>
      </c>
      <c r="CS289" s="179">
        <f t="shared" si="544"/>
        <v>0.87050000000000005</v>
      </c>
      <c r="CT289" s="180">
        <f t="shared" si="545"/>
        <v>0.96515780330083989</v>
      </c>
      <c r="CU289" s="180">
        <f t="shared" si="546"/>
        <v>0.50448557089084056</v>
      </c>
      <c r="CV289" s="180">
        <f t="shared" si="547"/>
        <v>0.87391435735465484</v>
      </c>
      <c r="CW289" s="180">
        <f t="shared" si="548"/>
        <v>0.42551605393279146</v>
      </c>
      <c r="CX289" s="181">
        <f>INDEX('State Tax Lookup'!$D$7:$Z$91,MATCH(Calculation!$C289,'State Tax Lookup'!$B$7:$B$91,0),MATCH($H289,'State Tax Lookup'!$D$6:$Z$6,0))</f>
        <v>0.35</v>
      </c>
      <c r="CY289" s="72">
        <v>0.37</v>
      </c>
      <c r="CZ289" s="70">
        <f t="shared" si="550"/>
        <v>17.793041705213618</v>
      </c>
      <c r="DA289" s="70">
        <v>17.478615056163342</v>
      </c>
      <c r="DB289" s="69">
        <f t="shared" si="555"/>
        <v>-4.2306785814495408E-2</v>
      </c>
      <c r="DC289" s="111">
        <f>VLOOKUP($H289,RoR!$E:$F,2,FALSE)</f>
        <v>5.3133333333333324E-2</v>
      </c>
      <c r="DD289" s="216">
        <f>HLOOKUP($H289,'GDP-PI'!$D$8:$CQ$11,3,FALSE)</f>
        <v>7.7972502758210105E-3</v>
      </c>
      <c r="DE289" s="111">
        <f>VLOOKUP(H289,'HW Dx Data'!$E:$F,2,FALSE)</f>
        <v>550.94063679692806</v>
      </c>
      <c r="DF289" s="72">
        <f t="shared" si="565"/>
        <v>110.925</v>
      </c>
      <c r="DG289" s="69">
        <f t="shared" si="566"/>
        <v>2.7649425000884052E-2</v>
      </c>
      <c r="DH289" s="66">
        <f>HLOOKUP(H289,'GDP-PI'!$8:$9,2,FALSE)</f>
        <v>94.998999999999995</v>
      </c>
      <c r="DI289" s="69">
        <f t="shared" si="556"/>
        <v>7.7670088183096342E-3</v>
      </c>
      <c r="EB289"/>
    </row>
    <row r="290" spans="1:132" s="160" customFormat="1" ht="21">
      <c r="A290" s="160" t="s">
        <v>176</v>
      </c>
      <c r="B290" s="161" t="s">
        <v>176</v>
      </c>
      <c r="C290" s="161">
        <v>4059355</v>
      </c>
      <c r="D290" s="161" t="s">
        <v>177</v>
      </c>
      <c r="E290" s="161"/>
      <c r="F290" s="161"/>
      <c r="G290" s="161" t="s">
        <v>126</v>
      </c>
      <c r="H290" s="162">
        <v>2010</v>
      </c>
      <c r="I290" s="163"/>
      <c r="J290" s="159">
        <f>IFERROR(INDEX('Labor Expenditures'!$F$7:$X$91,MATCH($C290,'Labor Expenditures'!$D$7:$D$91,0),MATCH($G290,'Labor Expenditures'!$F$5:$X$5,0)),"NA")</f>
        <v>12082.387581424464</v>
      </c>
      <c r="K290" s="159">
        <f t="shared" si="557"/>
        <v>103.33450999721586</v>
      </c>
      <c r="L290" s="165">
        <f t="shared" si="563"/>
        <v>-2.0624981437427053E-2</v>
      </c>
      <c r="M290" s="76">
        <f t="shared" si="567"/>
        <v>-9.2146694963031358E-5</v>
      </c>
      <c r="N290" s="62">
        <f t="shared" si="573"/>
        <v>97.246966222132983</v>
      </c>
      <c r="O290" s="96">
        <f t="shared" si="568"/>
        <v>-0.19270361873480271</v>
      </c>
      <c r="P290" s="96"/>
      <c r="Q290" s="159">
        <f>IFERROR(INDEX('Non-Labor Expenditures'!$F$7:$AB$91,MATCH($C290,'Non-Labor Expenditures'!$D$7:$D$91,0),MATCH($G290,'Non-Labor Expenditures'!$F$5:$AB$5,0)),"NA")</f>
        <v>17497.553896617708</v>
      </c>
      <c r="R290" s="159">
        <f t="shared" si="558"/>
        <v>182.05947306306078</v>
      </c>
      <c r="S290" s="165">
        <f t="shared" si="569"/>
        <v>2.0436826102399025E-2</v>
      </c>
      <c r="T290" s="165">
        <f t="shared" si="570"/>
        <v>9.1306069127071454E-5</v>
      </c>
      <c r="U290" s="165"/>
      <c r="V290" s="165"/>
      <c r="W290" s="159">
        <f t="shared" si="538"/>
        <v>13837.703936847056</v>
      </c>
      <c r="X290" s="163"/>
      <c r="Y290" s="167">
        <v>768.82979858605574</v>
      </c>
      <c r="Z290" s="168">
        <v>1.294251801231161E-2</v>
      </c>
      <c r="AA290" s="76">
        <f t="shared" si="559"/>
        <v>5.7823579766711966E-5</v>
      </c>
      <c r="AB290" s="168"/>
      <c r="AC290" s="168"/>
      <c r="AD290" s="163">
        <f t="shared" si="465"/>
        <v>43417.64541488923</v>
      </c>
      <c r="AE290" s="168">
        <f t="shared" si="571"/>
        <v>3.733821423857641E-2</v>
      </c>
      <c r="AF290" s="163"/>
      <c r="AG290" s="163"/>
      <c r="AH290" s="163"/>
      <c r="AI290" s="163"/>
      <c r="AJ290" s="116">
        <f t="shared" si="572"/>
        <v>321.92457432685961</v>
      </c>
      <c r="AK290" s="114">
        <f>+AV290/$AX$15</f>
        <v>3.8130084744013686E-3</v>
      </c>
      <c r="AL290" s="115">
        <f t="shared" si="560"/>
        <v>0.27828288397419743</v>
      </c>
      <c r="AM290" s="115">
        <f t="shared" si="561"/>
        <v>0.40300559206781089</v>
      </c>
      <c r="AN290" s="115">
        <f t="shared" si="562"/>
        <v>0.31871152395799168</v>
      </c>
      <c r="AO290" s="115">
        <f t="shared" si="564"/>
        <v>6.6047587042164478E-3</v>
      </c>
      <c r="AP290" s="166">
        <f t="shared" si="575"/>
        <v>102.84550434696718</v>
      </c>
      <c r="AQ290" s="168">
        <f t="shared" si="576"/>
        <v>6.6047587042163403E-3</v>
      </c>
      <c r="AR290" s="69">
        <f>+AD290/$AF$15</f>
        <v>4.467722564628236E-3</v>
      </c>
      <c r="AS290" s="169">
        <f t="shared" si="574"/>
        <v>2.9508229496752093E-5</v>
      </c>
      <c r="AT290" s="115"/>
      <c r="AU290" s="115"/>
      <c r="AV290" s="113">
        <f>IFERROR(INDEX('Total Customers'!$F$7:$AB$91,MATCH($C290,'Total Customers'!$D$7:$D$91,0),MATCH($G290,'Total Customers'!$F$5:$AB$5,0)),"NA")</f>
        <v>134869</v>
      </c>
      <c r="AW290" s="68">
        <f t="shared" si="523"/>
        <v>-5.4423110289027604E-3</v>
      </c>
      <c r="AX290" s="114"/>
      <c r="AY290" s="114"/>
      <c r="AZ290" s="116"/>
      <c r="BA290" s="116"/>
      <c r="BB290" s="166"/>
      <c r="BC290" s="166"/>
      <c r="BD290" s="166"/>
      <c r="BE290" s="166"/>
      <c r="BF290" s="166"/>
      <c r="BG290" s="166"/>
      <c r="BH290" s="166"/>
      <c r="BI290" s="113"/>
      <c r="BJ290" s="113"/>
      <c r="BK290" s="113">
        <f>INDEX('Dist. Plant Gas Additions'!$F$7:$AE$91,MATCH($C290,'Dist. Plant Gas Additions'!$D$7:$D$91,0),MATCH(Calculation!$G290,'Dist. Plant Gas Additions'!$F$5:$AE$5,0))</f>
        <v>8574</v>
      </c>
      <c r="BL290" s="113">
        <f>INDEX('Gen. Plant Additions'!$F$7:$AE$91,MATCH($C290,'Gen. Plant Additions'!$D$7:$D$91,0),MATCH(Calculation!$G290,'Gen. Plant Additions'!$F$5:$AE$5,0))</f>
        <v>122</v>
      </c>
      <c r="BM290" s="231">
        <f t="shared" si="539"/>
        <v>0.98441307102181752</v>
      </c>
      <c r="BN290" s="61">
        <f t="shared" si="537"/>
        <v>120.09839466466174</v>
      </c>
      <c r="BO290" s="113">
        <f>INDEX('Dist Plant Depreciation'!$E$7:$AD$94,MATCH($C290,'Dist Plant Depreciation'!$D$7:$D$94,0),MATCH(Calculation!$G290,'Dist Plant Depreciation'!$E$5:$AD$5,0))</f>
        <v>120907</v>
      </c>
      <c r="BP290" s="113">
        <f>INDEX('Gen. Plant Depreciation'!$E$7:$AD$94,MATCH($C290,'Gen. Plant Depreciation'!$D$7:$D$94,0),MATCH(Calculation!$G290,'Gen. Plant Depreciation'!$E$5:$AD$5,0))</f>
        <v>907</v>
      </c>
      <c r="BQ290" s="113"/>
      <c r="BR290" s="113"/>
      <c r="BS290" s="113"/>
      <c r="BT290" s="113"/>
      <c r="BU290" s="113"/>
      <c r="BV290" s="113"/>
      <c r="BW290" s="113">
        <f>INDEX('Gross Dx Plant'!$E$7:$AD$91,MATCH($C290,'Gross Dx Plant'!$D$7:$D$91,0),MATCH(Calculation!$G290,'Gross Dx Plant'!$E$5:$AD$5,0))</f>
        <v>282814</v>
      </c>
      <c r="BX290" s="113">
        <f>INDEX('Gross Gen Plant'!$E$7:$AD$91,MATCH($C290,'Gross Gen Plant'!$D$7:$D$91,0),MATCH(Calculation!$G290,'Gross Gen Plant'!$E$5:$AD$5,0))</f>
        <v>4478</v>
      </c>
      <c r="BY290" s="113">
        <f t="shared" si="551"/>
        <v>165478</v>
      </c>
      <c r="BZ290" s="113"/>
      <c r="CA290" s="116">
        <v>2010</v>
      </c>
      <c r="CB290" s="113"/>
      <c r="CC290" s="113"/>
      <c r="CD290" s="113"/>
      <c r="CE290" s="175"/>
      <c r="CF290" s="113">
        <f t="shared" si="540"/>
        <v>8696</v>
      </c>
      <c r="CG290" s="113">
        <f t="shared" si="541"/>
        <v>15.283234505749951</v>
      </c>
      <c r="CH290" s="178">
        <v>0.9285714285714286</v>
      </c>
      <c r="CI290" s="61">
        <f>+CI278*CH290+CG279*CH289+CG280*CH288+CG281*CH287+CG282*CH286+CG283*CH285+CG284*CH284+CG285*CH283+CG286*CH282+CG287*CH281+CG288*CH280+CG289*CH279+CG290</f>
        <v>768.82979858605574</v>
      </c>
      <c r="CJ290" s="114">
        <f t="shared" si="542"/>
        <v>1.294251801231161E-2</v>
      </c>
      <c r="CK290" s="114"/>
      <c r="CL290" s="169">
        <f t="shared" si="543"/>
        <v>7.110882726146666E-3</v>
      </c>
      <c r="CM290" s="169">
        <f t="shared" si="552"/>
        <v>6.8903184083793532E-3</v>
      </c>
      <c r="CN290" s="114">
        <f>VLOOKUP($H290,RoR!$E:$F,2,FALSE)</f>
        <v>4.9433333333333322E-2</v>
      </c>
      <c r="CO290" s="169">
        <v>1.1684333519300205E-2</v>
      </c>
      <c r="CP290" s="169">
        <f t="shared" si="549"/>
        <v>3.7748999814033117E-2</v>
      </c>
      <c r="CQ290" s="169">
        <f t="shared" si="553"/>
        <v>2.4011623200154271E-2</v>
      </c>
      <c r="CR290" s="169">
        <f t="shared" si="554"/>
        <v>4.7937530248493419E-2</v>
      </c>
      <c r="CS290" s="179">
        <f t="shared" si="544"/>
        <v>0.87050000000000005</v>
      </c>
      <c r="CT290" s="180">
        <f t="shared" si="545"/>
        <v>1.037398205301105</v>
      </c>
      <c r="CU290" s="180">
        <f t="shared" si="546"/>
        <v>0.46926837491571133</v>
      </c>
      <c r="CV290" s="180">
        <f t="shared" si="547"/>
        <v>0.8548537519972772</v>
      </c>
      <c r="CW290" s="180">
        <f t="shared" si="548"/>
        <v>0.41615833911547367</v>
      </c>
      <c r="CX290" s="181">
        <f>INDEX('State Tax Lookup'!$D$7:$Z$91,MATCH(Calculation!$C290,'State Tax Lookup'!$B$7:$B$91,0),MATCH($H290,'State Tax Lookup'!$D$6:$Z$6,0))</f>
        <v>0.35</v>
      </c>
      <c r="CY290" s="72">
        <v>0.37</v>
      </c>
      <c r="CZ290" s="70">
        <f t="shared" si="550"/>
        <v>18.232855541875704</v>
      </c>
      <c r="DA290" s="70">
        <v>17.956102603965455</v>
      </c>
      <c r="DB290" s="69">
        <f t="shared" si="555"/>
        <v>2.4417750698546938E-2</v>
      </c>
      <c r="DC290" s="111">
        <f>VLOOKUP($H290,RoR!$E:$F,2,FALSE)</f>
        <v>4.9433333333333322E-2</v>
      </c>
      <c r="DD290" s="216">
        <f>HLOOKUP($H290,'GDP-PI'!$D$8:$CQ$11,3,FALSE)</f>
        <v>1.1684333519300205E-2</v>
      </c>
      <c r="DE290" s="111">
        <f>VLOOKUP(H290,'HW Dx Data'!$E:$F,2,FALSE)</f>
        <v>568.98950262971744</v>
      </c>
      <c r="DF290" s="72">
        <f t="shared" si="565"/>
        <v>116.925</v>
      </c>
      <c r="DG290" s="69">
        <f t="shared" si="566"/>
        <v>5.2678406346976722E-2</v>
      </c>
      <c r="DH290" s="66">
        <f>HLOOKUP(H290,'GDP-PI'!$8:$9,2,FALSE)</f>
        <v>96.108999999999995</v>
      </c>
      <c r="DI290" s="69">
        <f t="shared" si="556"/>
        <v>1.1616598807150427E-2</v>
      </c>
      <c r="EB290"/>
    </row>
    <row r="291" spans="1:132" s="160" customFormat="1" ht="21">
      <c r="A291" s="160" t="s">
        <v>176</v>
      </c>
      <c r="B291" s="161" t="s">
        <v>176</v>
      </c>
      <c r="C291" s="161">
        <v>4059355</v>
      </c>
      <c r="D291" s="161" t="s">
        <v>177</v>
      </c>
      <c r="E291" s="161"/>
      <c r="F291" s="161"/>
      <c r="G291" s="161" t="s">
        <v>127</v>
      </c>
      <c r="H291" s="162">
        <v>2011</v>
      </c>
      <c r="I291" s="163"/>
      <c r="J291" s="159">
        <f>IFERROR(INDEX('Labor Expenditures'!$F$7:$X$91,MATCH($C291,'Labor Expenditures'!$D$7:$D$91,0),MATCH($G291,'Labor Expenditures'!$F$5:$X$5,0)),"NA")</f>
        <v>11846.609034720803</v>
      </c>
      <c r="K291" s="159">
        <f t="shared" si="557"/>
        <v>98.007106802240358</v>
      </c>
      <c r="L291" s="165">
        <f t="shared" si="563"/>
        <v>-5.2931401384632613E-2</v>
      </c>
      <c r="M291" s="76">
        <f t="shared" si="567"/>
        <v>-2.2794908710922779E-4</v>
      </c>
      <c r="N291" s="62">
        <f t="shared" si="573"/>
        <v>116.83421789624535</v>
      </c>
      <c r="O291" s="96">
        <f t="shared" si="568"/>
        <v>0.18350220257709993</v>
      </c>
      <c r="P291" s="96"/>
      <c r="Q291" s="159">
        <f>IFERROR(INDEX('Non-Labor Expenditures'!$F$7:$AB$91,MATCH($C291,'Non-Labor Expenditures'!$D$7:$D$91,0),MATCH($G291,'Non-Labor Expenditures'!$F$5:$AB$5,0)),"NA")</f>
        <v>17156.102523632777</v>
      </c>
      <c r="R291" s="159">
        <f t="shared" si="558"/>
        <v>174.86242787460023</v>
      </c>
      <c r="S291" s="165">
        <f t="shared" si="569"/>
        <v>-4.033387043597312E-2</v>
      </c>
      <c r="T291" s="165">
        <f t="shared" si="570"/>
        <v>-1.7369781840182347E-4</v>
      </c>
      <c r="U291" s="165"/>
      <c r="V291" s="165"/>
      <c r="W291" s="159">
        <f t="shared" si="538"/>
        <v>14949.500084718791</v>
      </c>
      <c r="X291" s="163"/>
      <c r="Y291" s="167">
        <v>787.42423049170395</v>
      </c>
      <c r="Z291" s="168">
        <v>2.38975340498375E-2</v>
      </c>
      <c r="AA291" s="76">
        <f t="shared" si="559"/>
        <v>1.0291473356690072E-4</v>
      </c>
      <c r="AB291" s="168"/>
      <c r="AC291" s="168"/>
      <c r="AD291" s="163">
        <f t="shared" si="465"/>
        <v>43952.211643072369</v>
      </c>
      <c r="AE291" s="168">
        <f t="shared" si="571"/>
        <v>1.2237009807715376E-2</v>
      </c>
      <c r="AF291" s="163"/>
      <c r="AG291" s="163"/>
      <c r="AH291" s="163"/>
      <c r="AI291" s="163"/>
      <c r="AJ291" s="116">
        <f t="shared" si="572"/>
        <v>327.33713390038406</v>
      </c>
      <c r="AK291" s="114">
        <f>+AV291/$AX$16</f>
        <v>3.7778138350220889E-3</v>
      </c>
      <c r="AL291" s="115">
        <f t="shared" si="560"/>
        <v>0.26953385488140807</v>
      </c>
      <c r="AM291" s="115">
        <f t="shared" si="561"/>
        <v>0.39033536384822348</v>
      </c>
      <c r="AN291" s="115">
        <f t="shared" si="562"/>
        <v>0.3401307812703685</v>
      </c>
      <c r="AO291" s="115">
        <f t="shared" si="564"/>
        <v>-2.262525629719337E-2</v>
      </c>
      <c r="AP291" s="166">
        <f t="shared" si="575"/>
        <v>100.54472446636777</v>
      </c>
      <c r="AQ291" s="168">
        <f t="shared" si="576"/>
        <v>-2.2625256297193325E-2</v>
      </c>
      <c r="AR291" s="69">
        <f>+AD291/$AF$16</f>
        <v>4.3065001331214978E-3</v>
      </c>
      <c r="AS291" s="169">
        <f t="shared" si="574"/>
        <v>-9.743566925577106E-5</v>
      </c>
      <c r="AT291" s="115"/>
      <c r="AU291" s="115"/>
      <c r="AV291" s="113">
        <f>IFERROR(INDEX('Total Customers'!$F$7:$AB$91,MATCH($C291,'Total Customers'!$D$7:$D$91,0),MATCH($G291,'Total Customers'!$F$5:$AB$5,0)),"NA")</f>
        <v>134272</v>
      </c>
      <c r="AW291" s="68">
        <f t="shared" si="523"/>
        <v>-4.436343620159126E-3</v>
      </c>
      <c r="AX291" s="114"/>
      <c r="AY291" s="114"/>
      <c r="AZ291" s="116"/>
      <c r="BA291" s="116"/>
      <c r="BB291" s="166"/>
      <c r="BC291" s="166"/>
      <c r="BD291" s="166"/>
      <c r="BE291" s="166"/>
      <c r="BF291" s="166"/>
      <c r="BG291" s="166"/>
      <c r="BH291" s="166"/>
      <c r="BI291" s="113"/>
      <c r="BJ291" s="113"/>
      <c r="BK291" s="113">
        <f>INDEX('Dist. Plant Gas Additions'!$F$7:$AE$91,MATCH($C291,'Dist. Plant Gas Additions'!$D$7:$D$91,0),MATCH(Calculation!$G291,'Dist. Plant Gas Additions'!$F$5:$AE$5,0))</f>
        <v>14062</v>
      </c>
      <c r="BL291" s="113">
        <f>INDEX('Gen. Plant Additions'!$F$7:$AE$91,MATCH($C291,'Gen. Plant Additions'!$D$7:$D$91,0),MATCH(Calculation!$G291,'Gen. Plant Additions'!$F$5:$AE$5,0))</f>
        <v>775</v>
      </c>
      <c r="BM291" s="231">
        <f t="shared" si="539"/>
        <v>0.98290305067132089</v>
      </c>
      <c r="BN291" s="61">
        <f t="shared" si="537"/>
        <v>761.74986427027363</v>
      </c>
      <c r="BO291" s="113">
        <f>INDEX('Dist Plant Depreciation'!$E$7:$AD$94,MATCH($C291,'Dist Plant Depreciation'!$D$7:$D$94,0),MATCH(Calculation!$G291,'Dist Plant Depreciation'!$E$5:$AD$5,0))</f>
        <v>124253</v>
      </c>
      <c r="BP291" s="113">
        <f>INDEX('Gen. Plant Depreciation'!$E$7:$AD$94,MATCH($C291,'Gen. Plant Depreciation'!$D$7:$D$94,0),MATCH(Calculation!$G291,'Gen. Plant Depreciation'!$E$5:$AD$5,0))</f>
        <v>929</v>
      </c>
      <c r="BQ291" s="113"/>
      <c r="BR291" s="113"/>
      <c r="BS291" s="113"/>
      <c r="BT291" s="113"/>
      <c r="BU291" s="113"/>
      <c r="BV291" s="113"/>
      <c r="BW291" s="113">
        <f>INDEX('Gross Dx Plant'!$E$7:$AD$91,MATCH($C291,'Gross Dx Plant'!$D$7:$D$91,0),MATCH(Calculation!$G291,'Gross Dx Plant'!$E$5:$AD$5,0))</f>
        <v>295096</v>
      </c>
      <c r="BX291" s="113">
        <f>INDEX('Gross Gen Plant'!$E$7:$AD$91,MATCH($C291,'Gross Gen Plant'!$D$7:$D$91,0),MATCH(Calculation!$G291,'Gross Gen Plant'!$E$5:$AD$5,0))</f>
        <v>5133</v>
      </c>
      <c r="BY291" s="113">
        <f t="shared" si="551"/>
        <v>175047</v>
      </c>
      <c r="BZ291" s="113"/>
      <c r="CA291" s="116">
        <v>2011</v>
      </c>
      <c r="CB291" s="113"/>
      <c r="CC291" s="113"/>
      <c r="CD291" s="113"/>
      <c r="CE291" s="175"/>
      <c r="CF291" s="113">
        <f t="shared" si="540"/>
        <v>14837</v>
      </c>
      <c r="CG291" s="113">
        <f t="shared" si="541"/>
        <v>24.258879693412613</v>
      </c>
      <c r="CH291" s="178">
        <v>0.92121212121212126</v>
      </c>
      <c r="CI291" s="61">
        <f>+CI278*CH291+CG279*CH290+CG280*CH289+CG281*CH288+CG282*CH287+CG283*CH286+CG284*CH285+CG285*CH284+CG286*CH283+CG287*CH282+CG288*CH281+CG289*CH280+CG290*CH279+CG291</f>
        <v>787.42423049170395</v>
      </c>
      <c r="CJ291" s="114">
        <f t="shared" si="542"/>
        <v>2.38975340498375E-2</v>
      </c>
      <c r="CK291" s="114"/>
      <c r="CL291" s="169">
        <f t="shared" si="543"/>
        <v>7.367622584584798E-3</v>
      </c>
      <c r="CM291" s="169">
        <f t="shared" si="552"/>
        <v>7.1221971409197752E-3</v>
      </c>
      <c r="CN291" s="114">
        <f>VLOOKUP($H291,RoR!$E:$F,2,FALSE)</f>
        <v>4.6391666666666664E-2</v>
      </c>
      <c r="CO291" s="169">
        <v>2.0840920205183799E-2</v>
      </c>
      <c r="CP291" s="169">
        <f t="shared" si="549"/>
        <v>2.5550746461482865E-2</v>
      </c>
      <c r="CQ291" s="169">
        <f t="shared" si="553"/>
        <v>2.3779744467613849E-2</v>
      </c>
      <c r="CR291" s="169">
        <f t="shared" si="554"/>
        <v>2.4810540821321614E-2</v>
      </c>
      <c r="CS291" s="179">
        <f t="shared" si="544"/>
        <v>0.87050000000000005</v>
      </c>
      <c r="CT291" s="180">
        <f t="shared" si="545"/>
        <v>1.1054151524782025</v>
      </c>
      <c r="CU291" s="180">
        <f t="shared" si="546"/>
        <v>0.43611011316687626</v>
      </c>
      <c r="CV291" s="180">
        <f t="shared" si="547"/>
        <v>0.83698442246886229</v>
      </c>
      <c r="CW291" s="180">
        <f t="shared" si="548"/>
        <v>0.40349573304423936</v>
      </c>
      <c r="CX291" s="181">
        <f>INDEX('State Tax Lookup'!$D$7:$Z$91,MATCH(Calculation!$C291,'State Tax Lookup'!$B$7:$B$91,0),MATCH($H291,'State Tax Lookup'!$D$6:$Z$6,0))</f>
        <v>0.35</v>
      </c>
      <c r="CY291" s="72">
        <v>0.37</v>
      </c>
      <c r="CZ291" s="70">
        <f t="shared" si="550"/>
        <v>19.44448577853279</v>
      </c>
      <c r="DA291" s="70">
        <v>19.146574949201604</v>
      </c>
      <c r="DB291" s="69">
        <f t="shared" si="555"/>
        <v>6.4338306206358983E-2</v>
      </c>
      <c r="DC291" s="111">
        <f>VLOOKUP($H291,RoR!$E:$F,2,FALSE)</f>
        <v>4.6391666666666664E-2</v>
      </c>
      <c r="DD291" s="216">
        <f>HLOOKUP($H291,'GDP-PI'!$D$8:$CQ$11,3,FALSE)</f>
        <v>2.0840920205183799E-2</v>
      </c>
      <c r="DE291" s="111">
        <f>VLOOKUP(H291,'HW Dx Data'!$E:$F,2,FALSE)</f>
        <v>611.61109612283201</v>
      </c>
      <c r="DF291" s="72">
        <f t="shared" si="565"/>
        <v>120.875</v>
      </c>
      <c r="DG291" s="69">
        <f t="shared" si="566"/>
        <v>3.3224250161508609E-2</v>
      </c>
      <c r="DH291" s="66">
        <f>HLOOKUP(H291,'GDP-PI'!$8:$9,2,FALSE)</f>
        <v>98.111999999999995</v>
      </c>
      <c r="DI291" s="69">
        <f t="shared" si="556"/>
        <v>2.0626719212849295E-2</v>
      </c>
      <c r="EB291"/>
    </row>
    <row r="292" spans="1:132" s="160" customFormat="1" ht="21">
      <c r="A292" s="160" t="s">
        <v>176</v>
      </c>
      <c r="B292" s="161" t="s">
        <v>176</v>
      </c>
      <c r="C292" s="161">
        <v>4059355</v>
      </c>
      <c r="D292" s="161" t="s">
        <v>177</v>
      </c>
      <c r="E292" s="161"/>
      <c r="F292" s="161"/>
      <c r="G292" s="161" t="s">
        <v>128</v>
      </c>
      <c r="H292" s="162">
        <v>2012</v>
      </c>
      <c r="I292" s="163"/>
      <c r="J292" s="159">
        <f>IFERROR(INDEX('Labor Expenditures'!$F$7:$X$91,MATCH($C292,'Labor Expenditures'!$D$7:$D$91,0),MATCH($G292,'Labor Expenditures'!$F$5:$X$5,0)),"NA")</f>
        <v>12374.56672014634</v>
      </c>
      <c r="K292" s="159">
        <f t="shared" si="557"/>
        <v>99.155182052454634</v>
      </c>
      <c r="L292" s="165">
        <f t="shared" si="563"/>
        <v>1.1646123943735789E-2</v>
      </c>
      <c r="M292" s="76">
        <f t="shared" si="567"/>
        <v>5.099914904584811E-5</v>
      </c>
      <c r="N292" s="62">
        <f t="shared" si="573"/>
        <v>114.79683936398241</v>
      </c>
      <c r="O292" s="96">
        <f t="shared" si="568"/>
        <v>-1.759203709592453E-2</v>
      </c>
      <c r="P292" s="96"/>
      <c r="Q292" s="159">
        <f>IFERROR(INDEX('Non-Labor Expenditures'!$F$7:$AB$91,MATCH($C292,'Non-Labor Expenditures'!$D$7:$D$91,0),MATCH($G292,'Non-Labor Expenditures'!$F$5:$AB$5,0)),"NA")</f>
        <v>17920.683861022531</v>
      </c>
      <c r="R292" s="159">
        <f t="shared" si="558"/>
        <v>179.2068386102253</v>
      </c>
      <c r="S292" s="165">
        <f t="shared" si="569"/>
        <v>2.4541123366862469E-2</v>
      </c>
      <c r="T292" s="165">
        <f t="shared" si="570"/>
        <v>1.074672066333591E-4</v>
      </c>
      <c r="U292" s="165"/>
      <c r="V292" s="165"/>
      <c r="W292" s="159">
        <f t="shared" si="538"/>
        <v>16534.627685869295</v>
      </c>
      <c r="X292" s="163"/>
      <c r="Y292" s="167">
        <v>808.11954706831955</v>
      </c>
      <c r="Z292" s="168">
        <v>2.5942851047238993E-2</v>
      </c>
      <c r="AA292" s="76">
        <f t="shared" si="559"/>
        <v>1.1360546509931546E-4</v>
      </c>
      <c r="AB292" s="168"/>
      <c r="AC292" s="168"/>
      <c r="AD292" s="163">
        <f t="shared" si="465"/>
        <v>46829.878267038162</v>
      </c>
      <c r="AE292" s="168">
        <f t="shared" si="571"/>
        <v>6.3418479062502059E-2</v>
      </c>
      <c r="AF292" s="163"/>
      <c r="AG292" s="163"/>
      <c r="AH292" s="163"/>
      <c r="AI292" s="163"/>
      <c r="AJ292" s="116">
        <f t="shared" si="572"/>
        <v>350.43910341114525</v>
      </c>
      <c r="AK292" s="114">
        <f>+AV292/$AX$17</f>
        <v>3.7417889011348376E-3</v>
      </c>
      <c r="AL292" s="115">
        <f t="shared" si="560"/>
        <v>0.26424511824657776</v>
      </c>
      <c r="AM292" s="115">
        <f t="shared" si="561"/>
        <v>0.38267628540124232</v>
      </c>
      <c r="AN292" s="115">
        <f t="shared" si="562"/>
        <v>0.35307859635218003</v>
      </c>
      <c r="AO292" s="115">
        <f t="shared" si="564"/>
        <v>2.158542897803626E-2</v>
      </c>
      <c r="AP292" s="166">
        <f t="shared" si="575"/>
        <v>102.73861836300857</v>
      </c>
      <c r="AQ292" s="168">
        <f t="shared" si="576"/>
        <v>2.1585428978036197E-2</v>
      </c>
      <c r="AR292" s="69">
        <f>+AD292/$AF$17</f>
        <v>4.3790663135849167E-3</v>
      </c>
      <c r="AS292" s="169">
        <f t="shared" si="574"/>
        <v>9.4524024901998003E-5</v>
      </c>
      <c r="AT292" s="115"/>
      <c r="AU292" s="115"/>
      <c r="AV292" s="113">
        <f>IFERROR(INDEX('Total Customers'!$F$7:$AB$91,MATCH($C292,'Total Customers'!$D$7:$D$91,0),MATCH($G292,'Total Customers'!$F$5:$AB$5,0)),"NA")</f>
        <v>133632</v>
      </c>
      <c r="AW292" s="68">
        <f t="shared" si="523"/>
        <v>-4.7778399537131968E-3</v>
      </c>
      <c r="AX292" s="114"/>
      <c r="AY292" s="114"/>
      <c r="AZ292" s="116"/>
      <c r="BA292" s="116"/>
      <c r="BB292" s="166"/>
      <c r="BC292" s="166"/>
      <c r="BD292" s="166"/>
      <c r="BE292" s="166"/>
      <c r="BF292" s="166"/>
      <c r="BG292" s="166"/>
      <c r="BH292" s="166"/>
      <c r="BI292" s="113"/>
      <c r="BJ292" s="113"/>
      <c r="BK292" s="113">
        <f>INDEX('Dist. Plant Gas Additions'!$F$7:$AE$91,MATCH($C292,'Dist. Plant Gas Additions'!$D$7:$D$91,0),MATCH(Calculation!$G292,'Dist. Plant Gas Additions'!$F$5:$AE$5,0))</f>
        <v>17628</v>
      </c>
      <c r="BL292" s="113">
        <f>INDEX('Gen. Plant Additions'!$F$7:$AE$91,MATCH($C292,'Gen. Plant Additions'!$D$7:$D$91,0),MATCH(Calculation!$G292,'Gen. Plant Additions'!$F$5:$AE$5,0))</f>
        <v>222</v>
      </c>
      <c r="BM292" s="231">
        <f t="shared" si="539"/>
        <v>0.9831891741071429</v>
      </c>
      <c r="BN292" s="61">
        <f t="shared" si="537"/>
        <v>218.26799665178572</v>
      </c>
      <c r="BO292" s="113">
        <f>INDEX('Dist Plant Depreciation'!$E$7:$AD$94,MATCH($C292,'Dist Plant Depreciation'!$D$7:$D$94,0),MATCH(Calculation!$G292,'Dist Plant Depreciation'!$E$5:$AD$5,0))</f>
        <v>126822</v>
      </c>
      <c r="BP292" s="113">
        <f>INDEX('Gen. Plant Depreciation'!$E$7:$AD$94,MATCH($C292,'Gen. Plant Depreciation'!$D$7:$D$94,0),MATCH(Calculation!$G292,'Gen. Plant Depreciation'!$E$5:$AD$5,0))</f>
        <v>953</v>
      </c>
      <c r="BQ292" s="113"/>
      <c r="BR292" s="113"/>
      <c r="BS292" s="113"/>
      <c r="BT292" s="113"/>
      <c r="BU292" s="113"/>
      <c r="BV292" s="113"/>
      <c r="BW292" s="113">
        <f>INDEX('Gross Dx Plant'!$E$7:$AD$91,MATCH($C292,'Gross Dx Plant'!$D$7:$D$91,0),MATCH(Calculation!$G292,'Gross Dx Plant'!$E$5:$AD$5,0))</f>
        <v>310090</v>
      </c>
      <c r="BX292" s="113">
        <f>INDEX('Gross Gen Plant'!$E$7:$AD$91,MATCH($C292,'Gross Gen Plant'!$D$7:$D$91,0),MATCH(Calculation!$G292,'Gross Gen Plant'!$E$5:$AD$5,0))</f>
        <v>5302</v>
      </c>
      <c r="BY292" s="113">
        <f t="shared" si="551"/>
        <v>187617</v>
      </c>
      <c r="BZ292" s="113"/>
      <c r="CA292" s="116">
        <v>2012</v>
      </c>
      <c r="CB292" s="113"/>
      <c r="CC292" s="113"/>
      <c r="CD292" s="113"/>
      <c r="CE292" s="175"/>
      <c r="CF292" s="113">
        <f t="shared" si="540"/>
        <v>17850</v>
      </c>
      <c r="CG292" s="113">
        <f t="shared" si="541"/>
        <v>26.684832400453086</v>
      </c>
      <c r="CH292" s="178">
        <v>0.9135802469135802</v>
      </c>
      <c r="CI292" s="61">
        <f>+CI278*CH292+CG279*CH291+CG280*CH290+CG281*CH289+CG282*CH288+CG283*CH287+CG284*CH286+CG285*CH285+CG286*CH284+CG287*CH283+CG288*CH282+CG289*CH281+CG290*CH280+CG291*CH279+CG292</f>
        <v>808.11954706831955</v>
      </c>
      <c r="CJ292" s="114">
        <f t="shared" si="542"/>
        <v>2.5942851047238993E-2</v>
      </c>
      <c r="CK292" s="114"/>
      <c r="CL292" s="169">
        <f t="shared" si="543"/>
        <v>7.6064662375164146E-3</v>
      </c>
      <c r="CM292" s="169">
        <f t="shared" si="552"/>
        <v>7.3616571827492929E-3</v>
      </c>
      <c r="CN292" s="114">
        <f>VLOOKUP($H292,RoR!$E:$F,2,FALSE)</f>
        <v>3.6733333333333333E-2</v>
      </c>
      <c r="CO292" s="169">
        <v>1.924331376386168E-2</v>
      </c>
      <c r="CP292" s="169">
        <f t="shared" si="549"/>
        <v>1.7490019569471653E-2</v>
      </c>
      <c r="CQ292" s="169">
        <f t="shared" si="553"/>
        <v>2.3540284425784333E-2</v>
      </c>
      <c r="CR292" s="169">
        <f t="shared" si="554"/>
        <v>6.7122682943869583E-2</v>
      </c>
      <c r="CS292" s="179">
        <f t="shared" si="544"/>
        <v>0.87050000000000005</v>
      </c>
      <c r="CT292" s="180">
        <f t="shared" si="545"/>
        <v>1.3960631020522127</v>
      </c>
      <c r="CU292" s="180">
        <f t="shared" si="546"/>
        <v>0.29441923774954631</v>
      </c>
      <c r="CV292" s="180">
        <f t="shared" si="547"/>
        <v>0.76377954189366437</v>
      </c>
      <c r="CW292" s="180">
        <f t="shared" si="548"/>
        <v>0.31393465103033691</v>
      </c>
      <c r="CX292" s="181">
        <f>INDEX('State Tax Lookup'!$D$7:$Z$91,MATCH(Calculation!$C292,'State Tax Lookup'!$B$7:$B$91,0),MATCH($H292,'State Tax Lookup'!$D$6:$Z$6,0))</f>
        <v>0.35</v>
      </c>
      <c r="CY292" s="72">
        <v>0.37</v>
      </c>
      <c r="CZ292" s="70">
        <f t="shared" si="550"/>
        <v>20.99837298065404</v>
      </c>
      <c r="DA292" s="70">
        <v>20.759737328210988</v>
      </c>
      <c r="DB292" s="69">
        <f t="shared" si="555"/>
        <v>7.6881435272053988E-2</v>
      </c>
      <c r="DC292" s="111">
        <f>VLOOKUP($H292,RoR!$E:$F,2,FALSE)</f>
        <v>3.6733333333333333E-2</v>
      </c>
      <c r="DD292" s="216">
        <f>HLOOKUP($H292,'GDP-PI'!$D$8:$CQ$11,3,FALSE)</f>
        <v>1.924331376386168E-2</v>
      </c>
      <c r="DE292" s="111">
        <f>VLOOKUP(H292,'HW Dx Data'!$E:$F,2,FALSE)</f>
        <v>668.91932211262167</v>
      </c>
      <c r="DF292" s="72">
        <f t="shared" si="565"/>
        <v>124.80000000000001</v>
      </c>
      <c r="DG292" s="69">
        <f t="shared" si="566"/>
        <v>3.1955502161869064E-2</v>
      </c>
      <c r="DH292" s="66">
        <f>HLOOKUP(H292,'GDP-PI'!$8:$9,2,FALSE)</f>
        <v>100</v>
      </c>
      <c r="DI292" s="69">
        <f t="shared" si="556"/>
        <v>1.9060502738742411E-2</v>
      </c>
      <c r="EB292"/>
    </row>
    <row r="293" spans="1:132" s="160" customFormat="1" ht="21">
      <c r="A293" s="160" t="s">
        <v>176</v>
      </c>
      <c r="B293" s="161" t="s">
        <v>176</v>
      </c>
      <c r="C293" s="161">
        <v>4059355</v>
      </c>
      <c r="D293" s="161" t="s">
        <v>177</v>
      </c>
      <c r="E293" s="161"/>
      <c r="F293" s="161"/>
      <c r="G293" s="161" t="s">
        <v>129</v>
      </c>
      <c r="H293" s="162">
        <v>2013</v>
      </c>
      <c r="I293" s="163"/>
      <c r="J293" s="159">
        <f>IFERROR(INDEX('Labor Expenditures'!$F$7:$X$91,MATCH($C293,'Labor Expenditures'!$D$7:$D$91,0),MATCH($G293,'Labor Expenditures'!$F$5:$X$5,0)),"NA")</f>
        <v>12830.418791516619</v>
      </c>
      <c r="K293" s="159">
        <f t="shared" si="557"/>
        <v>101.18626807189763</v>
      </c>
      <c r="L293" s="165">
        <f t="shared" si="563"/>
        <v>2.0276938282172054E-2</v>
      </c>
      <c r="M293" s="76">
        <f t="shared" si="567"/>
        <v>8.7889822237078742E-5</v>
      </c>
      <c r="N293" s="62">
        <f t="shared" si="573"/>
        <v>108.00395652059261</v>
      </c>
      <c r="O293" s="96">
        <f t="shared" si="568"/>
        <v>-6.0996090930709387E-2</v>
      </c>
      <c r="P293" s="96"/>
      <c r="Q293" s="159">
        <f>IFERROR(INDEX('Non-Labor Expenditures'!$F$7:$AB$91,MATCH($C293,'Non-Labor Expenditures'!$D$7:$D$91,0),MATCH($G293,'Non-Labor Expenditures'!$F$5:$AB$5,0)),"NA")</f>
        <v>18580.842801789258</v>
      </c>
      <c r="R293" s="159">
        <f t="shared" si="558"/>
        <v>182.57143644964046</v>
      </c>
      <c r="S293" s="165">
        <f t="shared" si="569"/>
        <v>1.8600867333459427E-2</v>
      </c>
      <c r="T293" s="165">
        <f t="shared" si="570"/>
        <v>8.0624939556610023E-5</v>
      </c>
      <c r="U293" s="165"/>
      <c r="V293" s="165"/>
      <c r="W293" s="159">
        <f t="shared" si="538"/>
        <v>16663.380007453507</v>
      </c>
      <c r="X293" s="163"/>
      <c r="Y293" s="167">
        <v>833.8398352093069</v>
      </c>
      <c r="Z293" s="168">
        <v>3.1331337932960578E-2</v>
      </c>
      <c r="AA293" s="76">
        <f t="shared" si="559"/>
        <v>1.3580480854936901E-4</v>
      </c>
      <c r="AB293" s="168"/>
      <c r="AC293" s="168"/>
      <c r="AD293" s="163">
        <f t="shared" si="465"/>
        <v>48074.64160075938</v>
      </c>
      <c r="AE293" s="168">
        <f t="shared" si="571"/>
        <v>2.6233412717917261E-2</v>
      </c>
      <c r="AF293" s="163"/>
      <c r="AG293" s="163"/>
      <c r="AH293" s="163"/>
      <c r="AI293" s="163"/>
      <c r="AJ293" s="116">
        <f t="shared" si="572"/>
        <v>356.64739013590446</v>
      </c>
      <c r="AK293" s="114">
        <f>+AV293/$AX$18</f>
        <v>3.7503263548483812E-3</v>
      </c>
      <c r="AL293" s="115">
        <f t="shared" si="560"/>
        <v>0.26688537583011229</v>
      </c>
      <c r="AM293" s="115">
        <f t="shared" si="561"/>
        <v>0.38649987151429449</v>
      </c>
      <c r="AN293" s="115">
        <f t="shared" si="562"/>
        <v>0.34661475265559327</v>
      </c>
      <c r="AO293" s="115">
        <f t="shared" si="564"/>
        <v>2.3499686333113067E-2</v>
      </c>
      <c r="AP293" s="166">
        <f t="shared" si="575"/>
        <v>105.18153513676749</v>
      </c>
      <c r="AQ293" s="168">
        <f t="shared" si="576"/>
        <v>2.3499686333113071E-2</v>
      </c>
      <c r="AR293" s="69">
        <f>+AD293/$AF$18</f>
        <v>4.334472049675935E-3</v>
      </c>
      <c r="AS293" s="169">
        <f t="shared" si="574"/>
        <v>1.0185873358703016E-4</v>
      </c>
      <c r="AT293" s="115"/>
      <c r="AU293" s="115"/>
      <c r="AV293" s="113">
        <f>IFERROR(INDEX('Total Customers'!$F$7:$AB$91,MATCH($C293,'Total Customers'!$D$7:$D$91,0),MATCH($G293,'Total Customers'!$F$5:$AB$5,0)),"NA")</f>
        <v>134796</v>
      </c>
      <c r="AW293" s="68">
        <f t="shared" si="523"/>
        <v>8.6727710673684243E-3</v>
      </c>
      <c r="AX293" s="114"/>
      <c r="AY293" s="114"/>
      <c r="AZ293" s="116"/>
      <c r="BA293" s="116"/>
      <c r="BB293" s="166"/>
      <c r="BC293" s="166"/>
      <c r="BD293" s="166"/>
      <c r="BE293" s="166"/>
      <c r="BF293" s="166"/>
      <c r="BG293" s="166"/>
      <c r="BH293" s="166"/>
      <c r="BI293" s="113"/>
      <c r="BJ293" s="113"/>
      <c r="BK293" s="113">
        <f>INDEX('Dist. Plant Gas Additions'!$F$7:$AE$91,MATCH($C293,'Dist. Plant Gas Additions'!$D$7:$D$91,0),MATCH(Calculation!$G293,'Dist. Plant Gas Additions'!$F$5:$AE$5,0))</f>
        <v>20770</v>
      </c>
      <c r="BL293" s="113">
        <f>INDEX('Gen. Plant Additions'!$F$7:$AE$91,MATCH($C293,'Gen. Plant Additions'!$D$7:$D$91,0),MATCH(Calculation!$G293,'Gen. Plant Additions'!$F$5:$AE$5,0))</f>
        <v>495</v>
      </c>
      <c r="BM293" s="231">
        <f t="shared" si="539"/>
        <v>0.98438700768491838</v>
      </c>
      <c r="BN293" s="61">
        <f t="shared" si="537"/>
        <v>487.27156880403459</v>
      </c>
      <c r="BO293" s="113">
        <f>INDEX('Dist Plant Depreciation'!$E$7:$AD$94,MATCH($C293,'Dist Plant Depreciation'!$D$7:$D$94,0),MATCH(Calculation!$G293,'Dist Plant Depreciation'!$E$5:$AD$5,0))</f>
        <v>129304</v>
      </c>
      <c r="BP293" s="113">
        <f>INDEX('Gen. Plant Depreciation'!$E$7:$AD$94,MATCH($C293,'Gen. Plant Depreciation'!$D$7:$D$94,0),MATCH(Calculation!$G293,'Gen. Plant Depreciation'!$E$5:$AD$5,0))</f>
        <v>521</v>
      </c>
      <c r="BQ293" s="113"/>
      <c r="BR293" s="113"/>
      <c r="BS293" s="113"/>
      <c r="BT293" s="113"/>
      <c r="BU293" s="113"/>
      <c r="BV293" s="113"/>
      <c r="BW293" s="113">
        <f>INDEX('Gross Dx Plant'!$E$7:$AD$91,MATCH($C293,'Gross Dx Plant'!$D$7:$D$91,0),MATCH(Calculation!$G293,'Gross Dx Plant'!$E$5:$AD$5,0))</f>
        <v>327919</v>
      </c>
      <c r="BX293" s="113">
        <f>INDEX('Gross Gen Plant'!$E$7:$AD$91,MATCH($C293,'Gross Gen Plant'!$D$7:$D$91,0),MATCH(Calculation!$G293,'Gross Gen Plant'!$E$5:$AD$5,0))</f>
        <v>5201</v>
      </c>
      <c r="BY293" s="113">
        <f t="shared" si="551"/>
        <v>203295</v>
      </c>
      <c r="BZ293" s="113"/>
      <c r="CA293" s="116">
        <v>2013</v>
      </c>
      <c r="CB293" s="113"/>
      <c r="CC293" s="113"/>
      <c r="CD293" s="113"/>
      <c r="CE293" s="175"/>
      <c r="CF293" s="113">
        <f t="shared" si="540"/>
        <v>21265</v>
      </c>
      <c r="CG293" s="113">
        <f t="shared" si="541"/>
        <v>32.061893890791843</v>
      </c>
      <c r="CH293" s="178">
        <v>0.90566037735849059</v>
      </c>
      <c r="CI293" s="61">
        <f>+CI278*CH293+CG279*CH292+CG280*CH291+CG281*CH290+CG282*CH289+CG283*CH288+CG284*CH287+CG285*CH286+CG286*CH285+CG287*CH284+CG288*CH283+CG289*CH282+CG290*CH281+CG291*CH280+CG292*CH279+CG293</f>
        <v>833.8398352093069</v>
      </c>
      <c r="CJ293" s="114">
        <f t="shared" si="542"/>
        <v>3.1331337932960578E-2</v>
      </c>
      <c r="CK293" s="114"/>
      <c r="CL293" s="169">
        <f t="shared" si="543"/>
        <v>7.847360916847573E-3</v>
      </c>
      <c r="CM293" s="169">
        <f t="shared" si="552"/>
        <v>7.6071499129829285E-3</v>
      </c>
      <c r="CN293" s="114">
        <f>VLOOKUP($H293,RoR!$E:$F,2,FALSE)</f>
        <v>4.2350000000000006E-2</v>
      </c>
      <c r="CO293" s="169">
        <v>1.7730000000000024E-2</v>
      </c>
      <c r="CP293" s="169">
        <f t="shared" si="549"/>
        <v>2.4619999999999982E-2</v>
      </c>
      <c r="CQ293" s="169">
        <f t="shared" si="553"/>
        <v>2.3294791695550696E-2</v>
      </c>
      <c r="CR293" s="169">
        <f t="shared" si="554"/>
        <v>5.3376742735721204E-2</v>
      </c>
      <c r="CS293" s="179">
        <f t="shared" si="544"/>
        <v>0.87050000000000005</v>
      </c>
      <c r="CT293" s="180">
        <f t="shared" si="545"/>
        <v>1.2109103018193925</v>
      </c>
      <c r="CU293" s="180">
        <f t="shared" si="546"/>
        <v>0.38468122786304604</v>
      </c>
      <c r="CV293" s="180">
        <f t="shared" si="547"/>
        <v>0.80969194503422559</v>
      </c>
      <c r="CW293" s="180">
        <f t="shared" si="548"/>
        <v>0.37716621754800816</v>
      </c>
      <c r="CX293" s="181">
        <f>INDEX('State Tax Lookup'!$D$7:$Z$91,MATCH(Calculation!$C293,'State Tax Lookup'!$B$7:$B$91,0),MATCH($H293,'State Tax Lookup'!$D$6:$Z$6,0))</f>
        <v>0.35</v>
      </c>
      <c r="CY293" s="72">
        <v>0.37</v>
      </c>
      <c r="CZ293" s="70">
        <f t="shared" si="550"/>
        <v>20.619944249467288</v>
      </c>
      <c r="DA293" s="70">
        <v>20.339519021246105</v>
      </c>
      <c r="DB293" s="69">
        <f t="shared" si="555"/>
        <v>-1.8186182736622071E-2</v>
      </c>
      <c r="DC293" s="111">
        <f>VLOOKUP($H293,RoR!$E:$F,2,FALSE)</f>
        <v>4.2350000000000006E-2</v>
      </c>
      <c r="DD293" s="216">
        <f>HLOOKUP($H293,'GDP-PI'!$D$8:$CQ$11,3,FALSE)</f>
        <v>1.7730000000000024E-2</v>
      </c>
      <c r="DE293" s="111">
        <f>VLOOKUP(H293,'HW Dx Data'!$E:$F,2,FALSE)</f>
        <v>663.24840548821396</v>
      </c>
      <c r="DF293" s="72">
        <f t="shared" si="565"/>
        <v>126.8</v>
      </c>
      <c r="DG293" s="69">
        <f t="shared" si="566"/>
        <v>1.5898586067798204E-2</v>
      </c>
      <c r="DH293" s="66">
        <f>HLOOKUP(H293,'GDP-PI'!$8:$9,2,FALSE)</f>
        <v>101.773</v>
      </c>
      <c r="DI293" s="69">
        <f t="shared" si="556"/>
        <v>1.7574657016510519E-2</v>
      </c>
      <c r="EB293"/>
    </row>
    <row r="294" spans="1:132" s="160" customFormat="1" ht="21">
      <c r="A294" s="160" t="s">
        <v>176</v>
      </c>
      <c r="B294" s="161" t="s">
        <v>176</v>
      </c>
      <c r="C294" s="161">
        <v>4059355</v>
      </c>
      <c r="D294" s="161" t="s">
        <v>177</v>
      </c>
      <c r="E294" s="161"/>
      <c r="F294" s="161"/>
      <c r="G294" s="161" t="s">
        <v>130</v>
      </c>
      <c r="H294" s="162">
        <v>2014</v>
      </c>
      <c r="I294" s="163"/>
      <c r="J294" s="159">
        <f>IFERROR(INDEX('Labor Expenditures'!$F$7:$X$91,MATCH($C294,'Labor Expenditures'!$D$7:$D$91,0),MATCH($G294,'Labor Expenditures'!$F$5:$X$5,0)),"NA")</f>
        <v>13275.035210369491</v>
      </c>
      <c r="K294" s="159">
        <f t="shared" si="557"/>
        <v>102.5891438204752</v>
      </c>
      <c r="L294" s="165">
        <f t="shared" si="563"/>
        <v>1.3769059764348274E-2</v>
      </c>
      <c r="M294" s="76">
        <f t="shared" si="567"/>
        <v>6.0568534092384719E-5</v>
      </c>
      <c r="N294" s="62">
        <f t="shared" si="573"/>
        <v>120.86145901097233</v>
      </c>
      <c r="O294" s="96">
        <f t="shared" si="568"/>
        <v>0.11247706186683991</v>
      </c>
      <c r="P294" s="96"/>
      <c r="Q294" s="159">
        <f>IFERROR(INDEX('Non-Labor Expenditures'!$F$7:$AB$91,MATCH($C294,'Non-Labor Expenditures'!$D$7:$D$91,0),MATCH($G294,'Non-Labor Expenditures'!$F$5:$AB$5,0)),"NA")</f>
        <v>19224.730419180371</v>
      </c>
      <c r="R294" s="159">
        <f t="shared" si="558"/>
        <v>185.48274835914566</v>
      </c>
      <c r="S294" s="165">
        <f t="shared" si="569"/>
        <v>1.582034792976738E-2</v>
      </c>
      <c r="T294" s="165">
        <f t="shared" si="570"/>
        <v>6.959191835440903E-5</v>
      </c>
      <c r="U294" s="165"/>
      <c r="V294" s="165"/>
      <c r="W294" s="159">
        <f t="shared" si="538"/>
        <v>17580.421890740989</v>
      </c>
      <c r="X294" s="163"/>
      <c r="Y294" s="167">
        <v>871.48927385092077</v>
      </c>
      <c r="Z294" s="168">
        <v>4.4162217395123736E-2</v>
      </c>
      <c r="AA294" s="76">
        <f t="shared" si="559"/>
        <v>1.9426459145872296E-4</v>
      </c>
      <c r="AB294" s="168"/>
      <c r="AC294" s="168"/>
      <c r="AD294" s="163">
        <f t="shared" si="465"/>
        <v>50080.187520290849</v>
      </c>
      <c r="AE294" s="168">
        <f t="shared" si="571"/>
        <v>4.0870634754936352E-2</v>
      </c>
      <c r="AF294" s="163"/>
      <c r="AG294" s="163"/>
      <c r="AH294" s="163"/>
      <c r="AI294" s="163"/>
      <c r="AJ294" s="116">
        <f t="shared" si="572"/>
        <v>371.08804801816052</v>
      </c>
      <c r="AK294" s="114">
        <f>+AV294/$AX$19</f>
        <v>3.7346857957408727E-3</v>
      </c>
      <c r="AL294" s="115">
        <f t="shared" si="560"/>
        <v>0.26507558912376045</v>
      </c>
      <c r="AM294" s="115">
        <f t="shared" si="561"/>
        <v>0.38387896234196689</v>
      </c>
      <c r="AN294" s="115">
        <f t="shared" si="562"/>
        <v>0.35104544853427272</v>
      </c>
      <c r="AO294" s="115">
        <f t="shared" si="564"/>
        <v>2.5161242490478696E-2</v>
      </c>
      <c r="AP294" s="166">
        <f t="shared" si="575"/>
        <v>107.8616088480577</v>
      </c>
      <c r="AQ294" s="168">
        <f t="shared" si="576"/>
        <v>2.5161242490478786E-2</v>
      </c>
      <c r="AR294" s="69">
        <f>+AD294/$AF$19</f>
        <v>4.398886716231171E-3</v>
      </c>
      <c r="AS294" s="169">
        <f t="shared" si="574"/>
        <v>1.1068145535523844E-4</v>
      </c>
      <c r="AT294" s="115"/>
      <c r="AU294" s="115"/>
      <c r="AV294" s="113">
        <f>IFERROR(INDEX('Total Customers'!$F$7:$AB$91,MATCH($C294,'Total Customers'!$D$7:$D$91,0),MATCH($G294,'Total Customers'!$F$5:$AB$5,0)),"NA")</f>
        <v>134955</v>
      </c>
      <c r="AW294" s="68">
        <f t="shared" si="523"/>
        <v>1.1788650897592409E-3</v>
      </c>
      <c r="AX294" s="114"/>
      <c r="AY294" s="114"/>
      <c r="AZ294" s="116"/>
      <c r="BA294" s="116"/>
      <c r="BB294" s="166"/>
      <c r="BC294" s="166"/>
      <c r="BD294" s="166"/>
      <c r="BE294" s="166"/>
      <c r="BF294" s="166"/>
      <c r="BG294" s="166"/>
      <c r="BH294" s="166"/>
      <c r="BI294" s="113"/>
      <c r="BJ294" s="113"/>
      <c r="BK294" s="113">
        <f>INDEX('Dist. Plant Gas Additions'!$F$7:$AE$91,MATCH($C294,'Dist. Plant Gas Additions'!$D$7:$D$91,0),MATCH(Calculation!$G294,'Dist. Plant Gas Additions'!$F$5:$AE$5,0))</f>
        <v>30152</v>
      </c>
      <c r="BL294" s="113">
        <f>INDEX('Gen. Plant Additions'!$F$7:$AE$91,MATCH($C294,'Gen. Plant Additions'!$D$7:$D$91,0),MATCH(Calculation!$G294,'Gen. Plant Additions'!$F$5:$AE$5,0))</f>
        <v>229</v>
      </c>
      <c r="BM294" s="231">
        <f t="shared" si="539"/>
        <v>0.98766108901881444</v>
      </c>
      <c r="BN294" s="61">
        <f t="shared" si="537"/>
        <v>226.1743893853085</v>
      </c>
      <c r="BO294" s="113">
        <f>INDEX('Dist Plant Depreciation'!$E$7:$AD$94,MATCH($C294,'Dist Plant Depreciation'!$D$7:$D$94,0),MATCH(Calculation!$G294,'Dist Plant Depreciation'!$E$5:$AD$5,0))</f>
        <v>132046</v>
      </c>
      <c r="BP294" s="113">
        <f>INDEX('Gen. Plant Depreciation'!$E$7:$AD$94,MATCH($C294,'Gen. Plant Depreciation'!$D$7:$D$94,0),MATCH(Calculation!$G294,'Gen. Plant Depreciation'!$E$5:$AD$5,0))</f>
        <v>538</v>
      </c>
      <c r="BQ294" s="113"/>
      <c r="BR294" s="113"/>
      <c r="BS294" s="113"/>
      <c r="BT294" s="113"/>
      <c r="BU294" s="113"/>
      <c r="BV294" s="113"/>
      <c r="BW294" s="113">
        <f>INDEX('Gross Dx Plant'!$E$7:$AD$91,MATCH($C294,'Gross Dx Plant'!$D$7:$D$91,0),MATCH(Calculation!$G294,'Gross Dx Plant'!$E$5:$AD$5,0))</f>
        <v>354917</v>
      </c>
      <c r="BX294" s="113">
        <f>INDEX('Gross Gen Plant'!$E$7:$AD$91,MATCH($C294,'Gross Gen Plant'!$D$7:$D$91,0),MATCH(Calculation!$G294,'Gross Gen Plant'!$E$5:$AD$5,0))</f>
        <v>4434</v>
      </c>
      <c r="BY294" s="113">
        <f t="shared" si="551"/>
        <v>226767</v>
      </c>
      <c r="BZ294" s="113"/>
      <c r="CA294" s="116">
        <v>2014</v>
      </c>
      <c r="CB294" s="113"/>
      <c r="CC294" s="113"/>
      <c r="CD294" s="113"/>
      <c r="CE294" s="175"/>
      <c r="CF294" s="113">
        <f t="shared" si="540"/>
        <v>30381</v>
      </c>
      <c r="CG294" s="113">
        <f t="shared" si="541"/>
        <v>44.386222983669107</v>
      </c>
      <c r="CH294" s="178">
        <v>0.89743589743589747</v>
      </c>
      <c r="CI294" s="61">
        <f>+CI278*CH294+CG279*CH293+CG280*CH292+CG281*CH291+CG282*CH290+CG283*CH289+CG284*CH288+CG285*CH287+CG286*CH286+CG287*CH285+CG288*CH284+CG289*CH283+CG290*CH282+CG291*CH281+CG292*CH280+CG293*CH279+CG294</f>
        <v>871.48927385092077</v>
      </c>
      <c r="CJ294" s="114">
        <f t="shared" si="542"/>
        <v>4.4162217395123736E-2</v>
      </c>
      <c r="CK294" s="114"/>
      <c r="CL294" s="169">
        <f t="shared" si="543"/>
        <v>8.0792306358980787E-3</v>
      </c>
      <c r="CM294" s="169">
        <f t="shared" si="552"/>
        <v>7.8443525967540218E-3</v>
      </c>
      <c r="CN294" s="114">
        <f>VLOOKUP($H294,RoR!$E:$F,2,FALSE)</f>
        <v>4.1625000000000002E-2</v>
      </c>
      <c r="CO294" s="169">
        <v>1.841352814597208E-2</v>
      </c>
      <c r="CP294" s="169">
        <f t="shared" si="549"/>
        <v>2.3211471854027922E-2</v>
      </c>
      <c r="CQ294" s="169">
        <f t="shared" si="553"/>
        <v>2.3057589011779601E-2</v>
      </c>
      <c r="CR294" s="169">
        <f t="shared" si="554"/>
        <v>3.9072621432650924E-2</v>
      </c>
      <c r="CS294" s="179">
        <f t="shared" si="544"/>
        <v>0.87050000000000005</v>
      </c>
      <c r="CT294" s="180">
        <f t="shared" si="545"/>
        <v>1.2320012320012319</v>
      </c>
      <c r="CU294" s="180">
        <f t="shared" si="546"/>
        <v>0.37439939939939942</v>
      </c>
      <c r="CV294" s="180">
        <f t="shared" si="547"/>
        <v>0.80432100613819935</v>
      </c>
      <c r="CW294" s="180">
        <f t="shared" si="548"/>
        <v>0.37100152660040037</v>
      </c>
      <c r="CX294" s="181">
        <f>INDEX('State Tax Lookup'!$D$7:$Z$91,MATCH(Calculation!$C294,'State Tax Lookup'!$B$7:$B$91,0),MATCH($H294,'State Tax Lookup'!$D$6:$Z$6,0))</f>
        <v>0.35</v>
      </c>
      <c r="CY294" s="72">
        <v>0.37</v>
      </c>
      <c r="CZ294" s="70">
        <f t="shared" si="550"/>
        <v>21.083691553699911</v>
      </c>
      <c r="DA294" s="70">
        <v>20.763592984765573</v>
      </c>
      <c r="DB294" s="69">
        <f t="shared" si="555"/>
        <v>2.2241054610921615E-2</v>
      </c>
      <c r="DC294" s="111">
        <f>VLOOKUP($H294,RoR!$E:$F,2,FALSE)</f>
        <v>4.1625000000000002E-2</v>
      </c>
      <c r="DD294" s="216">
        <f>HLOOKUP($H294,'GDP-PI'!$D$8:$CQ$11,3,FALSE)</f>
        <v>1.841352814597208E-2</v>
      </c>
      <c r="DE294" s="111">
        <f>VLOOKUP(H294,'HW Dx Data'!$E:$F,2,FALSE)</f>
        <v>684.46914285042885</v>
      </c>
      <c r="DF294" s="72">
        <f t="shared" si="565"/>
        <v>129.4</v>
      </c>
      <c r="DG294" s="69">
        <f t="shared" si="566"/>
        <v>2.0297340063674733E-2</v>
      </c>
      <c r="DH294" s="66">
        <f>HLOOKUP(H294,'GDP-PI'!$8:$9,2,FALSE)</f>
        <v>103.64700000000001</v>
      </c>
      <c r="DI294" s="69">
        <f t="shared" si="556"/>
        <v>1.8246051898256087E-2</v>
      </c>
      <c r="EB294"/>
    </row>
    <row r="295" spans="1:132" s="160" customFormat="1" ht="21">
      <c r="A295" s="160" t="s">
        <v>176</v>
      </c>
      <c r="B295" s="161" t="s">
        <v>176</v>
      </c>
      <c r="C295" s="161">
        <v>4059355</v>
      </c>
      <c r="D295" s="161" t="s">
        <v>177</v>
      </c>
      <c r="E295" s="161"/>
      <c r="F295" s="161"/>
      <c r="G295" s="161" t="s">
        <v>132</v>
      </c>
      <c r="H295" s="162">
        <v>2015</v>
      </c>
      <c r="I295" s="163"/>
      <c r="J295" s="159">
        <f>IFERROR(INDEX('Labor Expenditures'!$F$7:$X$91,MATCH($C295,'Labor Expenditures'!$D$7:$D$91,0),MATCH($G295,'Labor Expenditures'!$F$5:$X$5,0)),"NA")</f>
        <v>13488.956706700192</v>
      </c>
      <c r="K295" s="159">
        <f t="shared" si="557"/>
        <v>101.04087420749207</v>
      </c>
      <c r="L295" s="165">
        <f t="shared" si="563"/>
        <v>-1.5206986323745992E-2</v>
      </c>
      <c r="M295" s="76">
        <f t="shared" si="567"/>
        <v>-6.7488725957390774E-5</v>
      </c>
      <c r="N295" s="62">
        <f t="shared" si="573"/>
        <v>119.28100400857177</v>
      </c>
      <c r="O295" s="96">
        <f t="shared" si="568"/>
        <v>-1.3162835107360538E-2</v>
      </c>
      <c r="P295" s="96"/>
      <c r="Q295" s="159">
        <f>IFERROR(INDEX('Non-Labor Expenditures'!$F$7:$AB$91,MATCH($C295,'Non-Labor Expenditures'!$D$7:$D$91,0),MATCH($G295,'Non-Labor Expenditures'!$F$5:$AB$5,0)),"NA")</f>
        <v>19534.528700891358</v>
      </c>
      <c r="R295" s="159">
        <f t="shared" si="558"/>
        <v>186.68497119516968</v>
      </c>
      <c r="S295" s="165">
        <f t="shared" si="569"/>
        <v>6.4606732643149858E-3</v>
      </c>
      <c r="T295" s="165">
        <f t="shared" si="570"/>
        <v>2.8672519206171569E-5</v>
      </c>
      <c r="U295" s="165"/>
      <c r="V295" s="165"/>
      <c r="W295" s="159">
        <f t="shared" si="538"/>
        <v>18001.699703271115</v>
      </c>
      <c r="X295" s="163"/>
      <c r="Y295" s="167">
        <v>912.80390404364277</v>
      </c>
      <c r="Z295" s="168">
        <v>4.6317518339077872E-2</v>
      </c>
      <c r="AA295" s="76">
        <f t="shared" si="559"/>
        <v>2.0555751387316506E-4</v>
      </c>
      <c r="AB295" s="168"/>
      <c r="AC295" s="168"/>
      <c r="AD295" s="163">
        <f t="shared" si="465"/>
        <v>51025.185110862665</v>
      </c>
      <c r="AE295" s="168">
        <f t="shared" si="571"/>
        <v>1.8693865336143776E-2</v>
      </c>
      <c r="AF295" s="163"/>
      <c r="AG295" s="163"/>
      <c r="AH295" s="163"/>
      <c r="AI295" s="163"/>
      <c r="AJ295" s="116">
        <f t="shared" si="572"/>
        <v>378.35950964238697</v>
      </c>
      <c r="AK295" s="114">
        <f>+AV295/$AX$20</f>
        <v>3.7016828810692019E-3</v>
      </c>
      <c r="AL295" s="115">
        <f t="shared" si="560"/>
        <v>0.26435880001988571</v>
      </c>
      <c r="AM295" s="115">
        <f t="shared" si="561"/>
        <v>0.38284091784181856</v>
      </c>
      <c r="AN295" s="115">
        <f t="shared" si="562"/>
        <v>0.35280028213829573</v>
      </c>
      <c r="AO295" s="115">
        <f t="shared" si="564"/>
        <v>1.4751406327201145E-2</v>
      </c>
      <c r="AP295" s="166">
        <f t="shared" si="575"/>
        <v>109.46451274420075</v>
      </c>
      <c r="AQ295" s="168">
        <f t="shared" si="576"/>
        <v>1.4751406327201174E-2</v>
      </c>
      <c r="AR295" s="69">
        <f>+AD295/$AF$20</f>
        <v>4.4380079340247628E-3</v>
      </c>
      <c r="AS295" s="169">
        <f t="shared" si="574"/>
        <v>6.5466858318141902E-5</v>
      </c>
      <c r="AT295" s="115"/>
      <c r="AU295" s="115"/>
      <c r="AV295" s="113">
        <f>IFERROR(INDEX('Total Customers'!$F$7:$AB$91,MATCH($C295,'Total Customers'!$D$7:$D$91,0),MATCH($G295,'Total Customers'!$F$5:$AB$5,0)),"NA")</f>
        <v>134859</v>
      </c>
      <c r="AW295" s="68">
        <f t="shared" si="523"/>
        <v>-7.1160135538569089E-4</v>
      </c>
      <c r="AX295" s="114"/>
      <c r="AY295" s="114"/>
      <c r="AZ295" s="116"/>
      <c r="BA295" s="116"/>
      <c r="BB295" s="166"/>
      <c r="BC295" s="166"/>
      <c r="BD295" s="166"/>
      <c r="BE295" s="166"/>
      <c r="BF295" s="166"/>
      <c r="BG295" s="166"/>
      <c r="BH295" s="166"/>
      <c r="BI295" s="113"/>
      <c r="BJ295" s="113"/>
      <c r="BK295" s="113">
        <f>INDEX('Dist. Plant Gas Additions'!$F$7:$AE$91,MATCH($C295,'Dist. Plant Gas Additions'!$D$7:$D$91,0),MATCH(Calculation!$G295,'Dist. Plant Gas Additions'!$F$5:$AE$5,0))</f>
        <v>31981</v>
      </c>
      <c r="BL295" s="113">
        <f>INDEX('Gen. Plant Additions'!$F$7:$AE$91,MATCH($C295,'Gen. Plant Additions'!$D$7:$D$91,0),MATCH(Calculation!$G295,'Gen. Plant Additions'!$F$5:$AE$5,0))</f>
        <v>804</v>
      </c>
      <c r="BM295" s="231">
        <f t="shared" si="539"/>
        <v>0.98760541816621839</v>
      </c>
      <c r="BN295" s="61">
        <f t="shared" si="537"/>
        <v>794.03475620563961</v>
      </c>
      <c r="BO295" s="113">
        <f>INDEX('Dist Plant Depreciation'!$E$7:$AD$94,MATCH($C295,'Dist Plant Depreciation'!$D$7:$D$94,0),MATCH(Calculation!$G295,'Dist Plant Depreciation'!$E$5:$AD$5,0))</f>
        <v>137047</v>
      </c>
      <c r="BP295" s="113">
        <f>INDEX('Gen. Plant Depreciation'!$E$7:$AD$94,MATCH($C295,'Gen. Plant Depreciation'!$D$7:$D$94,0),MATCH(Calculation!$G295,'Gen. Plant Depreciation'!$E$5:$AD$5,0))</f>
        <v>207</v>
      </c>
      <c r="BQ295" s="113"/>
      <c r="BR295" s="113"/>
      <c r="BS295" s="113"/>
      <c r="BT295" s="113"/>
      <c r="BU295" s="113"/>
      <c r="BV295" s="113"/>
      <c r="BW295" s="113">
        <f>INDEX('Gross Dx Plant'!$E$7:$AD$91,MATCH($C295,'Gross Dx Plant'!$D$7:$D$91,0),MATCH(Calculation!$G295,'Gross Dx Plant'!$E$5:$AD$5,0))</f>
        <v>384458</v>
      </c>
      <c r="BX295" s="113">
        <f>INDEX('Gross Gen Plant'!$E$7:$AD$91,MATCH($C295,'Gross Gen Plant'!$D$7:$D$91,0),MATCH(Calculation!$G295,'Gross Gen Plant'!$E$5:$AD$5,0))</f>
        <v>4825</v>
      </c>
      <c r="BY295" s="113">
        <f t="shared" si="551"/>
        <v>252029</v>
      </c>
      <c r="BZ295" s="113"/>
      <c r="CA295" s="116">
        <v>2015</v>
      </c>
      <c r="CB295" s="113"/>
      <c r="CC295" s="113"/>
      <c r="CD295" s="113"/>
      <c r="CE295" s="175"/>
      <c r="CF295" s="113">
        <f t="shared" si="540"/>
        <v>32785</v>
      </c>
      <c r="CG295" s="113">
        <f t="shared" si="541"/>
        <v>48.526184002581878</v>
      </c>
      <c r="CH295" s="178">
        <v>0.88888888888888884</v>
      </c>
      <c r="CI295" s="61">
        <f>+CI278*CH295+CG279*CH294+CG280*CH293+CG281*CH292+CG282*CH291+CG283*CH290+CG284*CH289+CG285*CH288+CG286*CH287+CG287*CH286+CG288*CH285+CG289*CH284+CG290*CH283+CG291*CH282+CG292*CH281+CG293*CH280+CG294*CH279+CG295</f>
        <v>912.80390404364277</v>
      </c>
      <c r="CJ295" s="114">
        <f t="shared" si="542"/>
        <v>4.6317518339077872E-2</v>
      </c>
      <c r="CK295" s="114"/>
      <c r="CL295" s="169">
        <f t="shared" si="543"/>
        <v>8.2749771296594284E-3</v>
      </c>
      <c r="CM295" s="169">
        <f t="shared" si="552"/>
        <v>8.0671895608016939E-3</v>
      </c>
      <c r="CN295" s="114">
        <f>VLOOKUP($H295,RoR!$E:$F,2,FALSE)</f>
        <v>3.8866666666666674E-2</v>
      </c>
      <c r="CO295" s="169">
        <v>9.5709475431029478E-3</v>
      </c>
      <c r="CP295" s="169">
        <f t="shared" si="549"/>
        <v>2.9295719123563727E-2</v>
      </c>
      <c r="CQ295" s="169">
        <f t="shared" si="553"/>
        <v>2.2834752047731929E-2</v>
      </c>
      <c r="CR295" s="169">
        <f t="shared" si="554"/>
        <v>3.5270373279175926E-3</v>
      </c>
      <c r="CS295" s="179">
        <f t="shared" si="544"/>
        <v>0.87050000000000005</v>
      </c>
      <c r="CT295" s="180">
        <f t="shared" si="545"/>
        <v>1.3194352816994324</v>
      </c>
      <c r="CU295" s="180">
        <f t="shared" si="546"/>
        <v>0.33177530017152673</v>
      </c>
      <c r="CV295" s="180">
        <f t="shared" si="547"/>
        <v>0.78242572977668579</v>
      </c>
      <c r="CW295" s="180">
        <f t="shared" si="548"/>
        <v>0.34251158643433932</v>
      </c>
      <c r="CX295" s="181">
        <f>INDEX('State Tax Lookup'!$D$7:$Z$91,MATCH(Calculation!$C295,'State Tax Lookup'!$B$7:$B$91,0),MATCH($H295,'State Tax Lookup'!$D$6:$Z$6,0))</f>
        <v>0.35</v>
      </c>
      <c r="CY295" s="72">
        <v>0.37</v>
      </c>
      <c r="CZ295" s="70">
        <f t="shared" si="550"/>
        <v>20.656249300379265</v>
      </c>
      <c r="DA295" s="70">
        <v>20.279488671080099</v>
      </c>
      <c r="DB295" s="69">
        <f t="shared" si="555"/>
        <v>-2.0481926302232112E-2</v>
      </c>
      <c r="DC295" s="111">
        <f>VLOOKUP($H295,RoR!$E:$F,2,FALSE)</f>
        <v>3.8866666666666674E-2</v>
      </c>
      <c r="DD295" s="216">
        <f>HLOOKUP($H295,'GDP-PI'!$D$8:$CQ$11,3,FALSE)</f>
        <v>9.5709475431029478E-3</v>
      </c>
      <c r="DE295" s="111">
        <f>VLOOKUP(H295,'HW Dx Data'!$E:$F,2,FALSE)</f>
        <v>675.61463308665782</v>
      </c>
      <c r="DF295" s="72">
        <f t="shared" si="565"/>
        <v>133.5</v>
      </c>
      <c r="DG295" s="69">
        <f t="shared" si="566"/>
        <v>3.1193095773504077E-2</v>
      </c>
      <c r="DH295" s="66">
        <f>HLOOKUP(H295,'GDP-PI'!$8:$9,2,FALSE)</f>
        <v>104.639</v>
      </c>
      <c r="DI295" s="69">
        <f t="shared" si="556"/>
        <v>9.5254361854427965E-3</v>
      </c>
      <c r="EB295"/>
    </row>
    <row r="296" spans="1:132" s="160" customFormat="1" ht="21">
      <c r="A296" s="160" t="s">
        <v>176</v>
      </c>
      <c r="B296" s="161" t="s">
        <v>176</v>
      </c>
      <c r="C296" s="161">
        <v>4059355</v>
      </c>
      <c r="D296" s="161" t="s">
        <v>177</v>
      </c>
      <c r="E296" s="161"/>
      <c r="F296" s="161"/>
      <c r="G296" s="161" t="s">
        <v>133</v>
      </c>
      <c r="H296" s="162">
        <v>2016</v>
      </c>
      <c r="I296" s="163"/>
      <c r="J296" s="159">
        <f>IFERROR(INDEX('Labor Expenditures'!$F$7:$X$91,MATCH($C296,'Labor Expenditures'!$D$7:$D$91,0),MATCH($G296,'Labor Expenditures'!$F$5:$X$5,0)),"NA")</f>
        <v>15091.395736535351</v>
      </c>
      <c r="K296" s="159">
        <f t="shared" si="557"/>
        <v>110.19639092030195</v>
      </c>
      <c r="L296" s="165">
        <f t="shared" si="563"/>
        <v>8.6739015815061701E-2</v>
      </c>
      <c r="M296" s="76">
        <f t="shared" si="567"/>
        <v>4.0472677935250663E-4</v>
      </c>
      <c r="N296" s="62">
        <f t="shared" si="573"/>
        <v>297.16040406748016</v>
      </c>
      <c r="O296" s="96">
        <f t="shared" si="568"/>
        <v>0.9127899863841088</v>
      </c>
      <c r="P296" s="96"/>
      <c r="Q296" s="159">
        <f>IFERROR(INDEX('Non-Labor Expenditures'!$F$7:$AB$91,MATCH($C296,'Non-Labor Expenditures'!$D$7:$D$91,0),MATCH($G296,'Non-Labor Expenditures'!$F$5:$AB$5,0)),"NA")</f>
        <v>21855.159710418935</v>
      </c>
      <c r="R296" s="159">
        <f t="shared" si="558"/>
        <v>206.69554087934983</v>
      </c>
      <c r="S296" s="165">
        <f t="shared" si="569"/>
        <v>0.10182434331663955</v>
      </c>
      <c r="T296" s="165">
        <f t="shared" si="570"/>
        <v>4.7511535775428303E-4</v>
      </c>
      <c r="U296" s="165"/>
      <c r="V296" s="165"/>
      <c r="W296" s="159">
        <f t="shared" si="538"/>
        <v>18568.661104847226</v>
      </c>
      <c r="X296" s="163"/>
      <c r="Y296" s="167">
        <v>956.07963760740927</v>
      </c>
      <c r="Z296" s="168">
        <v>4.6320136981949624E-2</v>
      </c>
      <c r="AA296" s="76">
        <f t="shared" si="559"/>
        <v>2.1613111105436484E-4</v>
      </c>
      <c r="AB296" s="168"/>
      <c r="AC296" s="168"/>
      <c r="AD296" s="163">
        <f t="shared" ref="AD296:AD362" si="577">+J296+Q296+W296</f>
        <v>55515.21655180151</v>
      </c>
      <c r="AE296" s="168">
        <f t="shared" si="571"/>
        <v>8.4337818742887594E-2</v>
      </c>
      <c r="AF296" s="163"/>
      <c r="AG296" s="163"/>
      <c r="AH296" s="163"/>
      <c r="AI296" s="163"/>
      <c r="AJ296" s="116">
        <f t="shared" si="572"/>
        <v>409.93026857325412</v>
      </c>
      <c r="AK296" s="114">
        <f>+AV296/$AX$21</f>
        <v>3.6851239969420977E-3</v>
      </c>
      <c r="AL296" s="115">
        <f t="shared" si="560"/>
        <v>0.2718425086652323</v>
      </c>
      <c r="AM296" s="115">
        <f t="shared" si="561"/>
        <v>0.39367872572424867</v>
      </c>
      <c r="AN296" s="115">
        <f t="shared" si="562"/>
        <v>0.33447876561051909</v>
      </c>
      <c r="AO296" s="115">
        <f t="shared" si="564"/>
        <v>7.8706518104615028E-2</v>
      </c>
      <c r="AP296" s="166">
        <f t="shared" si="575"/>
        <v>118.42820716968208</v>
      </c>
      <c r="AQ296" s="168">
        <f t="shared" si="576"/>
        <v>7.870651810461507E-2</v>
      </c>
      <c r="AR296" s="69">
        <f>+AD296/$AF$21</f>
        <v>4.6660291859367429E-3</v>
      </c>
      <c r="AS296" s="169">
        <f t="shared" si="574"/>
        <v>3.6724691059959258E-4</v>
      </c>
      <c r="AT296" s="115"/>
      <c r="AU296" s="115"/>
      <c r="AV296" s="113">
        <f>IFERROR(INDEX('Total Customers'!$F$7:$AB$91,MATCH($C296,'Total Customers'!$D$7:$D$91,0),MATCH($G296,'Total Customers'!$F$5:$AB$5,0)),"NA")</f>
        <v>135426</v>
      </c>
      <c r="AW296" s="68">
        <f t="shared" si="523"/>
        <v>4.1955774958682612E-3</v>
      </c>
      <c r="AX296" s="114"/>
      <c r="AY296" s="114"/>
      <c r="AZ296" s="116"/>
      <c r="BA296" s="116"/>
      <c r="BB296" s="166"/>
      <c r="BC296" s="166"/>
      <c r="BD296" s="166"/>
      <c r="BE296" s="166"/>
      <c r="BF296" s="166"/>
      <c r="BG296" s="166"/>
      <c r="BH296" s="166"/>
      <c r="BI296" s="113"/>
      <c r="BJ296" s="113"/>
      <c r="BK296" s="113">
        <f>INDEX('Dist. Plant Gas Additions'!$F$7:$AE$91,MATCH($C296,'Dist. Plant Gas Additions'!$D$7:$D$91,0),MATCH(Calculation!$G296,'Dist. Plant Gas Additions'!$F$5:$AE$5,0))</f>
        <v>33397</v>
      </c>
      <c r="BL296" s="113">
        <f>INDEX('Gen. Plant Additions'!$F$7:$AE$91,MATCH($C296,'Gen. Plant Additions'!$D$7:$D$91,0),MATCH(Calculation!$G296,'Gen. Plant Additions'!$F$5:$AE$5,0))</f>
        <v>850</v>
      </c>
      <c r="BM296" s="231">
        <f t="shared" si="539"/>
        <v>0.98824635525141324</v>
      </c>
      <c r="BN296" s="61">
        <f t="shared" si="537"/>
        <v>840.00940196370129</v>
      </c>
      <c r="BO296" s="113">
        <f>INDEX('Dist Plant Depreciation'!$E$7:$AD$94,MATCH($C296,'Dist Plant Depreciation'!$D$7:$D$94,0),MATCH(Calculation!$G296,'Dist Plant Depreciation'!$E$5:$AD$5,0))</f>
        <v>140752</v>
      </c>
      <c r="BP296" s="113">
        <f>INDEX('Gen. Plant Depreciation'!$E$7:$AD$94,MATCH($C296,'Gen. Plant Depreciation'!$D$7:$D$94,0),MATCH(Calculation!$G296,'Gen. Plant Depreciation'!$E$5:$AD$5,0))</f>
        <v>227</v>
      </c>
      <c r="BQ296" s="113"/>
      <c r="BR296" s="113"/>
      <c r="BS296" s="113"/>
      <c r="BT296" s="113"/>
      <c r="BU296" s="113"/>
      <c r="BV296" s="113"/>
      <c r="BW296" s="113">
        <f>INDEX('Gross Dx Plant'!$E$7:$AD$91,MATCH($C296,'Gross Dx Plant'!$D$7:$D$91,0),MATCH(Calculation!$G296,'Gross Dx Plant'!$E$5:$AD$5,0))</f>
        <v>415187</v>
      </c>
      <c r="BX296" s="113">
        <f>INDEX('Gross Gen Plant'!$E$7:$AD$91,MATCH($C296,'Gross Gen Plant'!$D$7:$D$91,0),MATCH(Calculation!$G296,'Gross Gen Plant'!$E$5:$AD$5,0))</f>
        <v>4938</v>
      </c>
      <c r="BY296" s="113">
        <f t="shared" si="551"/>
        <v>279146</v>
      </c>
      <c r="BZ296" s="113"/>
      <c r="CA296" s="116">
        <v>2016</v>
      </c>
      <c r="CB296" s="113"/>
      <c r="CC296" s="113"/>
      <c r="CD296" s="113"/>
      <c r="CE296" s="175"/>
      <c r="CF296" s="113">
        <f t="shared" si="540"/>
        <v>34247</v>
      </c>
      <c r="CG296" s="113">
        <f t="shared" si="541"/>
        <v>51.00405672383134</v>
      </c>
      <c r="CH296" s="178">
        <v>0.88</v>
      </c>
      <c r="CI296" s="61">
        <f>+CI278*CH296+CG279*CH295+CG280*CH294+CG281*CH293+CG282*CH292+CG283*CH291+CG284*CH290+CG285*CH289+CG286*CH288+CG287*CH287+CG288*CH286+CG289*CH285+CG290*CH284+CG291*CH283+CG292*CH282+CG293*CH281+CG294*CH280+CG295*CH279+CG296</f>
        <v>956.07963760740927</v>
      </c>
      <c r="CJ296" s="114">
        <f t="shared" si="542"/>
        <v>4.6320136981949624E-2</v>
      </c>
      <c r="CK296" s="114"/>
      <c r="CL296" s="169">
        <f t="shared" si="543"/>
        <v>8.4665754888087561E-3</v>
      </c>
      <c r="CM296" s="169">
        <f t="shared" si="552"/>
        <v>8.2735944181220877E-3</v>
      </c>
      <c r="CN296" s="114">
        <f>VLOOKUP($H296,RoR!$E:$F,2,FALSE)</f>
        <v>3.6658333333333334E-2</v>
      </c>
      <c r="CO296" s="169">
        <v>1.0483662879041455E-2</v>
      </c>
      <c r="CP296" s="169">
        <f t="shared" si="549"/>
        <v>2.6174670454291879E-2</v>
      </c>
      <c r="CQ296" s="169">
        <f t="shared" si="553"/>
        <v>2.2628347190411537E-2</v>
      </c>
      <c r="CR296" s="169">
        <f t="shared" si="554"/>
        <v>4.301363574220729E-3</v>
      </c>
      <c r="CS296" s="179">
        <f t="shared" si="544"/>
        <v>0.87050000000000005</v>
      </c>
      <c r="CT296" s="180">
        <f t="shared" si="545"/>
        <v>1.3989193348138562</v>
      </c>
      <c r="CU296" s="180">
        <f t="shared" si="546"/>
        <v>0.29302682427824522</v>
      </c>
      <c r="CV296" s="180">
        <f t="shared" si="547"/>
        <v>0.76309497491941802</v>
      </c>
      <c r="CW296" s="180">
        <f t="shared" si="548"/>
        <v>0.31280857135128509</v>
      </c>
      <c r="CX296" s="181">
        <f>INDEX('State Tax Lookup'!$D$7:$Z$91,MATCH(Calculation!$C296,'State Tax Lookup'!$B$7:$B$91,0),MATCH($H296,'State Tax Lookup'!$D$6:$Z$6,0))</f>
        <v>0.35</v>
      </c>
      <c r="CY296" s="72">
        <v>0.37</v>
      </c>
      <c r="CZ296" s="70">
        <f t="shared" si="550"/>
        <v>20.342442689595931</v>
      </c>
      <c r="DA296" s="70">
        <v>19.909765876209278</v>
      </c>
      <c r="DB296" s="69">
        <f t="shared" si="555"/>
        <v>-1.530842687194453E-2</v>
      </c>
      <c r="DC296" s="111">
        <f>VLOOKUP($H296,RoR!$E:$F,2,FALSE)</f>
        <v>3.6658333333333334E-2</v>
      </c>
      <c r="DD296" s="216">
        <f>HLOOKUP($H296,'GDP-PI'!$D$8:$CQ$11,3,FALSE)</f>
        <v>1.0483662879041455E-2</v>
      </c>
      <c r="DE296" s="111">
        <f>VLOOKUP(H296,'HW Dx Data'!$E:$F,2,FALSE)</f>
        <v>671.45639385971219</v>
      </c>
      <c r="DF296" s="72">
        <f t="shared" si="565"/>
        <v>136.94999999999999</v>
      </c>
      <c r="DG296" s="69">
        <f t="shared" si="566"/>
        <v>2.5514417868782811E-2</v>
      </c>
      <c r="DH296" s="66">
        <f>HLOOKUP(H296,'GDP-PI'!$8:$9,2,FALSE)</f>
        <v>105.736</v>
      </c>
      <c r="DI296" s="69">
        <f t="shared" si="556"/>
        <v>1.0429090367205095E-2</v>
      </c>
      <c r="EB296"/>
    </row>
    <row r="297" spans="1:132" s="160" customFormat="1" ht="21">
      <c r="A297" s="160" t="s">
        <v>176</v>
      </c>
      <c r="B297" s="161" t="s">
        <v>176</v>
      </c>
      <c r="C297" s="161">
        <v>4059355</v>
      </c>
      <c r="D297" s="161" t="s">
        <v>177</v>
      </c>
      <c r="E297" s="161"/>
      <c r="F297" s="161"/>
      <c r="G297" s="161" t="s">
        <v>135</v>
      </c>
      <c r="H297" s="162">
        <v>2017</v>
      </c>
      <c r="I297" s="163"/>
      <c r="J297" s="159">
        <f>IFERROR(INDEX('Labor Expenditures'!$F$7:$X$91,MATCH($C297,'Labor Expenditures'!$D$7:$D$91,0),MATCH($G297,'Labor Expenditures'!$F$5:$X$5,0)),"NA")</f>
        <v>17908.976896463082</v>
      </c>
      <c r="K297" s="159">
        <f t="shared" si="557"/>
        <v>127.51140545719532</v>
      </c>
      <c r="L297" s="165">
        <f t="shared" si="563"/>
        <v>0.14594166925087748</v>
      </c>
      <c r="M297" s="76">
        <f t="shared" si="567"/>
        <v>7.6009048961411222E-4</v>
      </c>
      <c r="N297" s="62">
        <f t="shared" si="573"/>
        <v>165.95619462867697</v>
      </c>
      <c r="O297" s="96">
        <f t="shared" si="568"/>
        <v>-0.58254820829373211</v>
      </c>
      <c r="P297" s="96"/>
      <c r="Q297" s="159">
        <f>IFERROR(INDEX('Non-Labor Expenditures'!$F$7:$AB$91,MATCH($C297,'Non-Labor Expenditures'!$D$7:$D$91,0),MATCH($G297,'Non-Labor Expenditures'!$F$5:$AB$5,0)),"NA")</f>
        <v>25935.543481564087</v>
      </c>
      <c r="R297" s="159">
        <f t="shared" si="558"/>
        <v>240.69886573269935</v>
      </c>
      <c r="S297" s="165">
        <f t="shared" si="569"/>
        <v>0.15229973886429798</v>
      </c>
      <c r="T297" s="165">
        <f t="shared" si="570"/>
        <v>7.9320446090327056E-4</v>
      </c>
      <c r="U297" s="165"/>
      <c r="V297" s="165"/>
      <c r="W297" s="159">
        <f t="shared" si="538"/>
        <v>17824.337027766182</v>
      </c>
      <c r="X297" s="163"/>
      <c r="Y297" s="167">
        <v>996.23023821370225</v>
      </c>
      <c r="Z297" s="168">
        <v>4.1137181217217961E-2</v>
      </c>
      <c r="AA297" s="76">
        <f t="shared" si="559"/>
        <v>2.1424984634778432E-4</v>
      </c>
      <c r="AB297" s="168"/>
      <c r="AC297" s="168"/>
      <c r="AD297" s="163">
        <f t="shared" si="577"/>
        <v>61668.857405793351</v>
      </c>
      <c r="AE297" s="168">
        <f t="shared" si="571"/>
        <v>0.1051219059999336</v>
      </c>
      <c r="AF297" s="163"/>
      <c r="AG297" s="163"/>
      <c r="AH297" s="163"/>
      <c r="AI297" s="163"/>
      <c r="AJ297" s="116">
        <f t="shared" si="572"/>
        <v>454.33610890265783</v>
      </c>
      <c r="AK297" s="114">
        <f>+AV297/$AX$22</f>
        <v>3.6657552016378715E-3</v>
      </c>
      <c r="AL297" s="115">
        <f t="shared" si="560"/>
        <v>0.29040552476298453</v>
      </c>
      <c r="AM297" s="115">
        <f t="shared" si="561"/>
        <v>0.42056144012695179</v>
      </c>
      <c r="AN297" s="115">
        <f t="shared" si="562"/>
        <v>0.28903303511006367</v>
      </c>
      <c r="AO297" s="115">
        <f t="shared" si="564"/>
        <v>0.11585674955040706</v>
      </c>
      <c r="AP297" s="166">
        <f t="shared" si="575"/>
        <v>132.97533765435307</v>
      </c>
      <c r="AQ297" s="168">
        <f t="shared" si="576"/>
        <v>0.11585674955040703</v>
      </c>
      <c r="AR297" s="69">
        <f>+AD297/$AF$22</f>
        <v>5.2081800456009386E-3</v>
      </c>
      <c r="AS297" s="169">
        <f t="shared" si="574"/>
        <v>6.0340281115661546E-4</v>
      </c>
      <c r="AT297" s="115"/>
      <c r="AU297" s="115"/>
      <c r="AV297" s="113">
        <f>IFERROR(INDEX('Total Customers'!$F$7:$AB$91,MATCH($C297,'Total Customers'!$D$7:$D$91,0),MATCH($G297,'Total Customers'!$F$5:$AB$5,0)),"NA")</f>
        <v>135734</v>
      </c>
      <c r="AW297" s="68">
        <f t="shared" si="523"/>
        <v>2.2717224698225783E-3</v>
      </c>
      <c r="AX297" s="114"/>
      <c r="AY297" s="114"/>
      <c r="AZ297" s="116"/>
      <c r="BA297" s="116"/>
      <c r="BB297" s="166"/>
      <c r="BC297" s="166"/>
      <c r="BD297" s="166"/>
      <c r="BE297" s="166"/>
      <c r="BF297" s="166"/>
      <c r="BG297" s="166"/>
      <c r="BH297" s="166"/>
      <c r="BI297" s="113"/>
      <c r="BJ297" s="113"/>
      <c r="BK297" s="113">
        <f>INDEX('Dist. Plant Gas Additions'!$F$7:$AE$91,MATCH($C297,'Dist. Plant Gas Additions'!$D$7:$D$91,0),MATCH(Calculation!$G297,'Dist. Plant Gas Additions'!$F$5:$AE$5,0))</f>
        <v>33566</v>
      </c>
      <c r="BL297" s="113">
        <f>INDEX('Gen. Plant Additions'!$F$7:$AE$91,MATCH($C297,'Gen. Plant Additions'!$D$7:$D$91,0),MATCH(Calculation!$G297,'Gen. Plant Additions'!$F$5:$AE$5,0))</f>
        <v>938</v>
      </c>
      <c r="BM297" s="231">
        <f t="shared" si="539"/>
        <v>0.98726904384984115</v>
      </c>
      <c r="BN297" s="61">
        <f t="shared" si="537"/>
        <v>926.05836313115105</v>
      </c>
      <c r="BO297" s="113">
        <f>INDEX('Dist Plant Depreciation'!$E$7:$AD$94,MATCH($C297,'Dist Plant Depreciation'!$D$7:$D$94,0),MATCH(Calculation!$G297,'Dist Plant Depreciation'!$E$5:$AD$5,0))</f>
        <v>146970</v>
      </c>
      <c r="BP297" s="113">
        <f>INDEX('Gen. Plant Depreciation'!$E$7:$AD$94,MATCH($C297,'Gen. Plant Depreciation'!$D$7:$D$94,0),MATCH(Calculation!$G297,'Gen. Plant Depreciation'!$E$5:$AD$5,0))</f>
        <v>239</v>
      </c>
      <c r="BQ297" s="113"/>
      <c r="BR297" s="113"/>
      <c r="BS297" s="113"/>
      <c r="BT297" s="113"/>
      <c r="BU297" s="113"/>
      <c r="BV297" s="113"/>
      <c r="BW297" s="113">
        <f>INDEX('Gross Dx Plant'!$E$7:$AD$91,MATCH($C297,'Gross Dx Plant'!$D$7:$D$91,0),MATCH(Calculation!$G297,'Gross Dx Plant'!$E$5:$AD$5,0))</f>
        <v>445905</v>
      </c>
      <c r="BX297" s="113">
        <f>INDEX('Gross Gen Plant'!$E$7:$AD$91,MATCH($C297,'Gross Gen Plant'!$D$7:$D$91,0),MATCH(Calculation!$G297,'Gross Gen Plant'!$E$5:$AD$5,0))</f>
        <v>5750</v>
      </c>
      <c r="BY297" s="113">
        <f t="shared" si="551"/>
        <v>304446</v>
      </c>
      <c r="BZ297" s="113"/>
      <c r="CA297" s="116">
        <v>2017</v>
      </c>
      <c r="CB297" s="113"/>
      <c r="CC297" s="113"/>
      <c r="CD297" s="113"/>
      <c r="CE297" s="175"/>
      <c r="CF297" s="113">
        <f t="shared" si="540"/>
        <v>34504</v>
      </c>
      <c r="CG297" s="113">
        <f t="shared" si="541"/>
        <v>48.431521122709746</v>
      </c>
      <c r="CH297" s="178">
        <v>0.87074829931972786</v>
      </c>
      <c r="CI297" s="61">
        <f>+CI278*CH297+CG279*CH296+CG280*CH295+CG281*CH294+CG282*CH293+CG283*CH292+CG284*CH291+CG285*CH290+CG286*CH289+CG287*CH288+CG288*CH287+CG289*CH286+CG290*CH285+CG291*CH284+CG292*CH283+CG293*CH282+CG294*CH281+CG295*CH280+CG296*CH279+CG297</f>
        <v>996.23023821370225</v>
      </c>
      <c r="CJ297" s="114">
        <f t="shared" si="542"/>
        <v>4.1137181217217961E-2</v>
      </c>
      <c r="CK297" s="114"/>
      <c r="CL297" s="169">
        <f t="shared" si="543"/>
        <v>8.6613292352295881E-3</v>
      </c>
      <c r="CM297" s="169">
        <f t="shared" si="552"/>
        <v>8.467627284565923E-3</v>
      </c>
      <c r="CN297" s="114">
        <f>VLOOKUP($H297,RoR!$E:$F,2,FALSE)</f>
        <v>3.7433333333333339E-2</v>
      </c>
      <c r="CO297" s="169">
        <v>1.9056896421275615E-2</v>
      </c>
      <c r="CP297" s="169">
        <f t="shared" si="549"/>
        <v>1.8376436912057724E-2</v>
      </c>
      <c r="CQ297" s="169">
        <f t="shared" si="553"/>
        <v>2.2434314323967704E-2</v>
      </c>
      <c r="CR297" s="169">
        <f t="shared" si="554"/>
        <v>1.3976271617800498E-2</v>
      </c>
      <c r="CS297" s="179">
        <f t="shared" si="544"/>
        <v>0.92230000000000001</v>
      </c>
      <c r="CT297" s="180">
        <f t="shared" si="545"/>
        <v>1.3699568463593395</v>
      </c>
      <c r="CU297" s="180">
        <f t="shared" si="546"/>
        <v>0.30714603739982199</v>
      </c>
      <c r="CV297" s="180">
        <f t="shared" si="547"/>
        <v>0.77007188472689425</v>
      </c>
      <c r="CW297" s="180">
        <f t="shared" si="548"/>
        <v>0.32402839633793828</v>
      </c>
      <c r="CX297" s="181">
        <f>INDEX('State Tax Lookup'!$D$7:$Z$91,MATCH(Calculation!$C297,'State Tax Lookup'!$B$7:$B$91,0),MATCH($H297,'State Tax Lookup'!$D$6:$Z$6,0))</f>
        <v>0.20999999999999996</v>
      </c>
      <c r="CY297" s="72">
        <v>0.37</v>
      </c>
      <c r="CZ297" s="70">
        <f t="shared" si="550"/>
        <v>18.643150974715464</v>
      </c>
      <c r="DA297" s="70">
        <v>18.231812616449311</v>
      </c>
      <c r="DB297" s="69">
        <f t="shared" si="555"/>
        <v>-8.7230637631248317E-2</v>
      </c>
      <c r="DC297" s="111">
        <f>VLOOKUP($H297,RoR!$E:$F,2,FALSE)</f>
        <v>3.7433333333333339E-2</v>
      </c>
      <c r="DD297" s="216">
        <f>HLOOKUP($H297,'GDP-PI'!$D$8:$CQ$11,3,FALSE)</f>
        <v>1.9056896421275615E-2</v>
      </c>
      <c r="DE297" s="111">
        <f>VLOOKUP(H297,'HW Dx Data'!$E:$F,2,FALSE)</f>
        <v>712.42858370229726</v>
      </c>
      <c r="DF297" s="72">
        <f t="shared" si="565"/>
        <v>140.44999999999999</v>
      </c>
      <c r="DG297" s="69">
        <f t="shared" si="566"/>
        <v>2.5235657841165486E-2</v>
      </c>
      <c r="DH297" s="66">
        <f>HLOOKUP(H297,'GDP-PI'!$8:$9,2,FALSE)</f>
        <v>107.751</v>
      </c>
      <c r="DI297" s="69">
        <f t="shared" si="556"/>
        <v>1.8877588227745139E-2</v>
      </c>
      <c r="EB297"/>
    </row>
    <row r="298" spans="1:132" s="160" customFormat="1" ht="21">
      <c r="A298" s="160" t="s">
        <v>176</v>
      </c>
      <c r="B298" s="161" t="s">
        <v>176</v>
      </c>
      <c r="C298" s="161">
        <v>4059355</v>
      </c>
      <c r="D298" s="161" t="s">
        <v>177</v>
      </c>
      <c r="E298" s="161"/>
      <c r="F298" s="161"/>
      <c r="G298" s="161" t="s">
        <v>136</v>
      </c>
      <c r="H298" s="162">
        <v>2018</v>
      </c>
      <c r="I298" s="163"/>
      <c r="J298" s="159">
        <f>IFERROR(INDEX('Labor Expenditures'!$F$7:$X$91,MATCH($C298,'Labor Expenditures'!$D$7:$D$91,0),MATCH($G298,'Labor Expenditures'!$F$5:$X$5,0)),"NA")</f>
        <v>16461.631404846739</v>
      </c>
      <c r="K298" s="159">
        <f t="shared" si="557"/>
        <v>113.9607573890394</v>
      </c>
      <c r="L298" s="165">
        <f t="shared" si="563"/>
        <v>-0.11235165946080838</v>
      </c>
      <c r="M298" s="76">
        <f t="shared" si="567"/>
        <v>-5.2186744362392641E-4</v>
      </c>
      <c r="N298" s="62">
        <f t="shared" si="573"/>
        <v>114.35111685476934</v>
      </c>
      <c r="O298" s="96">
        <f t="shared" si="568"/>
        <v>-0.37245017834658617</v>
      </c>
      <c r="P298" s="96"/>
      <c r="Q298" s="159">
        <f>IFERROR(INDEX('Non-Labor Expenditures'!$F$7:$AB$91,MATCH($C298,'Non-Labor Expenditures'!$D$7:$D$91,0),MATCH($G298,'Non-Labor Expenditures'!$F$5:$AB$5,0)),"NA")</f>
        <v>23839.516882854536</v>
      </c>
      <c r="R298" s="159">
        <f t="shared" si="558"/>
        <v>216.090325436944</v>
      </c>
      <c r="S298" s="165">
        <f t="shared" si="569"/>
        <v>-0.10785013881532557</v>
      </c>
      <c r="T298" s="165">
        <f t="shared" si="570"/>
        <v>-5.0095812120757254E-4</v>
      </c>
      <c r="U298" s="165"/>
      <c r="V298" s="165"/>
      <c r="W298" s="159">
        <f t="shared" si="538"/>
        <v>19481.941914848907</v>
      </c>
      <c r="X298" s="163"/>
      <c r="Y298" s="167">
        <v>1036.732685903713</v>
      </c>
      <c r="Z298" s="168">
        <v>3.9851004893169541E-2</v>
      </c>
      <c r="AA298" s="76">
        <f t="shared" si="559"/>
        <v>1.8510578436714206E-4</v>
      </c>
      <c r="AB298" s="168"/>
      <c r="AC298" s="168"/>
      <c r="AD298" s="163">
        <f t="shared" si="577"/>
        <v>59783.090202550185</v>
      </c>
      <c r="AE298" s="168">
        <f t="shared" si="571"/>
        <v>-3.1056212842261736E-2</v>
      </c>
      <c r="AF298" s="163"/>
      <c r="AG298" s="163"/>
      <c r="AH298" s="163"/>
      <c r="AI298" s="163"/>
      <c r="AJ298" s="116">
        <f t="shared" si="572"/>
        <v>438.57218462325812</v>
      </c>
      <c r="AK298" s="114">
        <f>+AV298/$AX$23</f>
        <v>3.6491510201817623E-3</v>
      </c>
      <c r="AL298" s="115">
        <f t="shared" si="560"/>
        <v>0.27535598024580754</v>
      </c>
      <c r="AM298" s="115">
        <f t="shared" si="561"/>
        <v>0.39876688879889327</v>
      </c>
      <c r="AN298" s="115">
        <f t="shared" si="562"/>
        <v>0.32587713095529913</v>
      </c>
      <c r="AO298" s="115">
        <f t="shared" si="564"/>
        <v>-6.371206496001644E-2</v>
      </c>
      <c r="AP298" s="166">
        <f t="shared" si="575"/>
        <v>124.76745128361861</v>
      </c>
      <c r="AQ298" s="168">
        <f t="shared" si="576"/>
        <v>-6.3712064960016482E-2</v>
      </c>
      <c r="AR298" s="69">
        <f>+AD298/$AF$23</f>
        <v>4.6449464665536998E-3</v>
      </c>
      <c r="AS298" s="169">
        <f t="shared" si="574"/>
        <v>-2.9593913101286836E-4</v>
      </c>
      <c r="AT298" s="115"/>
      <c r="AU298" s="115"/>
      <c r="AV298" s="113">
        <f>IFERROR(INDEX('Total Customers'!$F$7:$AB$91,MATCH($C298,'Total Customers'!$D$7:$D$91,0),MATCH($G298,'Total Customers'!$F$5:$AB$5,0)),"NA")</f>
        <v>136313</v>
      </c>
      <c r="AW298" s="68">
        <f t="shared" si="523"/>
        <v>4.2566238498060703E-3</v>
      </c>
      <c r="AX298" s="114"/>
      <c r="AY298" s="114"/>
      <c r="AZ298" s="116"/>
      <c r="BA298" s="116"/>
      <c r="BB298" s="166"/>
      <c r="BC298" s="166"/>
      <c r="BD298" s="166"/>
      <c r="BE298" s="166"/>
      <c r="BF298" s="166"/>
      <c r="BG298" s="166"/>
      <c r="BH298" s="166"/>
      <c r="BI298" s="113"/>
      <c r="BJ298" s="113"/>
      <c r="BK298" s="113">
        <f>INDEX('Dist. Plant Gas Additions'!$F$7:$AE$91,MATCH($C298,'Dist. Plant Gas Additions'!$D$7:$D$91,0),MATCH(Calculation!$G298,'Dist. Plant Gas Additions'!$F$5:$AE$5,0))</f>
        <v>36820</v>
      </c>
      <c r="BL298" s="113">
        <f>INDEX('Gen. Plant Additions'!$F$7:$AE$91,MATCH($C298,'Gen. Plant Additions'!$D$7:$D$91,0),MATCH(Calculation!$G298,'Gen. Plant Additions'!$F$5:$AE$5,0))</f>
        <v>445</v>
      </c>
      <c r="BM298" s="231">
        <f t="shared" si="539"/>
        <v>0.98766469439409388</v>
      </c>
      <c r="BN298" s="61">
        <f t="shared" si="537"/>
        <v>439.51078900537175</v>
      </c>
      <c r="BO298" s="113">
        <f>INDEX('Dist Plant Depreciation'!$E$7:$AD$94,MATCH($C298,'Dist Plant Depreciation'!$D$7:$D$94,0),MATCH(Calculation!$G298,'Dist Plant Depreciation'!$E$5:$AD$5,0))</f>
        <v>152230</v>
      </c>
      <c r="BP298" s="113">
        <f>INDEX('Gen. Plant Depreciation'!$E$7:$AD$94,MATCH($C298,'Gen. Plant Depreciation'!$D$7:$D$94,0),MATCH(Calculation!$G298,'Gen. Plant Depreciation'!$E$5:$AD$5,0))</f>
        <v>291</v>
      </c>
      <c r="BQ298" s="113"/>
      <c r="BR298" s="113"/>
      <c r="BS298" s="113"/>
      <c r="BT298" s="113"/>
      <c r="BU298" s="113"/>
      <c r="BV298" s="113"/>
      <c r="BW298" s="113">
        <f>INDEX('Gross Dx Plant'!$E$7:$AD$91,MATCH($C298,'Gross Dx Plant'!$D$7:$D$91,0),MATCH(Calculation!$G298,'Gross Dx Plant'!$E$5:$AD$5,0))</f>
        <v>478407</v>
      </c>
      <c r="BX298" s="113">
        <f>INDEX('Gross Gen Plant'!$E$7:$AD$91,MATCH($C298,'Gross Gen Plant'!$D$7:$D$91,0),MATCH(Calculation!$G298,'Gross Gen Plant'!$E$5:$AD$5,0))</f>
        <v>5975</v>
      </c>
      <c r="BY298" s="113">
        <f t="shared" si="551"/>
        <v>331861</v>
      </c>
      <c r="BZ298" s="113"/>
      <c r="CA298" s="116">
        <v>2018</v>
      </c>
      <c r="CB298" s="113"/>
      <c r="CC298" s="113"/>
      <c r="CD298" s="113"/>
      <c r="CE298" s="175"/>
      <c r="CF298" s="113">
        <f t="shared" si="540"/>
        <v>37265</v>
      </c>
      <c r="CG298" s="113">
        <f t="shared" si="541"/>
        <v>49.348679904252634</v>
      </c>
      <c r="CH298" s="178">
        <v>0.86111111111111116</v>
      </c>
      <c r="CI298" s="61">
        <f>+CI278*CH298++CG279*CH297+CG280*CH296+CG281*CH295+CG282*CH294+CG283*CH293+CG284*CH292+CG285*CH291+CG286*CH290+CG287*CH289+CG288*CH288+CG289*CH287+CG290*CH286+CG291*CH285+CG292*CH284+CG293*CH283+CG294*CH282+CG295*CH281+CG296*CH280+CG297*CH279+CG298</f>
        <v>1036.732685903713</v>
      </c>
      <c r="CJ298" s="114">
        <f t="shared" si="542"/>
        <v>3.9851004893169541E-2</v>
      </c>
      <c r="CK298" s="114"/>
      <c r="CL298" s="169">
        <f t="shared" si="543"/>
        <v>8.8797065928290769E-3</v>
      </c>
      <c r="CM298" s="169">
        <f t="shared" si="552"/>
        <v>8.6692037722891409E-3</v>
      </c>
      <c r="CN298" s="114">
        <f>VLOOKUP($H298,RoR!$E:$F,2,FALSE)</f>
        <v>3.9299999999999995E-2</v>
      </c>
      <c r="CO298" s="169">
        <v>2.386056741932796E-2</v>
      </c>
      <c r="CP298" s="169">
        <f t="shared" si="549"/>
        <v>1.5439432580672034E-2</v>
      </c>
      <c r="CQ298" s="169">
        <f t="shared" si="553"/>
        <v>2.2232737836244486E-2</v>
      </c>
      <c r="CR298" s="169">
        <f t="shared" si="554"/>
        <v>3.8270792163076606E-2</v>
      </c>
      <c r="CS298" s="179">
        <f t="shared" si="544"/>
        <v>0.92230000000000001</v>
      </c>
      <c r="CT298" s="180">
        <f t="shared" si="545"/>
        <v>1.3048868010700074</v>
      </c>
      <c r="CU298" s="180">
        <f t="shared" si="546"/>
        <v>0.33886768447837151</v>
      </c>
      <c r="CV298" s="180">
        <f t="shared" si="547"/>
        <v>0.78602506232557801</v>
      </c>
      <c r="CW298" s="180">
        <f t="shared" si="548"/>
        <v>0.34756768162358759</v>
      </c>
      <c r="CX298" s="181">
        <f>INDEX('State Tax Lookup'!$D$7:$Z$91,MATCH(Calculation!$C298,'State Tax Lookup'!$B$7:$B$91,0),MATCH($H298,'State Tax Lookup'!$D$6:$Z$6,0))</f>
        <v>0.20999999999999996</v>
      </c>
      <c r="CY298" s="72">
        <v>0.37</v>
      </c>
      <c r="CZ298" s="70">
        <f t="shared" si="550"/>
        <v>19.555662102548848</v>
      </c>
      <c r="DA298" s="70">
        <v>19.050901628905343</v>
      </c>
      <c r="DB298" s="69">
        <f t="shared" si="555"/>
        <v>4.7786027433804515E-2</v>
      </c>
      <c r="DC298" s="111">
        <f>VLOOKUP($H298,RoR!$E:$F,2,FALSE)</f>
        <v>3.9299999999999995E-2</v>
      </c>
      <c r="DD298" s="216">
        <f>HLOOKUP($H298,'GDP-PI'!$D$8:$CQ$11,3,FALSE)</f>
        <v>2.386056741932796E-2</v>
      </c>
      <c r="DE298" s="111">
        <f>VLOOKUP(H298,'HW Dx Data'!$E:$F,2,FALSE)</f>
        <v>755.13671434174842</v>
      </c>
      <c r="DF298" s="72">
        <f t="shared" si="565"/>
        <v>144.44999999999999</v>
      </c>
      <c r="DG298" s="69">
        <f t="shared" si="566"/>
        <v>2.80818733619915E-2</v>
      </c>
      <c r="DH298" s="66">
        <f>HLOOKUP(H298,'GDP-PI'!$8:$9,2,FALSE)</f>
        <v>110.322</v>
      </c>
      <c r="DI298" s="69">
        <f t="shared" si="556"/>
        <v>2.3580352716508712E-2</v>
      </c>
      <c r="EB298"/>
    </row>
    <row r="299" spans="1:132" s="160" customFormat="1" ht="21">
      <c r="A299" s="160" t="s">
        <v>176</v>
      </c>
      <c r="B299" s="161" t="s">
        <v>176</v>
      </c>
      <c r="C299" s="161">
        <v>4059355</v>
      </c>
      <c r="D299" s="161" t="s">
        <v>177</v>
      </c>
      <c r="E299" s="161"/>
      <c r="F299" s="161"/>
      <c r="G299" s="161" t="s">
        <v>140</v>
      </c>
      <c r="H299" s="162">
        <v>2019</v>
      </c>
      <c r="I299" s="163"/>
      <c r="J299" s="159">
        <f>IFERROR(INDEX('Labor Expenditures'!$F$7:$X$91,MATCH($C299,'Labor Expenditures'!$D$7:$D$91,0),MATCH($G299,'Labor Expenditures'!$F$5:$X$5,0)),"NA")</f>
        <v>19082.827967727819</v>
      </c>
      <c r="K299" s="159">
        <f t="shared" si="557"/>
        <v>127.4950924852368</v>
      </c>
      <c r="L299" s="165">
        <f t="shared" si="563"/>
        <v>0.11222371784275238</v>
      </c>
      <c r="M299" s="76">
        <f t="shared" si="567"/>
        <v>5.6896845512680581E-4</v>
      </c>
      <c r="N299" s="62">
        <f t="shared" si="573"/>
        <v>114.71127974702638</v>
      </c>
      <c r="O299" s="96">
        <f t="shared" si="568"/>
        <v>3.1446731930114668E-3</v>
      </c>
      <c r="P299" s="96"/>
      <c r="Q299" s="159">
        <f>IFERROR(INDEX('Non-Labor Expenditures'!$F$7:$AB$91,MATCH($C299,'Non-Labor Expenditures'!$D$7:$D$91,0),MATCH($G299,'Non-Labor Expenditures'!$F$5:$AB$5,0)),"NA")</f>
        <v>27635.499077892979</v>
      </c>
      <c r="R299" s="159">
        <f t="shared" si="558"/>
        <v>246.04692994794226</v>
      </c>
      <c r="S299" s="165">
        <f t="shared" si="569"/>
        <v>0.12982579629052232</v>
      </c>
      <c r="T299" s="165">
        <f t="shared" si="570"/>
        <v>6.5821008402633613E-4</v>
      </c>
      <c r="U299" s="165"/>
      <c r="V299" s="165"/>
      <c r="W299" s="159">
        <f t="shared" si="538"/>
        <v>20556.558066617585</v>
      </c>
      <c r="X299" s="163"/>
      <c r="Y299" s="167">
        <v>1097.7307950252266</v>
      </c>
      <c r="Z299" s="168">
        <v>5.717101580697552E-2</v>
      </c>
      <c r="AA299" s="76">
        <f t="shared" si="559"/>
        <v>2.8985409828699425E-4</v>
      </c>
      <c r="AB299" s="168"/>
      <c r="AC299" s="168"/>
      <c r="AD299" s="163">
        <f t="shared" si="577"/>
        <v>67274.885112238378</v>
      </c>
      <c r="AE299" s="168">
        <f t="shared" si="571"/>
        <v>0.11806414044186457</v>
      </c>
      <c r="AF299" s="163"/>
      <c r="AG299" s="163"/>
      <c r="AH299" s="163"/>
      <c r="AI299" s="163"/>
      <c r="AJ299" s="116">
        <f t="shared" si="572"/>
        <v>491.78266577170996</v>
      </c>
      <c r="AK299" s="114">
        <f>+AV299/$AX$24</f>
        <v>3.6319323630852325E-3</v>
      </c>
      <c r="AL299" s="115">
        <f t="shared" si="560"/>
        <v>0.28365456047811738</v>
      </c>
      <c r="AM299" s="115">
        <f t="shared" si="561"/>
        <v>0.41078478293626458</v>
      </c>
      <c r="AN299" s="115">
        <f t="shared" si="562"/>
        <v>0.30556065658561815</v>
      </c>
      <c r="AO299" s="115">
        <f t="shared" si="564"/>
        <v>0.10196743567364502</v>
      </c>
      <c r="AP299" s="166">
        <f t="shared" si="575"/>
        <v>138.16091417074466</v>
      </c>
      <c r="AQ299" s="168">
        <f t="shared" si="576"/>
        <v>0.1019674356736449</v>
      </c>
      <c r="AR299" s="69">
        <f>+AD299/$AF$24</f>
        <v>5.069948367991543E-3</v>
      </c>
      <c r="AS299" s="169">
        <f t="shared" si="574"/>
        <v>5.1696963408187863E-4</v>
      </c>
      <c r="AT299" s="115"/>
      <c r="AU299" s="115"/>
      <c r="AV299" s="113">
        <f>IFERROR(INDEX('Total Customers'!$F$7:$AB$91,MATCH($C299,'Total Customers'!$D$7:$D$91,0),MATCH($G299,'Total Customers'!$F$5:$AB$5,0)),"NA")</f>
        <v>136798</v>
      </c>
      <c r="AW299" s="68">
        <f t="shared" si="523"/>
        <v>3.551673201234503E-3</v>
      </c>
      <c r="AX299" s="114"/>
      <c r="AY299" s="114"/>
      <c r="AZ299" s="116"/>
      <c r="BA299" s="116"/>
      <c r="BB299" s="166"/>
      <c r="BC299" s="166"/>
      <c r="BD299" s="166"/>
      <c r="BE299" s="166"/>
      <c r="BF299" s="166"/>
      <c r="BG299" s="166"/>
      <c r="BH299" s="166"/>
      <c r="BI299" s="113"/>
      <c r="BJ299" s="113"/>
      <c r="BK299" s="113">
        <f>INDEX('Dist. Plant Gas Additions'!$F$7:$AE$91,MATCH($C299,'Dist. Plant Gas Additions'!$D$7:$D$91,0),MATCH(Calculation!$G299,'Dist. Plant Gas Additions'!$F$5:$AE$5,0))</f>
        <v>54071</v>
      </c>
      <c r="BL299" s="113">
        <f>INDEX('Gen. Plant Additions'!$F$7:$AE$91,MATCH($C299,'Gen. Plant Additions'!$D$7:$D$91,0),MATCH(Calculation!$G299,'Gen. Plant Additions'!$F$5:$AE$5,0))</f>
        <v>418</v>
      </c>
      <c r="BM299" s="231">
        <f t="shared" si="539"/>
        <v>0.98842832275394288</v>
      </c>
      <c r="BN299" s="61">
        <f t="shared" si="537"/>
        <v>413.16303891114813</v>
      </c>
      <c r="BO299" s="113">
        <f>INDEX('Dist Plant Depreciation'!$E$7:$AD$94,MATCH($C299,'Dist Plant Depreciation'!$D$7:$D$94,0),MATCH(Calculation!$G299,'Dist Plant Depreciation'!$E$5:$AD$5,0))</f>
        <v>157411</v>
      </c>
      <c r="BP299" s="113">
        <f>INDEX('Gen. Plant Depreciation'!$E$7:$AD$94,MATCH($C299,'Gen. Plant Depreciation'!$D$7:$D$94,0),MATCH(Calculation!$G299,'Gen. Plant Depreciation'!$E$5:$AD$5,0))</f>
        <v>236</v>
      </c>
      <c r="BQ299" s="113"/>
      <c r="BR299" s="113"/>
      <c r="BS299" s="113"/>
      <c r="BT299" s="113"/>
      <c r="BU299" s="113"/>
      <c r="BV299" s="113"/>
      <c r="BW299" s="113">
        <f>INDEX('Gross Dx Plant'!$E$7:$AD$91,MATCH($C299,'Gross Dx Plant'!$D$7:$D$91,0),MATCH(Calculation!$G299,'Gross Dx Plant'!$E$5:$AD$5,0))</f>
        <v>526943</v>
      </c>
      <c r="BX299" s="113">
        <f>INDEX('Gross Gen Plant'!$E$7:$AD$91,MATCH($C299,'Gross Gen Plant'!$D$7:$D$91,0),MATCH(Calculation!$G299,'Gross Gen Plant'!$E$5:$AD$5,0))</f>
        <v>6169</v>
      </c>
      <c r="BY299" s="113">
        <f t="shared" si="551"/>
        <v>375465</v>
      </c>
      <c r="BZ299" s="113"/>
      <c r="CA299" s="116">
        <v>2019</v>
      </c>
      <c r="CB299" s="113"/>
      <c r="CC299" s="113"/>
      <c r="CD299" s="113"/>
      <c r="CE299" s="175"/>
      <c r="CF299" s="113">
        <f t="shared" si="540"/>
        <v>54489</v>
      </c>
      <c r="CG299" s="113">
        <f t="shared" si="541"/>
        <v>70.441152951313455</v>
      </c>
      <c r="CH299" s="178">
        <v>0.85106382978723405</v>
      </c>
      <c r="CI299" s="61">
        <f>CI278*CH299+CG279*CH298+CG280*CH297+CG281*CH296+CG282*CH295+CG283*CH294+CG284*CH293+CG285*CH292+CG286*CH291+CG287*CH290+CG288*CH289+CG289*CH288+CG290*CH287+CG291*CH286+CG292*CH285+CG293*CH284+CG294*CH283+CG295*CH282+CG296*CH281+CG297*CH280+CG298*CH279+CG299</f>
        <v>1097.7307950252266</v>
      </c>
      <c r="CJ299" s="114">
        <f t="shared" si="542"/>
        <v>5.717101580697552E-2</v>
      </c>
      <c r="CK299" s="114"/>
      <c r="CL299" s="169">
        <f t="shared" si="543"/>
        <v>9.108465430091469E-3</v>
      </c>
      <c r="CM299" s="169">
        <f t="shared" si="552"/>
        <v>8.8831670860500447E-3</v>
      </c>
      <c r="CN299" s="114">
        <f>VLOOKUP($H299,RoR!$E:$F,2,FALSE)</f>
        <v>3.3875000000000009E-2</v>
      </c>
      <c r="CO299" s="169">
        <v>1.8092492884465461E-2</v>
      </c>
      <c r="CP299" s="169">
        <f t="shared" si="549"/>
        <v>1.5782507115534548E-2</v>
      </c>
      <c r="CQ299" s="169">
        <f t="shared" si="553"/>
        <v>2.2018774522483582E-2</v>
      </c>
      <c r="CR299" s="169">
        <f t="shared" si="554"/>
        <v>4.8445665544254078E-2</v>
      </c>
      <c r="CS299" s="179">
        <f t="shared" si="544"/>
        <v>0.92230000000000001</v>
      </c>
      <c r="CT299" s="180">
        <f t="shared" si="545"/>
        <v>1.513861292459078</v>
      </c>
      <c r="CU299" s="180">
        <f t="shared" si="546"/>
        <v>0.23699261992619944</v>
      </c>
      <c r="CV299" s="180">
        <f t="shared" si="547"/>
        <v>0.73619765810468829</v>
      </c>
      <c r="CW299" s="180">
        <f t="shared" si="548"/>
        <v>0.26412854465362851</v>
      </c>
      <c r="CX299" s="181">
        <f>INDEX('State Tax Lookup'!$D$7:$Z$91,MATCH(Calculation!$C299,'State Tax Lookup'!$B$7:$B$91,0),MATCH($H299,'State Tax Lookup'!$D$6:$Z$6,0))</f>
        <v>0.20999999999999996</v>
      </c>
      <c r="CY299" s="72">
        <v>0.37</v>
      </c>
      <c r="CZ299" s="70">
        <f t="shared" si="550"/>
        <v>19.828214491663847</v>
      </c>
      <c r="DA299" s="70">
        <v>19.236104090735289</v>
      </c>
      <c r="DB299" s="69">
        <f t="shared" si="555"/>
        <v>1.3841031601613011E-2</v>
      </c>
      <c r="DC299" s="111">
        <f>VLOOKUP($H299,RoR!$E:$F,2,FALSE)</f>
        <v>3.3875000000000009E-2</v>
      </c>
      <c r="DD299" s="216">
        <f>HLOOKUP($H299,'GDP-PI'!$D$8:$CQ$11,3,FALSE)</f>
        <v>1.8092492884465461E-2</v>
      </c>
      <c r="DE299" s="111">
        <f>VLOOKUP(H299,'HW Dx Data'!$E:$F,2,FALSE)</f>
        <v>773.53929793938721</v>
      </c>
      <c r="DF299" s="72">
        <f t="shared" si="565"/>
        <v>149.67500000000001</v>
      </c>
      <c r="DG299" s="69">
        <f t="shared" si="566"/>
        <v>3.5532849899171604E-2</v>
      </c>
      <c r="DH299" s="66">
        <f>HLOOKUP(H299,'GDP-PI'!$8:$9,2,FALSE)</f>
        <v>112.318</v>
      </c>
      <c r="DI299" s="69">
        <f t="shared" si="556"/>
        <v>1.7930771451401852E-2</v>
      </c>
      <c r="EB299"/>
    </row>
    <row r="300" spans="1:132" s="160" customFormat="1" ht="21">
      <c r="A300" s="160" t="s">
        <v>176</v>
      </c>
      <c r="B300" s="160" t="s">
        <v>176</v>
      </c>
      <c r="C300" s="160">
        <v>4059355</v>
      </c>
      <c r="D300" s="160" t="s">
        <v>177</v>
      </c>
      <c r="G300" s="161" t="s">
        <v>141</v>
      </c>
      <c r="H300" s="162">
        <v>2020</v>
      </c>
      <c r="I300" s="163"/>
      <c r="J300" s="159">
        <f>IFERROR(INDEX('Labor Expenditures'!$F$7:$X$91,MATCH($C300,'Labor Expenditures'!$D$7:$D$91,0),MATCH($G300,'Labor Expenditures'!$F$5:$X$5,0)),"NA")</f>
        <v>18565.88580238758</v>
      </c>
      <c r="K300" s="159">
        <f t="shared" si="557"/>
        <v>121.22680902636355</v>
      </c>
      <c r="L300" s="165">
        <f t="shared" si="563"/>
        <v>-5.0414627783827506E-2</v>
      </c>
      <c r="M300" s="76">
        <f t="shared" si="567"/>
        <v>-2.5112813355766556E-4</v>
      </c>
      <c r="N300" s="62">
        <f t="shared" si="573"/>
        <v>113.43878336020772</v>
      </c>
      <c r="O300" s="96">
        <f t="shared" si="568"/>
        <v>-1.1155022836010799E-2</v>
      </c>
      <c r="P300" s="96"/>
      <c r="Q300" s="159">
        <f>IFERROR(INDEX('Non-Labor Expenditures'!$F$7:$AB$91,MATCH($C300,'Non-Labor Expenditures'!$D$7:$D$91,0),MATCH($G300,'Non-Labor Expenditures'!$F$5:$AB$5,0)),"NA")</f>
        <v>26886.870271002088</v>
      </c>
      <c r="R300" s="159">
        <f t="shared" si="558"/>
        <v>236.63228634169215</v>
      </c>
      <c r="S300" s="165">
        <f t="shared" si="569"/>
        <v>-3.9014888047851949E-2</v>
      </c>
      <c r="T300" s="165">
        <f t="shared" si="570"/>
        <v>-1.943431191921117E-4</v>
      </c>
      <c r="U300" s="165"/>
      <c r="V300" s="165"/>
      <c r="W300" s="159">
        <f t="shared" si="538"/>
        <v>22675.31469782818</v>
      </c>
      <c r="X300" s="163"/>
      <c r="Y300" s="167">
        <v>1161.074924035405</v>
      </c>
      <c r="Z300" s="168">
        <v>5.6101099232660989E-2</v>
      </c>
      <c r="AA300" s="76">
        <f t="shared" si="559"/>
        <v>2.7945389979356359E-4</v>
      </c>
      <c r="AB300" s="168"/>
      <c r="AC300" s="168"/>
      <c r="AD300" s="163">
        <f t="shared" si="577"/>
        <v>68128.070771217841</v>
      </c>
      <c r="AE300" s="168">
        <f t="shared" si="571"/>
        <v>1.260233863019492E-2</v>
      </c>
      <c r="AF300" s="163"/>
      <c r="AG300" s="163"/>
      <c r="AH300" s="163"/>
      <c r="AI300" s="163"/>
      <c r="AJ300" s="116">
        <f t="shared" si="572"/>
        <v>569.38038136292312</v>
      </c>
      <c r="AK300" s="114">
        <f>+AV300/$AX$25</f>
        <v>3.154306685879028E-3</v>
      </c>
      <c r="AL300" s="115">
        <f t="shared" si="560"/>
        <v>0.27251448033416403</v>
      </c>
      <c r="AM300" s="115">
        <f t="shared" si="561"/>
        <v>0.39465186620785719</v>
      </c>
      <c r="AN300" s="115">
        <f t="shared" si="562"/>
        <v>0.33283365345797888</v>
      </c>
      <c r="AO300" s="115">
        <f t="shared" si="564"/>
        <v>-1.1824226668056242E-2</v>
      </c>
      <c r="AP300" s="166">
        <f t="shared" si="575"/>
        <v>136.5368885499752</v>
      </c>
      <c r="AQ300" s="168">
        <f t="shared" si="576"/>
        <v>-1.1824226668056147E-2</v>
      </c>
      <c r="AR300" s="69">
        <f>+AD300/$AF$25</f>
        <v>4.9812553339573578E-3</v>
      </c>
      <c r="AS300" s="169">
        <f t="shared" si="574"/>
        <v>-5.8899492160175522E-5</v>
      </c>
      <c r="AT300" s="115"/>
      <c r="AU300" s="115"/>
      <c r="AV300" s="113">
        <v>119653</v>
      </c>
      <c r="AW300" s="68">
        <f t="shared" si="523"/>
        <v>-0.13390949802851862</v>
      </c>
      <c r="AX300" s="114"/>
      <c r="AY300" s="114"/>
      <c r="AZ300" s="116"/>
      <c r="BA300" s="116"/>
      <c r="BB300" s="166"/>
      <c r="BC300" s="166"/>
      <c r="BD300" s="166"/>
      <c r="BE300" s="166"/>
      <c r="BF300" s="166"/>
      <c r="BG300" s="166"/>
      <c r="BH300" s="166"/>
      <c r="BI300" s="113"/>
      <c r="BJ300" s="113"/>
      <c r="BK300" s="113">
        <f>INDEX('Dist. Plant Gas Additions'!$F$7:$AE$91,MATCH($C300,'Dist. Plant Gas Additions'!$D$7:$D$91,0),MATCH(Calculation!$G300,'Dist. Plant Gas Additions'!$F$5:$AE$5,0))</f>
        <v>59334</v>
      </c>
      <c r="BL300" s="113">
        <f>INDEX('Gen. Plant Additions'!$F$7:$AE$91,MATCH($C300,'Gen. Plant Additions'!$D$7:$D$91,0),MATCH(Calculation!$G300,'Gen. Plant Additions'!$F$5:$AE$5,0))</f>
        <v>442</v>
      </c>
      <c r="BM300" s="231">
        <f t="shared" si="539"/>
        <v>0.9893383350599303</v>
      </c>
      <c r="BN300" s="61">
        <f t="shared" si="537"/>
        <v>437.28754409648917</v>
      </c>
      <c r="BO300" s="113">
        <f>INDEX('Dist Plant Depreciation'!$E$7:$AD$94,MATCH($C300,'Dist Plant Depreciation'!$D$7:$D$94,0),MATCH(Calculation!$G300,'Dist Plant Depreciation'!$E$5:$AD$5,0))</f>
        <v>161472</v>
      </c>
      <c r="BP300" s="113">
        <f>INDEX('Gen. Plant Depreciation'!$E$7:$AD$94,MATCH($C300,'Gen. Plant Depreciation'!$D$7:$D$94,0),MATCH(Calculation!$G300,'Gen. Plant Depreciation'!$E$5:$AD$5,0))</f>
        <v>248</v>
      </c>
      <c r="BQ300" s="113"/>
      <c r="BR300" s="113"/>
      <c r="BS300" s="113"/>
      <c r="BT300" s="113"/>
      <c r="BU300" s="113"/>
      <c r="BV300" s="113"/>
      <c r="BW300" s="113">
        <f>INDEX('Gross Dx Plant'!$E$7:$AD$91,MATCH($C300,'Gross Dx Plant'!$D$7:$D$91,0),MATCH(Calculation!$G300,'Gross Dx Plant'!$E$5:$AD$5,0))</f>
        <v>579684</v>
      </c>
      <c r="BX300" s="113">
        <f>INDEX('Gross Gen Plant'!$E$7:$AD$91,MATCH($C300,'Gross Gen Plant'!$D$7:$D$91,0),MATCH(Calculation!$G300,'Gross Gen Plant'!$E$5:$AD$5,0))</f>
        <v>6247</v>
      </c>
      <c r="BY300" s="113">
        <f t="shared" si="551"/>
        <v>424211</v>
      </c>
      <c r="BZ300" s="113"/>
      <c r="CA300" s="116">
        <v>2020</v>
      </c>
      <c r="CB300" s="113"/>
      <c r="CC300" s="113"/>
      <c r="CD300" s="113"/>
      <c r="CE300" s="175"/>
      <c r="CF300" s="113">
        <f t="shared" si="540"/>
        <v>59776</v>
      </c>
      <c r="CG300" s="113">
        <f t="shared" si="541"/>
        <v>73.51796632109631</v>
      </c>
      <c r="CH300" s="178">
        <v>0.84057971014492749</v>
      </c>
      <c r="CI300" s="61">
        <f>CI278*CH300+CG279*CH299+CG280*CH298+CG281*CH297+CG282*CH296+CG283*CH295+CG284*CH294+CG285*CH293+CG286*CH292+CG287*CH291+CG288*CH290+CG289*CH289+CG290*CH288+CG291*CH287+CG292*CH286+CG293*CH285+CG294*CH284+CG295*CH283+CG296*CH282+CG297*CH281+CG298*CH280+CG299*CH279+CG300</f>
        <v>1161.074924035405</v>
      </c>
      <c r="CJ300" s="114">
        <f t="shared" si="542"/>
        <v>5.6101099232660989E-2</v>
      </c>
      <c r="CK300" s="114"/>
      <c r="CL300" s="169">
        <f t="shared" si="543"/>
        <v>9.2680622216524955E-3</v>
      </c>
      <c r="CM300" s="169">
        <f t="shared" si="552"/>
        <v>9.0854114148576793E-3</v>
      </c>
      <c r="CN300" s="114">
        <f>VLOOKUP($H300,RoR!$E:$F,2,FALSE)</f>
        <v>2.4766666666666666E-2</v>
      </c>
      <c r="CO300" s="169">
        <v>1.1618796630994188E-2</v>
      </c>
      <c r="CP300" s="169">
        <f t="shared" si="549"/>
        <v>1.3147870035672478E-2</v>
      </c>
      <c r="CQ300" s="169">
        <f t="shared" si="553"/>
        <v>2.1816530193675944E-2</v>
      </c>
      <c r="CR300" s="169">
        <f t="shared" si="554"/>
        <v>4.5144642961987357E-2</v>
      </c>
      <c r="CS300" s="179">
        <f t="shared" si="544"/>
        <v>0.92230000000000001</v>
      </c>
      <c r="CT300" s="180">
        <f t="shared" si="545"/>
        <v>2.0706077233668081</v>
      </c>
      <c r="CU300" s="180">
        <f t="shared" si="546"/>
        <v>-3.4421265141318998E-2</v>
      </c>
      <c r="CV300" s="180">
        <f t="shared" si="547"/>
        <v>0.62416226176410472</v>
      </c>
      <c r="CW300" s="180">
        <f t="shared" si="548"/>
        <v>-4.4485877841158712E-2</v>
      </c>
      <c r="CX300" s="181">
        <f>INDEX('State Tax Lookup'!$D$7:$Z$91,MATCH(Calculation!$C300,'State Tax Lookup'!$B$7:$B$91,0),MATCH($H300,'State Tax Lookup'!$D$6:$Z$6,0))</f>
        <v>0.20999999999999996</v>
      </c>
      <c r="CY300" s="72">
        <v>0.37</v>
      </c>
      <c r="CZ300" s="70">
        <f t="shared" si="550"/>
        <v>20.656535100035239</v>
      </c>
      <c r="DA300" s="70">
        <v>19.952659173050833</v>
      </c>
      <c r="DB300" s="69">
        <f t="shared" si="555"/>
        <v>4.0925841361924391E-2</v>
      </c>
      <c r="DC300" s="111">
        <f>VLOOKUP($H300,RoR!$E:$F,2,FALSE)</f>
        <v>2.4766666666666666E-2</v>
      </c>
      <c r="DD300" s="216">
        <f>HLOOKUP($H300,'GDP-PI'!$D$8:$CQ$11,3,FALSE)</f>
        <v>1.1618796630994188E-2</v>
      </c>
      <c r="DE300" s="111">
        <f>VLOOKUP(H300,'HW Dx Data'!$E:$F,2,FALSE)</f>
        <v>813.080162458833</v>
      </c>
      <c r="DF300" s="72">
        <f t="shared" si="565"/>
        <v>153.15</v>
      </c>
      <c r="DG300" s="69">
        <f t="shared" si="566"/>
        <v>2.2951556467368479E-2</v>
      </c>
      <c r="DH300" s="66">
        <f>HLOOKUP(H300,'GDP-PI'!$8:$9,2,FALSE)</f>
        <v>113.623</v>
      </c>
      <c r="DI300" s="69">
        <f t="shared" si="556"/>
        <v>1.1551816731392881E-2</v>
      </c>
      <c r="EB300"/>
    </row>
    <row r="301" spans="1:132" s="160" customFormat="1" ht="21">
      <c r="A301" s="160" t="s">
        <v>176</v>
      </c>
      <c r="B301" s="160" t="s">
        <v>176</v>
      </c>
      <c r="C301" s="160">
        <v>4059355</v>
      </c>
      <c r="D301" s="160" t="s">
        <v>177</v>
      </c>
      <c r="G301" s="161" t="s">
        <v>142</v>
      </c>
      <c r="H301" s="162">
        <v>2021</v>
      </c>
      <c r="I301" s="163"/>
      <c r="J301" s="159">
        <v>20535.01216012827</v>
      </c>
      <c r="K301" s="159">
        <f t="shared" si="557"/>
        <v>130.58831262402714</v>
      </c>
      <c r="L301" s="164">
        <f t="shared" si="563"/>
        <v>7.4386477213893298E-2</v>
      </c>
      <c r="M301" s="76">
        <f t="shared" si="567"/>
        <v>3.5646015318842376E-4</v>
      </c>
      <c r="N301" s="166">
        <f>+N300*EXP(O301)</f>
        <v>118.48710533728571</v>
      </c>
      <c r="O301" s="114">
        <f t="shared" si="568"/>
        <v>4.3540801171821464E-2</v>
      </c>
      <c r="P301" s="114"/>
      <c r="Q301" s="159">
        <v>28946.944852229008</v>
      </c>
      <c r="R301" s="159">
        <f t="shared" si="558"/>
        <v>244.29863154889873</v>
      </c>
      <c r="S301" s="165">
        <f t="shared" si="569"/>
        <v>3.1883974893041289E-2</v>
      </c>
      <c r="T301" s="165">
        <f t="shared" si="570"/>
        <v>1.5278807385849192E-4</v>
      </c>
      <c r="U301" s="165"/>
      <c r="V301" s="165"/>
      <c r="W301" s="159">
        <f t="shared" si="538"/>
        <v>23942.810169947923</v>
      </c>
      <c r="X301" s="163"/>
      <c r="Y301" s="167">
        <v>1211.4748584957433</v>
      </c>
      <c r="Z301" s="168"/>
      <c r="AA301" s="76">
        <f t="shared" si="559"/>
        <v>0</v>
      </c>
      <c r="AB301" s="168"/>
      <c r="AC301" s="168"/>
      <c r="AD301" s="163">
        <f t="shared" si="577"/>
        <v>73424.767182305193</v>
      </c>
      <c r="AE301" s="168">
        <f t="shared" si="571"/>
        <v>7.4871978748089471E-2</v>
      </c>
      <c r="AF301" s="113"/>
      <c r="AG301" s="114"/>
      <c r="AH301" s="114"/>
      <c r="AI301" s="114"/>
      <c r="AJ301" s="116">
        <f t="shared" si="572"/>
        <v>607.9517709300444</v>
      </c>
      <c r="AK301" s="114">
        <f>+AV301/$AX$26</f>
        <v>3.1283514960430046E-3</v>
      </c>
      <c r="AL301" s="115">
        <f t="shared" si="560"/>
        <v>0.27967418826323565</v>
      </c>
      <c r="AM301" s="115">
        <f t="shared" si="561"/>
        <v>0.39423951839516352</v>
      </c>
      <c r="AN301" s="115">
        <f t="shared" si="562"/>
        <v>0.32608629334160089</v>
      </c>
      <c r="AO301" s="115">
        <f t="shared" si="564"/>
        <v>3.3114181457204919E-2</v>
      </c>
      <c r="AP301" s="166">
        <f t="shared" si="575"/>
        <v>141.13388874025944</v>
      </c>
      <c r="AQ301" s="168">
        <f t="shared" si="576"/>
        <v>3.3114181457204912E-2</v>
      </c>
      <c r="AR301" s="69">
        <f>+AD301/$AF$26</f>
        <v>4.7920020753697834E-3</v>
      </c>
      <c r="AS301" s="169">
        <f t="shared" si="574"/>
        <v>1.5868322626709755E-4</v>
      </c>
      <c r="AT301" s="115"/>
      <c r="AU301" s="115"/>
      <c r="AV301" s="113">
        <v>120774</v>
      </c>
      <c r="AW301" s="68">
        <f t="shared" si="523"/>
        <v>9.32514337693067E-3</v>
      </c>
      <c r="AX301" s="113"/>
      <c r="AY301" s="113"/>
      <c r="AZ301" s="116"/>
      <c r="BA301" s="116"/>
      <c r="BB301" s="166"/>
      <c r="BC301" s="166"/>
      <c r="BD301" s="166"/>
      <c r="BE301" s="166"/>
      <c r="BF301" s="166"/>
      <c r="BG301" s="166"/>
      <c r="BH301" s="166"/>
      <c r="BI301" s="113"/>
      <c r="BJ301" s="113"/>
      <c r="BK301" s="113">
        <f>INDEX('Dist. Plant Gas Additions'!$E$7:$AE$91,MATCH($C301,'Dist. Plant Gas Additions'!$D$7:$D$91,0),MATCH(Calculation!$G301,'Dist. Plant Gas Additions'!$E$5:$AE$5,0))</f>
        <v>65321</v>
      </c>
      <c r="BL301" s="113">
        <f>INDEX('Gen. Plant Additions'!$E$7:$AE$91,MATCH($C301,'Gen. Plant Additions'!$D$7:$D$91,0),MATCH(Calculation!$G301,'Gen. Plant Additions'!$E$5:$AE$5,0))</f>
        <v>441</v>
      </c>
      <c r="BM301" s="232">
        <v>0.9893383350599303</v>
      </c>
      <c r="BN301" s="61">
        <f t="shared" si="537"/>
        <v>436.29820576142924</v>
      </c>
      <c r="BO301" s="113"/>
      <c r="BP301" s="113"/>
      <c r="BQ301" s="175"/>
      <c r="BR301" s="175"/>
      <c r="BS301" s="170"/>
      <c r="BT301" s="176"/>
      <c r="BU301" s="177"/>
      <c r="BV301" s="177"/>
      <c r="BW301" s="113"/>
      <c r="BX301" s="113"/>
      <c r="BY301" s="113"/>
      <c r="BZ301" s="113"/>
      <c r="CA301" s="116">
        <v>2021</v>
      </c>
      <c r="CB301" s="113"/>
      <c r="CC301" s="113"/>
      <c r="CD301" s="113"/>
      <c r="CE301" s="175"/>
      <c r="CF301" s="113">
        <f t="shared" si="540"/>
        <v>65762</v>
      </c>
      <c r="CG301" s="113">
        <f t="shared" si="541"/>
        <v>70.482759049448831</v>
      </c>
      <c r="CH301" s="178">
        <f>+(51-23)/(51-23*0.75)</f>
        <v>0.82962962962962961</v>
      </c>
      <c r="CI301" s="113">
        <f>CI278*CH301+CG279*CH300+CG280*CH299+CG281*CH298+CG282*CH297+CG283*CH296+CG284*CH295+CG285*CH294+CG286*CH293+CG287*CH292+CG288*CH291+CG289*CH290+CG290*CH289+CG291*CH288+CG292*CH287+CG283*CH286+CG294*CH285+CG295*CH284+CG296*CH283+CG297*CH282+CG298*CH281+CG299*CH280+CG301+CG300*CH279</f>
        <v>1211.4748584957433</v>
      </c>
      <c r="CJ301" s="114"/>
      <c r="CK301" s="113"/>
      <c r="CL301" s="169">
        <f t="shared" si="543"/>
        <v>1.7296751633659575E-2</v>
      </c>
      <c r="CM301" s="169">
        <f t="shared" si="552"/>
        <v>1.1891093095134512E-2</v>
      </c>
      <c r="CN301" s="114">
        <f>VLOOKUP($H301,RoR!$E:$F,2,FALSE)</f>
        <v>2.7033333333333336E-2</v>
      </c>
      <c r="CO301" s="169"/>
      <c r="CP301" s="169"/>
      <c r="CQ301" s="169">
        <f t="shared" si="553"/>
        <v>1.9010848513399112E-2</v>
      </c>
      <c r="CR301" s="169">
        <f t="shared" si="554"/>
        <v>7.433422950153494E-2</v>
      </c>
      <c r="CS301" s="179">
        <f t="shared" si="544"/>
        <v>0.92230000000000001</v>
      </c>
      <c r="CT301" s="180">
        <f t="shared" si="545"/>
        <v>1.8969932656739068</v>
      </c>
      <c r="CU301" s="180">
        <f t="shared" si="546"/>
        <v>5.0215782983970621E-2</v>
      </c>
      <c r="CV301" s="180">
        <f t="shared" si="547"/>
        <v>0.655952481704143</v>
      </c>
      <c r="CW301" s="180">
        <f t="shared" si="548"/>
        <v>6.2485378865697057E-2</v>
      </c>
      <c r="CX301" s="181">
        <f>CX300</f>
        <v>0.20999999999999996</v>
      </c>
      <c r="CY301" s="72">
        <v>0.37</v>
      </c>
      <c r="CZ301" s="182">
        <f t="shared" si="550"/>
        <v>20.621244739945677</v>
      </c>
      <c r="DA301" s="182"/>
      <c r="DB301" s="169">
        <f t="shared" si="555"/>
        <v>-1.7098966477706874E-3</v>
      </c>
      <c r="DC301" s="181">
        <f>VLOOKUP($H301,RoR!$E:$F,2,FALSE)</f>
        <v>2.7033333333333336E-2</v>
      </c>
      <c r="DD301" s="183">
        <f>HLOOKUP($H301,'GDP-PI'!$D$8:$CR$11,3,FALSE)</f>
        <v>4.2834637353352578E-2</v>
      </c>
      <c r="DE301" s="181">
        <f>VLOOKUP(H301,'HW Dx Data'!$E:$F,2,FALSE)</f>
        <v>933.02249921662576</v>
      </c>
      <c r="DF301" s="72">
        <f t="shared" si="565"/>
        <v>157.25</v>
      </c>
      <c r="DG301" s="69">
        <f t="shared" si="566"/>
        <v>2.6419062301765574E-2</v>
      </c>
      <c r="DH301" s="175">
        <f>HLOOKUP(H301,'GDP-PI'!$8:$9,2,FALSE)</f>
        <v>118.49</v>
      </c>
      <c r="DI301" s="169">
        <f t="shared" si="556"/>
        <v>4.194261824609434E-2</v>
      </c>
      <c r="EB301"/>
    </row>
    <row r="302" spans="1:132" s="160" customFormat="1" ht="21">
      <c r="G302" s="161" t="s">
        <v>144</v>
      </c>
      <c r="H302" s="162"/>
      <c r="I302" s="163"/>
      <c r="J302" s="159">
        <v>20556.46004182765</v>
      </c>
      <c r="K302" s="159">
        <f t="shared" si="557"/>
        <v>126.46238106322761</v>
      </c>
      <c r="L302" s="164">
        <f t="shared" ref="L302" si="578">LN(K302/K301)</f>
        <v>-3.2104841934781775E-2</v>
      </c>
      <c r="M302" s="76">
        <f t="shared" si="567"/>
        <v>-1.5904841062714932E-4</v>
      </c>
      <c r="N302" s="166">
        <f>+N301*EXP(O302)</f>
        <v>118.67206437912523</v>
      </c>
      <c r="O302" s="114">
        <f t="shared" si="568"/>
        <v>1.559788555173354E-3</v>
      </c>
      <c r="P302" s="114"/>
      <c r="Q302" s="163">
        <v>28977.178613178734</v>
      </c>
      <c r="R302" s="159">
        <f t="shared" si="558"/>
        <v>227.71849597782895</v>
      </c>
      <c r="S302" s="165">
        <f t="shared" ref="S302" si="579">LN(R302/R301)</f>
        <v>-7.0281177367401027E-2</v>
      </c>
      <c r="T302" s="165">
        <f t="shared" si="570"/>
        <v>-3.4817519363581609E-4</v>
      </c>
      <c r="U302" s="166"/>
      <c r="V302" s="114"/>
      <c r="W302" s="159">
        <f t="shared" si="538"/>
        <v>30945.573001999866</v>
      </c>
      <c r="X302" s="168"/>
      <c r="Y302" s="167">
        <v>1272.6426555259975</v>
      </c>
      <c r="Z302" s="168">
        <v>4.9257060980302012E-2</v>
      </c>
      <c r="AA302" s="76">
        <f t="shared" si="559"/>
        <v>2.4402105068750156E-4</v>
      </c>
      <c r="AB302" s="166"/>
      <c r="AC302" s="114"/>
      <c r="AD302" s="163">
        <f t="shared" si="577"/>
        <v>80479.21165700625</v>
      </c>
      <c r="AE302" s="168">
        <f t="shared" si="571"/>
        <v>9.1737604532678541E-2</v>
      </c>
      <c r="AF302" s="113"/>
      <c r="AG302" s="114"/>
      <c r="AH302" s="114"/>
      <c r="AI302" s="114"/>
      <c r="AJ302" s="116">
        <f t="shared" si="572"/>
        <v>651.78019742303161</v>
      </c>
      <c r="AK302" s="114"/>
      <c r="AL302" s="115">
        <f t="shared" si="560"/>
        <v>0.25542571328154995</v>
      </c>
      <c r="AM302" s="115">
        <f t="shared" si="561"/>
        <v>0.36005793318001617</v>
      </c>
      <c r="AN302" s="115">
        <f t="shared" si="562"/>
        <v>0.38451635353843389</v>
      </c>
      <c r="AO302" s="115"/>
      <c r="AP302" s="166"/>
      <c r="AQ302" s="168"/>
      <c r="AR302" s="69">
        <f>+AD302/$AF$27</f>
        <v>4.9540318856028786E-3</v>
      </c>
      <c r="AS302" s="169"/>
      <c r="AT302" s="166"/>
      <c r="AU302" s="168"/>
      <c r="AV302" s="113">
        <v>123476</v>
      </c>
      <c r="AW302" s="68">
        <f t="shared" si="523"/>
        <v>2.2125774652369774E-2</v>
      </c>
      <c r="AX302" s="113"/>
      <c r="AY302" s="113"/>
      <c r="AZ302" s="113"/>
      <c r="BA302" s="113"/>
      <c r="BB302" s="171"/>
      <c r="BC302" s="172"/>
      <c r="BD302" s="173"/>
      <c r="BE302" s="115"/>
      <c r="BF302" s="174"/>
      <c r="BG302" s="174"/>
      <c r="BH302" s="166"/>
      <c r="BI302" s="113"/>
      <c r="BJ302" s="113"/>
      <c r="BK302" s="113"/>
      <c r="BL302" s="113"/>
      <c r="BM302" s="232">
        <v>0.9893383350599303</v>
      </c>
      <c r="BN302" s="61">
        <f t="shared" si="537"/>
        <v>0</v>
      </c>
      <c r="BO302" s="113"/>
      <c r="BP302" s="113"/>
      <c r="BQ302" s="175"/>
      <c r="BR302" s="175"/>
      <c r="BS302" s="170"/>
      <c r="BT302" s="176"/>
      <c r="BU302" s="177"/>
      <c r="BV302" s="177"/>
      <c r="BW302" s="113"/>
      <c r="BX302" s="113"/>
      <c r="BY302" s="113"/>
      <c r="BZ302" s="113"/>
      <c r="CA302" s="116">
        <v>2022</v>
      </c>
      <c r="CB302" s="113"/>
      <c r="CC302" s="113"/>
      <c r="CD302" s="113"/>
      <c r="CE302" s="175"/>
      <c r="CF302" s="238">
        <v>74949</v>
      </c>
      <c r="CG302" s="113">
        <f>+CF302/DE302</f>
        <v>72.708840620482931</v>
      </c>
      <c r="CH302" s="178">
        <f>+(51-24)/(51-24*0.75)</f>
        <v>0.81818181818181823</v>
      </c>
      <c r="CI302" s="113">
        <f>+CI278*CH302+CG279*CH301+CG280*CH300+CG281*CH299+CG282*CH298+CG283*CH297+CG284*CH296+CG285*CH295+CG286*CH294+CG287*CH293+CG288*CH292+CG289*CH291+CG290*CH290+CG291*CH289+CG292*CH288+CG293*CH287+CG294*CH286+CG295*CH285+CG296*CH284+CG297*CH283+CG298*CH282+CG299*CH281+CG300*CH280+CG301*CH279+CG302*CH278</f>
        <v>1281.5550642143107</v>
      </c>
      <c r="CJ302" s="114">
        <f t="shared" ref="CJ302" si="580">LN(CI302/CI301)</f>
        <v>5.6235725780006171E-2</v>
      </c>
      <c r="CK302" s="113"/>
      <c r="CL302" s="169">
        <f t="shared" si="543"/>
        <v>2.1697808117779891E-3</v>
      </c>
      <c r="CM302" s="169">
        <f t="shared" si="552"/>
        <v>9.578198222363353E-3</v>
      </c>
      <c r="CN302" s="114"/>
      <c r="CO302" s="169"/>
      <c r="CP302" s="169"/>
      <c r="CQ302" s="69">
        <f t="shared" si="553"/>
        <v>2.1323743386170272E-2</v>
      </c>
      <c r="CR302" s="169">
        <f t="shared" si="554"/>
        <v>0.10114668178709289</v>
      </c>
      <c r="CS302" s="179">
        <f t="shared" si="544"/>
        <v>0.92230000000000001</v>
      </c>
      <c r="CT302" s="180"/>
      <c r="CU302" s="180"/>
      <c r="CV302" s="180"/>
      <c r="CW302" s="180"/>
      <c r="CX302" s="181">
        <f>CX301</f>
        <v>0.20999999999999996</v>
      </c>
      <c r="CY302" s="72">
        <v>0.37</v>
      </c>
      <c r="CZ302" s="182">
        <f t="shared" si="550"/>
        <v>25.543718703683357</v>
      </c>
      <c r="DA302" s="182"/>
      <c r="DB302" s="169">
        <f t="shared" si="555"/>
        <v>0.2140696006965816</v>
      </c>
      <c r="DC302" s="181">
        <v>0.04</v>
      </c>
      <c r="DD302" s="183">
        <v>7.0000000000000001E-3</v>
      </c>
      <c r="DE302" s="181">
        <v>1030.81</v>
      </c>
      <c r="DF302" s="72">
        <f t="shared" si="565"/>
        <v>162.55000000000001</v>
      </c>
      <c r="DG302" s="169">
        <f t="shared" si="566"/>
        <v>3.3148751169364422E-2</v>
      </c>
      <c r="DH302" s="175">
        <v>127.25</v>
      </c>
      <c r="DI302" s="169">
        <f t="shared" si="556"/>
        <v>7.1325086601983473E-2</v>
      </c>
      <c r="EB302"/>
    </row>
    <row r="303" spans="1:132" s="160" customFormat="1" ht="21">
      <c r="A303" s="160" t="s">
        <v>178</v>
      </c>
      <c r="B303" s="161" t="s">
        <v>178</v>
      </c>
      <c r="C303" s="161">
        <v>4088325</v>
      </c>
      <c r="D303" s="161" t="s">
        <v>179</v>
      </c>
      <c r="E303" s="161"/>
      <c r="F303" s="161"/>
      <c r="G303" s="161" t="s">
        <v>100</v>
      </c>
      <c r="H303" s="162">
        <v>1998</v>
      </c>
      <c r="I303" s="163"/>
      <c r="J303" s="159"/>
      <c r="K303" s="159"/>
      <c r="L303" s="159"/>
      <c r="M303" s="60"/>
      <c r="N303" s="131"/>
      <c r="O303" s="76"/>
      <c r="P303" s="76"/>
      <c r="Q303" s="165"/>
      <c r="R303" s="165"/>
      <c r="S303" s="165"/>
      <c r="T303" s="159"/>
      <c r="U303" s="165"/>
      <c r="V303" s="165"/>
      <c r="W303" s="159"/>
      <c r="X303" s="163"/>
      <c r="Y303" s="167">
        <v>202.96011265091329</v>
      </c>
      <c r="Z303" s="168"/>
      <c r="AA303" s="78"/>
      <c r="AB303" s="168"/>
      <c r="AC303" s="168"/>
      <c r="AD303" s="163">
        <f t="shared" si="577"/>
        <v>0</v>
      </c>
      <c r="AE303" s="163"/>
      <c r="AF303" s="163"/>
      <c r="AG303" s="114"/>
      <c r="AH303" s="114"/>
      <c r="AI303" s="114"/>
      <c r="AJ303" s="166">
        <f>+(AJ300+AJ301+AJ302)/3</f>
        <v>609.70411657199975</v>
      </c>
      <c r="AK303" s="168"/>
      <c r="AL303" s="115"/>
      <c r="AM303" s="115"/>
      <c r="AN303" s="115"/>
      <c r="AO303" s="115"/>
      <c r="AP303" s="115"/>
      <c r="AQ303" s="168">
        <f>AVERAGE(AQ312:AQ326)</f>
        <v>2.6964632988869138E-2</v>
      </c>
      <c r="AR303" s="79"/>
      <c r="AS303" s="115"/>
      <c r="AT303" s="115"/>
      <c r="AU303" s="115"/>
      <c r="AV303" s="113">
        <f>IFERROR(INDEX('Total Customers'!$F$7:$AB$91,MATCH($C303,'Total Customers'!$D$7:$D$91,0),MATCH($G303,'Total Customers'!$F$5:$AB$5,0)),"NA")</f>
        <v>31751</v>
      </c>
      <c r="AW303" s="68"/>
      <c r="AX303" s="114"/>
      <c r="AY303" s="114"/>
      <c r="AZ303" s="116"/>
      <c r="BA303" s="116"/>
      <c r="BB303" s="166"/>
      <c r="BC303" s="166"/>
      <c r="BD303" s="166"/>
      <c r="BE303" s="166"/>
      <c r="BF303" s="166"/>
      <c r="BG303" s="166"/>
      <c r="BH303" s="166"/>
      <c r="BI303" s="113">
        <f>INDEX('Gross Dx Plant'!$E$7:$AD$91,MATCH($C303,'Gross Dx Plant'!$D$7:$D$91,0),MATCH(Calculation!$G303,'Gross Dx Plant'!$E$5:$AD$5,0))</f>
        <v>67741</v>
      </c>
      <c r="BJ303" s="113">
        <f>INDEX('Gross Gen Plant'!$E$7:$AD$91,MATCH($C303,'Gross Gen Plant'!$D$7:$D$91,0),MATCH(Calculation!$G303,'Gross Gen Plant'!$E$5:$AD$5,0))</f>
        <v>1018</v>
      </c>
      <c r="BK303" s="113">
        <f>INDEX('Dist. Plant Gas Additions'!$F$7:$AE$91,MATCH($C303,'Dist. Plant Gas Additions'!$D$7:$D$91,0),MATCH(Calculation!$G303,'Dist. Plant Gas Additions'!$F$5:$AE$5,0))</f>
        <v>5144</v>
      </c>
      <c r="BL303" s="113">
        <f>INDEX('Gen. Plant Additions'!$F$7:$AE$91,MATCH($C303,'Gen. Plant Additions'!$D$7:$D$91,0),MATCH(Calculation!$G303,'Gen. Plant Additions'!$F$5:$AE$5,0))</f>
        <v>69</v>
      </c>
      <c r="BM303" s="231">
        <f>+(BW303/(BW303+BX303))</f>
        <v>0.98519466542561696</v>
      </c>
      <c r="BN303" s="61">
        <f t="shared" si="537"/>
        <v>67.978431914367576</v>
      </c>
      <c r="BO303" s="113">
        <f>INDEX('Dist Plant Depreciation'!$E$7:$AD$94,MATCH($C303,'Dist Plant Depreciation'!$D$7:$D$94,0),MATCH(Calculation!$G303,'Dist Plant Depreciation'!$E$5:$AD$5,0))</f>
        <v>27613</v>
      </c>
      <c r="BP303" s="113">
        <f>INDEX('Gen. Plant Depreciation'!$E$7:$AD$94,MATCH($C303,'Gen. Plant Depreciation'!$D$7:$D$94,0),MATCH(Calculation!$G303,'Gen. Plant Depreciation'!$E$5:$AD$5,0))</f>
        <v>205</v>
      </c>
      <c r="BQ303" s="113"/>
      <c r="BR303" s="113"/>
      <c r="BS303" s="113"/>
      <c r="BT303" s="113"/>
      <c r="BU303" s="113"/>
      <c r="BV303" s="113"/>
      <c r="BW303" s="113">
        <f>INDEX('Gross Dx Plant'!$E$7:$AD$91,MATCH($C303,'Gross Dx Plant'!$D$7:$D$91,0),MATCH(Calculation!$G303,'Gross Dx Plant'!$E$5:$AD$5,0))</f>
        <v>67741</v>
      </c>
      <c r="BX303" s="113">
        <f>INDEX('Gross Gen Plant'!$E$7:$AD$91,MATCH($C303,'Gross Gen Plant'!$D$7:$D$91,0),MATCH(Calculation!$G303,'Gross Gen Plant'!$E$5:$AD$5,0))</f>
        <v>1018</v>
      </c>
      <c r="BY303" s="113">
        <f t="shared" si="551"/>
        <v>40941</v>
      </c>
      <c r="BZ303" s="113"/>
      <c r="CA303" s="116">
        <v>1998</v>
      </c>
      <c r="CB303" s="113">
        <f>BI303+BJ303</f>
        <v>68759</v>
      </c>
      <c r="CC303" s="113">
        <f>27613+205</f>
        <v>27818</v>
      </c>
      <c r="CD303" s="113">
        <f>+CB303-CC303</f>
        <v>40941</v>
      </c>
      <c r="CE303" s="113">
        <f>CD303/$BV$3</f>
        <v>202.96011265091329</v>
      </c>
      <c r="CF303" s="175"/>
      <c r="CG303" s="175"/>
      <c r="CH303" s="178">
        <v>1</v>
      </c>
      <c r="CI303" s="113">
        <f>+CE303</f>
        <v>202.96011265091329</v>
      </c>
      <c r="CJ303" s="114"/>
      <c r="CK303" s="114"/>
      <c r="CL303" s="169"/>
      <c r="CM303" s="169"/>
      <c r="CN303" s="114" t="e">
        <f>VLOOKUP($H303,RoR!$E:$F,2,FALSE)</f>
        <v>#N/A</v>
      </c>
      <c r="CO303" s="169">
        <v>1.1028127770464469E-2</v>
      </c>
      <c r="CP303" s="169"/>
      <c r="CQ303" s="169"/>
      <c r="CR303" s="169"/>
      <c r="CS303" s="179"/>
      <c r="CT303" s="182" t="e">
        <f>2/(DC303*39)</f>
        <v>#N/A</v>
      </c>
      <c r="CU303" s="180" t="e">
        <f>+(DC303*40-(1+DC303))/(DC303*40)</f>
        <v>#N/A</v>
      </c>
      <c r="CV303" s="180" t="e">
        <f>+(1-(1/(1+DC303)^40))</f>
        <v>#N/A</v>
      </c>
      <c r="CW303" s="180" t="e">
        <f>+CV303*CU303*CT303</f>
        <v>#N/A</v>
      </c>
      <c r="CX303" s="181">
        <f>INDEX('State Tax Lookup'!$D$7:$Z$91,MATCH(Calculation!$C303,'State Tax Lookup'!$B$7:$B$91,0),MATCH($H303,'State Tax Lookup'!$D$6:$Z$6,0))</f>
        <v>0.414935</v>
      </c>
      <c r="CY303" s="72">
        <v>0.37</v>
      </c>
      <c r="CZ303" s="66"/>
      <c r="DA303" s="66"/>
      <c r="DB303" s="69"/>
      <c r="DC303" s="111" t="e">
        <f>VLOOKUP($H303,RoR!$E:$F,2,FALSE)</f>
        <v>#N/A</v>
      </c>
      <c r="DD303" s="216">
        <f>HLOOKUP($H303,'GDP-PI'!$D$8:$CQ$11,3,FALSE)</f>
        <v>1.1028127770464469E-2</v>
      </c>
      <c r="DE303" s="111">
        <f>VLOOKUP(H303,'HW Dx Data'!$E:$F,2,FALSE)</f>
        <v>329.24564746449528</v>
      </c>
      <c r="DF303" s="72" t="e">
        <f t="shared" si="565"/>
        <v>#N/A</v>
      </c>
      <c r="DG303" s="169" t="e">
        <f t="shared" si="566"/>
        <v>#N/A</v>
      </c>
      <c r="DH303" s="66">
        <f>HLOOKUP(H303,'GDP-PI'!$8:$9,2,FALSE)</f>
        <v>75.266999999999996</v>
      </c>
      <c r="DI303"/>
      <c r="EB303"/>
    </row>
    <row r="304" spans="1:132" s="160" customFormat="1" ht="21">
      <c r="A304" s="160" t="s">
        <v>178</v>
      </c>
      <c r="B304" s="161" t="s">
        <v>178</v>
      </c>
      <c r="C304" s="161">
        <v>4088325</v>
      </c>
      <c r="D304" s="161" t="s">
        <v>179</v>
      </c>
      <c r="E304" s="161"/>
      <c r="F304" s="161"/>
      <c r="G304" s="161" t="s">
        <v>106</v>
      </c>
      <c r="H304" s="162">
        <v>1999</v>
      </c>
      <c r="I304" s="163"/>
      <c r="J304" s="159"/>
      <c r="K304" s="163"/>
      <c r="L304" s="163"/>
      <c r="M304" s="60"/>
      <c r="N304" s="152"/>
      <c r="O304" s="60"/>
      <c r="P304" s="59"/>
      <c r="Q304" s="169"/>
      <c r="R304" s="169"/>
      <c r="S304" s="169"/>
      <c r="T304" s="187"/>
      <c r="U304" s="169"/>
      <c r="V304" s="169"/>
      <c r="W304" s="159">
        <f t="shared" ref="W304:W327" si="581">+CI303*CZ304</f>
        <v>0</v>
      </c>
      <c r="X304" s="163"/>
      <c r="Y304" s="167">
        <v>211.89891846956132</v>
      </c>
      <c r="Z304" s="168">
        <v>4.3099890964176601E-2</v>
      </c>
      <c r="AA304" s="78"/>
      <c r="AB304" s="168"/>
      <c r="AC304" s="168"/>
      <c r="AD304" s="163">
        <f t="shared" si="577"/>
        <v>0</v>
      </c>
      <c r="AE304" s="168"/>
      <c r="AF304" s="163"/>
      <c r="AG304" s="114"/>
      <c r="AH304" s="114"/>
      <c r="AI304" s="114"/>
      <c r="AJ304" s="167"/>
      <c r="AK304" s="168"/>
      <c r="AL304" s="115"/>
      <c r="AM304" s="115"/>
      <c r="AN304" s="115"/>
      <c r="AO304" s="115"/>
      <c r="AP304" s="115"/>
      <c r="AQ304" s="168"/>
      <c r="AR304" s="79"/>
      <c r="AS304" s="115"/>
      <c r="AT304" s="115"/>
      <c r="AU304" s="115"/>
      <c r="AV304" s="113">
        <f>IFERROR(INDEX('Total Customers'!$F$7:$AB$91,MATCH($C304,'Total Customers'!$D$7:$D$91,0),MATCH($G304,'Total Customers'!$F$5:$AB$5,0)),"NA")</f>
        <v>31935</v>
      </c>
      <c r="AW304" s="68">
        <f t="shared" si="523"/>
        <v>5.7783661078503225E-3</v>
      </c>
      <c r="AX304" s="114"/>
      <c r="AY304" s="114"/>
      <c r="AZ304" s="116"/>
      <c r="BA304" s="116"/>
      <c r="BB304" s="166"/>
      <c r="BC304" s="166"/>
      <c r="BD304" s="166"/>
      <c r="BE304" s="166"/>
      <c r="BF304" s="166"/>
      <c r="BG304" s="166"/>
      <c r="BH304" s="166"/>
      <c r="BI304" s="113"/>
      <c r="BJ304" s="113"/>
      <c r="BK304" s="113">
        <f>INDEX('Dist. Plant Gas Additions'!$F$7:$AE$91,MATCH($C304,'Dist. Plant Gas Additions'!$D$7:$D$91,0),MATCH(Calculation!$G304,'Dist. Plant Gas Additions'!$F$5:$AE$5,0))</f>
        <v>3292</v>
      </c>
      <c r="BL304" s="113">
        <f>INDEX('Gen. Plant Additions'!$F$7:$AE$91,MATCH($C304,'Gen. Plant Additions'!$D$7:$D$91,0),MATCH(Calculation!$G304,'Gen. Plant Additions'!$F$5:$AE$5,0))</f>
        <v>44</v>
      </c>
      <c r="BM304" s="231">
        <f t="shared" ref="BM304:BM325" si="582">+(BW304/(BW304+BX304))</f>
        <v>0.98517452421540952</v>
      </c>
      <c r="BN304" s="61">
        <f>+BM304*BL304</f>
        <v>43.347679065478019</v>
      </c>
      <c r="BO304" s="113">
        <f>INDEX('Dist Plant Depreciation'!$E$7:$AD$94,MATCH($C304,'Dist Plant Depreciation'!$D$7:$D$94,0),MATCH(Calculation!$G304,'Dist Plant Depreciation'!$E$5:$AD$5,0))</f>
        <v>29035</v>
      </c>
      <c r="BP304" s="113">
        <f>INDEX('Gen. Plant Depreciation'!$E$7:$AD$94,MATCH($C304,'Gen. Plant Depreciation'!$D$7:$D$94,0),MATCH(Calculation!$G304,'Gen. Plant Depreciation'!$E$5:$AD$5,0))</f>
        <v>225</v>
      </c>
      <c r="BQ304" s="113"/>
      <c r="BR304" s="113"/>
      <c r="BS304" s="113"/>
      <c r="BT304" s="113"/>
      <c r="BU304" s="113"/>
      <c r="BV304" s="113"/>
      <c r="BW304" s="113">
        <f>INDEX('Gross Dx Plant'!$E$7:$AD$91,MATCH($C304,'Gross Dx Plant'!$D$7:$D$91,0),MATCH(Calculation!$G304,'Gross Dx Plant'!$E$5:$AD$5,0))</f>
        <v>70505</v>
      </c>
      <c r="BX304" s="113">
        <f>INDEX('Gross Gen Plant'!$E$7:$AD$91,MATCH($C304,'Gross Gen Plant'!$D$7:$D$91,0),MATCH(Calculation!$G304,'Gross Gen Plant'!$E$5:$AD$5,0))</f>
        <v>1061</v>
      </c>
      <c r="BY304" s="113">
        <f t="shared" si="551"/>
        <v>42306</v>
      </c>
      <c r="BZ304" s="113"/>
      <c r="CA304" s="116">
        <v>1999</v>
      </c>
      <c r="CB304" s="113"/>
      <c r="CC304" s="113"/>
      <c r="CD304" s="113"/>
      <c r="CE304" s="175"/>
      <c r="CF304" s="113">
        <f t="shared" ref="CF304:CF326" si="583">+BL304+BK304</f>
        <v>3336</v>
      </c>
      <c r="CG304" s="113">
        <f t="shared" ref="CG304:CG326" si="584">+CF304/$DE304</f>
        <v>9.9485576228814132</v>
      </c>
      <c r="CH304" s="178">
        <v>0.99502487562189057</v>
      </c>
      <c r="CI304" s="61">
        <f>+CI303*CH304+CG304</f>
        <v>211.89891846956132</v>
      </c>
      <c r="CJ304" s="114">
        <f t="shared" ref="CJ304:CJ325" si="585">LN(CI304/CI303)</f>
        <v>4.3099890964176601E-2</v>
      </c>
      <c r="CK304" s="114"/>
      <c r="CL304" s="169">
        <f t="shared" ref="CL304:CL327" si="586">+(CI303-CI304+CG304)/CI303</f>
        <v>4.9751243781093477E-3</v>
      </c>
      <c r="CM304" s="169"/>
      <c r="CN304" s="114">
        <f>VLOOKUP($H304,RoR!$E:$F,2,FALSE)</f>
        <v>7.0416666666666669E-2</v>
      </c>
      <c r="CO304" s="169">
        <v>1.4335631817396832E-2</v>
      </c>
      <c r="CP304" s="169">
        <f>+CN304-CO304</f>
        <v>5.6081034849269837E-2</v>
      </c>
      <c r="CQ304" s="169"/>
      <c r="CR304" s="169"/>
      <c r="CS304" s="179">
        <f t="shared" ref="CS304:CS327" si="587">1-CX304*CY304</f>
        <v>0.84647404999999998</v>
      </c>
      <c r="CT304" s="180">
        <f t="shared" ref="CT304:CT326" si="588">2/(DC304*39)</f>
        <v>0.72826581702321336</v>
      </c>
      <c r="CU304" s="180">
        <f t="shared" ref="CU304:CU326" si="589">+(DC304*40-(1+DC304))/(DC304*40)</f>
        <v>0.61997041420118348</v>
      </c>
      <c r="CV304" s="180">
        <f t="shared" ref="CV304:CV326" si="590">+(1-(1/(1+DC304)^40))</f>
        <v>0.93425155319585029</v>
      </c>
      <c r="CW304" s="180">
        <f t="shared" ref="CW304:CW326" si="591">+CV304*CU304*CT304</f>
        <v>0.42181762214141483</v>
      </c>
      <c r="CX304" s="181">
        <f>INDEX('State Tax Lookup'!$D$7:$Z$91,MATCH(Calculation!$C304,'State Tax Lookup'!$B$7:$B$91,0),MATCH($H304,'State Tax Lookup'!$D$6:$Z$6,0))</f>
        <v>0.414935</v>
      </c>
      <c r="CY304" s="72">
        <v>0.37</v>
      </c>
      <c r="CZ304" s="70"/>
      <c r="DA304" s="70"/>
      <c r="DB304" s="69"/>
      <c r="DC304" s="111">
        <f>VLOOKUP($H304,RoR!$E:$F,2,FALSE)</f>
        <v>7.0416666666666669E-2</v>
      </c>
      <c r="DD304" s="216">
        <f>HLOOKUP($H304,'GDP-PI'!$D$8:$CQ$11,3,FALSE)</f>
        <v>1.4335631817396832E-2</v>
      </c>
      <c r="DE304" s="111">
        <f>VLOOKUP(H304,'HW Dx Data'!$E:$F,2,FALSE)</f>
        <v>335.32499146683239</v>
      </c>
      <c r="DF304" s="66"/>
      <c r="DG304" s="69"/>
      <c r="DH304" s="66">
        <f>HLOOKUP(H304,'GDP-PI'!$8:$9,2,FALSE)</f>
        <v>76.346000000000004</v>
      </c>
      <c r="DI304"/>
      <c r="EB304"/>
    </row>
    <row r="305" spans="1:132" s="160" customFormat="1" ht="21">
      <c r="A305" s="160" t="s">
        <v>178</v>
      </c>
      <c r="B305" s="161" t="s">
        <v>178</v>
      </c>
      <c r="C305" s="161">
        <v>4088325</v>
      </c>
      <c r="D305" s="161" t="s">
        <v>179</v>
      </c>
      <c r="E305" s="161"/>
      <c r="F305" s="161"/>
      <c r="G305" s="161" t="s">
        <v>107</v>
      </c>
      <c r="H305" s="162">
        <v>2000</v>
      </c>
      <c r="I305" s="163"/>
      <c r="J305" s="159"/>
      <c r="K305" s="159"/>
      <c r="L305" s="159"/>
      <c r="M305" s="60"/>
      <c r="N305" s="152"/>
      <c r="O305" s="60"/>
      <c r="P305" s="60"/>
      <c r="Q305" s="159"/>
      <c r="R305" s="159"/>
      <c r="S305" s="159"/>
      <c r="T305" s="159"/>
      <c r="U305" s="159"/>
      <c r="V305" s="159"/>
      <c r="W305" s="159">
        <f t="shared" si="581"/>
        <v>0</v>
      </c>
      <c r="X305" s="163"/>
      <c r="Y305" s="167">
        <v>220.86869997525051</v>
      </c>
      <c r="Z305" s="168">
        <v>4.1459045905791511E-2</v>
      </c>
      <c r="AA305" s="78"/>
      <c r="AB305" s="168"/>
      <c r="AC305" s="168"/>
      <c r="AD305" s="163">
        <f t="shared" si="577"/>
        <v>0</v>
      </c>
      <c r="AE305" s="168"/>
      <c r="AF305" s="163"/>
      <c r="AG305" s="163"/>
      <c r="AH305" s="163"/>
      <c r="AI305" s="163"/>
      <c r="AJ305" s="167"/>
      <c r="AK305" s="168"/>
      <c r="AL305" s="115"/>
      <c r="AM305" s="115"/>
      <c r="AN305" s="115"/>
      <c r="AO305" s="115"/>
      <c r="AP305" s="115"/>
      <c r="AQ305" s="168"/>
      <c r="AR305" s="79"/>
      <c r="AS305" s="115"/>
      <c r="AT305" s="115"/>
      <c r="AU305" s="115"/>
      <c r="AV305" s="113">
        <f>IFERROR(INDEX('Total Customers'!$F$7:$AB$91,MATCH($C305,'Total Customers'!$D$7:$D$91,0),MATCH($G305,'Total Customers'!$F$5:$AB$5,0)),"NA")</f>
        <v>32156</v>
      </c>
      <c r="AW305" s="68">
        <f t="shared" si="523"/>
        <v>6.8964714521620027E-3</v>
      </c>
      <c r="AX305" s="114"/>
      <c r="AY305" s="114"/>
      <c r="AZ305" s="116"/>
      <c r="BA305" s="116"/>
      <c r="BB305" s="166"/>
      <c r="BC305" s="166"/>
      <c r="BD305" s="166"/>
      <c r="BE305" s="166"/>
      <c r="BF305" s="166"/>
      <c r="BG305" s="166"/>
      <c r="BH305" s="166"/>
      <c r="BI305" s="113"/>
      <c r="BJ305" s="113"/>
      <c r="BK305" s="113">
        <f>INDEX('Dist. Plant Gas Additions'!$F$7:$AE$91,MATCH($C305,'Dist. Plant Gas Additions'!$D$7:$D$91,0),MATCH(Calculation!$G305,'Dist. Plant Gas Additions'!$F$5:$AE$5,0))</f>
        <v>3364</v>
      </c>
      <c r="BL305" s="113">
        <f>INDEX('Gen. Plant Additions'!$F$7:$AE$91,MATCH($C305,'Gen. Plant Additions'!$D$7:$D$91,0),MATCH(Calculation!$G305,'Gen. Plant Additions'!$F$5:$AE$5,0))</f>
        <v>122</v>
      </c>
      <c r="BM305" s="231">
        <f t="shared" si="582"/>
        <v>0.98412996777658435</v>
      </c>
      <c r="BN305" s="61">
        <f t="shared" si="537"/>
        <v>120.06385606874329</v>
      </c>
      <c r="BO305" s="113"/>
      <c r="BP305" s="113"/>
      <c r="BQ305" s="113"/>
      <c r="BR305" s="113"/>
      <c r="BS305" s="113"/>
      <c r="BT305" s="113"/>
      <c r="BU305" s="113"/>
      <c r="BV305" s="113"/>
      <c r="BW305" s="113">
        <f>INDEX('Gross Dx Plant'!$E$7:$AD$91,MATCH($C305,'Gross Dx Plant'!$D$7:$D$91,0),MATCH(Calculation!$G305,'Gross Dx Plant'!$E$5:$AD$5,0))</f>
        <v>73298</v>
      </c>
      <c r="BX305" s="113">
        <f>INDEX('Gross Gen Plant'!$E$7:$AD$91,MATCH($C305,'Gross Gen Plant'!$D$7:$D$91,0),MATCH(Calculation!$G305,'Gross Gen Plant'!$E$5:$AD$5,0))</f>
        <v>1182</v>
      </c>
      <c r="BY305" s="113">
        <f t="shared" si="551"/>
        <v>74480</v>
      </c>
      <c r="BZ305" s="113"/>
      <c r="CA305" s="116">
        <v>2000</v>
      </c>
      <c r="CB305" s="113"/>
      <c r="CC305" s="113"/>
      <c r="CD305" s="113"/>
      <c r="CE305" s="175"/>
      <c r="CF305" s="113">
        <f t="shared" si="583"/>
        <v>3486</v>
      </c>
      <c r="CG305" s="113">
        <f t="shared" si="584"/>
        <v>10.059627161001428</v>
      </c>
      <c r="CH305" s="178">
        <v>0.98989898989898994</v>
      </c>
      <c r="CI305" s="61">
        <f>+CI303*CH305+CG304*CH304+CG305</f>
        <v>220.86869997525051</v>
      </c>
      <c r="CJ305" s="114">
        <f t="shared" si="585"/>
        <v>4.1459045905791511E-2</v>
      </c>
      <c r="CK305" s="114"/>
      <c r="CL305" s="169">
        <f t="shared" si="586"/>
        <v>5.1432336851157511E-3</v>
      </c>
      <c r="CM305" s="169"/>
      <c r="CN305" s="114">
        <f>VLOOKUP($H305,RoR!$E:$F,2,FALSE)</f>
        <v>7.6225000000000001E-2</v>
      </c>
      <c r="CO305" s="169">
        <v>2.2568307442433211E-2</v>
      </c>
      <c r="CP305" s="169">
        <f t="shared" ref="CP305:CP325" si="592">+CN305-CO305</f>
        <v>5.365669255756679E-2</v>
      </c>
      <c r="CQ305" s="169"/>
      <c r="CR305" s="169"/>
      <c r="CS305" s="179">
        <f t="shared" si="587"/>
        <v>0.84647404999999998</v>
      </c>
      <c r="CT305" s="180">
        <f t="shared" si="588"/>
        <v>0.67277207323124022</v>
      </c>
      <c r="CU305" s="180">
        <f t="shared" si="589"/>
        <v>0.6470236142997704</v>
      </c>
      <c r="CV305" s="180">
        <f t="shared" si="590"/>
        <v>0.94704866037543145</v>
      </c>
      <c r="CW305" s="180">
        <f t="shared" si="591"/>
        <v>0.41224973107878493</v>
      </c>
      <c r="CX305" s="181">
        <f>INDEX('State Tax Lookup'!$D$7:$Z$91,MATCH(Calculation!$C305,'State Tax Lookup'!$B$7:$B$91,0),MATCH($H305,'State Tax Lookup'!$D$6:$Z$6,0))</f>
        <v>0.414935</v>
      </c>
      <c r="CY305" s="72">
        <v>0.37</v>
      </c>
      <c r="CZ305" s="70"/>
      <c r="DA305" s="70"/>
      <c r="DB305" s="69"/>
      <c r="DC305" s="111">
        <f>VLOOKUP($H305,RoR!$E:$F,2,FALSE)</f>
        <v>7.6225000000000001E-2</v>
      </c>
      <c r="DD305" s="216">
        <f>HLOOKUP($H305,'GDP-PI'!$D$8:$CQ$11,3,FALSE)</f>
        <v>2.2568307442433211E-2</v>
      </c>
      <c r="DE305" s="111">
        <f>VLOOKUP(H305,'HW Dx Data'!$E:$F,2,FALSE)</f>
        <v>346.53371782150339</v>
      </c>
      <c r="DF305" s="66"/>
      <c r="DG305" s="69"/>
      <c r="DH305" s="66">
        <f>HLOOKUP(H305,'GDP-PI'!$8:$9,2,FALSE)</f>
        <v>78.069000000000003</v>
      </c>
      <c r="DI305"/>
      <c r="EB305"/>
    </row>
    <row r="306" spans="1:132" s="160" customFormat="1" ht="21">
      <c r="A306" s="160" t="s">
        <v>178</v>
      </c>
      <c r="B306" s="161" t="s">
        <v>178</v>
      </c>
      <c r="C306" s="161">
        <v>4088325</v>
      </c>
      <c r="D306" s="161" t="s">
        <v>179</v>
      </c>
      <c r="E306" s="161"/>
      <c r="F306" s="161"/>
      <c r="G306" s="161" t="s">
        <v>111</v>
      </c>
      <c r="H306" s="162">
        <v>2001</v>
      </c>
      <c r="I306" s="163"/>
      <c r="J306" s="159"/>
      <c r="K306" s="159"/>
      <c r="L306" s="159"/>
      <c r="M306" s="60"/>
      <c r="N306" s="152"/>
      <c r="O306" s="60"/>
      <c r="P306" s="60"/>
      <c r="Q306" s="159"/>
      <c r="R306" s="159"/>
      <c r="S306" s="159"/>
      <c r="T306" s="159"/>
      <c r="U306" s="159"/>
      <c r="V306" s="159"/>
      <c r="W306" s="159">
        <f t="shared" si="581"/>
        <v>2910.1553591206293</v>
      </c>
      <c r="X306" s="163"/>
      <c r="Y306" s="167">
        <v>230.74273740479282</v>
      </c>
      <c r="Z306" s="168">
        <v>4.3734991818113529E-2</v>
      </c>
      <c r="AA306" s="78"/>
      <c r="AB306" s="168"/>
      <c r="AC306" s="168"/>
      <c r="AD306" s="163">
        <f t="shared" si="577"/>
        <v>2910.1553591206293</v>
      </c>
      <c r="AE306" s="168"/>
      <c r="AF306" s="163"/>
      <c r="AG306" s="163"/>
      <c r="AH306" s="163"/>
      <c r="AI306" s="163"/>
      <c r="AJ306" s="167"/>
      <c r="AK306" s="168"/>
      <c r="AL306" s="115"/>
      <c r="AM306" s="115"/>
      <c r="AN306" s="115"/>
      <c r="AO306" s="115"/>
      <c r="AP306" s="115"/>
      <c r="AQ306" s="168"/>
      <c r="AR306" s="79"/>
      <c r="AS306" s="115"/>
      <c r="AT306" s="115"/>
      <c r="AU306" s="115"/>
      <c r="AV306" s="113">
        <f>IFERROR(INDEX('Total Customers'!$F$7:$AB$91,MATCH($C306,'Total Customers'!$D$7:$D$91,0),MATCH($G306,'Total Customers'!$F$5:$AB$5,0)),"NA")</f>
        <v>31856</v>
      </c>
      <c r="AW306" s="68">
        <f t="shared" si="523"/>
        <v>-9.3733111438739081E-3</v>
      </c>
      <c r="AX306" s="114"/>
      <c r="AY306" s="114"/>
      <c r="AZ306" s="116"/>
      <c r="BA306" s="116"/>
      <c r="BB306" s="166"/>
      <c r="BC306" s="166"/>
      <c r="BD306" s="166"/>
      <c r="BE306" s="166"/>
      <c r="BF306" s="166"/>
      <c r="BG306" s="166"/>
      <c r="BH306" s="166"/>
      <c r="BI306" s="113"/>
      <c r="BJ306" s="113"/>
      <c r="BK306" s="113">
        <f>INDEX('Dist. Plant Gas Additions'!$F$7:$AE$91,MATCH($C306,'Dist. Plant Gas Additions'!$D$7:$D$91,0),MATCH(Calculation!$G306,'Dist. Plant Gas Additions'!$F$5:$AE$5,0))</f>
        <v>3868</v>
      </c>
      <c r="BL306" s="113">
        <f>INDEX('Gen. Plant Additions'!$F$7:$AE$91,MATCH($C306,'Gen. Plant Additions'!$D$7:$D$91,0),MATCH(Calculation!$G306,'Gen. Plant Additions'!$F$5:$AE$5,0))</f>
        <v>19</v>
      </c>
      <c r="BM306" s="231">
        <f t="shared" si="582"/>
        <v>0.9846128179461513</v>
      </c>
      <c r="BN306" s="61">
        <f t="shared" si="537"/>
        <v>18.707643540976875</v>
      </c>
      <c r="BO306" s="113"/>
      <c r="BP306" s="113"/>
      <c r="BQ306" s="113"/>
      <c r="BR306" s="113"/>
      <c r="BS306" s="113"/>
      <c r="BT306" s="113"/>
      <c r="BU306" s="113"/>
      <c r="BV306" s="113"/>
      <c r="BW306" s="113">
        <f>INDEX('Gross Dx Plant'!$E$7:$AD$91,MATCH($C306,'Gross Dx Plant'!$D$7:$D$91,0),MATCH(Calculation!$G306,'Gross Dx Plant'!$E$5:$AD$5,0))</f>
        <v>76723</v>
      </c>
      <c r="BX306" s="113">
        <f>INDEX('Gross Gen Plant'!$E$7:$AD$91,MATCH($C306,'Gross Gen Plant'!$D$7:$D$91,0),MATCH(Calculation!$G306,'Gross Gen Plant'!$E$5:$AD$5,0))</f>
        <v>1199</v>
      </c>
      <c r="BY306" s="113">
        <f t="shared" si="551"/>
        <v>77922</v>
      </c>
      <c r="BZ306" s="113"/>
      <c r="CA306" s="116">
        <v>2001</v>
      </c>
      <c r="CB306" s="113"/>
      <c r="CC306" s="113"/>
      <c r="CD306" s="113"/>
      <c r="CE306" s="175"/>
      <c r="CF306" s="113">
        <f t="shared" si="583"/>
        <v>3887</v>
      </c>
      <c r="CG306" s="113">
        <f t="shared" si="584"/>
        <v>10.997393722588383</v>
      </c>
      <c r="CH306" s="178">
        <v>0.98461538461538467</v>
      </c>
      <c r="CI306" s="61">
        <f>+CI303*CH306+CG304*CH305+CG305*CH303+CG306</f>
        <v>230.74273740479282</v>
      </c>
      <c r="CJ306" s="114">
        <f t="shared" si="585"/>
        <v>4.3734991818113529E-2</v>
      </c>
      <c r="CK306" s="114"/>
      <c r="CL306" s="169">
        <f t="shared" si="586"/>
        <v>5.0860818810992605E-3</v>
      </c>
      <c r="CM306" s="169">
        <f>+(CL306+CL305+CL304)/3</f>
        <v>5.0681466481081192E-3</v>
      </c>
      <c r="CN306" s="114">
        <f>VLOOKUP($H306,RoR!$E:$F,2,FALSE)</f>
        <v>7.0824999999999999E-2</v>
      </c>
      <c r="CO306" s="169">
        <v>2.2454495382290052E-2</v>
      </c>
      <c r="CP306" s="169">
        <f t="shared" si="592"/>
        <v>4.8370504617709947E-2</v>
      </c>
      <c r="CQ306" s="169">
        <f>+$CP$2-CM306</f>
        <v>2.5833794960425507E-2</v>
      </c>
      <c r="CR306" s="169">
        <f>+((DE304/DE303-1)+(DE305/DE304-1)+(DE306/DE305-1))/3</f>
        <v>2.3947275901631187E-2</v>
      </c>
      <c r="CS306" s="179">
        <f t="shared" si="587"/>
        <v>0.84647404999999998</v>
      </c>
      <c r="CT306" s="180">
        <f t="shared" si="588"/>
        <v>0.72406708481540816</v>
      </c>
      <c r="CU306" s="180">
        <f t="shared" si="589"/>
        <v>0.62201729615248857</v>
      </c>
      <c r="CV306" s="180">
        <f t="shared" si="590"/>
        <v>0.9352469954311422</v>
      </c>
      <c r="CW306" s="180">
        <f t="shared" si="591"/>
        <v>0.42121864641655071</v>
      </c>
      <c r="CX306" s="181">
        <f>INDEX('State Tax Lookup'!$D$7:$Z$91,MATCH(Calculation!$C306,'State Tax Lookup'!$B$7:$B$91,0),MATCH($H306,'State Tax Lookup'!$D$6:$Z$6,0))</f>
        <v>0.414935</v>
      </c>
      <c r="CY306" s="72">
        <v>0.37</v>
      </c>
      <c r="CZ306" s="70">
        <f t="shared" ref="CZ306:CZ327" si="593">+(DE306*CQ306-CR306)*CS306/(1-CX306)</f>
        <v>13.175951863920634</v>
      </c>
      <c r="DA306" s="70"/>
      <c r="DB306" s="69"/>
      <c r="DC306" s="111">
        <f>VLOOKUP($H306,RoR!$E:$F,2,FALSE)</f>
        <v>7.0824999999999999E-2</v>
      </c>
      <c r="DD306" s="216">
        <f>HLOOKUP($H306,'GDP-PI'!$D$8:$CQ$11,3,FALSE)</f>
        <v>2.2454495382290052E-2</v>
      </c>
      <c r="DE306" s="111">
        <f>VLOOKUP(H306,'HW Dx Data'!$E:$F,2,FALSE)</f>
        <v>353.44738017483138</v>
      </c>
      <c r="DF306" s="66"/>
      <c r="DG306" s="69"/>
      <c r="DH306" s="66">
        <f>HLOOKUP(H306,'GDP-PI'!$8:$9,2,FALSE)</f>
        <v>79.822000000000003</v>
      </c>
      <c r="DI306"/>
      <c r="EB306"/>
    </row>
    <row r="307" spans="1:132" s="160" customFormat="1" ht="21">
      <c r="A307" s="160" t="s">
        <v>178</v>
      </c>
      <c r="B307" s="161" t="s">
        <v>178</v>
      </c>
      <c r="C307" s="161">
        <v>4088325</v>
      </c>
      <c r="D307" s="161" t="s">
        <v>179</v>
      </c>
      <c r="E307" s="161"/>
      <c r="F307" s="161"/>
      <c r="G307" s="161" t="s">
        <v>113</v>
      </c>
      <c r="H307" s="162">
        <v>2002</v>
      </c>
      <c r="I307" s="163"/>
      <c r="J307" s="159"/>
      <c r="K307" s="159"/>
      <c r="L307" s="159"/>
      <c r="M307" s="60"/>
      <c r="N307" s="152"/>
      <c r="O307" s="60"/>
      <c r="P307" s="60"/>
      <c r="Q307" s="159"/>
      <c r="R307" s="159"/>
      <c r="S307" s="159"/>
      <c r="T307" s="159"/>
      <c r="U307" s="159"/>
      <c r="V307" s="159"/>
      <c r="W307" s="159">
        <f t="shared" si="581"/>
        <v>3078.895789374335</v>
      </c>
      <c r="X307" s="163"/>
      <c r="Y307" s="167">
        <v>234.97940758273128</v>
      </c>
      <c r="Z307" s="168">
        <v>1.8194483978206971E-2</v>
      </c>
      <c r="AA307" s="78"/>
      <c r="AB307" s="168"/>
      <c r="AC307" s="168"/>
      <c r="AD307" s="163">
        <f t="shared" si="577"/>
        <v>3078.895789374335</v>
      </c>
      <c r="AE307" s="168"/>
      <c r="AF307" s="163"/>
      <c r="AG307" s="163"/>
      <c r="AH307" s="163"/>
      <c r="AI307" s="163"/>
      <c r="AJ307" s="167"/>
      <c r="AK307" s="168"/>
      <c r="AL307" s="115"/>
      <c r="AM307" s="115"/>
      <c r="AN307" s="115"/>
      <c r="AO307" s="115"/>
      <c r="AP307" s="115"/>
      <c r="AQ307" s="168"/>
      <c r="AR307" s="79"/>
      <c r="AS307" s="115"/>
      <c r="AT307" s="115"/>
      <c r="AU307" s="115"/>
      <c r="AV307" s="113">
        <f>IFERROR(INDEX('Total Customers'!$F$7:$AB$91,MATCH($C307,'Total Customers'!$D$7:$D$91,0),MATCH($G307,'Total Customers'!$F$5:$AB$5,0)),"NA")</f>
        <v>32074</v>
      </c>
      <c r="AW307" s="68">
        <f t="shared" si="523"/>
        <v>6.8199857647766688E-3</v>
      </c>
      <c r="AX307" s="114"/>
      <c r="AY307" s="114"/>
      <c r="AZ307" s="116"/>
      <c r="BA307" s="116"/>
      <c r="BB307" s="166"/>
      <c r="BC307" s="166"/>
      <c r="BD307" s="166"/>
      <c r="BE307" s="166"/>
      <c r="BF307" s="166"/>
      <c r="BG307" s="166"/>
      <c r="BH307" s="166"/>
      <c r="BI307" s="113"/>
      <c r="BJ307" s="113"/>
      <c r="BK307" s="113">
        <f>INDEX('Dist. Plant Gas Additions'!$F$7:$AE$91,MATCH($C307,'Dist. Plant Gas Additions'!$D$7:$D$91,0),MATCH(Calculation!$G307,'Dist. Plant Gas Additions'!$F$5:$AE$5,0))</f>
        <v>1751</v>
      </c>
      <c r="BL307" s="113">
        <f>INDEX('Gen. Plant Additions'!$F$7:$AE$91,MATCH($C307,'Gen. Plant Additions'!$D$7:$D$91,0),MATCH(Calculation!$G307,'Gen. Plant Additions'!$F$5:$AE$5,0))</f>
        <v>255</v>
      </c>
      <c r="BM307" s="231">
        <f t="shared" si="582"/>
        <v>0.98177410440637092</v>
      </c>
      <c r="BN307" s="61">
        <f t="shared" si="537"/>
        <v>250.35239662362457</v>
      </c>
      <c r="BO307" s="113"/>
      <c r="BP307" s="113"/>
      <c r="BQ307" s="113"/>
      <c r="BR307" s="113"/>
      <c r="BS307" s="113"/>
      <c r="BT307" s="113"/>
      <c r="BU307" s="113"/>
      <c r="BV307" s="113"/>
      <c r="BW307" s="113">
        <f>INDEX('Gross Dx Plant'!$E$7:$AD$91,MATCH($C307,'Gross Dx Plant'!$D$7:$D$91,0),MATCH(Calculation!$G307,'Gross Dx Plant'!$E$5:$AD$5,0))</f>
        <v>78161</v>
      </c>
      <c r="BX307" s="113">
        <f>INDEX('Gross Gen Plant'!$E$7:$AD$91,MATCH($C307,'Gross Gen Plant'!$D$7:$D$91,0),MATCH(Calculation!$G307,'Gross Gen Plant'!$E$5:$AD$5,0))</f>
        <v>1451</v>
      </c>
      <c r="BY307" s="113">
        <f t="shared" si="551"/>
        <v>79612</v>
      </c>
      <c r="BZ307" s="113"/>
      <c r="CA307" s="116">
        <v>2002</v>
      </c>
      <c r="CB307" s="113"/>
      <c r="CC307" s="113"/>
      <c r="CD307" s="113"/>
      <c r="CE307" s="175"/>
      <c r="CF307" s="113">
        <f t="shared" si="583"/>
        <v>2006</v>
      </c>
      <c r="CG307" s="113">
        <f t="shared" si="584"/>
        <v>5.5514326354043986</v>
      </c>
      <c r="CH307" s="178">
        <v>0.97916666666666663</v>
      </c>
      <c r="CI307" s="61">
        <f>+CI303*CH307+CG304*CH306+CG305*CH305+CG306*CH304+CG307</f>
        <v>234.97940758273128</v>
      </c>
      <c r="CJ307" s="114">
        <f t="shared" si="585"/>
        <v>1.8194483978206971E-2</v>
      </c>
      <c r="CK307" s="114"/>
      <c r="CL307" s="169">
        <f t="shared" si="586"/>
        <v>5.6979581340384378E-3</v>
      </c>
      <c r="CM307" s="169">
        <f t="shared" ref="CM307:CM327" si="594">+(CL307+CL306+CL305)/3</f>
        <v>5.3090912334178174E-3</v>
      </c>
      <c r="CN307" s="114">
        <f>VLOOKUP($H307,RoR!$E:$F,2,FALSE)</f>
        <v>6.4916666666666664E-2</v>
      </c>
      <c r="CO307" s="169">
        <v>1.5246423291824351E-2</v>
      </c>
      <c r="CP307" s="169">
        <f t="shared" si="592"/>
        <v>4.9670243374842313E-2</v>
      </c>
      <c r="CQ307" s="169">
        <f t="shared" ref="CQ307:CQ327" si="595">+$CP$2-CM307</f>
        <v>2.5592850375115807E-2</v>
      </c>
      <c r="CR307" s="169">
        <f t="shared" ref="CR307:CR327" si="596">+((DE305/DE304-1)+(DE306/DE305-1)+(DE307/DE306-1))/3</f>
        <v>2.5243621214759093E-2</v>
      </c>
      <c r="CS307" s="179">
        <f t="shared" si="587"/>
        <v>0.84647404999999998</v>
      </c>
      <c r="CT307" s="180">
        <f t="shared" si="588"/>
        <v>0.78996741384417901</v>
      </c>
      <c r="CU307" s="180">
        <f t="shared" si="589"/>
        <v>0.58989088575096271</v>
      </c>
      <c r="CV307" s="180">
        <f t="shared" si="590"/>
        <v>0.91920675783645744</v>
      </c>
      <c r="CW307" s="180">
        <f t="shared" si="591"/>
        <v>0.42834536472275586</v>
      </c>
      <c r="CX307" s="181">
        <f>INDEX('State Tax Lookup'!$D$7:$Z$91,MATCH(Calculation!$C307,'State Tax Lookup'!$B$7:$B$91,0),MATCH($H307,'State Tax Lookup'!$D$6:$Z$6,0))</f>
        <v>0.414935</v>
      </c>
      <c r="CY307" s="72">
        <v>0.37</v>
      </c>
      <c r="CZ307" s="70">
        <f t="shared" si="593"/>
        <v>13.343413638943778</v>
      </c>
      <c r="DA307" s="70"/>
      <c r="DB307" s="69">
        <f>LN(CZ307/CZ306)</f>
        <v>1.2629563171644596E-2</v>
      </c>
      <c r="DC307" s="111">
        <f>VLOOKUP($H307,RoR!$E:$F,2,FALSE)</f>
        <v>6.4916666666666664E-2</v>
      </c>
      <c r="DD307" s="216">
        <f>HLOOKUP($H307,'GDP-PI'!$D$8:$CQ$11,3,FALSE)</f>
        <v>1.5246423291824351E-2</v>
      </c>
      <c r="DE307" s="111">
        <f>VLOOKUP(H307,'HW Dx Data'!$E:$F,2,FALSE)</f>
        <v>361.34816573413599</v>
      </c>
      <c r="DF307" s="66"/>
      <c r="DG307" s="69"/>
      <c r="DH307" s="66">
        <f>HLOOKUP(H307,'GDP-PI'!$8:$9,2,FALSE)</f>
        <v>81.039000000000001</v>
      </c>
      <c r="DI307" s="69">
        <f>LN(DH307/DH306)</f>
        <v>1.513136459537477E-2</v>
      </c>
      <c r="EB307"/>
    </row>
    <row r="308" spans="1:132" s="160" customFormat="1" ht="21">
      <c r="A308" s="160" t="s">
        <v>178</v>
      </c>
      <c r="B308" s="161" t="s">
        <v>178</v>
      </c>
      <c r="C308" s="161">
        <v>4088325</v>
      </c>
      <c r="D308" s="161" t="s">
        <v>179</v>
      </c>
      <c r="E308" s="161"/>
      <c r="F308" s="161"/>
      <c r="G308" s="161" t="s">
        <v>114</v>
      </c>
      <c r="H308" s="162">
        <v>2003</v>
      </c>
      <c r="I308" s="163"/>
      <c r="J308" s="159"/>
      <c r="K308" s="159"/>
      <c r="L308" s="159"/>
      <c r="M308" s="76"/>
      <c r="N308" s="152"/>
      <c r="O308" s="76"/>
      <c r="P308" s="76"/>
      <c r="Q308" s="159"/>
      <c r="R308" s="159"/>
      <c r="S308" s="159"/>
      <c r="T308" s="159"/>
      <c r="U308" s="159"/>
      <c r="V308" s="159"/>
      <c r="W308" s="159">
        <f t="shared" si="581"/>
        <v>3183.3065929570566</v>
      </c>
      <c r="X308" s="163"/>
      <c r="Y308" s="167">
        <v>236.26602211129978</v>
      </c>
      <c r="Z308" s="168">
        <v>5.4604995376766581E-3</v>
      </c>
      <c r="AA308" s="78"/>
      <c r="AB308" s="168"/>
      <c r="AC308" s="168"/>
      <c r="AD308" s="163">
        <f t="shared" si="577"/>
        <v>3183.3065929570566</v>
      </c>
      <c r="AE308" s="168"/>
      <c r="AF308" s="163"/>
      <c r="AG308" s="163"/>
      <c r="AH308" s="163"/>
      <c r="AI308" s="163"/>
      <c r="AJ308" s="167"/>
      <c r="AK308" s="168"/>
      <c r="AL308" s="115"/>
      <c r="AM308" s="115"/>
      <c r="AN308" s="115"/>
      <c r="AO308" s="115"/>
      <c r="AP308" s="115"/>
      <c r="AQ308" s="168"/>
      <c r="AR308" s="79"/>
      <c r="AS308" s="115"/>
      <c r="AT308" s="115"/>
      <c r="AU308" s="115"/>
      <c r="AV308" s="113">
        <f>IFERROR(INDEX('Total Customers'!$F$7:$AB$91,MATCH($C308,'Total Customers'!$D$7:$D$91,0),MATCH($G308,'Total Customers'!$F$5:$AB$5,0)),"NA")</f>
        <v>32119</v>
      </c>
      <c r="AW308" s="68">
        <f t="shared" si="523"/>
        <v>1.4020222569827397E-3</v>
      </c>
      <c r="AX308" s="114"/>
      <c r="AY308" s="114"/>
      <c r="AZ308" s="116"/>
      <c r="BA308" s="116"/>
      <c r="BB308" s="166"/>
      <c r="BC308" s="166"/>
      <c r="BD308" s="166"/>
      <c r="BE308" s="166"/>
      <c r="BF308" s="166"/>
      <c r="BG308" s="166"/>
      <c r="BH308" s="166"/>
      <c r="BI308" s="113"/>
      <c r="BJ308" s="113"/>
      <c r="BK308" s="113">
        <f>INDEX('Dist. Plant Gas Additions'!$F$7:$AE$91,MATCH($C308,'Dist. Plant Gas Additions'!$D$7:$D$91,0),MATCH(Calculation!$G308,'Dist. Plant Gas Additions'!$F$5:$AE$5,0))</f>
        <v>943</v>
      </c>
      <c r="BL308" s="113">
        <f>INDEX('Gen. Plant Additions'!$F$7:$AE$91,MATCH($C308,'Gen. Plant Additions'!$D$7:$D$91,0),MATCH(Calculation!$G308,'Gen. Plant Additions'!$F$5:$AE$5,0))</f>
        <v>24</v>
      </c>
      <c r="BM308" s="231">
        <f t="shared" si="582"/>
        <v>0.98204097021490511</v>
      </c>
      <c r="BN308" s="61">
        <f t="shared" si="537"/>
        <v>23.568983285157721</v>
      </c>
      <c r="BO308" s="113">
        <f>INDEX('Dist Plant Depreciation'!$E$7:$AD$94,MATCH($C308,'Dist Plant Depreciation'!$D$7:$D$94,0),MATCH(Calculation!$G308,'Dist Plant Depreciation'!$E$5:$AD$5,0))</f>
        <v>35195</v>
      </c>
      <c r="BP308" s="113">
        <f>INDEX('Gen. Plant Depreciation'!$E$7:$AD$94,MATCH($C308,'Gen. Plant Depreciation'!$D$7:$D$94,0),MATCH(Calculation!$G308,'Gen. Plant Depreciation'!$E$5:$AD$5,0))</f>
        <v>213</v>
      </c>
      <c r="BQ308" s="113"/>
      <c r="BR308" s="113"/>
      <c r="BS308" s="113"/>
      <c r="BT308" s="113"/>
      <c r="BU308" s="113"/>
      <c r="BV308" s="113"/>
      <c r="BW308" s="113">
        <f>INDEX('Gross Dx Plant'!$E$7:$AD$91,MATCH($C308,'Gross Dx Plant'!$D$7:$D$91,0),MATCH(Calculation!$G308,'Gross Dx Plant'!$E$5:$AD$5,0))</f>
        <v>78141</v>
      </c>
      <c r="BX308" s="113">
        <f>INDEX('Gross Gen Plant'!$E$7:$AD$91,MATCH($C308,'Gross Gen Plant'!$D$7:$D$91,0),MATCH(Calculation!$G308,'Gross Gen Plant'!$E$5:$AD$5,0))</f>
        <v>1429</v>
      </c>
      <c r="BY308" s="113">
        <f t="shared" si="551"/>
        <v>44162</v>
      </c>
      <c r="BZ308" s="113"/>
      <c r="CA308" s="116">
        <v>2003</v>
      </c>
      <c r="CB308" s="113"/>
      <c r="CC308" s="113"/>
      <c r="CD308" s="113"/>
      <c r="CE308" s="175"/>
      <c r="CF308" s="113">
        <f t="shared" si="583"/>
        <v>967</v>
      </c>
      <c r="CG308" s="113">
        <f t="shared" si="584"/>
        <v>2.6189424328483892</v>
      </c>
      <c r="CH308" s="178">
        <v>0.97354497354497349</v>
      </c>
      <c r="CI308" s="61">
        <f>+CI303*CH308+CG304*CH307+CG305*CH306+CG306*CH305+CG307*CH304+CG308</f>
        <v>236.26602211129978</v>
      </c>
      <c r="CJ308" s="114">
        <f t="shared" si="585"/>
        <v>5.4604995376766581E-3</v>
      </c>
      <c r="CK308" s="114"/>
      <c r="CL308" s="169">
        <f t="shared" si="586"/>
        <v>5.6699772885877775E-3</v>
      </c>
      <c r="CM308" s="169">
        <f t="shared" si="594"/>
        <v>5.4846724345751592E-3</v>
      </c>
      <c r="CN308" s="114">
        <f>VLOOKUP($H308,RoR!$E:$F,2,FALSE)</f>
        <v>5.6666666666666671E-2</v>
      </c>
      <c r="CO308" s="169">
        <v>1.8855119140166909E-2</v>
      </c>
      <c r="CP308" s="169">
        <f t="shared" si="592"/>
        <v>3.7811547526499761E-2</v>
      </c>
      <c r="CQ308" s="169">
        <f t="shared" si="595"/>
        <v>2.5417269173958465E-2</v>
      </c>
      <c r="CR308" s="169">
        <f t="shared" si="596"/>
        <v>2.1375012817671957E-2</v>
      </c>
      <c r="CS308" s="179">
        <f t="shared" si="587"/>
        <v>0.84647404999999998</v>
      </c>
      <c r="CT308" s="180">
        <f t="shared" si="588"/>
        <v>0.90497737556561086</v>
      </c>
      <c r="CU308" s="180">
        <f t="shared" si="589"/>
        <v>0.5338235294117647</v>
      </c>
      <c r="CV308" s="180">
        <f t="shared" si="590"/>
        <v>0.88972433127405692</v>
      </c>
      <c r="CW308" s="180">
        <f t="shared" si="591"/>
        <v>0.42982423775949252</v>
      </c>
      <c r="CX308" s="181">
        <f>INDEX('State Tax Lookup'!$D$7:$Z$91,MATCH(Calculation!$C308,'State Tax Lookup'!$B$7:$B$91,0),MATCH($H308,'State Tax Lookup'!$D$6:$Z$6,0))</f>
        <v>0.414935</v>
      </c>
      <c r="CY308" s="72">
        <v>0.37</v>
      </c>
      <c r="CZ308" s="70">
        <f t="shared" si="593"/>
        <v>13.547172604204825</v>
      </c>
      <c r="DA308" s="70"/>
      <c r="DB308" s="69">
        <f t="shared" ref="DB308:DB327" si="597">LN(CZ308/CZ307)</f>
        <v>1.5154958930807136E-2</v>
      </c>
      <c r="DC308" s="111">
        <f>VLOOKUP($H308,RoR!$E:$F,2,FALSE)</f>
        <v>5.6666666666666671E-2</v>
      </c>
      <c r="DD308" s="216">
        <f>HLOOKUP($H308,'GDP-PI'!$D$8:$CQ$11,3,FALSE)</f>
        <v>1.8855119140166909E-2</v>
      </c>
      <c r="DE308" s="111">
        <f>VLOOKUP(H308,'HW Dx Data'!$E:$F,2,FALSE)</f>
        <v>369.23301095560191</v>
      </c>
      <c r="DF308" s="66"/>
      <c r="DG308" s="69"/>
      <c r="DH308" s="66">
        <f>HLOOKUP(H308,'GDP-PI'!$8:$9,2,FALSE)</f>
        <v>82.566999999999993</v>
      </c>
      <c r="DI308" s="69">
        <f t="shared" ref="DI308:DI327" si="598">LN(DH308/DH307)</f>
        <v>1.8679564681853753E-2</v>
      </c>
      <c r="EB308"/>
    </row>
    <row r="309" spans="1:132" s="160" customFormat="1" ht="21">
      <c r="A309" s="160" t="s">
        <v>178</v>
      </c>
      <c r="B309" s="161" t="s">
        <v>178</v>
      </c>
      <c r="C309" s="161">
        <v>4088325</v>
      </c>
      <c r="D309" s="161" t="s">
        <v>179</v>
      </c>
      <c r="E309" s="161"/>
      <c r="F309" s="161"/>
      <c r="G309" s="161" t="s">
        <v>115</v>
      </c>
      <c r="H309" s="162">
        <v>2004</v>
      </c>
      <c r="I309" s="163"/>
      <c r="J309" s="159">
        <f>IFERROR(INDEX('Labor Expenditures'!$F$7:$X$91,MATCH($C309,'Labor Expenditures'!$D$7:$D$91,0),MATCH($G309,'Labor Expenditures'!$F$5:$X$5,0)),"NA")</f>
        <v>2834.6657903603973</v>
      </c>
      <c r="K309" s="159">
        <f t="shared" ref="K309:K327" si="599">+J309/DF309</f>
        <v>30.0441525210429</v>
      </c>
      <c r="L309" s="165"/>
      <c r="M309" s="76"/>
      <c r="N309" s="152"/>
      <c r="O309" s="76"/>
      <c r="P309" s="76"/>
      <c r="Q309" s="159">
        <f>IFERROR(INDEX('Non-Labor Expenditures'!$F$7:$AB$91,MATCH($C309,'Non-Labor Expenditures'!$D$7:$D$91,0),MATCH($G309,'Non-Labor Expenditures'!$F$5:$AB$5,0)),"NA")</f>
        <v>4105.1255069804574</v>
      </c>
      <c r="R309" s="159">
        <f t="shared" ref="R309:R327" si="600">+Q309/DH309</f>
        <v>48.4220612302774</v>
      </c>
      <c r="S309" s="159"/>
      <c r="T309" s="159"/>
      <c r="U309" s="159"/>
      <c r="V309" s="159"/>
      <c r="W309" s="159">
        <f t="shared" si="581"/>
        <v>3548.2770632894881</v>
      </c>
      <c r="X309" s="163"/>
      <c r="Y309" s="167">
        <v>242.53058820602524</v>
      </c>
      <c r="Z309" s="168">
        <v>2.6169456820194413E-2</v>
      </c>
      <c r="AA309" s="76">
        <f t="shared" ref="AA309:AA327" si="601">+Z309*$AR309</f>
        <v>0</v>
      </c>
      <c r="AB309" s="168"/>
      <c r="AC309" s="168"/>
      <c r="AD309" s="163">
        <f t="shared" si="577"/>
        <v>10488.068360630343</v>
      </c>
      <c r="AE309" s="168"/>
      <c r="AF309" s="163"/>
      <c r="AG309" s="163"/>
      <c r="AH309" s="163"/>
      <c r="AI309" s="163"/>
      <c r="AJ309" s="167"/>
      <c r="AK309" s="168"/>
      <c r="AL309" s="115">
        <f t="shared" ref="AL309:AL327" si="602">+J309/AD309</f>
        <v>0.27027529692703406</v>
      </c>
      <c r="AM309" s="115">
        <f t="shared" ref="AM309:AM327" si="603">+Q309/AD309</f>
        <v>0.39140911041256177</v>
      </c>
      <c r="AN309" s="115">
        <f t="shared" ref="AN309:AN327" si="604">+W309/AD309</f>
        <v>0.33831559266040417</v>
      </c>
      <c r="AO309" s="115"/>
      <c r="AP309" s="115"/>
      <c r="AQ309" s="168"/>
      <c r="AR309" s="79"/>
      <c r="AS309" s="115"/>
      <c r="AT309" s="115"/>
      <c r="AU309" s="115"/>
      <c r="AV309" s="113">
        <f>IFERROR(INDEX('Total Customers'!$F$7:$AB$91,MATCH($C309,'Total Customers'!$D$7:$D$91,0),MATCH($G309,'Total Customers'!$F$5:$AB$5,0)),"NA")</f>
        <v>32391</v>
      </c>
      <c r="AW309" s="68">
        <f t="shared" si="523"/>
        <v>8.432851089513152E-3</v>
      </c>
      <c r="AX309" s="114"/>
      <c r="AY309" s="114"/>
      <c r="AZ309" s="116"/>
      <c r="BA309" s="116"/>
      <c r="BB309" s="166"/>
      <c r="BC309" s="166"/>
      <c r="BD309" s="166"/>
      <c r="BE309" s="166"/>
      <c r="BF309" s="166"/>
      <c r="BG309" s="166"/>
      <c r="BH309" s="166"/>
      <c r="BI309" s="113"/>
      <c r="BJ309" s="113"/>
      <c r="BK309" s="113">
        <f>INDEX('Dist. Plant Gas Additions'!$F$7:$AE$91,MATCH($C309,'Dist. Plant Gas Additions'!$D$7:$D$91,0),MATCH(Calculation!$G309,'Dist. Plant Gas Additions'!$F$5:$AE$5,0))</f>
        <v>3107</v>
      </c>
      <c r="BL309" s="113">
        <f>INDEX('Gen. Plant Additions'!$F$7:$AE$91,MATCH($C309,'Gen. Plant Additions'!$D$7:$D$91,0),MATCH(Calculation!$G309,'Gen. Plant Additions'!$F$5:$AE$5,0))</f>
        <v>68</v>
      </c>
      <c r="BM309" s="231">
        <f t="shared" si="582"/>
        <v>0.98186253582972494</v>
      </c>
      <c r="BN309" s="61">
        <f t="shared" si="537"/>
        <v>66.766652436421296</v>
      </c>
      <c r="BO309" s="113">
        <f>INDEX('Dist Plant Depreciation'!$E$7:$AD$94,MATCH($C309,'Dist Plant Depreciation'!$D$7:$D$94,0),MATCH(Calculation!$G309,'Dist Plant Depreciation'!$E$5:$AD$5,0))</f>
        <v>36733</v>
      </c>
      <c r="BP309" s="113">
        <f>INDEX('Gen. Plant Depreciation'!$E$7:$AD$94,MATCH($C309,'Gen. Plant Depreciation'!$D$7:$D$94,0),MATCH(Calculation!$G309,'Gen. Plant Depreciation'!$E$5:$AD$5,0))</f>
        <v>212</v>
      </c>
      <c r="BQ309" s="113"/>
      <c r="BR309" s="113"/>
      <c r="BS309" s="113"/>
      <c r="BT309" s="113"/>
      <c r="BU309" s="113"/>
      <c r="BV309" s="113"/>
      <c r="BW309" s="113">
        <f>INDEX('Gross Dx Plant'!$E$7:$AD$91,MATCH($C309,'Gross Dx Plant'!$D$7:$D$91,0),MATCH(Calculation!$G309,'Gross Dx Plant'!$E$5:$AD$5,0))</f>
        <v>80498</v>
      </c>
      <c r="BX309" s="113">
        <f>INDEX('Gross Gen Plant'!$E$7:$AD$91,MATCH($C309,'Gross Gen Plant'!$D$7:$D$91,0),MATCH(Calculation!$G309,'Gross Gen Plant'!$E$5:$AD$5,0))</f>
        <v>1487</v>
      </c>
      <c r="BY309" s="113">
        <f t="shared" si="551"/>
        <v>45040</v>
      </c>
      <c r="BZ309" s="113"/>
      <c r="CA309" s="116">
        <v>2004</v>
      </c>
      <c r="CB309" s="113"/>
      <c r="CC309" s="113"/>
      <c r="CD309" s="113"/>
      <c r="CE309" s="175"/>
      <c r="CF309" s="113">
        <f t="shared" si="583"/>
        <v>3175</v>
      </c>
      <c r="CG309" s="113">
        <f t="shared" si="584"/>
        <v>7.652682623561847</v>
      </c>
      <c r="CH309" s="178">
        <v>0.967741935483871</v>
      </c>
      <c r="CI309" s="61">
        <f>+CI303*CH309+CG304*CH308+CG305*CH307+CG306*CH306+CG307*CH305+CG308*CH304+CG309</f>
        <v>242.53058820602524</v>
      </c>
      <c r="CJ309" s="114">
        <f t="shared" si="585"/>
        <v>2.6169456820194413E-2</v>
      </c>
      <c r="CK309" s="114"/>
      <c r="CL309" s="169">
        <f t="shared" si="586"/>
        <v>5.8752270700290063E-3</v>
      </c>
      <c r="CM309" s="169">
        <f t="shared" si="594"/>
        <v>5.7477208308850739E-3</v>
      </c>
      <c r="CN309" s="114">
        <f>VLOOKUP($H309,RoR!$E:$F,2,FALSE)</f>
        <v>5.6283333333333331E-2</v>
      </c>
      <c r="CO309" s="169">
        <v>2.6778252812867276E-2</v>
      </c>
      <c r="CP309" s="169">
        <f t="shared" si="592"/>
        <v>2.9505080520466055E-2</v>
      </c>
      <c r="CQ309" s="169">
        <f t="shared" si="595"/>
        <v>2.5154220777648551E-2</v>
      </c>
      <c r="CR309" s="169">
        <f t="shared" si="596"/>
        <v>5.5940039414565046E-2</v>
      </c>
      <c r="CS309" s="179">
        <f t="shared" si="587"/>
        <v>0.84647404999999998</v>
      </c>
      <c r="CT309" s="180">
        <f t="shared" si="588"/>
        <v>0.91114097628755619</v>
      </c>
      <c r="CU309" s="180">
        <f t="shared" si="589"/>
        <v>0.53081877405981637</v>
      </c>
      <c r="CV309" s="180">
        <f t="shared" si="590"/>
        <v>0.88811215519385678</v>
      </c>
      <c r="CW309" s="180">
        <f t="shared" si="591"/>
        <v>0.42953609753547711</v>
      </c>
      <c r="CX309" s="181">
        <f>INDEX('State Tax Lookup'!$D$7:$Z$91,MATCH(Calculation!$C309,'State Tax Lookup'!$B$7:$B$91,0),MATCH($H309,'State Tax Lookup'!$D$6:$Z$6,0))</f>
        <v>0.414935</v>
      </c>
      <c r="CY309" s="72">
        <v>0.37</v>
      </c>
      <c r="CZ309" s="70">
        <f t="shared" si="593"/>
        <v>15.018143665270548</v>
      </c>
      <c r="DA309" s="70"/>
      <c r="DB309" s="69">
        <f t="shared" si="597"/>
        <v>0.10308118618114601</v>
      </c>
      <c r="DC309" s="111">
        <f>VLOOKUP($H309,RoR!$E:$F,2,FALSE)</f>
        <v>5.6283333333333331E-2</v>
      </c>
      <c r="DD309" s="216">
        <f>HLOOKUP($H309,'GDP-PI'!$D$8:$CQ$11,3,FALSE)</f>
        <v>2.6778252812867276E-2</v>
      </c>
      <c r="DE309" s="111">
        <f>VLOOKUP(H309,'HW Dx Data'!$E:$F,2,FALSE)</f>
        <v>414.88719135228365</v>
      </c>
      <c r="DF309" s="72">
        <f>VLOOKUP(G309,EG$8:EH$27,2,FALSE)</f>
        <v>94.35</v>
      </c>
      <c r="DG309" s="69"/>
      <c r="DH309" s="66">
        <f>HLOOKUP(H309,'GDP-PI'!$8:$9,2,FALSE)</f>
        <v>84.778000000000006</v>
      </c>
      <c r="DI309" s="69">
        <f t="shared" si="598"/>
        <v>2.6425990216022755E-2</v>
      </c>
      <c r="EB309"/>
    </row>
    <row r="310" spans="1:132" s="160" customFormat="1" ht="21">
      <c r="A310" s="160" t="s">
        <v>178</v>
      </c>
      <c r="B310" s="161" t="s">
        <v>178</v>
      </c>
      <c r="C310" s="161">
        <v>4088325</v>
      </c>
      <c r="D310" s="161" t="s">
        <v>179</v>
      </c>
      <c r="E310" s="161"/>
      <c r="F310" s="161"/>
      <c r="G310" s="161" t="s">
        <v>116</v>
      </c>
      <c r="H310" s="162">
        <v>2005</v>
      </c>
      <c r="I310" s="163"/>
      <c r="J310" s="159">
        <f>IFERROR(INDEX('Labor Expenditures'!$F$7:$X$91,MATCH($C310,'Labor Expenditures'!$D$7:$D$91,0),MATCH($G310,'Labor Expenditures'!$F$5:$X$5,0)),"NA")</f>
        <v>3099.5316322556978</v>
      </c>
      <c r="K310" s="159">
        <f t="shared" si="599"/>
        <v>31.23740622076793</v>
      </c>
      <c r="L310" s="165">
        <f t="shared" ref="L310:L326" si="605">LN(K310/K309)</f>
        <v>3.8948243620304766E-2</v>
      </c>
      <c r="M310" s="76"/>
      <c r="N310" s="62">
        <v>100</v>
      </c>
      <c r="O310" s="77"/>
      <c r="P310" s="77"/>
      <c r="Q310" s="159">
        <f>IFERROR(INDEX('Non-Labor Expenditures'!$F$7:$AB$91,MATCH($C310,'Non-Labor Expenditures'!$D$7:$D$91,0),MATCH($G310,'Non-Labor Expenditures'!$F$5:$AB$5,0)),"NA")</f>
        <v>4488.700716160236</v>
      </c>
      <c r="R310" s="159">
        <f t="shared" si="600"/>
        <v>51.354018741751077</v>
      </c>
      <c r="S310" s="165">
        <f>LN(R310/R309)</f>
        <v>5.8787674664141178E-2</v>
      </c>
      <c r="T310" s="165"/>
      <c r="U310" s="165"/>
      <c r="V310" s="165"/>
      <c r="W310" s="159">
        <f t="shared" si="581"/>
        <v>4088.842299189329</v>
      </c>
      <c r="X310" s="163"/>
      <c r="Y310" s="167">
        <v>249.3945256210161</v>
      </c>
      <c r="Z310" s="168">
        <v>2.7908243453613198E-2</v>
      </c>
      <c r="AA310" s="76">
        <f t="shared" si="601"/>
        <v>0</v>
      </c>
      <c r="AB310" s="168"/>
      <c r="AC310" s="168"/>
      <c r="AD310" s="163">
        <f t="shared" si="577"/>
        <v>11677.074647605263</v>
      </c>
      <c r="AE310" s="168">
        <f>LN(AD310/AD309)</f>
        <v>0.10738922335169464</v>
      </c>
      <c r="AF310" s="163"/>
      <c r="AG310" s="163"/>
      <c r="AH310" s="163"/>
      <c r="AI310" s="163"/>
      <c r="AJ310" s="116"/>
      <c r="AK310" s="114"/>
      <c r="AL310" s="115">
        <f t="shared" si="602"/>
        <v>0.26543733989842655</v>
      </c>
      <c r="AM310" s="115">
        <f t="shared" si="603"/>
        <v>0.38440284502940808</v>
      </c>
      <c r="AN310" s="115">
        <f t="shared" si="604"/>
        <v>0.35015981507216531</v>
      </c>
      <c r="AO310" s="115">
        <f t="shared" ref="AO310:AO326" si="606">+(((AL310+AL309)/2)*L310+((AM309+AM310)/2)*S310+((AN309+AN310)/2)*Z310)</f>
        <v>4.2843693208726885E-2</v>
      </c>
      <c r="AP310" s="166">
        <v>100</v>
      </c>
      <c r="AQ310" s="168"/>
      <c r="AR310" s="16"/>
      <c r="AS310" s="115"/>
      <c r="AT310" s="115"/>
      <c r="AU310" s="115"/>
      <c r="AV310" s="113">
        <f>IFERROR(INDEX('Total Customers'!$F$7:$AB$91,MATCH($C310,'Total Customers'!$D$7:$D$91,0),MATCH($G310,'Total Customers'!$F$5:$AB$5,0)),"NA")</f>
        <v>32794</v>
      </c>
      <c r="AW310" s="68">
        <f t="shared" si="523"/>
        <v>1.2364965394563559E-2</v>
      </c>
      <c r="AX310" s="114"/>
      <c r="AY310" s="114"/>
      <c r="AZ310" s="116"/>
      <c r="BA310" s="116"/>
      <c r="BB310" s="166"/>
      <c r="BC310" s="166"/>
      <c r="BD310" s="166"/>
      <c r="BE310" s="166"/>
      <c r="BF310" s="166"/>
      <c r="BG310" s="166"/>
      <c r="BH310" s="166"/>
      <c r="BI310" s="113"/>
      <c r="BJ310" s="113"/>
      <c r="BK310" s="113">
        <f>INDEX('Dist. Plant Gas Additions'!$F$7:$AE$91,MATCH($C310,'Dist. Plant Gas Additions'!$D$7:$D$91,0),MATCH(Calculation!$G310,'Dist. Plant Gas Additions'!$F$5:$AE$5,0))</f>
        <v>3900</v>
      </c>
      <c r="BL310" s="113">
        <f>INDEX('Gen. Plant Additions'!$F$7:$AE$91,MATCH($C310,'Gen. Plant Additions'!$D$7:$D$91,0),MATCH(Calculation!$G310,'Gen. Plant Additions'!$F$5:$AE$5,0))</f>
        <v>11</v>
      </c>
      <c r="BM310" s="231">
        <f t="shared" si="582"/>
        <v>0.98291048797057656</v>
      </c>
      <c r="BN310" s="61">
        <f t="shared" si="537"/>
        <v>10.812015367676342</v>
      </c>
      <c r="BO310" s="113">
        <f>INDEX('Dist Plant Depreciation'!$E$7:$AD$94,MATCH($C310,'Dist Plant Depreciation'!$D$7:$D$94,0),MATCH(Calculation!$G310,'Dist Plant Depreciation'!$E$5:$AD$5,0))</f>
        <v>38321</v>
      </c>
      <c r="BP310" s="113">
        <f>INDEX('Gen. Plant Depreciation'!$E$7:$AD$94,MATCH($C310,'Gen. Plant Depreciation'!$D$7:$D$94,0),MATCH(Calculation!$G310,'Gen. Plant Depreciation'!$E$5:$AD$5,0))</f>
        <v>222</v>
      </c>
      <c r="BQ310" s="113"/>
      <c r="BR310" s="113"/>
      <c r="BS310" s="113"/>
      <c r="BT310" s="113"/>
      <c r="BU310" s="113"/>
      <c r="BV310" s="113"/>
      <c r="BW310" s="113">
        <f>INDEX('Gross Dx Plant'!$E$7:$AD$91,MATCH($C310,'Gross Dx Plant'!$D$7:$D$91,0),MATCH(Calculation!$G310,'Gross Dx Plant'!$E$5:$AD$5,0))</f>
        <v>83915</v>
      </c>
      <c r="BX310" s="113">
        <f>INDEX('Gross Gen Plant'!$E$7:$AD$91,MATCH($C310,'Gross Gen Plant'!$D$7:$D$91,0),MATCH(Calculation!$G310,'Gross Gen Plant'!$E$5:$AD$5,0))</f>
        <v>1459</v>
      </c>
      <c r="BY310" s="113">
        <f t="shared" si="551"/>
        <v>46831</v>
      </c>
      <c r="BZ310" s="113"/>
      <c r="CA310" s="116">
        <v>2005</v>
      </c>
      <c r="CB310" s="113"/>
      <c r="CC310" s="113"/>
      <c r="CD310" s="113"/>
      <c r="CE310" s="175"/>
      <c r="CF310" s="113">
        <f t="shared" si="583"/>
        <v>3911</v>
      </c>
      <c r="CG310" s="113">
        <f t="shared" si="584"/>
        <v>8.3353733019376826</v>
      </c>
      <c r="CH310" s="178">
        <v>0.96174863387978138</v>
      </c>
      <c r="CI310" s="61">
        <f>+CI303*CH310+CG304*CH309+CG305*CH308+CG306*CH307+CG307*CH306+CG308*CH305+CG309*CH304+CG310</f>
        <v>249.3945256210161</v>
      </c>
      <c r="CJ310" s="114">
        <f t="shared" si="585"/>
        <v>2.7908243453613198E-2</v>
      </c>
      <c r="CK310" s="114"/>
      <c r="CL310" s="169">
        <f t="shared" si="586"/>
        <v>6.0670115791615839E-3</v>
      </c>
      <c r="CM310" s="169">
        <f t="shared" si="594"/>
        <v>5.8707386459261228E-3</v>
      </c>
      <c r="CN310" s="114">
        <f>VLOOKUP($H310,RoR!$E:$F,2,FALSE)</f>
        <v>5.2350000000000001E-2</v>
      </c>
      <c r="CO310" s="169">
        <v>3.1010403642454332E-2</v>
      </c>
      <c r="CP310" s="169">
        <f t="shared" si="592"/>
        <v>2.1339596357545669E-2</v>
      </c>
      <c r="CQ310" s="169">
        <f t="shared" si="595"/>
        <v>2.5031202962607503E-2</v>
      </c>
      <c r="CR310" s="169">
        <f t="shared" si="596"/>
        <v>9.2129610649277341E-2</v>
      </c>
      <c r="CS310" s="179">
        <f t="shared" si="587"/>
        <v>0.84647404999999998</v>
      </c>
      <c r="CT310" s="180">
        <f t="shared" si="588"/>
        <v>0.97959983346802826</v>
      </c>
      <c r="CU310" s="180">
        <f t="shared" si="589"/>
        <v>0.49744508118433622</v>
      </c>
      <c r="CV310" s="180">
        <f t="shared" si="590"/>
        <v>0.87010519444335932</v>
      </c>
      <c r="CW310" s="180">
        <f t="shared" si="591"/>
        <v>0.42399975420741998</v>
      </c>
      <c r="CX310" s="181">
        <f>INDEX('State Tax Lookup'!$D$7:$Z$91,MATCH(Calculation!$C310,'State Tax Lookup'!$B$7:$B$91,0),MATCH($H310,'State Tax Lookup'!$D$6:$Z$6,0))</f>
        <v>0.414935</v>
      </c>
      <c r="CY310" s="72">
        <v>0.37</v>
      </c>
      <c r="CZ310" s="70">
        <f t="shared" si="593"/>
        <v>16.8590788050039</v>
      </c>
      <c r="DA310" s="70"/>
      <c r="DB310" s="69">
        <f t="shared" si="597"/>
        <v>0.11563026534368726</v>
      </c>
      <c r="DC310" s="111">
        <f>VLOOKUP($H310,RoR!$E:$F,2,FALSE)</f>
        <v>5.2350000000000001E-2</v>
      </c>
      <c r="DD310" s="216">
        <f>HLOOKUP($H310,'GDP-PI'!$D$8:$CQ$11,3,FALSE)</f>
        <v>3.1010403642454332E-2</v>
      </c>
      <c r="DE310" s="111">
        <f>VLOOKUP(H310,'HW Dx Data'!$E:$F,2,FALSE)</f>
        <v>469.20514034936258</v>
      </c>
      <c r="DF310" s="72">
        <f t="shared" ref="DF310:DF328" si="607">VLOOKUP(G310,EG$8:EH$27,2,FALSE)</f>
        <v>99.224999999999994</v>
      </c>
      <c r="DG310" s="69">
        <f t="shared" ref="DG310:DG328" si="608">LN(DF310/DF309)</f>
        <v>5.0378726854569796E-2</v>
      </c>
      <c r="DH310" s="66">
        <f>HLOOKUP(H310,'GDP-PI'!$8:$9,2,FALSE)</f>
        <v>87.406999999999996</v>
      </c>
      <c r="DI310" s="69">
        <f t="shared" si="598"/>
        <v>3.0539295810733648E-2</v>
      </c>
      <c r="EB310"/>
    </row>
    <row r="311" spans="1:132" s="160" customFormat="1" ht="21">
      <c r="A311" s="160" t="s">
        <v>178</v>
      </c>
      <c r="B311" s="161" t="s">
        <v>178</v>
      </c>
      <c r="C311" s="161">
        <v>4088325</v>
      </c>
      <c r="D311" s="161" t="s">
        <v>179</v>
      </c>
      <c r="E311" s="161"/>
      <c r="F311" s="161"/>
      <c r="G311" s="161" t="s">
        <v>117</v>
      </c>
      <c r="H311" s="162">
        <v>2006</v>
      </c>
      <c r="I311" s="163"/>
      <c r="J311" s="159">
        <f>IFERROR(INDEX('Labor Expenditures'!$F$7:$X$91,MATCH($C311,'Labor Expenditures'!$D$7:$D$91,0),MATCH($G311,'Labor Expenditures'!$F$5:$X$5,0)),"NA")</f>
        <v>3157.6096215471598</v>
      </c>
      <c r="K311" s="159">
        <f t="shared" si="599"/>
        <v>28.86297643096124</v>
      </c>
      <c r="L311" s="165">
        <f t="shared" si="605"/>
        <v>-7.9056612556505632E-2</v>
      </c>
      <c r="M311" s="76">
        <f t="shared" ref="M311:M327" si="609">+L311*$AR311</f>
        <v>-1.1753325006351784E-4</v>
      </c>
      <c r="N311" s="62">
        <f>+N310*EXP(O311)</f>
        <v>106.18795147071143</v>
      </c>
      <c r="O311" s="96">
        <f t="shared" ref="O311:O327" si="610">+M311+M336+M361+M386+M411+M436+M461+M486+M511+M536+M561+M586+M611+M636+M661+M686+M711+M736+M761+M786+M811+M836+M861+M886+M911+M936+M961+M986+M1011+M1036+M1061+M1086+M1111+M1136+M1161+M1186+M1211+M1236+M1261+M1286+M1311+M1336+M1361+M1386+M1411+M1436+M1461+M1486+M1511+M1536+M1561+M1586+M1611+M1636</f>
        <v>6.0040465072091834E-2</v>
      </c>
      <c r="P311" s="96"/>
      <c r="Q311" s="159">
        <f>IFERROR(INDEX('Non-Labor Expenditures'!$F$7:$AB$91,MATCH($C311,'Non-Labor Expenditures'!$D$7:$D$91,0),MATCH($G311,'Non-Labor Expenditures'!$F$5:$AB$5,0)),"NA")</f>
        <v>4572.808492126378</v>
      </c>
      <c r="R311" s="159">
        <f t="shared" si="600"/>
        <v>50.767241291897527</v>
      </c>
      <c r="S311" s="165">
        <f t="shared" ref="S311:S326" si="611">LN(R311/R310)</f>
        <v>-1.1491904963208231E-2</v>
      </c>
      <c r="T311" s="165">
        <f t="shared" ref="T311:T327" si="612">+S311*AR311</f>
        <v>-1.7084983735946653E-5</v>
      </c>
      <c r="U311" s="165"/>
      <c r="V311" s="165"/>
      <c r="W311" s="159">
        <f t="shared" si="581"/>
        <v>4103.1360262626204</v>
      </c>
      <c r="X311" s="163"/>
      <c r="Y311" s="167">
        <v>256.12427150858309</v>
      </c>
      <c r="Z311" s="168">
        <v>2.6626679465610505E-2</v>
      </c>
      <c r="AA311" s="76">
        <f t="shared" si="601"/>
        <v>3.9585811670793682E-5</v>
      </c>
      <c r="AB311" s="168"/>
      <c r="AC311" s="168"/>
      <c r="AD311" s="163">
        <f t="shared" si="577"/>
        <v>11833.554139936157</v>
      </c>
      <c r="AE311" s="168">
        <f t="shared" ref="AE311:AE327" si="613">LN(AD311/AD310)</f>
        <v>1.3311579574884254E-2</v>
      </c>
      <c r="AF311" s="163"/>
      <c r="AG311" s="163"/>
      <c r="AH311" s="163"/>
      <c r="AI311" s="163"/>
      <c r="AJ311" s="116">
        <f t="shared" ref="AJ311:AJ327" si="614">+(AD311*1000)/AV311</f>
        <v>366.10321257111519</v>
      </c>
      <c r="AK311" s="114">
        <f>+AV311/$AX$11</f>
        <v>9.3199681478129705E-4</v>
      </c>
      <c r="AL311" s="115">
        <f t="shared" si="602"/>
        <v>0.26683527063866508</v>
      </c>
      <c r="AM311" s="115">
        <f t="shared" si="603"/>
        <v>0.38642730983872009</v>
      </c>
      <c r="AN311" s="115">
        <f t="shared" si="604"/>
        <v>0.34673741952261494</v>
      </c>
      <c r="AO311" s="115">
        <f t="shared" si="606"/>
        <v>-1.6190958571082353E-2</v>
      </c>
      <c r="AP311" s="166">
        <f>+AP310*EXP(AO311)</f>
        <v>98.393941045053012</v>
      </c>
      <c r="AQ311" s="168">
        <f>LN(AP311/AP310)</f>
        <v>-1.6190958571082298E-2</v>
      </c>
      <c r="AR311" s="69">
        <f>+AD311/$AF$11</f>
        <v>1.4866972700039616E-3</v>
      </c>
      <c r="AS311" s="169">
        <f>+AR311*AQ311</f>
        <v>-2.4071053906375295E-5</v>
      </c>
      <c r="AT311" s="115"/>
      <c r="AU311" s="115"/>
      <c r="AV311" s="113">
        <f>IFERROR(INDEX('Total Customers'!$F$7:$AB$91,MATCH($C311,'Total Customers'!$D$7:$D$91,0),MATCH($G311,'Total Customers'!$F$5:$AB$5,0)),"NA")</f>
        <v>32323</v>
      </c>
      <c r="AW311" s="68">
        <f t="shared" si="523"/>
        <v>-1.4466520700278866E-2</v>
      </c>
      <c r="AX311" s="114"/>
      <c r="AY311" s="114"/>
      <c r="AZ311" s="116"/>
      <c r="BA311" s="116"/>
      <c r="BB311" s="166"/>
      <c r="BC311" s="166"/>
      <c r="BD311" s="166"/>
      <c r="BE311" s="166"/>
      <c r="BF311" s="166"/>
      <c r="BG311" s="166"/>
      <c r="BH311" s="166"/>
      <c r="BI311" s="113"/>
      <c r="BJ311" s="113"/>
      <c r="BK311" s="113">
        <f>INDEX('Dist. Plant Gas Additions'!$F$7:$AE$91,MATCH($C311,'Dist. Plant Gas Additions'!$D$7:$D$91,0),MATCH(Calculation!$G311,'Dist. Plant Gas Additions'!$F$5:$AE$5,0))</f>
        <v>3823</v>
      </c>
      <c r="BL311" s="113">
        <f>INDEX('Gen. Plant Additions'!$F$7:$AE$91,MATCH($C311,'Gen. Plant Additions'!$D$7:$D$91,0),MATCH(Calculation!$G311,'Gen. Plant Additions'!$F$5:$AE$5,0))</f>
        <v>0</v>
      </c>
      <c r="BM311" s="231">
        <f t="shared" si="582"/>
        <v>0.98375613932321004</v>
      </c>
      <c r="BN311" s="61">
        <f t="shared" si="537"/>
        <v>0</v>
      </c>
      <c r="BO311" s="113">
        <f>INDEX('Dist Plant Depreciation'!$E$7:$AD$94,MATCH($C311,'Dist Plant Depreciation'!$D$7:$D$94,0),MATCH(Calculation!$G311,'Dist Plant Depreciation'!$E$5:$AD$5,0))</f>
        <v>40227</v>
      </c>
      <c r="BP311" s="113">
        <f>INDEX('Gen. Plant Depreciation'!$E$7:$AD$94,MATCH($C311,'Gen. Plant Depreciation'!$D$7:$D$94,0),MATCH(Calculation!$G311,'Gen. Plant Depreciation'!$E$5:$AD$5,0))</f>
        <v>251</v>
      </c>
      <c r="BQ311" s="113"/>
      <c r="BR311" s="113"/>
      <c r="BS311" s="113"/>
      <c r="BT311" s="113"/>
      <c r="BU311" s="113"/>
      <c r="BV311" s="113"/>
      <c r="BW311" s="113">
        <f>INDEX('Gross Dx Plant'!$E$7:$AD$91,MATCH($C311,'Gross Dx Plant'!$D$7:$D$91,0),MATCH(Calculation!$G311,'Gross Dx Plant'!$E$5:$AD$5,0))</f>
        <v>87330</v>
      </c>
      <c r="BX311" s="113">
        <f>INDEX('Gross Gen Plant'!$E$7:$AD$91,MATCH($C311,'Gross Gen Plant'!$D$7:$D$91,0),MATCH(Calculation!$G311,'Gross Gen Plant'!$E$5:$AD$5,0))</f>
        <v>1442</v>
      </c>
      <c r="BY311" s="113">
        <f t="shared" si="551"/>
        <v>48294</v>
      </c>
      <c r="BZ311" s="114"/>
      <c r="CA311" s="116">
        <v>2006</v>
      </c>
      <c r="CB311" s="113"/>
      <c r="CC311" s="113"/>
      <c r="CD311" s="113"/>
      <c r="CE311" s="175"/>
      <c r="CF311" s="113">
        <f t="shared" si="583"/>
        <v>3823</v>
      </c>
      <c r="CG311" s="113">
        <f t="shared" si="584"/>
        <v>8.2913007844444291</v>
      </c>
      <c r="CH311" s="178">
        <v>0.9555555555555556</v>
      </c>
      <c r="CI311" s="61">
        <f>+CI303*CH311+CG304*CH310+CG305*CH309+CG306*CH308+CG307*CH307+CG308*CH306+CG309*CH305+CG310*CH304+CG311</f>
        <v>256.12427150858309</v>
      </c>
      <c r="CJ311" s="114">
        <f t="shared" si="585"/>
        <v>2.6626679465610505E-2</v>
      </c>
      <c r="CK311" s="114"/>
      <c r="CL311" s="169">
        <f t="shared" si="586"/>
        <v>6.2613840179090424E-3</v>
      </c>
      <c r="CM311" s="169">
        <f t="shared" si="594"/>
        <v>6.0678742223665436E-3</v>
      </c>
      <c r="CN311" s="114">
        <f>VLOOKUP($H311,RoR!$E:$F,2,FALSE)</f>
        <v>5.5874999999999994E-2</v>
      </c>
      <c r="CO311" s="169">
        <v>3.0512430354548314E-2</v>
      </c>
      <c r="CP311" s="169">
        <f t="shared" si="592"/>
        <v>2.536256964545168E-2</v>
      </c>
      <c r="CQ311" s="169">
        <f t="shared" si="595"/>
        <v>2.4834067386167082E-2</v>
      </c>
      <c r="CR311" s="169">
        <f t="shared" si="596"/>
        <v>7.9087823893859641E-2</v>
      </c>
      <c r="CS311" s="179">
        <f t="shared" si="587"/>
        <v>0.84647404999999998</v>
      </c>
      <c r="CT311" s="180">
        <f t="shared" si="588"/>
        <v>0.91779957551769631</v>
      </c>
      <c r="CU311" s="180">
        <f t="shared" si="589"/>
        <v>0.52757270693512304</v>
      </c>
      <c r="CV311" s="180">
        <f t="shared" si="590"/>
        <v>0.88636824549024895</v>
      </c>
      <c r="CW311" s="180">
        <f t="shared" si="591"/>
        <v>0.42918482841932087</v>
      </c>
      <c r="CX311" s="181">
        <f>INDEX('State Tax Lookup'!$D$7:$Z$91,MATCH(Calculation!$C311,'State Tax Lookup'!$B$7:$B$91,0),MATCH($H311,'State Tax Lookup'!$D$6:$Z$6,0))</f>
        <v>0.414935</v>
      </c>
      <c r="CY311" s="72">
        <v>0.37</v>
      </c>
      <c r="CZ311" s="70">
        <f t="shared" si="593"/>
        <v>16.452390107783724</v>
      </c>
      <c r="DA311" s="70">
        <v>14.788696346247992</v>
      </c>
      <c r="DB311" s="69">
        <f t="shared" si="597"/>
        <v>-2.441855121783864E-2</v>
      </c>
      <c r="DC311" s="111">
        <f>VLOOKUP($H311,RoR!$E:$F,2,FALSE)</f>
        <v>5.5874999999999994E-2</v>
      </c>
      <c r="DD311" s="216">
        <f>HLOOKUP($H311,'GDP-PI'!$D$8:$CQ$11,3,FALSE)</f>
        <v>3.0512430354548314E-2</v>
      </c>
      <c r="DE311" s="111">
        <f>VLOOKUP(H311,'HW Dx Data'!$E:$F,2,FALSE)</f>
        <v>461.08567272971823</v>
      </c>
      <c r="DF311" s="72">
        <f t="shared" si="607"/>
        <v>109.4</v>
      </c>
      <c r="DG311" s="69">
        <f t="shared" si="608"/>
        <v>9.7620891318751846E-2</v>
      </c>
      <c r="DH311" s="66">
        <f>HLOOKUP(H311,'GDP-PI'!$8:$9,2,FALSE)</f>
        <v>90.073999999999998</v>
      </c>
      <c r="DI311" s="69">
        <f t="shared" si="598"/>
        <v>3.005618372545445E-2</v>
      </c>
      <c r="EB311"/>
    </row>
    <row r="312" spans="1:132" s="160" customFormat="1" ht="21">
      <c r="A312" s="160" t="s">
        <v>178</v>
      </c>
      <c r="B312" s="161" t="s">
        <v>178</v>
      </c>
      <c r="C312" s="161">
        <v>4088325</v>
      </c>
      <c r="D312" s="161" t="s">
        <v>179</v>
      </c>
      <c r="E312" s="161"/>
      <c r="F312" s="161"/>
      <c r="G312" s="161" t="s">
        <v>118</v>
      </c>
      <c r="H312" s="162">
        <v>2007</v>
      </c>
      <c r="I312" s="163"/>
      <c r="J312" s="159">
        <f>IFERROR(INDEX('Labor Expenditures'!$F$7:$X$91,MATCH($C312,'Labor Expenditures'!$D$7:$D$91,0),MATCH($G312,'Labor Expenditures'!$F$5:$X$5,0)),"NA")</f>
        <v>3080.2837756403401</v>
      </c>
      <c r="K312" s="159">
        <f t="shared" si="599"/>
        <v>29.469349683236931</v>
      </c>
      <c r="L312" s="165">
        <f t="shared" si="605"/>
        <v>2.0791047965212181E-2</v>
      </c>
      <c r="M312" s="76">
        <f t="shared" si="609"/>
        <v>2.9832735072766929E-5</v>
      </c>
      <c r="N312" s="62">
        <f t="shared" ref="N312:N325" si="615">+N311*EXP(O312)</f>
        <v>117.67355641275022</v>
      </c>
      <c r="O312" s="96">
        <f t="shared" si="610"/>
        <v>0.10270366857370217</v>
      </c>
      <c r="P312" s="96"/>
      <c r="Q312" s="159">
        <f>IFERROR(INDEX('Non-Labor Expenditures'!$F$7:$AB$91,MATCH($C312,'Non-Labor Expenditures'!$D$7:$D$91,0),MATCH($G312,'Non-Labor Expenditures'!$F$5:$AB$5,0)),"NA")</f>
        <v>4460.8262247774746</v>
      </c>
      <c r="R312" s="159">
        <f t="shared" si="600"/>
        <v>48.226191104429006</v>
      </c>
      <c r="S312" s="165">
        <f t="shared" si="611"/>
        <v>-5.134903273007816E-2</v>
      </c>
      <c r="T312" s="165">
        <f t="shared" si="612"/>
        <v>-7.3679888202000322E-5</v>
      </c>
      <c r="U312" s="165"/>
      <c r="V312" s="165"/>
      <c r="W312" s="159">
        <f t="shared" si="581"/>
        <v>4523.0278543128261</v>
      </c>
      <c r="X312" s="163"/>
      <c r="Y312" s="167">
        <v>263.35224193537994</v>
      </c>
      <c r="Z312" s="168">
        <v>2.7829696758782871E-2</v>
      </c>
      <c r="AA312" s="76">
        <f t="shared" si="601"/>
        <v>3.9932377239924137E-5</v>
      </c>
      <c r="AB312" s="168"/>
      <c r="AC312" s="168"/>
      <c r="AD312" s="163">
        <f t="shared" si="577"/>
        <v>12064.137854730641</v>
      </c>
      <c r="AE312" s="168">
        <f t="shared" si="613"/>
        <v>1.9298170798712471E-2</v>
      </c>
      <c r="AF312" s="163"/>
      <c r="AG312" s="163"/>
      <c r="AH312" s="163"/>
      <c r="AI312" s="163"/>
      <c r="AJ312" s="116">
        <f t="shared" si="614"/>
        <v>366.11246220959703</v>
      </c>
      <c r="AK312" s="114">
        <f>+AV312/$AX$12</f>
        <v>9.4297969048048099E-4</v>
      </c>
      <c r="AL312" s="115">
        <f t="shared" si="602"/>
        <v>0.25532564471090541</v>
      </c>
      <c r="AM312" s="115">
        <f t="shared" si="603"/>
        <v>0.36975922179372944</v>
      </c>
      <c r="AN312" s="115">
        <f t="shared" si="604"/>
        <v>0.37491513349536509</v>
      </c>
      <c r="AO312" s="115">
        <f t="shared" si="606"/>
        <v>-3.9449013052775279E-3</v>
      </c>
      <c r="AP312" s="166">
        <f>+AP311*EXP(AO312)</f>
        <v>98.006551268198962</v>
      </c>
      <c r="AQ312" s="168">
        <f>LN(AP312/AP311)</f>
        <v>-3.9449013052775149E-3</v>
      </c>
      <c r="AR312" s="69">
        <f>+AD312/$AF$12</f>
        <v>1.4348836635211175E-3</v>
      </c>
      <c r="AS312" s="169">
        <f t="shared" ref="AS312:AS326" si="616">+AR312*AQ312</f>
        <v>-5.6604744371458385E-6</v>
      </c>
      <c r="AT312" s="115"/>
      <c r="AU312" s="115"/>
      <c r="AV312" s="113">
        <f>IFERROR(INDEX('Total Customers'!$F$7:$AB$91,MATCH($C312,'Total Customers'!$D$7:$D$91,0),MATCH($G312,'Total Customers'!$F$5:$AB$5,0)),"NA")</f>
        <v>32952</v>
      </c>
      <c r="AW312" s="68">
        <f t="shared" si="523"/>
        <v>1.9272906006381912E-2</v>
      </c>
      <c r="AX312" s="114"/>
      <c r="AY312" s="114"/>
      <c r="AZ312" s="116"/>
      <c r="BA312" s="116"/>
      <c r="BB312" s="166"/>
      <c r="BC312" s="166"/>
      <c r="BD312" s="166"/>
      <c r="BE312" s="166"/>
      <c r="BF312" s="166"/>
      <c r="BG312" s="166"/>
      <c r="BH312" s="166"/>
      <c r="BI312" s="113"/>
      <c r="BJ312" s="113"/>
      <c r="BK312" s="113">
        <f>INDEX('Dist. Plant Gas Additions'!$F$7:$AE$91,MATCH($C312,'Dist. Plant Gas Additions'!$D$7:$D$91,0),MATCH(Calculation!$G312,'Dist. Plant Gas Additions'!$F$5:$AE$5,0))</f>
        <v>4424</v>
      </c>
      <c r="BL312" s="113">
        <f>INDEX('Gen. Plant Additions'!$F$7:$AE$91,MATCH($C312,'Gen. Plant Additions'!$D$7:$D$91,0),MATCH(Calculation!$G312,'Gen. Plant Additions'!$F$5:$AE$5,0))</f>
        <v>0</v>
      </c>
      <c r="BM312" s="231">
        <f t="shared" si="582"/>
        <v>0.9853407118055556</v>
      </c>
      <c r="BN312" s="61">
        <f t="shared" si="537"/>
        <v>0</v>
      </c>
      <c r="BO312" s="113">
        <f>INDEX('Dist Plant Depreciation'!$E$7:$AD$94,MATCH($C312,'Dist Plant Depreciation'!$D$7:$D$94,0),MATCH(Calculation!$G312,'Dist Plant Depreciation'!$E$5:$AD$5,0))</f>
        <v>41417</v>
      </c>
      <c r="BP312" s="113">
        <f>INDEX('Gen. Plant Depreciation'!$E$7:$AD$94,MATCH($C312,'Gen. Plant Depreciation'!$D$7:$D$94,0),MATCH(Calculation!$G312,'Gen. Plant Depreciation'!$E$5:$AD$5,0))</f>
        <v>243</v>
      </c>
      <c r="BQ312" s="113"/>
      <c r="BR312" s="113"/>
      <c r="BS312" s="113"/>
      <c r="BT312" s="113"/>
      <c r="BU312" s="113"/>
      <c r="BV312" s="113"/>
      <c r="BW312" s="113">
        <f>INDEX('Gross Dx Plant'!$E$7:$AD$91,MATCH($C312,'Gross Dx Plant'!$D$7:$D$91,0),MATCH(Calculation!$G312,'Gross Dx Plant'!$E$5:$AD$5,0))</f>
        <v>90809</v>
      </c>
      <c r="BX312" s="113">
        <f>INDEX('Gross Gen Plant'!$E$7:$AD$91,MATCH($C312,'Gross Gen Plant'!$D$7:$D$91,0),MATCH(Calculation!$G312,'Gross Gen Plant'!$E$5:$AD$5,0))</f>
        <v>1351</v>
      </c>
      <c r="BY312" s="113">
        <f t="shared" si="551"/>
        <v>50500</v>
      </c>
      <c r="BZ312" s="113"/>
      <c r="CA312" s="116">
        <v>2007</v>
      </c>
      <c r="CB312" s="113"/>
      <c r="CC312" s="113"/>
      <c r="CD312" s="113"/>
      <c r="CE312" s="175"/>
      <c r="CF312" s="113">
        <f t="shared" si="583"/>
        <v>4424</v>
      </c>
      <c r="CG312" s="113">
        <f t="shared" si="584"/>
        <v>8.8831360814834195</v>
      </c>
      <c r="CH312" s="178">
        <v>0.94915254237288138</v>
      </c>
      <c r="CI312" s="61">
        <f>+CI303*CH312+CG304*CH311+CG305*CH310+CG306*CH309+CG307*CH308+CG308*CH307+CG309*CH306+CG310*CH305+CG311*CH304+CG312</f>
        <v>263.35224193537994</v>
      </c>
      <c r="CJ312" s="114">
        <f t="shared" si="585"/>
        <v>2.7829696758782871E-2</v>
      </c>
      <c r="CK312" s="114"/>
      <c r="CL312" s="169">
        <f t="shared" si="586"/>
        <v>6.4623537821604246E-3</v>
      </c>
      <c r="CM312" s="169">
        <f t="shared" si="594"/>
        <v>6.2635831264103506E-3</v>
      </c>
      <c r="CN312" s="114">
        <f>VLOOKUP($H312,RoR!$E:$F,2,FALSE)</f>
        <v>5.5558333333333321E-2</v>
      </c>
      <c r="CO312" s="169">
        <v>2.691120634145272E-2</v>
      </c>
      <c r="CP312" s="169">
        <f t="shared" si="592"/>
        <v>2.86471269918806E-2</v>
      </c>
      <c r="CQ312" s="169">
        <f t="shared" si="595"/>
        <v>2.4638358482123274E-2</v>
      </c>
      <c r="CR312" s="169">
        <f t="shared" si="596"/>
        <v>6.4575155250632399E-2</v>
      </c>
      <c r="CS312" s="179">
        <f t="shared" si="587"/>
        <v>0.84647404999999998</v>
      </c>
      <c r="CT312" s="180">
        <f t="shared" si="588"/>
        <v>0.92303077153834634</v>
      </c>
      <c r="CU312" s="180">
        <f t="shared" si="589"/>
        <v>0.52502249887505614</v>
      </c>
      <c r="CV312" s="180">
        <f t="shared" si="590"/>
        <v>0.88499666072084604</v>
      </c>
      <c r="CW312" s="180">
        <f t="shared" si="591"/>
        <v>0.42887993290280618</v>
      </c>
      <c r="CX312" s="181">
        <f>INDEX('State Tax Lookup'!$D$7:$Z$91,MATCH(Calculation!$C312,'State Tax Lookup'!$B$7:$B$91,0),MATCH($H312,'State Tax Lookup'!$D$6:$Z$6,0))</f>
        <v>0.414935</v>
      </c>
      <c r="CY312" s="72">
        <v>0.37</v>
      </c>
      <c r="CZ312" s="70">
        <f t="shared" si="593"/>
        <v>17.659505003848309</v>
      </c>
      <c r="DA312" s="70">
        <v>16.108943221861779</v>
      </c>
      <c r="DB312" s="69">
        <f t="shared" si="597"/>
        <v>7.0803403592783629E-2</v>
      </c>
      <c r="DC312" s="111">
        <f>VLOOKUP($H312,RoR!$E:$F,2,FALSE)</f>
        <v>5.5558333333333321E-2</v>
      </c>
      <c r="DD312" s="216">
        <f>HLOOKUP($H312,'GDP-PI'!$D$8:$CQ$11,3,FALSE)</f>
        <v>2.691120634145272E-2</v>
      </c>
      <c r="DE312" s="111">
        <f>VLOOKUP(H312,'HW Dx Data'!$E:$F,2,FALSE)</f>
        <v>498.0223154772637</v>
      </c>
      <c r="DF312" s="72">
        <f t="shared" si="607"/>
        <v>104.52499999999999</v>
      </c>
      <c r="DG312" s="69">
        <f t="shared" si="608"/>
        <v>-4.5584612745252218E-2</v>
      </c>
      <c r="DH312" s="66">
        <f>HLOOKUP(H312,'GDP-PI'!$8:$9,2,FALSE)</f>
        <v>92.498000000000005</v>
      </c>
      <c r="DI312" s="69">
        <f t="shared" si="598"/>
        <v>2.6555467950038037E-2</v>
      </c>
      <c r="EB312"/>
    </row>
    <row r="313" spans="1:132" s="160" customFormat="1" ht="21">
      <c r="A313" s="160" t="s">
        <v>178</v>
      </c>
      <c r="B313" s="161" t="s">
        <v>178</v>
      </c>
      <c r="C313" s="161">
        <v>4088325</v>
      </c>
      <c r="D313" s="161" t="s">
        <v>179</v>
      </c>
      <c r="E313" s="161"/>
      <c r="F313" s="161"/>
      <c r="G313" s="161" t="s">
        <v>120</v>
      </c>
      <c r="H313" s="162">
        <v>2008</v>
      </c>
      <c r="I313" s="163"/>
      <c r="J313" s="159">
        <f>IFERROR(INDEX('Labor Expenditures'!$F$7:$X$91,MATCH($C313,'Labor Expenditures'!$D$7:$D$91,0),MATCH($G313,'Labor Expenditures'!$F$5:$X$5,0)),"NA")</f>
        <v>3296.1447671949059</v>
      </c>
      <c r="K313" s="159">
        <f t="shared" si="599"/>
        <v>30.548144274280869</v>
      </c>
      <c r="L313" s="165">
        <f t="shared" si="605"/>
        <v>3.595321045756953E-2</v>
      </c>
      <c r="M313" s="76">
        <f t="shared" si="609"/>
        <v>5.3394931694357966E-5</v>
      </c>
      <c r="N313" s="62">
        <f t="shared" si="615"/>
        <v>109.58853457991576</v>
      </c>
      <c r="O313" s="96">
        <f t="shared" si="610"/>
        <v>-7.1181562089253414E-2</v>
      </c>
      <c r="P313" s="96"/>
      <c r="Q313" s="159">
        <f>IFERROR(INDEX('Non-Labor Expenditures'!$F$7:$AB$91,MATCH($C313,'Non-Labor Expenditures'!$D$7:$D$91,0),MATCH($G313,'Non-Labor Expenditures'!$F$5:$AB$5,0)),"NA")</f>
        <v>4773.4332578203648</v>
      </c>
      <c r="R313" s="159">
        <f t="shared" si="600"/>
        <v>50.638984743065912</v>
      </c>
      <c r="S313" s="165">
        <f t="shared" si="611"/>
        <v>4.881947173099787E-2</v>
      </c>
      <c r="T313" s="165">
        <f t="shared" si="612"/>
        <v>7.2502909344009859E-5</v>
      </c>
      <c r="U313" s="165"/>
      <c r="V313" s="165"/>
      <c r="W313" s="159">
        <f t="shared" si="581"/>
        <v>5280.1671533749277</v>
      </c>
      <c r="X313" s="163"/>
      <c r="Y313" s="167">
        <v>270.49142698206623</v>
      </c>
      <c r="Z313" s="168">
        <v>2.6747945524169908E-2</v>
      </c>
      <c r="AA313" s="76">
        <f t="shared" si="601"/>
        <v>3.9723983089436963E-5</v>
      </c>
      <c r="AB313" s="168"/>
      <c r="AC313" s="168"/>
      <c r="AD313" s="163">
        <f t="shared" si="577"/>
        <v>13349.7451783902</v>
      </c>
      <c r="AE313" s="168">
        <f t="shared" si="613"/>
        <v>0.1012600587522539</v>
      </c>
      <c r="AF313" s="163"/>
      <c r="AG313" s="163"/>
      <c r="AH313" s="163"/>
      <c r="AI313" s="163"/>
      <c r="AJ313" s="116">
        <f t="shared" si="614"/>
        <v>407.72540401900312</v>
      </c>
      <c r="AK313" s="114">
        <f>+AV313/$AX$13</f>
        <v>9.319605866803186E-4</v>
      </c>
      <c r="AL313" s="115">
        <f t="shared" si="602"/>
        <v>0.24690694265314633</v>
      </c>
      <c r="AM313" s="115">
        <f t="shared" si="603"/>
        <v>0.35756736881744561</v>
      </c>
      <c r="AN313" s="115">
        <f t="shared" si="604"/>
        <v>0.39552568852940795</v>
      </c>
      <c r="AO313" s="115">
        <f t="shared" si="606"/>
        <v>3.7086141489405033E-2</v>
      </c>
      <c r="AP313" s="166">
        <f t="shared" ref="AP313:AP326" si="617">+AP312*EXP(AO313)</f>
        <v>101.70947527576452</v>
      </c>
      <c r="AQ313" s="168">
        <f t="shared" ref="AQ313:AQ326" si="618">LN(AP313/AP312)</f>
        <v>3.708614148940495E-2</v>
      </c>
      <c r="AR313" s="69">
        <f>+AD313/$AF$13</f>
        <v>1.485122775262933E-3</v>
      </c>
      <c r="AS313" s="169">
        <f t="shared" si="616"/>
        <v>5.5077473372538882E-5</v>
      </c>
      <c r="AT313" s="115"/>
      <c r="AU313" s="115"/>
      <c r="AV313" s="113">
        <f>IFERROR(INDEX('Total Customers'!$F$7:$AB$91,MATCH($C313,'Total Customers'!$D$7:$D$91,0),MATCH($G313,'Total Customers'!$F$5:$AB$5,0)),"NA")</f>
        <v>32742</v>
      </c>
      <c r="AW313" s="68">
        <f t="shared" si="523"/>
        <v>-6.3932997016297446E-3</v>
      </c>
      <c r="AX313" s="114"/>
      <c r="AY313" s="114"/>
      <c r="AZ313" s="116"/>
      <c r="BA313" s="116"/>
      <c r="BB313" s="166"/>
      <c r="BC313" s="166"/>
      <c r="BD313" s="166"/>
      <c r="BE313" s="166"/>
      <c r="BF313" s="166"/>
      <c r="BG313" s="166"/>
      <c r="BH313" s="166"/>
      <c r="BI313" s="113"/>
      <c r="BJ313" s="113"/>
      <c r="BK313" s="113">
        <f>INDEX('Dist. Plant Gas Additions'!$F$7:$AE$91,MATCH($C313,'Dist. Plant Gas Additions'!$D$7:$D$91,0),MATCH(Calculation!$G313,'Dist. Plant Gas Additions'!$F$5:$AE$5,0))</f>
        <v>4823</v>
      </c>
      <c r="BL313" s="113">
        <f>INDEX('Gen. Plant Additions'!$F$7:$AE$91,MATCH($C313,'Gen. Plant Additions'!$D$7:$D$91,0),MATCH(Calculation!$G313,'Gen. Plant Additions'!$F$5:$AE$5,0))</f>
        <v>246</v>
      </c>
      <c r="BM313" s="231">
        <f t="shared" si="582"/>
        <v>0.98369271677261205</v>
      </c>
      <c r="BN313" s="61">
        <f t="shared" si="537"/>
        <v>241.98840832606257</v>
      </c>
      <c r="BO313" s="113">
        <f>INDEX('Dist Plant Depreciation'!$E$7:$AD$94,MATCH($C313,'Dist Plant Depreciation'!$D$7:$D$94,0),MATCH(Calculation!$G313,'Dist Plant Depreciation'!$E$5:$AD$5,0))</f>
        <v>42735</v>
      </c>
      <c r="BP313" s="113">
        <f>INDEX('Gen. Plant Depreciation'!$E$7:$AD$94,MATCH($C313,'Gen. Plant Depreciation'!$D$7:$D$94,0),MATCH(Calculation!$G313,'Gen. Plant Depreciation'!$E$5:$AD$5,0))</f>
        <v>255</v>
      </c>
      <c r="BQ313" s="113"/>
      <c r="BR313" s="113"/>
      <c r="BS313" s="113"/>
      <c r="BT313" s="113"/>
      <c r="BU313" s="113"/>
      <c r="BV313" s="113"/>
      <c r="BW313" s="113">
        <f>INDEX('Gross Dx Plant'!$E$7:$AD$91,MATCH($C313,'Gross Dx Plant'!$D$7:$D$91,0),MATCH(Calculation!$G313,'Gross Dx Plant'!$E$5:$AD$5,0))</f>
        <v>94706</v>
      </c>
      <c r="BX313" s="113">
        <f>INDEX('Gross Gen Plant'!$E$7:$AD$91,MATCH($C313,'Gross Gen Plant'!$D$7:$D$91,0),MATCH(Calculation!$G313,'Gross Gen Plant'!$E$5:$AD$5,0))</f>
        <v>1570</v>
      </c>
      <c r="BY313" s="113">
        <f t="shared" si="551"/>
        <v>53286</v>
      </c>
      <c r="BZ313" s="113"/>
      <c r="CA313" s="116">
        <v>2008</v>
      </c>
      <c r="CB313" s="113"/>
      <c r="CC313" s="113"/>
      <c r="CD313" s="113"/>
      <c r="CE313" s="175"/>
      <c r="CF313" s="113">
        <f t="shared" si="583"/>
        <v>5069</v>
      </c>
      <c r="CG313" s="113">
        <f t="shared" si="584"/>
        <v>8.8948362752348729</v>
      </c>
      <c r="CH313" s="178">
        <v>0.94252873563218387</v>
      </c>
      <c r="CI313" s="61">
        <f>+CI303*CH313+CG304*CH312+CG305*CH311+CG306*CH310+CG307*CH309+CG308*CH308+CG309*CH307+CG310*CH306+CG311*CH305+CG312*CH304+CG313</f>
        <v>270.49142698206623</v>
      </c>
      <c r="CJ313" s="114">
        <f t="shared" si="585"/>
        <v>2.6747945524169908E-2</v>
      </c>
      <c r="CK313" s="114"/>
      <c r="CL313" s="169">
        <f t="shared" si="586"/>
        <v>6.6665512913285634E-3</v>
      </c>
      <c r="CM313" s="169">
        <f t="shared" si="594"/>
        <v>6.4634296971326777E-3</v>
      </c>
      <c r="CN313" s="114">
        <f>VLOOKUP($H313,RoR!$E:$F,2,FALSE)</f>
        <v>5.6316666666666668E-2</v>
      </c>
      <c r="CO313" s="169">
        <v>1.9092304698479889E-2</v>
      </c>
      <c r="CP313" s="169">
        <f t="shared" si="592"/>
        <v>3.7224361968186778E-2</v>
      </c>
      <c r="CQ313" s="169">
        <f t="shared" si="595"/>
        <v>2.4438511911400947E-2</v>
      </c>
      <c r="CR313" s="169">
        <f t="shared" si="596"/>
        <v>6.9030581091053131E-2</v>
      </c>
      <c r="CS313" s="179">
        <f t="shared" si="587"/>
        <v>0.84647404999999998</v>
      </c>
      <c r="CT313" s="180">
        <f t="shared" si="588"/>
        <v>0.91060168006009956</v>
      </c>
      <c r="CU313" s="180">
        <f t="shared" si="589"/>
        <v>0.53108168097070152</v>
      </c>
      <c r="CV313" s="180">
        <f t="shared" si="590"/>
        <v>0.88825329850328805</v>
      </c>
      <c r="CW313" s="180">
        <f t="shared" si="591"/>
        <v>0.4295627335323573</v>
      </c>
      <c r="CX313" s="181">
        <f>INDEX('State Tax Lookup'!$D$7:$Z$91,MATCH(Calculation!$C313,'State Tax Lookup'!$B$7:$B$91,0),MATCH($H313,'State Tax Lookup'!$D$6:$Z$6,0))</f>
        <v>0.414935</v>
      </c>
      <c r="CY313" s="72">
        <v>0.37</v>
      </c>
      <c r="CZ313" s="70">
        <f t="shared" si="593"/>
        <v>20.049827996795823</v>
      </c>
      <c r="DA313" s="70">
        <v>18.300102035478151</v>
      </c>
      <c r="DB313" s="69">
        <f t="shared" si="597"/>
        <v>0.12694640944653035</v>
      </c>
      <c r="DC313" s="111">
        <f>VLOOKUP($H313,RoR!$E:$F,2,FALSE)</f>
        <v>5.6316666666666668E-2</v>
      </c>
      <c r="DD313" s="216">
        <f>HLOOKUP($H313,'GDP-PI'!$D$8:$CQ$11,3,FALSE)</f>
        <v>1.9092304698479889E-2</v>
      </c>
      <c r="DE313" s="111">
        <f>VLOOKUP(H313,'HW Dx Data'!$E:$F,2,FALSE)</f>
        <v>569.88120333515076</v>
      </c>
      <c r="DF313" s="72">
        <f t="shared" si="607"/>
        <v>107.9</v>
      </c>
      <c r="DG313" s="69">
        <f t="shared" si="608"/>
        <v>3.1778595021460486E-2</v>
      </c>
      <c r="DH313" s="66">
        <f>HLOOKUP(H313,'GDP-PI'!$8:$9,2,FALSE)</f>
        <v>94.263999999999996</v>
      </c>
      <c r="DI313" s="69">
        <f t="shared" si="598"/>
        <v>1.8912333748032254E-2</v>
      </c>
      <c r="EB313"/>
    </row>
    <row r="314" spans="1:132" s="160" customFormat="1" ht="21">
      <c r="A314" s="160" t="s">
        <v>178</v>
      </c>
      <c r="B314" s="161" t="s">
        <v>178</v>
      </c>
      <c r="C314" s="161">
        <v>4088325</v>
      </c>
      <c r="D314" s="161" t="s">
        <v>179</v>
      </c>
      <c r="E314" s="161"/>
      <c r="F314" s="161"/>
      <c r="G314" s="161" t="s">
        <v>125</v>
      </c>
      <c r="H314" s="162">
        <v>2009</v>
      </c>
      <c r="I314" s="163"/>
      <c r="J314" s="159">
        <f>IFERROR(INDEX('Labor Expenditures'!$F$7:$X$91,MATCH($C314,'Labor Expenditures'!$D$7:$D$91,0),MATCH($G314,'Labor Expenditures'!$F$5:$X$5,0)),"NA")</f>
        <v>3641.5845614927307</v>
      </c>
      <c r="K314" s="159">
        <f t="shared" si="599"/>
        <v>32.829250047263741</v>
      </c>
      <c r="L314" s="165">
        <f t="shared" si="605"/>
        <v>7.2015947846796255E-2</v>
      </c>
      <c r="M314" s="76">
        <f t="shared" si="609"/>
        <v>1.0842137810372488E-4</v>
      </c>
      <c r="N314" s="62">
        <f t="shared" si="615"/>
        <v>117.92324920902675</v>
      </c>
      <c r="O314" s="96">
        <f t="shared" si="610"/>
        <v>7.3301224867414347E-2</v>
      </c>
      <c r="P314" s="96"/>
      <c r="Q314" s="159">
        <f>IFERROR(INDEX('Non-Labor Expenditures'!$F$7:$AB$91,MATCH($C314,'Non-Labor Expenditures'!$D$7:$D$91,0),MATCH($G314,'Non-Labor Expenditures'!$F$5:$AB$5,0)),"NA")</f>
        <v>5273.6945992174369</v>
      </c>
      <c r="R314" s="159">
        <f t="shared" si="600"/>
        <v>55.513159077647522</v>
      </c>
      <c r="S314" s="165">
        <f t="shared" si="611"/>
        <v>9.1898364029370738E-2</v>
      </c>
      <c r="T314" s="165">
        <f t="shared" si="612"/>
        <v>1.3835473352011722E-4</v>
      </c>
      <c r="U314" s="165"/>
      <c r="V314" s="165"/>
      <c r="W314" s="159">
        <f t="shared" si="581"/>
        <v>5199.9169699178628</v>
      </c>
      <c r="X314" s="163"/>
      <c r="Y314" s="167">
        <v>286.41509861069176</v>
      </c>
      <c r="Z314" s="168">
        <v>5.720174775248045E-2</v>
      </c>
      <c r="AA314" s="76">
        <f t="shared" si="601"/>
        <v>8.6118318326646568E-5</v>
      </c>
      <c r="AB314" s="168"/>
      <c r="AC314" s="168"/>
      <c r="AD314" s="163">
        <f t="shared" si="577"/>
        <v>14115.196130628032</v>
      </c>
      <c r="AE314" s="168">
        <f t="shared" si="613"/>
        <v>5.575465989736493E-2</v>
      </c>
      <c r="AF314" s="163"/>
      <c r="AG314" s="163"/>
      <c r="AH314" s="163"/>
      <c r="AI314" s="163"/>
      <c r="AJ314" s="116">
        <f t="shared" si="614"/>
        <v>431.81583855323152</v>
      </c>
      <c r="AK314" s="114">
        <f>+AV314/$AX$14</f>
        <v>9.2923746412096689E-4</v>
      </c>
      <c r="AL314" s="115">
        <f t="shared" si="602"/>
        <v>0.2579903621453048</v>
      </c>
      <c r="AM314" s="115">
        <f t="shared" si="603"/>
        <v>0.37361823033930402</v>
      </c>
      <c r="AN314" s="115">
        <f t="shared" si="604"/>
        <v>0.36839140751539112</v>
      </c>
      <c r="AO314" s="115">
        <f t="shared" si="606"/>
        <v>7.3626405683227883E-2</v>
      </c>
      <c r="AP314" s="166">
        <f t="shared" si="617"/>
        <v>109.48054620933183</v>
      </c>
      <c r="AQ314" s="168">
        <f t="shared" si="618"/>
        <v>7.3626405683227883E-2</v>
      </c>
      <c r="AR314" s="69">
        <f>+AD314/$AF$14</f>
        <v>1.5055190044068576E-3</v>
      </c>
      <c r="AS314" s="169">
        <f t="shared" si="616"/>
        <v>1.1084595298226865E-4</v>
      </c>
      <c r="AT314" s="115"/>
      <c r="AU314" s="115"/>
      <c r="AV314" s="113">
        <f>IFERROR(INDEX('Total Customers'!$F$7:$AB$91,MATCH($C314,'Total Customers'!$D$7:$D$91,0),MATCH($G314,'Total Customers'!$F$5:$AB$5,0)),"NA")</f>
        <v>32688</v>
      </c>
      <c r="AW314" s="68">
        <f t="shared" si="523"/>
        <v>-1.6506193568836766E-3</v>
      </c>
      <c r="AX314" s="114"/>
      <c r="AY314" s="114"/>
      <c r="AZ314" s="116"/>
      <c r="BA314" s="116"/>
      <c r="BB314" s="166"/>
      <c r="BC314" s="166"/>
      <c r="BD314" s="166"/>
      <c r="BE314" s="166"/>
      <c r="BF314" s="166"/>
      <c r="BG314" s="166"/>
      <c r="BH314" s="166"/>
      <c r="BI314" s="113"/>
      <c r="BJ314" s="113"/>
      <c r="BK314" s="113">
        <f>INDEX('Dist. Plant Gas Additions'!$F$7:$AE$91,MATCH($C314,'Dist. Plant Gas Additions'!$D$7:$D$91,0),MATCH(Calculation!$G314,'Dist. Plant Gas Additions'!$F$5:$AE$5,0))</f>
        <v>9773</v>
      </c>
      <c r="BL314" s="113">
        <f>INDEX('Gen. Plant Additions'!$F$7:$AE$91,MATCH($C314,'Gen. Plant Additions'!$D$7:$D$91,0),MATCH(Calculation!$G314,'Gen. Plant Additions'!$F$5:$AE$5,0))</f>
        <v>25</v>
      </c>
      <c r="BM314" s="231">
        <f t="shared" si="582"/>
        <v>0.98661545957410224</v>
      </c>
      <c r="BN314" s="61">
        <f t="shared" si="537"/>
        <v>24.665386489352557</v>
      </c>
      <c r="BO314" s="113">
        <f>INDEX('Dist Plant Depreciation'!$E$7:$AD$94,MATCH($C314,'Dist Plant Depreciation'!$D$7:$D$94,0),MATCH(Calculation!$G314,'Dist Plant Depreciation'!$E$5:$AD$5,0))</f>
        <v>43251</v>
      </c>
      <c r="BP314" s="113">
        <f>INDEX('Gen. Plant Depreciation'!$E$7:$AD$94,MATCH($C314,'Gen. Plant Depreciation'!$D$7:$D$94,0),MATCH(Calculation!$G314,'Gen. Plant Depreciation'!$E$5:$AD$5,0))</f>
        <v>258</v>
      </c>
      <c r="BQ314" s="113"/>
      <c r="BR314" s="113"/>
      <c r="BS314" s="113"/>
      <c r="BT314" s="113"/>
      <c r="BU314" s="113"/>
      <c r="BV314" s="113"/>
      <c r="BW314" s="113">
        <f>INDEX('Gross Dx Plant'!$E$7:$AD$91,MATCH($C314,'Gross Dx Plant'!$D$7:$D$91,0),MATCH(Calculation!$G314,'Gross Dx Plant'!$E$5:$AD$5,0))</f>
        <v>103272</v>
      </c>
      <c r="BX314" s="113">
        <f>INDEX('Gross Gen Plant'!$E$7:$AD$91,MATCH($C314,'Gross Gen Plant'!$D$7:$D$91,0),MATCH(Calculation!$G314,'Gross Gen Plant'!$E$5:$AD$5,0))</f>
        <v>1401</v>
      </c>
      <c r="BY314" s="113">
        <f t="shared" si="551"/>
        <v>61164</v>
      </c>
      <c r="BZ314" s="113"/>
      <c r="CA314" s="116">
        <v>2009</v>
      </c>
      <c r="CB314" s="113"/>
      <c r="CC314" s="113"/>
      <c r="CD314" s="113"/>
      <c r="CE314" s="175"/>
      <c r="CF314" s="113">
        <f t="shared" si="583"/>
        <v>9798</v>
      </c>
      <c r="CG314" s="113">
        <f t="shared" si="584"/>
        <v>17.784130168658184</v>
      </c>
      <c r="CH314" s="178">
        <v>0.93567251461988299</v>
      </c>
      <c r="CI314" s="61">
        <f>+CI303*CH314+CG304*CH313+CG305*CH312+CG306*CH311+CG307*CH310+CG308*CH309+CG309*CH308+CG310*CH307+CG311*CH306+CG312*CH305+CG313*CH304+CG314</f>
        <v>286.41509861069176</v>
      </c>
      <c r="CJ314" s="114">
        <f t="shared" si="585"/>
        <v>5.720174775248045E-2</v>
      </c>
      <c r="CK314" s="114"/>
      <c r="CL314" s="169">
        <f t="shared" si="586"/>
        <v>6.8780684134436762E-3</v>
      </c>
      <c r="CM314" s="169">
        <f t="shared" si="594"/>
        <v>6.6689911623108887E-3</v>
      </c>
      <c r="CN314" s="114">
        <f>VLOOKUP($H314,RoR!$E:$F,2,FALSE)</f>
        <v>5.3133333333333324E-2</v>
      </c>
      <c r="CO314" s="169">
        <v>7.7972502758210105E-3</v>
      </c>
      <c r="CP314" s="169">
        <f t="shared" si="592"/>
        <v>4.5336083057512314E-2</v>
      </c>
      <c r="CQ314" s="169">
        <f t="shared" si="595"/>
        <v>2.4232950446222735E-2</v>
      </c>
      <c r="CR314" s="169">
        <f t="shared" si="596"/>
        <v>6.3720160300892073E-2</v>
      </c>
      <c r="CS314" s="179">
        <f t="shared" si="587"/>
        <v>0.84647404999999998</v>
      </c>
      <c r="CT314" s="180">
        <f t="shared" si="588"/>
        <v>0.96515780330083989</v>
      </c>
      <c r="CU314" s="180">
        <f t="shared" si="589"/>
        <v>0.50448557089084056</v>
      </c>
      <c r="CV314" s="180">
        <f t="shared" si="590"/>
        <v>0.87391435735465484</v>
      </c>
      <c r="CW314" s="180">
        <f t="shared" si="591"/>
        <v>0.42551605393279146</v>
      </c>
      <c r="CX314" s="181">
        <f>INDEX('State Tax Lookup'!$D$7:$Z$91,MATCH(Calculation!$C314,'State Tax Lookup'!$B$7:$B$91,0),MATCH($H314,'State Tax Lookup'!$D$6:$Z$6,0))</f>
        <v>0.414935</v>
      </c>
      <c r="CY314" s="72">
        <v>0.37</v>
      </c>
      <c r="CZ314" s="70">
        <f t="shared" si="593"/>
        <v>19.223962208098452</v>
      </c>
      <c r="DA314" s="70">
        <v>17.478615056163342</v>
      </c>
      <c r="DB314" s="69">
        <f t="shared" si="597"/>
        <v>-4.206304244098711E-2</v>
      </c>
      <c r="DC314" s="111">
        <f>VLOOKUP($H314,RoR!$E:$F,2,FALSE)</f>
        <v>5.3133333333333324E-2</v>
      </c>
      <c r="DD314" s="216">
        <f>HLOOKUP($H314,'GDP-PI'!$D$8:$CQ$11,3,FALSE)</f>
        <v>7.7972502758210105E-3</v>
      </c>
      <c r="DE314" s="111">
        <f>VLOOKUP(H314,'HW Dx Data'!$E:$F,2,FALSE)</f>
        <v>550.94063679692806</v>
      </c>
      <c r="DF314" s="72">
        <f t="shared" si="607"/>
        <v>110.925</v>
      </c>
      <c r="DG314" s="69">
        <f t="shared" si="608"/>
        <v>2.7649425000884052E-2</v>
      </c>
      <c r="DH314" s="66">
        <f>HLOOKUP(H314,'GDP-PI'!$8:$9,2,FALSE)</f>
        <v>94.998999999999995</v>
      </c>
      <c r="DI314" s="69">
        <f t="shared" si="598"/>
        <v>7.7670088183096342E-3</v>
      </c>
      <c r="EB314"/>
    </row>
    <row r="315" spans="1:132" s="160" customFormat="1" ht="21">
      <c r="A315" s="160" t="s">
        <v>178</v>
      </c>
      <c r="B315" s="161" t="s">
        <v>178</v>
      </c>
      <c r="C315" s="161">
        <v>4088325</v>
      </c>
      <c r="D315" s="161" t="s">
        <v>179</v>
      </c>
      <c r="E315" s="161"/>
      <c r="F315" s="161"/>
      <c r="G315" s="161" t="s">
        <v>126</v>
      </c>
      <c r="H315" s="162">
        <v>2010</v>
      </c>
      <c r="I315" s="163"/>
      <c r="J315" s="159">
        <f>IFERROR(INDEX('Labor Expenditures'!$F$7:$X$91,MATCH($C315,'Labor Expenditures'!$D$7:$D$91,0),MATCH($G315,'Labor Expenditures'!$F$5:$X$5,0)),"NA")</f>
        <v>3640.6603340527267</v>
      </c>
      <c r="K315" s="159">
        <f t="shared" si="599"/>
        <v>31.13671442422687</v>
      </c>
      <c r="L315" s="165">
        <f t="shared" si="605"/>
        <v>-5.2932236713360399E-2</v>
      </c>
      <c r="M315" s="76">
        <f t="shared" si="609"/>
        <v>-7.9316480211706091E-5</v>
      </c>
      <c r="N315" s="62">
        <f t="shared" si="615"/>
        <v>97.263375505443875</v>
      </c>
      <c r="O315" s="96">
        <f t="shared" si="610"/>
        <v>-0.19261147203983969</v>
      </c>
      <c r="P315" s="96"/>
      <c r="Q315" s="159">
        <f>IFERROR(INDEX('Non-Labor Expenditures'!$F$7:$AB$91,MATCH($C315,'Non-Labor Expenditures'!$D$7:$D$91,0),MATCH($G315,'Non-Labor Expenditures'!$F$5:$AB$5,0)),"NA")</f>
        <v>5272.3561452624363</v>
      </c>
      <c r="R315" s="159">
        <f t="shared" si="600"/>
        <v>54.858089723776509</v>
      </c>
      <c r="S315" s="165">
        <f t="shared" si="611"/>
        <v>-1.1870429173534296E-2</v>
      </c>
      <c r="T315" s="165">
        <f t="shared" si="612"/>
        <v>-1.7787282743134987E-5</v>
      </c>
      <c r="U315" s="165"/>
      <c r="V315" s="165"/>
      <c r="W315" s="159">
        <f t="shared" si="581"/>
        <v>5649.0583501544788</v>
      </c>
      <c r="X315" s="163"/>
      <c r="Y315" s="167">
        <v>295.45048697441632</v>
      </c>
      <c r="Z315" s="168">
        <v>3.1059113727120512E-2</v>
      </c>
      <c r="AA315" s="76">
        <f t="shared" si="601"/>
        <v>4.6540628779219553E-5</v>
      </c>
      <c r="AB315" s="168"/>
      <c r="AC315" s="168"/>
      <c r="AD315" s="163">
        <f t="shared" si="577"/>
        <v>14562.074829469642</v>
      </c>
      <c r="AE315" s="168">
        <f t="shared" si="613"/>
        <v>3.1168577839688891E-2</v>
      </c>
      <c r="AF315" s="163"/>
      <c r="AG315" s="163"/>
      <c r="AH315" s="163"/>
      <c r="AI315" s="163"/>
      <c r="AJ315" s="116">
        <f t="shared" si="614"/>
        <v>445.35062785092794</v>
      </c>
      <c r="AK315" s="114">
        <f>+AV315/$AX$15</f>
        <v>9.2443594225489882E-4</v>
      </c>
      <c r="AL315" s="115">
        <f t="shared" si="602"/>
        <v>0.25000972572157298</v>
      </c>
      <c r="AM315" s="115">
        <f t="shared" si="603"/>
        <v>0.36206077822046584</v>
      </c>
      <c r="AN315" s="115">
        <f t="shared" si="604"/>
        <v>0.38792949605796112</v>
      </c>
      <c r="AO315" s="115">
        <f t="shared" si="606"/>
        <v>-6.065874754329419E-3</v>
      </c>
      <c r="AP315" s="166">
        <f t="shared" si="617"/>
        <v>108.81846102101342</v>
      </c>
      <c r="AQ315" s="168">
        <f t="shared" si="618"/>
        <v>-6.0658747543294242E-3</v>
      </c>
      <c r="AR315" s="69">
        <f>+AD315/$AF$15</f>
        <v>1.4984532137045732E-3</v>
      </c>
      <c r="AS315" s="169">
        <f t="shared" si="616"/>
        <v>-9.0894295195543642E-6</v>
      </c>
      <c r="AT315" s="115"/>
      <c r="AU315" s="115"/>
      <c r="AV315" s="113">
        <f>IFERROR(INDEX('Total Customers'!$F$7:$AB$91,MATCH($C315,'Total Customers'!$D$7:$D$91,0),MATCH($G315,'Total Customers'!$F$5:$AB$5,0)),"NA")</f>
        <v>32698</v>
      </c>
      <c r="AW315" s="68">
        <f t="shared" si="523"/>
        <v>3.0587587795451903E-4</v>
      </c>
      <c r="AX315" s="114"/>
      <c r="AY315" s="114"/>
      <c r="AZ315" s="116"/>
      <c r="BA315" s="116"/>
      <c r="BB315" s="166"/>
      <c r="BC315" s="166"/>
      <c r="BD315" s="166"/>
      <c r="BE315" s="166"/>
      <c r="BF315" s="166"/>
      <c r="BG315" s="166"/>
      <c r="BH315" s="166"/>
      <c r="BI315" s="113"/>
      <c r="BJ315" s="113"/>
      <c r="BK315" s="113">
        <f>INDEX('Dist. Plant Gas Additions'!$F$7:$AE$91,MATCH($C315,'Dist. Plant Gas Additions'!$D$7:$D$91,0),MATCH(Calculation!$G315,'Dist. Plant Gas Additions'!$F$5:$AE$5,0))</f>
        <v>6179</v>
      </c>
      <c r="BL315" s="113">
        <f>INDEX('Gen. Plant Additions'!$F$7:$AE$91,MATCH($C315,'Gen. Plant Additions'!$D$7:$D$91,0),MATCH(Calculation!$G315,'Gen. Plant Additions'!$F$5:$AE$5,0))</f>
        <v>108</v>
      </c>
      <c r="BM315" s="231">
        <f t="shared" si="582"/>
        <v>0.98663512714370194</v>
      </c>
      <c r="BN315" s="61">
        <f t="shared" si="537"/>
        <v>106.55659373151981</v>
      </c>
      <c r="BO315" s="113">
        <f>INDEX('Dist Plant Depreciation'!$E$7:$AD$94,MATCH($C315,'Dist Plant Depreciation'!$D$7:$D$94,0),MATCH(Calculation!$G315,'Dist Plant Depreciation'!$E$5:$AD$5,0))</f>
        <v>43718</v>
      </c>
      <c r="BP315" s="113">
        <f>INDEX('Gen. Plant Depreciation'!$E$7:$AD$94,MATCH($C315,'Gen. Plant Depreciation'!$D$7:$D$94,0),MATCH(Calculation!$G315,'Gen. Plant Depreciation'!$E$5:$AD$5,0))</f>
        <v>262</v>
      </c>
      <c r="BQ315" s="113"/>
      <c r="BR315" s="113"/>
      <c r="BS315" s="113"/>
      <c r="BT315" s="113"/>
      <c r="BU315" s="113"/>
      <c r="BV315" s="113"/>
      <c r="BW315" s="113">
        <f>INDEX('Gross Dx Plant'!$E$7:$AD$91,MATCH($C315,'Gross Dx Plant'!$D$7:$D$91,0),MATCH(Calculation!$G315,'Gross Dx Plant'!$E$5:$AD$5,0))</f>
        <v>108446</v>
      </c>
      <c r="BX315" s="113">
        <f>INDEX('Gross Gen Plant'!$E$7:$AD$91,MATCH($C315,'Gross Gen Plant'!$D$7:$D$91,0),MATCH(Calculation!$G315,'Gross Gen Plant'!$E$5:$AD$5,0))</f>
        <v>1469</v>
      </c>
      <c r="BY315" s="113">
        <f t="shared" si="551"/>
        <v>65935</v>
      </c>
      <c r="BZ315" s="113"/>
      <c r="CA315" s="116">
        <v>2010</v>
      </c>
      <c r="CB315" s="113"/>
      <c r="CC315" s="113"/>
      <c r="CD315" s="113"/>
      <c r="CE315" s="175"/>
      <c r="CF315" s="113">
        <f t="shared" si="583"/>
        <v>6287</v>
      </c>
      <c r="CG315" s="113">
        <f t="shared" si="584"/>
        <v>11.049412987310252</v>
      </c>
      <c r="CH315" s="178">
        <v>0.9285714285714286</v>
      </c>
      <c r="CI315" s="61">
        <f>+CI303*CH315+CG304*CH314+CG305*CH313+CG306*CH312+CG307*CH311+CG308*CH310+CG309*CH309+CG310*CH308+CG311*CH307+CG312*CH306+CG313*CH305+CG314*CH304+CG315</f>
        <v>295.45048697441632</v>
      </c>
      <c r="CJ315" s="114">
        <f t="shared" si="585"/>
        <v>3.1059113727120512E-2</v>
      </c>
      <c r="CK315" s="114"/>
      <c r="CL315" s="169">
        <f t="shared" si="586"/>
        <v>7.0318381724814019E-3</v>
      </c>
      <c r="CM315" s="169">
        <f t="shared" si="594"/>
        <v>6.8588192924178811E-3</v>
      </c>
      <c r="CN315" s="114">
        <f>VLOOKUP($H315,RoR!$E:$F,2,FALSE)</f>
        <v>4.9433333333333322E-2</v>
      </c>
      <c r="CO315" s="169">
        <v>1.1684333519300205E-2</v>
      </c>
      <c r="CP315" s="169">
        <f t="shared" si="592"/>
        <v>3.7748999814033117E-2</v>
      </c>
      <c r="CQ315" s="169">
        <f t="shared" si="595"/>
        <v>2.4043122316115745E-2</v>
      </c>
      <c r="CR315" s="169">
        <f t="shared" si="596"/>
        <v>4.7937530248493419E-2</v>
      </c>
      <c r="CS315" s="179">
        <f t="shared" si="587"/>
        <v>0.84647404999999998</v>
      </c>
      <c r="CT315" s="180">
        <f t="shared" si="588"/>
        <v>1.037398205301105</v>
      </c>
      <c r="CU315" s="180">
        <f t="shared" si="589"/>
        <v>0.46926837491571133</v>
      </c>
      <c r="CV315" s="180">
        <f t="shared" si="590"/>
        <v>0.8548537519972772</v>
      </c>
      <c r="CW315" s="180">
        <f t="shared" si="591"/>
        <v>0.41615833911547367</v>
      </c>
      <c r="CX315" s="181">
        <f>INDEX('State Tax Lookup'!$D$7:$Z$91,MATCH(Calculation!$C315,'State Tax Lookup'!$B$7:$B$91,0),MATCH($H315,'State Tax Lookup'!$D$6:$Z$6,0))</f>
        <v>0.414935</v>
      </c>
      <c r="CY315" s="72">
        <v>0.37</v>
      </c>
      <c r="CZ315" s="70">
        <f t="shared" si="593"/>
        <v>19.723325961362576</v>
      </c>
      <c r="DA315" s="70">
        <v>17.956102603965455</v>
      </c>
      <c r="DB315" s="69">
        <f t="shared" si="597"/>
        <v>2.564446169004558E-2</v>
      </c>
      <c r="DC315" s="111">
        <f>VLOOKUP($H315,RoR!$E:$F,2,FALSE)</f>
        <v>4.9433333333333322E-2</v>
      </c>
      <c r="DD315" s="216">
        <f>HLOOKUP($H315,'GDP-PI'!$D$8:$CQ$11,3,FALSE)</f>
        <v>1.1684333519300205E-2</v>
      </c>
      <c r="DE315" s="111">
        <f>VLOOKUP(H315,'HW Dx Data'!$E:$F,2,FALSE)</f>
        <v>568.98950262971744</v>
      </c>
      <c r="DF315" s="72">
        <f t="shared" si="607"/>
        <v>116.925</v>
      </c>
      <c r="DG315" s="69">
        <f t="shared" si="608"/>
        <v>5.2678406346976722E-2</v>
      </c>
      <c r="DH315" s="66">
        <f>HLOOKUP(H315,'GDP-PI'!$8:$9,2,FALSE)</f>
        <v>96.108999999999995</v>
      </c>
      <c r="DI315" s="69">
        <f t="shared" si="598"/>
        <v>1.1616598807150427E-2</v>
      </c>
      <c r="EB315"/>
    </row>
    <row r="316" spans="1:132" s="160" customFormat="1" ht="21">
      <c r="A316" s="160" t="s">
        <v>178</v>
      </c>
      <c r="B316" s="161" t="s">
        <v>178</v>
      </c>
      <c r="C316" s="161">
        <v>4088325</v>
      </c>
      <c r="D316" s="161" t="s">
        <v>179</v>
      </c>
      <c r="E316" s="161"/>
      <c r="F316" s="161"/>
      <c r="G316" s="161" t="s">
        <v>127</v>
      </c>
      <c r="H316" s="162">
        <v>2011</v>
      </c>
      <c r="I316" s="163"/>
      <c r="J316" s="159">
        <f>IFERROR(INDEX('Labor Expenditures'!$F$7:$X$91,MATCH($C316,'Labor Expenditures'!$D$7:$D$91,0),MATCH($G316,'Labor Expenditures'!$F$5:$X$5,0)),"NA")</f>
        <v>3739.2431116265225</v>
      </c>
      <c r="K316" s="159">
        <f t="shared" si="599"/>
        <v>30.934793064128417</v>
      </c>
      <c r="L316" s="165">
        <f t="shared" si="605"/>
        <v>-6.5061114362263946E-3</v>
      </c>
      <c r="M316" s="76">
        <f t="shared" si="609"/>
        <v>-9.8039243239672918E-6</v>
      </c>
      <c r="N316" s="62">
        <f t="shared" si="615"/>
        <v>116.88057208154346</v>
      </c>
      <c r="O316" s="96">
        <f t="shared" si="610"/>
        <v>0.18373015166420914</v>
      </c>
      <c r="P316" s="96"/>
      <c r="Q316" s="159">
        <f>IFERROR(INDEX('Non-Labor Expenditures'!$F$7:$AB$91,MATCH($C316,'Non-Labor Expenditures'!$D$7:$D$91,0),MATCH($G316,'Non-Labor Expenditures'!$F$5:$AB$5,0)),"NA")</f>
        <v>5415.1224199123017</v>
      </c>
      <c r="R316" s="159">
        <f t="shared" si="600"/>
        <v>55.193273197083968</v>
      </c>
      <c r="S316" s="165">
        <f t="shared" si="611"/>
        <v>6.0914195124330741E-3</v>
      </c>
      <c r="T316" s="165">
        <f t="shared" si="612"/>
        <v>9.1790336686992929E-6</v>
      </c>
      <c r="U316" s="165"/>
      <c r="V316" s="165"/>
      <c r="W316" s="159">
        <f t="shared" si="581"/>
        <v>6224.8690409305036</v>
      </c>
      <c r="X316" s="163"/>
      <c r="Y316" s="167">
        <v>307.37309611484437</v>
      </c>
      <c r="Z316" s="168">
        <v>3.9561040466056387E-2</v>
      </c>
      <c r="AA316" s="76">
        <f t="shared" si="601"/>
        <v>5.9613711002094846E-5</v>
      </c>
      <c r="AB316" s="168"/>
      <c r="AC316" s="168"/>
      <c r="AD316" s="163">
        <f t="shared" si="577"/>
        <v>15379.234572469328</v>
      </c>
      <c r="AE316" s="168">
        <f t="shared" si="613"/>
        <v>5.4597660479129298E-2</v>
      </c>
      <c r="AF316" s="163"/>
      <c r="AG316" s="163"/>
      <c r="AH316" s="163"/>
      <c r="AI316" s="163"/>
      <c r="AJ316" s="116">
        <f t="shared" si="614"/>
        <v>472.05974930075593</v>
      </c>
      <c r="AK316" s="114">
        <f>+AV316/$AX$16</f>
        <v>9.1662741994745468E-4</v>
      </c>
      <c r="AL316" s="115">
        <f t="shared" si="602"/>
        <v>0.24313583969388278</v>
      </c>
      <c r="AM316" s="115">
        <f t="shared" si="603"/>
        <v>0.35210610738755616</v>
      </c>
      <c r="AN316" s="115">
        <f t="shared" si="604"/>
        <v>0.40475805291856104</v>
      </c>
      <c r="AO316" s="115">
        <f t="shared" si="606"/>
        <v>1.6250687150625841E-2</v>
      </c>
      <c r="AP316" s="166">
        <f t="shared" si="617"/>
        <v>110.60128259055918</v>
      </c>
      <c r="AQ316" s="168">
        <f t="shared" si="618"/>
        <v>1.6250687150625796E-2</v>
      </c>
      <c r="AR316" s="69">
        <f>+AD316/$AF$16</f>
        <v>1.5068792503888711E-3</v>
      </c>
      <c r="AS316" s="169">
        <f t="shared" si="616"/>
        <v>2.4487823271839059E-5</v>
      </c>
      <c r="AT316" s="115"/>
      <c r="AU316" s="115"/>
      <c r="AV316" s="113">
        <f>IFERROR(INDEX('Total Customers'!$F$7:$AB$91,MATCH($C316,'Total Customers'!$D$7:$D$91,0),MATCH($G316,'Total Customers'!$F$5:$AB$5,0)),"NA")</f>
        <v>32579</v>
      </c>
      <c r="AW316" s="68">
        <f t="shared" si="523"/>
        <v>-3.6460049274846897E-3</v>
      </c>
      <c r="AX316" s="114"/>
      <c r="AY316" s="114"/>
      <c r="AZ316" s="116"/>
      <c r="BA316" s="116"/>
      <c r="BB316" s="166"/>
      <c r="BC316" s="166"/>
      <c r="BD316" s="166"/>
      <c r="BE316" s="166"/>
      <c r="BF316" s="166"/>
      <c r="BG316" s="166"/>
      <c r="BH316" s="166"/>
      <c r="BI316" s="113"/>
      <c r="BJ316" s="113"/>
      <c r="BK316" s="113">
        <f>INDEX('Dist. Plant Gas Additions'!$F$7:$AE$91,MATCH($C316,'Dist. Plant Gas Additions'!$D$7:$D$91,0),MATCH(Calculation!$G316,'Dist. Plant Gas Additions'!$F$5:$AE$5,0))</f>
        <v>8306</v>
      </c>
      <c r="BL316" s="113">
        <f>INDEX('Gen. Plant Additions'!$F$7:$AE$91,MATCH($C316,'Gen. Plant Additions'!$D$7:$D$91,0),MATCH(Calculation!$G316,'Gen. Plant Additions'!$F$5:$AE$5,0))</f>
        <v>295</v>
      </c>
      <c r="BM316" s="231">
        <f t="shared" si="582"/>
        <v>0.98567215216926696</v>
      </c>
      <c r="BN316" s="61">
        <f t="shared" si="537"/>
        <v>290.77328488993373</v>
      </c>
      <c r="BO316" s="113">
        <f>INDEX('Dist Plant Depreciation'!$E$7:$AD$94,MATCH($C316,'Dist Plant Depreciation'!$D$7:$D$94,0),MATCH(Calculation!$G316,'Dist Plant Depreciation'!$E$5:$AD$5,0))</f>
        <v>43960</v>
      </c>
      <c r="BP316" s="113">
        <f>INDEX('Gen. Plant Depreciation'!$E$7:$AD$94,MATCH($C316,'Gen. Plant Depreciation'!$D$7:$D$94,0),MATCH(Calculation!$G316,'Gen. Plant Depreciation'!$E$5:$AD$5,0))</f>
        <v>201</v>
      </c>
      <c r="BQ316" s="113"/>
      <c r="BR316" s="113"/>
      <c r="BS316" s="113"/>
      <c r="BT316" s="113"/>
      <c r="BU316" s="113"/>
      <c r="BV316" s="113"/>
      <c r="BW316" s="113">
        <f>INDEX('Gross Dx Plant'!$E$7:$AD$91,MATCH($C316,'Gross Dx Plant'!$D$7:$D$91,0),MATCH(Calculation!$G316,'Gross Dx Plant'!$E$5:$AD$5,0))</f>
        <v>115299</v>
      </c>
      <c r="BX316" s="113">
        <f>INDEX('Gross Gen Plant'!$E$7:$AD$91,MATCH($C316,'Gross Gen Plant'!$D$7:$D$91,0),MATCH(Calculation!$G316,'Gross Gen Plant'!$E$5:$AD$5,0))</f>
        <v>1676</v>
      </c>
      <c r="BY316" s="113">
        <f t="shared" si="551"/>
        <v>72814</v>
      </c>
      <c r="BZ316" s="113"/>
      <c r="CA316" s="116">
        <v>2011</v>
      </c>
      <c r="CB316" s="113"/>
      <c r="CC316" s="113"/>
      <c r="CD316" s="113"/>
      <c r="CE316" s="175"/>
      <c r="CF316" s="113">
        <f t="shared" si="583"/>
        <v>8601</v>
      </c>
      <c r="CG316" s="113">
        <f t="shared" si="584"/>
        <v>14.062858006540534</v>
      </c>
      <c r="CH316" s="178">
        <v>0.92121212121212126</v>
      </c>
      <c r="CI316" s="61">
        <f>+CI303*CH316+CG304*CH315+CG305*CH314+CG306*CH313+CG307*CH312+CG308*CH311+CG309*CH310+CG310*CH309+CG311*CH308+CG312*CH307+CG313*CH306+CG314*CH305+CG315*CH304+CG316</f>
        <v>307.37309611484437</v>
      </c>
      <c r="CJ316" s="114">
        <f t="shared" si="585"/>
        <v>3.9561040466056387E-2</v>
      </c>
      <c r="CK316" s="114"/>
      <c r="CL316" s="169">
        <f t="shared" si="586"/>
        <v>7.2440187458476298E-3</v>
      </c>
      <c r="CM316" s="169">
        <f t="shared" si="594"/>
        <v>7.051308443924236E-3</v>
      </c>
      <c r="CN316" s="114">
        <f>VLOOKUP($H316,RoR!$E:$F,2,FALSE)</f>
        <v>4.6391666666666664E-2</v>
      </c>
      <c r="CO316" s="169">
        <v>2.0840920205183799E-2</v>
      </c>
      <c r="CP316" s="169">
        <f t="shared" si="592"/>
        <v>2.5550746461482865E-2</v>
      </c>
      <c r="CQ316" s="169">
        <f t="shared" si="595"/>
        <v>2.3850633164609388E-2</v>
      </c>
      <c r="CR316" s="169">
        <f t="shared" si="596"/>
        <v>2.4810540821321614E-2</v>
      </c>
      <c r="CS316" s="179">
        <f t="shared" si="587"/>
        <v>0.84647404999999998</v>
      </c>
      <c r="CT316" s="180">
        <f t="shared" si="588"/>
        <v>1.1054151524782025</v>
      </c>
      <c r="CU316" s="180">
        <f t="shared" si="589"/>
        <v>0.43611011316687626</v>
      </c>
      <c r="CV316" s="180">
        <f t="shared" si="590"/>
        <v>0.83698442246886229</v>
      </c>
      <c r="CW316" s="180">
        <f t="shared" si="591"/>
        <v>0.40349573304423936</v>
      </c>
      <c r="CX316" s="181">
        <f>INDEX('State Tax Lookup'!$D$7:$Z$91,MATCH(Calculation!$C316,'State Tax Lookup'!$B$7:$B$91,0),MATCH($H316,'State Tax Lookup'!$D$6:$Z$6,0))</f>
        <v>0.414935</v>
      </c>
      <c r="CY316" s="72">
        <v>0.37</v>
      </c>
      <c r="CZ316" s="70">
        <f t="shared" si="593"/>
        <v>21.069076936297378</v>
      </c>
      <c r="DA316" s="70">
        <v>19.146574949201604</v>
      </c>
      <c r="DB316" s="69">
        <f t="shared" si="597"/>
        <v>6.6004423221891109E-2</v>
      </c>
      <c r="DC316" s="111">
        <f>VLOOKUP($H316,RoR!$E:$F,2,FALSE)</f>
        <v>4.6391666666666664E-2</v>
      </c>
      <c r="DD316" s="216">
        <f>HLOOKUP($H316,'GDP-PI'!$D$8:$CQ$11,3,FALSE)</f>
        <v>2.0840920205183799E-2</v>
      </c>
      <c r="DE316" s="111">
        <f>VLOOKUP(H316,'HW Dx Data'!$E:$F,2,FALSE)</f>
        <v>611.61109612283201</v>
      </c>
      <c r="DF316" s="72">
        <f t="shared" si="607"/>
        <v>120.875</v>
      </c>
      <c r="DG316" s="69">
        <f t="shared" si="608"/>
        <v>3.3224250161508609E-2</v>
      </c>
      <c r="DH316" s="66">
        <f>HLOOKUP(H316,'GDP-PI'!$8:$9,2,FALSE)</f>
        <v>98.111999999999995</v>
      </c>
      <c r="DI316" s="69">
        <f t="shared" si="598"/>
        <v>2.0626719212849295E-2</v>
      </c>
      <c r="EB316"/>
    </row>
    <row r="317" spans="1:132" s="160" customFormat="1" ht="21">
      <c r="A317" s="160" t="s">
        <v>178</v>
      </c>
      <c r="B317" s="161" t="s">
        <v>178</v>
      </c>
      <c r="C317" s="161">
        <v>4088325</v>
      </c>
      <c r="D317" s="161" t="s">
        <v>179</v>
      </c>
      <c r="E317" s="161"/>
      <c r="F317" s="161"/>
      <c r="G317" s="161" t="s">
        <v>128</v>
      </c>
      <c r="H317" s="162">
        <v>2012</v>
      </c>
      <c r="I317" s="163"/>
      <c r="J317" s="159">
        <f>IFERROR(INDEX('Labor Expenditures'!$F$7:$X$91,MATCH($C317,'Labor Expenditures'!$D$7:$D$91,0),MATCH($G317,'Labor Expenditures'!$F$5:$X$5,0)),"NA")</f>
        <v>3801.358971622321</v>
      </c>
      <c r="K317" s="159">
        <f t="shared" si="599"/>
        <v>30.45960714440962</v>
      </c>
      <c r="L317" s="165">
        <f t="shared" si="605"/>
        <v>-1.5480089625742823E-2</v>
      </c>
      <c r="M317" s="76">
        <f t="shared" si="609"/>
        <v>-2.3617802410284804E-5</v>
      </c>
      <c r="N317" s="62">
        <f t="shared" si="615"/>
        <v>114.8365285011218</v>
      </c>
      <c r="O317" s="96">
        <f t="shared" si="610"/>
        <v>-1.7643036244970378E-2</v>
      </c>
      <c r="P317" s="96"/>
      <c r="Q317" s="159">
        <f>IFERROR(INDEX('Non-Labor Expenditures'!$F$7:$AB$91,MATCH($C317,'Non-Labor Expenditures'!$D$7:$D$91,0),MATCH($G317,'Non-Labor Expenditures'!$F$5:$AB$5,0)),"NA")</f>
        <v>5505.0777868285404</v>
      </c>
      <c r="R317" s="159">
        <f t="shared" si="600"/>
        <v>55.050777868285401</v>
      </c>
      <c r="S317" s="165">
        <f t="shared" si="611"/>
        <v>-2.5850902026165034E-3</v>
      </c>
      <c r="T317" s="165">
        <f t="shared" si="612"/>
        <v>-3.94404367766895E-6</v>
      </c>
      <c r="U317" s="165"/>
      <c r="V317" s="165"/>
      <c r="W317" s="159">
        <f t="shared" si="581"/>
        <v>7009.3312326066734</v>
      </c>
      <c r="X317" s="163"/>
      <c r="Y317" s="167">
        <v>318.69013683620335</v>
      </c>
      <c r="Z317" s="168">
        <v>3.615696632797144E-2</v>
      </c>
      <c r="AA317" s="76">
        <f t="shared" si="601"/>
        <v>5.5164285681477317E-5</v>
      </c>
      <c r="AB317" s="168"/>
      <c r="AC317" s="168"/>
      <c r="AD317" s="163">
        <f t="shared" si="577"/>
        <v>16315.767991057535</v>
      </c>
      <c r="AE317" s="168">
        <f t="shared" si="613"/>
        <v>5.9113806515531636E-2</v>
      </c>
      <c r="AF317" s="163"/>
      <c r="AG317" s="163"/>
      <c r="AH317" s="163"/>
      <c r="AI317" s="163"/>
      <c r="AJ317" s="116">
        <f t="shared" si="614"/>
        <v>496.6899446271587</v>
      </c>
      <c r="AK317" s="114">
        <f>+AV317/$AX$17</f>
        <v>9.1979483666620478E-4</v>
      </c>
      <c r="AL317" s="115">
        <f t="shared" si="602"/>
        <v>0.23298682438398224</v>
      </c>
      <c r="AM317" s="115">
        <f t="shared" si="603"/>
        <v>0.33740843764423489</v>
      </c>
      <c r="AN317" s="115">
        <f t="shared" si="604"/>
        <v>0.42960473797178278</v>
      </c>
      <c r="AO317" s="115">
        <f t="shared" si="606"/>
        <v>1.0507574263919192E-2</v>
      </c>
      <c r="AP317" s="166">
        <f t="shared" si="617"/>
        <v>111.76956091767732</v>
      </c>
      <c r="AQ317" s="168">
        <f t="shared" si="618"/>
        <v>1.0507574263919092E-2</v>
      </c>
      <c r="AR317" s="69">
        <f>+AD317/$AF$17</f>
        <v>1.5256889967232012E-3</v>
      </c>
      <c r="AS317" s="169">
        <f t="shared" si="616"/>
        <v>1.603129043671325E-5</v>
      </c>
      <c r="AT317" s="115"/>
      <c r="AU317" s="115"/>
      <c r="AV317" s="113">
        <f>IFERROR(INDEX('Total Customers'!$F$7:$AB$91,MATCH($C317,'Total Customers'!$D$7:$D$91,0),MATCH($G317,'Total Customers'!$F$5:$AB$5,0)),"NA")</f>
        <v>32849</v>
      </c>
      <c r="AW317" s="68">
        <f t="shared" si="523"/>
        <v>8.2533940412302803E-3</v>
      </c>
      <c r="AX317" s="114"/>
      <c r="AY317" s="114"/>
      <c r="AZ317" s="116"/>
      <c r="BA317" s="116"/>
      <c r="BB317" s="166"/>
      <c r="BC317" s="166"/>
      <c r="BD317" s="166"/>
      <c r="BE317" s="166"/>
      <c r="BF317" s="166"/>
      <c r="BG317" s="166"/>
      <c r="BH317" s="166"/>
      <c r="BI317" s="113"/>
      <c r="BJ317" s="113"/>
      <c r="BK317" s="113">
        <f>INDEX('Dist. Plant Gas Additions'!$F$7:$AE$91,MATCH($C317,'Dist. Plant Gas Additions'!$D$7:$D$91,0),MATCH(Calculation!$G317,'Dist. Plant Gas Additions'!$F$5:$AE$5,0))</f>
        <v>8967</v>
      </c>
      <c r="BL317" s="113">
        <f>INDEX('Gen. Plant Additions'!$F$7:$AE$91,MATCH($C317,'Gen. Plant Additions'!$D$7:$D$91,0),MATCH(Calculation!$G317,'Gen. Plant Additions'!$F$5:$AE$5,0))</f>
        <v>133</v>
      </c>
      <c r="BM317" s="231">
        <f t="shared" si="582"/>
        <v>0.98611066790056479</v>
      </c>
      <c r="BN317" s="61">
        <f t="shared" si="537"/>
        <v>131.15271883077511</v>
      </c>
      <c r="BO317" s="113">
        <f>INDEX('Dist Plant Depreciation'!$E$7:$AD$94,MATCH($C317,'Dist Plant Depreciation'!$D$7:$D$94,0),MATCH(Calculation!$G317,'Dist Plant Depreciation'!$E$5:$AD$5,0))</f>
        <v>45096</v>
      </c>
      <c r="BP317" s="113">
        <f>INDEX('Gen. Plant Depreciation'!$E$7:$AD$94,MATCH($C317,'Gen. Plant Depreciation'!$D$7:$D$94,0),MATCH(Calculation!$G317,'Gen. Plant Depreciation'!$E$5:$AD$5,0))</f>
        <v>169</v>
      </c>
      <c r="BQ317" s="113"/>
      <c r="BR317" s="113"/>
      <c r="BS317" s="113"/>
      <c r="BT317" s="113"/>
      <c r="BU317" s="113"/>
      <c r="BV317" s="113"/>
      <c r="BW317" s="113">
        <f>INDEX('Gross Dx Plant'!$E$7:$AD$91,MATCH($C317,'Gross Dx Plant'!$D$7:$D$91,0),MATCH(Calculation!$G317,'Gross Dx Plant'!$E$5:$AD$5,0))</f>
        <v>123607</v>
      </c>
      <c r="BX317" s="113">
        <f>INDEX('Gross Gen Plant'!$E$7:$AD$91,MATCH($C317,'Gross Gen Plant'!$D$7:$D$91,0),MATCH(Calculation!$G317,'Gross Gen Plant'!$E$5:$AD$5,0))</f>
        <v>1741</v>
      </c>
      <c r="BY317" s="113">
        <f t="shared" si="551"/>
        <v>80083</v>
      </c>
      <c r="BZ317" s="113"/>
      <c r="CA317" s="116">
        <v>2012</v>
      </c>
      <c r="CB317" s="113"/>
      <c r="CC317" s="113"/>
      <c r="CD317" s="113"/>
      <c r="CE317" s="175"/>
      <c r="CF317" s="113">
        <f t="shared" si="583"/>
        <v>9100</v>
      </c>
      <c r="CG317" s="113">
        <f t="shared" si="584"/>
        <v>13.604032204152553</v>
      </c>
      <c r="CH317" s="178">
        <v>0.9135802469135802</v>
      </c>
      <c r="CI317" s="61">
        <f>+CI303*CH317+CG304*CH316+CG305*CH315+CG306*CH314+CG307*CH313+CG308*CH312+CG309*CH311+CG310*CH310+CG311*CH309+CG312*CH308+CG313*CH307+CG314*CH306+CG315*CH305+CG316*CH304+CG317</f>
        <v>318.69013683620335</v>
      </c>
      <c r="CJ317" s="114">
        <f t="shared" si="585"/>
        <v>3.615696632797144E-2</v>
      </c>
      <c r="CK317" s="114"/>
      <c r="CL317" s="169">
        <f t="shared" si="586"/>
        <v>7.440441312856743E-3</v>
      </c>
      <c r="CM317" s="169">
        <f t="shared" si="594"/>
        <v>7.2387660770619243E-3</v>
      </c>
      <c r="CN317" s="114">
        <f>VLOOKUP($H317,RoR!$E:$F,2,FALSE)</f>
        <v>3.6733333333333333E-2</v>
      </c>
      <c r="CO317" s="169">
        <v>1.924331376386168E-2</v>
      </c>
      <c r="CP317" s="169">
        <f t="shared" si="592"/>
        <v>1.7490019569471653E-2</v>
      </c>
      <c r="CQ317" s="169">
        <f t="shared" si="595"/>
        <v>2.3663175531471702E-2</v>
      </c>
      <c r="CR317" s="169">
        <f t="shared" si="596"/>
        <v>6.7122682943869583E-2</v>
      </c>
      <c r="CS317" s="179">
        <f t="shared" si="587"/>
        <v>0.84647404999999998</v>
      </c>
      <c r="CT317" s="180">
        <f t="shared" si="588"/>
        <v>1.3960631020522127</v>
      </c>
      <c r="CU317" s="180">
        <f t="shared" si="589"/>
        <v>0.29441923774954631</v>
      </c>
      <c r="CV317" s="180">
        <f t="shared" si="590"/>
        <v>0.76377954189366437</v>
      </c>
      <c r="CW317" s="180">
        <f t="shared" si="591"/>
        <v>0.31393465103033691</v>
      </c>
      <c r="CX317" s="181">
        <f>INDEX('State Tax Lookup'!$D$7:$Z$91,MATCH(Calculation!$C317,'State Tax Lookup'!$B$7:$B$91,0),MATCH($H317,'State Tax Lookup'!$D$6:$Z$6,0))</f>
        <v>0.414935</v>
      </c>
      <c r="CY317" s="72">
        <v>0.37</v>
      </c>
      <c r="CZ317" s="70">
        <f t="shared" si="593"/>
        <v>22.803984217238597</v>
      </c>
      <c r="DA317" s="70">
        <v>20.759737328210988</v>
      </c>
      <c r="DB317" s="69">
        <f t="shared" si="597"/>
        <v>7.9128849590835409E-2</v>
      </c>
      <c r="DC317" s="111">
        <f>VLOOKUP($H317,RoR!$E:$F,2,FALSE)</f>
        <v>3.6733333333333333E-2</v>
      </c>
      <c r="DD317" s="216">
        <f>HLOOKUP($H317,'GDP-PI'!$D$8:$CQ$11,3,FALSE)</f>
        <v>1.924331376386168E-2</v>
      </c>
      <c r="DE317" s="111">
        <f>VLOOKUP(H317,'HW Dx Data'!$E:$F,2,FALSE)</f>
        <v>668.91932211262167</v>
      </c>
      <c r="DF317" s="72">
        <f t="shared" si="607"/>
        <v>124.80000000000001</v>
      </c>
      <c r="DG317" s="69">
        <f t="shared" si="608"/>
        <v>3.1955502161869064E-2</v>
      </c>
      <c r="DH317" s="66">
        <f>HLOOKUP(H317,'GDP-PI'!$8:$9,2,FALSE)</f>
        <v>100</v>
      </c>
      <c r="DI317" s="69">
        <f t="shared" si="598"/>
        <v>1.9060502738742411E-2</v>
      </c>
      <c r="EB317"/>
    </row>
    <row r="318" spans="1:132" s="160" customFormat="1" ht="21">
      <c r="A318" s="160" t="s">
        <v>178</v>
      </c>
      <c r="B318" s="161" t="s">
        <v>178</v>
      </c>
      <c r="C318" s="161">
        <v>4088325</v>
      </c>
      <c r="D318" s="161" t="s">
        <v>179</v>
      </c>
      <c r="E318" s="161"/>
      <c r="F318" s="161"/>
      <c r="G318" s="161" t="s">
        <v>129</v>
      </c>
      <c r="H318" s="162">
        <v>2013</v>
      </c>
      <c r="I318" s="163"/>
      <c r="J318" s="159">
        <f>IFERROR(INDEX('Labor Expenditures'!$F$7:$X$91,MATCH($C318,'Labor Expenditures'!$D$7:$D$91,0),MATCH($G318,'Labor Expenditures'!$F$5:$X$5,0)),"NA")</f>
        <v>6743.2155906801063</v>
      </c>
      <c r="K318" s="159">
        <f t="shared" si="599"/>
        <v>53.179933680442481</v>
      </c>
      <c r="L318" s="165">
        <f t="shared" si="605"/>
        <v>0.55727968877901979</v>
      </c>
      <c r="M318" s="76">
        <f t="shared" si="609"/>
        <v>1.1886758349393665E-3</v>
      </c>
      <c r="N318" s="62">
        <f t="shared" si="615"/>
        <v>108.0318018160246</v>
      </c>
      <c r="O318" s="96">
        <f t="shared" si="610"/>
        <v>-6.1083980752946465E-2</v>
      </c>
      <c r="P318" s="96"/>
      <c r="Q318" s="159">
        <f>IFERROR(INDEX('Non-Labor Expenditures'!$F$7:$AB$91,MATCH($C318,'Non-Labor Expenditures'!$D$7:$D$91,0),MATCH($G318,'Non-Labor Expenditures'!$F$5:$AB$5,0)),"NA")</f>
        <v>9765.4356342480023</v>
      </c>
      <c r="R318" s="159">
        <f t="shared" si="600"/>
        <v>95.953107742210634</v>
      </c>
      <c r="S318" s="165">
        <f t="shared" si="611"/>
        <v>0.55560361783030754</v>
      </c>
      <c r="T318" s="165">
        <f t="shared" si="612"/>
        <v>1.1851007808426647E-3</v>
      </c>
      <c r="U318" s="165"/>
      <c r="V318" s="165"/>
      <c r="W318" s="159">
        <f t="shared" si="581"/>
        <v>7148.9151751967083</v>
      </c>
      <c r="X318" s="163"/>
      <c r="Y318" s="167">
        <v>330.07069550590887</v>
      </c>
      <c r="Z318" s="168">
        <v>3.5087587491784478E-2</v>
      </c>
      <c r="AA318" s="76">
        <f t="shared" si="601"/>
        <v>7.4841714488438002E-5</v>
      </c>
      <c r="AB318" s="168"/>
      <c r="AC318" s="168"/>
      <c r="AD318" s="163">
        <f t="shared" si="577"/>
        <v>23657.566400124815</v>
      </c>
      <c r="AE318" s="168">
        <f t="shared" si="613"/>
        <v>0.37155099448773499</v>
      </c>
      <c r="AF318" s="163"/>
      <c r="AG318" s="163"/>
      <c r="AH318" s="163"/>
      <c r="AI318" s="163"/>
      <c r="AJ318" s="116">
        <f t="shared" si="614"/>
        <v>717.63533337756519</v>
      </c>
      <c r="AK318" s="114">
        <f>+AV318/$AX$18</f>
        <v>9.1718788846799403E-4</v>
      </c>
      <c r="AL318" s="115">
        <f t="shared" si="602"/>
        <v>0.28503420329170165</v>
      </c>
      <c r="AM318" s="115">
        <f t="shared" si="603"/>
        <v>0.41278276341206765</v>
      </c>
      <c r="AN318" s="115">
        <f t="shared" si="604"/>
        <v>0.30218303329623081</v>
      </c>
      <c r="AO318" s="115">
        <f t="shared" si="606"/>
        <v>0.3655841049526114</v>
      </c>
      <c r="AP318" s="166">
        <f t="shared" si="617"/>
        <v>161.09968983676629</v>
      </c>
      <c r="AQ318" s="168">
        <f t="shared" si="618"/>
        <v>0.3655841049526114</v>
      </c>
      <c r="AR318" s="69">
        <f>+AD318/$AF$18</f>
        <v>2.1329968754894217E-3</v>
      </c>
      <c r="AS318" s="169">
        <f t="shared" si="616"/>
        <v>7.7978975359251697E-4</v>
      </c>
      <c r="AT318" s="115"/>
      <c r="AU318" s="115"/>
      <c r="AV318" s="113">
        <f>IFERROR(INDEX('Total Customers'!$F$7:$AB$91,MATCH($C318,'Total Customers'!$D$7:$D$91,0),MATCH($G318,'Total Customers'!$F$5:$AB$5,0)),"NA")</f>
        <v>32966</v>
      </c>
      <c r="AW318" s="68">
        <f t="shared" si="523"/>
        <v>3.5554242421980018E-3</v>
      </c>
      <c r="AX318" s="114"/>
      <c r="AY318" s="114"/>
      <c r="AZ318" s="116"/>
      <c r="BA318" s="116"/>
      <c r="BB318" s="166"/>
      <c r="BC318" s="166"/>
      <c r="BD318" s="166"/>
      <c r="BE318" s="166"/>
      <c r="BF318" s="166"/>
      <c r="BG318" s="166"/>
      <c r="BH318" s="166"/>
      <c r="BI318" s="113"/>
      <c r="BJ318" s="113"/>
      <c r="BK318" s="113">
        <f>INDEX('Dist. Plant Gas Additions'!$F$7:$AE$91,MATCH($C318,'Dist. Plant Gas Additions'!$D$7:$D$91,0),MATCH(Calculation!$G318,'Dist. Plant Gas Additions'!$F$5:$AE$5,0))</f>
        <v>8974</v>
      </c>
      <c r="BL318" s="113">
        <f>INDEX('Gen. Plant Additions'!$F$7:$AE$91,MATCH($C318,'Gen. Plant Additions'!$D$7:$D$91,0),MATCH(Calculation!$G318,'Gen. Plant Additions'!$F$5:$AE$5,0))</f>
        <v>191</v>
      </c>
      <c r="BM318" s="231">
        <f t="shared" si="582"/>
        <v>0.98586498048916194</v>
      </c>
      <c r="BN318" s="61">
        <f t="shared" si="537"/>
        <v>188.30021127342994</v>
      </c>
      <c r="BO318" s="113">
        <f>INDEX('Dist Plant Depreciation'!$E$7:$AD$94,MATCH($C318,'Dist Plant Depreciation'!$D$7:$D$94,0),MATCH(Calculation!$G318,'Dist Plant Depreciation'!$E$5:$AD$5,0))</f>
        <v>45645</v>
      </c>
      <c r="BP318" s="113">
        <f>INDEX('Gen. Plant Depreciation'!$E$7:$AD$94,MATCH($C318,'Gen. Plant Depreciation'!$D$7:$D$94,0),MATCH(Calculation!$G318,'Gen. Plant Depreciation'!$E$5:$AD$5,0))</f>
        <v>172</v>
      </c>
      <c r="BQ318" s="113"/>
      <c r="BR318" s="113"/>
      <c r="BS318" s="113"/>
      <c r="BT318" s="113"/>
      <c r="BU318" s="113"/>
      <c r="BV318" s="113"/>
      <c r="BW318" s="113">
        <f>INDEX('Gross Dx Plant'!$E$7:$AD$91,MATCH($C318,'Gross Dx Plant'!$D$7:$D$91,0),MATCH(Calculation!$G318,'Gross Dx Plant'!$E$5:$AD$5,0))</f>
        <v>131123</v>
      </c>
      <c r="BX318" s="113">
        <f>INDEX('Gross Gen Plant'!$E$7:$AD$91,MATCH($C318,'Gross Gen Plant'!$D$7:$D$91,0),MATCH(Calculation!$G318,'Gross Gen Plant'!$E$5:$AD$5,0))</f>
        <v>1880</v>
      </c>
      <c r="BY318" s="113">
        <f t="shared" si="551"/>
        <v>87186</v>
      </c>
      <c r="BZ318" s="113"/>
      <c r="CA318" s="116">
        <v>2013</v>
      </c>
      <c r="CB318" s="113"/>
      <c r="CC318" s="113"/>
      <c r="CD318" s="113"/>
      <c r="CE318" s="175"/>
      <c r="CF318" s="113">
        <f t="shared" si="583"/>
        <v>9165</v>
      </c>
      <c r="CG318" s="113">
        <f t="shared" si="584"/>
        <v>13.818352104825172</v>
      </c>
      <c r="CH318" s="178">
        <v>0.90566037735849059</v>
      </c>
      <c r="CI318" s="61">
        <f>+CI303*CH318+CG304*CH317+CG305*CH316+CG306*CH315+CG307*CH314+CG308*CH313+CG309*CH312+CG310*CH311+CG311*CH310+CG312*CH309+CG313*CH308+CG314*CH307+CG315*CH306+CG316*CH305+CG317*CH304+CG318</f>
        <v>330.07069550590887</v>
      </c>
      <c r="CJ318" s="114">
        <f t="shared" si="585"/>
        <v>3.5087587491784478E-2</v>
      </c>
      <c r="CK318" s="114"/>
      <c r="CL318" s="169">
        <f t="shared" si="586"/>
        <v>7.649416010551335E-3</v>
      </c>
      <c r="CM318" s="169">
        <f t="shared" si="594"/>
        <v>7.444625356418569E-3</v>
      </c>
      <c r="CN318" s="114">
        <f>VLOOKUP($H318,RoR!$E:$F,2,FALSE)</f>
        <v>4.2350000000000006E-2</v>
      </c>
      <c r="CO318" s="169">
        <v>1.7730000000000024E-2</v>
      </c>
      <c r="CP318" s="169">
        <f t="shared" si="592"/>
        <v>2.4619999999999982E-2</v>
      </c>
      <c r="CQ318" s="169">
        <f t="shared" si="595"/>
        <v>2.3457316252115057E-2</v>
      </c>
      <c r="CR318" s="169">
        <f t="shared" si="596"/>
        <v>5.3376742735721204E-2</v>
      </c>
      <c r="CS318" s="179">
        <f t="shared" si="587"/>
        <v>0.84647404999999998</v>
      </c>
      <c r="CT318" s="180">
        <f t="shared" si="588"/>
        <v>1.2109103018193925</v>
      </c>
      <c r="CU318" s="180">
        <f t="shared" si="589"/>
        <v>0.38468122786304604</v>
      </c>
      <c r="CV318" s="180">
        <f t="shared" si="590"/>
        <v>0.80969194503422559</v>
      </c>
      <c r="CW318" s="180">
        <f t="shared" si="591"/>
        <v>0.37716621754800816</v>
      </c>
      <c r="CX318" s="181">
        <f>INDEX('State Tax Lookup'!$D$7:$Z$91,MATCH(Calculation!$C318,'State Tax Lookup'!$B$7:$B$91,0),MATCH($H318,'State Tax Lookup'!$D$6:$Z$6,0))</f>
        <v>0.414935</v>
      </c>
      <c r="CY318" s="72">
        <v>0.37</v>
      </c>
      <c r="CZ318" s="70">
        <f t="shared" si="593"/>
        <v>22.432182075565848</v>
      </c>
      <c r="DA318" s="70">
        <v>20.339519021246105</v>
      </c>
      <c r="DB318" s="69">
        <f t="shared" si="597"/>
        <v>-1.6438639466823703E-2</v>
      </c>
      <c r="DC318" s="111">
        <f>VLOOKUP($H318,RoR!$E:$F,2,FALSE)</f>
        <v>4.2350000000000006E-2</v>
      </c>
      <c r="DD318" s="216">
        <f>HLOOKUP($H318,'GDP-PI'!$D$8:$CQ$11,3,FALSE)</f>
        <v>1.7730000000000024E-2</v>
      </c>
      <c r="DE318" s="111">
        <f>VLOOKUP(H318,'HW Dx Data'!$E:$F,2,FALSE)</f>
        <v>663.24840548821396</v>
      </c>
      <c r="DF318" s="72">
        <f t="shared" si="607"/>
        <v>126.8</v>
      </c>
      <c r="DG318" s="69">
        <f t="shared" si="608"/>
        <v>1.5898586067798204E-2</v>
      </c>
      <c r="DH318" s="66">
        <f>HLOOKUP(H318,'GDP-PI'!$8:$9,2,FALSE)</f>
        <v>101.773</v>
      </c>
      <c r="DI318" s="69">
        <f t="shared" si="598"/>
        <v>1.7574657016510519E-2</v>
      </c>
      <c r="EB318"/>
    </row>
    <row r="319" spans="1:132" s="160" customFormat="1" ht="21">
      <c r="A319" s="160" t="s">
        <v>178</v>
      </c>
      <c r="B319" s="161" t="s">
        <v>178</v>
      </c>
      <c r="C319" s="161">
        <v>4088325</v>
      </c>
      <c r="D319" s="161" t="s">
        <v>179</v>
      </c>
      <c r="E319" s="161"/>
      <c r="F319" s="161"/>
      <c r="G319" s="161" t="s">
        <v>130</v>
      </c>
      <c r="H319" s="162">
        <v>2014</v>
      </c>
      <c r="I319" s="163"/>
      <c r="J319" s="159">
        <f>IFERROR(INDEX('Labor Expenditures'!$F$7:$X$91,MATCH($C319,'Labor Expenditures'!$D$7:$D$91,0),MATCH($G319,'Labor Expenditures'!$F$5:$X$5,0)),"NA")</f>
        <v>4582.3217983813502</v>
      </c>
      <c r="K319" s="159">
        <f t="shared" si="599"/>
        <v>35.412069539268543</v>
      </c>
      <c r="L319" s="165">
        <f t="shared" si="605"/>
        <v>-0.40662842926972242</v>
      </c>
      <c r="M319" s="76">
        <f t="shared" si="609"/>
        <v>-6.7145605653493284E-4</v>
      </c>
      <c r="N319" s="62">
        <f t="shared" si="615"/>
        <v>120.88529712682968</v>
      </c>
      <c r="O319" s="96">
        <f t="shared" si="610"/>
        <v>0.11241649333274752</v>
      </c>
      <c r="P319" s="96"/>
      <c r="Q319" s="159">
        <f>IFERROR(INDEX('Non-Labor Expenditures'!$F$7:$AB$91,MATCH($C319,'Non-Labor Expenditures'!$D$7:$D$91,0),MATCH($G319,'Non-Labor Expenditures'!$F$5:$AB$5,0)),"NA")</f>
        <v>6636.0578237112841</v>
      </c>
      <c r="R319" s="159">
        <f t="shared" si="600"/>
        <v>64.025565850543515</v>
      </c>
      <c r="S319" s="165">
        <f t="shared" si="611"/>
        <v>-0.40457714110430365</v>
      </c>
      <c r="T319" s="165">
        <f t="shared" si="612"/>
        <v>-6.6806881215351443E-4</v>
      </c>
      <c r="U319" s="165"/>
      <c r="V319" s="165"/>
      <c r="W319" s="159">
        <f t="shared" si="581"/>
        <v>7580.9786754845099</v>
      </c>
      <c r="X319" s="163"/>
      <c r="Y319" s="167">
        <v>347.27363229128019</v>
      </c>
      <c r="Z319" s="168">
        <v>5.0806174550625083E-2</v>
      </c>
      <c r="AA319" s="76">
        <f t="shared" si="601"/>
        <v>8.3895052966795415E-5</v>
      </c>
      <c r="AB319" s="168"/>
      <c r="AC319" s="168"/>
      <c r="AD319" s="163">
        <f t="shared" si="577"/>
        <v>18799.358297577142</v>
      </c>
      <c r="AE319" s="168">
        <f t="shared" si="613"/>
        <v>-0.22986025997674381</v>
      </c>
      <c r="AF319" s="163"/>
      <c r="AG319" s="163"/>
      <c r="AH319" s="163"/>
      <c r="AI319" s="163"/>
      <c r="AJ319" s="116">
        <f t="shared" si="614"/>
        <v>567.49353390216868</v>
      </c>
      <c r="AK319" s="114">
        <f>+AV319/$AX$19</f>
        <v>9.167421463117919E-4</v>
      </c>
      <c r="AL319" s="115">
        <f t="shared" si="602"/>
        <v>0.24374884109591757</v>
      </c>
      <c r="AM319" s="115">
        <f t="shared" si="603"/>
        <v>0.35299384791057137</v>
      </c>
      <c r="AN319" s="115">
        <f t="shared" si="604"/>
        <v>0.40325731099351114</v>
      </c>
      <c r="AO319" s="115">
        <f t="shared" si="606"/>
        <v>-0.24449660281510835</v>
      </c>
      <c r="AP319" s="166">
        <f t="shared" si="617"/>
        <v>126.15694941583075</v>
      </c>
      <c r="AQ319" s="168">
        <f t="shared" si="618"/>
        <v>-0.24449660281510838</v>
      </c>
      <c r="AR319" s="69">
        <f>+AD319/$AF$19</f>
        <v>1.6512767140773291E-3</v>
      </c>
      <c r="AS319" s="169">
        <f t="shared" si="616"/>
        <v>-4.03731546899602E-4</v>
      </c>
      <c r="AT319" s="115"/>
      <c r="AU319" s="115"/>
      <c r="AV319" s="113">
        <f>IFERROR(INDEX('Total Customers'!$F$7:$AB$91,MATCH($C319,'Total Customers'!$D$7:$D$91,0),MATCH($G319,'Total Customers'!$F$5:$AB$5,0)),"NA")</f>
        <v>33127</v>
      </c>
      <c r="AW319" s="68">
        <f t="shared" si="523"/>
        <v>4.8719325330732165E-3</v>
      </c>
      <c r="AX319" s="114"/>
      <c r="AY319" s="114"/>
      <c r="AZ319" s="116"/>
      <c r="BA319" s="116"/>
      <c r="BB319" s="166"/>
      <c r="BC319" s="166"/>
      <c r="BD319" s="166"/>
      <c r="BE319" s="166"/>
      <c r="BF319" s="166"/>
      <c r="BG319" s="166"/>
      <c r="BH319" s="166"/>
      <c r="BI319" s="113"/>
      <c r="BJ319" s="113"/>
      <c r="BK319" s="113">
        <f>INDEX('Dist. Plant Gas Additions'!$F$7:$AE$91,MATCH($C319,'Dist. Plant Gas Additions'!$D$7:$D$91,0),MATCH(Calculation!$G319,'Dist. Plant Gas Additions'!$F$5:$AE$5,0))</f>
        <v>13403</v>
      </c>
      <c r="BL319" s="113">
        <f>INDEX('Gen. Plant Additions'!$F$7:$AE$91,MATCH($C319,'Gen. Plant Additions'!$D$7:$D$91,0),MATCH(Calculation!$G319,'Gen. Plant Additions'!$F$5:$AE$5,0))</f>
        <v>149</v>
      </c>
      <c r="BM319" s="231">
        <f t="shared" si="582"/>
        <v>0.98623542737167802</v>
      </c>
      <c r="BN319" s="61">
        <f t="shared" si="537"/>
        <v>146.94907867838003</v>
      </c>
      <c r="BO319" s="113">
        <f>INDEX('Dist Plant Depreciation'!$E$7:$AD$94,MATCH($C319,'Dist Plant Depreciation'!$D$7:$D$94,0),MATCH(Calculation!$G319,'Dist Plant Depreciation'!$E$5:$AD$5,0))</f>
        <v>46704</v>
      </c>
      <c r="BP319" s="113">
        <f>INDEX('Gen. Plant Depreciation'!$E$7:$AD$94,MATCH($C319,'Gen. Plant Depreciation'!$D$7:$D$94,0),MATCH(Calculation!$G319,'Gen. Plant Depreciation'!$E$5:$AD$5,0))</f>
        <v>182</v>
      </c>
      <c r="BQ319" s="113"/>
      <c r="BR319" s="113"/>
      <c r="BS319" s="113"/>
      <c r="BT319" s="113"/>
      <c r="BU319" s="113"/>
      <c r="BV319" s="113"/>
      <c r="BW319" s="113">
        <f>INDEX('Gross Dx Plant'!$E$7:$AD$91,MATCH($C319,'Gross Dx Plant'!$D$7:$D$91,0),MATCH(Calculation!$G319,'Gross Dx Plant'!$E$5:$AD$5,0))</f>
        <v>142799</v>
      </c>
      <c r="BX319" s="113">
        <f>INDEX('Gross Gen Plant'!$E$7:$AD$91,MATCH($C319,'Gross Gen Plant'!$D$7:$D$91,0),MATCH(Calculation!$G319,'Gross Gen Plant'!$E$5:$AD$5,0))</f>
        <v>1993</v>
      </c>
      <c r="BY319" s="113">
        <f t="shared" si="551"/>
        <v>97906</v>
      </c>
      <c r="BZ319" s="113"/>
      <c r="CA319" s="116">
        <v>2014</v>
      </c>
      <c r="CB319" s="113"/>
      <c r="CC319" s="113"/>
      <c r="CD319" s="113"/>
      <c r="CE319" s="175"/>
      <c r="CF319" s="113">
        <f t="shared" si="583"/>
        <v>13552</v>
      </c>
      <c r="CG319" s="113">
        <f t="shared" si="584"/>
        <v>19.799285536179973</v>
      </c>
      <c r="CH319" s="178">
        <v>0.89743589743589747</v>
      </c>
      <c r="CI319" s="61">
        <f>+CI303*CH319+CG304*CH318+CG305*CH317+CG306*CH316+CG307*CH315+CG308*CH314+CG309*CH313+CG310*CH312+CG311*CH311+CG312*CH310+CG313*CH309+CG314*CH308+CG315*CH307+CG316*CH306+CG317*CH305+CG318*CH304+CG319</f>
        <v>347.27363229128019</v>
      </c>
      <c r="CJ319" s="114">
        <f t="shared" si="585"/>
        <v>5.0806174550625083E-2</v>
      </c>
      <c r="CK319" s="114"/>
      <c r="CL319" s="169">
        <f t="shared" si="586"/>
        <v>7.866038355295835E-3</v>
      </c>
      <c r="CM319" s="169">
        <f t="shared" si="594"/>
        <v>7.6519652262346379E-3</v>
      </c>
      <c r="CN319" s="114">
        <f>VLOOKUP($H319,RoR!$E:$F,2,FALSE)</f>
        <v>4.1625000000000002E-2</v>
      </c>
      <c r="CO319" s="169">
        <v>1.841352814597208E-2</v>
      </c>
      <c r="CP319" s="169">
        <f t="shared" si="592"/>
        <v>2.3211471854027922E-2</v>
      </c>
      <c r="CQ319" s="169">
        <f t="shared" si="595"/>
        <v>2.3249976382298986E-2</v>
      </c>
      <c r="CR319" s="169">
        <f t="shared" si="596"/>
        <v>3.9072621432650924E-2</v>
      </c>
      <c r="CS319" s="179">
        <f t="shared" si="587"/>
        <v>0.84647404999999998</v>
      </c>
      <c r="CT319" s="180">
        <f t="shared" si="588"/>
        <v>1.2320012320012319</v>
      </c>
      <c r="CU319" s="180">
        <f t="shared" si="589"/>
        <v>0.37439939939939942</v>
      </c>
      <c r="CV319" s="180">
        <f t="shared" si="590"/>
        <v>0.80432100613819935</v>
      </c>
      <c r="CW319" s="180">
        <f t="shared" si="591"/>
        <v>0.37100152660040037</v>
      </c>
      <c r="CX319" s="181">
        <f>INDEX('State Tax Lookup'!$D$7:$Z$91,MATCH(Calculation!$C319,'State Tax Lookup'!$B$7:$B$91,0),MATCH($H319,'State Tax Lookup'!$D$6:$Z$6,0))</f>
        <v>0.414935</v>
      </c>
      <c r="CY319" s="72">
        <v>0.37</v>
      </c>
      <c r="CZ319" s="70">
        <f t="shared" si="593"/>
        <v>22.96774230097866</v>
      </c>
      <c r="DA319" s="70">
        <v>20.763592984765573</v>
      </c>
      <c r="DB319" s="69">
        <f t="shared" si="597"/>
        <v>2.3594095242909358E-2</v>
      </c>
      <c r="DC319" s="111">
        <f>VLOOKUP($H319,RoR!$E:$F,2,FALSE)</f>
        <v>4.1625000000000002E-2</v>
      </c>
      <c r="DD319" s="216">
        <f>HLOOKUP($H319,'GDP-PI'!$D$8:$CQ$11,3,FALSE)</f>
        <v>1.841352814597208E-2</v>
      </c>
      <c r="DE319" s="111">
        <f>VLOOKUP(H319,'HW Dx Data'!$E:$F,2,FALSE)</f>
        <v>684.46914285042885</v>
      </c>
      <c r="DF319" s="72">
        <f t="shared" si="607"/>
        <v>129.4</v>
      </c>
      <c r="DG319" s="69">
        <f t="shared" si="608"/>
        <v>2.0297340063674733E-2</v>
      </c>
      <c r="DH319" s="66">
        <f>HLOOKUP(H319,'GDP-PI'!$8:$9,2,FALSE)</f>
        <v>103.64700000000001</v>
      </c>
      <c r="DI319" s="69">
        <f t="shared" si="598"/>
        <v>1.8246051898256087E-2</v>
      </c>
      <c r="EB319"/>
    </row>
    <row r="320" spans="1:132" s="160" customFormat="1" ht="21">
      <c r="A320" s="160" t="s">
        <v>178</v>
      </c>
      <c r="B320" s="161" t="s">
        <v>178</v>
      </c>
      <c r="C320" s="161">
        <v>4088325</v>
      </c>
      <c r="D320" s="161" t="s">
        <v>179</v>
      </c>
      <c r="E320" s="161"/>
      <c r="F320" s="161"/>
      <c r="G320" s="161" t="s">
        <v>132</v>
      </c>
      <c r="H320" s="162">
        <v>2015</v>
      </c>
      <c r="I320" s="163"/>
      <c r="J320" s="159">
        <f>IFERROR(INDEX('Labor Expenditures'!$F$7:$X$91,MATCH($C320,'Labor Expenditures'!$D$7:$D$91,0),MATCH($G320,'Labor Expenditures'!$F$5:$X$5,0)),"NA")</f>
        <v>4786.9114993028243</v>
      </c>
      <c r="K320" s="159">
        <f t="shared" si="599"/>
        <v>35.857014976051119</v>
      </c>
      <c r="L320" s="165">
        <f t="shared" si="605"/>
        <v>1.2486514197838366E-2</v>
      </c>
      <c r="M320" s="76">
        <f t="shared" si="609"/>
        <v>2.1223350484475433E-5</v>
      </c>
      <c r="N320" s="62">
        <f t="shared" si="615"/>
        <v>119.31258238577225</v>
      </c>
      <c r="O320" s="96">
        <f t="shared" si="610"/>
        <v>-1.3095346381403148E-2</v>
      </c>
      <c r="P320" s="96"/>
      <c r="Q320" s="159">
        <f>IFERROR(INDEX('Non-Labor Expenditures'!$F$7:$AB$91,MATCH($C320,'Non-Labor Expenditures'!$D$7:$D$91,0),MATCH($G320,'Non-Labor Expenditures'!$F$5:$AB$5,0)),"NA")</f>
        <v>6932.341922730754</v>
      </c>
      <c r="R320" s="159">
        <f t="shared" si="600"/>
        <v>66.250078104060194</v>
      </c>
      <c r="S320" s="165">
        <f t="shared" si="611"/>
        <v>3.4154173785899286E-2</v>
      </c>
      <c r="T320" s="165">
        <f t="shared" si="612"/>
        <v>5.8051910187337206E-5</v>
      </c>
      <c r="U320" s="165"/>
      <c r="V320" s="165"/>
      <c r="W320" s="159">
        <f t="shared" si="581"/>
        <v>7822.7572186215748</v>
      </c>
      <c r="X320" s="163"/>
      <c r="Y320" s="167">
        <v>367.92120308561397</v>
      </c>
      <c r="Z320" s="168">
        <v>5.7755758318348199E-2</v>
      </c>
      <c r="AA320" s="76">
        <f t="shared" si="601"/>
        <v>9.8167565572396788E-5</v>
      </c>
      <c r="AB320" s="168"/>
      <c r="AC320" s="168"/>
      <c r="AD320" s="163">
        <f t="shared" si="577"/>
        <v>19542.010640655153</v>
      </c>
      <c r="AE320" s="168">
        <f t="shared" si="613"/>
        <v>3.8743803878096311E-2</v>
      </c>
      <c r="AF320" s="163"/>
      <c r="AG320" s="163"/>
      <c r="AH320" s="163"/>
      <c r="AI320" s="163"/>
      <c r="AJ320" s="116">
        <f t="shared" si="614"/>
        <v>591.3399292115821</v>
      </c>
      <c r="AK320" s="114">
        <f>+AV320/$AX$20</f>
        <v>9.0709195656718436E-4</v>
      </c>
      <c r="AL320" s="115">
        <f t="shared" si="602"/>
        <v>0.24495491212885459</v>
      </c>
      <c r="AM320" s="115">
        <f t="shared" si="603"/>
        <v>0.35474046402926046</v>
      </c>
      <c r="AN320" s="115">
        <f t="shared" si="604"/>
        <v>0.40030462384188498</v>
      </c>
      <c r="AO320" s="115">
        <f t="shared" si="606"/>
        <v>3.8342307969796145E-2</v>
      </c>
      <c r="AP320" s="166">
        <f t="shared" si="617"/>
        <v>131.08802840053553</v>
      </c>
      <c r="AQ320" s="168">
        <f t="shared" si="618"/>
        <v>3.8342307969796235E-2</v>
      </c>
      <c r="AR320" s="69">
        <f>+AD320/$AF$20</f>
        <v>1.6997017861197455E-3</v>
      </c>
      <c r="AS320" s="169">
        <f t="shared" si="616"/>
        <v>6.5170489340216013E-5</v>
      </c>
      <c r="AT320" s="115"/>
      <c r="AU320" s="115"/>
      <c r="AV320" s="113">
        <f>IFERROR(INDEX('Total Customers'!$F$7:$AB$91,MATCH($C320,'Total Customers'!$D$7:$D$91,0),MATCH($G320,'Total Customers'!$F$5:$AB$5,0)),"NA")</f>
        <v>33047</v>
      </c>
      <c r="AW320" s="68">
        <f t="shared" si="523"/>
        <v>-2.4178692227745254E-3</v>
      </c>
      <c r="AX320" s="114"/>
      <c r="AY320" s="114"/>
      <c r="AZ320" s="116"/>
      <c r="BA320" s="116"/>
      <c r="BB320" s="166"/>
      <c r="BC320" s="166"/>
      <c r="BD320" s="166"/>
      <c r="BE320" s="166"/>
      <c r="BF320" s="166"/>
      <c r="BG320" s="166"/>
      <c r="BH320" s="166"/>
      <c r="BI320" s="113"/>
      <c r="BJ320" s="113"/>
      <c r="BK320" s="113">
        <f>INDEX('Dist. Plant Gas Additions'!$F$7:$AE$91,MATCH($C320,'Dist. Plant Gas Additions'!$D$7:$D$91,0),MATCH(Calculation!$G320,'Dist. Plant Gas Additions'!$F$5:$AE$5,0))</f>
        <v>15680</v>
      </c>
      <c r="BL320" s="113">
        <f>INDEX('Gen. Plant Additions'!$F$7:$AE$91,MATCH($C320,'Gen. Plant Additions'!$D$7:$D$91,0),MATCH(Calculation!$G320,'Gen. Plant Additions'!$F$5:$AE$5,0))</f>
        <v>156</v>
      </c>
      <c r="BM320" s="231">
        <f t="shared" si="582"/>
        <v>0.98672927469271432</v>
      </c>
      <c r="BN320" s="61">
        <f t="shared" si="537"/>
        <v>153.92976685206344</v>
      </c>
      <c r="BO320" s="113">
        <f>INDEX('Dist Plant Depreciation'!$E$7:$AD$94,MATCH($C320,'Dist Plant Depreciation'!$D$7:$D$94,0),MATCH(Calculation!$G320,'Dist Plant Depreciation'!$E$5:$AD$5,0))</f>
        <v>48866</v>
      </c>
      <c r="BP320" s="113">
        <f>INDEX('Gen. Plant Depreciation'!$E$7:$AD$94,MATCH($C320,'Gen. Plant Depreciation'!$D$7:$D$94,0),MATCH(Calculation!$G320,'Gen. Plant Depreciation'!$E$5:$AD$5,0))</f>
        <v>220</v>
      </c>
      <c r="BQ320" s="113"/>
      <c r="BR320" s="113"/>
      <c r="BS320" s="113"/>
      <c r="BT320" s="113"/>
      <c r="BU320" s="113"/>
      <c r="BV320" s="113"/>
      <c r="BW320" s="113">
        <f>INDEX('Gross Dx Plant'!$E$7:$AD$91,MATCH($C320,'Gross Dx Plant'!$D$7:$D$91,0),MATCH(Calculation!$G320,'Gross Dx Plant'!$E$5:$AD$5,0))</f>
        <v>157184</v>
      </c>
      <c r="BX320" s="113">
        <f>INDEX('Gross Gen Plant'!$E$7:$AD$91,MATCH($C320,'Gross Gen Plant'!$D$7:$D$91,0),MATCH(Calculation!$G320,'Gross Gen Plant'!$E$5:$AD$5,0))</f>
        <v>2114</v>
      </c>
      <c r="BY320" s="113">
        <f t="shared" si="551"/>
        <v>110212</v>
      </c>
      <c r="BZ320" s="113"/>
      <c r="CA320" s="116">
        <v>2015</v>
      </c>
      <c r="CB320" s="113"/>
      <c r="CC320" s="113"/>
      <c r="CD320" s="113"/>
      <c r="CE320" s="175"/>
      <c r="CF320" s="113">
        <f t="shared" si="583"/>
        <v>15836</v>
      </c>
      <c r="CG320" s="113">
        <f t="shared" si="584"/>
        <v>23.439397586240251</v>
      </c>
      <c r="CH320" s="178">
        <v>0.88888888888888884</v>
      </c>
      <c r="CI320" s="61">
        <f>+CI303*CH320+CG304*CH319+CG305*CH318+CG306*CH317+CG307*CH316+CG308*CH315+CG309*CH314+CG310*CH313+CG311*CH312+CG312*CH311+CG313*CH310+CG314*CH309+CG315*CH308+CG316*CH307+CG317*CH306+CG318*CH305+CG319*CH304+CG320</f>
        <v>367.92120308561397</v>
      </c>
      <c r="CJ320" s="114">
        <f t="shared" si="585"/>
        <v>5.7755758318348199E-2</v>
      </c>
      <c r="CK320" s="114"/>
      <c r="CL320" s="169">
        <f t="shared" si="586"/>
        <v>8.0392708582170628E-3</v>
      </c>
      <c r="CM320" s="169">
        <f t="shared" si="594"/>
        <v>7.8515750746880764E-3</v>
      </c>
      <c r="CN320" s="114">
        <f>VLOOKUP($H320,RoR!$E:$F,2,FALSE)</f>
        <v>3.8866666666666674E-2</v>
      </c>
      <c r="CO320" s="169">
        <v>9.5709475431029478E-3</v>
      </c>
      <c r="CP320" s="169">
        <f t="shared" si="592"/>
        <v>2.9295719123563727E-2</v>
      </c>
      <c r="CQ320" s="169">
        <f t="shared" si="595"/>
        <v>2.3050366533845547E-2</v>
      </c>
      <c r="CR320" s="169">
        <f t="shared" si="596"/>
        <v>3.5270373279175926E-3</v>
      </c>
      <c r="CS320" s="179">
        <f t="shared" si="587"/>
        <v>0.84647404999999998</v>
      </c>
      <c r="CT320" s="180">
        <f t="shared" si="588"/>
        <v>1.3194352816994324</v>
      </c>
      <c r="CU320" s="180">
        <f t="shared" si="589"/>
        <v>0.33177530017152673</v>
      </c>
      <c r="CV320" s="180">
        <f t="shared" si="590"/>
        <v>0.78242572977668579</v>
      </c>
      <c r="CW320" s="180">
        <f t="shared" si="591"/>
        <v>0.34251158643433932</v>
      </c>
      <c r="CX320" s="181">
        <f>INDEX('State Tax Lookup'!$D$7:$Z$91,MATCH(Calculation!$C320,'State Tax Lookup'!$B$7:$B$91,0),MATCH($H320,'State Tax Lookup'!$D$6:$Z$6,0))</f>
        <v>0.414935</v>
      </c>
      <c r="CY320" s="72">
        <v>0.37</v>
      </c>
      <c r="CZ320" s="70">
        <f t="shared" si="593"/>
        <v>22.526205537137173</v>
      </c>
      <c r="DA320" s="70">
        <v>20.279488671080099</v>
      </c>
      <c r="DB320" s="69">
        <f t="shared" si="597"/>
        <v>-1.9411400816271848E-2</v>
      </c>
      <c r="DC320" s="111">
        <f>VLOOKUP($H320,RoR!$E:$F,2,FALSE)</f>
        <v>3.8866666666666674E-2</v>
      </c>
      <c r="DD320" s="216">
        <f>HLOOKUP($H320,'GDP-PI'!$D$8:$CQ$11,3,FALSE)</f>
        <v>9.5709475431029478E-3</v>
      </c>
      <c r="DE320" s="111">
        <f>VLOOKUP(H320,'HW Dx Data'!$E:$F,2,FALSE)</f>
        <v>675.61463308665782</v>
      </c>
      <c r="DF320" s="72">
        <f t="shared" si="607"/>
        <v>133.5</v>
      </c>
      <c r="DG320" s="69">
        <f t="shared" si="608"/>
        <v>3.1193095773504077E-2</v>
      </c>
      <c r="DH320" s="66">
        <f>HLOOKUP(H320,'GDP-PI'!$8:$9,2,FALSE)</f>
        <v>104.639</v>
      </c>
      <c r="DI320" s="69">
        <f t="shared" si="598"/>
        <v>9.5254361854427965E-3</v>
      </c>
      <c r="EB320"/>
    </row>
    <row r="321" spans="1:132" s="160" customFormat="1" ht="21">
      <c r="A321" s="160" t="s">
        <v>178</v>
      </c>
      <c r="B321" s="161" t="s">
        <v>178</v>
      </c>
      <c r="C321" s="161">
        <v>4088325</v>
      </c>
      <c r="D321" s="161" t="s">
        <v>179</v>
      </c>
      <c r="E321" s="161"/>
      <c r="F321" s="161"/>
      <c r="G321" s="161" t="s">
        <v>133</v>
      </c>
      <c r="H321" s="162">
        <v>2016</v>
      </c>
      <c r="I321" s="163"/>
      <c r="J321" s="159">
        <f>IFERROR(INDEX('Labor Expenditures'!$F$7:$X$91,MATCH($C321,'Labor Expenditures'!$D$7:$D$91,0),MATCH($G321,'Labor Expenditures'!$F$5:$X$5,0)),"NA")</f>
        <v>5347.0945751826512</v>
      </c>
      <c r="K321" s="159">
        <f t="shared" si="599"/>
        <v>39.044137095163578</v>
      </c>
      <c r="L321" s="165">
        <f t="shared" si="605"/>
        <v>8.5153502940530965E-2</v>
      </c>
      <c r="M321" s="76">
        <f t="shared" si="609"/>
        <v>1.5217806135900774E-4</v>
      </c>
      <c r="N321" s="62">
        <f t="shared" si="615"/>
        <v>297.11879785200125</v>
      </c>
      <c r="O321" s="96">
        <f t="shared" si="610"/>
        <v>0.91238525960475625</v>
      </c>
      <c r="P321" s="96"/>
      <c r="Q321" s="159">
        <f>IFERROR(INDEX('Non-Labor Expenditures'!$F$7:$AB$91,MATCH($C321,'Non-Labor Expenditures'!$D$7:$D$91,0),MATCH($G321,'Non-Labor Expenditures'!$F$5:$AB$5,0)),"NA")</f>
        <v>7743.5916443710175</v>
      </c>
      <c r="R321" s="159">
        <f t="shared" si="600"/>
        <v>73.235148335202936</v>
      </c>
      <c r="S321" s="165">
        <f t="shared" si="611"/>
        <v>0.10023883044210884</v>
      </c>
      <c r="T321" s="165">
        <f t="shared" si="612"/>
        <v>1.7913709199053764E-4</v>
      </c>
      <c r="U321" s="165"/>
      <c r="V321" s="165"/>
      <c r="W321" s="159">
        <f t="shared" si="581"/>
        <v>8171.8034842909201</v>
      </c>
      <c r="X321" s="163"/>
      <c r="Y321" s="167">
        <v>382.47799180832396</v>
      </c>
      <c r="Z321" s="168">
        <v>3.880232066364471E-2</v>
      </c>
      <c r="AA321" s="76">
        <f t="shared" si="601"/>
        <v>6.934373491302905E-5</v>
      </c>
      <c r="AB321" s="168"/>
      <c r="AC321" s="168"/>
      <c r="AD321" s="163">
        <f t="shared" si="577"/>
        <v>21262.489703844589</v>
      </c>
      <c r="AE321" s="168">
        <f t="shared" si="613"/>
        <v>8.4377933457896306E-2</v>
      </c>
      <c r="AF321" s="163"/>
      <c r="AG321" s="163"/>
      <c r="AH321" s="163"/>
      <c r="AI321" s="163"/>
      <c r="AJ321" s="116">
        <f t="shared" si="614"/>
        <v>639.58878907004532</v>
      </c>
      <c r="AK321" s="114">
        <f>+AV321/$AX$21</f>
        <v>9.0461404866379487E-4</v>
      </c>
      <c r="AL321" s="115">
        <f t="shared" si="602"/>
        <v>0.25148017234387249</v>
      </c>
      <c r="AM321" s="115">
        <f t="shared" si="603"/>
        <v>0.36419025957110074</v>
      </c>
      <c r="AN321" s="115">
        <f t="shared" si="604"/>
        <v>0.38432956808502677</v>
      </c>
      <c r="AO321" s="115">
        <f t="shared" si="606"/>
        <v>7.2391794423419059E-2</v>
      </c>
      <c r="AP321" s="166">
        <f t="shared" si="617"/>
        <v>140.92965490116833</v>
      </c>
      <c r="AQ321" s="168">
        <f t="shared" si="618"/>
        <v>7.2391794423418976E-2</v>
      </c>
      <c r="AR321" s="69">
        <f>+AD321/$AF$21</f>
        <v>1.7871027744482224E-3</v>
      </c>
      <c r="AS321" s="169">
        <f t="shared" si="616"/>
        <v>1.293715766613774E-4</v>
      </c>
      <c r="AT321" s="115"/>
      <c r="AU321" s="115"/>
      <c r="AV321" s="113">
        <f>IFERROR(INDEX('Total Customers'!$F$7:$AB$91,MATCH($C321,'Total Customers'!$D$7:$D$91,0),MATCH($G321,'Total Customers'!$F$5:$AB$5,0)),"NA")</f>
        <v>33244</v>
      </c>
      <c r="AW321" s="68">
        <f t="shared" si="523"/>
        <v>5.9435090713169346E-3</v>
      </c>
      <c r="AX321" s="114"/>
      <c r="AY321" s="114"/>
      <c r="AZ321" s="116"/>
      <c r="BA321" s="116"/>
      <c r="BB321" s="166"/>
      <c r="BC321" s="166"/>
      <c r="BD321" s="166"/>
      <c r="BE321" s="166"/>
      <c r="BF321" s="166"/>
      <c r="BG321" s="166"/>
      <c r="BH321" s="166"/>
      <c r="BI321" s="113"/>
      <c r="BJ321" s="113"/>
      <c r="BK321" s="113">
        <f>INDEX('Dist. Plant Gas Additions'!$F$7:$AE$91,MATCH($C321,'Dist. Plant Gas Additions'!$D$7:$D$91,0),MATCH(Calculation!$G321,'Dist. Plant Gas Additions'!$F$5:$AE$5,0))</f>
        <v>11541</v>
      </c>
      <c r="BL321" s="113">
        <f>INDEX('Gen. Plant Additions'!$F$7:$AE$91,MATCH($C321,'Gen. Plant Additions'!$D$7:$D$91,0),MATCH(Calculation!$G321,'Gen. Plant Additions'!$F$5:$AE$5,0))</f>
        <v>257</v>
      </c>
      <c r="BM321" s="231">
        <f t="shared" si="582"/>
        <v>0.98725235129224775</v>
      </c>
      <c r="BN321" s="61">
        <f t="shared" si="537"/>
        <v>253.72385428210768</v>
      </c>
      <c r="BO321" s="113">
        <f>INDEX('Dist Plant Depreciation'!$E$7:$AD$94,MATCH($C321,'Dist Plant Depreciation'!$D$7:$D$94,0),MATCH(Calculation!$G321,'Dist Plant Depreciation'!$E$5:$AD$5,0))</f>
        <v>50168</v>
      </c>
      <c r="BP321" s="113">
        <f>INDEX('Gen. Plant Depreciation'!$E$7:$AD$94,MATCH($C321,'Gen. Plant Depreciation'!$D$7:$D$94,0),MATCH(Calculation!$G321,'Gen. Plant Depreciation'!$E$5:$AD$5,0))</f>
        <v>224</v>
      </c>
      <c r="BQ321" s="113"/>
      <c r="BR321" s="113"/>
      <c r="BS321" s="113"/>
      <c r="BT321" s="113"/>
      <c r="BU321" s="113"/>
      <c r="BV321" s="113"/>
      <c r="BW321" s="113">
        <f>INDEX('Gross Dx Plant'!$E$7:$AD$91,MATCH($C321,'Gross Dx Plant'!$D$7:$D$91,0),MATCH(Calculation!$G321,'Gross Dx Plant'!$E$5:$AD$5,0))</f>
        <v>166586</v>
      </c>
      <c r="BX321" s="113">
        <f>INDEX('Gross Gen Plant'!$E$7:$AD$91,MATCH($C321,'Gross Gen Plant'!$D$7:$D$91,0),MATCH(Calculation!$G321,'Gross Gen Plant'!$E$5:$AD$5,0))</f>
        <v>2151</v>
      </c>
      <c r="BY321" s="113">
        <f t="shared" si="551"/>
        <v>118345</v>
      </c>
      <c r="BZ321" s="113"/>
      <c r="CA321" s="116">
        <v>2016</v>
      </c>
      <c r="CB321" s="113"/>
      <c r="CC321" s="113"/>
      <c r="CD321" s="113"/>
      <c r="CE321" s="175"/>
      <c r="CF321" s="113">
        <f t="shared" si="583"/>
        <v>11798</v>
      </c>
      <c r="CG321" s="113">
        <f t="shared" si="584"/>
        <v>17.570761270410902</v>
      </c>
      <c r="CH321" s="178">
        <v>0.88</v>
      </c>
      <c r="CI321" s="61">
        <f>+CI303*CH321+CG304*CH320+CG305*CH319+CG306*CH318+CG307*CH317+CG308*CH316+CG309*CH315+CG310*CH314+CG311*CH313+CG312*CH312+CG313*CH311+CG314*CH310+CG315*CH309+CG316*CH308+CG317*CH307+CG318*CH306+CG319*CH305+CG320*CH304+CG321</f>
        <v>382.47799180832396</v>
      </c>
      <c r="CJ321" s="114">
        <f t="shared" si="585"/>
        <v>3.880232066364471E-2</v>
      </c>
      <c r="CK321" s="114"/>
      <c r="CL321" s="169">
        <f t="shared" si="586"/>
        <v>8.1918968584139065E-3</v>
      </c>
      <c r="CM321" s="169">
        <f t="shared" si="594"/>
        <v>8.0324020239756003E-3</v>
      </c>
      <c r="CN321" s="114">
        <f>VLOOKUP($H321,RoR!$E:$F,2,FALSE)</f>
        <v>3.6658333333333334E-2</v>
      </c>
      <c r="CO321" s="169">
        <v>1.0483662879041455E-2</v>
      </c>
      <c r="CP321" s="169">
        <f t="shared" si="592"/>
        <v>2.6174670454291879E-2</v>
      </c>
      <c r="CQ321" s="169">
        <f t="shared" si="595"/>
        <v>2.2869539584558025E-2</v>
      </c>
      <c r="CR321" s="169">
        <f t="shared" si="596"/>
        <v>4.301363574220729E-3</v>
      </c>
      <c r="CS321" s="179">
        <f t="shared" si="587"/>
        <v>0.84647404999999998</v>
      </c>
      <c r="CT321" s="180">
        <f t="shared" si="588"/>
        <v>1.3989193348138562</v>
      </c>
      <c r="CU321" s="180">
        <f t="shared" si="589"/>
        <v>0.29302682427824522</v>
      </c>
      <c r="CV321" s="180">
        <f t="shared" si="590"/>
        <v>0.76309497491941802</v>
      </c>
      <c r="CW321" s="180">
        <f t="shared" si="591"/>
        <v>0.31280857135128509</v>
      </c>
      <c r="CX321" s="181">
        <f>INDEX('State Tax Lookup'!$D$7:$Z$91,MATCH(Calculation!$C321,'State Tax Lookup'!$B$7:$B$91,0),MATCH($H321,'State Tax Lookup'!$D$6:$Z$6,0))</f>
        <v>0.414935</v>
      </c>
      <c r="CY321" s="72">
        <v>0.37</v>
      </c>
      <c r="CZ321" s="70">
        <f t="shared" si="593"/>
        <v>22.210743538989163</v>
      </c>
      <c r="DA321" s="70">
        <v>19.909765876209278</v>
      </c>
      <c r="DB321" s="69">
        <f t="shared" si="597"/>
        <v>-1.4103207010753495E-2</v>
      </c>
      <c r="DC321" s="111">
        <f>VLOOKUP($H321,RoR!$E:$F,2,FALSE)</f>
        <v>3.6658333333333334E-2</v>
      </c>
      <c r="DD321" s="216">
        <f>HLOOKUP($H321,'GDP-PI'!$D$8:$CQ$11,3,FALSE)</f>
        <v>1.0483662879041455E-2</v>
      </c>
      <c r="DE321" s="111">
        <f>VLOOKUP(H321,'HW Dx Data'!$E:$F,2,FALSE)</f>
        <v>671.45639385971219</v>
      </c>
      <c r="DF321" s="72">
        <f t="shared" si="607"/>
        <v>136.94999999999999</v>
      </c>
      <c r="DG321" s="69">
        <f t="shared" si="608"/>
        <v>2.5514417868782811E-2</v>
      </c>
      <c r="DH321" s="66">
        <f>HLOOKUP(H321,'GDP-PI'!$8:$9,2,FALSE)</f>
        <v>105.736</v>
      </c>
      <c r="DI321" s="69">
        <f t="shared" si="598"/>
        <v>1.0429090367205095E-2</v>
      </c>
      <c r="EB321"/>
    </row>
    <row r="322" spans="1:132" s="160" customFormat="1" ht="21">
      <c r="A322" s="160" t="s">
        <v>178</v>
      </c>
      <c r="B322" s="161" t="s">
        <v>178</v>
      </c>
      <c r="C322" s="161">
        <v>4088325</v>
      </c>
      <c r="D322" s="161" t="s">
        <v>179</v>
      </c>
      <c r="E322" s="161"/>
      <c r="F322" s="161"/>
      <c r="G322" s="161" t="s">
        <v>135</v>
      </c>
      <c r="H322" s="162">
        <v>2017</v>
      </c>
      <c r="I322" s="163"/>
      <c r="J322" s="159">
        <f>IFERROR(INDEX('Labor Expenditures'!$F$7:$X$91,MATCH($C322,'Labor Expenditures'!$D$7:$D$91,0),MATCH($G322,'Labor Expenditures'!$F$5:$X$5,0)),"NA")</f>
        <v>5856.3101794986287</v>
      </c>
      <c r="K322" s="159">
        <f t="shared" si="599"/>
        <v>41.696761690983479</v>
      </c>
      <c r="L322" s="165">
        <f t="shared" si="605"/>
        <v>6.5730741893015282E-2</v>
      </c>
      <c r="M322" s="76">
        <f t="shared" si="609"/>
        <v>1.2207066282406004E-4</v>
      </c>
      <c r="N322" s="62">
        <f t="shared" si="615"/>
        <v>165.80688251909376</v>
      </c>
      <c r="O322" s="96">
        <f t="shared" si="610"/>
        <v>-0.58330829878334622</v>
      </c>
      <c r="P322" s="96"/>
      <c r="Q322" s="159">
        <f>IFERROR(INDEX('Non-Labor Expenditures'!$F$7:$AB$91,MATCH($C322,'Non-Labor Expenditures'!$D$7:$D$91,0),MATCH($G322,'Non-Labor Expenditures'!$F$5:$AB$5,0)),"NA")</f>
        <v>8481.0309477762403</v>
      </c>
      <c r="R322" s="159">
        <f t="shared" si="600"/>
        <v>78.709533533574998</v>
      </c>
      <c r="S322" s="165">
        <f t="shared" si="611"/>
        <v>7.2088811506435507E-2</v>
      </c>
      <c r="T322" s="165">
        <f t="shared" si="612"/>
        <v>1.3387843723279823E-4</v>
      </c>
      <c r="U322" s="165"/>
      <c r="V322" s="165"/>
      <c r="W322" s="159">
        <f t="shared" si="581"/>
        <v>7652.5298529748143</v>
      </c>
      <c r="X322" s="163"/>
      <c r="Y322" s="167">
        <v>404.77973576516143</v>
      </c>
      <c r="Z322" s="168">
        <v>5.6671942996331798E-2</v>
      </c>
      <c r="AA322" s="76">
        <f t="shared" si="601"/>
        <v>1.0524727769465039E-4</v>
      </c>
      <c r="AB322" s="168"/>
      <c r="AC322" s="168"/>
      <c r="AD322" s="163">
        <f t="shared" si="577"/>
        <v>21989.870980249681</v>
      </c>
      <c r="AE322" s="168">
        <f t="shared" si="613"/>
        <v>3.3637463866693335E-2</v>
      </c>
      <c r="AF322" s="163"/>
      <c r="AG322" s="163"/>
      <c r="AH322" s="163"/>
      <c r="AI322" s="163"/>
      <c r="AJ322" s="116">
        <f t="shared" si="614"/>
        <v>661.01154237682033</v>
      </c>
      <c r="AK322" s="114">
        <f>+AV322/$AX$22</f>
        <v>8.9843869843139572E-4</v>
      </c>
      <c r="AL322" s="115">
        <f t="shared" si="602"/>
        <v>0.26631853296267655</v>
      </c>
      <c r="AM322" s="115">
        <f t="shared" si="603"/>
        <v>0.38567897717060384</v>
      </c>
      <c r="AN322" s="115">
        <f t="shared" si="604"/>
        <v>0.34800248986671972</v>
      </c>
      <c r="AO322" s="115">
        <f t="shared" si="606"/>
        <v>6.4797577877808696E-2</v>
      </c>
      <c r="AP322" s="166">
        <f t="shared" si="617"/>
        <v>150.36391296800062</v>
      </c>
      <c r="AQ322" s="168">
        <f t="shared" si="618"/>
        <v>6.4797577877808654E-2</v>
      </c>
      <c r="AR322" s="69">
        <f>+AD322/$AF$22</f>
        <v>1.8571319797781192E-3</v>
      </c>
      <c r="AS322" s="169">
        <f t="shared" si="616"/>
        <v>1.2033765408904165E-4</v>
      </c>
      <c r="AT322" s="115"/>
      <c r="AU322" s="115"/>
      <c r="AV322" s="113">
        <f>IFERROR(INDEX('Total Customers'!$F$7:$AB$91,MATCH($C322,'Total Customers'!$D$7:$D$91,0),MATCH($G322,'Total Customers'!$F$5:$AB$5,0)),"NA")</f>
        <v>33267</v>
      </c>
      <c r="AW322" s="68">
        <f t="shared" si="523"/>
        <v>6.9161494840858453E-4</v>
      </c>
      <c r="AX322" s="114"/>
      <c r="AY322" s="114"/>
      <c r="AZ322" s="116"/>
      <c r="BA322" s="116"/>
      <c r="BB322" s="166"/>
      <c r="BC322" s="166"/>
      <c r="BD322" s="166"/>
      <c r="BE322" s="166"/>
      <c r="BF322" s="166"/>
      <c r="BG322" s="166"/>
      <c r="BH322" s="166"/>
      <c r="BI322" s="113"/>
      <c r="BJ322" s="113"/>
      <c r="BK322" s="113">
        <f>INDEX('Dist. Plant Gas Additions'!$F$7:$AE$91,MATCH($C322,'Dist. Plant Gas Additions'!$D$7:$D$91,0),MATCH(Calculation!$G322,'Dist. Plant Gas Additions'!$F$5:$AE$5,0))</f>
        <v>17957</v>
      </c>
      <c r="BL322" s="113">
        <f>INDEX('Gen. Plant Additions'!$F$7:$AE$91,MATCH($C322,'Gen. Plant Additions'!$D$7:$D$91,0),MATCH(Calculation!$G322,'Gen. Plant Additions'!$F$5:$AE$5,0))</f>
        <v>223</v>
      </c>
      <c r="BM322" s="231">
        <f t="shared" si="582"/>
        <v>0.9874507980448981</v>
      </c>
      <c r="BN322" s="61">
        <f>+BM322*BL322</f>
        <v>220.20152796401229</v>
      </c>
      <c r="BO322" s="113">
        <f>INDEX('Dist Plant Depreciation'!$E$7:$AD$94,MATCH($C322,'Dist Plant Depreciation'!$D$7:$D$94,0),MATCH(Calculation!$G322,'Dist Plant Depreciation'!$E$5:$AD$5,0))</f>
        <v>51742</v>
      </c>
      <c r="BP322" s="113">
        <f>INDEX('Gen. Plant Depreciation'!$E$7:$AD$94,MATCH($C322,'Gen. Plant Depreciation'!$D$7:$D$94,0),MATCH(Calculation!$G322,'Gen. Plant Depreciation'!$E$5:$AD$5,0))</f>
        <v>206</v>
      </c>
      <c r="BQ322" s="113"/>
      <c r="BR322" s="113"/>
      <c r="BS322" s="113"/>
      <c r="BT322" s="113"/>
      <c r="BU322" s="113"/>
      <c r="BV322" s="113"/>
      <c r="BW322" s="113">
        <f>INDEX('Gross Dx Plant'!$E$7:$AD$91,MATCH($C322,'Gross Dx Plant'!$D$7:$D$91,0),MATCH(Calculation!$G322,'Gross Dx Plant'!$E$5:$AD$5,0))</f>
        <v>182631</v>
      </c>
      <c r="BX322" s="113">
        <f>INDEX('Gross Gen Plant'!$E$7:$AD$91,MATCH($C322,'Gross Gen Plant'!$D$7:$D$91,0),MATCH(Calculation!$G322,'Gross Gen Plant'!$E$5:$AD$5,0))</f>
        <v>2321</v>
      </c>
      <c r="BY322" s="113">
        <f t="shared" si="551"/>
        <v>133004</v>
      </c>
      <c r="BZ322" s="113"/>
      <c r="CA322" s="116">
        <v>2017</v>
      </c>
      <c r="CB322" s="113"/>
      <c r="CC322" s="113"/>
      <c r="CD322" s="113"/>
      <c r="CE322" s="175"/>
      <c r="CF322" s="113">
        <f t="shared" si="583"/>
        <v>18180</v>
      </c>
      <c r="CG322" s="113">
        <f t="shared" si="584"/>
        <v>25.518347264400163</v>
      </c>
      <c r="CH322" s="178">
        <v>0.87074829931972786</v>
      </c>
      <c r="CI322" s="61">
        <f>+CI303*CH322+CG304*CH321+CG305*CH320+CG306*CH319+CG307*CH318+CG308*CH317+CG309*CH316+CG310*CH315+CG311*CH314+CG312*CH313+CG313*CH312+CG314*CH311+CG315*CH310+CG316*CH309+CG317*CH308+CG318*CH307+CG319*CH306+CG320*CH305+CG321*CH304+CG322</f>
        <v>404.77973576516143</v>
      </c>
      <c r="CJ322" s="114">
        <f t="shared" si="585"/>
        <v>5.6671942996331798E-2</v>
      </c>
      <c r="CK322" s="114"/>
      <c r="CL322" s="169">
        <f t="shared" si="586"/>
        <v>8.409904298950277E-3</v>
      </c>
      <c r="CM322" s="169">
        <f t="shared" si="594"/>
        <v>8.2136906718604154E-3</v>
      </c>
      <c r="CN322" s="114">
        <f>VLOOKUP($H322,RoR!$E:$F,2,FALSE)</f>
        <v>3.7433333333333339E-2</v>
      </c>
      <c r="CO322" s="169">
        <v>1.9056896421275615E-2</v>
      </c>
      <c r="CP322" s="169">
        <f t="shared" si="592"/>
        <v>1.8376436912057724E-2</v>
      </c>
      <c r="CQ322" s="169">
        <f t="shared" si="595"/>
        <v>2.2688250936673211E-2</v>
      </c>
      <c r="CR322" s="169">
        <f t="shared" si="596"/>
        <v>1.3976271617800498E-2</v>
      </c>
      <c r="CS322" s="179">
        <f t="shared" si="587"/>
        <v>0.89827405000000005</v>
      </c>
      <c r="CT322" s="180">
        <f t="shared" si="588"/>
        <v>1.3699568463593395</v>
      </c>
      <c r="CU322" s="180">
        <f t="shared" si="589"/>
        <v>0.30714603739982199</v>
      </c>
      <c r="CV322" s="180">
        <f t="shared" si="590"/>
        <v>0.77007188472689425</v>
      </c>
      <c r="CW322" s="180">
        <f t="shared" si="591"/>
        <v>0.32402839633793828</v>
      </c>
      <c r="CX322" s="181">
        <f>INDEX('State Tax Lookup'!$D$7:$Z$91,MATCH(Calculation!$C322,'State Tax Lookup'!$B$7:$B$91,0),MATCH($H322,'State Tax Lookup'!$D$6:$Z$6,0))</f>
        <v>0.27493499999999998</v>
      </c>
      <c r="CY322" s="72">
        <v>0.37</v>
      </c>
      <c r="CZ322" s="70">
        <f t="shared" si="593"/>
        <v>20.007765196617701</v>
      </c>
      <c r="DA322" s="70">
        <v>18.231812616449311</v>
      </c>
      <c r="DB322" s="69">
        <f t="shared" si="597"/>
        <v>-0.10445565698166907</v>
      </c>
      <c r="DC322" s="111">
        <f>VLOOKUP($H322,RoR!$E:$F,2,FALSE)</f>
        <v>3.7433333333333339E-2</v>
      </c>
      <c r="DD322" s="216">
        <f>HLOOKUP($H322,'GDP-PI'!$D$8:$CQ$11,3,FALSE)</f>
        <v>1.9056896421275615E-2</v>
      </c>
      <c r="DE322" s="111">
        <f>VLOOKUP(H322,'HW Dx Data'!$E:$F,2,FALSE)</f>
        <v>712.42858370229726</v>
      </c>
      <c r="DF322" s="72">
        <f t="shared" si="607"/>
        <v>140.44999999999999</v>
      </c>
      <c r="DG322" s="69">
        <f t="shared" si="608"/>
        <v>2.5235657841165486E-2</v>
      </c>
      <c r="DH322" s="66">
        <f>HLOOKUP(H322,'GDP-PI'!$8:$9,2,FALSE)</f>
        <v>107.751</v>
      </c>
      <c r="DI322" s="69">
        <f t="shared" si="598"/>
        <v>1.8877588227745139E-2</v>
      </c>
      <c r="EB322"/>
    </row>
    <row r="323" spans="1:132" s="160" customFormat="1" ht="21">
      <c r="A323" s="160" t="s">
        <v>178</v>
      </c>
      <c r="B323" s="161" t="s">
        <v>178</v>
      </c>
      <c r="C323" s="161">
        <v>4088325</v>
      </c>
      <c r="D323" s="161" t="s">
        <v>179</v>
      </c>
      <c r="E323" s="161"/>
      <c r="F323" s="161"/>
      <c r="G323" s="161" t="s">
        <v>136</v>
      </c>
      <c r="H323" s="162">
        <v>2018</v>
      </c>
      <c r="I323" s="163"/>
      <c r="J323" s="159">
        <f>IFERROR(INDEX('Labor Expenditures'!$F$7:$X$91,MATCH($C323,'Labor Expenditures'!$D$7:$D$91,0),MATCH($G323,'Labor Expenditures'!$F$5:$X$5,0)),"NA")</f>
        <v>5458.8267704417294</v>
      </c>
      <c r="K323" s="159">
        <f t="shared" si="599"/>
        <v>37.790424163667218</v>
      </c>
      <c r="L323" s="165">
        <f t="shared" si="605"/>
        <v>-9.8367726969891114E-2</v>
      </c>
      <c r="M323" s="76">
        <f t="shared" si="609"/>
        <v>-1.6714851033379011E-4</v>
      </c>
      <c r="N323" s="62">
        <f t="shared" si="615"/>
        <v>114.30787223867198</v>
      </c>
      <c r="O323" s="96">
        <f t="shared" si="610"/>
        <v>-0.37192831090296224</v>
      </c>
      <c r="P323" s="96"/>
      <c r="Q323" s="159">
        <f>IFERROR(INDEX('Non-Labor Expenditures'!$F$7:$AB$91,MATCH($C323,'Non-Labor Expenditures'!$D$7:$D$91,0),MATCH($G323,'Non-Labor Expenditures'!$F$5:$AB$5,0)),"NA")</f>
        <v>7905.4007318016202</v>
      </c>
      <c r="R323" s="159">
        <f t="shared" si="600"/>
        <v>71.657518281046578</v>
      </c>
      <c r="S323" s="165">
        <f t="shared" si="611"/>
        <v>-9.3866206324407855E-2</v>
      </c>
      <c r="T323" s="165">
        <f t="shared" si="612"/>
        <v>-1.5949943178631453E-4</v>
      </c>
      <c r="U323" s="165"/>
      <c r="V323" s="165"/>
      <c r="W323" s="159">
        <f t="shared" si="581"/>
        <v>8505.7089626714023</v>
      </c>
      <c r="X323" s="163"/>
      <c r="Y323" s="167">
        <v>430.50754799281628</v>
      </c>
      <c r="Z323" s="168">
        <v>6.1621799946894651E-2</v>
      </c>
      <c r="AA323" s="76">
        <f t="shared" si="601"/>
        <v>1.0470905837198963E-4</v>
      </c>
      <c r="AB323" s="168"/>
      <c r="AC323" s="168"/>
      <c r="AD323" s="163">
        <f t="shared" si="577"/>
        <v>21869.936464914754</v>
      </c>
      <c r="AE323" s="168">
        <f t="shared" si="613"/>
        <v>-5.4690077890546529E-3</v>
      </c>
      <c r="AF323" s="163"/>
      <c r="AG323" s="163"/>
      <c r="AH323" s="163"/>
      <c r="AI323" s="163"/>
      <c r="AJ323" s="116">
        <f t="shared" si="614"/>
        <v>653.30196155200008</v>
      </c>
      <c r="AK323" s="114">
        <f>+AV323/$AX$23</f>
        <v>8.9616529275714479E-4</v>
      </c>
      <c r="AL323" s="115">
        <f t="shared" si="602"/>
        <v>0.24960414399004552</v>
      </c>
      <c r="AM323" s="115">
        <f t="shared" si="603"/>
        <v>0.36147342012099598</v>
      </c>
      <c r="AN323" s="115">
        <f t="shared" si="604"/>
        <v>0.38892243588895842</v>
      </c>
      <c r="AO323" s="115">
        <f t="shared" si="606"/>
        <v>-3.7735930876606691E-2</v>
      </c>
      <c r="AP323" s="166">
        <f t="shared" si="617"/>
        <v>144.79551583423745</v>
      </c>
      <c r="AQ323" s="168">
        <f t="shared" si="618"/>
        <v>-3.7735930876606601E-2</v>
      </c>
      <c r="AR323" s="69">
        <f>+AD323/$AF$23</f>
        <v>1.6992210299314099E-3</v>
      </c>
      <c r="AS323" s="169">
        <f t="shared" si="616"/>
        <v>-6.4121687329567954E-5</v>
      </c>
      <c r="AT323" s="115"/>
      <c r="AU323" s="115"/>
      <c r="AV323" s="113">
        <f>IFERROR(INDEX('Total Customers'!$F$7:$AB$91,MATCH($C323,'Total Customers'!$D$7:$D$91,0),MATCH($G323,'Total Customers'!$F$5:$AB$5,0)),"NA")</f>
        <v>33476</v>
      </c>
      <c r="AW323" s="68">
        <f t="shared" si="523"/>
        <v>6.2628495314391488E-3</v>
      </c>
      <c r="AX323" s="114"/>
      <c r="AY323" s="114"/>
      <c r="AZ323" s="116"/>
      <c r="BA323" s="116"/>
      <c r="BB323" s="166"/>
      <c r="BC323" s="166"/>
      <c r="BD323" s="166"/>
      <c r="BE323" s="166"/>
      <c r="BF323" s="166"/>
      <c r="BG323" s="166"/>
      <c r="BH323" s="166"/>
      <c r="BI323" s="113"/>
      <c r="BJ323" s="113"/>
      <c r="BK323" s="113">
        <f>INDEX('Dist. Plant Gas Additions'!$F$7:$AE$91,MATCH($C323,'Dist. Plant Gas Additions'!$D$7:$D$91,0),MATCH(Calculation!$G323,'Dist. Plant Gas Additions'!$F$5:$AE$5,0))</f>
        <v>21894</v>
      </c>
      <c r="BL323" s="113">
        <f>INDEX('Gen. Plant Additions'!$F$7:$AE$91,MATCH($C323,'Gen. Plant Additions'!$D$7:$D$91,0),MATCH(Calculation!$G323,'Gen. Plant Additions'!$F$5:$AE$5,0))</f>
        <v>153</v>
      </c>
      <c r="BM323" s="231">
        <f t="shared" si="582"/>
        <v>0.98858366036389578</v>
      </c>
      <c r="BN323" s="61">
        <f t="shared" si="537"/>
        <v>151.25330003567606</v>
      </c>
      <c r="BO323" s="113">
        <f>INDEX('Dist Plant Depreciation'!$E$7:$AD$94,MATCH($C323,'Dist Plant Depreciation'!$D$7:$D$94,0),MATCH(Calculation!$G323,'Dist Plant Depreciation'!$E$5:$AD$5,0))</f>
        <v>54223</v>
      </c>
      <c r="BP323" s="113">
        <f>INDEX('Gen. Plant Depreciation'!$E$7:$AD$94,MATCH($C323,'Gen. Plant Depreciation'!$D$7:$D$94,0),MATCH(Calculation!$G323,'Gen. Plant Depreciation'!$E$5:$AD$5,0))</f>
        <v>988</v>
      </c>
      <c r="BQ323" s="113"/>
      <c r="BR323" s="113"/>
      <c r="BS323" s="113"/>
      <c r="BT323" s="113"/>
      <c r="BU323" s="113"/>
      <c r="BV323" s="113"/>
      <c r="BW323" s="113">
        <f>INDEX('Gross Dx Plant'!$E$7:$AD$91,MATCH($C323,'Gross Dx Plant'!$D$7:$D$91,0),MATCH(Calculation!$G323,'Gross Dx Plant'!$E$5:$AD$5,0))</f>
        <v>202283</v>
      </c>
      <c r="BX323" s="113">
        <f>INDEX('Gross Gen Plant'!$E$7:$AD$91,MATCH($C323,'Gross Gen Plant'!$D$7:$D$91,0),MATCH(Calculation!$G323,'Gross Gen Plant'!$E$5:$AD$5,0))</f>
        <v>2336</v>
      </c>
      <c r="BY323" s="113">
        <f t="shared" si="551"/>
        <v>149408</v>
      </c>
      <c r="BZ323" s="113"/>
      <c r="CA323" s="116">
        <v>2018</v>
      </c>
      <c r="CB323" s="113"/>
      <c r="CC323" s="113"/>
      <c r="CD323" s="113"/>
      <c r="CE323" s="175"/>
      <c r="CF323" s="113">
        <f t="shared" si="583"/>
        <v>22047</v>
      </c>
      <c r="CG323" s="113">
        <f t="shared" si="584"/>
        <v>29.196037725722736</v>
      </c>
      <c r="CH323" s="178">
        <v>0.86111111111111116</v>
      </c>
      <c r="CI323" s="61">
        <f>+CI303*CH323++CG304*CH322+CG305*CH321+CG306*CH320+CG307*CH319+CG308*CH318+CG309*CH317+CG310*CH316+CG311*CH315+CG312*CH314+CG313*CH313+CG314*CH312+CG315*CH311+CG316*CH310+CG317*CH309+CG318*CH308+CG319*CH307+CG320*CH306+CG321*CH305+CG322*CH304+CG323</f>
        <v>430.50754799281628</v>
      </c>
      <c r="CJ323" s="114">
        <f t="shared" si="585"/>
        <v>6.1621799946894651E-2</v>
      </c>
      <c r="CK323" s="114"/>
      <c r="CL323" s="169">
        <f t="shared" si="586"/>
        <v>8.5681796582821601E-3</v>
      </c>
      <c r="CM323" s="169">
        <f t="shared" si="594"/>
        <v>8.3899936052154473E-3</v>
      </c>
      <c r="CN323" s="114">
        <f>VLOOKUP($H323,RoR!$E:$F,2,FALSE)</f>
        <v>3.9299999999999995E-2</v>
      </c>
      <c r="CO323" s="169">
        <v>2.386056741932796E-2</v>
      </c>
      <c r="CP323" s="169">
        <f t="shared" si="592"/>
        <v>1.5439432580672034E-2</v>
      </c>
      <c r="CQ323" s="169">
        <f t="shared" si="595"/>
        <v>2.2511948003318176E-2</v>
      </c>
      <c r="CR323" s="169">
        <f t="shared" si="596"/>
        <v>3.8270792163076606E-2</v>
      </c>
      <c r="CS323" s="179">
        <f t="shared" si="587"/>
        <v>0.89827405000000005</v>
      </c>
      <c r="CT323" s="180">
        <f t="shared" si="588"/>
        <v>1.3048868010700074</v>
      </c>
      <c r="CU323" s="180">
        <f t="shared" si="589"/>
        <v>0.33886768447837151</v>
      </c>
      <c r="CV323" s="180">
        <f t="shared" si="590"/>
        <v>0.78602506232557801</v>
      </c>
      <c r="CW323" s="180">
        <f t="shared" si="591"/>
        <v>0.34756768162358759</v>
      </c>
      <c r="CX323" s="181">
        <f>INDEX('State Tax Lookup'!$D$7:$Z$91,MATCH(Calculation!$C323,'State Tax Lookup'!$B$7:$B$91,0),MATCH($H323,'State Tax Lookup'!$D$6:$Z$6,0))</f>
        <v>0.27493499999999998</v>
      </c>
      <c r="CY323" s="72">
        <v>0.37</v>
      </c>
      <c r="CZ323" s="70">
        <f t="shared" si="593"/>
        <v>21.013178801040841</v>
      </c>
      <c r="DA323" s="70">
        <v>19.050901628905343</v>
      </c>
      <c r="DB323" s="69">
        <f t="shared" si="597"/>
        <v>4.9029344811560148E-2</v>
      </c>
      <c r="DC323" s="111">
        <f>VLOOKUP($H323,RoR!$E:$F,2,FALSE)</f>
        <v>3.9299999999999995E-2</v>
      </c>
      <c r="DD323" s="216">
        <f>HLOOKUP($H323,'GDP-PI'!$D$8:$CQ$11,3,FALSE)</f>
        <v>2.386056741932796E-2</v>
      </c>
      <c r="DE323" s="111">
        <f>VLOOKUP(H323,'HW Dx Data'!$E:$F,2,FALSE)</f>
        <v>755.13671434174842</v>
      </c>
      <c r="DF323" s="72">
        <f t="shared" si="607"/>
        <v>144.44999999999999</v>
      </c>
      <c r="DG323" s="69">
        <f t="shared" si="608"/>
        <v>2.80818733619915E-2</v>
      </c>
      <c r="DH323" s="66">
        <f>HLOOKUP(H323,'GDP-PI'!$8:$9,2,FALSE)</f>
        <v>110.322</v>
      </c>
      <c r="DI323" s="69">
        <f t="shared" si="598"/>
        <v>2.3580352716508712E-2</v>
      </c>
      <c r="EB323"/>
    </row>
    <row r="324" spans="1:132" s="160" customFormat="1" ht="21">
      <c r="A324" s="160" t="s">
        <v>178</v>
      </c>
      <c r="B324" s="161" t="s">
        <v>178</v>
      </c>
      <c r="C324" s="161">
        <v>4088325</v>
      </c>
      <c r="D324" s="161" t="s">
        <v>179</v>
      </c>
      <c r="E324" s="161"/>
      <c r="F324" s="161"/>
      <c r="G324" s="161" t="s">
        <v>140</v>
      </c>
      <c r="H324" s="162">
        <v>2019</v>
      </c>
      <c r="I324" s="163"/>
      <c r="J324" s="159">
        <f>IFERROR(INDEX('Labor Expenditures'!$F$7:$X$91,MATCH($C324,'Labor Expenditures'!$D$7:$D$91,0),MATCH($G324,'Labor Expenditures'!$F$5:$X$5,0)),"NA")</f>
        <v>4247.7567483600315</v>
      </c>
      <c r="K324" s="159">
        <f t="shared" si="599"/>
        <v>28.379868036479245</v>
      </c>
      <c r="L324" s="165">
        <f t="shared" si="605"/>
        <v>-0.28637571968513625</v>
      </c>
      <c r="M324" s="76">
        <f t="shared" si="609"/>
        <v>-4.2278642863937999E-4</v>
      </c>
      <c r="N324" s="62">
        <f t="shared" si="615"/>
        <v>114.60267506631152</v>
      </c>
      <c r="O324" s="96">
        <f t="shared" si="610"/>
        <v>2.5757047378846595E-3</v>
      </c>
      <c r="P324" s="96"/>
      <c r="Q324" s="159">
        <f>IFERROR(INDEX('Non-Labor Expenditures'!$F$7:$AB$91,MATCH($C324,'Non-Labor Expenditures'!$D$7:$D$91,0),MATCH($G324,'Non-Labor Expenditures'!$F$5:$AB$5,0)),"NA")</f>
        <v>6151.5451431486517</v>
      </c>
      <c r="R324" s="159">
        <f t="shared" si="600"/>
        <v>54.769005352202242</v>
      </c>
      <c r="S324" s="165">
        <f t="shared" si="611"/>
        <v>-0.26877364123736652</v>
      </c>
      <c r="T324" s="165">
        <f t="shared" si="612"/>
        <v>-3.9679986842490022E-4</v>
      </c>
      <c r="U324" s="165"/>
      <c r="V324" s="165"/>
      <c r="W324" s="159">
        <f t="shared" si="581"/>
        <v>9190.690743650528</v>
      </c>
      <c r="X324" s="163"/>
      <c r="Y324" s="167">
        <v>462.23009867864704</v>
      </c>
      <c r="Z324" s="168">
        <v>7.1097959385996751E-2</v>
      </c>
      <c r="AA324" s="76">
        <f t="shared" si="601"/>
        <v>1.0496438861996656E-4</v>
      </c>
      <c r="AB324" s="168"/>
      <c r="AC324" s="168"/>
      <c r="AD324" s="163">
        <f t="shared" si="577"/>
        <v>19589.992635159211</v>
      </c>
      <c r="AE324" s="168">
        <f t="shared" si="613"/>
        <v>-0.11009407355200325</v>
      </c>
      <c r="AF324" s="163"/>
      <c r="AG324" s="163"/>
      <c r="AH324" s="163"/>
      <c r="AI324" s="163"/>
      <c r="AJ324" s="116">
        <f t="shared" si="614"/>
        <v>581.28817053378862</v>
      </c>
      <c r="AK324" s="114">
        <f>+AV324/$AX$24</f>
        <v>8.9474811450705001E-4</v>
      </c>
      <c r="AL324" s="115">
        <f t="shared" si="602"/>
        <v>0.21683299363453329</v>
      </c>
      <c r="AM324" s="115">
        <f t="shared" si="603"/>
        <v>0.31401467359962881</v>
      </c>
      <c r="AN324" s="115">
        <f t="shared" si="604"/>
        <v>0.4691523327658379</v>
      </c>
      <c r="AO324" s="115">
        <f t="shared" si="606"/>
        <v>-0.12706115024246314</v>
      </c>
      <c r="AP324" s="166">
        <f t="shared" si="617"/>
        <v>127.51848841137972</v>
      </c>
      <c r="AQ324" s="168">
        <f t="shared" si="618"/>
        <v>-0.12706115024246317</v>
      </c>
      <c r="AR324" s="69">
        <f>+AD324/$AF$24</f>
        <v>1.4763347573747672E-3</v>
      </c>
      <c r="AS324" s="169">
        <f t="shared" si="616"/>
        <v>-1.875847924149657E-4</v>
      </c>
      <c r="AT324" s="115"/>
      <c r="AU324" s="115"/>
      <c r="AV324" s="113">
        <f>IFERROR(INDEX('Total Customers'!$F$7:$AB$91,MATCH($C324,'Total Customers'!$D$7:$D$91,0),MATCH($G324,'Total Customers'!$F$5:$AB$5,0)),"NA")</f>
        <v>33701</v>
      </c>
      <c r="AW324" s="68">
        <f t="shared" ref="AW324:AW387" si="619">LN(AV324/AV323)</f>
        <v>6.6987463379405924E-3</v>
      </c>
      <c r="AX324" s="114"/>
      <c r="AY324" s="114"/>
      <c r="AZ324" s="116"/>
      <c r="BA324" s="116"/>
      <c r="BB324" s="166"/>
      <c r="BC324" s="166"/>
      <c r="BD324" s="166"/>
      <c r="BE324" s="166"/>
      <c r="BF324" s="166"/>
      <c r="BG324" s="166"/>
      <c r="BH324" s="166"/>
      <c r="BI324" s="113"/>
      <c r="BJ324" s="113"/>
      <c r="BK324" s="113">
        <f>INDEX('Dist. Plant Gas Additions'!$F$7:$AE$91,MATCH($C324,'Dist. Plant Gas Additions'!$D$7:$D$91,0),MATCH(Calculation!$G324,'Dist. Plant Gas Additions'!$F$5:$AE$5,0))</f>
        <v>26770</v>
      </c>
      <c r="BL324" s="113">
        <f>INDEX('Gen. Plant Additions'!$F$7:$AE$91,MATCH($C324,'Gen. Plant Additions'!$D$7:$D$91,0),MATCH(Calculation!$G324,'Gen. Plant Additions'!$F$5:$AE$5,0))</f>
        <v>669</v>
      </c>
      <c r="BM324" s="231">
        <f t="shared" si="582"/>
        <v>0.987208999305073</v>
      </c>
      <c r="BN324" s="61">
        <f t="shared" si="537"/>
        <v>660.4428205350938</v>
      </c>
      <c r="BO324" s="113">
        <f>INDEX('Dist Plant Depreciation'!$E$7:$AD$94,MATCH($C324,'Dist Plant Depreciation'!$D$7:$D$94,0),MATCH(Calculation!$G324,'Dist Plant Depreciation'!$E$5:$AD$5,0))</f>
        <v>57307</v>
      </c>
      <c r="BP324" s="113">
        <f>INDEX('Gen. Plant Depreciation'!$E$7:$AD$94,MATCH($C324,'Gen. Plant Depreciation'!$D$7:$D$94,0),MATCH(Calculation!$G324,'Gen. Plant Depreciation'!$E$5:$AD$5,0))</f>
        <v>1055</v>
      </c>
      <c r="BQ324" s="113"/>
      <c r="BR324" s="113"/>
      <c r="BS324" s="113"/>
      <c r="BT324" s="113"/>
      <c r="BU324" s="113"/>
      <c r="BV324" s="113"/>
      <c r="BW324" s="113">
        <f>INDEX('Gross Dx Plant'!$E$7:$AD$91,MATCH($C324,'Gross Dx Plant'!$D$7:$D$91,0),MATCH(Calculation!$G324,'Gross Dx Plant'!$E$5:$AD$5,0))</f>
        <v>227295</v>
      </c>
      <c r="BX324" s="113">
        <f>INDEX('Gross Gen Plant'!$E$7:$AD$91,MATCH($C324,'Gross Gen Plant'!$D$7:$D$91,0),MATCH(Calculation!$G324,'Gross Gen Plant'!$E$5:$AD$5,0))</f>
        <v>2945</v>
      </c>
      <c r="BY324" s="113">
        <f t="shared" si="551"/>
        <v>171878</v>
      </c>
      <c r="BZ324" s="113"/>
      <c r="CA324" s="116">
        <v>2019</v>
      </c>
      <c r="CB324" s="113"/>
      <c r="CC324" s="113"/>
      <c r="CD324" s="113"/>
      <c r="CE324" s="175"/>
      <c r="CF324" s="113">
        <f t="shared" si="583"/>
        <v>27439</v>
      </c>
      <c r="CG324" s="113">
        <f t="shared" si="584"/>
        <v>35.472018129000162</v>
      </c>
      <c r="CH324" s="178">
        <v>0.85106382978723405</v>
      </c>
      <c r="CI324" s="61">
        <f>CI303*CH324+CG304*CH323+CG305*CH322+CG306*CH321+CG307*CH320+CG308*CH319+CG309*CH318+CG310*CH317+CG311*CH316+CG312*CH315+CG313*CH314+CG314*CH313+CG315*CH312+CG316*CH311+CG317*CH310+CG318*CH309+CG319*CH308+CG320*CH307+CG321*CH306+CG322*CH305+CG323*CH304+CG324</f>
        <v>462.23009867864704</v>
      </c>
      <c r="CJ324" s="114">
        <f t="shared" si="585"/>
        <v>7.1097959385996751E-2</v>
      </c>
      <c r="CK324" s="114"/>
      <c r="CL324" s="169">
        <f t="shared" si="586"/>
        <v>8.7094116250709119E-3</v>
      </c>
      <c r="CM324" s="169">
        <f t="shared" si="594"/>
        <v>8.5624985274344503E-3</v>
      </c>
      <c r="CN324" s="114">
        <f>VLOOKUP($H324,RoR!$E:$F,2,FALSE)</f>
        <v>3.3875000000000009E-2</v>
      </c>
      <c r="CO324" s="169">
        <v>1.8092492884465461E-2</v>
      </c>
      <c r="CP324" s="169">
        <f t="shared" si="592"/>
        <v>1.5782507115534548E-2</v>
      </c>
      <c r="CQ324" s="169">
        <f t="shared" si="595"/>
        <v>2.2339443081099176E-2</v>
      </c>
      <c r="CR324" s="169">
        <f t="shared" si="596"/>
        <v>4.8445665544254078E-2</v>
      </c>
      <c r="CS324" s="179">
        <f t="shared" si="587"/>
        <v>0.89827405000000005</v>
      </c>
      <c r="CT324" s="180">
        <f t="shared" si="588"/>
        <v>1.513861292459078</v>
      </c>
      <c r="CU324" s="180">
        <f t="shared" si="589"/>
        <v>0.23699261992619944</v>
      </c>
      <c r="CV324" s="180">
        <f t="shared" si="590"/>
        <v>0.73619765810468829</v>
      </c>
      <c r="CW324" s="180">
        <f t="shared" si="591"/>
        <v>0.26412854465362851</v>
      </c>
      <c r="CX324" s="181">
        <f>INDEX('State Tax Lookup'!$D$7:$Z$91,MATCH(Calculation!$C324,'State Tax Lookup'!$B$7:$B$91,0),MATCH($H324,'State Tax Lookup'!$D$6:$Z$6,0))</f>
        <v>0.27493499999999998</v>
      </c>
      <c r="CY324" s="72">
        <v>0.37</v>
      </c>
      <c r="CZ324" s="70">
        <f t="shared" si="593"/>
        <v>21.348500825365061</v>
      </c>
      <c r="DA324" s="70">
        <v>19.236104090735289</v>
      </c>
      <c r="DB324" s="69">
        <f t="shared" si="597"/>
        <v>1.5831715413619545E-2</v>
      </c>
      <c r="DC324" s="111">
        <f>VLOOKUP($H324,RoR!$E:$F,2,FALSE)</f>
        <v>3.3875000000000009E-2</v>
      </c>
      <c r="DD324" s="216">
        <f>HLOOKUP($H324,'GDP-PI'!$D$8:$CQ$11,3,FALSE)</f>
        <v>1.8092492884465461E-2</v>
      </c>
      <c r="DE324" s="111">
        <f>VLOOKUP(H324,'HW Dx Data'!$E:$F,2,FALSE)</f>
        <v>773.53929793938721</v>
      </c>
      <c r="DF324" s="72">
        <f t="shared" si="607"/>
        <v>149.67500000000001</v>
      </c>
      <c r="DG324" s="69">
        <f t="shared" si="608"/>
        <v>3.5532849899171604E-2</v>
      </c>
      <c r="DH324" s="66">
        <f>HLOOKUP(H324,'GDP-PI'!$8:$9,2,FALSE)</f>
        <v>112.318</v>
      </c>
      <c r="DI324" s="69">
        <f t="shared" si="598"/>
        <v>1.7930771451401852E-2</v>
      </c>
      <c r="EB324"/>
    </row>
    <row r="325" spans="1:132" s="160" customFormat="1" ht="21">
      <c r="A325" s="160" t="s">
        <v>178</v>
      </c>
      <c r="B325" s="160" t="s">
        <v>178</v>
      </c>
      <c r="C325" s="160">
        <v>4088325</v>
      </c>
      <c r="D325" s="160" t="s">
        <v>179</v>
      </c>
      <c r="G325" s="161" t="s">
        <v>141</v>
      </c>
      <c r="H325" s="162">
        <v>2020</v>
      </c>
      <c r="I325" s="163"/>
      <c r="J325" s="159">
        <f>IFERROR(INDEX('Labor Expenditures'!$F$7:$X$91,MATCH($C325,'Labor Expenditures'!$D$7:$D$91,0),MATCH($G325,'Labor Expenditures'!$F$5:$X$5,0)),"NA")</f>
        <v>4734.0903339342522</v>
      </c>
      <c r="K325" s="159">
        <f t="shared" si="599"/>
        <v>30.911461534014052</v>
      </c>
      <c r="L325" s="165">
        <f t="shared" si="605"/>
        <v>8.5447016715805027E-2</v>
      </c>
      <c r="M325" s="76">
        <f t="shared" si="609"/>
        <v>1.3683813874159796E-4</v>
      </c>
      <c r="N325" s="62">
        <f t="shared" si="615"/>
        <v>113.35984770789096</v>
      </c>
      <c r="O325" s="96">
        <f t="shared" si="610"/>
        <v>-1.0903894702453135E-2</v>
      </c>
      <c r="P325" s="96"/>
      <c r="Q325" s="159">
        <f>IFERROR(INDEX('Non-Labor Expenditures'!$F$7:$AB$91,MATCH($C325,'Non-Labor Expenditures'!$D$7:$D$91,0),MATCH($G325,'Non-Labor Expenditures'!$F$5:$AB$5,0)),"NA")</f>
        <v>6855.8470096442315</v>
      </c>
      <c r="R325" s="159">
        <f t="shared" si="600"/>
        <v>60.338549498290234</v>
      </c>
      <c r="S325" s="165">
        <f t="shared" si="611"/>
        <v>9.6846756451780577E-2</v>
      </c>
      <c r="T325" s="165">
        <f t="shared" si="612"/>
        <v>1.5509412037285593E-4</v>
      </c>
      <c r="U325" s="165"/>
      <c r="V325" s="165"/>
      <c r="W325" s="159">
        <f t="shared" si="581"/>
        <v>10312.756923007097</v>
      </c>
      <c r="X325" s="163"/>
      <c r="Y325" s="167">
        <v>484.53788702353671</v>
      </c>
      <c r="Z325" s="168">
        <v>4.7132810280058141E-2</v>
      </c>
      <c r="AA325" s="76">
        <f t="shared" si="601"/>
        <v>7.5480295044531886E-5</v>
      </c>
      <c r="AB325" s="168"/>
      <c r="AC325" s="168"/>
      <c r="AD325" s="163">
        <f t="shared" si="577"/>
        <v>21902.694266585582</v>
      </c>
      <c r="AE325" s="168">
        <f t="shared" si="613"/>
        <v>0.11159079911949617</v>
      </c>
      <c r="AF325" s="163"/>
      <c r="AG325" s="163"/>
      <c r="AH325" s="163"/>
      <c r="AI325" s="163"/>
      <c r="AJ325" s="116">
        <f t="shared" si="614"/>
        <v>644.68988834360334</v>
      </c>
      <c r="AK325" s="114">
        <f>+AV325/$AX$25</f>
        <v>8.9562664827504612E-4</v>
      </c>
      <c r="AL325" s="115">
        <f t="shared" si="602"/>
        <v>0.21614191735107716</v>
      </c>
      <c r="AM325" s="115">
        <f t="shared" si="603"/>
        <v>0.31301386606593912</v>
      </c>
      <c r="AN325" s="115">
        <f t="shared" si="604"/>
        <v>0.4708442165829837</v>
      </c>
      <c r="AO325" s="115">
        <f t="shared" si="606"/>
        <v>7.101338687509294E-2</v>
      </c>
      <c r="AP325" s="166">
        <f t="shared" si="617"/>
        <v>136.90328780451554</v>
      </c>
      <c r="AQ325" s="168">
        <f t="shared" si="618"/>
        <v>7.1013386875092857E-2</v>
      </c>
      <c r="AR325" s="69">
        <f>+AD325/$AF$25</f>
        <v>1.6014384586031684E-3</v>
      </c>
      <c r="AS325" s="169">
        <f t="shared" si="616"/>
        <v>1.1372356881743918E-4</v>
      </c>
      <c r="AT325" s="115"/>
      <c r="AU325" s="115"/>
      <c r="AV325" s="113">
        <f>IFERROR(INDEX('Total Customers'!$F$7:$AB$91,MATCH($C325,'Total Customers'!$D$7:$D$91,0),MATCH($G325,'Total Customers'!$F$5:$AB$5,0)),"NA")</f>
        <v>33974</v>
      </c>
      <c r="AW325" s="68">
        <f t="shared" si="619"/>
        <v>8.0680156885511948E-3</v>
      </c>
      <c r="AX325" s="114"/>
      <c r="AY325" s="114"/>
      <c r="AZ325" s="116"/>
      <c r="BA325" s="116"/>
      <c r="BB325" s="166"/>
      <c r="BC325" s="166"/>
      <c r="BD325" s="166"/>
      <c r="BE325" s="166"/>
      <c r="BF325" s="166"/>
      <c r="BG325" s="166"/>
      <c r="BH325" s="166"/>
      <c r="BI325" s="113"/>
      <c r="BJ325" s="113"/>
      <c r="BK325" s="113">
        <f>INDEX('Dist. Plant Gas Additions'!$F$7:$AE$91,MATCH($C325,'Dist. Plant Gas Additions'!$D$7:$D$91,0),MATCH(Calculation!$G325,'Dist. Plant Gas Additions'!$F$5:$AE$5,0))</f>
        <v>21186</v>
      </c>
      <c r="BL325" s="113">
        <f>INDEX('Gen. Plant Additions'!$F$7:$AE$91,MATCH($C325,'Gen. Plant Additions'!$D$7:$D$91,0),MATCH(Calculation!$G325,'Gen. Plant Additions'!$F$5:$AE$5,0))</f>
        <v>265</v>
      </c>
      <c r="BM325" s="231">
        <f t="shared" si="582"/>
        <v>0.98722489655949641</v>
      </c>
      <c r="BN325" s="61">
        <f t="shared" si="537"/>
        <v>261.61459758826658</v>
      </c>
      <c r="BO325" s="113">
        <f>INDEX('Dist Plant Depreciation'!$E$7:$AD$94,MATCH($C325,'Dist Plant Depreciation'!$D$7:$D$94,0),MATCH(Calculation!$G325,'Dist Plant Depreciation'!$E$5:$AD$5,0))</f>
        <v>59959</v>
      </c>
      <c r="BP325" s="113">
        <f>INDEX('Gen. Plant Depreciation'!$E$7:$AD$94,MATCH($C325,'Gen. Plant Depreciation'!$D$7:$D$94,0),MATCH(Calculation!$G325,'Gen. Plant Depreciation'!$E$5:$AD$5,0))</f>
        <v>1106</v>
      </c>
      <c r="BQ325" s="113"/>
      <c r="BR325" s="113"/>
      <c r="BS325" s="113"/>
      <c r="BT325" s="113"/>
      <c r="BU325" s="113"/>
      <c r="BV325" s="113"/>
      <c r="BW325" s="113">
        <f>INDEX('Gross Dx Plant'!$E$7:$AD$91,MATCH($C325,'Gross Dx Plant'!$D$7:$D$91,0),MATCH(Calculation!$G325,'Gross Dx Plant'!$E$5:$AD$5,0))</f>
        <v>245278</v>
      </c>
      <c r="BX325" s="113">
        <f>INDEX('Gross Gen Plant'!$E$7:$AD$91,MATCH($C325,'Gross Gen Plant'!$D$7:$D$91,0),MATCH(Calculation!$G325,'Gross Gen Plant'!$E$5:$AD$5,0))</f>
        <v>3174</v>
      </c>
      <c r="BY325" s="113">
        <f t="shared" si="551"/>
        <v>187387</v>
      </c>
      <c r="BZ325" s="113"/>
      <c r="CA325" s="116">
        <v>2020</v>
      </c>
      <c r="CB325" s="113"/>
      <c r="CC325" s="113"/>
      <c r="CD325" s="113"/>
      <c r="CE325" s="175"/>
      <c r="CF325" s="113">
        <f t="shared" si="583"/>
        <v>21451</v>
      </c>
      <c r="CG325" s="113">
        <f t="shared" si="584"/>
        <v>26.382392524655998</v>
      </c>
      <c r="CH325" s="178">
        <v>0.84057971014492749</v>
      </c>
      <c r="CI325" s="61">
        <f>CI303*CH325+CG304*CH324+CG305*CH323+CG306*CH322+CG307*CH321+CG308*CH320+CG309*CH319+CG310*CH318+CG311*CH317+CG312*CH316+CG313*CH315+CG314*CH314+CG315*CH313+CG316*CH312+CG317*CH311+CG318*CH310+CG319*CH309+CG320*CH308+CG321*CH307+CG322*CH306+CG323*CH305+CG324*CH304+CG325</f>
        <v>484.53788702353671</v>
      </c>
      <c r="CJ325" s="114">
        <f t="shared" si="585"/>
        <v>4.7132810280058141E-2</v>
      </c>
      <c r="CK325" s="114"/>
      <c r="CL325" s="169">
        <f t="shared" si="586"/>
        <v>8.8150992144695531E-3</v>
      </c>
      <c r="CM325" s="169">
        <f t="shared" si="594"/>
        <v>8.697563499274209E-3</v>
      </c>
      <c r="CN325" s="114">
        <f>VLOOKUP($H325,RoR!$E:$F,2,FALSE)</f>
        <v>2.4766666666666666E-2</v>
      </c>
      <c r="CO325" s="169">
        <v>1.1618796630994188E-2</v>
      </c>
      <c r="CP325" s="169">
        <f t="shared" si="592"/>
        <v>1.3147870035672478E-2</v>
      </c>
      <c r="CQ325" s="169">
        <f t="shared" si="595"/>
        <v>2.2204378109259418E-2</v>
      </c>
      <c r="CR325" s="169">
        <f t="shared" si="596"/>
        <v>4.5144642961987357E-2</v>
      </c>
      <c r="CS325" s="179">
        <f t="shared" si="587"/>
        <v>0.89827405000000005</v>
      </c>
      <c r="CT325" s="180">
        <f t="shared" si="588"/>
        <v>2.0706077233668081</v>
      </c>
      <c r="CU325" s="180">
        <f t="shared" si="589"/>
        <v>-3.4421265141318998E-2</v>
      </c>
      <c r="CV325" s="180">
        <f t="shared" si="590"/>
        <v>0.62416226176410472</v>
      </c>
      <c r="CW325" s="180">
        <f t="shared" si="591"/>
        <v>-4.4485877841158712E-2</v>
      </c>
      <c r="CX325" s="181">
        <f>INDEX('State Tax Lookup'!$D$7:$Z$91,MATCH(Calculation!$C325,'State Tax Lookup'!$B$7:$B$91,0),MATCH($H325,'State Tax Lookup'!$D$6:$Z$6,0))</f>
        <v>0.27493499999999998</v>
      </c>
      <c r="CY325" s="72">
        <v>0.37</v>
      </c>
      <c r="CZ325" s="70">
        <f t="shared" si="593"/>
        <v>22.310872771997399</v>
      </c>
      <c r="DA325" s="70">
        <v>19.952659173050833</v>
      </c>
      <c r="DB325" s="69">
        <f t="shared" si="597"/>
        <v>4.4092609637587786E-2</v>
      </c>
      <c r="DC325" s="111">
        <f>VLOOKUP($H325,RoR!$E:$F,2,FALSE)</f>
        <v>2.4766666666666666E-2</v>
      </c>
      <c r="DD325" s="216">
        <f>HLOOKUP($H325,'GDP-PI'!$D$8:$CQ$11,3,FALSE)</f>
        <v>1.1618796630994188E-2</v>
      </c>
      <c r="DE325" s="111">
        <f>VLOOKUP(H325,'HW Dx Data'!$E:$F,2,FALSE)</f>
        <v>813.080162458833</v>
      </c>
      <c r="DF325" s="72">
        <f t="shared" si="607"/>
        <v>153.15</v>
      </c>
      <c r="DG325" s="69">
        <f t="shared" si="608"/>
        <v>2.2951556467368479E-2</v>
      </c>
      <c r="DH325" s="66">
        <f>HLOOKUP(H325,'GDP-PI'!$8:$9,2,FALSE)</f>
        <v>113.623</v>
      </c>
      <c r="DI325" s="69">
        <f t="shared" si="598"/>
        <v>1.1551816731392881E-2</v>
      </c>
      <c r="EB325"/>
    </row>
    <row r="326" spans="1:132" s="160" customFormat="1" ht="21">
      <c r="A326" s="160" t="s">
        <v>178</v>
      </c>
      <c r="B326" s="160" t="s">
        <v>178</v>
      </c>
      <c r="C326" s="160">
        <v>4088325</v>
      </c>
      <c r="D326" s="160" t="s">
        <v>179</v>
      </c>
      <c r="G326" s="161" t="s">
        <v>142</v>
      </c>
      <c r="H326" s="162">
        <v>2021</v>
      </c>
      <c r="I326" s="163"/>
      <c r="J326" s="159">
        <v>5667.2533663599561</v>
      </c>
      <c r="K326" s="159">
        <f t="shared" si="599"/>
        <v>36.039767035675396</v>
      </c>
      <c r="L326" s="164">
        <f t="shared" si="605"/>
        <v>0.15349593011079693</v>
      </c>
      <c r="M326" s="76">
        <f t="shared" si="609"/>
        <v>2.1879350344373969E-4</v>
      </c>
      <c r="N326" s="166">
        <f>+N325*EXP(O326)</f>
        <v>118.36245782185459</v>
      </c>
      <c r="O326" s="114">
        <f t="shared" si="610"/>
        <v>4.3184341018633041E-2</v>
      </c>
      <c r="P326" s="114"/>
      <c r="Q326" s="159">
        <v>7988.7788417363254</v>
      </c>
      <c r="R326" s="159">
        <f t="shared" si="600"/>
        <v>67.421544786364464</v>
      </c>
      <c r="S326" s="165">
        <f t="shared" si="611"/>
        <v>0.11099342778994513</v>
      </c>
      <c r="T326" s="165">
        <f t="shared" si="612"/>
        <v>1.5821032458556141E-4</v>
      </c>
      <c r="U326" s="165"/>
      <c r="V326" s="165"/>
      <c r="W326" s="159">
        <f t="shared" si="581"/>
        <v>8184.4960442805668</v>
      </c>
      <c r="X326" s="163"/>
      <c r="Y326" s="167">
        <v>504.54995220276902</v>
      </c>
      <c r="Z326" s="168"/>
      <c r="AA326" s="76">
        <f t="shared" si="601"/>
        <v>0</v>
      </c>
      <c r="AB326" s="168"/>
      <c r="AC326" s="168"/>
      <c r="AD326" s="163">
        <f t="shared" si="577"/>
        <v>21840.528252376847</v>
      </c>
      <c r="AE326" s="168">
        <f t="shared" si="613"/>
        <v>-2.8423171627943635E-3</v>
      </c>
      <c r="AF326" s="113"/>
      <c r="AG326" s="114"/>
      <c r="AH326" s="114"/>
      <c r="AI326" s="114"/>
      <c r="AJ326" s="116">
        <f t="shared" si="614"/>
        <v>633.44436475468683</v>
      </c>
      <c r="AK326" s="114">
        <f>+AV326/$AX$26</f>
        <v>8.9309314282930727E-4</v>
      </c>
      <c r="AL326" s="115">
        <f t="shared" si="602"/>
        <v>0.25948334677954521</v>
      </c>
      <c r="AM326" s="115">
        <f t="shared" si="603"/>
        <v>0.36577772979767226</v>
      </c>
      <c r="AN326" s="115">
        <f t="shared" si="604"/>
        <v>0.37473892342278259</v>
      </c>
      <c r="AO326" s="115">
        <f t="shared" si="606"/>
        <v>7.4173974140916352E-2</v>
      </c>
      <c r="AP326" s="166">
        <f t="shared" si="617"/>
        <v>147.44404122189965</v>
      </c>
      <c r="AQ326" s="168">
        <f t="shared" si="618"/>
        <v>7.4173974140916282E-2</v>
      </c>
      <c r="AR326" s="69">
        <f>+AD326/$AF$26</f>
        <v>1.4254026363162166E-3</v>
      </c>
      <c r="AS326" s="169">
        <f t="shared" si="616"/>
        <v>1.0572777828651294E-4</v>
      </c>
      <c r="AT326" s="115"/>
      <c r="AU326" s="115"/>
      <c r="AV326" s="113">
        <f>INDEX('Total Customers'!$E$7:$E$91,MATCH(Calculation!$C326,'Total Customers'!$D$7:$D$91,0))</f>
        <v>34479</v>
      </c>
      <c r="AW326" s="68">
        <f t="shared" si="619"/>
        <v>1.4754916857612028E-2</v>
      </c>
      <c r="AX326" s="113"/>
      <c r="AY326" s="113"/>
      <c r="AZ326" s="116"/>
      <c r="BA326" s="116"/>
      <c r="BB326" s="166"/>
      <c r="BC326" s="166"/>
      <c r="BD326" s="166"/>
      <c r="BE326" s="166"/>
      <c r="BF326" s="166"/>
      <c r="BG326" s="166"/>
      <c r="BH326" s="166"/>
      <c r="BI326" s="113"/>
      <c r="BJ326" s="113"/>
      <c r="BK326" s="113">
        <f>INDEX('Dist. Plant Gas Additions'!$E$7:$AE$91,MATCH($C326,'Dist. Plant Gas Additions'!$D$7:$D$91,0),MATCH(Calculation!$G326,'Dist. Plant Gas Additions'!$E$5:$AE$5,0))</f>
        <v>32117</v>
      </c>
      <c r="BL326" s="113">
        <f>INDEX('Gen. Plant Additions'!$E$7:$AE$91,MATCH($C326,'Gen. Plant Additions'!$D$7:$D$91,0),MATCH(Calculation!$G326,'Gen. Plant Additions'!$E$5:$AE$5,0))</f>
        <v>616</v>
      </c>
      <c r="BM326" s="232">
        <v>0.98722489655949641</v>
      </c>
      <c r="BN326" s="61">
        <f t="shared" si="537"/>
        <v>608.13053628064984</v>
      </c>
      <c r="BO326" s="113"/>
      <c r="BP326" s="113"/>
      <c r="BQ326" s="175"/>
      <c r="BR326" s="175"/>
      <c r="BS326" s="170"/>
      <c r="BT326" s="176"/>
      <c r="BU326" s="177"/>
      <c r="BV326" s="177"/>
      <c r="BW326" s="113"/>
      <c r="BX326" s="113"/>
      <c r="BY326" s="113"/>
      <c r="BZ326" s="113"/>
      <c r="CA326" s="116">
        <v>2021</v>
      </c>
      <c r="CB326" s="113"/>
      <c r="CC326" s="113"/>
      <c r="CD326" s="113"/>
      <c r="CE326" s="175"/>
      <c r="CF326" s="113">
        <f t="shared" si="583"/>
        <v>32733</v>
      </c>
      <c r="CG326" s="113">
        <f t="shared" si="584"/>
        <v>35.082755268477371</v>
      </c>
      <c r="CH326" s="178">
        <f>+(51-23)/(51-23*0.75)</f>
        <v>0.82962962962962961</v>
      </c>
      <c r="CI326" s="113">
        <f>CI303*CH326+CG304*CH325+CG305*CH324+CG306*CH323+CG307*CH322+CG308*CH321+CG309*CH320+CG310*CH319+CG311*CH318+CG312*CH317+CG313*CH316+CG314*CH315+CG315*CH314+CG316*CH313+CG317*CH312+CG308*CH311+CG319*CH310+CG320*CH309+CG321*CH308+CG322*CH307+CG323*CH306+CG324*CH305+CG326+CG325*CH304</f>
        <v>504.54995220276902</v>
      </c>
      <c r="CJ326" s="114"/>
      <c r="CK326" s="113"/>
      <c r="CL326" s="169">
        <f t="shared" si="586"/>
        <v>3.1103223283162982E-2</v>
      </c>
      <c r="CM326" s="169">
        <f t="shared" si="594"/>
        <v>1.6209244707567818E-2</v>
      </c>
      <c r="CN326" s="114">
        <f>VLOOKUP($H326,RoR!$E:$F,2,FALSE)</f>
        <v>2.7033333333333336E-2</v>
      </c>
      <c r="CO326" s="169"/>
      <c r="CP326" s="169"/>
      <c r="CQ326" s="169">
        <f t="shared" si="595"/>
        <v>1.4692696900965807E-2</v>
      </c>
      <c r="CR326" s="169">
        <f t="shared" si="596"/>
        <v>7.433422950153494E-2</v>
      </c>
      <c r="CS326" s="179">
        <f t="shared" si="587"/>
        <v>0.89827405000000005</v>
      </c>
      <c r="CT326" s="180">
        <f t="shared" si="588"/>
        <v>1.8969932656739068</v>
      </c>
      <c r="CU326" s="180">
        <f t="shared" si="589"/>
        <v>5.0215782983970621E-2</v>
      </c>
      <c r="CV326" s="180">
        <f t="shared" si="590"/>
        <v>0.655952481704143</v>
      </c>
      <c r="CW326" s="180">
        <f t="shared" si="591"/>
        <v>6.2485378865697057E-2</v>
      </c>
      <c r="CX326" s="181">
        <f>CX325</f>
        <v>0.27493499999999998</v>
      </c>
      <c r="CY326" s="72">
        <v>0.37</v>
      </c>
      <c r="CZ326" s="182">
        <f t="shared" si="593"/>
        <v>16.891343821547231</v>
      </c>
      <c r="DA326" s="182"/>
      <c r="DB326" s="169">
        <f t="shared" si="597"/>
        <v>-0.27827283709290118</v>
      </c>
      <c r="DC326" s="181">
        <f>VLOOKUP($H326,RoR!$E:$F,2,FALSE)</f>
        <v>2.7033333333333336E-2</v>
      </c>
      <c r="DD326" s="183">
        <f>HLOOKUP($H326,'GDP-PI'!$D$8:$CR$11,3,FALSE)</f>
        <v>4.2834637353352578E-2</v>
      </c>
      <c r="DE326" s="181">
        <f>VLOOKUP(H326,'HW Dx Data'!$E:$F,2,FALSE)</f>
        <v>933.02249921662576</v>
      </c>
      <c r="DF326" s="72">
        <f t="shared" si="607"/>
        <v>157.25</v>
      </c>
      <c r="DG326" s="69">
        <f t="shared" si="608"/>
        <v>2.6419062301765574E-2</v>
      </c>
      <c r="DH326" s="175">
        <f>HLOOKUP(H326,'GDP-PI'!$8:$9,2,FALSE)</f>
        <v>118.49</v>
      </c>
      <c r="DI326" s="169">
        <f t="shared" si="598"/>
        <v>4.194261824609434E-2</v>
      </c>
      <c r="EB326"/>
    </row>
    <row r="327" spans="1:132" s="160" customFormat="1" ht="21">
      <c r="G327" s="161" t="s">
        <v>144</v>
      </c>
      <c r="H327" s="162"/>
      <c r="I327" s="163"/>
      <c r="J327" s="159">
        <v>5942.03725918481</v>
      </c>
      <c r="K327" s="159">
        <f t="shared" si="599"/>
        <v>36.555135399475915</v>
      </c>
      <c r="L327" s="164">
        <f t="shared" ref="L327" si="620">LN(K327/K326)</f>
        <v>1.4198711061459606E-2</v>
      </c>
      <c r="M327" s="76">
        <f t="shared" si="609"/>
        <v>2.4593800294872669E-5</v>
      </c>
      <c r="N327" s="166">
        <f>+N326*EXP(O327)</f>
        <v>118.56607853499476</v>
      </c>
      <c r="O327" s="114">
        <f t="shared" si="610"/>
        <v>1.7188369658005063E-3</v>
      </c>
      <c r="P327" s="114"/>
      <c r="Q327" s="163">
        <v>8376.1248111400346</v>
      </c>
      <c r="R327" s="159">
        <f t="shared" si="600"/>
        <v>65.824163545304785</v>
      </c>
      <c r="S327" s="165">
        <f t="shared" ref="S327" si="621">LN(R327/R326)</f>
        <v>-2.3977624371159658E-2</v>
      </c>
      <c r="T327" s="165">
        <f t="shared" si="612"/>
        <v>-4.1532002642861876E-5</v>
      </c>
      <c r="U327" s="166"/>
      <c r="V327" s="114"/>
      <c r="W327" s="159">
        <f t="shared" si="581"/>
        <v>13820.382909692889</v>
      </c>
      <c r="X327" s="168"/>
      <c r="Y327" s="167">
        <v>542.28533494233545</v>
      </c>
      <c r="Z327" s="168">
        <v>7.2125462969345647E-2</v>
      </c>
      <c r="AA327" s="76">
        <f t="shared" si="601"/>
        <v>1.2492959570521557E-4</v>
      </c>
      <c r="AB327" s="166"/>
      <c r="AC327" s="114"/>
      <c r="AD327" s="163">
        <f t="shared" si="577"/>
        <v>28138.544980017734</v>
      </c>
      <c r="AE327" s="168">
        <f t="shared" si="613"/>
        <v>0.25337300591829948</v>
      </c>
      <c r="AF327" s="113"/>
      <c r="AG327" s="114"/>
      <c r="AH327" s="114"/>
      <c r="AI327" s="114"/>
      <c r="AJ327" s="116">
        <f t="shared" si="614"/>
        <v>818.12365470773193</v>
      </c>
      <c r="AK327" s="114"/>
      <c r="AL327" s="115">
        <f t="shared" si="602"/>
        <v>0.21117073620560267</v>
      </c>
      <c r="AM327" s="115">
        <f t="shared" si="603"/>
        <v>0.29767441127777727</v>
      </c>
      <c r="AN327" s="115">
        <f t="shared" si="604"/>
        <v>0.49115485251662006</v>
      </c>
      <c r="AO327" s="115"/>
      <c r="AP327" s="166"/>
      <c r="AQ327" s="168"/>
      <c r="AR327" s="69">
        <f>+AD327/$AF$27</f>
        <v>1.7321149918762037E-3</v>
      </c>
      <c r="AS327" s="169"/>
      <c r="AT327" s="166"/>
      <c r="AU327" s="168"/>
      <c r="AV327" s="113">
        <v>34394</v>
      </c>
      <c r="AW327" s="68">
        <f t="shared" si="619"/>
        <v>-2.4683124927235883E-3</v>
      </c>
      <c r="AX327" s="113"/>
      <c r="AY327" s="113"/>
      <c r="AZ327" s="113"/>
      <c r="BA327" s="113"/>
      <c r="BB327" s="171"/>
      <c r="BC327" s="172"/>
      <c r="BD327" s="173"/>
      <c r="BE327" s="115"/>
      <c r="BF327" s="174"/>
      <c r="BG327" s="174"/>
      <c r="BH327" s="166"/>
      <c r="BI327" s="113"/>
      <c r="BJ327" s="113"/>
      <c r="BK327" s="113"/>
      <c r="BL327" s="113"/>
      <c r="BM327" s="232">
        <v>0.98722489655949641</v>
      </c>
      <c r="BN327" s="61">
        <f t="shared" si="537"/>
        <v>0</v>
      </c>
      <c r="BO327" s="113"/>
      <c r="BP327" s="113"/>
      <c r="BQ327" s="175"/>
      <c r="BR327" s="175"/>
      <c r="BS327" s="170"/>
      <c r="BT327" s="176"/>
      <c r="BU327" s="177"/>
      <c r="BV327" s="177"/>
      <c r="BW327" s="113"/>
      <c r="BX327" s="113"/>
      <c r="BY327" s="113"/>
      <c r="BZ327" s="113"/>
      <c r="CA327" s="116">
        <v>2022</v>
      </c>
      <c r="CB327" s="113"/>
      <c r="CC327" s="113"/>
      <c r="CD327" s="113"/>
      <c r="CE327" s="175"/>
      <c r="CF327" s="238">
        <v>30504</v>
      </c>
      <c r="CG327" s="113">
        <f>+CF327/DE327</f>
        <v>29.592262395591817</v>
      </c>
      <c r="CH327" s="178">
        <f>+(51-24)/(51-24*0.75)</f>
        <v>0.81818181818181823</v>
      </c>
      <c r="CI327" s="113">
        <f>+CI303*CH327+CG304*CH326+CG305*CH325+CG306*CH324+CG307*CH323+CG308*CH322+CG309*CH321+CG310*CH320+CG311*CH319+CG312*CH318+CG313*CH317+CG314*CH316+CG315*CH315+CG316*CH314+CG317*CH313+CG318*CH312+CG319*CH311+CG320*CH310+CG321*CH309+CG322*CH308+CG323*CH307+CG324*CH306+CG325*CH305+CG326*CH304+CG327*CH303</f>
        <v>540.12295778262614</v>
      </c>
      <c r="CJ327" s="114">
        <f t="shared" ref="CJ327" si="622">LN(CI327/CI326)</f>
        <v>6.8129965058021019E-2</v>
      </c>
      <c r="CK327" s="113"/>
      <c r="CL327" s="169">
        <f t="shared" si="586"/>
        <v>-1.1853619563641858E-2</v>
      </c>
      <c r="CM327" s="169">
        <f t="shared" si="594"/>
        <v>9.3549009779968929E-3</v>
      </c>
      <c r="CN327" s="114"/>
      <c r="CO327" s="169"/>
      <c r="CP327" s="169"/>
      <c r="CQ327" s="69">
        <f t="shared" si="595"/>
        <v>2.154704063053673E-2</v>
      </c>
      <c r="CR327" s="169">
        <f t="shared" si="596"/>
        <v>0.10114668178709289</v>
      </c>
      <c r="CS327" s="179">
        <f t="shared" si="587"/>
        <v>0.89827405000000005</v>
      </c>
      <c r="CT327" s="180"/>
      <c r="CU327" s="180"/>
      <c r="CV327" s="180"/>
      <c r="CW327" s="180"/>
      <c r="CX327" s="181">
        <f>CX326</f>
        <v>0.27493499999999998</v>
      </c>
      <c r="CY327" s="72">
        <v>0.37</v>
      </c>
      <c r="CZ327" s="182">
        <f t="shared" si="593"/>
        <v>27.391505735667458</v>
      </c>
      <c r="DA327" s="182"/>
      <c r="DB327" s="169">
        <f t="shared" si="597"/>
        <v>0.48343166488252926</v>
      </c>
      <c r="DC327" s="181">
        <v>0.04</v>
      </c>
      <c r="DD327" s="183">
        <v>7.0000000000000001E-3</v>
      </c>
      <c r="DE327" s="181">
        <v>1030.81</v>
      </c>
      <c r="DF327" s="72">
        <f t="shared" si="607"/>
        <v>162.55000000000001</v>
      </c>
      <c r="DG327" s="169">
        <f t="shared" si="608"/>
        <v>3.3148751169364422E-2</v>
      </c>
      <c r="DH327" s="175">
        <v>127.25</v>
      </c>
      <c r="DI327" s="169">
        <f t="shared" si="598"/>
        <v>7.1325086601983473E-2</v>
      </c>
      <c r="EB327"/>
    </row>
    <row r="328" spans="1:132" s="160" customFormat="1" ht="21">
      <c r="A328" s="160" t="s">
        <v>180</v>
      </c>
      <c r="B328" s="161" t="s">
        <v>180</v>
      </c>
      <c r="C328" s="161">
        <v>4059402</v>
      </c>
      <c r="D328" s="161" t="s">
        <v>181</v>
      </c>
      <c r="E328" s="161" t="s">
        <v>3</v>
      </c>
      <c r="F328" s="161"/>
      <c r="G328" s="161" t="s">
        <v>100</v>
      </c>
      <c r="H328" s="162">
        <v>1998</v>
      </c>
      <c r="I328" s="163"/>
      <c r="J328" s="159"/>
      <c r="K328" s="159"/>
      <c r="L328" s="159"/>
      <c r="M328" s="60"/>
      <c r="N328" s="131"/>
      <c r="O328" s="76"/>
      <c r="P328" s="76"/>
      <c r="Q328" s="159"/>
      <c r="R328" s="159"/>
      <c r="S328" s="159"/>
      <c r="T328" s="159"/>
      <c r="U328" s="159"/>
      <c r="V328" s="159"/>
      <c r="W328" s="159"/>
      <c r="X328" s="163"/>
      <c r="Y328" s="167">
        <v>1366.8786795824656</v>
      </c>
      <c r="Z328" s="168"/>
      <c r="AA328" s="78"/>
      <c r="AB328" s="168"/>
      <c r="AC328" s="168"/>
      <c r="AD328" s="163">
        <f t="shared" si="577"/>
        <v>0</v>
      </c>
      <c r="AE328" s="163"/>
      <c r="AF328" s="163"/>
      <c r="AG328" s="114"/>
      <c r="AH328" s="114"/>
      <c r="AI328" s="114"/>
      <c r="AJ328" s="166">
        <f>+(AJ325+AJ326+AJ327)/3</f>
        <v>698.75263593534066</v>
      </c>
      <c r="AK328" s="168"/>
      <c r="AL328" s="115"/>
      <c r="AM328" s="115"/>
      <c r="AN328" s="115"/>
      <c r="AO328" s="115"/>
      <c r="AP328" s="115"/>
      <c r="AQ328" s="168">
        <f>AVERAGE(AQ337:AQ351)</f>
        <v>1.7752393100749424E-2</v>
      </c>
      <c r="AR328" s="79"/>
      <c r="AS328" s="115"/>
      <c r="AT328" s="115"/>
      <c r="AU328" s="115"/>
      <c r="AV328" s="113">
        <f>IFERROR(INDEX('Total Customers'!$F$7:$AB$91,MATCH($C328,'Total Customers'!$D$7:$D$91,0),MATCH($G328,'Total Customers'!$F$5:$AB$5,0)),"NA")</f>
        <v>141364</v>
      </c>
      <c r="AW328" s="68">
        <f t="shared" si="619"/>
        <v>1.4134559935969147</v>
      </c>
      <c r="AX328" s="114"/>
      <c r="AY328" s="114"/>
      <c r="AZ328" s="116"/>
      <c r="BA328" s="116"/>
      <c r="BB328" s="166"/>
      <c r="BC328" s="166"/>
      <c r="BD328" s="166"/>
      <c r="BE328" s="166"/>
      <c r="BF328" s="166"/>
      <c r="BG328" s="166"/>
      <c r="BH328" s="166"/>
      <c r="BI328" s="113">
        <f>INDEX('Gross Dx Plant'!$E$7:$AD$91,MATCH($C328,'Gross Dx Plant'!$D$7:$D$91,0),MATCH(Calculation!$G328,'Gross Dx Plant'!$E$5:$AD$5,0))</f>
        <v>366794</v>
      </c>
      <c r="BJ328" s="113">
        <f>INDEX('Gross Gen Plant'!$E$7:$AD$91,MATCH($C328,'Gross Gen Plant'!$D$7:$D$91,0),MATCH(Calculation!$G328,'Gross Gen Plant'!$E$5:$AD$5,0))</f>
        <v>47230</v>
      </c>
      <c r="BK328" s="113">
        <f>INDEX('Dist. Plant Gas Additions'!$F$7:$AE$91,MATCH($C328,'Dist. Plant Gas Additions'!$D$7:$D$91,0),MATCH(Calculation!$G328,'Dist. Plant Gas Additions'!$F$5:$AE$5,0))</f>
        <v>17494</v>
      </c>
      <c r="BL328" s="113">
        <f>INDEX('Gen. Plant Additions'!$F$7:$AE$91,MATCH($C328,'Gen. Plant Additions'!$D$7:$D$91,0),MATCH(Calculation!$G328,'Gen. Plant Additions'!$F$5:$AE$5,0))</f>
        <v>1420</v>
      </c>
      <c r="BM328" s="231">
        <f>+(BW328/(BW328+BX328))</f>
        <v>0.88592448746932539</v>
      </c>
      <c r="BN328" s="61">
        <f t="shared" si="537"/>
        <v>1258.0127722064422</v>
      </c>
      <c r="BO328" s="113">
        <f>INDEX('Dist Plant Depreciation'!$E$7:$AD$94,MATCH($C328,'Dist Plant Depreciation'!$D$7:$D$94,0),MATCH(Calculation!$G328,'Dist Plant Depreciation'!$E$5:$AD$5,0))</f>
        <v>121908</v>
      </c>
      <c r="BP328" s="113">
        <f>INDEX('Gen. Plant Depreciation'!$E$7:$AD$94,MATCH($C328,'Gen. Plant Depreciation'!$D$7:$D$94,0),MATCH(Calculation!$G328,'Gen. Plant Depreciation'!$E$5:$AD$5,0))</f>
        <v>16390</v>
      </c>
      <c r="BQ328" s="113"/>
      <c r="BR328" s="113"/>
      <c r="BS328" s="113"/>
      <c r="BT328" s="113"/>
      <c r="BU328" s="113"/>
      <c r="BV328" s="113"/>
      <c r="BW328" s="113">
        <f>INDEX('Gross Dx Plant'!$E$7:$AD$91,MATCH($C328,'Gross Dx Plant'!$D$7:$D$91,0),MATCH(Calculation!$G328,'Gross Dx Plant'!$E$5:$AD$5,0))</f>
        <v>366794</v>
      </c>
      <c r="BX328" s="113">
        <f>INDEX('Gross Gen Plant'!$E$7:$AD$91,MATCH($C328,'Gross Gen Plant'!$D$7:$D$91,0),MATCH(Calculation!$G328,'Gross Gen Plant'!$E$5:$AD$5,0))</f>
        <v>47230</v>
      </c>
      <c r="BY328" s="113">
        <f t="shared" ref="BY328:BY394" si="623">IF(OR(BO328="NA",BP328="NA"),"NA",(SUM(BW328:BX328)-SUM(BO328:BP328)))</f>
        <v>275726</v>
      </c>
      <c r="BZ328" s="113"/>
      <c r="CA328" s="116">
        <v>1998</v>
      </c>
      <c r="CB328" s="113">
        <f>BI328+BJ328</f>
        <v>414024</v>
      </c>
      <c r="CC328" s="113">
        <f>121908+16390</f>
        <v>138298</v>
      </c>
      <c r="CD328" s="113">
        <f>+CB328-CC328</f>
        <v>275726</v>
      </c>
      <c r="CE328" s="113">
        <f>CD328/$BV$3</f>
        <v>1366.8786795824656</v>
      </c>
      <c r="CF328" s="175"/>
      <c r="CG328" s="175"/>
      <c r="CH328" s="178">
        <v>1</v>
      </c>
      <c r="CI328" s="113">
        <f>+CE328</f>
        <v>1366.8786795824656</v>
      </c>
      <c r="CJ328" s="114"/>
      <c r="CK328" s="114"/>
      <c r="CL328" s="169"/>
      <c r="CM328" s="169"/>
      <c r="CN328" s="114" t="e">
        <f>VLOOKUP($H328,RoR!$E:$F,2,FALSE)</f>
        <v>#N/A</v>
      </c>
      <c r="CO328" s="169">
        <v>1.1028127770464469E-2</v>
      </c>
      <c r="CP328" s="169"/>
      <c r="CQ328" s="169"/>
      <c r="CR328" s="169"/>
      <c r="CS328" s="179"/>
      <c r="CT328" s="182" t="e">
        <f>2/(DC328*39)</f>
        <v>#N/A</v>
      </c>
      <c r="CU328" s="180" t="e">
        <f>+(DC328*40-(1+DC328))/(DC328*40)</f>
        <v>#N/A</v>
      </c>
      <c r="CV328" s="180" t="e">
        <f>+(1-(1/(1+DC328)^40))</f>
        <v>#N/A</v>
      </c>
      <c r="CW328" s="180" t="e">
        <f>+CV328*CU328*CT328</f>
        <v>#N/A</v>
      </c>
      <c r="CX328" s="181">
        <f>INDEX('State Tax Lookup'!$D$7:$Z$91,MATCH(Calculation!$C328,'State Tax Lookup'!$B$7:$B$91,0),MATCH($H328,'State Tax Lookup'!$D$6:$Z$6,0))</f>
        <v>0.40200000000000002</v>
      </c>
      <c r="CY328" s="72">
        <v>0.37</v>
      </c>
      <c r="CZ328" s="66"/>
      <c r="DA328" s="66"/>
      <c r="DB328" s="69"/>
      <c r="DC328" s="111" t="e">
        <f>VLOOKUP($H328,RoR!$E:$F,2,FALSE)</f>
        <v>#N/A</v>
      </c>
      <c r="DD328" s="216">
        <f>HLOOKUP($H328,'GDP-PI'!$D$8:$CQ$11,3,FALSE)</f>
        <v>1.1028127770464469E-2</v>
      </c>
      <c r="DE328" s="111">
        <f>VLOOKUP(H328,'HW Dx Data'!$E:$F,2,FALSE)</f>
        <v>329.24564746449528</v>
      </c>
      <c r="DF328" s="72" t="e">
        <f t="shared" si="607"/>
        <v>#N/A</v>
      </c>
      <c r="DG328" s="169" t="e">
        <f t="shared" si="608"/>
        <v>#N/A</v>
      </c>
      <c r="DH328" s="66">
        <f>HLOOKUP(H328,'GDP-PI'!$8:$9,2,FALSE)</f>
        <v>75.266999999999996</v>
      </c>
      <c r="DI328"/>
      <c r="EB328"/>
    </row>
    <row r="329" spans="1:132" s="160" customFormat="1" ht="21">
      <c r="A329" s="160" t="s">
        <v>180</v>
      </c>
      <c r="B329" s="161" t="s">
        <v>180</v>
      </c>
      <c r="C329" s="161">
        <v>4059402</v>
      </c>
      <c r="D329" s="161" t="s">
        <v>181</v>
      </c>
      <c r="E329" s="161" t="s">
        <v>3</v>
      </c>
      <c r="F329" s="161"/>
      <c r="G329" s="161" t="s">
        <v>106</v>
      </c>
      <c r="H329" s="162">
        <v>1999</v>
      </c>
      <c r="I329" s="163"/>
      <c r="J329" s="159"/>
      <c r="K329" s="159"/>
      <c r="L329" s="159"/>
      <c r="M329" s="60"/>
      <c r="N329" s="152"/>
      <c r="O329" s="60"/>
      <c r="P329" s="60"/>
      <c r="Q329" s="159"/>
      <c r="R329" s="159"/>
      <c r="S329" s="159"/>
      <c r="T329" s="187"/>
      <c r="U329" s="159"/>
      <c r="V329" s="159"/>
      <c r="W329" s="159">
        <f t="shared" ref="W329:W352" si="624">+CI328*CZ329</f>
        <v>0</v>
      </c>
      <c r="X329" s="163"/>
      <c r="Y329" s="167">
        <v>1412.4424138312575</v>
      </c>
      <c r="Z329" s="168">
        <v>3.2790609826035814E-2</v>
      </c>
      <c r="AA329" s="78"/>
      <c r="AB329" s="168"/>
      <c r="AC329" s="168"/>
      <c r="AD329" s="163">
        <f t="shared" si="577"/>
        <v>0</v>
      </c>
      <c r="AE329" s="168"/>
      <c r="AF329" s="163"/>
      <c r="AG329" s="114"/>
      <c r="AH329" s="114"/>
      <c r="AI329" s="114"/>
      <c r="AJ329" s="167"/>
      <c r="AK329" s="168"/>
      <c r="AL329" s="115"/>
      <c r="AM329" s="115"/>
      <c r="AN329" s="115"/>
      <c r="AO329" s="115"/>
      <c r="AP329" s="115"/>
      <c r="AQ329" s="168"/>
      <c r="AR329" s="79"/>
      <c r="AS329" s="115"/>
      <c r="AT329" s="115"/>
      <c r="AU329" s="115"/>
      <c r="AV329" s="113">
        <f>IFERROR(INDEX('Total Customers'!$F$7:$AB$91,MATCH($C329,'Total Customers'!$D$7:$D$91,0),MATCH($G329,'Total Customers'!$F$5:$AB$5,0)),"NA")</f>
        <v>142667</v>
      </c>
      <c r="AW329" s="68">
        <f t="shared" si="619"/>
        <v>9.1751192006334133E-3</v>
      </c>
      <c r="AX329" s="114"/>
      <c r="AY329" s="114"/>
      <c r="AZ329" s="116"/>
      <c r="BA329" s="116"/>
      <c r="BB329" s="166"/>
      <c r="BC329" s="166"/>
      <c r="BD329" s="166"/>
      <c r="BE329" s="166"/>
      <c r="BF329" s="166"/>
      <c r="BG329" s="166"/>
      <c r="BH329" s="166"/>
      <c r="BI329" s="113"/>
      <c r="BJ329" s="113"/>
      <c r="BK329" s="113">
        <f>INDEX('Dist. Plant Gas Additions'!$F$7:$AE$91,MATCH($C329,'Dist. Plant Gas Additions'!$D$7:$D$91,0),MATCH(Calculation!$G329,'Dist. Plant Gas Additions'!$F$5:$AE$5,0))</f>
        <v>16352</v>
      </c>
      <c r="BL329" s="113">
        <f>INDEX('Gen. Plant Additions'!$F$7:$AE$91,MATCH($C329,'Gen. Plant Additions'!$D$7:$D$91,0),MATCH(Calculation!$G329,'Gen. Plant Additions'!$F$5:$AE$5,0))</f>
        <v>1207</v>
      </c>
      <c r="BM329" s="231">
        <f t="shared" ref="BM329:BM350" si="625">+(BW329/(BW329+BX329))</f>
        <v>0.88229723205850485</v>
      </c>
      <c r="BN329" s="61">
        <f t="shared" si="537"/>
        <v>1064.9327590946154</v>
      </c>
      <c r="BO329" s="113">
        <f>INDEX('Dist Plant Depreciation'!$E$7:$AD$94,MATCH($C329,'Dist Plant Depreciation'!$D$7:$D$94,0),MATCH(Calculation!$G329,'Dist Plant Depreciation'!$E$5:$AD$5,0))</f>
        <v>132849</v>
      </c>
      <c r="BP329" s="113">
        <f>INDEX('Gen. Plant Depreciation'!$E$7:$AD$94,MATCH($C329,'Gen. Plant Depreciation'!$D$7:$D$94,0),MATCH(Calculation!$G329,'Gen. Plant Depreciation'!$E$5:$AD$5,0))</f>
        <v>19455</v>
      </c>
      <c r="BQ329" s="113"/>
      <c r="BR329" s="113"/>
      <c r="BS329" s="113"/>
      <c r="BT329" s="113"/>
      <c r="BU329" s="113"/>
      <c r="BV329" s="113"/>
      <c r="BW329" s="113">
        <f>INDEX('Gross Dx Plant'!$E$7:$AD$91,MATCH($C329,'Gross Dx Plant'!$D$7:$D$91,0),MATCH(Calculation!$G329,'Gross Dx Plant'!$E$5:$AD$5,0))</f>
        <v>381965</v>
      </c>
      <c r="BX329" s="113">
        <f>INDEX('Gross Gen Plant'!$E$7:$AD$91,MATCH($C329,'Gross Gen Plant'!$D$7:$D$91,0),MATCH(Calculation!$G329,'Gross Gen Plant'!$E$5:$AD$5,0))</f>
        <v>50956</v>
      </c>
      <c r="BY329" s="113">
        <f t="shared" si="623"/>
        <v>280617</v>
      </c>
      <c r="BZ329" s="113"/>
      <c r="CA329" s="116">
        <v>1999</v>
      </c>
      <c r="CB329" s="113"/>
      <c r="CC329" s="113"/>
      <c r="CD329" s="113"/>
      <c r="CE329" s="175"/>
      <c r="CF329" s="113">
        <f t="shared" ref="CF329:CF351" si="626">+BL329+BK329</f>
        <v>17559</v>
      </c>
      <c r="CG329" s="113">
        <f t="shared" ref="CG329:CG351" si="627">+CF329/$DE329</f>
        <v>52.364125689500817</v>
      </c>
      <c r="CH329" s="178">
        <v>0.99502487562189057</v>
      </c>
      <c r="CI329" s="61">
        <f>+CI328*CH329+CG329</f>
        <v>1412.4424138312575</v>
      </c>
      <c r="CJ329" s="114">
        <f t="shared" ref="CJ329:CJ350" si="628">LN(CI329/CI328)</f>
        <v>3.2790609826035814E-2</v>
      </c>
      <c r="CK329" s="114"/>
      <c r="CL329" s="169">
        <f t="shared" ref="CL329:CL352" si="629">+(CI328-CI329+CG329)/CI328</f>
        <v>4.9751243781095585E-3</v>
      </c>
      <c r="CM329" s="169"/>
      <c r="CN329" s="114">
        <f>VLOOKUP($H329,RoR!$E:$F,2,FALSE)</f>
        <v>7.0416666666666669E-2</v>
      </c>
      <c r="CO329" s="169">
        <v>1.4335631817396832E-2</v>
      </c>
      <c r="CP329" s="169">
        <f>+CN329-CO329</f>
        <v>5.6081034849269837E-2</v>
      </c>
      <c r="CQ329" s="169"/>
      <c r="CR329" s="169"/>
      <c r="CS329" s="179">
        <f t="shared" ref="CS329:CS352" si="630">1-CX329*CY329</f>
        <v>0.85126000000000002</v>
      </c>
      <c r="CT329" s="180">
        <f t="shared" ref="CT329:CT351" si="631">2/(DC329*39)</f>
        <v>0.72826581702321336</v>
      </c>
      <c r="CU329" s="180">
        <f t="shared" ref="CU329:CU351" si="632">+(DC329*40-(1+DC329))/(DC329*40)</f>
        <v>0.61997041420118348</v>
      </c>
      <c r="CV329" s="180">
        <f t="shared" ref="CV329:CV351" si="633">+(1-(1/(1+DC329)^40))</f>
        <v>0.93425155319585029</v>
      </c>
      <c r="CW329" s="180">
        <f t="shared" ref="CW329:CW351" si="634">+CV329*CU329*CT329</f>
        <v>0.42181762214141483</v>
      </c>
      <c r="CX329" s="181">
        <f>INDEX('State Tax Lookup'!$D$7:$Z$91,MATCH(Calculation!$C329,'State Tax Lookup'!$B$7:$B$91,0),MATCH($H329,'State Tax Lookup'!$D$6:$Z$6,0))</f>
        <v>0.40200000000000002</v>
      </c>
      <c r="CY329" s="72">
        <v>0.37</v>
      </c>
      <c r="CZ329" s="70"/>
      <c r="DA329" s="70"/>
      <c r="DB329" s="69"/>
      <c r="DC329" s="111">
        <f>VLOOKUP($H329,RoR!$E:$F,2,FALSE)</f>
        <v>7.0416666666666669E-2</v>
      </c>
      <c r="DD329" s="216">
        <f>HLOOKUP($H329,'GDP-PI'!$D$8:$CQ$11,3,FALSE)</f>
        <v>1.4335631817396832E-2</v>
      </c>
      <c r="DE329" s="111">
        <f>VLOOKUP(H329,'HW Dx Data'!$E:$F,2,FALSE)</f>
        <v>335.32499146683239</v>
      </c>
      <c r="DF329" s="66"/>
      <c r="DG329" s="69"/>
      <c r="DH329" s="66">
        <f>HLOOKUP(H329,'GDP-PI'!$8:$9,2,FALSE)</f>
        <v>76.346000000000004</v>
      </c>
      <c r="DI329"/>
      <c r="EB329"/>
    </row>
    <row r="330" spans="1:132" s="160" customFormat="1" ht="21">
      <c r="A330" s="160" t="s">
        <v>180</v>
      </c>
      <c r="B330" s="161" t="s">
        <v>180</v>
      </c>
      <c r="C330" s="161">
        <v>4059402</v>
      </c>
      <c r="D330" s="161" t="s">
        <v>181</v>
      </c>
      <c r="E330" s="161" t="s">
        <v>3</v>
      </c>
      <c r="F330" s="161"/>
      <c r="G330" s="161" t="s">
        <v>107</v>
      </c>
      <c r="H330" s="162">
        <v>2000</v>
      </c>
      <c r="I330" s="163"/>
      <c r="J330" s="159"/>
      <c r="K330" s="159"/>
      <c r="L330" s="159"/>
      <c r="M330" s="60"/>
      <c r="N330" s="152"/>
      <c r="O330" s="60"/>
      <c r="P330" s="60"/>
      <c r="Q330" s="159"/>
      <c r="R330" s="159"/>
      <c r="S330" s="159"/>
      <c r="T330" s="159"/>
      <c r="U330" s="159"/>
      <c r="V330" s="159"/>
      <c r="W330" s="159">
        <f t="shared" si="624"/>
        <v>0</v>
      </c>
      <c r="X330" s="163"/>
      <c r="Y330" s="167">
        <v>1456.039169216524</v>
      </c>
      <c r="Z330" s="168">
        <v>3.0399437108708832E-2</v>
      </c>
      <c r="AA330" s="78"/>
      <c r="AB330" s="168"/>
      <c r="AC330" s="168"/>
      <c r="AD330" s="163">
        <f t="shared" si="577"/>
        <v>0</v>
      </c>
      <c r="AE330" s="168"/>
      <c r="AF330" s="163"/>
      <c r="AG330" s="163"/>
      <c r="AH330" s="163"/>
      <c r="AI330" s="163"/>
      <c r="AJ330" s="167"/>
      <c r="AK330" s="168"/>
      <c r="AL330" s="115"/>
      <c r="AM330" s="115"/>
      <c r="AN330" s="115"/>
      <c r="AO330" s="115"/>
      <c r="AP330" s="115"/>
      <c r="AQ330" s="168"/>
      <c r="AR330" s="79"/>
      <c r="AS330" s="115"/>
      <c r="AT330" s="115"/>
      <c r="AU330" s="115"/>
      <c r="AV330" s="113">
        <f>IFERROR(INDEX('Total Customers'!$F$7:$AB$91,MATCH($C330,'Total Customers'!$D$7:$D$91,0),MATCH($G330,'Total Customers'!$F$5:$AB$5,0)),"NA")</f>
        <v>155641</v>
      </c>
      <c r="AW330" s="68">
        <f t="shared" si="619"/>
        <v>8.7038829819682431E-2</v>
      </c>
      <c r="AX330" s="114"/>
      <c r="AY330" s="114"/>
      <c r="AZ330" s="116"/>
      <c r="BA330" s="116"/>
      <c r="BB330" s="166"/>
      <c r="BC330" s="166"/>
      <c r="BD330" s="166"/>
      <c r="BE330" s="166"/>
      <c r="BF330" s="166"/>
      <c r="BG330" s="166"/>
      <c r="BH330" s="166"/>
      <c r="BI330" s="113"/>
      <c r="BJ330" s="113"/>
      <c r="BK330" s="113">
        <f>INDEX('Dist. Plant Gas Additions'!$F$7:$AE$91,MATCH($C330,'Dist. Plant Gas Additions'!$D$7:$D$91,0),MATCH(Calculation!$G330,'Dist. Plant Gas Additions'!$F$5:$AE$5,0))</f>
        <v>16150</v>
      </c>
      <c r="BL330" s="113">
        <f>INDEX('Gen. Plant Additions'!$F$7:$AE$91,MATCH($C330,'Gen. Plant Additions'!$D$7:$D$91,0),MATCH(Calculation!$G330,'Gen. Plant Additions'!$F$5:$AE$5,0))</f>
        <v>1476</v>
      </c>
      <c r="BM330" s="231">
        <f t="shared" si="625"/>
        <v>0.88646621106531109</v>
      </c>
      <c r="BN330" s="61">
        <f t="shared" si="537"/>
        <v>1308.4241275323991</v>
      </c>
      <c r="BO330" s="113"/>
      <c r="BP330" s="113"/>
      <c r="BQ330" s="113"/>
      <c r="BR330" s="113"/>
      <c r="BS330" s="113"/>
      <c r="BT330" s="113"/>
      <c r="BU330" s="113"/>
      <c r="BV330" s="113"/>
      <c r="BW330" s="113">
        <f>INDEX('Gross Dx Plant'!$E$7:$AD$91,MATCH($C330,'Gross Dx Plant'!$D$7:$D$91,0),MATCH(Calculation!$G330,'Gross Dx Plant'!$E$5:$AD$5,0))</f>
        <v>394200</v>
      </c>
      <c r="BX330" s="113">
        <f>INDEX('Gross Gen Plant'!$E$7:$AD$91,MATCH($C330,'Gross Gen Plant'!$D$7:$D$91,0),MATCH(Calculation!$G330,'Gross Gen Plant'!$E$5:$AD$5,0))</f>
        <v>50487</v>
      </c>
      <c r="BY330" s="113">
        <f t="shared" si="623"/>
        <v>444687</v>
      </c>
      <c r="BZ330" s="113"/>
      <c r="CA330" s="116">
        <v>2000</v>
      </c>
      <c r="CB330" s="113"/>
      <c r="CC330" s="113"/>
      <c r="CD330" s="113"/>
      <c r="CE330" s="175"/>
      <c r="CF330" s="113">
        <f t="shared" si="626"/>
        <v>17626</v>
      </c>
      <c r="CG330" s="113">
        <f t="shared" si="627"/>
        <v>50.86373733213172</v>
      </c>
      <c r="CH330" s="178">
        <v>0.98989898989898994</v>
      </c>
      <c r="CI330" s="61">
        <f>+CI328*CH330+CG329*CH329+CG330</f>
        <v>1456.039169216524</v>
      </c>
      <c r="CJ330" s="114">
        <f t="shared" si="628"/>
        <v>3.0399437108708832E-2</v>
      </c>
      <c r="CK330" s="114"/>
      <c r="CL330" s="169">
        <f t="shared" si="629"/>
        <v>5.144975735437921E-3</v>
      </c>
      <c r="CM330" s="169"/>
      <c r="CN330" s="114">
        <f>VLOOKUP($H330,RoR!$E:$F,2,FALSE)</f>
        <v>7.6225000000000001E-2</v>
      </c>
      <c r="CO330" s="169">
        <v>2.2568307442433211E-2</v>
      </c>
      <c r="CP330" s="169">
        <f t="shared" ref="CP330:CP350" si="635">+CN330-CO330</f>
        <v>5.365669255756679E-2</v>
      </c>
      <c r="CQ330" s="169"/>
      <c r="CR330" s="169"/>
      <c r="CS330" s="179">
        <f t="shared" si="630"/>
        <v>0.85126000000000002</v>
      </c>
      <c r="CT330" s="180">
        <f t="shared" si="631"/>
        <v>0.67277207323124022</v>
      </c>
      <c r="CU330" s="180">
        <f t="shared" si="632"/>
        <v>0.6470236142997704</v>
      </c>
      <c r="CV330" s="180">
        <f t="shared" si="633"/>
        <v>0.94704866037543145</v>
      </c>
      <c r="CW330" s="180">
        <f t="shared" si="634"/>
        <v>0.41224973107878493</v>
      </c>
      <c r="CX330" s="181">
        <f>INDEX('State Tax Lookup'!$D$7:$Z$91,MATCH(Calculation!$C330,'State Tax Lookup'!$B$7:$B$91,0),MATCH($H330,'State Tax Lookup'!$D$6:$Z$6,0))</f>
        <v>0.40200000000000002</v>
      </c>
      <c r="CY330" s="72">
        <v>0.37</v>
      </c>
      <c r="CZ330" s="70"/>
      <c r="DA330" s="70"/>
      <c r="DB330" s="69"/>
      <c r="DC330" s="111">
        <f>VLOOKUP($H330,RoR!$E:$F,2,FALSE)</f>
        <v>7.6225000000000001E-2</v>
      </c>
      <c r="DD330" s="216">
        <f>HLOOKUP($H330,'GDP-PI'!$D$8:$CQ$11,3,FALSE)</f>
        <v>2.2568307442433211E-2</v>
      </c>
      <c r="DE330" s="111">
        <f>VLOOKUP(H330,'HW Dx Data'!$E:$F,2,FALSE)</f>
        <v>346.53371782150339</v>
      </c>
      <c r="DF330" s="66"/>
      <c r="DG330" s="69"/>
      <c r="DH330" s="66">
        <f>HLOOKUP(H330,'GDP-PI'!$8:$9,2,FALSE)</f>
        <v>78.069000000000003</v>
      </c>
      <c r="DI330"/>
      <c r="EB330"/>
    </row>
    <row r="331" spans="1:132" s="160" customFormat="1" ht="21">
      <c r="A331" s="160" t="s">
        <v>180</v>
      </c>
      <c r="B331" s="161" t="s">
        <v>180</v>
      </c>
      <c r="C331" s="161">
        <v>4059402</v>
      </c>
      <c r="D331" s="161" t="s">
        <v>181</v>
      </c>
      <c r="E331" s="161" t="s">
        <v>3</v>
      </c>
      <c r="F331" s="161"/>
      <c r="G331" s="161" t="s">
        <v>111</v>
      </c>
      <c r="H331" s="162">
        <v>2001</v>
      </c>
      <c r="I331" s="163"/>
      <c r="J331" s="159"/>
      <c r="K331" s="159"/>
      <c r="L331" s="159"/>
      <c r="M331" s="60"/>
      <c r="N331" s="152"/>
      <c r="O331" s="60"/>
      <c r="P331" s="60"/>
      <c r="Q331" s="159"/>
      <c r="R331" s="159"/>
      <c r="S331" s="159"/>
      <c r="T331" s="159"/>
      <c r="U331" s="159"/>
      <c r="V331" s="159"/>
      <c r="W331" s="159">
        <f t="shared" si="624"/>
        <v>18861.183848577286</v>
      </c>
      <c r="X331" s="163"/>
      <c r="Y331" s="167">
        <v>1508.8264230065158</v>
      </c>
      <c r="Z331" s="168">
        <v>3.5612293993750307E-2</v>
      </c>
      <c r="AA331" s="78"/>
      <c r="AB331" s="168"/>
      <c r="AC331" s="168"/>
      <c r="AD331" s="163">
        <f t="shared" si="577"/>
        <v>18861.183848577286</v>
      </c>
      <c r="AE331" s="168"/>
      <c r="AF331" s="163"/>
      <c r="AG331" s="163"/>
      <c r="AH331" s="163"/>
      <c r="AI331" s="163"/>
      <c r="AJ331" s="167"/>
      <c r="AK331" s="168"/>
      <c r="AL331" s="115"/>
      <c r="AM331" s="115"/>
      <c r="AN331" s="115"/>
      <c r="AO331" s="115"/>
      <c r="AP331" s="115"/>
      <c r="AQ331" s="168"/>
      <c r="AR331" s="79"/>
      <c r="AS331" s="115"/>
      <c r="AT331" s="115"/>
      <c r="AU331" s="115"/>
      <c r="AV331" s="113">
        <f>IFERROR(INDEX('Total Customers'!$F$7:$AB$91,MATCH($C331,'Total Customers'!$D$7:$D$91,0),MATCH($G331,'Total Customers'!$F$5:$AB$5,0)),"NA")</f>
        <v>146941</v>
      </c>
      <c r="AW331" s="68">
        <f t="shared" si="619"/>
        <v>-5.7520927511421044E-2</v>
      </c>
      <c r="AX331" s="114"/>
      <c r="AY331" s="114"/>
      <c r="AZ331" s="116"/>
      <c r="BA331" s="116"/>
      <c r="BB331" s="166"/>
      <c r="BC331" s="166"/>
      <c r="BD331" s="166"/>
      <c r="BE331" s="166"/>
      <c r="BF331" s="166"/>
      <c r="BG331" s="166"/>
      <c r="BH331" s="166"/>
      <c r="BI331" s="113"/>
      <c r="BJ331" s="113"/>
      <c r="BK331" s="113">
        <f>INDEX('Dist. Plant Gas Additions'!$F$7:$AE$91,MATCH($C331,'Dist. Plant Gas Additions'!$D$7:$D$91,0),MATCH(Calculation!$G331,'Dist. Plant Gas Additions'!$F$5:$AE$5,0))</f>
        <v>20283</v>
      </c>
      <c r="BL331" s="113">
        <f>INDEX('Gen. Plant Additions'!$F$7:$AE$91,MATCH($C331,'Gen. Plant Additions'!$D$7:$D$91,0),MATCH(Calculation!$G331,'Gen. Plant Additions'!$F$5:$AE$5,0))</f>
        <v>1022</v>
      </c>
      <c r="BM331" s="231">
        <f t="shared" si="625"/>
        <v>0.89642519302159762</v>
      </c>
      <c r="BN331" s="61">
        <f t="shared" si="537"/>
        <v>916.14654726807282</v>
      </c>
      <c r="BO331" s="113"/>
      <c r="BP331" s="113"/>
      <c r="BQ331" s="113"/>
      <c r="BR331" s="113"/>
      <c r="BS331" s="113"/>
      <c r="BT331" s="113"/>
      <c r="BU331" s="113"/>
      <c r="BV331" s="113"/>
      <c r="BW331" s="113">
        <f>INDEX('Gross Dx Plant'!$E$7:$AD$91,MATCH($C331,'Gross Dx Plant'!$D$7:$D$91,0),MATCH(Calculation!$G331,'Gross Dx Plant'!$E$5:$AD$5,0))</f>
        <v>438758</v>
      </c>
      <c r="BX331" s="113">
        <f>INDEX('Gross Gen Plant'!$E$7:$AD$91,MATCH($C331,'Gross Gen Plant'!$D$7:$D$91,0),MATCH(Calculation!$G331,'Gross Gen Plant'!$E$5:$AD$5,0))</f>
        <v>50695</v>
      </c>
      <c r="BY331" s="113">
        <f t="shared" si="623"/>
        <v>489453</v>
      </c>
      <c r="BZ331" s="113"/>
      <c r="CA331" s="116">
        <v>2001</v>
      </c>
      <c r="CB331" s="113"/>
      <c r="CC331" s="113"/>
      <c r="CD331" s="113"/>
      <c r="CE331" s="175"/>
      <c r="CF331" s="113">
        <f t="shared" si="626"/>
        <v>21305</v>
      </c>
      <c r="CG331" s="113">
        <f t="shared" si="627"/>
        <v>60.277713727745173</v>
      </c>
      <c r="CH331" s="178">
        <v>0.98461538461538467</v>
      </c>
      <c r="CI331" s="61">
        <f>+CI328*CH331+CG329*CH330+CG330*CH328+CG331</f>
        <v>1508.8264230065158</v>
      </c>
      <c r="CJ331" s="114">
        <f t="shared" si="628"/>
        <v>3.5612293993750307E-2</v>
      </c>
      <c r="CK331" s="114"/>
      <c r="CL331" s="169">
        <f t="shared" si="629"/>
        <v>5.1444082660110418E-3</v>
      </c>
      <c r="CM331" s="169">
        <f>+(CL331+CL330+CL329)/3</f>
        <v>5.0881694598528407E-3</v>
      </c>
      <c r="CN331" s="114">
        <f>VLOOKUP($H331,RoR!$E:$F,2,FALSE)</f>
        <v>7.0824999999999999E-2</v>
      </c>
      <c r="CO331" s="169">
        <v>2.2454495382290052E-2</v>
      </c>
      <c r="CP331" s="169">
        <f t="shared" si="635"/>
        <v>4.8370504617709947E-2</v>
      </c>
      <c r="CQ331" s="169">
        <f>+$CP$2-CM331</f>
        <v>2.5813772148680785E-2</v>
      </c>
      <c r="CR331" s="169">
        <f>+((DE329/DE328-1)+(DE330/DE329-1)+(DE331/DE330-1))/3</f>
        <v>2.3947275901631187E-2</v>
      </c>
      <c r="CS331" s="179">
        <f t="shared" si="630"/>
        <v>0.85126000000000002</v>
      </c>
      <c r="CT331" s="180">
        <f t="shared" si="631"/>
        <v>0.72406708481540816</v>
      </c>
      <c r="CU331" s="180">
        <f t="shared" si="632"/>
        <v>0.62201729615248857</v>
      </c>
      <c r="CV331" s="180">
        <f t="shared" si="633"/>
        <v>0.9352469954311422</v>
      </c>
      <c r="CW331" s="180">
        <f t="shared" si="634"/>
        <v>0.42121864641655071</v>
      </c>
      <c r="CX331" s="181">
        <f>INDEX('State Tax Lookup'!$D$7:$Z$91,MATCH(Calculation!$C331,'State Tax Lookup'!$B$7:$B$91,0),MATCH($H331,'State Tax Lookup'!$D$6:$Z$6,0))</f>
        <v>0.40200000000000002</v>
      </c>
      <c r="CY331" s="72">
        <v>0.37</v>
      </c>
      <c r="CZ331" s="70">
        <f t="shared" ref="CZ331:CZ352" si="636">+(DE331*CQ331-CR331)*CS331/(1-CX331)</f>
        <v>12.953761304873582</v>
      </c>
      <c r="DA331" s="70"/>
      <c r="DB331" s="69"/>
      <c r="DC331" s="111">
        <f>VLOOKUP($H331,RoR!$E:$F,2,FALSE)</f>
        <v>7.0824999999999999E-2</v>
      </c>
      <c r="DD331" s="216">
        <f>HLOOKUP($H331,'GDP-PI'!$D$8:$CQ$11,3,FALSE)</f>
        <v>2.2454495382290052E-2</v>
      </c>
      <c r="DE331" s="111">
        <f>VLOOKUP(H331,'HW Dx Data'!$E:$F,2,FALSE)</f>
        <v>353.44738017483138</v>
      </c>
      <c r="DF331" s="66"/>
      <c r="DG331" s="69"/>
      <c r="DH331" s="66">
        <f>HLOOKUP(H331,'GDP-PI'!$8:$9,2,FALSE)</f>
        <v>79.822000000000003</v>
      </c>
      <c r="DI331"/>
      <c r="EB331"/>
    </row>
    <row r="332" spans="1:132" s="160" customFormat="1" ht="21">
      <c r="A332" s="160" t="s">
        <v>180</v>
      </c>
      <c r="B332" s="161" t="s">
        <v>180</v>
      </c>
      <c r="C332" s="161">
        <v>4059402</v>
      </c>
      <c r="D332" s="161" t="s">
        <v>181</v>
      </c>
      <c r="E332" s="161" t="s">
        <v>3</v>
      </c>
      <c r="F332" s="161"/>
      <c r="G332" s="161" t="s">
        <v>113</v>
      </c>
      <c r="H332" s="162">
        <v>2002</v>
      </c>
      <c r="I332" s="163"/>
      <c r="J332" s="159"/>
      <c r="K332" s="159"/>
      <c r="L332" s="159"/>
      <c r="M332" s="60"/>
      <c r="N332" s="152"/>
      <c r="O332" s="60"/>
      <c r="P332" s="60"/>
      <c r="Q332" s="159"/>
      <c r="R332" s="159"/>
      <c r="S332" s="159"/>
      <c r="T332" s="159"/>
      <c r="U332" s="159"/>
      <c r="V332" s="159"/>
      <c r="W332" s="159">
        <f t="shared" si="624"/>
        <v>19803.38388179307</v>
      </c>
      <c r="X332" s="163"/>
      <c r="Y332" s="167">
        <v>1554.3414827147926</v>
      </c>
      <c r="Z332" s="168">
        <v>2.9719826811096715E-2</v>
      </c>
      <c r="AA332" s="78"/>
      <c r="AB332" s="168"/>
      <c r="AC332" s="168"/>
      <c r="AD332" s="163">
        <f t="shared" si="577"/>
        <v>19803.38388179307</v>
      </c>
      <c r="AE332" s="168"/>
      <c r="AF332" s="163"/>
      <c r="AG332" s="163"/>
      <c r="AH332" s="163"/>
      <c r="AI332" s="163"/>
      <c r="AJ332" s="167"/>
      <c r="AK332" s="168"/>
      <c r="AL332" s="115"/>
      <c r="AM332" s="115"/>
      <c r="AN332" s="115"/>
      <c r="AO332" s="115"/>
      <c r="AP332" s="115"/>
      <c r="AQ332" s="168"/>
      <c r="AR332" s="79"/>
      <c r="AS332" s="115"/>
      <c r="AT332" s="115"/>
      <c r="AU332" s="115"/>
      <c r="AV332" s="113">
        <f>IFERROR(INDEX('Total Customers'!$F$7:$AB$91,MATCH($C332,'Total Customers'!$D$7:$D$91,0),MATCH($G332,'Total Customers'!$F$5:$AB$5,0)),"NA")</f>
        <v>148133</v>
      </c>
      <c r="AW332" s="68">
        <f t="shared" si="619"/>
        <v>8.0793732019937472E-3</v>
      </c>
      <c r="AX332" s="114"/>
      <c r="AY332" s="114"/>
      <c r="AZ332" s="116"/>
      <c r="BA332" s="116"/>
      <c r="BB332" s="166"/>
      <c r="BC332" s="166"/>
      <c r="BD332" s="166"/>
      <c r="BE332" s="166"/>
      <c r="BF332" s="166"/>
      <c r="BG332" s="166"/>
      <c r="BH332" s="166"/>
      <c r="BI332" s="113"/>
      <c r="BJ332" s="113"/>
      <c r="BK332" s="113">
        <f>INDEX('Dist. Plant Gas Additions'!$F$7:$AE$91,MATCH($C332,'Dist. Plant Gas Additions'!$D$7:$D$91,0),MATCH(Calculation!$G332,'Dist. Plant Gas Additions'!$F$5:$AE$5,0))</f>
        <v>18818</v>
      </c>
      <c r="BL332" s="113">
        <f>INDEX('Gen. Plant Additions'!$F$7:$AE$91,MATCH($C332,'Gen. Plant Additions'!$D$7:$D$91,0),MATCH(Calculation!$G332,'Gen. Plant Additions'!$F$5:$AE$5,0))</f>
        <v>714</v>
      </c>
      <c r="BM332" s="231">
        <f t="shared" si="625"/>
        <v>0.90285090331546558</v>
      </c>
      <c r="BN332" s="61">
        <f t="shared" si="537"/>
        <v>644.63554496724248</v>
      </c>
      <c r="BO332" s="113"/>
      <c r="BP332" s="113"/>
      <c r="BQ332" s="113"/>
      <c r="BR332" s="113"/>
      <c r="BS332" s="113"/>
      <c r="BT332" s="113"/>
      <c r="BU332" s="113"/>
      <c r="BV332" s="113"/>
      <c r="BW332" s="113">
        <f>INDEX('Gross Dx Plant'!$E$7:$AD$91,MATCH($C332,'Gross Dx Plant'!$D$7:$D$91,0),MATCH(Calculation!$G332,'Gross Dx Plant'!$E$5:$AD$5,0))</f>
        <v>454766</v>
      </c>
      <c r="BX332" s="113">
        <f>INDEX('Gross Gen Plant'!$E$7:$AD$91,MATCH($C332,'Gross Gen Plant'!$D$7:$D$91,0),MATCH(Calculation!$G332,'Gross Gen Plant'!$E$5:$AD$5,0))</f>
        <v>48934</v>
      </c>
      <c r="BY332" s="113">
        <f t="shared" si="623"/>
        <v>503700</v>
      </c>
      <c r="BZ332" s="113"/>
      <c r="CA332" s="116">
        <v>2002</v>
      </c>
      <c r="CB332" s="113"/>
      <c r="CC332" s="113"/>
      <c r="CD332" s="113"/>
      <c r="CE332" s="175"/>
      <c r="CF332" s="113">
        <f t="shared" si="626"/>
        <v>19532</v>
      </c>
      <c r="CG332" s="113">
        <f t="shared" si="627"/>
        <v>54.053131722192781</v>
      </c>
      <c r="CH332" s="178">
        <v>0.97916666666666663</v>
      </c>
      <c r="CI332" s="61">
        <f>+CI328*CH332+CG329*CH331+CG330*CH330+CG331*CH329+CG332</f>
        <v>1554.3414827147926</v>
      </c>
      <c r="CJ332" s="114">
        <f t="shared" si="628"/>
        <v>2.9719826811096715E-2</v>
      </c>
      <c r="CK332" s="114"/>
      <c r="CL332" s="169">
        <f t="shared" si="629"/>
        <v>5.6587503265636508E-3</v>
      </c>
      <c r="CM332" s="169">
        <f t="shared" ref="CM332:CM352" si="637">+(CL332+CL331+CL330)/3</f>
        <v>5.3160447760042043E-3</v>
      </c>
      <c r="CN332" s="114">
        <f>VLOOKUP($H332,RoR!$E:$F,2,FALSE)</f>
        <v>6.4916666666666664E-2</v>
      </c>
      <c r="CO332" s="169">
        <v>1.5246423291824351E-2</v>
      </c>
      <c r="CP332" s="169">
        <f t="shared" si="635"/>
        <v>4.9670243374842313E-2</v>
      </c>
      <c r="CQ332" s="169">
        <f t="shared" ref="CQ332:CQ352" si="638">+$CP$2-CM332</f>
        <v>2.5585896832529421E-2</v>
      </c>
      <c r="CR332" s="169">
        <f t="shared" ref="CR332:CR352" si="639">+((DE330/DE329-1)+(DE331/DE330-1)+(DE332/DE331-1))/3</f>
        <v>2.5243621214759093E-2</v>
      </c>
      <c r="CS332" s="179">
        <f t="shared" si="630"/>
        <v>0.85126000000000002</v>
      </c>
      <c r="CT332" s="180">
        <f t="shared" si="631"/>
        <v>0.78996741384417901</v>
      </c>
      <c r="CU332" s="180">
        <f t="shared" si="632"/>
        <v>0.58989088575096271</v>
      </c>
      <c r="CV332" s="180">
        <f t="shared" si="633"/>
        <v>0.91920675783645744</v>
      </c>
      <c r="CW332" s="180">
        <f t="shared" si="634"/>
        <v>0.42834536472275586</v>
      </c>
      <c r="CX332" s="181">
        <f>INDEX('State Tax Lookup'!$D$7:$Z$91,MATCH(Calculation!$C332,'State Tax Lookup'!$B$7:$B$91,0),MATCH($H332,'State Tax Lookup'!$D$6:$Z$6,0))</f>
        <v>0.40200000000000002</v>
      </c>
      <c r="CY332" s="72">
        <v>0.37</v>
      </c>
      <c r="CZ332" s="70">
        <f t="shared" si="636"/>
        <v>13.125024575280486</v>
      </c>
      <c r="DA332" s="70"/>
      <c r="DB332" s="69">
        <f>LN(CZ332/CZ331)</f>
        <v>1.3134486651852441E-2</v>
      </c>
      <c r="DC332" s="111">
        <f>VLOOKUP($H332,RoR!$E:$F,2,FALSE)</f>
        <v>6.4916666666666664E-2</v>
      </c>
      <c r="DD332" s="216">
        <f>HLOOKUP($H332,'GDP-PI'!$D$8:$CQ$11,3,FALSE)</f>
        <v>1.5246423291824351E-2</v>
      </c>
      <c r="DE332" s="111">
        <f>VLOOKUP(H332,'HW Dx Data'!$E:$F,2,FALSE)</f>
        <v>361.34816573413599</v>
      </c>
      <c r="DF332" s="66"/>
      <c r="DG332" s="69"/>
      <c r="DH332" s="66">
        <f>HLOOKUP(H332,'GDP-PI'!$8:$9,2,FALSE)</f>
        <v>81.039000000000001</v>
      </c>
      <c r="DI332" s="69">
        <f>LN(DH332/DH331)</f>
        <v>1.513136459537477E-2</v>
      </c>
      <c r="EB332"/>
    </row>
    <row r="333" spans="1:132" s="160" customFormat="1" ht="21">
      <c r="A333" s="160" t="s">
        <v>180</v>
      </c>
      <c r="B333" s="161" t="s">
        <v>180</v>
      </c>
      <c r="C333" s="161">
        <v>4059402</v>
      </c>
      <c r="D333" s="161" t="s">
        <v>181</v>
      </c>
      <c r="E333" s="161" t="s">
        <v>3</v>
      </c>
      <c r="F333" s="161"/>
      <c r="G333" s="161" t="s">
        <v>114</v>
      </c>
      <c r="H333" s="162">
        <v>2003</v>
      </c>
      <c r="I333" s="163"/>
      <c r="J333" s="159"/>
      <c r="K333" s="159"/>
      <c r="L333" s="159"/>
      <c r="M333" s="76"/>
      <c r="N333" s="152"/>
      <c r="O333" s="76"/>
      <c r="P333" s="76"/>
      <c r="Q333" s="159"/>
      <c r="R333" s="159"/>
      <c r="S333" s="159"/>
      <c r="T333" s="159"/>
      <c r="U333" s="159"/>
      <c r="V333" s="159"/>
      <c r="W333" s="159">
        <f t="shared" si="624"/>
        <v>20712.20114535727</v>
      </c>
      <c r="X333" s="163"/>
      <c r="Y333" s="167">
        <v>1591.7292374024723</v>
      </c>
      <c r="Z333" s="168">
        <v>2.376902379704305E-2</v>
      </c>
      <c r="AA333" s="78"/>
      <c r="AB333" s="168"/>
      <c r="AC333" s="168"/>
      <c r="AD333" s="163">
        <f t="shared" si="577"/>
        <v>20712.20114535727</v>
      </c>
      <c r="AE333" s="168"/>
      <c r="AF333" s="163"/>
      <c r="AG333" s="163"/>
      <c r="AH333" s="163"/>
      <c r="AI333" s="163"/>
      <c r="AJ333" s="167"/>
      <c r="AK333" s="168"/>
      <c r="AL333" s="115"/>
      <c r="AM333" s="115"/>
      <c r="AN333" s="115"/>
      <c r="AO333" s="115"/>
      <c r="AP333" s="115"/>
      <c r="AQ333" s="168"/>
      <c r="AR333" s="79"/>
      <c r="AS333" s="115"/>
      <c r="AT333" s="115"/>
      <c r="AU333" s="115"/>
      <c r="AV333" s="113">
        <f>IFERROR(INDEX('Total Customers'!$F$7:$AB$91,MATCH($C333,'Total Customers'!$D$7:$D$91,0),MATCH($G333,'Total Customers'!$F$5:$AB$5,0)),"NA")</f>
        <v>150946</v>
      </c>
      <c r="AW333" s="68">
        <f t="shared" si="619"/>
        <v>1.8811638091260692E-2</v>
      </c>
      <c r="AX333" s="114"/>
      <c r="AY333" s="114"/>
      <c r="AZ333" s="116"/>
      <c r="BA333" s="116"/>
      <c r="BB333" s="166"/>
      <c r="BC333" s="166"/>
      <c r="BD333" s="166"/>
      <c r="BE333" s="166"/>
      <c r="BF333" s="166"/>
      <c r="BG333" s="166"/>
      <c r="BH333" s="166"/>
      <c r="BI333" s="113"/>
      <c r="BJ333" s="113"/>
      <c r="BK333" s="113">
        <f>INDEX('Dist. Plant Gas Additions'!$F$7:$AE$91,MATCH($C333,'Dist. Plant Gas Additions'!$D$7:$D$91,0),MATCH(Calculation!$G333,'Dist. Plant Gas Additions'!$F$5:$AE$5,0))</f>
        <v>16792</v>
      </c>
      <c r="BL333" s="113">
        <f>INDEX('Gen. Plant Additions'!$F$7:$AE$91,MATCH($C333,'Gen. Plant Additions'!$D$7:$D$91,0),MATCH(Calculation!$G333,'Gen. Plant Additions'!$F$5:$AE$5,0))</f>
        <v>268</v>
      </c>
      <c r="BM333" s="231">
        <f t="shared" si="625"/>
        <v>0.91177041103330558</v>
      </c>
      <c r="BN333" s="61">
        <f t="shared" si="537"/>
        <v>244.35447015692588</v>
      </c>
      <c r="BO333" s="113">
        <f>INDEX('Dist Plant Depreciation'!$E$7:$AD$94,MATCH($C333,'Dist Plant Depreciation'!$D$7:$D$94,0),MATCH(Calculation!$G333,'Dist Plant Depreciation'!$E$5:$AD$5,0))</f>
        <v>191074</v>
      </c>
      <c r="BP333" s="113">
        <f>INDEX('Gen. Plant Depreciation'!$E$7:$AD$94,MATCH($C333,'Gen. Plant Depreciation'!$D$7:$D$94,0),MATCH(Calculation!$G333,'Gen. Plant Depreciation'!$E$5:$AD$5,0))</f>
        <v>25749</v>
      </c>
      <c r="BQ333" s="113"/>
      <c r="BR333" s="113"/>
      <c r="BS333" s="113"/>
      <c r="BT333" s="113"/>
      <c r="BU333" s="113"/>
      <c r="BV333" s="113"/>
      <c r="BW333" s="113">
        <f>INDEX('Gross Dx Plant'!$E$7:$AD$91,MATCH($C333,'Gross Dx Plant'!$D$7:$D$91,0),MATCH(Calculation!$G333,'Gross Dx Plant'!$E$5:$AD$5,0))</f>
        <v>470045</v>
      </c>
      <c r="BX333" s="113">
        <f>INDEX('Gross Gen Plant'!$E$7:$AD$91,MATCH($C333,'Gross Gen Plant'!$D$7:$D$91,0),MATCH(Calculation!$G333,'Gross Gen Plant'!$E$5:$AD$5,0))</f>
        <v>45485</v>
      </c>
      <c r="BY333" s="113">
        <f t="shared" si="623"/>
        <v>298707</v>
      </c>
      <c r="BZ333" s="113"/>
      <c r="CA333" s="116">
        <v>2003</v>
      </c>
      <c r="CB333" s="113"/>
      <c r="CC333" s="113"/>
      <c r="CD333" s="113"/>
      <c r="CE333" s="175"/>
      <c r="CF333" s="113">
        <f t="shared" si="626"/>
        <v>17060</v>
      </c>
      <c r="CG333" s="113">
        <f t="shared" si="627"/>
        <v>46.203886147252867</v>
      </c>
      <c r="CH333" s="178">
        <v>0.97354497354497349</v>
      </c>
      <c r="CI333" s="61">
        <f>+CI328*CH333+CG329*CH332+CG330*CH331+CG331*CH330+CG332*CH329+CG333</f>
        <v>1591.7292374024723</v>
      </c>
      <c r="CJ333" s="114">
        <f t="shared" si="628"/>
        <v>2.376902379704305E-2</v>
      </c>
      <c r="CK333" s="114"/>
      <c r="CL333" s="169">
        <f t="shared" si="629"/>
        <v>5.6719398906957107E-3</v>
      </c>
      <c r="CM333" s="169">
        <f t="shared" si="637"/>
        <v>5.4916994944234675E-3</v>
      </c>
      <c r="CN333" s="114">
        <f>VLOOKUP($H333,RoR!$E:$F,2,FALSE)</f>
        <v>5.6666666666666671E-2</v>
      </c>
      <c r="CO333" s="169">
        <v>1.8855119140166909E-2</v>
      </c>
      <c r="CP333" s="169">
        <f t="shared" si="635"/>
        <v>3.7811547526499761E-2</v>
      </c>
      <c r="CQ333" s="169">
        <f t="shared" si="638"/>
        <v>2.5410242114110158E-2</v>
      </c>
      <c r="CR333" s="169">
        <f t="shared" si="639"/>
        <v>2.1375012817671957E-2</v>
      </c>
      <c r="CS333" s="179">
        <f t="shared" si="630"/>
        <v>0.85126000000000002</v>
      </c>
      <c r="CT333" s="180">
        <f t="shared" si="631"/>
        <v>0.90497737556561086</v>
      </c>
      <c r="CU333" s="180">
        <f t="shared" si="632"/>
        <v>0.5338235294117647</v>
      </c>
      <c r="CV333" s="180">
        <f t="shared" si="633"/>
        <v>0.88972433127405692</v>
      </c>
      <c r="CW333" s="180">
        <f t="shared" si="634"/>
        <v>0.42982423775949252</v>
      </c>
      <c r="CX333" s="181">
        <f>INDEX('State Tax Lookup'!$D$7:$Z$91,MATCH(Calculation!$C333,'State Tax Lookup'!$B$7:$B$91,0),MATCH($H333,'State Tax Lookup'!$D$6:$Z$6,0))</f>
        <v>0.40200000000000002</v>
      </c>
      <c r="CY333" s="72">
        <v>0.37</v>
      </c>
      <c r="CZ333" s="70">
        <f t="shared" si="636"/>
        <v>13.32538658698191</v>
      </c>
      <c r="DA333" s="70"/>
      <c r="DB333" s="69">
        <f t="shared" ref="DB333:DB352" si="640">LN(CZ333/CZ332)</f>
        <v>1.5150300909047468E-2</v>
      </c>
      <c r="DC333" s="111">
        <f>VLOOKUP($H333,RoR!$E:$F,2,FALSE)</f>
        <v>5.6666666666666671E-2</v>
      </c>
      <c r="DD333" s="216">
        <f>HLOOKUP($H333,'GDP-PI'!$D$8:$CQ$11,3,FALSE)</f>
        <v>1.8855119140166909E-2</v>
      </c>
      <c r="DE333" s="111">
        <f>VLOOKUP(H333,'HW Dx Data'!$E:$F,2,FALSE)</f>
        <v>369.23301095560191</v>
      </c>
      <c r="DF333" s="66"/>
      <c r="DG333" s="69"/>
      <c r="DH333" s="66">
        <f>HLOOKUP(H333,'GDP-PI'!$8:$9,2,FALSE)</f>
        <v>82.566999999999993</v>
      </c>
      <c r="DI333" s="69">
        <f t="shared" ref="DI333:DI352" si="641">LN(DH333/DH332)</f>
        <v>1.8679564681853753E-2</v>
      </c>
      <c r="EB333"/>
    </row>
    <row r="334" spans="1:132" s="160" customFormat="1" ht="21">
      <c r="A334" s="160" t="s">
        <v>180</v>
      </c>
      <c r="B334" s="161" t="s">
        <v>180</v>
      </c>
      <c r="C334" s="161">
        <v>4059402</v>
      </c>
      <c r="D334" s="161" t="s">
        <v>181</v>
      </c>
      <c r="E334" s="161" t="s">
        <v>3</v>
      </c>
      <c r="F334" s="161"/>
      <c r="G334" s="161" t="s">
        <v>115</v>
      </c>
      <c r="H334" s="162">
        <v>2004</v>
      </c>
      <c r="I334" s="163"/>
      <c r="J334" s="159">
        <f>IFERROR(INDEX('Labor Expenditures'!$F$7:$X$91,MATCH($C334,'Labor Expenditures'!$D$7:$D$91,0),MATCH($G334,'Labor Expenditures'!$F$5:$X$5,0)),"NA")</f>
        <v>16434.491736383858</v>
      </c>
      <c r="K334" s="159">
        <f t="shared" ref="K334:K352" si="642">+J334/DF334</f>
        <v>174.18645189596035</v>
      </c>
      <c r="L334" s="165"/>
      <c r="M334" s="76"/>
      <c r="N334" s="152"/>
      <c r="O334" s="76"/>
      <c r="P334" s="76"/>
      <c r="Q334" s="159">
        <f>IFERROR(INDEX('Non-Labor Expenditures'!$F$7:$AB$91,MATCH($C334,'Non-Labor Expenditures'!$D$7:$D$91,0),MATCH($G334,'Non-Labor Expenditures'!$F$5:$AB$5,0)),"NA")</f>
        <v>23800.213573929435</v>
      </c>
      <c r="R334" s="159">
        <f t="shared" ref="R334:R352" si="643">+Q334/DH334</f>
        <v>280.7357283013215</v>
      </c>
      <c r="S334" s="159"/>
      <c r="T334" s="159"/>
      <c r="U334" s="159"/>
      <c r="V334" s="159"/>
      <c r="W334" s="159">
        <f t="shared" si="624"/>
        <v>23536.136424958553</v>
      </c>
      <c r="X334" s="163"/>
      <c r="Y334" s="167">
        <v>1626.9617579526073</v>
      </c>
      <c r="Z334" s="168">
        <v>2.1893327372862804E-2</v>
      </c>
      <c r="AA334" s="76">
        <f t="shared" ref="AA334:AA352" si="644">+Z334*$AR334</f>
        <v>0</v>
      </c>
      <c r="AB334" s="168"/>
      <c r="AC334" s="168"/>
      <c r="AD334" s="163">
        <f t="shared" si="577"/>
        <v>63770.841735271846</v>
      </c>
      <c r="AE334" s="168"/>
      <c r="AF334" s="163"/>
      <c r="AG334" s="163"/>
      <c r="AH334" s="163"/>
      <c r="AI334" s="163"/>
      <c r="AJ334" s="167"/>
      <c r="AK334" s="168"/>
      <c r="AL334" s="115">
        <f t="shared" ref="AL334:AL351" si="645">+J334/AD334</f>
        <v>0.25771169533260041</v>
      </c>
      <c r="AM334" s="115">
        <f t="shared" ref="AM334:AM351" si="646">+Q334/AD334</f>
        <v>0.37321466874672699</v>
      </c>
      <c r="AN334" s="115">
        <f t="shared" ref="AN334:AN351" si="647">+W334/AD334</f>
        <v>0.36907363592067255</v>
      </c>
      <c r="AO334" s="115"/>
      <c r="AP334" s="115"/>
      <c r="AQ334" s="168"/>
      <c r="AR334" s="79"/>
      <c r="AS334" s="115"/>
      <c r="AT334" s="115"/>
      <c r="AU334" s="115"/>
      <c r="AV334" s="113">
        <f>IFERROR(INDEX('Total Customers'!$F$7:$AB$91,MATCH($C334,'Total Customers'!$D$7:$D$91,0),MATCH($G334,'Total Customers'!$F$5:$AB$5,0)),"NA")</f>
        <v>151127</v>
      </c>
      <c r="AW334" s="68">
        <f t="shared" si="619"/>
        <v>1.198385964065602E-3</v>
      </c>
      <c r="AX334" s="114"/>
      <c r="AY334" s="114"/>
      <c r="AZ334" s="116"/>
      <c r="BA334" s="116"/>
      <c r="BB334" s="166"/>
      <c r="BC334" s="166"/>
      <c r="BD334" s="166"/>
      <c r="BE334" s="166"/>
      <c r="BF334" s="166"/>
      <c r="BG334" s="166"/>
      <c r="BH334" s="166"/>
      <c r="BI334" s="113"/>
      <c r="BJ334" s="113"/>
      <c r="BK334" s="113">
        <f>INDEX('Dist. Plant Gas Additions'!$F$7:$AE$91,MATCH($C334,'Dist. Plant Gas Additions'!$D$7:$D$91,0),MATCH(Calculation!$G334,'Dist. Plant Gas Additions'!$F$5:$AE$5,0))</f>
        <v>17251</v>
      </c>
      <c r="BL334" s="113">
        <f>INDEX('Gen. Plant Additions'!$F$7:$AE$91,MATCH($C334,'Gen. Plant Additions'!$D$7:$D$91,0),MATCH(Calculation!$G334,'Gen. Plant Additions'!$F$5:$AE$5,0))</f>
        <v>1237</v>
      </c>
      <c r="BM334" s="231">
        <f t="shared" si="625"/>
        <v>0.95236469517172095</v>
      </c>
      <c r="BN334" s="61">
        <f t="shared" si="537"/>
        <v>1178.0751279274189</v>
      </c>
      <c r="BO334" s="113">
        <f>INDEX('Dist Plant Depreciation'!$E$7:$AD$94,MATCH($C334,'Dist Plant Depreciation'!$D$7:$D$94,0),MATCH(Calculation!$G334,'Dist Plant Depreciation'!$E$5:$AD$5,0))</f>
        <v>207297</v>
      </c>
      <c r="BP334" s="113">
        <f>INDEX('Gen. Plant Depreciation'!$E$7:$AD$94,MATCH($C334,'Gen. Plant Depreciation'!$D$7:$D$94,0),MATCH(Calculation!$G334,'Gen. Plant Depreciation'!$E$5:$AD$5,0))</f>
        <v>10637</v>
      </c>
      <c r="BQ334" s="113"/>
      <c r="BR334" s="113"/>
      <c r="BS334" s="113"/>
      <c r="BT334" s="113"/>
      <c r="BU334" s="113"/>
      <c r="BV334" s="113"/>
      <c r="BW334" s="113">
        <f>INDEX('Gross Dx Plant'!$E$7:$AD$91,MATCH($C334,'Gross Dx Plant'!$D$7:$D$91,0),MATCH(Calculation!$G334,'Gross Dx Plant'!$E$5:$AD$5,0))</f>
        <v>485386</v>
      </c>
      <c r="BX334" s="113">
        <f>INDEX('Gross Gen Plant'!$E$7:$AD$91,MATCH($C334,'Gross Gen Plant'!$D$7:$D$91,0),MATCH(Calculation!$G334,'Gross Gen Plant'!$E$5:$AD$5,0))</f>
        <v>24278</v>
      </c>
      <c r="BY334" s="113">
        <f t="shared" si="623"/>
        <v>291730</v>
      </c>
      <c r="BZ334" s="113"/>
      <c r="CA334" s="116">
        <v>2004</v>
      </c>
      <c r="CB334" s="113"/>
      <c r="CC334" s="113"/>
      <c r="CD334" s="113"/>
      <c r="CE334" s="175"/>
      <c r="CF334" s="113">
        <f t="shared" si="626"/>
        <v>18488</v>
      </c>
      <c r="CG334" s="113">
        <f t="shared" si="627"/>
        <v>44.561510659657138</v>
      </c>
      <c r="CH334" s="178">
        <v>0.967741935483871</v>
      </c>
      <c r="CI334" s="61">
        <f>+CI328*CH334+CG329*CH333+CG330*CH332+CG331*CH331+CG332*CH330+CG333*CH329+CG334</f>
        <v>1626.9617579526073</v>
      </c>
      <c r="CJ334" s="114">
        <f t="shared" si="628"/>
        <v>2.1893327372862804E-2</v>
      </c>
      <c r="CK334" s="114"/>
      <c r="CL334" s="169">
        <f t="shared" si="629"/>
        <v>5.8609152174311238E-3</v>
      </c>
      <c r="CM334" s="169">
        <f t="shared" si="637"/>
        <v>5.7305351448968291E-3</v>
      </c>
      <c r="CN334" s="114">
        <f>VLOOKUP($H334,RoR!$E:$F,2,FALSE)</f>
        <v>5.6283333333333331E-2</v>
      </c>
      <c r="CO334" s="169">
        <v>2.6778252812867276E-2</v>
      </c>
      <c r="CP334" s="169">
        <f t="shared" si="635"/>
        <v>2.9505080520466055E-2</v>
      </c>
      <c r="CQ334" s="169">
        <f t="shared" si="638"/>
        <v>2.5171406463636796E-2</v>
      </c>
      <c r="CR334" s="169">
        <f t="shared" si="639"/>
        <v>5.5940039414565046E-2</v>
      </c>
      <c r="CS334" s="179">
        <f t="shared" si="630"/>
        <v>0.85126000000000002</v>
      </c>
      <c r="CT334" s="180">
        <f t="shared" si="631"/>
        <v>0.91114097628755619</v>
      </c>
      <c r="CU334" s="180">
        <f t="shared" si="632"/>
        <v>0.53081877405981637</v>
      </c>
      <c r="CV334" s="180">
        <f t="shared" si="633"/>
        <v>0.88811215519385678</v>
      </c>
      <c r="CW334" s="180">
        <f t="shared" si="634"/>
        <v>0.42953609753547711</v>
      </c>
      <c r="CX334" s="181">
        <f>INDEX('State Tax Lookup'!$D$7:$Z$91,MATCH(Calculation!$C334,'State Tax Lookup'!$B$7:$B$91,0),MATCH($H334,'State Tax Lookup'!$D$6:$Z$6,0))</f>
        <v>0.40200000000000002</v>
      </c>
      <c r="CY334" s="72">
        <v>0.37</v>
      </c>
      <c r="CZ334" s="70">
        <f t="shared" si="636"/>
        <v>14.786520139170747</v>
      </c>
      <c r="DA334" s="70"/>
      <c r="DB334" s="69">
        <f t="shared" si="640"/>
        <v>0.10404498254375411</v>
      </c>
      <c r="DC334" s="111">
        <f>VLOOKUP($H334,RoR!$E:$F,2,FALSE)</f>
        <v>5.6283333333333331E-2</v>
      </c>
      <c r="DD334" s="216">
        <f>HLOOKUP($H334,'GDP-PI'!$D$8:$CQ$11,3,FALSE)</f>
        <v>2.6778252812867276E-2</v>
      </c>
      <c r="DE334" s="111">
        <f>VLOOKUP(H334,'HW Dx Data'!$E:$F,2,FALSE)</f>
        <v>414.88719135228365</v>
      </c>
      <c r="DF334" s="72">
        <f>VLOOKUP(G334,EG$8:EH$27,2,FALSE)</f>
        <v>94.35</v>
      </c>
      <c r="DG334" s="69"/>
      <c r="DH334" s="66">
        <f>HLOOKUP(H334,'GDP-PI'!$8:$9,2,FALSE)</f>
        <v>84.778000000000006</v>
      </c>
      <c r="DI334" s="69">
        <f t="shared" si="641"/>
        <v>2.6425990216022755E-2</v>
      </c>
      <c r="EB334"/>
    </row>
    <row r="335" spans="1:132" s="160" customFormat="1" ht="21">
      <c r="A335" s="160" t="s">
        <v>180</v>
      </c>
      <c r="B335" s="161" t="s">
        <v>180</v>
      </c>
      <c r="C335" s="161">
        <v>4059402</v>
      </c>
      <c r="D335" s="161" t="s">
        <v>181</v>
      </c>
      <c r="E335" s="161" t="s">
        <v>3</v>
      </c>
      <c r="F335" s="161"/>
      <c r="G335" s="161" t="s">
        <v>116</v>
      </c>
      <c r="H335" s="162">
        <v>2005</v>
      </c>
      <c r="I335" s="163"/>
      <c r="J335" s="159">
        <f>IFERROR(INDEX('Labor Expenditures'!$F$7:$X$91,MATCH($C335,'Labor Expenditures'!$D$7:$D$91,0),MATCH($G335,'Labor Expenditures'!$F$5:$X$5,0)),"NA")</f>
        <v>16398.18378990272</v>
      </c>
      <c r="K335" s="159">
        <f t="shared" si="642"/>
        <v>165.26262322905237</v>
      </c>
      <c r="L335" s="165">
        <f t="shared" ref="L335:L351" si="648">LN(K335/K334)</f>
        <v>-5.2590423629168999E-2</v>
      </c>
      <c r="M335" s="76"/>
      <c r="N335" s="62">
        <v>100</v>
      </c>
      <c r="O335" s="77"/>
      <c r="P335" s="77"/>
      <c r="Q335" s="159">
        <f>IFERROR(INDEX('Non-Labor Expenditures'!$F$7:$AB$91,MATCH($C335,'Non-Labor Expenditures'!$D$7:$D$91,0),MATCH($G335,'Non-Labor Expenditures'!$F$5:$AB$5,0)),"NA")</f>
        <v>23747.632886035764</v>
      </c>
      <c r="R335" s="159">
        <f t="shared" si="643"/>
        <v>271.69028665937242</v>
      </c>
      <c r="S335" s="165">
        <f>LN(R335/R334)</f>
        <v>-3.2750992585332893E-2</v>
      </c>
      <c r="T335" s="165"/>
      <c r="U335" s="165"/>
      <c r="V335" s="165"/>
      <c r="W335" s="159">
        <f t="shared" si="624"/>
        <v>26995.605286317288</v>
      </c>
      <c r="X335" s="163"/>
      <c r="Y335" s="167">
        <v>1660.094857699456</v>
      </c>
      <c r="Z335" s="168">
        <v>2.0160420606462798E-2</v>
      </c>
      <c r="AA335" s="76">
        <f t="shared" si="644"/>
        <v>0</v>
      </c>
      <c r="AB335" s="168"/>
      <c r="AC335" s="168"/>
      <c r="AD335" s="163">
        <f t="shared" si="577"/>
        <v>67141.421962255772</v>
      </c>
      <c r="AE335" s="168">
        <f>LN(AD335/AD334)</f>
        <v>5.1505110600537952E-2</v>
      </c>
      <c r="AF335" s="163"/>
      <c r="AG335" s="163"/>
      <c r="AH335" s="163"/>
      <c r="AI335" s="163"/>
      <c r="AJ335" s="116"/>
      <c r="AK335" s="114"/>
      <c r="AL335" s="115">
        <f t="shared" si="645"/>
        <v>0.24423348970954359</v>
      </c>
      <c r="AM335" s="115">
        <f t="shared" si="646"/>
        <v>0.35369570962297664</v>
      </c>
      <c r="AN335" s="115">
        <f t="shared" si="647"/>
        <v>0.40207080066747974</v>
      </c>
      <c r="AO335" s="115">
        <f t="shared" ref="AO335:AO351" si="649">+(((AL335+AL334)/2)*L335+((AM334+AM335)/2)*S335+((AN334+AN335)/2)*Z335)</f>
        <v>-1.7328975071112366E-2</v>
      </c>
      <c r="AP335" s="166">
        <v>100</v>
      </c>
      <c r="AQ335" s="168"/>
      <c r="AR335" s="16"/>
      <c r="AS335" s="115"/>
      <c r="AT335" s="115"/>
      <c r="AU335" s="115"/>
      <c r="AV335" s="113">
        <f>IFERROR(INDEX('Total Customers'!$F$7:$AB$91,MATCH($C335,'Total Customers'!$D$7:$D$91,0),MATCH($G335,'Total Customers'!$F$5:$AB$5,0)),"NA")</f>
        <v>152980</v>
      </c>
      <c r="AW335" s="68">
        <f t="shared" si="619"/>
        <v>1.2186650968582662E-2</v>
      </c>
      <c r="AX335" s="114"/>
      <c r="AY335" s="114"/>
      <c r="AZ335" s="116"/>
      <c r="BA335" s="116"/>
      <c r="BB335" s="166"/>
      <c r="BC335" s="166"/>
      <c r="BD335" s="166"/>
      <c r="BE335" s="166"/>
      <c r="BF335" s="166"/>
      <c r="BG335" s="166"/>
      <c r="BH335" s="166"/>
      <c r="BI335" s="113"/>
      <c r="BJ335" s="113"/>
      <c r="BK335" s="113">
        <f>INDEX('Dist. Plant Gas Additions'!$F$7:$AE$91,MATCH($C335,'Dist. Plant Gas Additions'!$D$7:$D$91,0),MATCH(Calculation!$G335,'Dist. Plant Gas Additions'!$F$5:$AE$5,0))</f>
        <v>18769</v>
      </c>
      <c r="BL335" s="113">
        <f>INDEX('Gen. Plant Additions'!$F$7:$AE$91,MATCH($C335,'Gen. Plant Additions'!$D$7:$D$91,0),MATCH(Calculation!$G335,'Gen. Plant Additions'!$F$5:$AE$5,0))</f>
        <v>1401</v>
      </c>
      <c r="BM335" s="231">
        <f t="shared" si="625"/>
        <v>0.9514711082619951</v>
      </c>
      <c r="BN335" s="61">
        <f t="shared" si="537"/>
        <v>1333.0110226750551</v>
      </c>
      <c r="BO335" s="113">
        <f>INDEX('Dist Plant Depreciation'!$E$7:$AD$94,MATCH($C335,'Dist Plant Depreciation'!$D$7:$D$94,0),MATCH(Calculation!$G335,'Dist Plant Depreciation'!$E$5:$AD$5,0))</f>
        <v>215612</v>
      </c>
      <c r="BP335" s="113">
        <f>INDEX('Gen. Plant Depreciation'!$E$7:$AD$94,MATCH($C335,'Gen. Plant Depreciation'!$D$7:$D$94,0),MATCH(Calculation!$G335,'Gen. Plant Depreciation'!$E$5:$AD$5,0))</f>
        <v>12044</v>
      </c>
      <c r="BQ335" s="113"/>
      <c r="BR335" s="113"/>
      <c r="BS335" s="113"/>
      <c r="BT335" s="113"/>
      <c r="BU335" s="113"/>
      <c r="BV335" s="113"/>
      <c r="BW335" s="113">
        <f>INDEX('Gross Dx Plant'!$E$7:$AD$91,MATCH($C335,'Gross Dx Plant'!$D$7:$D$91,0),MATCH(Calculation!$G335,'Gross Dx Plant'!$E$5:$AD$5,0))</f>
        <v>503156</v>
      </c>
      <c r="BX335" s="113">
        <f>INDEX('Gross Gen Plant'!$E$7:$AD$91,MATCH($C335,'Gross Gen Plant'!$D$7:$D$91,0),MATCH(Calculation!$G335,'Gross Gen Plant'!$E$5:$AD$5,0))</f>
        <v>25663</v>
      </c>
      <c r="BY335" s="113">
        <f t="shared" si="623"/>
        <v>301163</v>
      </c>
      <c r="BZ335" s="113"/>
      <c r="CA335" s="116">
        <v>2005</v>
      </c>
      <c r="CB335" s="113"/>
      <c r="CC335" s="113"/>
      <c r="CD335" s="113"/>
      <c r="CE335" s="175"/>
      <c r="CF335" s="113">
        <f t="shared" si="626"/>
        <v>20170</v>
      </c>
      <c r="CG335" s="113">
        <f t="shared" si="627"/>
        <v>42.987593837914361</v>
      </c>
      <c r="CH335" s="178">
        <v>0.96174863387978138</v>
      </c>
      <c r="CI335" s="61">
        <f>+CI328*CH335+CG329*CH334+CG330*CH333+CG331*CH332+CG332*CH331+CG333*CH330+CG334*CH329+CG335</f>
        <v>1660.094857699456</v>
      </c>
      <c r="CJ335" s="114">
        <f t="shared" si="628"/>
        <v>2.0160420606462798E-2</v>
      </c>
      <c r="CK335" s="114"/>
      <c r="CL335" s="169">
        <f t="shared" si="629"/>
        <v>6.0569918394803848E-3</v>
      </c>
      <c r="CM335" s="169">
        <f t="shared" si="637"/>
        <v>5.863282315869074E-3</v>
      </c>
      <c r="CN335" s="114">
        <f>VLOOKUP($H335,RoR!$E:$F,2,FALSE)</f>
        <v>5.2350000000000001E-2</v>
      </c>
      <c r="CO335" s="169">
        <v>3.1010403642454332E-2</v>
      </c>
      <c r="CP335" s="169">
        <f t="shared" si="635"/>
        <v>2.1339596357545669E-2</v>
      </c>
      <c r="CQ335" s="169">
        <f t="shared" si="638"/>
        <v>2.503865929266455E-2</v>
      </c>
      <c r="CR335" s="169">
        <f t="shared" si="639"/>
        <v>9.2129610649277341E-2</v>
      </c>
      <c r="CS335" s="179">
        <f t="shared" si="630"/>
        <v>0.85126000000000002</v>
      </c>
      <c r="CT335" s="180">
        <f t="shared" si="631"/>
        <v>0.97959983346802826</v>
      </c>
      <c r="CU335" s="180">
        <f t="shared" si="632"/>
        <v>0.49744508118433622</v>
      </c>
      <c r="CV335" s="180">
        <f t="shared" si="633"/>
        <v>0.87010519444335932</v>
      </c>
      <c r="CW335" s="180">
        <f t="shared" si="634"/>
        <v>0.42399975420741998</v>
      </c>
      <c r="CX335" s="181">
        <f>INDEX('State Tax Lookup'!$D$7:$Z$91,MATCH(Calculation!$C335,'State Tax Lookup'!$B$7:$B$91,0),MATCH($H335,'State Tax Lookup'!$D$6:$Z$6,0))</f>
        <v>0.40200000000000002</v>
      </c>
      <c r="CY335" s="72">
        <v>0.37</v>
      </c>
      <c r="CZ335" s="70">
        <f t="shared" si="636"/>
        <v>16.592648938650505</v>
      </c>
      <c r="DA335" s="70"/>
      <c r="DB335" s="69">
        <f t="shared" si="640"/>
        <v>0.11524379793000011</v>
      </c>
      <c r="DC335" s="111">
        <f>VLOOKUP($H335,RoR!$E:$F,2,FALSE)</f>
        <v>5.2350000000000001E-2</v>
      </c>
      <c r="DD335" s="216">
        <f>HLOOKUP($H335,'GDP-PI'!$D$8:$CQ$11,3,FALSE)</f>
        <v>3.1010403642454332E-2</v>
      </c>
      <c r="DE335" s="111">
        <f>VLOOKUP(H335,'HW Dx Data'!$E:$F,2,FALSE)</f>
        <v>469.20514034936258</v>
      </c>
      <c r="DF335" s="72">
        <f t="shared" ref="DF335:DF353" si="650">VLOOKUP(G335,EG$8:EH$27,2,FALSE)</f>
        <v>99.224999999999994</v>
      </c>
      <c r="DG335" s="69">
        <f t="shared" ref="DG335:DG353" si="651">LN(DF335/DF334)</f>
        <v>5.0378726854569796E-2</v>
      </c>
      <c r="DH335" s="66">
        <f>HLOOKUP(H335,'GDP-PI'!$8:$9,2,FALSE)</f>
        <v>87.406999999999996</v>
      </c>
      <c r="DI335" s="69">
        <f t="shared" si="641"/>
        <v>3.0539295810733648E-2</v>
      </c>
      <c r="EB335"/>
    </row>
    <row r="336" spans="1:132" s="160" customFormat="1" ht="21">
      <c r="A336" s="160" t="s">
        <v>180</v>
      </c>
      <c r="B336" s="161" t="s">
        <v>180</v>
      </c>
      <c r="C336" s="161">
        <v>4059402</v>
      </c>
      <c r="D336" s="161" t="s">
        <v>181</v>
      </c>
      <c r="E336" s="161" t="s">
        <v>3</v>
      </c>
      <c r="F336" s="161"/>
      <c r="G336" s="161" t="s">
        <v>117</v>
      </c>
      <c r="H336" s="162">
        <v>2006</v>
      </c>
      <c r="I336" s="163"/>
      <c r="J336" s="159">
        <f>IFERROR(INDEX('Labor Expenditures'!$F$7:$X$91,MATCH($C336,'Labor Expenditures'!$D$7:$D$91,0),MATCH($G336,'Labor Expenditures'!$F$5:$X$5,0)),"NA")</f>
        <v>16681.487311645436</v>
      </c>
      <c r="K336" s="159">
        <f t="shared" si="642"/>
        <v>152.48160248304785</v>
      </c>
      <c r="L336" s="165">
        <f t="shared" si="648"/>
        <v>-8.0491915177889034E-2</v>
      </c>
      <c r="M336" s="76">
        <f t="shared" ref="M336:M352" si="652">+L336*$AR336</f>
        <v>-6.8483208908807461E-4</v>
      </c>
      <c r="N336" s="62">
        <f>+N335*EXP(O336)</f>
        <v>106.20043281923775</v>
      </c>
      <c r="O336" s="96">
        <f t="shared" ref="O336:O352" si="653">+M336+M361+M386+M411+M436+M461+M486+M511+M536+M561+M586+M611+M636+M661+M686+M711+M736+M761+M786+M811+M836+M861+M886+M911+M936+M961+M986+M1011+M1036+M1061+M1086+M1111+M1136+M1161+M1186+M1211+M1236+M1261+M1286+M1311+M1336+M1361+M1386+M1411+M1436+M1461+M1486+M1511+M1536+M1561+M1586+M1611+M1636+M1661</f>
        <v>6.0157998322155362E-2</v>
      </c>
      <c r="P336" s="96"/>
      <c r="Q336" s="159">
        <f>IFERROR(INDEX('Non-Labor Expenditures'!$F$7:$AB$91,MATCH($C336,'Non-Labor Expenditures'!$D$7:$D$91,0),MATCH($G336,'Non-Labor Expenditures'!$F$5:$AB$5,0)),"NA")</f>
        <v>24157.909299318173</v>
      </c>
      <c r="R336" s="159">
        <f t="shared" si="643"/>
        <v>268.20069386635623</v>
      </c>
      <c r="S336" s="165">
        <f t="shared" ref="S336:S351" si="654">LN(R336/R335)</f>
        <v>-1.2927207584591774E-2</v>
      </c>
      <c r="T336" s="165">
        <f t="shared" ref="T336:T352" si="655">+S336*AR336</f>
        <v>-1.0998578623288964E-4</v>
      </c>
      <c r="U336" s="165"/>
      <c r="V336" s="165"/>
      <c r="W336" s="159">
        <f t="shared" si="624"/>
        <v>26881.780624644191</v>
      </c>
      <c r="X336" s="163"/>
      <c r="Y336" s="167">
        <v>1694.6274556386536</v>
      </c>
      <c r="Z336" s="168">
        <v>2.0588182563041024E-2</v>
      </c>
      <c r="AA336" s="76">
        <f t="shared" si="644"/>
        <v>1.7516601566770952E-4</v>
      </c>
      <c r="AB336" s="168"/>
      <c r="AC336" s="168"/>
      <c r="AD336" s="163">
        <f t="shared" si="577"/>
        <v>67721.1772356078</v>
      </c>
      <c r="AE336" s="168">
        <f t="shared" ref="AE336:AE351" si="656">LN(AD336/AD335)</f>
        <v>8.5977705927152946E-3</v>
      </c>
      <c r="AF336" s="163"/>
      <c r="AG336" s="163"/>
      <c r="AH336" s="163"/>
      <c r="AI336" s="163"/>
      <c r="AJ336" s="116">
        <f t="shared" ref="AJ336:AJ352" si="657">+(AD336*1000)/AV336</f>
        <v>440.11085268765675</v>
      </c>
      <c r="AK336" s="114">
        <f>+AV336/$AX$11</f>
        <v>4.4367523398460085E-3</v>
      </c>
      <c r="AL336" s="115">
        <f t="shared" si="645"/>
        <v>0.24632600897661758</v>
      </c>
      <c r="AM336" s="115">
        <f t="shared" si="646"/>
        <v>0.35672606835038806</v>
      </c>
      <c r="AN336" s="115">
        <f t="shared" si="647"/>
        <v>0.39694792267299434</v>
      </c>
      <c r="AO336" s="115">
        <f t="shared" si="649"/>
        <v>-1.6109750003504529E-2</v>
      </c>
      <c r="AP336" s="166">
        <f>+AP335*EXP(AO336)</f>
        <v>98.401931800518128</v>
      </c>
      <c r="AQ336" s="168">
        <f>LN(AP336/AP335)</f>
        <v>-1.6109750003504494E-2</v>
      </c>
      <c r="AR336" s="69">
        <f>+AD336/$AF$11</f>
        <v>8.5080854092560668E-3</v>
      </c>
      <c r="AS336" s="169">
        <f>+AR336*AQ336</f>
        <v>-1.3706312895157946E-4</v>
      </c>
      <c r="AT336" s="115"/>
      <c r="AU336" s="115"/>
      <c r="AV336" s="113">
        <f>IFERROR(INDEX('Total Customers'!$F$7:$AB$91,MATCH($C336,'Total Customers'!$D$7:$D$91,0),MATCH($G336,'Total Customers'!$F$5:$AB$5,0)),"NA")</f>
        <v>153873</v>
      </c>
      <c r="AW336" s="68">
        <f t="shared" si="619"/>
        <v>5.8203929634716971E-3</v>
      </c>
      <c r="AX336" s="114"/>
      <c r="AY336" s="114"/>
      <c r="AZ336" s="116">
        <v>8247377</v>
      </c>
      <c r="BA336" s="116"/>
      <c r="BB336" s="166"/>
      <c r="BC336" s="166"/>
      <c r="BD336" s="166"/>
      <c r="BE336" s="166"/>
      <c r="BF336" s="166"/>
      <c r="BG336" s="166"/>
      <c r="BH336" s="166"/>
      <c r="BI336" s="113"/>
      <c r="BJ336" s="113"/>
      <c r="BK336" s="113">
        <f>INDEX('Dist. Plant Gas Additions'!$F$7:$AE$91,MATCH($C336,'Dist. Plant Gas Additions'!$D$7:$D$91,0),MATCH(Calculation!$G336,'Dist. Plant Gas Additions'!$F$5:$AE$5,0))</f>
        <v>19187</v>
      </c>
      <c r="BL336" s="113">
        <f>INDEX('Gen. Plant Additions'!$F$7:$AE$91,MATCH($C336,'Gen. Plant Additions'!$D$7:$D$91,0),MATCH(Calculation!$G336,'Gen. Plant Additions'!$F$5:$AE$5,0))</f>
        <v>1528</v>
      </c>
      <c r="BM336" s="231">
        <f t="shared" si="625"/>
        <v>0.95300908347450197</v>
      </c>
      <c r="BN336" s="61">
        <f t="shared" ref="BN336:BN339" si="658">+BM336*BL336</f>
        <v>1456.197879549039</v>
      </c>
      <c r="BO336" s="113">
        <f>INDEX('Dist Plant Depreciation'!$E$7:$AD$94,MATCH($C336,'Dist Plant Depreciation'!$D$7:$D$94,0),MATCH(Calculation!$G336,'Dist Plant Depreciation'!$E$5:$AD$5,0))</f>
        <v>232887</v>
      </c>
      <c r="BP336" s="113">
        <f>INDEX('Gen. Plant Depreciation'!$E$7:$AD$94,MATCH($C336,'Gen. Plant Depreciation'!$D$7:$D$94,0),MATCH(Calculation!$G336,'Gen. Plant Depreciation'!$E$5:$AD$5,0))</f>
        <v>12053</v>
      </c>
      <c r="BQ336" s="113"/>
      <c r="BR336" s="113"/>
      <c r="BS336" s="113"/>
      <c r="BT336" s="113"/>
      <c r="BU336" s="113"/>
      <c r="BV336" s="113"/>
      <c r="BW336" s="113">
        <f>INDEX('Gross Dx Plant'!$E$7:$AD$91,MATCH($C336,'Gross Dx Plant'!$D$7:$D$91,0),MATCH(Calculation!$G336,'Gross Dx Plant'!$E$5:$AD$5,0))</f>
        <v>522066</v>
      </c>
      <c r="BX336" s="113">
        <f>INDEX('Gross Gen Plant'!$E$7:$AD$91,MATCH($C336,'Gross Gen Plant'!$D$7:$D$91,0),MATCH(Calculation!$G336,'Gross Gen Plant'!$E$5:$AD$5,0))</f>
        <v>25742</v>
      </c>
      <c r="BY336" s="113">
        <f t="shared" si="623"/>
        <v>302868</v>
      </c>
      <c r="BZ336" s="114"/>
      <c r="CA336" s="116">
        <v>2006</v>
      </c>
      <c r="CB336" s="113"/>
      <c r="CC336" s="113"/>
      <c r="CD336" s="113"/>
      <c r="CE336" s="175"/>
      <c r="CF336" s="113">
        <f t="shared" si="626"/>
        <v>20715</v>
      </c>
      <c r="CG336" s="113">
        <f t="shared" si="627"/>
        <v>44.92657487569091</v>
      </c>
      <c r="CH336" s="178">
        <v>0.9555555555555556</v>
      </c>
      <c r="CI336" s="61">
        <f>+CI328*CH336+CG329*CH335+CG330*CH334+CG331*CH333+CG332*CH332+CG333*CH331+CG334*CH330+CG335*CH329+CG336</f>
        <v>1694.6274556386536</v>
      </c>
      <c r="CJ336" s="114">
        <f t="shared" si="628"/>
        <v>2.0588182563041024E-2</v>
      </c>
      <c r="CK336" s="114"/>
      <c r="CL336" s="169">
        <f t="shared" si="629"/>
        <v>6.2610741116909605E-3</v>
      </c>
      <c r="CM336" s="169">
        <f t="shared" si="637"/>
        <v>6.0596603895341564E-3</v>
      </c>
      <c r="CN336" s="114">
        <f>VLOOKUP($H336,RoR!$E:$F,2,FALSE)</f>
        <v>5.5874999999999994E-2</v>
      </c>
      <c r="CO336" s="169">
        <v>3.0512430354548314E-2</v>
      </c>
      <c r="CP336" s="169">
        <f t="shared" si="635"/>
        <v>2.536256964545168E-2</v>
      </c>
      <c r="CQ336" s="169">
        <f t="shared" si="638"/>
        <v>2.4842281218999469E-2</v>
      </c>
      <c r="CR336" s="169">
        <f t="shared" si="639"/>
        <v>7.9087823893859641E-2</v>
      </c>
      <c r="CS336" s="179">
        <f t="shared" si="630"/>
        <v>0.85126000000000002</v>
      </c>
      <c r="CT336" s="180">
        <f t="shared" si="631"/>
        <v>0.91779957551769631</v>
      </c>
      <c r="CU336" s="180">
        <f t="shared" si="632"/>
        <v>0.52757270693512304</v>
      </c>
      <c r="CV336" s="180">
        <f t="shared" si="633"/>
        <v>0.88636824549024895</v>
      </c>
      <c r="CW336" s="180">
        <f t="shared" si="634"/>
        <v>0.42918482841932087</v>
      </c>
      <c r="CX336" s="181">
        <f>INDEX('State Tax Lookup'!$D$7:$Z$91,MATCH(Calculation!$C336,'State Tax Lookup'!$B$7:$B$91,0),MATCH($H336,'State Tax Lookup'!$D$6:$Z$6,0))</f>
        <v>0.40200000000000002</v>
      </c>
      <c r="CY336" s="72">
        <v>0.37</v>
      </c>
      <c r="CZ336" s="70">
        <f t="shared" si="636"/>
        <v>16.192918434731322</v>
      </c>
      <c r="DA336" s="70">
        <v>14.788696346247992</v>
      </c>
      <c r="DB336" s="69">
        <f t="shared" si="640"/>
        <v>-2.438574925205126E-2</v>
      </c>
      <c r="DC336" s="111">
        <f>VLOOKUP($H336,RoR!$E:$F,2,FALSE)</f>
        <v>5.5874999999999994E-2</v>
      </c>
      <c r="DD336" s="216">
        <f>HLOOKUP($H336,'GDP-PI'!$D$8:$CQ$11,3,FALSE)</f>
        <v>3.0512430354548314E-2</v>
      </c>
      <c r="DE336" s="111">
        <f>VLOOKUP(H336,'HW Dx Data'!$E:$F,2,FALSE)</f>
        <v>461.08567272971823</v>
      </c>
      <c r="DF336" s="72">
        <f t="shared" si="650"/>
        <v>109.4</v>
      </c>
      <c r="DG336" s="69">
        <f t="shared" si="651"/>
        <v>9.7620891318751846E-2</v>
      </c>
      <c r="DH336" s="66">
        <f>HLOOKUP(H336,'GDP-PI'!$8:$9,2,FALSE)</f>
        <v>90.073999999999998</v>
      </c>
      <c r="DI336" s="69">
        <f t="shared" si="641"/>
        <v>3.005618372545445E-2</v>
      </c>
      <c r="EB336"/>
    </row>
    <row r="337" spans="1:132" s="160" customFormat="1" ht="21">
      <c r="A337" s="160" t="s">
        <v>180</v>
      </c>
      <c r="B337" s="161" t="s">
        <v>180</v>
      </c>
      <c r="C337" s="161">
        <v>4059402</v>
      </c>
      <c r="D337" s="161" t="s">
        <v>181</v>
      </c>
      <c r="E337" s="161" t="s">
        <v>3</v>
      </c>
      <c r="F337" s="161"/>
      <c r="G337" s="161" t="s">
        <v>118</v>
      </c>
      <c r="H337" s="162">
        <v>2007</v>
      </c>
      <c r="I337" s="163"/>
      <c r="J337" s="159">
        <f>IFERROR(INDEX('Labor Expenditures'!$F$7:$X$91,MATCH($C337,'Labor Expenditures'!$D$7:$D$91,0),MATCH($G337,'Labor Expenditures'!$F$5:$X$5,0)),"NA")</f>
        <v>17669.463235382074</v>
      </c>
      <c r="K337" s="159">
        <f t="shared" si="642"/>
        <v>169.04533112061301</v>
      </c>
      <c r="L337" s="165">
        <f t="shared" si="648"/>
        <v>0.10312296112384021</v>
      </c>
      <c r="M337" s="76">
        <f t="shared" si="652"/>
        <v>8.9172297857742304E-4</v>
      </c>
      <c r="N337" s="62">
        <f t="shared" ref="N337:N350" si="659">+N336*EXP(O337)</f>
        <v>117.68387689679771</v>
      </c>
      <c r="O337" s="96">
        <f t="shared" si="653"/>
        <v>0.10267383583862938</v>
      </c>
      <c r="P337" s="96"/>
      <c r="Q337" s="159">
        <f>IFERROR(INDEX('Non-Labor Expenditures'!$F$7:$AB$91,MATCH($C337,'Non-Labor Expenditures'!$D$7:$D$91,0),MATCH($G337,'Non-Labor Expenditures'!$F$5:$AB$5,0)),"NA")</f>
        <v>25588.682965337623</v>
      </c>
      <c r="R337" s="159">
        <f t="shared" si="643"/>
        <v>276.64039184996022</v>
      </c>
      <c r="S337" s="165">
        <f t="shared" si="654"/>
        <v>3.0982880428550096E-2</v>
      </c>
      <c r="T337" s="165">
        <f t="shared" si="655"/>
        <v>2.6791459554265746E-4</v>
      </c>
      <c r="U337" s="165"/>
      <c r="V337" s="165"/>
      <c r="W337" s="159">
        <f t="shared" si="624"/>
        <v>29445.163693104201</v>
      </c>
      <c r="X337" s="163"/>
      <c r="Y337" s="167">
        <v>1735.0326424524796</v>
      </c>
      <c r="Z337" s="168">
        <v>2.3563300824161675E-2</v>
      </c>
      <c r="AA337" s="76">
        <f t="shared" si="644"/>
        <v>2.0375614283228439E-4</v>
      </c>
      <c r="AB337" s="168"/>
      <c r="AC337" s="168"/>
      <c r="AD337" s="163">
        <f t="shared" si="577"/>
        <v>72703.309893823898</v>
      </c>
      <c r="AE337" s="168">
        <f t="shared" si="656"/>
        <v>7.0987970633397832E-2</v>
      </c>
      <c r="AF337" s="163"/>
      <c r="AG337" s="163"/>
      <c r="AH337" s="163"/>
      <c r="AI337" s="163"/>
      <c r="AJ337" s="116">
        <f t="shared" si="657"/>
        <v>473.550817400239</v>
      </c>
      <c r="AK337" s="114">
        <f>+AV337/$AX$12</f>
        <v>4.3934749308110971E-3</v>
      </c>
      <c r="AL337" s="115">
        <f t="shared" si="645"/>
        <v>0.24303519690075465</v>
      </c>
      <c r="AM337" s="115">
        <f t="shared" si="646"/>
        <v>0.35196035782562585</v>
      </c>
      <c r="AN337" s="115">
        <f t="shared" si="647"/>
        <v>0.40500444527361951</v>
      </c>
      <c r="AO337" s="115">
        <f t="shared" si="649"/>
        <v>4.5659084152665307E-2</v>
      </c>
      <c r="AP337" s="166">
        <f>+AP336*EXP(AO337)</f>
        <v>102.99902479110118</v>
      </c>
      <c r="AQ337" s="168">
        <f>LN(AP337/AP336)</f>
        <v>4.5659084152665223E-2</v>
      </c>
      <c r="AR337" s="69">
        <f>+AD337/$AF$12</f>
        <v>8.647181664096653E-3</v>
      </c>
      <c r="AS337" s="169">
        <f t="shared" ref="AS337:AS351" si="660">+AR337*AQ337</f>
        <v>3.948223952843728E-4</v>
      </c>
      <c r="AT337" s="115"/>
      <c r="AU337" s="115"/>
      <c r="AV337" s="113">
        <f>IFERROR(INDEX('Total Customers'!$F$7:$AB$91,MATCH($C337,'Total Customers'!$D$7:$D$91,0),MATCH($G337,'Total Customers'!$F$5:$AB$5,0)),"NA")</f>
        <v>153528</v>
      </c>
      <c r="AW337" s="68">
        <f t="shared" si="619"/>
        <v>-2.2446260412454168E-3</v>
      </c>
      <c r="AX337" s="114"/>
      <c r="AY337" s="114"/>
      <c r="AZ337" s="116">
        <v>8187757</v>
      </c>
      <c r="BA337" s="116"/>
      <c r="BB337" s="166"/>
      <c r="BC337" s="166"/>
      <c r="BD337" s="166"/>
      <c r="BE337" s="166"/>
      <c r="BF337" s="166"/>
      <c r="BG337" s="166"/>
      <c r="BH337" s="166"/>
      <c r="BI337" s="113"/>
      <c r="BJ337" s="113"/>
      <c r="BK337" s="113">
        <f>INDEX('Dist. Plant Gas Additions'!$F$7:$AE$91,MATCH($C337,'Dist. Plant Gas Additions'!$D$7:$D$91,0),MATCH(Calculation!$G337,'Dist. Plant Gas Additions'!$F$5:$AE$5,0))</f>
        <v>22797</v>
      </c>
      <c r="BL337" s="113">
        <f>INDEX('Gen. Plant Additions'!$F$7:$AE$91,MATCH($C337,'Gen. Plant Additions'!$D$7:$D$91,0),MATCH(Calculation!$G337,'Gen. Plant Additions'!$F$5:$AE$5,0))</f>
        <v>2787</v>
      </c>
      <c r="BM337" s="231">
        <f t="shared" si="625"/>
        <v>0.95082830884505065</v>
      </c>
      <c r="BN337" s="61">
        <f t="shared" si="658"/>
        <v>2649.958496751156</v>
      </c>
      <c r="BO337" s="113">
        <f>INDEX('Dist Plant Depreciation'!$E$7:$AD$94,MATCH($C337,'Dist Plant Depreciation'!$D$7:$D$94,0),MATCH(Calculation!$G337,'Dist Plant Depreciation'!$E$5:$AD$5,0))</f>
        <v>243375</v>
      </c>
      <c r="BP337" s="113">
        <f>INDEX('Gen. Plant Depreciation'!$E$7:$AD$94,MATCH($C337,'Gen. Plant Depreciation'!$D$7:$D$94,0),MATCH(Calculation!$G337,'Gen. Plant Depreciation'!$E$5:$AD$5,0))</f>
        <v>13004</v>
      </c>
      <c r="BQ337" s="113"/>
      <c r="BR337" s="113"/>
      <c r="BS337" s="113"/>
      <c r="BT337" s="113"/>
      <c r="BU337" s="113"/>
      <c r="BV337" s="113"/>
      <c r="BW337" s="113">
        <f>INDEX('Gross Dx Plant'!$E$7:$AD$91,MATCH($C337,'Gross Dx Plant'!$D$7:$D$91,0),MATCH(Calculation!$G337,'Gross Dx Plant'!$E$5:$AD$5,0))</f>
        <v>536019</v>
      </c>
      <c r="BX337" s="113">
        <f>INDEX('Gross Gen Plant'!$E$7:$AD$91,MATCH($C337,'Gross Gen Plant'!$D$7:$D$91,0),MATCH(Calculation!$G337,'Gross Gen Plant'!$E$5:$AD$5,0))</f>
        <v>27720</v>
      </c>
      <c r="BY337" s="113">
        <f t="shared" si="623"/>
        <v>307360</v>
      </c>
      <c r="BZ337" s="113"/>
      <c r="CA337" s="116">
        <v>2007</v>
      </c>
      <c r="CB337" s="113"/>
      <c r="CC337" s="113"/>
      <c r="CD337" s="113"/>
      <c r="CE337" s="175"/>
      <c r="CF337" s="113">
        <f t="shared" si="626"/>
        <v>25584</v>
      </c>
      <c r="CG337" s="113">
        <f t="shared" si="627"/>
        <v>51.371192022755835</v>
      </c>
      <c r="CH337" s="178">
        <v>0.94915254237288138</v>
      </c>
      <c r="CI337" s="61">
        <f>+CI328*CH337+CG329*CH336+CG330*CH335+CG331*CH334+CG332*CH333+CG333*CH332+CG334*CH331+CG335*CH330+CG336*CH329+CG337</f>
        <v>1735.0326424524796</v>
      </c>
      <c r="CJ337" s="114">
        <f t="shared" si="628"/>
        <v>2.3563300824161675E-2</v>
      </c>
      <c r="CK337" s="114"/>
      <c r="CL337" s="169">
        <f t="shared" si="629"/>
        <v>6.4710418637688319E-3</v>
      </c>
      <c r="CM337" s="169">
        <f t="shared" si="637"/>
        <v>6.2630359383133924E-3</v>
      </c>
      <c r="CN337" s="114">
        <f>VLOOKUP($H337,RoR!$E:$F,2,FALSE)</f>
        <v>5.5558333333333321E-2</v>
      </c>
      <c r="CO337" s="169">
        <v>2.691120634145272E-2</v>
      </c>
      <c r="CP337" s="169">
        <f t="shared" si="635"/>
        <v>2.86471269918806E-2</v>
      </c>
      <c r="CQ337" s="169">
        <f t="shared" si="638"/>
        <v>2.4638905670220233E-2</v>
      </c>
      <c r="CR337" s="169">
        <f t="shared" si="639"/>
        <v>6.4575155250632399E-2</v>
      </c>
      <c r="CS337" s="179">
        <f t="shared" si="630"/>
        <v>0.85126000000000002</v>
      </c>
      <c r="CT337" s="180">
        <f t="shared" si="631"/>
        <v>0.92303077153834634</v>
      </c>
      <c r="CU337" s="180">
        <f t="shared" si="632"/>
        <v>0.52502249887505614</v>
      </c>
      <c r="CV337" s="180">
        <f t="shared" si="633"/>
        <v>0.88499666072084604</v>
      </c>
      <c r="CW337" s="180">
        <f t="shared" si="634"/>
        <v>0.42887993290280618</v>
      </c>
      <c r="CX337" s="181">
        <f>INDEX('State Tax Lookup'!$D$7:$Z$91,MATCH(Calculation!$C337,'State Tax Lookup'!$B$7:$B$91,0),MATCH($H337,'State Tax Lookup'!$D$6:$Z$6,0))</f>
        <v>0.40200000000000002</v>
      </c>
      <c r="CY337" s="72">
        <v>0.37</v>
      </c>
      <c r="CZ337" s="70">
        <f t="shared" si="636"/>
        <v>17.375596975682903</v>
      </c>
      <c r="DA337" s="70">
        <v>16.108943221861779</v>
      </c>
      <c r="DB337" s="69">
        <f t="shared" si="640"/>
        <v>7.0492736164299741E-2</v>
      </c>
      <c r="DC337" s="111">
        <f>VLOOKUP($H337,RoR!$E:$F,2,FALSE)</f>
        <v>5.5558333333333321E-2</v>
      </c>
      <c r="DD337" s="216">
        <f>HLOOKUP($H337,'GDP-PI'!$D$8:$CQ$11,3,FALSE)</f>
        <v>2.691120634145272E-2</v>
      </c>
      <c r="DE337" s="111">
        <f>VLOOKUP(H337,'HW Dx Data'!$E:$F,2,FALSE)</f>
        <v>498.0223154772637</v>
      </c>
      <c r="DF337" s="72">
        <f t="shared" si="650"/>
        <v>104.52499999999999</v>
      </c>
      <c r="DG337" s="69">
        <f t="shared" si="651"/>
        <v>-4.5584612745252218E-2</v>
      </c>
      <c r="DH337" s="66">
        <f>HLOOKUP(H337,'GDP-PI'!$8:$9,2,FALSE)</f>
        <v>92.498000000000005</v>
      </c>
      <c r="DI337" s="69">
        <f t="shared" si="641"/>
        <v>2.6555467950038037E-2</v>
      </c>
      <c r="EB337"/>
    </row>
    <row r="338" spans="1:132" s="160" customFormat="1" ht="21">
      <c r="A338" s="160" t="s">
        <v>180</v>
      </c>
      <c r="B338" s="161" t="s">
        <v>180</v>
      </c>
      <c r="C338" s="161">
        <v>4059402</v>
      </c>
      <c r="D338" s="161" t="s">
        <v>181</v>
      </c>
      <c r="E338" s="161" t="s">
        <v>3</v>
      </c>
      <c r="F338" s="161"/>
      <c r="G338" s="161" t="s">
        <v>120</v>
      </c>
      <c r="H338" s="162">
        <v>2008</v>
      </c>
      <c r="I338" s="163"/>
      <c r="J338" s="159">
        <f>IFERROR(INDEX('Labor Expenditures'!$F$7:$X$91,MATCH($C338,'Labor Expenditures'!$D$7:$D$91,0),MATCH($G338,'Labor Expenditures'!$F$5:$X$5,0)),"NA")</f>
        <v>18730.648159127104</v>
      </c>
      <c r="K338" s="159">
        <f t="shared" si="642"/>
        <v>173.59266134501485</v>
      </c>
      <c r="L338" s="165">
        <f t="shared" si="648"/>
        <v>2.654461753613865E-2</v>
      </c>
      <c r="M338" s="76">
        <f t="shared" si="652"/>
        <v>2.3645302037679809E-4</v>
      </c>
      <c r="N338" s="62">
        <f t="shared" si="659"/>
        <v>109.59229414300378</v>
      </c>
      <c r="O338" s="96">
        <f t="shared" si="653"/>
        <v>-7.1234957020947773E-2</v>
      </c>
      <c r="P338" s="96"/>
      <c r="Q338" s="159">
        <f>IFERROR(INDEX('Non-Labor Expenditures'!$F$7:$AB$91,MATCH($C338,'Non-Labor Expenditures'!$D$7:$D$91,0),MATCH($G338,'Non-Labor Expenditures'!$F$5:$AB$5,0)),"NA")</f>
        <v>27125.476936924297</v>
      </c>
      <c r="R338" s="159">
        <f t="shared" si="643"/>
        <v>287.76072452817937</v>
      </c>
      <c r="S338" s="165">
        <f t="shared" si="654"/>
        <v>3.9410878809566847E-2</v>
      </c>
      <c r="T338" s="165">
        <f t="shared" si="655"/>
        <v>3.5106255788161587E-4</v>
      </c>
      <c r="U338" s="165"/>
      <c r="V338" s="165"/>
      <c r="W338" s="159">
        <f t="shared" si="624"/>
        <v>34215.567929524332</v>
      </c>
      <c r="X338" s="163"/>
      <c r="Y338" s="167">
        <v>1763.9218088889568</v>
      </c>
      <c r="Z338" s="168">
        <v>1.651340326001588E-2</v>
      </c>
      <c r="AA338" s="76">
        <f t="shared" si="644"/>
        <v>1.4709739449871213E-4</v>
      </c>
      <c r="AB338" s="168"/>
      <c r="AC338" s="168"/>
      <c r="AD338" s="163">
        <f t="shared" si="577"/>
        <v>80071.693025575732</v>
      </c>
      <c r="AE338" s="168">
        <f t="shared" si="656"/>
        <v>9.6535484563200977E-2</v>
      </c>
      <c r="AF338" s="163"/>
      <c r="AG338" s="163"/>
      <c r="AH338" s="163"/>
      <c r="AI338" s="163"/>
      <c r="AJ338" s="116">
        <f t="shared" si="657"/>
        <v>511.33308444497061</v>
      </c>
      <c r="AK338" s="114">
        <f>+AV338/$AX$13</f>
        <v>4.4572547831720063E-3</v>
      </c>
      <c r="AL338" s="115">
        <f t="shared" si="645"/>
        <v>0.23392346847398793</v>
      </c>
      <c r="AM338" s="115">
        <f t="shared" si="646"/>
        <v>0.33876487322754795</v>
      </c>
      <c r="AN338" s="115">
        <f t="shared" si="647"/>
        <v>0.42731165829846413</v>
      </c>
      <c r="AO338" s="115">
        <f t="shared" si="649"/>
        <v>2.6813572591378662E-2</v>
      </c>
      <c r="AP338" s="166">
        <f t="shared" ref="AP338:AP351" si="661">+AP337*EXP(AO338)</f>
        <v>105.79815627167396</v>
      </c>
      <c r="AQ338" s="168">
        <f t="shared" ref="AQ338:AQ351" si="662">LN(AP338/AP337)</f>
        <v>2.6813572591378561E-2</v>
      </c>
      <c r="AR338" s="69">
        <f>+AD338/$AF$13</f>
        <v>8.9077576670631535E-3</v>
      </c>
      <c r="AS338" s="169">
        <f t="shared" si="660"/>
        <v>2.3884880683220681E-4</v>
      </c>
      <c r="AT338" s="115"/>
      <c r="AU338" s="115"/>
      <c r="AV338" s="113">
        <f>IFERROR(INDEX('Total Customers'!$F$7:$AB$91,MATCH($C338,'Total Customers'!$D$7:$D$91,0),MATCH($G338,'Total Customers'!$F$5:$AB$5,0)),"NA")</f>
        <v>156594</v>
      </c>
      <c r="AW338" s="68">
        <f t="shared" si="619"/>
        <v>1.9773507830504477E-2</v>
      </c>
      <c r="AX338" s="114"/>
      <c r="AY338" s="114"/>
      <c r="AZ338" s="116">
        <v>8244107</v>
      </c>
      <c r="BA338" s="116"/>
      <c r="BB338" s="166"/>
      <c r="BC338" s="166"/>
      <c r="BD338" s="166"/>
      <c r="BE338" s="166"/>
      <c r="BF338" s="166"/>
      <c r="BG338" s="166"/>
      <c r="BH338" s="166"/>
      <c r="BI338" s="113"/>
      <c r="BJ338" s="113"/>
      <c r="BK338" s="113">
        <f>INDEX('Dist. Plant Gas Additions'!$F$7:$AE$91,MATCH($C338,'Dist. Plant Gas Additions'!$D$7:$D$91,0),MATCH(Calculation!$G338,'Dist. Plant Gas Additions'!$F$5:$AE$5,0))</f>
        <v>21327</v>
      </c>
      <c r="BL338" s="113">
        <f>INDEX('Gen. Plant Additions'!$F$7:$AE$91,MATCH($C338,'Gen. Plant Additions'!$D$7:$D$91,0),MATCH(Calculation!$G338,'Gen. Plant Additions'!$F$5:$AE$5,0))</f>
        <v>1744</v>
      </c>
      <c r="BM338" s="231">
        <f t="shared" si="625"/>
        <v>0.95096372564876408</v>
      </c>
      <c r="BN338" s="61">
        <f t="shared" si="658"/>
        <v>1658.4807375314444</v>
      </c>
      <c r="BO338" s="113">
        <f>INDEX('Dist Plant Depreciation'!$E$7:$AD$94,MATCH($C338,'Dist Plant Depreciation'!$D$7:$D$94,0),MATCH(Calculation!$G338,'Dist Plant Depreciation'!$E$5:$AD$5,0))</f>
        <v>257375</v>
      </c>
      <c r="BP338" s="113">
        <f>INDEX('Gen. Plant Depreciation'!$E$7:$AD$94,MATCH($C338,'Gen. Plant Depreciation'!$D$7:$D$94,0),MATCH(Calculation!$G338,'Gen. Plant Depreciation'!$E$5:$AD$5,0))</f>
        <v>14097</v>
      </c>
      <c r="BQ338" s="113"/>
      <c r="BR338" s="113"/>
      <c r="BS338" s="113"/>
      <c r="BT338" s="113"/>
      <c r="BU338" s="113"/>
      <c r="BV338" s="113"/>
      <c r="BW338" s="113">
        <f>INDEX('Gross Dx Plant'!$E$7:$AD$91,MATCH($C338,'Gross Dx Plant'!$D$7:$D$91,0),MATCH(Calculation!$G338,'Gross Dx Plant'!$E$5:$AD$5,0))</f>
        <v>552683</v>
      </c>
      <c r="BX338" s="113">
        <f>INDEX('Gross Gen Plant'!$E$7:$AD$91,MATCH($C338,'Gross Gen Plant'!$D$7:$D$91,0),MATCH(Calculation!$G338,'Gross Gen Plant'!$E$5:$AD$5,0))</f>
        <v>28499</v>
      </c>
      <c r="BY338" s="113">
        <f t="shared" si="623"/>
        <v>309710</v>
      </c>
      <c r="BZ338" s="113"/>
      <c r="CA338" s="116">
        <v>2008</v>
      </c>
      <c r="CB338" s="113"/>
      <c r="CC338" s="113"/>
      <c r="CD338" s="113"/>
      <c r="CE338" s="175"/>
      <c r="CF338" s="113">
        <f t="shared" si="626"/>
        <v>23071</v>
      </c>
      <c r="CG338" s="113">
        <f t="shared" si="627"/>
        <v>40.48387605167563</v>
      </c>
      <c r="CH338" s="178">
        <v>0.94252873563218387</v>
      </c>
      <c r="CI338" s="61">
        <f>+CI328*CH338+CG329*CH337+CG330*CH336+CG331*CH335+CG332*CH334+CG333*CH333+CG334*CH332+CG335*CH331+CG336*CH330+CG337*CH329+CG338</f>
        <v>1763.9218088889568</v>
      </c>
      <c r="CJ338" s="114">
        <f t="shared" si="628"/>
        <v>1.651340326001588E-2</v>
      </c>
      <c r="CK338" s="114"/>
      <c r="CL338" s="169">
        <f t="shared" si="629"/>
        <v>6.6827040203746874E-3</v>
      </c>
      <c r="CM338" s="169">
        <f t="shared" si="637"/>
        <v>6.4716066652781602E-3</v>
      </c>
      <c r="CN338" s="114">
        <f>VLOOKUP($H338,RoR!$E:$F,2,FALSE)</f>
        <v>5.6316666666666668E-2</v>
      </c>
      <c r="CO338" s="169">
        <v>1.9092304698479889E-2</v>
      </c>
      <c r="CP338" s="169">
        <f t="shared" si="635"/>
        <v>3.7224361968186778E-2</v>
      </c>
      <c r="CQ338" s="169">
        <f t="shared" si="638"/>
        <v>2.4430334943255465E-2</v>
      </c>
      <c r="CR338" s="169">
        <f t="shared" si="639"/>
        <v>6.9030581091053131E-2</v>
      </c>
      <c r="CS338" s="179">
        <f t="shared" si="630"/>
        <v>0.85126000000000002</v>
      </c>
      <c r="CT338" s="180">
        <f t="shared" si="631"/>
        <v>0.91060168006009956</v>
      </c>
      <c r="CU338" s="180">
        <f t="shared" si="632"/>
        <v>0.53108168097070152</v>
      </c>
      <c r="CV338" s="180">
        <f t="shared" si="633"/>
        <v>0.88825329850328805</v>
      </c>
      <c r="CW338" s="180">
        <f t="shared" si="634"/>
        <v>0.4295627335323573</v>
      </c>
      <c r="CX338" s="181">
        <f>INDEX('State Tax Lookup'!$D$7:$Z$91,MATCH(Calculation!$C338,'State Tax Lookup'!$B$7:$B$91,0),MATCH($H338,'State Tax Lookup'!$D$6:$Z$6,0))</f>
        <v>0.40200000000000002</v>
      </c>
      <c r="CY338" s="72">
        <v>0.37</v>
      </c>
      <c r="CZ338" s="70">
        <f t="shared" si="636"/>
        <v>19.720417410222559</v>
      </c>
      <c r="DA338" s="70">
        <v>18.300102035478151</v>
      </c>
      <c r="DB338" s="69">
        <f t="shared" si="640"/>
        <v>0.12658776662415291</v>
      </c>
      <c r="DC338" s="111">
        <f>VLOOKUP($H338,RoR!$E:$F,2,FALSE)</f>
        <v>5.6316666666666668E-2</v>
      </c>
      <c r="DD338" s="216">
        <f>HLOOKUP($H338,'GDP-PI'!$D$8:$CQ$11,3,FALSE)</f>
        <v>1.9092304698479889E-2</v>
      </c>
      <c r="DE338" s="111">
        <f>VLOOKUP(H338,'HW Dx Data'!$E:$F,2,FALSE)</f>
        <v>569.88120333515076</v>
      </c>
      <c r="DF338" s="72">
        <f t="shared" si="650"/>
        <v>107.9</v>
      </c>
      <c r="DG338" s="69">
        <f t="shared" si="651"/>
        <v>3.1778595021460486E-2</v>
      </c>
      <c r="DH338" s="66">
        <f>HLOOKUP(H338,'GDP-PI'!$8:$9,2,FALSE)</f>
        <v>94.263999999999996</v>
      </c>
      <c r="DI338" s="69">
        <f t="shared" si="641"/>
        <v>1.8912333748032254E-2</v>
      </c>
      <c r="EB338"/>
    </row>
    <row r="339" spans="1:132" s="160" customFormat="1" ht="21">
      <c r="A339" s="160" t="s">
        <v>180</v>
      </c>
      <c r="B339" s="161" t="s">
        <v>180</v>
      </c>
      <c r="C339" s="161">
        <v>4059402</v>
      </c>
      <c r="D339" s="161" t="s">
        <v>181</v>
      </c>
      <c r="E339" s="161" t="s">
        <v>3</v>
      </c>
      <c r="F339" s="161"/>
      <c r="G339" s="161" t="s">
        <v>125</v>
      </c>
      <c r="H339" s="162">
        <v>2009</v>
      </c>
      <c r="I339" s="163"/>
      <c r="J339" s="159">
        <f>IFERROR(INDEX('Labor Expenditures'!$F$7:$X$91,MATCH($C339,'Labor Expenditures'!$D$7:$D$91,0),MATCH($G339,'Labor Expenditures'!$F$5:$X$5,0)),"NA")</f>
        <v>25356.899063755111</v>
      </c>
      <c r="K339" s="159">
        <f t="shared" si="642"/>
        <v>228.59498817899581</v>
      </c>
      <c r="L339" s="165">
        <f t="shared" si="648"/>
        <v>0.27524029916948323</v>
      </c>
      <c r="M339" s="76">
        <f t="shared" si="652"/>
        <v>2.8010637783026141E-3</v>
      </c>
      <c r="N339" s="62">
        <f t="shared" si="659"/>
        <v>117.9145095575625</v>
      </c>
      <c r="O339" s="96">
        <f t="shared" si="653"/>
        <v>7.3192803489310621E-2</v>
      </c>
      <c r="P339" s="96"/>
      <c r="Q339" s="159">
        <f>IFERROR(INDEX('Non-Labor Expenditures'!$F$7:$AB$91,MATCH($C339,'Non-Labor Expenditures'!$D$7:$D$91,0),MATCH($G339,'Non-Labor Expenditures'!$F$5:$AB$5,0)),"NA")</f>
        <v>36721.525859778929</v>
      </c>
      <c r="R339" s="159">
        <f t="shared" si="643"/>
        <v>386.54644638131907</v>
      </c>
      <c r="S339" s="165">
        <f t="shared" si="654"/>
        <v>0.29512271535205759</v>
      </c>
      <c r="T339" s="165">
        <f t="shared" si="655"/>
        <v>3.0034030286311196E-3</v>
      </c>
      <c r="U339" s="165"/>
      <c r="V339" s="165"/>
      <c r="W339" s="159">
        <f t="shared" si="624"/>
        <v>33335.475843068867</v>
      </c>
      <c r="X339" s="163"/>
      <c r="Y339" s="167">
        <v>1777.5939091512901</v>
      </c>
      <c r="Z339" s="168">
        <v>7.7210828768106404E-3</v>
      </c>
      <c r="AA339" s="76">
        <f t="shared" si="644"/>
        <v>7.8575868580165798E-5</v>
      </c>
      <c r="AB339" s="168"/>
      <c r="AC339" s="168"/>
      <c r="AD339" s="163">
        <f t="shared" si="577"/>
        <v>95413.900766602907</v>
      </c>
      <c r="AE339" s="168">
        <f t="shared" si="656"/>
        <v>0.17530188200184713</v>
      </c>
      <c r="AF339" s="163"/>
      <c r="AG339" s="163"/>
      <c r="AH339" s="163"/>
      <c r="AI339" s="163"/>
      <c r="AJ339" s="116">
        <f t="shared" si="657"/>
        <v>607.69314544680537</v>
      </c>
      <c r="AK339" s="114">
        <f>+AV339/$AX$14</f>
        <v>4.4633986246216655E-3</v>
      </c>
      <c r="AL339" s="115">
        <f t="shared" si="645"/>
        <v>0.26575686414689187</v>
      </c>
      <c r="AM339" s="115">
        <f t="shared" si="646"/>
        <v>0.38486557582008346</v>
      </c>
      <c r="AN339" s="115">
        <f t="shared" si="647"/>
        <v>0.34937756003302467</v>
      </c>
      <c r="AO339" s="115">
        <f t="shared" si="649"/>
        <v>0.17854441454915315</v>
      </c>
      <c r="AP339" s="166">
        <f t="shared" si="661"/>
        <v>126.47915440517488</v>
      </c>
      <c r="AQ339" s="168">
        <f t="shared" si="662"/>
        <v>0.1785444145491531</v>
      </c>
      <c r="AR339" s="69">
        <f>+AD339/$AF$14</f>
        <v>1.0176793829808397E-2</v>
      </c>
      <c r="AS339" s="169">
        <f t="shared" si="660"/>
        <v>1.8170096963305738E-3</v>
      </c>
      <c r="AT339" s="115"/>
      <c r="AU339" s="115"/>
      <c r="AV339" s="113">
        <f>IFERROR(INDEX('Total Customers'!$F$7:$AB$91,MATCH($C339,'Total Customers'!$D$7:$D$91,0),MATCH($G339,'Total Customers'!$F$5:$AB$5,0)),"NA")</f>
        <v>157010</v>
      </c>
      <c r="AW339" s="68">
        <f t="shared" si="619"/>
        <v>2.6530289409796414E-3</v>
      </c>
      <c r="AX339" s="114"/>
      <c r="AY339" s="114"/>
      <c r="AZ339" s="116">
        <v>8336812</v>
      </c>
      <c r="BA339" s="116"/>
      <c r="BB339" s="166"/>
      <c r="BC339" s="166"/>
      <c r="BD339" s="166"/>
      <c r="BE339" s="166"/>
      <c r="BF339" s="166"/>
      <c r="BG339" s="166"/>
      <c r="BH339" s="166"/>
      <c r="BI339" s="113"/>
      <c r="BJ339" s="113"/>
      <c r="BK339" s="113">
        <f>INDEX('Dist. Plant Gas Additions'!$F$7:$AE$91,MATCH($C339,'Dist. Plant Gas Additions'!$D$7:$D$91,0),MATCH(Calculation!$G339,'Dist. Plant Gas Additions'!$F$5:$AE$5,0))</f>
        <v>13808</v>
      </c>
      <c r="BL339" s="113">
        <f>INDEX('Gen. Plant Additions'!$F$7:$AE$91,MATCH($C339,'Gen. Plant Additions'!$D$7:$D$91,0),MATCH(Calculation!$G339,'Gen. Plant Additions'!$F$5:$AE$5,0))</f>
        <v>444</v>
      </c>
      <c r="BM339" s="231">
        <f t="shared" si="625"/>
        <v>0.95340467831310016</v>
      </c>
      <c r="BN339" s="61">
        <f t="shared" si="658"/>
        <v>423.31167717101647</v>
      </c>
      <c r="BO339" s="113">
        <f>INDEX('Dist Plant Depreciation'!$E$7:$AD$94,MATCH($C339,'Dist Plant Depreciation'!$D$7:$D$94,0),MATCH(Calculation!$G339,'Dist Plant Depreciation'!$E$5:$AD$5,0))</f>
        <v>284015</v>
      </c>
      <c r="BP339" s="113">
        <f>INDEX('Gen. Plant Depreciation'!$E$7:$AD$94,MATCH($C339,'Gen. Plant Depreciation'!$D$7:$D$94,0),MATCH(Calculation!$G339,'Gen. Plant Depreciation'!$E$5:$AD$5,0))</f>
        <v>14581</v>
      </c>
      <c r="BQ339" s="113"/>
      <c r="BR339" s="113"/>
      <c r="BS339" s="113"/>
      <c r="BT339" s="113"/>
      <c r="BU339" s="113"/>
      <c r="BV339" s="113"/>
      <c r="BW339" s="113">
        <f>INDEX('Gross Dx Plant'!$E$7:$AD$91,MATCH($C339,'Gross Dx Plant'!$D$7:$D$91,0),MATCH(Calculation!$G339,'Gross Dx Plant'!$E$5:$AD$5,0))</f>
        <v>563486</v>
      </c>
      <c r="BX339" s="113">
        <f>INDEX('Gross Gen Plant'!$E$7:$AD$91,MATCH($C339,'Gross Gen Plant'!$D$7:$D$91,0),MATCH(Calculation!$G339,'Gross Gen Plant'!$E$5:$AD$5,0))</f>
        <v>27539</v>
      </c>
      <c r="BY339" s="113">
        <f t="shared" si="623"/>
        <v>292429</v>
      </c>
      <c r="BZ339" s="113"/>
      <c r="CA339" s="116">
        <v>2009</v>
      </c>
      <c r="CB339" s="113"/>
      <c r="CC339" s="113"/>
      <c r="CD339" s="113"/>
      <c r="CE339" s="175"/>
      <c r="CF339" s="113">
        <f t="shared" si="626"/>
        <v>14252</v>
      </c>
      <c r="CG339" s="113">
        <f t="shared" si="627"/>
        <v>25.868485728078838</v>
      </c>
      <c r="CH339" s="178">
        <v>0.93567251461988299</v>
      </c>
      <c r="CI339" s="61">
        <f>+CI328*CH339+CG329*CH338+CG330*CH337+CG331*CH336+CG332*CH335+CG333*CH334+CG334*CH333+CG335*CH332+CG336*CH331+CG337*CH330+CG338*CH329+CG339</f>
        <v>1777.5939091512901</v>
      </c>
      <c r="CJ339" s="114">
        <f t="shared" si="628"/>
        <v>7.7210828768106404E-3</v>
      </c>
      <c r="CK339" s="114"/>
      <c r="CL339" s="169">
        <f t="shared" si="629"/>
        <v>6.914357203524628E-3</v>
      </c>
      <c r="CM339" s="169">
        <f t="shared" si="637"/>
        <v>6.6893676958893825E-3</v>
      </c>
      <c r="CN339" s="114">
        <f>VLOOKUP($H339,RoR!$E:$F,2,FALSE)</f>
        <v>5.3133333333333324E-2</v>
      </c>
      <c r="CO339" s="169">
        <v>7.7972502758210105E-3</v>
      </c>
      <c r="CP339" s="169">
        <f t="shared" si="635"/>
        <v>4.5336083057512314E-2</v>
      </c>
      <c r="CQ339" s="169">
        <f t="shared" si="638"/>
        <v>2.4212573912644243E-2</v>
      </c>
      <c r="CR339" s="169">
        <f t="shared" si="639"/>
        <v>6.3720160300892073E-2</v>
      </c>
      <c r="CS339" s="179">
        <f t="shared" si="630"/>
        <v>0.85126000000000002</v>
      </c>
      <c r="CT339" s="180">
        <f t="shared" si="631"/>
        <v>0.96515780330083989</v>
      </c>
      <c r="CU339" s="180">
        <f t="shared" si="632"/>
        <v>0.50448557089084056</v>
      </c>
      <c r="CV339" s="180">
        <f t="shared" si="633"/>
        <v>0.87391435735465484</v>
      </c>
      <c r="CW339" s="180">
        <f t="shared" si="634"/>
        <v>0.42551605393279146</v>
      </c>
      <c r="CX339" s="181">
        <f>INDEX('State Tax Lookup'!$D$7:$Z$91,MATCH(Calculation!$C339,'State Tax Lookup'!$B$7:$B$91,0),MATCH($H339,'State Tax Lookup'!$D$6:$Z$6,0))</f>
        <v>0.40200000000000002</v>
      </c>
      <c r="CY339" s="72">
        <v>0.37</v>
      </c>
      <c r="CZ339" s="70">
        <f t="shared" si="636"/>
        <v>18.898499737959426</v>
      </c>
      <c r="DA339" s="70">
        <v>17.478615056163342</v>
      </c>
      <c r="DB339" s="69">
        <f t="shared" si="640"/>
        <v>-4.2571975826484691E-2</v>
      </c>
      <c r="DC339" s="111">
        <f>VLOOKUP($H339,RoR!$E:$F,2,FALSE)</f>
        <v>5.3133333333333324E-2</v>
      </c>
      <c r="DD339" s="216">
        <f>HLOOKUP($H339,'GDP-PI'!$D$8:$CQ$11,3,FALSE)</f>
        <v>7.7972502758210105E-3</v>
      </c>
      <c r="DE339" s="111">
        <f>VLOOKUP(H339,'HW Dx Data'!$E:$F,2,FALSE)</f>
        <v>550.94063679692806</v>
      </c>
      <c r="DF339" s="72">
        <f t="shared" si="650"/>
        <v>110.925</v>
      </c>
      <c r="DG339" s="69">
        <f t="shared" si="651"/>
        <v>2.7649425000884052E-2</v>
      </c>
      <c r="DH339" s="66">
        <f>HLOOKUP(H339,'GDP-PI'!$8:$9,2,FALSE)</f>
        <v>94.998999999999995</v>
      </c>
      <c r="DI339" s="69">
        <f t="shared" si="641"/>
        <v>7.7670088183096342E-3</v>
      </c>
      <c r="EB339"/>
    </row>
    <row r="340" spans="1:132" s="160" customFormat="1" ht="21">
      <c r="A340" s="160" t="s">
        <v>180</v>
      </c>
      <c r="B340" s="161" t="s">
        <v>180</v>
      </c>
      <c r="C340" s="161">
        <v>4059402</v>
      </c>
      <c r="D340" s="161" t="s">
        <v>181</v>
      </c>
      <c r="E340" s="161" t="s">
        <v>3</v>
      </c>
      <c r="F340" s="161"/>
      <c r="G340" s="161" t="s">
        <v>126</v>
      </c>
      <c r="H340" s="162">
        <v>2010</v>
      </c>
      <c r="I340" s="163"/>
      <c r="J340" s="159">
        <f>IFERROR(INDEX('Labor Expenditures'!$F$7:$X$91,MATCH($C340,'Labor Expenditures'!$D$7:$D$91,0),MATCH($G340,'Labor Expenditures'!$F$5:$X$5,0)),"NA")</f>
        <v>17808.42383381008</v>
      </c>
      <c r="K340" s="159">
        <f t="shared" si="642"/>
        <v>152.30638301312877</v>
      </c>
      <c r="L340" s="165">
        <f t="shared" si="648"/>
        <v>-0.40605765733233251</v>
      </c>
      <c r="M340" s="76">
        <f t="shared" si="652"/>
        <v>-3.2591576644842154E-3</v>
      </c>
      <c r="N340" s="62">
        <f t="shared" si="659"/>
        <v>97.263881342976617</v>
      </c>
      <c r="O340" s="96">
        <f t="shared" si="653"/>
        <v>-0.19253215555962797</v>
      </c>
      <c r="P340" s="96"/>
      <c r="Q340" s="159">
        <f>IFERROR(INDEX('Non-Labor Expenditures'!$F$7:$AB$91,MATCH($C340,'Non-Labor Expenditures'!$D$7:$D$91,0),MATCH($G340,'Non-Labor Expenditures'!$F$5:$AB$5,0)),"NA")</f>
        <v>25789.923866121044</v>
      </c>
      <c r="R340" s="159">
        <f t="shared" si="643"/>
        <v>268.34036215256685</v>
      </c>
      <c r="S340" s="165">
        <f t="shared" si="654"/>
        <v>-0.36499584979250616</v>
      </c>
      <c r="T340" s="165">
        <f t="shared" si="655"/>
        <v>-2.9295815504904532E-3</v>
      </c>
      <c r="U340" s="165"/>
      <c r="V340" s="165"/>
      <c r="W340" s="159">
        <f t="shared" si="624"/>
        <v>34402.215145609371</v>
      </c>
      <c r="X340" s="163"/>
      <c r="Y340" s="167">
        <v>1798.6820337691465</v>
      </c>
      <c r="Z340" s="168">
        <v>1.179347979634272E-2</v>
      </c>
      <c r="AA340" s="76">
        <f t="shared" si="644"/>
        <v>9.465850323253976E-5</v>
      </c>
      <c r="AB340" s="168"/>
      <c r="AC340" s="168"/>
      <c r="AD340" s="163">
        <f t="shared" si="577"/>
        <v>78000.562845540495</v>
      </c>
      <c r="AE340" s="168">
        <f t="shared" si="656"/>
        <v>-0.20150823554924502</v>
      </c>
      <c r="AF340" s="163"/>
      <c r="AG340" s="163"/>
      <c r="AH340" s="163"/>
      <c r="AI340" s="163"/>
      <c r="AJ340" s="116">
        <f t="shared" si="657"/>
        <v>491.30189556471277</v>
      </c>
      <c r="AK340" s="114">
        <f>+AV340/$AX$15</f>
        <v>4.4885382439358527E-3</v>
      </c>
      <c r="AL340" s="115">
        <f t="shared" si="645"/>
        <v>0.22831147858605788</v>
      </c>
      <c r="AM340" s="115">
        <f t="shared" si="646"/>
        <v>0.33063766369469888</v>
      </c>
      <c r="AN340" s="115">
        <f t="shared" si="647"/>
        <v>0.44105085771924324</v>
      </c>
      <c r="AO340" s="115">
        <f t="shared" si="649"/>
        <v>-0.22622702258649102</v>
      </c>
      <c r="AP340" s="166">
        <f t="shared" si="661"/>
        <v>100.87180817395451</v>
      </c>
      <c r="AQ340" s="168">
        <f t="shared" si="662"/>
        <v>-0.22622702258649102</v>
      </c>
      <c r="AR340" s="69">
        <f>+AD340/$AF$15</f>
        <v>8.0263420862343223E-3</v>
      </c>
      <c r="AS340" s="169">
        <f t="shared" si="660"/>
        <v>-1.8157754724294356E-3</v>
      </c>
      <c r="AT340" s="115"/>
      <c r="AU340" s="115"/>
      <c r="AV340" s="113">
        <f>IFERROR(INDEX('Total Customers'!$F$7:$AB$91,MATCH($C340,'Total Customers'!$D$7:$D$91,0),MATCH($G340,'Total Customers'!$F$5:$AB$5,0)),"NA")</f>
        <v>158763</v>
      </c>
      <c r="AW340" s="68">
        <f t="shared" si="619"/>
        <v>1.1103026596366534E-2</v>
      </c>
      <c r="AX340" s="114"/>
      <c r="AY340" s="114"/>
      <c r="AZ340" s="116">
        <v>8403441</v>
      </c>
      <c r="BA340" s="116"/>
      <c r="BB340" s="166"/>
      <c r="BC340" s="166"/>
      <c r="BD340" s="166"/>
      <c r="BE340" s="166"/>
      <c r="BF340" s="166"/>
      <c r="BG340" s="166"/>
      <c r="BH340" s="166"/>
      <c r="BI340" s="113"/>
      <c r="BJ340" s="113"/>
      <c r="BK340" s="113">
        <f>INDEX('Dist. Plant Gas Additions'!$F$7:$AE$91,MATCH($C340,'Dist. Plant Gas Additions'!$D$7:$D$91,0),MATCH(Calculation!$G340,'Dist. Plant Gas Additions'!$F$5:$AE$5,0))</f>
        <v>19085</v>
      </c>
      <c r="BL340" s="113">
        <f>INDEX('Gen. Plant Additions'!$F$7:$AE$91,MATCH($C340,'Gen. Plant Additions'!$D$7:$D$91,0),MATCH(Calculation!$G340,'Gen. Plant Additions'!$F$5:$AE$5,0))</f>
        <v>170</v>
      </c>
      <c r="BM340" s="231">
        <f t="shared" si="625"/>
        <v>0.93042838824571084</v>
      </c>
      <c r="BN340" s="61">
        <f>+BM340*BL340</f>
        <v>158.17282600177083</v>
      </c>
      <c r="BO340" s="113">
        <f>INDEX('Dist Plant Depreciation'!$E$7:$AD$94,MATCH($C340,'Dist Plant Depreciation'!$D$7:$D$94,0),MATCH(Calculation!$G340,'Dist Plant Depreciation'!$E$5:$AD$5,0))</f>
        <v>294936</v>
      </c>
      <c r="BP340" s="113">
        <f>INDEX('Gen. Plant Depreciation'!$E$7:$AD$94,MATCH($C340,'Gen. Plant Depreciation'!$D$7:$D$94,0),MATCH(Calculation!$G340,'Gen. Plant Depreciation'!$E$5:$AD$5,0))</f>
        <v>16733</v>
      </c>
      <c r="BQ340" s="113"/>
      <c r="BR340" s="113"/>
      <c r="BS340" s="113"/>
      <c r="BT340" s="113"/>
      <c r="BU340" s="113"/>
      <c r="BV340" s="113"/>
      <c r="BW340" s="113">
        <f>INDEX('Gross Dx Plant'!$E$7:$AD$91,MATCH($C340,'Gross Dx Plant'!$D$7:$D$91,0),MATCH(Calculation!$G340,'Gross Dx Plant'!$E$5:$AD$5,0))</f>
        <v>557990</v>
      </c>
      <c r="BX340" s="113">
        <f>INDEX('Gross Gen Plant'!$E$7:$AD$91,MATCH($C340,'Gross Gen Plant'!$D$7:$D$91,0),MATCH(Calculation!$G340,'Gross Gen Plant'!$E$5:$AD$5,0))</f>
        <v>41723</v>
      </c>
      <c r="BY340" s="113">
        <f t="shared" si="623"/>
        <v>288044</v>
      </c>
      <c r="BZ340" s="113"/>
      <c r="CA340" s="116">
        <v>2010</v>
      </c>
      <c r="CB340" s="113"/>
      <c r="CC340" s="113"/>
      <c r="CD340" s="113"/>
      <c r="CE340" s="175"/>
      <c r="CF340" s="113">
        <f t="shared" si="626"/>
        <v>19255</v>
      </c>
      <c r="CG340" s="113">
        <f t="shared" si="627"/>
        <v>33.840694619159997</v>
      </c>
      <c r="CH340" s="178">
        <v>0.9285714285714286</v>
      </c>
      <c r="CI340" s="61">
        <f>+CI328*CH340+CG329*CH339+CG330*CH338+CG331*CH337+CG332*CH336+CG333*CH335+CG334*CH334+CG335*CH333+CG336*CH332+CG337*CH331+CG338*CH330+CG339*CH329+CG340</f>
        <v>1798.6820337691465</v>
      </c>
      <c r="CJ340" s="114">
        <f t="shared" si="628"/>
        <v>1.179347979634272E-2</v>
      </c>
      <c r="CK340" s="114"/>
      <c r="CL340" s="169">
        <f t="shared" si="629"/>
        <v>7.1740626110674685E-3</v>
      </c>
      <c r="CM340" s="169">
        <f t="shared" si="637"/>
        <v>6.9237079449889286E-3</v>
      </c>
      <c r="CN340" s="114">
        <f>VLOOKUP($H340,RoR!$E:$F,2,FALSE)</f>
        <v>4.9433333333333322E-2</v>
      </c>
      <c r="CO340" s="169">
        <v>1.1684333519300205E-2</v>
      </c>
      <c r="CP340" s="169">
        <f t="shared" si="635"/>
        <v>3.7748999814033117E-2</v>
      </c>
      <c r="CQ340" s="169">
        <f t="shared" si="638"/>
        <v>2.3978233663544696E-2</v>
      </c>
      <c r="CR340" s="169">
        <f t="shared" si="639"/>
        <v>4.7937530248493419E-2</v>
      </c>
      <c r="CS340" s="179">
        <f t="shared" si="630"/>
        <v>0.85126000000000002</v>
      </c>
      <c r="CT340" s="180">
        <f t="shared" si="631"/>
        <v>1.037398205301105</v>
      </c>
      <c r="CU340" s="180">
        <f t="shared" si="632"/>
        <v>0.46926837491571133</v>
      </c>
      <c r="CV340" s="180">
        <f t="shared" si="633"/>
        <v>0.8548537519972772</v>
      </c>
      <c r="CW340" s="180">
        <f t="shared" si="634"/>
        <v>0.41615833911547367</v>
      </c>
      <c r="CX340" s="181">
        <f>INDEX('State Tax Lookup'!$D$7:$Z$91,MATCH(Calculation!$C340,'State Tax Lookup'!$B$7:$B$91,0),MATCH($H340,'State Tax Lookup'!$D$6:$Z$6,0))</f>
        <v>0.40200000000000002</v>
      </c>
      <c r="CY340" s="72">
        <v>0.37</v>
      </c>
      <c r="CZ340" s="70">
        <f t="shared" si="636"/>
        <v>19.35324765037852</v>
      </c>
      <c r="DA340" s="70">
        <v>17.956102603965455</v>
      </c>
      <c r="DB340" s="69">
        <f t="shared" si="640"/>
        <v>2.377770265058719E-2</v>
      </c>
      <c r="DC340" s="111">
        <f>VLOOKUP($H340,RoR!$E:$F,2,FALSE)</f>
        <v>4.9433333333333322E-2</v>
      </c>
      <c r="DD340" s="216">
        <f>HLOOKUP($H340,'GDP-PI'!$D$8:$CQ$11,3,FALSE)</f>
        <v>1.1684333519300205E-2</v>
      </c>
      <c r="DE340" s="111">
        <f>VLOOKUP(H340,'HW Dx Data'!$E:$F,2,FALSE)</f>
        <v>568.98950262971744</v>
      </c>
      <c r="DF340" s="72">
        <f t="shared" si="650"/>
        <v>116.925</v>
      </c>
      <c r="DG340" s="69">
        <f t="shared" si="651"/>
        <v>5.2678406346976722E-2</v>
      </c>
      <c r="DH340" s="66">
        <f>HLOOKUP(H340,'GDP-PI'!$8:$9,2,FALSE)</f>
        <v>96.108999999999995</v>
      </c>
      <c r="DI340" s="69">
        <f t="shared" si="641"/>
        <v>1.1616598807150427E-2</v>
      </c>
      <c r="EB340"/>
    </row>
    <row r="341" spans="1:132" s="160" customFormat="1" ht="21">
      <c r="A341" s="160" t="s">
        <v>180</v>
      </c>
      <c r="B341" s="161" t="s">
        <v>180</v>
      </c>
      <c r="C341" s="161">
        <v>4059402</v>
      </c>
      <c r="D341" s="161" t="s">
        <v>181</v>
      </c>
      <c r="E341" s="161" t="s">
        <v>3</v>
      </c>
      <c r="F341" s="161"/>
      <c r="G341" s="161" t="s">
        <v>127</v>
      </c>
      <c r="H341" s="162">
        <v>2011</v>
      </c>
      <c r="I341" s="163"/>
      <c r="J341" s="159">
        <f>IFERROR(INDEX('Labor Expenditures'!$F$7:$X$91,MATCH($C341,'Labor Expenditures'!$D$7:$D$91,0),MATCH($G341,'Labor Expenditures'!$F$5:$X$5,0)),"NA")</f>
        <v>19156.283756168454</v>
      </c>
      <c r="K341" s="159">
        <f t="shared" si="642"/>
        <v>158.48011380490965</v>
      </c>
      <c r="L341" s="165">
        <f t="shared" si="648"/>
        <v>3.9734950681050638E-2</v>
      </c>
      <c r="M341" s="76">
        <f t="shared" si="652"/>
        <v>3.2700175495907165E-4</v>
      </c>
      <c r="N341" s="62">
        <f t="shared" si="659"/>
        <v>116.8823258420696</v>
      </c>
      <c r="O341" s="96">
        <f t="shared" si="653"/>
        <v>0.18373995558853312</v>
      </c>
      <c r="P341" s="96"/>
      <c r="Q341" s="159">
        <f>IFERROR(INDEX('Non-Labor Expenditures'!$F$7:$AB$91,MATCH($C341,'Non-Labor Expenditures'!$D$7:$D$91,0),MATCH($G341,'Non-Labor Expenditures'!$F$5:$AB$5,0)),"NA")</f>
        <v>27741.876779203816</v>
      </c>
      <c r="R341" s="159">
        <f t="shared" si="643"/>
        <v>282.75722418464426</v>
      </c>
      <c r="S341" s="165">
        <f t="shared" si="654"/>
        <v>5.2332481629709916E-2</v>
      </c>
      <c r="T341" s="165">
        <f t="shared" si="655"/>
        <v>4.3067408014777072E-4</v>
      </c>
      <c r="U341" s="165"/>
      <c r="V341" s="165"/>
      <c r="W341" s="159">
        <f t="shared" si="624"/>
        <v>37093.017676489668</v>
      </c>
      <c r="X341" s="163"/>
      <c r="Y341" s="167">
        <v>1824.99869139916</v>
      </c>
      <c r="Z341" s="168">
        <v>1.4525076743984457E-2</v>
      </c>
      <c r="AA341" s="76">
        <f t="shared" si="644"/>
        <v>1.1953520779033535E-4</v>
      </c>
      <c r="AB341" s="168"/>
      <c r="AC341" s="168"/>
      <c r="AD341" s="163">
        <f t="shared" si="577"/>
        <v>83991.17821186193</v>
      </c>
      <c r="AE341" s="168">
        <f t="shared" si="656"/>
        <v>7.3995729408809552E-2</v>
      </c>
      <c r="AF341" s="163"/>
      <c r="AG341" s="163"/>
      <c r="AH341" s="163"/>
      <c r="AI341" s="163"/>
      <c r="AJ341" s="116">
        <f t="shared" si="657"/>
        <v>524.02454571572378</v>
      </c>
      <c r="AK341" s="114">
        <f>+AV341/$AX$16</f>
        <v>4.5095908252738874E-3</v>
      </c>
      <c r="AL341" s="115">
        <f t="shared" si="645"/>
        <v>0.22807494982208792</v>
      </c>
      <c r="AM341" s="115">
        <f t="shared" si="646"/>
        <v>0.33029512586699111</v>
      </c>
      <c r="AN341" s="115">
        <f t="shared" si="647"/>
        <v>0.44162992431092107</v>
      </c>
      <c r="AO341" s="115">
        <f t="shared" si="649"/>
        <v>3.2771875695968469E-2</v>
      </c>
      <c r="AP341" s="166">
        <f t="shared" si="661"/>
        <v>104.23233109208036</v>
      </c>
      <c r="AQ341" s="168">
        <f t="shared" si="662"/>
        <v>3.2771875695968469E-2</v>
      </c>
      <c r="AR341" s="69">
        <f>+AD341/$AF$16</f>
        <v>8.2295749549027835E-3</v>
      </c>
      <c r="AS341" s="169">
        <f t="shared" si="660"/>
        <v>2.6969860745272936E-4</v>
      </c>
      <c r="AT341" s="115"/>
      <c r="AU341" s="115"/>
      <c r="AV341" s="113">
        <f>IFERROR(INDEX('Total Customers'!$F$7:$AB$91,MATCH($C341,'Total Customers'!$D$7:$D$91,0),MATCH($G341,'Total Customers'!$F$5:$AB$5,0)),"NA")</f>
        <v>160281</v>
      </c>
      <c r="AW341" s="68">
        <f t="shared" si="619"/>
        <v>9.5160006462911059E-3</v>
      </c>
      <c r="AX341" s="114"/>
      <c r="AY341" s="114"/>
      <c r="AZ341" s="116">
        <v>8437841</v>
      </c>
      <c r="BA341" s="116"/>
      <c r="BB341" s="166"/>
      <c r="BC341" s="166"/>
      <c r="BD341" s="166"/>
      <c r="BE341" s="166"/>
      <c r="BF341" s="166"/>
      <c r="BG341" s="166"/>
      <c r="BH341" s="166"/>
      <c r="BI341" s="113"/>
      <c r="BJ341" s="113"/>
      <c r="BK341" s="113">
        <f>INDEX('Dist. Plant Gas Additions'!$F$7:$AE$91,MATCH($C341,'Dist. Plant Gas Additions'!$D$7:$D$91,0),MATCH(Calculation!$G341,'Dist. Plant Gas Additions'!$F$5:$AE$5,0))</f>
        <v>23110</v>
      </c>
      <c r="BL341" s="113">
        <f>INDEX('Gen. Plant Additions'!$F$7:$AE$91,MATCH($C341,'Gen. Plant Additions'!$D$7:$D$91,0),MATCH(Calculation!$G341,'Gen. Plant Additions'!$F$5:$AE$5,0))</f>
        <v>1166</v>
      </c>
      <c r="BM341" s="231">
        <f t="shared" si="625"/>
        <v>0.9336173233936812</v>
      </c>
      <c r="BN341" s="61">
        <f t="shared" ref="BN341:BN364" si="663">+BM341*BL341</f>
        <v>1088.5977990770323</v>
      </c>
      <c r="BO341" s="113">
        <f>INDEX('Dist Plant Depreciation'!$E$7:$AD$94,MATCH($C341,'Dist Plant Depreciation'!$D$7:$D$94,0),MATCH(Calculation!$G341,'Dist Plant Depreciation'!$E$5:$AD$5,0))</f>
        <v>312911</v>
      </c>
      <c r="BP341" s="113">
        <f>INDEX('Gen. Plant Depreciation'!$E$7:$AD$94,MATCH($C341,'Gen. Plant Depreciation'!$D$7:$D$94,0),MATCH(Calculation!$G341,'Gen. Plant Depreciation'!$E$5:$AD$5,0))</f>
        <v>16854</v>
      </c>
      <c r="BQ341" s="113"/>
      <c r="BR341" s="113"/>
      <c r="BS341" s="113"/>
      <c r="BT341" s="113"/>
      <c r="BU341" s="113"/>
      <c r="BV341" s="113"/>
      <c r="BW341" s="113">
        <f>INDEX('Gross Dx Plant'!$E$7:$AD$91,MATCH($C341,'Gross Dx Plant'!$D$7:$D$91,0),MATCH(Calculation!$G341,'Gross Dx Plant'!$E$5:$AD$5,0))</f>
        <v>578600</v>
      </c>
      <c r="BX341" s="113">
        <f>INDEX('Gross Gen Plant'!$E$7:$AD$91,MATCH($C341,'Gross Gen Plant'!$D$7:$D$91,0),MATCH(Calculation!$G341,'Gross Gen Plant'!$E$5:$AD$5,0))</f>
        <v>41140</v>
      </c>
      <c r="BY341" s="113">
        <f t="shared" si="623"/>
        <v>289975</v>
      </c>
      <c r="BZ341" s="113"/>
      <c r="CA341" s="116">
        <v>2011</v>
      </c>
      <c r="CB341" s="113"/>
      <c r="CC341" s="113"/>
      <c r="CD341" s="113"/>
      <c r="CE341" s="175"/>
      <c r="CF341" s="113">
        <f t="shared" si="626"/>
        <v>24276</v>
      </c>
      <c r="CG341" s="113">
        <f t="shared" si="627"/>
        <v>39.691889427598881</v>
      </c>
      <c r="CH341" s="178">
        <v>0.92121212121212126</v>
      </c>
      <c r="CI341" s="61">
        <f>+CI328*CH341+CG329*CH340+CG330*CH339+CG331*CH338+CG332*CH337+CG333*CH336+CG334*CH335+CG335*CH334+CG336*CH333+CG337*CH332+CG338*CH331+CG339*CH330+CG340*CH329+CG341</f>
        <v>1824.99869139916</v>
      </c>
      <c r="CJ341" s="114">
        <f t="shared" si="628"/>
        <v>1.4525076743984457E-2</v>
      </c>
      <c r="CK341" s="114"/>
      <c r="CL341" s="169">
        <f t="shared" si="629"/>
        <v>7.4361290914534773E-3</v>
      </c>
      <c r="CM341" s="169">
        <f t="shared" si="637"/>
        <v>7.1748496353485243E-3</v>
      </c>
      <c r="CN341" s="114">
        <f>VLOOKUP($H341,RoR!$E:$F,2,FALSE)</f>
        <v>4.6391666666666664E-2</v>
      </c>
      <c r="CO341" s="169">
        <v>2.0840920205183799E-2</v>
      </c>
      <c r="CP341" s="169">
        <f t="shared" si="635"/>
        <v>2.5550746461482865E-2</v>
      </c>
      <c r="CQ341" s="169">
        <f t="shared" si="638"/>
        <v>2.3727091973185101E-2</v>
      </c>
      <c r="CR341" s="169">
        <f t="shared" si="639"/>
        <v>2.4810540821321614E-2</v>
      </c>
      <c r="CS341" s="179">
        <f t="shared" si="630"/>
        <v>0.85126000000000002</v>
      </c>
      <c r="CT341" s="180">
        <f t="shared" si="631"/>
        <v>1.1054151524782025</v>
      </c>
      <c r="CU341" s="180">
        <f t="shared" si="632"/>
        <v>0.43611011316687626</v>
      </c>
      <c r="CV341" s="180">
        <f t="shared" si="633"/>
        <v>0.83698442246886229</v>
      </c>
      <c r="CW341" s="180">
        <f t="shared" si="634"/>
        <v>0.40349573304423936</v>
      </c>
      <c r="CX341" s="181">
        <f>INDEX('State Tax Lookup'!$D$7:$Z$91,MATCH(Calculation!$C341,'State Tax Lookup'!$B$7:$B$91,0),MATCH($H341,'State Tax Lookup'!$D$6:$Z$6,0))</f>
        <v>0.40200000000000002</v>
      </c>
      <c r="CY341" s="72">
        <v>0.37</v>
      </c>
      <c r="CZ341" s="70">
        <f t="shared" si="636"/>
        <v>20.622331785213355</v>
      </c>
      <c r="DA341" s="70">
        <v>19.146574949201604</v>
      </c>
      <c r="DB341" s="69">
        <f t="shared" si="640"/>
        <v>6.3514313240766007E-2</v>
      </c>
      <c r="DC341" s="111">
        <f>VLOOKUP($H341,RoR!$E:$F,2,FALSE)</f>
        <v>4.6391666666666664E-2</v>
      </c>
      <c r="DD341" s="216">
        <f>HLOOKUP($H341,'GDP-PI'!$D$8:$CQ$11,3,FALSE)</f>
        <v>2.0840920205183799E-2</v>
      </c>
      <c r="DE341" s="111">
        <f>VLOOKUP(H341,'HW Dx Data'!$E:$F,2,FALSE)</f>
        <v>611.61109612283201</v>
      </c>
      <c r="DF341" s="72">
        <f t="shared" si="650"/>
        <v>120.875</v>
      </c>
      <c r="DG341" s="69">
        <f t="shared" si="651"/>
        <v>3.3224250161508609E-2</v>
      </c>
      <c r="DH341" s="66">
        <f>HLOOKUP(H341,'GDP-PI'!$8:$9,2,FALSE)</f>
        <v>98.111999999999995</v>
      </c>
      <c r="DI341" s="69">
        <f t="shared" si="641"/>
        <v>2.0626719212849295E-2</v>
      </c>
      <c r="EB341"/>
    </row>
    <row r="342" spans="1:132" s="160" customFormat="1" ht="21">
      <c r="A342" s="160" t="s">
        <v>180</v>
      </c>
      <c r="B342" s="161" t="s">
        <v>180</v>
      </c>
      <c r="C342" s="161">
        <v>4059402</v>
      </c>
      <c r="D342" s="161" t="s">
        <v>181</v>
      </c>
      <c r="E342" s="161" t="s">
        <v>3</v>
      </c>
      <c r="F342" s="161"/>
      <c r="G342" s="161" t="s">
        <v>128</v>
      </c>
      <c r="H342" s="162">
        <v>2012</v>
      </c>
      <c r="I342" s="163"/>
      <c r="J342" s="159">
        <f>IFERROR(INDEX('Labor Expenditures'!$F$7:$X$91,MATCH($C342,'Labor Expenditures'!$D$7:$D$91,0),MATCH($G342,'Labor Expenditures'!$F$5:$X$5,0)),"NA")</f>
        <v>18266.561074802838</v>
      </c>
      <c r="K342" s="159">
        <f t="shared" si="642"/>
        <v>146.36667527886888</v>
      </c>
      <c r="L342" s="165">
        <f t="shared" si="648"/>
        <v>-7.9514172753222978E-2</v>
      </c>
      <c r="M342" s="76">
        <f t="shared" si="652"/>
        <v>-6.3439979804916485E-4</v>
      </c>
      <c r="N342" s="62">
        <f t="shared" si="659"/>
        <v>114.84096385050556</v>
      </c>
      <c r="O342" s="96">
        <f t="shared" si="653"/>
        <v>-1.7619418442560094E-2</v>
      </c>
      <c r="P342" s="96"/>
      <c r="Q342" s="159">
        <f>IFERROR(INDEX('Non-Labor Expenditures'!$F$7:$AB$91,MATCH($C342,'Non-Labor Expenditures'!$D$7:$D$91,0),MATCH($G342,'Non-Labor Expenditures'!$F$5:$AB$5,0)),"NA")</f>
        <v>26453.392159311934</v>
      </c>
      <c r="R342" s="159">
        <f t="shared" si="643"/>
        <v>264.53392159311932</v>
      </c>
      <c r="S342" s="165">
        <f t="shared" si="654"/>
        <v>-6.6619173330096537E-2</v>
      </c>
      <c r="T342" s="165">
        <f t="shared" si="655"/>
        <v>-5.3151769858666466E-4</v>
      </c>
      <c r="U342" s="165"/>
      <c r="V342" s="165"/>
      <c r="W342" s="159">
        <f t="shared" si="624"/>
        <v>40601.844602116667</v>
      </c>
      <c r="X342" s="163"/>
      <c r="Y342" s="167">
        <v>1858.8638929195001</v>
      </c>
      <c r="Z342" s="168">
        <v>1.8386220853552116E-2</v>
      </c>
      <c r="AA342" s="76">
        <f t="shared" si="644"/>
        <v>1.4669353138567384E-4</v>
      </c>
      <c r="AB342" s="168"/>
      <c r="AC342" s="168"/>
      <c r="AD342" s="163">
        <f t="shared" si="577"/>
        <v>85321.797836231446</v>
      </c>
      <c r="AE342" s="168">
        <f t="shared" si="656"/>
        <v>1.57181930260991E-2</v>
      </c>
      <c r="AF342" s="163"/>
      <c r="AG342" s="163"/>
      <c r="AH342" s="163"/>
      <c r="AI342" s="163"/>
      <c r="AJ342" s="116">
        <f t="shared" si="657"/>
        <v>523.20908198873792</v>
      </c>
      <c r="AK342" s="114">
        <f>+AV342/$AX$17</f>
        <v>4.5661853692503477E-3</v>
      </c>
      <c r="AL342" s="115">
        <f t="shared" si="645"/>
        <v>0.21409020365304632</v>
      </c>
      <c r="AM342" s="115">
        <f t="shared" si="646"/>
        <v>0.31004260142393109</v>
      </c>
      <c r="AN342" s="115">
        <f t="shared" si="647"/>
        <v>0.47586719492302249</v>
      </c>
      <c r="AO342" s="115">
        <f t="shared" si="649"/>
        <v>-3.0473930888169042E-2</v>
      </c>
      <c r="AP342" s="166">
        <f t="shared" si="661"/>
        <v>101.10387255525227</v>
      </c>
      <c r="AQ342" s="168">
        <f t="shared" si="662"/>
        <v>-3.0473930888169021E-2</v>
      </c>
      <c r="AR342" s="69">
        <f>+AD342/$AF$17</f>
        <v>7.9784493264875283E-3</v>
      </c>
      <c r="AS342" s="169">
        <f t="shared" si="660"/>
        <v>-2.4313471337013962E-4</v>
      </c>
      <c r="AT342" s="115"/>
      <c r="AU342" s="115"/>
      <c r="AV342" s="113">
        <f>IFERROR(INDEX('Total Customers'!$F$7:$AB$91,MATCH($C342,'Total Customers'!$D$7:$D$91,0),MATCH($G342,'Total Customers'!$F$5:$AB$5,0)),"NA")</f>
        <v>163074</v>
      </c>
      <c r="AW342" s="68">
        <f t="shared" si="619"/>
        <v>1.7275560685485306E-2</v>
      </c>
      <c r="AX342" s="114"/>
      <c r="AY342" s="114"/>
      <c r="AZ342" s="116">
        <v>8485072</v>
      </c>
      <c r="BA342" s="116"/>
      <c r="BB342" s="166"/>
      <c r="BC342" s="166"/>
      <c r="BD342" s="166"/>
      <c r="BE342" s="166"/>
      <c r="BF342" s="166"/>
      <c r="BG342" s="166"/>
      <c r="BH342" s="166"/>
      <c r="BI342" s="113"/>
      <c r="BJ342" s="113"/>
      <c r="BK342" s="113">
        <f>INDEX('Dist. Plant Gas Additions'!$F$7:$AE$91,MATCH($C342,'Dist. Plant Gas Additions'!$D$7:$D$91,0),MATCH(Calculation!$G342,'Dist. Plant Gas Additions'!$F$5:$AE$5,0))</f>
        <v>29963</v>
      </c>
      <c r="BL342" s="113">
        <f>INDEX('Gen. Plant Additions'!$F$7:$AE$91,MATCH($C342,'Gen. Plant Additions'!$D$7:$D$91,0),MATCH(Calculation!$G342,'Gen. Plant Additions'!$F$5:$AE$5,0))</f>
        <v>2093</v>
      </c>
      <c r="BM342" s="231">
        <f t="shared" si="625"/>
        <v>0.93541230200666214</v>
      </c>
      <c r="BN342" s="61">
        <f t="shared" si="663"/>
        <v>1957.8179480999438</v>
      </c>
      <c r="BO342" s="113">
        <f>INDEX('Dist Plant Depreciation'!$E$7:$AD$94,MATCH($C342,'Dist Plant Depreciation'!$D$7:$D$94,0),MATCH(Calculation!$G342,'Dist Plant Depreciation'!$E$5:$AD$5,0))</f>
        <v>333099</v>
      </c>
      <c r="BP342" s="113">
        <f>INDEX('Gen. Plant Depreciation'!$E$7:$AD$94,MATCH($C342,'Gen. Plant Depreciation'!$D$7:$D$94,0),MATCH(Calculation!$G342,'Gen. Plant Depreciation'!$E$5:$AD$5,0))</f>
        <v>16822</v>
      </c>
      <c r="BQ342" s="113"/>
      <c r="BR342" s="113"/>
      <c r="BS342" s="113"/>
      <c r="BT342" s="113"/>
      <c r="BU342" s="113"/>
      <c r="BV342" s="113"/>
      <c r="BW342" s="113">
        <f>INDEX('Gross Dx Plant'!$E$7:$AD$91,MATCH($C342,'Gross Dx Plant'!$D$7:$D$91,0),MATCH(Calculation!$G342,'Gross Dx Plant'!$E$5:$AD$5,0))</f>
        <v>605440</v>
      </c>
      <c r="BX342" s="113">
        <f>INDEX('Gross Gen Plant'!$E$7:$AD$91,MATCH($C342,'Gross Gen Plant'!$D$7:$D$91,0),MATCH(Calculation!$G342,'Gross Gen Plant'!$E$5:$AD$5,0))</f>
        <v>41804</v>
      </c>
      <c r="BY342" s="113">
        <f t="shared" si="623"/>
        <v>297323</v>
      </c>
      <c r="BZ342" s="113"/>
      <c r="CA342" s="116">
        <v>2012</v>
      </c>
      <c r="CB342" s="113"/>
      <c r="CC342" s="113"/>
      <c r="CD342" s="113"/>
      <c r="CE342" s="175"/>
      <c r="CF342" s="113">
        <f t="shared" si="626"/>
        <v>32056</v>
      </c>
      <c r="CG342" s="113">
        <f t="shared" si="627"/>
        <v>47.922072124869693</v>
      </c>
      <c r="CH342" s="178">
        <v>0.9135802469135802</v>
      </c>
      <c r="CI342" s="61">
        <f>+CI328*CH342+CG329*CH341+CG330*CH340+CG331*CH339+CG332*CH338+CG333*CH337+CG334*CH336+CG335*CH335+CG336*CH334+CG337*CH333+CG338*CH332+CG339*CH331+CG340*CH330+CG341*CH329+CG342</f>
        <v>1858.8638929195001</v>
      </c>
      <c r="CJ342" s="114">
        <f t="shared" si="628"/>
        <v>1.8386220853552116E-2</v>
      </c>
      <c r="CK342" s="114"/>
      <c r="CL342" s="169">
        <f t="shared" si="629"/>
        <v>7.7024003747381449E-3</v>
      </c>
      <c r="CM342" s="169">
        <f t="shared" si="637"/>
        <v>7.4375306924196966E-3</v>
      </c>
      <c r="CN342" s="114">
        <f>VLOOKUP($H342,RoR!$E:$F,2,FALSE)</f>
        <v>3.6733333333333333E-2</v>
      </c>
      <c r="CO342" s="169">
        <v>1.924331376386168E-2</v>
      </c>
      <c r="CP342" s="169">
        <f t="shared" si="635"/>
        <v>1.7490019569471653E-2</v>
      </c>
      <c r="CQ342" s="169">
        <f t="shared" si="638"/>
        <v>2.3464410916113929E-2</v>
      </c>
      <c r="CR342" s="169">
        <f t="shared" si="639"/>
        <v>6.7122682943869583E-2</v>
      </c>
      <c r="CS342" s="179">
        <f t="shared" si="630"/>
        <v>0.85126000000000002</v>
      </c>
      <c r="CT342" s="180">
        <f t="shared" si="631"/>
        <v>1.3960631020522127</v>
      </c>
      <c r="CU342" s="180">
        <f t="shared" si="632"/>
        <v>0.29441923774954631</v>
      </c>
      <c r="CV342" s="180">
        <f t="shared" si="633"/>
        <v>0.76377954189366437</v>
      </c>
      <c r="CW342" s="180">
        <f t="shared" si="634"/>
        <v>0.31393465103033691</v>
      </c>
      <c r="CX342" s="181">
        <f>INDEX('State Tax Lookup'!$D$7:$Z$91,MATCH(Calculation!$C342,'State Tax Lookup'!$B$7:$B$91,0),MATCH($H342,'State Tax Lookup'!$D$6:$Z$6,0))</f>
        <v>0.40200000000000002</v>
      </c>
      <c r="CY342" s="72">
        <v>0.37</v>
      </c>
      <c r="CZ342" s="70">
        <f t="shared" si="636"/>
        <v>22.247602035806782</v>
      </c>
      <c r="DA342" s="70">
        <v>20.759737328210988</v>
      </c>
      <c r="DB342" s="69">
        <f t="shared" si="640"/>
        <v>7.5859673270315522E-2</v>
      </c>
      <c r="DC342" s="111">
        <f>VLOOKUP($H342,RoR!$E:$F,2,FALSE)</f>
        <v>3.6733333333333333E-2</v>
      </c>
      <c r="DD342" s="216">
        <f>HLOOKUP($H342,'GDP-PI'!$D$8:$CQ$11,3,FALSE)</f>
        <v>1.924331376386168E-2</v>
      </c>
      <c r="DE342" s="111">
        <f>VLOOKUP(H342,'HW Dx Data'!$E:$F,2,FALSE)</f>
        <v>668.91932211262167</v>
      </c>
      <c r="DF342" s="72">
        <f t="shared" si="650"/>
        <v>124.80000000000001</v>
      </c>
      <c r="DG342" s="69">
        <f t="shared" si="651"/>
        <v>3.1955502161869064E-2</v>
      </c>
      <c r="DH342" s="66">
        <f>HLOOKUP(H342,'GDP-PI'!$8:$9,2,FALSE)</f>
        <v>100</v>
      </c>
      <c r="DI342" s="69">
        <f t="shared" si="641"/>
        <v>1.9060502738742411E-2</v>
      </c>
      <c r="EB342"/>
    </row>
    <row r="343" spans="1:132" s="160" customFormat="1" ht="21">
      <c r="A343" s="160" t="s">
        <v>180</v>
      </c>
      <c r="B343" s="161" t="s">
        <v>180</v>
      </c>
      <c r="C343" s="161">
        <v>4059402</v>
      </c>
      <c r="D343" s="161" t="s">
        <v>181</v>
      </c>
      <c r="E343" s="161" t="s">
        <v>3</v>
      </c>
      <c r="F343" s="161"/>
      <c r="G343" s="161" t="s">
        <v>129</v>
      </c>
      <c r="H343" s="162">
        <v>2013</v>
      </c>
      <c r="I343" s="163"/>
      <c r="J343" s="159">
        <f>IFERROR(INDEX('Labor Expenditures'!$F$7:$X$91,MATCH($C343,'Labor Expenditures'!$D$7:$D$91,0),MATCH($G343,'Labor Expenditures'!$F$5:$X$5,0)),"NA")</f>
        <v>21397.565465530948</v>
      </c>
      <c r="K343" s="159">
        <f t="shared" si="642"/>
        <v>168.75051628967626</v>
      </c>
      <c r="L343" s="165">
        <f t="shared" si="648"/>
        <v>0.14230644150286142</v>
      </c>
      <c r="M343" s="76">
        <f t="shared" si="652"/>
        <v>1.192726907229522E-3</v>
      </c>
      <c r="N343" s="62">
        <f t="shared" si="659"/>
        <v>107.90763088786119</v>
      </c>
      <c r="O343" s="96">
        <f t="shared" si="653"/>
        <v>-6.2272656587885833E-2</v>
      </c>
      <c r="P343" s="96"/>
      <c r="Q343" s="159">
        <f>IFERROR(INDEX('Non-Labor Expenditures'!$F$7:$AB$91,MATCH($C343,'Non-Labor Expenditures'!$D$7:$D$91,0),MATCH($G343,'Non-Labor Expenditures'!$F$5:$AB$5,0)),"NA")</f>
        <v>30987.671308040655</v>
      </c>
      <c r="R343" s="159">
        <f t="shared" si="643"/>
        <v>304.47831259804326</v>
      </c>
      <c r="S343" s="165">
        <f t="shared" si="654"/>
        <v>0.14063037055414931</v>
      </c>
      <c r="T343" s="165">
        <f t="shared" si="655"/>
        <v>1.1786790897319955E-3</v>
      </c>
      <c r="U343" s="165"/>
      <c r="V343" s="165"/>
      <c r="W343" s="159">
        <f t="shared" si="624"/>
        <v>40574.80417551448</v>
      </c>
      <c r="X343" s="163"/>
      <c r="Y343" s="167">
        <v>1892.0728401296424</v>
      </c>
      <c r="Z343" s="168">
        <v>1.7707478053863818E-2</v>
      </c>
      <c r="AA343" s="76">
        <f t="shared" si="644"/>
        <v>1.4841341903412683E-4</v>
      </c>
      <c r="AB343" s="168"/>
      <c r="AC343" s="168"/>
      <c r="AD343" s="163">
        <f t="shared" si="577"/>
        <v>92960.040949086077</v>
      </c>
      <c r="AE343" s="168">
        <f t="shared" si="656"/>
        <v>8.5739768538787869E-2</v>
      </c>
      <c r="AF343" s="163"/>
      <c r="AG343" s="163"/>
      <c r="AH343" s="163"/>
      <c r="AI343" s="163"/>
      <c r="AJ343" s="116">
        <f t="shared" si="657"/>
        <v>559.54519486613935</v>
      </c>
      <c r="AK343" s="114">
        <f>+AV343/$AX$18</f>
        <v>4.6222474625562757E-3</v>
      </c>
      <c r="AL343" s="115">
        <f t="shared" si="645"/>
        <v>0.23018024999849482</v>
      </c>
      <c r="AM343" s="115">
        <f t="shared" si="646"/>
        <v>0.33334399373826124</v>
      </c>
      <c r="AN343" s="115">
        <f t="shared" si="647"/>
        <v>0.43647575626324403</v>
      </c>
      <c r="AO343" s="115">
        <f t="shared" si="649"/>
        <v>8.4928767698486243E-2</v>
      </c>
      <c r="AP343" s="166">
        <f t="shared" si="661"/>
        <v>110.06567104989097</v>
      </c>
      <c r="AQ343" s="168">
        <f t="shared" si="662"/>
        <v>8.4928767698486285E-2</v>
      </c>
      <c r="AR343" s="69">
        <f>+AD343/$AF$18</f>
        <v>8.3813978807525686E-3</v>
      </c>
      <c r="AS343" s="169">
        <f t="shared" si="660"/>
        <v>7.1182179360302017E-4</v>
      </c>
      <c r="AT343" s="115"/>
      <c r="AU343" s="115"/>
      <c r="AV343" s="113">
        <f>IFERROR(INDEX('Total Customers'!$F$7:$AB$91,MATCH($C343,'Total Customers'!$D$7:$D$91,0),MATCH($G343,'Total Customers'!$F$5:$AB$5,0)),"NA")</f>
        <v>166135</v>
      </c>
      <c r="AW343" s="68">
        <f t="shared" si="619"/>
        <v>1.8596625341967956E-2</v>
      </c>
      <c r="AX343" s="114"/>
      <c r="AY343" s="114"/>
      <c r="AZ343" s="116">
        <v>8534921</v>
      </c>
      <c r="BA343" s="116"/>
      <c r="BB343" s="166"/>
      <c r="BC343" s="166"/>
      <c r="BD343" s="166"/>
      <c r="BE343" s="166"/>
      <c r="BF343" s="166"/>
      <c r="BG343" s="166"/>
      <c r="BH343" s="166"/>
      <c r="BI343" s="113"/>
      <c r="BJ343" s="113"/>
      <c r="BK343" s="113">
        <f>INDEX('Dist. Plant Gas Additions'!$F$7:$AE$91,MATCH($C343,'Dist. Plant Gas Additions'!$D$7:$D$91,0),MATCH(Calculation!$G343,'Dist. Plant Gas Additions'!$F$5:$AE$5,0))</f>
        <v>30921</v>
      </c>
      <c r="BL343" s="113">
        <f>INDEX('Gen. Plant Additions'!$F$7:$AE$91,MATCH($C343,'Gen. Plant Additions'!$D$7:$D$91,0),MATCH(Calculation!$G343,'Gen. Plant Additions'!$F$5:$AE$5,0))</f>
        <v>929</v>
      </c>
      <c r="BM343" s="231">
        <f t="shared" si="625"/>
        <v>0.93847097241307975</v>
      </c>
      <c r="BN343" s="61">
        <f t="shared" si="663"/>
        <v>871.83953337175114</v>
      </c>
      <c r="BO343" s="113">
        <f>INDEX('Dist Plant Depreciation'!$E$7:$AD$94,MATCH($C343,'Dist Plant Depreciation'!$D$7:$D$94,0),MATCH(Calculation!$G343,'Dist Plant Depreciation'!$E$5:$AD$5,0))</f>
        <v>356209</v>
      </c>
      <c r="BP343" s="113">
        <f>INDEX('Gen. Plant Depreciation'!$E$7:$AD$94,MATCH($C343,'Gen. Plant Depreciation'!$D$7:$D$94,0),MATCH(Calculation!$G343,'Gen. Plant Depreciation'!$E$5:$AD$5,0))</f>
        <v>17529</v>
      </c>
      <c r="BQ343" s="113"/>
      <c r="BR343" s="113"/>
      <c r="BS343" s="113"/>
      <c r="BT343" s="113"/>
      <c r="BU343" s="113"/>
      <c r="BV343" s="113"/>
      <c r="BW343" s="113">
        <f>INDEX('Gross Dx Plant'!$E$7:$AD$91,MATCH($C343,'Gross Dx Plant'!$D$7:$D$91,0),MATCH(Calculation!$G343,'Gross Dx Plant'!$E$5:$AD$5,0))</f>
        <v>635129</v>
      </c>
      <c r="BX343" s="113">
        <f>INDEX('Gross Gen Plant'!$E$7:$AD$91,MATCH($C343,'Gross Gen Plant'!$D$7:$D$91,0),MATCH(Calculation!$G343,'Gross Gen Plant'!$E$5:$AD$5,0))</f>
        <v>41641</v>
      </c>
      <c r="BY343" s="113">
        <f t="shared" si="623"/>
        <v>303032</v>
      </c>
      <c r="BZ343" s="113"/>
      <c r="CA343" s="116">
        <v>2013</v>
      </c>
      <c r="CB343" s="113"/>
      <c r="CC343" s="113"/>
      <c r="CD343" s="113"/>
      <c r="CE343" s="175"/>
      <c r="CF343" s="113">
        <f t="shared" si="626"/>
        <v>31850</v>
      </c>
      <c r="CG343" s="113">
        <f t="shared" si="627"/>
        <v>48.021223626697406</v>
      </c>
      <c r="CH343" s="178">
        <v>0.90566037735849059</v>
      </c>
      <c r="CI343" s="61">
        <f>+CI328*CH343+CG329*CH342+CG330*CH341+CG331*CH340+CG332*CH339+CG333*CH338+CG334*CH337+CG335*CH336+CG336*CH335+CG337*CH334+CG338*CH333+CG339*CH332+CG340*CH331+CG341*CH330+CG342*CH329+CG343</f>
        <v>1892.0728401296424</v>
      </c>
      <c r="CJ343" s="114">
        <f t="shared" si="628"/>
        <v>1.7707478053863818E-2</v>
      </c>
      <c r="CK343" s="114"/>
      <c r="CL343" s="169">
        <f t="shared" si="629"/>
        <v>7.9684566863533271E-3</v>
      </c>
      <c r="CM343" s="169">
        <f t="shared" si="637"/>
        <v>7.7023287175149828E-3</v>
      </c>
      <c r="CN343" s="114">
        <f>VLOOKUP($H343,RoR!$E:$F,2,FALSE)</f>
        <v>4.2350000000000006E-2</v>
      </c>
      <c r="CO343" s="169">
        <v>1.7730000000000024E-2</v>
      </c>
      <c r="CP343" s="169">
        <f t="shared" si="635"/>
        <v>2.4619999999999982E-2</v>
      </c>
      <c r="CQ343" s="169">
        <f t="shared" si="638"/>
        <v>2.3199612891018642E-2</v>
      </c>
      <c r="CR343" s="169">
        <f t="shared" si="639"/>
        <v>5.3376742735721204E-2</v>
      </c>
      <c r="CS343" s="179">
        <f t="shared" si="630"/>
        <v>0.85126000000000002</v>
      </c>
      <c r="CT343" s="180">
        <f t="shared" si="631"/>
        <v>1.2109103018193925</v>
      </c>
      <c r="CU343" s="180">
        <f t="shared" si="632"/>
        <v>0.38468122786304604</v>
      </c>
      <c r="CV343" s="180">
        <f t="shared" si="633"/>
        <v>0.80969194503422559</v>
      </c>
      <c r="CW343" s="180">
        <f t="shared" si="634"/>
        <v>0.37716621754800816</v>
      </c>
      <c r="CX343" s="181">
        <f>INDEX('State Tax Lookup'!$D$7:$Z$91,MATCH(Calculation!$C343,'State Tax Lookup'!$B$7:$B$91,0),MATCH($H343,'State Tax Lookup'!$D$6:$Z$6,0))</f>
        <v>0.40200000000000002</v>
      </c>
      <c r="CY343" s="72">
        <v>0.37</v>
      </c>
      <c r="CZ343" s="70">
        <f t="shared" si="636"/>
        <v>21.827743456670397</v>
      </c>
      <c r="DA343" s="70">
        <v>20.339519021246105</v>
      </c>
      <c r="DB343" s="69">
        <f t="shared" si="640"/>
        <v>-1.9052432824839326E-2</v>
      </c>
      <c r="DC343" s="111">
        <f>VLOOKUP($H343,RoR!$E:$F,2,FALSE)</f>
        <v>4.2350000000000006E-2</v>
      </c>
      <c r="DD343" s="216">
        <f>HLOOKUP($H343,'GDP-PI'!$D$8:$CQ$11,3,FALSE)</f>
        <v>1.7730000000000024E-2</v>
      </c>
      <c r="DE343" s="111">
        <f>VLOOKUP(H343,'HW Dx Data'!$E:$F,2,FALSE)</f>
        <v>663.24840548821396</v>
      </c>
      <c r="DF343" s="72">
        <f t="shared" si="650"/>
        <v>126.8</v>
      </c>
      <c r="DG343" s="69">
        <f t="shared" si="651"/>
        <v>1.5898586067798204E-2</v>
      </c>
      <c r="DH343" s="66">
        <f>HLOOKUP(H343,'GDP-PI'!$8:$9,2,FALSE)</f>
        <v>101.773</v>
      </c>
      <c r="DI343" s="69">
        <f t="shared" si="641"/>
        <v>1.7574657016510519E-2</v>
      </c>
      <c r="EB343"/>
    </row>
    <row r="344" spans="1:132" s="160" customFormat="1" ht="21">
      <c r="A344" s="160" t="s">
        <v>180</v>
      </c>
      <c r="B344" s="161" t="s">
        <v>180</v>
      </c>
      <c r="C344" s="161">
        <v>4059402</v>
      </c>
      <c r="D344" s="161" t="s">
        <v>181</v>
      </c>
      <c r="E344" s="161" t="s">
        <v>3</v>
      </c>
      <c r="F344" s="161"/>
      <c r="G344" s="161" t="s">
        <v>130</v>
      </c>
      <c r="H344" s="162">
        <v>2014</v>
      </c>
      <c r="I344" s="163"/>
      <c r="J344" s="159">
        <f>IFERROR(INDEX('Labor Expenditures'!$F$7:$X$91,MATCH($C344,'Labor Expenditures'!$D$7:$D$91,0),MATCH($G344,'Labor Expenditures'!$F$5:$X$5,0)),"NA")</f>
        <v>21883.939382583692</v>
      </c>
      <c r="K344" s="159">
        <f t="shared" si="642"/>
        <v>169.11854236927118</v>
      </c>
      <c r="L344" s="165">
        <f t="shared" si="648"/>
        <v>2.1785139284882064E-3</v>
      </c>
      <c r="M344" s="76">
        <f t="shared" si="652"/>
        <v>1.8320537157072248E-5</v>
      </c>
      <c r="N344" s="62">
        <f t="shared" si="659"/>
        <v>120.82745558451354</v>
      </c>
      <c r="O344" s="96">
        <f t="shared" si="653"/>
        <v>0.11308794938928245</v>
      </c>
      <c r="P344" s="96"/>
      <c r="Q344" s="159">
        <f>IFERROR(INDEX('Non-Labor Expenditures'!$F$7:$AB$91,MATCH($C344,'Non-Labor Expenditures'!$D$7:$D$91,0),MATCH($G344,'Non-Labor Expenditures'!$F$5:$AB$5,0)),"NA")</f>
        <v>31692.031582050022</v>
      </c>
      <c r="R344" s="159">
        <f t="shared" si="643"/>
        <v>305.76892319169895</v>
      </c>
      <c r="S344" s="165">
        <f t="shared" si="654"/>
        <v>4.2298020939071802E-3</v>
      </c>
      <c r="T344" s="165">
        <f t="shared" si="655"/>
        <v>3.5571150321845644E-5</v>
      </c>
      <c r="U344" s="165"/>
      <c r="V344" s="165"/>
      <c r="W344" s="159">
        <f t="shared" si="624"/>
        <v>42165.70610964996</v>
      </c>
      <c r="X344" s="163"/>
      <c r="Y344" s="167">
        <v>1939.4908651598735</v>
      </c>
      <c r="Z344" s="168">
        <v>2.4752529092367755E-2</v>
      </c>
      <c r="AA344" s="76">
        <f t="shared" si="644"/>
        <v>2.0816007785772126E-4</v>
      </c>
      <c r="AB344" s="168"/>
      <c r="AC344" s="168"/>
      <c r="AD344" s="163">
        <f t="shared" si="577"/>
        <v>95741.677074283682</v>
      </c>
      <c r="AE344" s="168">
        <f t="shared" si="656"/>
        <v>2.9483967170791929E-2</v>
      </c>
      <c r="AF344" s="163"/>
      <c r="AG344" s="163"/>
      <c r="AH344" s="163"/>
      <c r="AI344" s="163"/>
      <c r="AJ344" s="116">
        <f t="shared" si="657"/>
        <v>569.00017873378977</v>
      </c>
      <c r="AK344" s="114">
        <f>+AV344/$AX$19</f>
        <v>4.656436857091226E-3</v>
      </c>
      <c r="AL344" s="115">
        <f t="shared" si="645"/>
        <v>0.22857276006983318</v>
      </c>
      <c r="AM344" s="115">
        <f t="shared" si="646"/>
        <v>0.33101604808385515</v>
      </c>
      <c r="AN344" s="115">
        <f t="shared" si="647"/>
        <v>0.44041119184631156</v>
      </c>
      <c r="AO344" s="115">
        <f t="shared" si="649"/>
        <v>1.2757340505988271E-2</v>
      </c>
      <c r="AP344" s="166">
        <f t="shared" si="661"/>
        <v>111.47881108215293</v>
      </c>
      <c r="AQ344" s="168">
        <f t="shared" si="662"/>
        <v>1.2757340505988372E-2</v>
      </c>
      <c r="AR344" s="69">
        <f>+AD344/$AF$19</f>
        <v>8.4096488516765648E-3</v>
      </c>
      <c r="AS344" s="169">
        <f t="shared" si="660"/>
        <v>1.0728475393663204E-4</v>
      </c>
      <c r="AT344" s="115"/>
      <c r="AU344" s="115"/>
      <c r="AV344" s="113">
        <f>IFERROR(INDEX('Total Customers'!$F$7:$AB$91,MATCH($C344,'Total Customers'!$D$7:$D$91,0),MATCH($G344,'Total Customers'!$F$5:$AB$5,0)),"NA")</f>
        <v>168263</v>
      </c>
      <c r="AW344" s="68">
        <f t="shared" si="619"/>
        <v>1.2727520655688438E-2</v>
      </c>
      <c r="AX344" s="114"/>
      <c r="AY344" s="114"/>
      <c r="AZ344" s="116">
        <v>8599754</v>
      </c>
      <c r="BA344" s="116"/>
      <c r="BB344" s="166"/>
      <c r="BC344" s="166"/>
      <c r="BD344" s="166"/>
      <c r="BE344" s="166"/>
      <c r="BF344" s="166"/>
      <c r="BG344" s="166"/>
      <c r="BH344" s="166"/>
      <c r="BI344" s="113"/>
      <c r="BJ344" s="113"/>
      <c r="BK344" s="113">
        <f>INDEX('Dist. Plant Gas Additions'!$F$7:$AE$91,MATCH($C344,'Dist. Plant Gas Additions'!$D$7:$D$91,0),MATCH(Calculation!$G344,'Dist. Plant Gas Additions'!$F$5:$AE$5,0))</f>
        <v>42858</v>
      </c>
      <c r="BL344" s="113">
        <f>INDEX('Gen. Plant Additions'!$F$7:$AE$91,MATCH($C344,'Gen. Plant Additions'!$D$7:$D$91,0),MATCH(Calculation!$G344,'Gen. Plant Additions'!$F$5:$AE$5,0))</f>
        <v>279</v>
      </c>
      <c r="BM344" s="231">
        <f t="shared" si="625"/>
        <v>0.94216062655709565</v>
      </c>
      <c r="BN344" s="61">
        <f t="shared" si="663"/>
        <v>262.86281480942966</v>
      </c>
      <c r="BO344" s="113">
        <f>INDEX('Dist Plant Depreciation'!$E$7:$AD$94,MATCH($C344,'Dist Plant Depreciation'!$D$7:$D$94,0),MATCH(Calculation!$G344,'Dist Plant Depreciation'!$E$5:$AD$5,0))</f>
        <v>375907</v>
      </c>
      <c r="BP344" s="113">
        <f>INDEX('Gen. Plant Depreciation'!$E$7:$AD$94,MATCH($C344,'Gen. Plant Depreciation'!$D$7:$D$94,0),MATCH(Calculation!$G344,'Gen. Plant Depreciation'!$E$5:$AD$5,0))</f>
        <v>18981</v>
      </c>
      <c r="BQ344" s="113"/>
      <c r="BR344" s="113"/>
      <c r="BS344" s="113"/>
      <c r="BT344" s="113"/>
      <c r="BU344" s="113"/>
      <c r="BV344" s="113"/>
      <c r="BW344" s="113">
        <f>INDEX('Gross Dx Plant'!$E$7:$AD$91,MATCH($C344,'Gross Dx Plant'!$D$7:$D$91,0),MATCH(Calculation!$G344,'Gross Dx Plant'!$E$5:$AD$5,0))</f>
        <v>673903</v>
      </c>
      <c r="BX344" s="113">
        <f>INDEX('Gross Gen Plant'!$E$7:$AD$91,MATCH($C344,'Gross Gen Plant'!$D$7:$D$91,0),MATCH(Calculation!$G344,'Gross Gen Plant'!$E$5:$AD$5,0))</f>
        <v>41371</v>
      </c>
      <c r="BY344" s="113">
        <f t="shared" si="623"/>
        <v>320386</v>
      </c>
      <c r="BZ344" s="113"/>
      <c r="CA344" s="116">
        <v>2014</v>
      </c>
      <c r="CB344" s="113"/>
      <c r="CC344" s="113"/>
      <c r="CD344" s="113"/>
      <c r="CE344" s="175"/>
      <c r="CF344" s="113">
        <f t="shared" si="626"/>
        <v>43137</v>
      </c>
      <c r="CG344" s="113">
        <f t="shared" si="627"/>
        <v>63.022563472121867</v>
      </c>
      <c r="CH344" s="178">
        <v>0.89743589743589747</v>
      </c>
      <c r="CI344" s="61">
        <f>+CI328*CH344+CG329*CH343+CG330*CH342+CG331*CH341+CG332*CH340+CG333*CH339+CG334*CH338+CG335*CH337+CG336*CH336+CG337*CH335+CG338*CH334+CG339*CH333+CG340*CH332+CG341*CH331+CG342*CH330+CG343*CH329+CG344</f>
        <v>1939.4908651598735</v>
      </c>
      <c r="CJ344" s="114">
        <f t="shared" si="628"/>
        <v>2.4752529092367755E-2</v>
      </c>
      <c r="CK344" s="114"/>
      <c r="CL344" s="169">
        <f t="shared" si="629"/>
        <v>8.2473243687709048E-3</v>
      </c>
      <c r="CM344" s="169">
        <f t="shared" si="637"/>
        <v>7.9727271432874589E-3</v>
      </c>
      <c r="CN344" s="114">
        <f>VLOOKUP($H344,RoR!$E:$F,2,FALSE)</f>
        <v>4.1625000000000002E-2</v>
      </c>
      <c r="CO344" s="169">
        <v>1.841352814597208E-2</v>
      </c>
      <c r="CP344" s="169">
        <f t="shared" si="635"/>
        <v>2.3211471854027922E-2</v>
      </c>
      <c r="CQ344" s="169">
        <f t="shared" si="638"/>
        <v>2.2929214465246164E-2</v>
      </c>
      <c r="CR344" s="169">
        <f t="shared" si="639"/>
        <v>3.9072621432650924E-2</v>
      </c>
      <c r="CS344" s="179">
        <f t="shared" si="630"/>
        <v>0.85126000000000002</v>
      </c>
      <c r="CT344" s="180">
        <f t="shared" si="631"/>
        <v>1.2320012320012319</v>
      </c>
      <c r="CU344" s="180">
        <f t="shared" si="632"/>
        <v>0.37439939939939942</v>
      </c>
      <c r="CV344" s="180">
        <f t="shared" si="633"/>
        <v>0.80432100613819935</v>
      </c>
      <c r="CW344" s="180">
        <f t="shared" si="634"/>
        <v>0.37100152660040037</v>
      </c>
      <c r="CX344" s="181">
        <f>INDEX('State Tax Lookup'!$D$7:$Z$91,MATCH(Calculation!$C344,'State Tax Lookup'!$B$7:$B$91,0),MATCH($H344,'State Tax Lookup'!$D$6:$Z$6,0))</f>
        <v>0.40200000000000002</v>
      </c>
      <c r="CY344" s="72">
        <v>0.37</v>
      </c>
      <c r="CZ344" s="70">
        <f t="shared" si="636"/>
        <v>22.28545604341576</v>
      </c>
      <c r="DA344" s="70">
        <v>20.763592984765573</v>
      </c>
      <c r="DB344" s="69">
        <f t="shared" si="640"/>
        <v>2.0752474023832963E-2</v>
      </c>
      <c r="DC344" s="111">
        <f>VLOOKUP($H344,RoR!$E:$F,2,FALSE)</f>
        <v>4.1625000000000002E-2</v>
      </c>
      <c r="DD344" s="216">
        <f>HLOOKUP($H344,'GDP-PI'!$D$8:$CQ$11,3,FALSE)</f>
        <v>1.841352814597208E-2</v>
      </c>
      <c r="DE344" s="111">
        <f>VLOOKUP(H344,'HW Dx Data'!$E:$F,2,FALSE)</f>
        <v>684.46914285042885</v>
      </c>
      <c r="DF344" s="72">
        <f t="shared" si="650"/>
        <v>129.4</v>
      </c>
      <c r="DG344" s="69">
        <f t="shared" si="651"/>
        <v>2.0297340063674733E-2</v>
      </c>
      <c r="DH344" s="66">
        <f>HLOOKUP(H344,'GDP-PI'!$8:$9,2,FALSE)</f>
        <v>103.64700000000001</v>
      </c>
      <c r="DI344" s="69">
        <f t="shared" si="641"/>
        <v>1.8246051898256087E-2</v>
      </c>
      <c r="EB344"/>
    </row>
    <row r="345" spans="1:132" s="160" customFormat="1" ht="21">
      <c r="A345" s="160" t="s">
        <v>180</v>
      </c>
      <c r="B345" s="161" t="s">
        <v>180</v>
      </c>
      <c r="C345" s="161">
        <v>4059402</v>
      </c>
      <c r="D345" s="161" t="s">
        <v>181</v>
      </c>
      <c r="E345" s="161" t="s">
        <v>3</v>
      </c>
      <c r="F345" s="161"/>
      <c r="G345" s="161" t="s">
        <v>132</v>
      </c>
      <c r="H345" s="162">
        <v>2015</v>
      </c>
      <c r="I345" s="163"/>
      <c r="J345" s="159">
        <f>IFERROR(INDEX('Labor Expenditures'!$F$7:$X$91,MATCH($C345,'Labor Expenditures'!$D$7:$D$91,0),MATCH($G345,'Labor Expenditures'!$F$5:$X$5,0)),"NA")</f>
        <v>24707.796273217318</v>
      </c>
      <c r="K345" s="159">
        <f t="shared" si="642"/>
        <v>185.07712564207728</v>
      </c>
      <c r="L345" s="165">
        <f t="shared" si="648"/>
        <v>9.0172730393352926E-2</v>
      </c>
      <c r="M345" s="76">
        <f t="shared" si="652"/>
        <v>8.0582644143278414E-4</v>
      </c>
      <c r="N345" s="62">
        <f t="shared" si="659"/>
        <v>119.25296238622353</v>
      </c>
      <c r="O345" s="96">
        <f t="shared" si="653"/>
        <v>-1.3116569731887623E-2</v>
      </c>
      <c r="P345" s="96"/>
      <c r="Q345" s="159">
        <f>IFERROR(INDEX('Non-Labor Expenditures'!$F$7:$AB$91,MATCH($C345,'Non-Labor Expenditures'!$D$7:$D$91,0),MATCH($G345,'Non-Labor Expenditures'!$F$5:$AB$5,0)),"NA")</f>
        <v>35781.50378340212</v>
      </c>
      <c r="R345" s="159">
        <f t="shared" si="643"/>
        <v>341.95188967213107</v>
      </c>
      <c r="S345" s="165">
        <f t="shared" si="654"/>
        <v>0.11184038998141405</v>
      </c>
      <c r="T345" s="165">
        <f t="shared" si="655"/>
        <v>9.9945896141813125E-4</v>
      </c>
      <c r="U345" s="165"/>
      <c r="V345" s="165"/>
      <c r="W345" s="159">
        <f t="shared" si="624"/>
        <v>42256.199535547828</v>
      </c>
      <c r="X345" s="163"/>
      <c r="Y345" s="167">
        <v>2011.4288330606382</v>
      </c>
      <c r="Z345" s="168">
        <v>3.6419833754909835E-2</v>
      </c>
      <c r="AA345" s="76">
        <f t="shared" si="644"/>
        <v>3.25464970443614E-4</v>
      </c>
      <c r="AB345" s="168"/>
      <c r="AC345" s="168"/>
      <c r="AD345" s="163">
        <f t="shared" si="577"/>
        <v>102745.49959216727</v>
      </c>
      <c r="AE345" s="168">
        <f t="shared" si="656"/>
        <v>7.0601352050988067E-2</v>
      </c>
      <c r="AF345" s="163"/>
      <c r="AG345" s="163"/>
      <c r="AH345" s="163"/>
      <c r="AI345" s="163"/>
      <c r="AJ345" s="116">
        <f t="shared" si="657"/>
        <v>601.07935526467531</v>
      </c>
      <c r="AK345" s="114">
        <f>+AV345/$AX$20</f>
        <v>4.691916470354697E-3</v>
      </c>
      <c r="AL345" s="115">
        <f t="shared" si="645"/>
        <v>0.24047570327937653</v>
      </c>
      <c r="AM345" s="115">
        <f t="shared" si="646"/>
        <v>0.34825373301440349</v>
      </c>
      <c r="AN345" s="115">
        <f t="shared" si="647"/>
        <v>0.41127056370622</v>
      </c>
      <c r="AO345" s="115">
        <f t="shared" si="649"/>
        <v>7.4641642898468363E-2</v>
      </c>
      <c r="AP345" s="166">
        <f t="shared" si="661"/>
        <v>120.11819070455341</v>
      </c>
      <c r="AQ345" s="168">
        <f t="shared" si="662"/>
        <v>7.4641642898468391E-2</v>
      </c>
      <c r="AR345" s="69">
        <f>+AD345/$AF$20</f>
        <v>8.9364760046368244E-3</v>
      </c>
      <c r="AS345" s="169">
        <f t="shared" si="660"/>
        <v>6.670332507088334E-4</v>
      </c>
      <c r="AT345" s="115"/>
      <c r="AU345" s="115"/>
      <c r="AV345" s="113">
        <f>IFERROR(INDEX('Total Customers'!$F$7:$AB$91,MATCH($C345,'Total Customers'!$D$7:$D$91,0),MATCH($G345,'Total Customers'!$F$5:$AB$5,0)),"NA")</f>
        <v>170935</v>
      </c>
      <c r="AW345" s="68">
        <f t="shared" si="619"/>
        <v>1.5755135767601725E-2</v>
      </c>
      <c r="AX345" s="114"/>
      <c r="AY345" s="114"/>
      <c r="AZ345" s="116">
        <v>8659109</v>
      </c>
      <c r="BA345" s="116"/>
      <c r="BB345" s="166"/>
      <c r="BC345" s="166"/>
      <c r="BD345" s="166"/>
      <c r="BE345" s="166"/>
      <c r="BF345" s="166"/>
      <c r="BG345" s="166"/>
      <c r="BH345" s="166"/>
      <c r="BI345" s="113"/>
      <c r="BJ345" s="113"/>
      <c r="BK345" s="113">
        <f>INDEX('Dist. Plant Gas Additions'!$F$7:$AE$91,MATCH($C345,'Dist. Plant Gas Additions'!$D$7:$D$91,0),MATCH(Calculation!$G345,'Dist. Plant Gas Additions'!$F$5:$AE$5,0))</f>
        <v>52106</v>
      </c>
      <c r="BL345" s="113">
        <f>INDEX('Gen. Plant Additions'!$F$7:$AE$91,MATCH($C345,'Gen. Plant Additions'!$D$7:$D$91,0),MATCH(Calculation!$G345,'Gen. Plant Additions'!$F$5:$AE$5,0))</f>
        <v>7651</v>
      </c>
      <c r="BM345" s="231">
        <f t="shared" si="625"/>
        <v>0.9379417647790399</v>
      </c>
      <c r="BN345" s="61">
        <f t="shared" si="663"/>
        <v>7176.1924423244345</v>
      </c>
      <c r="BO345" s="113">
        <f>INDEX('Dist Plant Depreciation'!$E$7:$AD$94,MATCH($C345,'Dist Plant Depreciation'!$D$7:$D$94,0),MATCH(Calculation!$G345,'Dist Plant Depreciation'!$E$5:$AD$5,0))</f>
        <v>398814</v>
      </c>
      <c r="BP345" s="113">
        <f>INDEX('Gen. Plant Depreciation'!$E$7:$AD$94,MATCH($C345,'Gen. Plant Depreciation'!$D$7:$D$94,0),MATCH(Calculation!$G345,'Gen. Plant Depreciation'!$E$5:$AD$5,0))</f>
        <v>19928</v>
      </c>
      <c r="BQ345" s="113"/>
      <c r="BR345" s="113"/>
      <c r="BS345" s="113"/>
      <c r="BT345" s="113"/>
      <c r="BU345" s="113"/>
      <c r="BV345" s="113"/>
      <c r="BW345" s="113">
        <f>INDEX('Gross Dx Plant'!$E$7:$AD$91,MATCH($C345,'Gross Dx Plant'!$D$7:$D$91,0),MATCH(Calculation!$G345,'Gross Dx Plant'!$E$5:$AD$5,0))</f>
        <v>724001</v>
      </c>
      <c r="BX345" s="113">
        <f>INDEX('Gross Gen Plant'!$E$7:$AD$91,MATCH($C345,'Gross Gen Plant'!$D$7:$D$91,0),MATCH(Calculation!$G345,'Gross Gen Plant'!$E$5:$AD$5,0))</f>
        <v>47903</v>
      </c>
      <c r="BY345" s="113">
        <f t="shared" si="623"/>
        <v>353162</v>
      </c>
      <c r="BZ345" s="113"/>
      <c r="CA345" s="116">
        <v>2015</v>
      </c>
      <c r="CB345" s="113"/>
      <c r="CC345" s="113"/>
      <c r="CD345" s="113"/>
      <c r="CE345" s="175"/>
      <c r="CF345" s="113">
        <f t="shared" si="626"/>
        <v>59757</v>
      </c>
      <c r="CG345" s="113">
        <f t="shared" si="627"/>
        <v>88.448350692154506</v>
      </c>
      <c r="CH345" s="178">
        <v>0.88888888888888884</v>
      </c>
      <c r="CI345" s="61">
        <f>+CI328*CH345+CG329*CH344+CG330*CH343+CG331*CH342+CG332*CH341+CG333*CH340+CG334*CH339+CG335*CH338+CG336*CH337+CG337*CH336+CG338*CH335+CG339*CH334+CG340*CH333+CG341*CH332+CG342*CH331+CG343*CH330+CG344*CH329+CG345</f>
        <v>2011.4288330606382</v>
      </c>
      <c r="CJ345" s="114">
        <f t="shared" si="628"/>
        <v>3.6419833754909835E-2</v>
      </c>
      <c r="CK345" s="114"/>
      <c r="CL345" s="169">
        <f t="shared" si="629"/>
        <v>8.5127406826063009E-3</v>
      </c>
      <c r="CM345" s="169">
        <f t="shared" si="637"/>
        <v>8.2428405792435103E-3</v>
      </c>
      <c r="CN345" s="114">
        <f>VLOOKUP($H345,RoR!$E:$F,2,FALSE)</f>
        <v>3.8866666666666674E-2</v>
      </c>
      <c r="CO345" s="169">
        <v>9.5709475431029478E-3</v>
      </c>
      <c r="CP345" s="169">
        <f t="shared" si="635"/>
        <v>2.9295719123563727E-2</v>
      </c>
      <c r="CQ345" s="169">
        <f t="shared" si="638"/>
        <v>2.2659101029290113E-2</v>
      </c>
      <c r="CR345" s="169">
        <f t="shared" si="639"/>
        <v>3.5270373279175926E-3</v>
      </c>
      <c r="CS345" s="179">
        <f t="shared" si="630"/>
        <v>0.85126000000000002</v>
      </c>
      <c r="CT345" s="180">
        <f t="shared" si="631"/>
        <v>1.3194352816994324</v>
      </c>
      <c r="CU345" s="180">
        <f t="shared" si="632"/>
        <v>0.33177530017152673</v>
      </c>
      <c r="CV345" s="180">
        <f t="shared" si="633"/>
        <v>0.78242572977668579</v>
      </c>
      <c r="CW345" s="180">
        <f t="shared" si="634"/>
        <v>0.34251158643433932</v>
      </c>
      <c r="CX345" s="181">
        <f>INDEX('State Tax Lookup'!$D$7:$Z$91,MATCH(Calculation!$C345,'State Tax Lookup'!$B$7:$B$91,0),MATCH($H345,'State Tax Lookup'!$D$6:$Z$6,0))</f>
        <v>0.40200000000000002</v>
      </c>
      <c r="CY345" s="72">
        <v>0.37</v>
      </c>
      <c r="CZ345" s="70">
        <f t="shared" si="636"/>
        <v>21.78726401583986</v>
      </c>
      <c r="DA345" s="70">
        <v>20.279488671080099</v>
      </c>
      <c r="DB345" s="69">
        <f t="shared" si="640"/>
        <v>-2.2608690716164996E-2</v>
      </c>
      <c r="DC345" s="111">
        <f>VLOOKUP($H345,RoR!$E:$F,2,FALSE)</f>
        <v>3.8866666666666674E-2</v>
      </c>
      <c r="DD345" s="216">
        <f>HLOOKUP($H345,'GDP-PI'!$D$8:$CQ$11,3,FALSE)</f>
        <v>9.5709475431029478E-3</v>
      </c>
      <c r="DE345" s="111">
        <f>VLOOKUP(H345,'HW Dx Data'!$E:$F,2,FALSE)</f>
        <v>675.61463308665782</v>
      </c>
      <c r="DF345" s="72">
        <f t="shared" si="650"/>
        <v>133.5</v>
      </c>
      <c r="DG345" s="69">
        <f t="shared" si="651"/>
        <v>3.1193095773504077E-2</v>
      </c>
      <c r="DH345" s="66">
        <f>HLOOKUP(H345,'GDP-PI'!$8:$9,2,FALSE)</f>
        <v>104.639</v>
      </c>
      <c r="DI345" s="69">
        <f t="shared" si="641"/>
        <v>9.5254361854427965E-3</v>
      </c>
      <c r="EB345"/>
    </row>
    <row r="346" spans="1:132" s="160" customFormat="1" ht="21">
      <c r="A346" s="160" t="s">
        <v>180</v>
      </c>
      <c r="B346" s="161" t="s">
        <v>180</v>
      </c>
      <c r="C346" s="161">
        <v>4059402</v>
      </c>
      <c r="D346" s="161" t="s">
        <v>181</v>
      </c>
      <c r="E346" s="161" t="s">
        <v>3</v>
      </c>
      <c r="F346" s="161"/>
      <c r="G346" s="161" t="s">
        <v>133</v>
      </c>
      <c r="H346" s="162">
        <v>2016</v>
      </c>
      <c r="I346" s="163"/>
      <c r="J346" s="159">
        <f>IFERROR(INDEX('Labor Expenditures'!$F$7:$X$91,MATCH($C346,'Labor Expenditures'!$D$7:$D$91,0),MATCH($G346,'Labor Expenditures'!$F$5:$X$5,0)),"NA")</f>
        <v>24408.390786746953</v>
      </c>
      <c r="K346" s="159">
        <f t="shared" si="642"/>
        <v>178.22848329132498</v>
      </c>
      <c r="L346" s="165">
        <f t="shared" si="648"/>
        <v>-3.7706292404019986E-2</v>
      </c>
      <c r="M346" s="76">
        <f t="shared" si="652"/>
        <v>-3.2582893061513238E-4</v>
      </c>
      <c r="N346" s="62">
        <f t="shared" si="659"/>
        <v>296.92513989808361</v>
      </c>
      <c r="O346" s="96">
        <f t="shared" si="653"/>
        <v>0.91223308154339733</v>
      </c>
      <c r="P346" s="96"/>
      <c r="Q346" s="159">
        <f>IFERROR(INDEX('Non-Labor Expenditures'!$F$7:$AB$91,MATCH($C346,'Non-Labor Expenditures'!$D$7:$D$91,0),MATCH($G346,'Non-Labor Expenditures'!$F$5:$AB$5,0)),"NA")</f>
        <v>35347.908717761908</v>
      </c>
      <c r="R346" s="159">
        <f t="shared" si="643"/>
        <v>334.30344175835955</v>
      </c>
      <c r="S346" s="165">
        <f t="shared" si="654"/>
        <v>-2.2620964902442212E-2</v>
      </c>
      <c r="T346" s="165">
        <f t="shared" si="655"/>
        <v>-1.9547307183294925E-4</v>
      </c>
      <c r="U346" s="165"/>
      <c r="V346" s="165"/>
      <c r="W346" s="159">
        <f t="shared" si="624"/>
        <v>43054.893637961934</v>
      </c>
      <c r="X346" s="163"/>
      <c r="Y346" s="167">
        <v>2074.5591679083163</v>
      </c>
      <c r="Z346" s="168">
        <v>3.0903350163986858E-2</v>
      </c>
      <c r="AA346" s="76">
        <f t="shared" si="644"/>
        <v>2.6704310857365821E-4</v>
      </c>
      <c r="AB346" s="168"/>
      <c r="AC346" s="168"/>
      <c r="AD346" s="163">
        <f t="shared" si="577"/>
        <v>102811.19314247079</v>
      </c>
      <c r="AE346" s="168">
        <f t="shared" si="656"/>
        <v>6.39176975131766E-4</v>
      </c>
      <c r="AF346" s="163"/>
      <c r="AG346" s="163"/>
      <c r="AH346" s="163"/>
      <c r="AI346" s="163"/>
      <c r="AJ346" s="116">
        <f t="shared" si="657"/>
        <v>589.36502913525715</v>
      </c>
      <c r="AK346" s="114">
        <f>+AV346/$AX$21</f>
        <v>4.7468563682200411E-3</v>
      </c>
      <c r="AL346" s="115">
        <f t="shared" si="645"/>
        <v>0.23740985821381319</v>
      </c>
      <c r="AM346" s="115">
        <f t="shared" si="646"/>
        <v>0.34381381673859657</v>
      </c>
      <c r="AN346" s="115">
        <f t="shared" si="647"/>
        <v>0.41877632504759033</v>
      </c>
      <c r="AO346" s="115">
        <f t="shared" si="649"/>
        <v>-4.0116494073582174E-3</v>
      </c>
      <c r="AP346" s="166">
        <f t="shared" si="661"/>
        <v>119.6372838957071</v>
      </c>
      <c r="AQ346" s="168">
        <f t="shared" si="662"/>
        <v>-4.0116494073582348E-3</v>
      </c>
      <c r="AR346" s="69">
        <f>+AD346/$AF$21</f>
        <v>8.6412349197290666E-3</v>
      </c>
      <c r="AS346" s="169">
        <f t="shared" si="660"/>
        <v>-3.4665604944574395E-5</v>
      </c>
      <c r="AT346" s="115"/>
      <c r="AU346" s="115"/>
      <c r="AV346" s="113">
        <f>IFERROR(INDEX('Total Customers'!$F$7:$AB$91,MATCH($C346,'Total Customers'!$D$7:$D$91,0),MATCH($G346,'Total Customers'!$F$5:$AB$5,0)),"NA")</f>
        <v>174444</v>
      </c>
      <c r="AW346" s="68">
        <f t="shared" si="619"/>
        <v>2.0320405951356601E-2</v>
      </c>
      <c r="AX346" s="114"/>
      <c r="AY346" s="114"/>
      <c r="AZ346" s="116">
        <v>8759079</v>
      </c>
      <c r="BA346" s="116"/>
      <c r="BB346" s="166"/>
      <c r="BC346" s="166"/>
      <c r="BD346" s="166"/>
      <c r="BE346" s="166"/>
      <c r="BF346" s="166"/>
      <c r="BG346" s="166"/>
      <c r="BH346" s="166"/>
      <c r="BI346" s="113"/>
      <c r="BJ346" s="113"/>
      <c r="BK346" s="113">
        <f>INDEX('Dist. Plant Gas Additions'!$F$7:$AE$91,MATCH($C346,'Dist. Plant Gas Additions'!$D$7:$D$91,0),MATCH(Calculation!$G346,'Dist. Plant Gas Additions'!$F$5:$AE$5,0))</f>
        <v>48310</v>
      </c>
      <c r="BL346" s="113">
        <f>INDEX('Gen. Plant Additions'!$F$7:$AE$91,MATCH($C346,'Gen. Plant Additions'!$D$7:$D$91,0),MATCH(Calculation!$G346,'Gen. Plant Additions'!$F$5:$AE$5,0))</f>
        <v>5888</v>
      </c>
      <c r="BM346" s="231">
        <f t="shared" si="625"/>
        <v>0.93662338861439365</v>
      </c>
      <c r="BN346" s="61">
        <f t="shared" si="663"/>
        <v>5514.8385121615502</v>
      </c>
      <c r="BO346" s="113"/>
      <c r="BP346" s="113"/>
      <c r="BQ346" s="113"/>
      <c r="BR346" s="113"/>
      <c r="BS346" s="113"/>
      <c r="BT346" s="113"/>
      <c r="BU346" s="113"/>
      <c r="BV346" s="113"/>
      <c r="BW346" s="113">
        <f>INDEX('Gross Dx Plant'!$E$7:$AD$91,MATCH($C346,'Gross Dx Plant'!$D$7:$D$91,0),MATCH(Calculation!$G346,'Gross Dx Plant'!$E$5:$AD$5,0))</f>
        <v>770960</v>
      </c>
      <c r="BX346" s="113">
        <f>INDEX('Gross Gen Plant'!$E$7:$AD$91,MATCH($C346,'Gross Gen Plant'!$D$7:$D$91,0),MATCH(Calculation!$G346,'Gross Gen Plant'!$E$5:$AD$5,0))</f>
        <v>52167</v>
      </c>
      <c r="BY346" s="113">
        <f t="shared" si="623"/>
        <v>823127</v>
      </c>
      <c r="BZ346" s="113"/>
      <c r="CA346" s="116">
        <v>2016</v>
      </c>
      <c r="CB346" s="113"/>
      <c r="CC346" s="113"/>
      <c r="CD346" s="113"/>
      <c r="CE346" s="175"/>
      <c r="CF346" s="113">
        <f t="shared" si="626"/>
        <v>54198</v>
      </c>
      <c r="CG346" s="113">
        <f t="shared" si="627"/>
        <v>80.717080804689786</v>
      </c>
      <c r="CH346" s="178">
        <v>0.88</v>
      </c>
      <c r="CI346" s="61">
        <f>+CI328*CH346+CG329*CH345+CG330*CH344+CG331*CH343+CG332*CH342+CG333*CH341+CG334*CH340+CG335*CH339+CG336*CH338+CG337*CH337+CG338*CH336+CG339*CH335+CG340*CH334+CG341*CH333+CG342*CH332+CG343*CH331+CG344*CH330+CG345*CH329+CG346</f>
        <v>2074.5591679083163</v>
      </c>
      <c r="CJ346" s="114">
        <f t="shared" si="628"/>
        <v>3.0903350163986858E-2</v>
      </c>
      <c r="CK346" s="114"/>
      <c r="CL346" s="169">
        <f t="shared" si="629"/>
        <v>8.7434094947576434E-3</v>
      </c>
      <c r="CM346" s="169">
        <f t="shared" si="637"/>
        <v>8.5011581820449503E-3</v>
      </c>
      <c r="CN346" s="114">
        <f>VLOOKUP($H346,RoR!$E:$F,2,FALSE)</f>
        <v>3.6658333333333334E-2</v>
      </c>
      <c r="CO346" s="169">
        <v>1.0483662879041455E-2</v>
      </c>
      <c r="CP346" s="169">
        <f t="shared" si="635"/>
        <v>2.6174670454291879E-2</v>
      </c>
      <c r="CQ346" s="169">
        <f t="shared" si="638"/>
        <v>2.2400783426488675E-2</v>
      </c>
      <c r="CR346" s="169">
        <f t="shared" si="639"/>
        <v>4.301363574220729E-3</v>
      </c>
      <c r="CS346" s="179">
        <f t="shared" si="630"/>
        <v>0.85126000000000002</v>
      </c>
      <c r="CT346" s="180">
        <f t="shared" si="631"/>
        <v>1.3989193348138562</v>
      </c>
      <c r="CU346" s="180">
        <f t="shared" si="632"/>
        <v>0.29302682427824522</v>
      </c>
      <c r="CV346" s="180">
        <f t="shared" si="633"/>
        <v>0.76309497491941802</v>
      </c>
      <c r="CW346" s="180">
        <f t="shared" si="634"/>
        <v>0.31280857135128509</v>
      </c>
      <c r="CX346" s="181">
        <f>INDEX('State Tax Lookup'!$D$7:$Z$91,MATCH(Calculation!$C346,'State Tax Lookup'!$B$7:$B$91,0),MATCH($H346,'State Tax Lookup'!$D$6:$Z$6,0))</f>
        <v>0.40200000000000002</v>
      </c>
      <c r="CY346" s="72">
        <v>0.37</v>
      </c>
      <c r="CZ346" s="70">
        <f t="shared" si="636"/>
        <v>21.405128996012539</v>
      </c>
      <c r="DA346" s="70">
        <v>19.909765876209278</v>
      </c>
      <c r="DB346" s="69">
        <f t="shared" si="640"/>
        <v>-1.7695013593716693E-2</v>
      </c>
      <c r="DC346" s="111">
        <f>VLOOKUP($H346,RoR!$E:$F,2,FALSE)</f>
        <v>3.6658333333333334E-2</v>
      </c>
      <c r="DD346" s="216">
        <f>HLOOKUP($H346,'GDP-PI'!$D$8:$CQ$11,3,FALSE)</f>
        <v>1.0483662879041455E-2</v>
      </c>
      <c r="DE346" s="111">
        <f>VLOOKUP(H346,'HW Dx Data'!$E:$F,2,FALSE)</f>
        <v>671.45639385971219</v>
      </c>
      <c r="DF346" s="72">
        <f t="shared" si="650"/>
        <v>136.94999999999999</v>
      </c>
      <c r="DG346" s="69">
        <f t="shared" si="651"/>
        <v>2.5514417868782811E-2</v>
      </c>
      <c r="DH346" s="66">
        <f>HLOOKUP(H346,'GDP-PI'!$8:$9,2,FALSE)</f>
        <v>105.736</v>
      </c>
      <c r="DI346" s="69">
        <f t="shared" si="641"/>
        <v>1.0429090367205095E-2</v>
      </c>
      <c r="EB346"/>
    </row>
    <row r="347" spans="1:132" s="160" customFormat="1" ht="21">
      <c r="A347" s="160" t="s">
        <v>180</v>
      </c>
      <c r="B347" s="161" t="s">
        <v>180</v>
      </c>
      <c r="C347" s="161">
        <v>4059402</v>
      </c>
      <c r="D347" s="161" t="s">
        <v>181</v>
      </c>
      <c r="E347" s="161" t="s">
        <v>3</v>
      </c>
      <c r="F347" s="161"/>
      <c r="G347" s="161" t="s">
        <v>135</v>
      </c>
      <c r="H347" s="162">
        <v>2017</v>
      </c>
      <c r="I347" s="163"/>
      <c r="J347" s="159">
        <f>IFERROR(INDEX('Labor Expenditures'!$F$7:$X$91,MATCH($C347,'Labor Expenditures'!$D$7:$D$91,0),MATCH($G347,'Labor Expenditures'!$F$5:$X$5,0)),"NA")</f>
        <v>30113.503213589251</v>
      </c>
      <c r="K347" s="159">
        <f t="shared" si="642"/>
        <v>214.40728525161447</v>
      </c>
      <c r="L347" s="165">
        <f t="shared" si="648"/>
        <v>0.18481106717754253</v>
      </c>
      <c r="M347" s="76">
        <f t="shared" si="652"/>
        <v>1.7753438041831456E-3</v>
      </c>
      <c r="N347" s="62">
        <f t="shared" si="659"/>
        <v>165.67858613979877</v>
      </c>
      <c r="O347" s="96">
        <f t="shared" si="653"/>
        <v>-0.58343036944617033</v>
      </c>
      <c r="P347" s="96"/>
      <c r="Q347" s="159">
        <f>IFERROR(INDEX('Non-Labor Expenditures'!$F$7:$AB$91,MATCH($C347,'Non-Labor Expenditures'!$D$7:$D$91,0),MATCH($G347,'Non-Labor Expenditures'!$F$5:$AB$5,0)),"NA")</f>
        <v>43609.977079846969</v>
      </c>
      <c r="R347" s="159">
        <f t="shared" si="643"/>
        <v>404.72920975069343</v>
      </c>
      <c r="S347" s="165">
        <f t="shared" si="654"/>
        <v>0.19116913679096281</v>
      </c>
      <c r="T347" s="165">
        <f t="shared" si="655"/>
        <v>1.836421096074475E-3</v>
      </c>
      <c r="U347" s="165"/>
      <c r="V347" s="165"/>
      <c r="W347" s="159">
        <f t="shared" si="624"/>
        <v>40022.067514407798</v>
      </c>
      <c r="X347" s="163"/>
      <c r="Y347" s="167">
        <v>2110.8686429227355</v>
      </c>
      <c r="Z347" s="168">
        <v>1.7350859970359282E-2</v>
      </c>
      <c r="AA347" s="76">
        <f t="shared" si="644"/>
        <v>1.6667693237242369E-4</v>
      </c>
      <c r="AB347" s="168"/>
      <c r="AC347" s="168"/>
      <c r="AD347" s="163">
        <f t="shared" si="577"/>
        <v>113745.54780784402</v>
      </c>
      <c r="AE347" s="168">
        <f t="shared" si="656"/>
        <v>0.10106968711160973</v>
      </c>
      <c r="AF347" s="163"/>
      <c r="AG347" s="163"/>
      <c r="AH347" s="163"/>
      <c r="AI347" s="163"/>
      <c r="AJ347" s="116">
        <f t="shared" si="657"/>
        <v>645.25497962244174</v>
      </c>
      <c r="AK347" s="114">
        <f>+AV347/$AX$22</f>
        <v>4.7607771593316632E-3</v>
      </c>
      <c r="AL347" s="115">
        <f t="shared" si="645"/>
        <v>0.26474445632334975</v>
      </c>
      <c r="AM347" s="115">
        <f t="shared" si="646"/>
        <v>0.3833994201998962</v>
      </c>
      <c r="AN347" s="115">
        <f t="shared" si="647"/>
        <v>0.35185612347675405</v>
      </c>
      <c r="AO347" s="115">
        <f t="shared" si="649"/>
        <v>0.1225977686144375</v>
      </c>
      <c r="AP347" s="166">
        <f t="shared" si="661"/>
        <v>135.24153119181364</v>
      </c>
      <c r="AQ347" s="168">
        <f t="shared" si="662"/>
        <v>0.12259776861443743</v>
      </c>
      <c r="AR347" s="69">
        <f>+AD347/$AF$22</f>
        <v>9.6062634738082291E-3</v>
      </c>
      <c r="AS347" s="169">
        <f t="shared" si="660"/>
        <v>1.1777064666112632E-3</v>
      </c>
      <c r="AT347" s="115"/>
      <c r="AU347" s="115"/>
      <c r="AV347" s="113">
        <f>IFERROR(INDEX('Total Customers'!$F$7:$AB$91,MATCH($C347,'Total Customers'!$D$7:$D$91,0),MATCH($G347,'Total Customers'!$F$5:$AB$5,0)),"NA")</f>
        <v>176280</v>
      </c>
      <c r="AW347" s="68">
        <f t="shared" si="619"/>
        <v>1.0469866741598038E-2</v>
      </c>
      <c r="AX347" s="114"/>
      <c r="AY347" s="114"/>
      <c r="AZ347" s="116">
        <v>8824403</v>
      </c>
      <c r="BA347" s="116"/>
      <c r="BB347" s="166"/>
      <c r="BC347" s="166"/>
      <c r="BD347" s="166"/>
      <c r="BE347" s="166"/>
      <c r="BF347" s="166"/>
      <c r="BG347" s="166"/>
      <c r="BH347" s="166"/>
      <c r="BI347" s="113"/>
      <c r="BJ347" s="113"/>
      <c r="BK347" s="113">
        <f>INDEX('Dist. Plant Gas Additions'!$F$7:$AE$91,MATCH($C347,'Dist. Plant Gas Additions'!$D$7:$D$91,0),MATCH(Calculation!$G347,'Dist. Plant Gas Additions'!$F$5:$AE$5,0))</f>
        <v>36900</v>
      </c>
      <c r="BL347" s="113">
        <f>INDEX('Gen. Plant Additions'!$F$7:$AE$91,MATCH($C347,'Gen. Plant Additions'!$D$7:$D$91,0),MATCH(Calculation!$G347,'Gen. Plant Additions'!$F$5:$AE$5,0))</f>
        <v>2273</v>
      </c>
      <c r="BM347" s="231">
        <f t="shared" si="625"/>
        <v>0.93799030502179392</v>
      </c>
      <c r="BN347" s="61">
        <f t="shared" si="663"/>
        <v>2132.0519633145377</v>
      </c>
      <c r="BO347" s="113">
        <f>INDEX('Dist Plant Depreciation'!$E$7:$AD$94,MATCH($C347,'Dist Plant Depreciation'!$D$7:$D$94,0),MATCH(Calculation!$G347,'Dist Plant Depreciation'!$E$5:$AD$5,0))</f>
        <v>449483</v>
      </c>
      <c r="BP347" s="113">
        <f>INDEX('Gen. Plant Depreciation'!$E$7:$AD$94,MATCH($C347,'Gen. Plant Depreciation'!$D$7:$D$94,0),MATCH(Calculation!$G347,'Gen. Plant Depreciation'!$E$5:$AD$5,0))</f>
        <v>22431</v>
      </c>
      <c r="BQ347" s="113"/>
      <c r="BR347" s="113"/>
      <c r="BS347" s="113"/>
      <c r="BT347" s="113"/>
      <c r="BU347" s="113"/>
      <c r="BV347" s="113"/>
      <c r="BW347" s="113">
        <f>INDEX('Gross Dx Plant'!$E$7:$AD$91,MATCH($C347,'Gross Dx Plant'!$D$7:$D$91,0),MATCH(Calculation!$G347,'Gross Dx Plant'!$E$5:$AD$5,0))</f>
        <v>806122</v>
      </c>
      <c r="BX347" s="113">
        <f>INDEX('Gross Gen Plant'!$E$7:$AD$91,MATCH($C347,'Gross Gen Plant'!$D$7:$D$91,0),MATCH(Calculation!$G347,'Gross Gen Plant'!$E$5:$AD$5,0))</f>
        <v>53292</v>
      </c>
      <c r="BY347" s="113">
        <f t="shared" si="623"/>
        <v>387500</v>
      </c>
      <c r="BZ347" s="113"/>
      <c r="CA347" s="116">
        <v>2017</v>
      </c>
      <c r="CB347" s="113"/>
      <c r="CC347" s="113"/>
      <c r="CD347" s="113"/>
      <c r="CE347" s="175"/>
      <c r="CF347" s="113">
        <f t="shared" si="626"/>
        <v>39173</v>
      </c>
      <c r="CG347" s="113">
        <f t="shared" si="627"/>
        <v>54.985160472406356</v>
      </c>
      <c r="CH347" s="178">
        <v>0.87074829931972786</v>
      </c>
      <c r="CI347" s="61">
        <f>+CI328*CH347+CG329*CH346+CG330*CH345+CG331*CH344+CG332*CH343+CG333*CH342+CG334*CH341+CG335*CH340+CG336*CH339+CG337*CH338+CG338*CH337+CG339*CH336+CG340*CH335+CG341*CH334+CG342*CH333+CG343*CH332+CG344*CH331+CG345*CH330+CG346*CH329+CG347</f>
        <v>2110.8686429227355</v>
      </c>
      <c r="CJ347" s="114">
        <f t="shared" si="628"/>
        <v>1.7350859970359282E-2</v>
      </c>
      <c r="CK347" s="114"/>
      <c r="CL347" s="169">
        <f t="shared" si="629"/>
        <v>9.0022428604998768E-3</v>
      </c>
      <c r="CM347" s="169">
        <f t="shared" si="637"/>
        <v>8.7527976792879398E-3</v>
      </c>
      <c r="CN347" s="114">
        <f>VLOOKUP($H347,RoR!$E:$F,2,FALSE)</f>
        <v>3.7433333333333339E-2</v>
      </c>
      <c r="CO347" s="169">
        <v>1.9056896421275615E-2</v>
      </c>
      <c r="CP347" s="169">
        <f t="shared" si="635"/>
        <v>1.8376436912057724E-2</v>
      </c>
      <c r="CQ347" s="169">
        <f t="shared" si="638"/>
        <v>2.2149143929245683E-2</v>
      </c>
      <c r="CR347" s="169">
        <f t="shared" si="639"/>
        <v>1.3976271617800498E-2</v>
      </c>
      <c r="CS347" s="179">
        <f t="shared" si="630"/>
        <v>0.90305999999999997</v>
      </c>
      <c r="CT347" s="180">
        <f t="shared" si="631"/>
        <v>1.3699568463593395</v>
      </c>
      <c r="CU347" s="180">
        <f t="shared" si="632"/>
        <v>0.30714603739982199</v>
      </c>
      <c r="CV347" s="180">
        <f t="shared" si="633"/>
        <v>0.77007188472689425</v>
      </c>
      <c r="CW347" s="180">
        <f t="shared" si="634"/>
        <v>0.32402839633793828</v>
      </c>
      <c r="CX347" s="181">
        <f>INDEX('State Tax Lookup'!$D$7:$Z$91,MATCH(Calculation!$C347,'State Tax Lookup'!$B$7:$B$91,0),MATCH($H347,'State Tax Lookup'!$D$6:$Z$6,0))</f>
        <v>0.26200000000000001</v>
      </c>
      <c r="CY347" s="72">
        <v>0.37</v>
      </c>
      <c r="CZ347" s="70">
        <f t="shared" si="636"/>
        <v>19.291841916834905</v>
      </c>
      <c r="DA347" s="70">
        <v>18.231812616449311</v>
      </c>
      <c r="DB347" s="69">
        <f t="shared" si="640"/>
        <v>-0.10394825808274719</v>
      </c>
      <c r="DC347" s="111">
        <f>VLOOKUP($H347,RoR!$E:$F,2,FALSE)</f>
        <v>3.7433333333333339E-2</v>
      </c>
      <c r="DD347" s="216">
        <f>HLOOKUP($H347,'GDP-PI'!$D$8:$CQ$11,3,FALSE)</f>
        <v>1.9056896421275615E-2</v>
      </c>
      <c r="DE347" s="111">
        <f>VLOOKUP(H347,'HW Dx Data'!$E:$F,2,FALSE)</f>
        <v>712.42858370229726</v>
      </c>
      <c r="DF347" s="72">
        <f t="shared" si="650"/>
        <v>140.44999999999999</v>
      </c>
      <c r="DG347" s="69">
        <f t="shared" si="651"/>
        <v>2.5235657841165486E-2</v>
      </c>
      <c r="DH347" s="66">
        <f>HLOOKUP(H347,'GDP-PI'!$8:$9,2,FALSE)</f>
        <v>107.751</v>
      </c>
      <c r="DI347" s="69">
        <f t="shared" si="641"/>
        <v>1.8877588227745139E-2</v>
      </c>
      <c r="EB347"/>
    </row>
    <row r="348" spans="1:132" s="160" customFormat="1" ht="21">
      <c r="A348" s="160" t="s">
        <v>180</v>
      </c>
      <c r="B348" s="161" t="s">
        <v>180</v>
      </c>
      <c r="C348" s="161">
        <v>4059402</v>
      </c>
      <c r="D348" s="161" t="s">
        <v>181</v>
      </c>
      <c r="E348" s="161" t="s">
        <v>3</v>
      </c>
      <c r="F348" s="161"/>
      <c r="G348" s="161" t="s">
        <v>136</v>
      </c>
      <c r="H348" s="162">
        <v>2018</v>
      </c>
      <c r="I348" s="163"/>
      <c r="J348" s="159">
        <f>IFERROR(INDEX('Labor Expenditures'!$F$7:$X$91,MATCH($C348,'Labor Expenditures'!$D$7:$D$91,0),MATCH($G348,'Labor Expenditures'!$F$5:$X$5,0)),"NA")</f>
        <v>25752.298428012698</v>
      </c>
      <c r="K348" s="159">
        <f t="shared" si="642"/>
        <v>178.27828610600693</v>
      </c>
      <c r="L348" s="165">
        <f t="shared" si="648"/>
        <v>-0.1845316738011413</v>
      </c>
      <c r="M348" s="76">
        <f t="shared" si="652"/>
        <v>-1.514319770572603E-3</v>
      </c>
      <c r="N348" s="62">
        <f t="shared" si="659"/>
        <v>114.23851744704434</v>
      </c>
      <c r="O348" s="96">
        <f t="shared" si="653"/>
        <v>-0.37176116239262841</v>
      </c>
      <c r="P348" s="96"/>
      <c r="Q348" s="159">
        <f>IFERROR(INDEX('Non-Labor Expenditures'!$F$7:$AB$91,MATCH($C348,'Non-Labor Expenditures'!$D$7:$D$91,0),MATCH($G348,'Non-Labor Expenditures'!$F$5:$AB$5,0)),"NA")</f>
        <v>37294.137989638271</v>
      </c>
      <c r="R348" s="159">
        <f t="shared" si="643"/>
        <v>338.04805922334867</v>
      </c>
      <c r="S348" s="165">
        <f t="shared" si="654"/>
        <v>-0.18003015315565829</v>
      </c>
      <c r="T348" s="165">
        <f t="shared" si="655"/>
        <v>-1.4773790027863547E-3</v>
      </c>
      <c r="U348" s="165"/>
      <c r="V348" s="165"/>
      <c r="W348" s="159">
        <f t="shared" si="624"/>
        <v>42573.114935641446</v>
      </c>
      <c r="X348" s="163"/>
      <c r="Y348" s="167">
        <v>2149.4580070445463</v>
      </c>
      <c r="Z348" s="168">
        <v>1.8116178731206179E-2</v>
      </c>
      <c r="AA348" s="76">
        <f t="shared" si="644"/>
        <v>1.4866655168074857E-4</v>
      </c>
      <c r="AB348" s="168"/>
      <c r="AC348" s="168"/>
      <c r="AD348" s="163">
        <f t="shared" si="577"/>
        <v>105619.55135329242</v>
      </c>
      <c r="AE348" s="168">
        <f t="shared" si="656"/>
        <v>-7.4120417388347209E-2</v>
      </c>
      <c r="AF348" s="163"/>
      <c r="AG348" s="163"/>
      <c r="AH348" s="163"/>
      <c r="AI348" s="163"/>
      <c r="AJ348" s="116">
        <f t="shared" si="657"/>
        <v>592.87531352186056</v>
      </c>
      <c r="AK348" s="114">
        <f>+AV348/$AX$23</f>
        <v>4.7690899323126965E-3</v>
      </c>
      <c r="AL348" s="115">
        <f t="shared" si="645"/>
        <v>0.24382131999285314</v>
      </c>
      <c r="AM348" s="115">
        <f t="shared" si="646"/>
        <v>0.35309881089052475</v>
      </c>
      <c r="AN348" s="115">
        <f t="shared" si="647"/>
        <v>0.40307986911662202</v>
      </c>
      <c r="AO348" s="115">
        <f t="shared" si="649"/>
        <v>-0.10638091395562176</v>
      </c>
      <c r="AP348" s="166">
        <f t="shared" si="661"/>
        <v>121.59324121252628</v>
      </c>
      <c r="AQ348" s="168">
        <f t="shared" si="662"/>
        <v>-0.10638091395562171</v>
      </c>
      <c r="AR348" s="69">
        <f>+AD348/$AF$23</f>
        <v>8.2062864297459005E-3</v>
      </c>
      <c r="AS348" s="169">
        <f t="shared" si="660"/>
        <v>-8.7299225057798475E-4</v>
      </c>
      <c r="AT348" s="115"/>
      <c r="AU348" s="115"/>
      <c r="AV348" s="113">
        <f>IFERROR(INDEX('Total Customers'!$F$7:$AB$91,MATCH($C348,'Total Customers'!$D$7:$D$91,0),MATCH($G348,'Total Customers'!$F$5:$AB$5,0)),"NA")</f>
        <v>178148</v>
      </c>
      <c r="AW348" s="68">
        <f t="shared" si="619"/>
        <v>1.0541025520514204E-2</v>
      </c>
      <c r="AX348" s="114"/>
      <c r="AY348" s="114"/>
      <c r="AZ348" s="116">
        <v>8911356</v>
      </c>
      <c r="BA348" s="116"/>
      <c r="BB348" s="166"/>
      <c r="BC348" s="166"/>
      <c r="BD348" s="166"/>
      <c r="BE348" s="166"/>
      <c r="BF348" s="166"/>
      <c r="BG348" s="166"/>
      <c r="BH348" s="166"/>
      <c r="BI348" s="113"/>
      <c r="BJ348" s="113"/>
      <c r="BK348" s="113">
        <f>INDEX('Dist. Plant Gas Additions'!$F$7:$AE$91,MATCH($C348,'Dist. Plant Gas Additions'!$D$7:$D$91,0),MATCH(Calculation!$G348,'Dist. Plant Gas Additions'!$F$5:$AE$5,0))</f>
        <v>41115</v>
      </c>
      <c r="BL348" s="113">
        <f>INDEX('Gen. Plant Additions'!$F$7:$AE$91,MATCH($C348,'Gen. Plant Additions'!$D$7:$D$91,0),MATCH(Calculation!$G348,'Gen. Plant Additions'!$F$5:$AE$5,0))</f>
        <v>2894</v>
      </c>
      <c r="BM348" s="231">
        <f t="shared" si="625"/>
        <v>0.936716339817115</v>
      </c>
      <c r="BN348" s="61">
        <f t="shared" si="663"/>
        <v>2710.8570874307306</v>
      </c>
      <c r="BO348" s="113">
        <f>INDEX('Dist Plant Depreciation'!$E$7:$AD$94,MATCH($C348,'Dist Plant Depreciation'!$D$7:$D$94,0),MATCH(Calculation!$G348,'Dist Plant Depreciation'!$E$5:$AD$5,0))</f>
        <v>460098</v>
      </c>
      <c r="BP348" s="113">
        <f>INDEX('Gen. Plant Depreciation'!$E$7:$AD$94,MATCH($C348,'Gen. Plant Depreciation'!$D$7:$D$94,0),MATCH(Calculation!$G348,'Gen. Plant Depreciation'!$E$5:$AD$5,0))</f>
        <v>23909</v>
      </c>
      <c r="BQ348" s="113"/>
      <c r="BR348" s="113"/>
      <c r="BS348" s="113"/>
      <c r="BT348" s="113"/>
      <c r="BU348" s="113"/>
      <c r="BV348" s="113"/>
      <c r="BW348" s="113">
        <f>INDEX('Gross Dx Plant'!$E$7:$AD$91,MATCH($C348,'Gross Dx Plant'!$D$7:$D$91,0),MATCH(Calculation!$G348,'Gross Dx Plant'!$E$5:$AD$5,0))</f>
        <v>845009</v>
      </c>
      <c r="BX348" s="113">
        <f>INDEX('Gross Gen Plant'!$E$7:$AD$91,MATCH($C348,'Gross Gen Plant'!$D$7:$D$91,0),MATCH(Calculation!$G348,'Gross Gen Plant'!$E$5:$AD$5,0))</f>
        <v>57088</v>
      </c>
      <c r="BY348" s="113">
        <f t="shared" si="623"/>
        <v>418090</v>
      </c>
      <c r="BZ348" s="113"/>
      <c r="CA348" s="116">
        <v>2018</v>
      </c>
      <c r="CB348" s="113"/>
      <c r="CC348" s="113"/>
      <c r="CD348" s="113"/>
      <c r="CE348" s="175"/>
      <c r="CF348" s="113">
        <f t="shared" si="626"/>
        <v>44009</v>
      </c>
      <c r="CG348" s="113">
        <f t="shared" si="627"/>
        <v>58.279513052629923</v>
      </c>
      <c r="CH348" s="178">
        <v>0.86111111111111116</v>
      </c>
      <c r="CI348" s="61">
        <f>+CI328*CH348++CG329*CH347+CG330*CH346+CG331*CH345+CG332*CH344+CG333*CH343+CG334*CH342+CG335*CH341+CG336*CH340+CG337*CH339+CG338*CH338+CG339*CH337+CG340*CH336+CG341*CH335+CG342*CH334+CG343*CH333+CG344*CH332+CG345*CH331+CG346*CH330+CG347*CH329+CG348</f>
        <v>2149.4580070445463</v>
      </c>
      <c r="CJ348" s="114">
        <f t="shared" si="628"/>
        <v>1.8116178731206179E-2</v>
      </c>
      <c r="CK348" s="114"/>
      <c r="CL348" s="169">
        <f t="shared" si="629"/>
        <v>9.3279840016742398E-3</v>
      </c>
      <c r="CM348" s="169">
        <f t="shared" si="637"/>
        <v>9.0245454523105867E-3</v>
      </c>
      <c r="CN348" s="114">
        <f>VLOOKUP($H348,RoR!$E:$F,2,FALSE)</f>
        <v>3.9299999999999995E-2</v>
      </c>
      <c r="CO348" s="169">
        <v>2.386056741932796E-2</v>
      </c>
      <c r="CP348" s="169">
        <f t="shared" si="635"/>
        <v>1.5439432580672034E-2</v>
      </c>
      <c r="CQ348" s="169">
        <f t="shared" si="638"/>
        <v>2.1877396156223038E-2</v>
      </c>
      <c r="CR348" s="169">
        <f t="shared" si="639"/>
        <v>3.8270792163076606E-2</v>
      </c>
      <c r="CS348" s="179">
        <f t="shared" si="630"/>
        <v>0.90305999999999997</v>
      </c>
      <c r="CT348" s="180">
        <f t="shared" si="631"/>
        <v>1.3048868010700074</v>
      </c>
      <c r="CU348" s="180">
        <f t="shared" si="632"/>
        <v>0.33886768447837151</v>
      </c>
      <c r="CV348" s="180">
        <f t="shared" si="633"/>
        <v>0.78602506232557801</v>
      </c>
      <c r="CW348" s="180">
        <f t="shared" si="634"/>
        <v>0.34756768162358759</v>
      </c>
      <c r="CX348" s="181">
        <f>INDEX('State Tax Lookup'!$D$7:$Z$91,MATCH(Calculation!$C348,'State Tax Lookup'!$B$7:$B$91,0),MATCH($H348,'State Tax Lookup'!$D$6:$Z$6,0))</f>
        <v>0.26200000000000001</v>
      </c>
      <c r="CY348" s="72">
        <v>0.37</v>
      </c>
      <c r="CZ348" s="70">
        <f t="shared" si="636"/>
        <v>20.168528761076374</v>
      </c>
      <c r="DA348" s="70">
        <v>19.050901628905343</v>
      </c>
      <c r="DB348" s="69">
        <f t="shared" si="640"/>
        <v>4.4441099427024795E-2</v>
      </c>
      <c r="DC348" s="111">
        <f>VLOOKUP($H348,RoR!$E:$F,2,FALSE)</f>
        <v>3.9299999999999995E-2</v>
      </c>
      <c r="DD348" s="216">
        <f>HLOOKUP($H348,'GDP-PI'!$D$8:$CQ$11,3,FALSE)</f>
        <v>2.386056741932796E-2</v>
      </c>
      <c r="DE348" s="111">
        <f>VLOOKUP(H348,'HW Dx Data'!$E:$F,2,FALSE)</f>
        <v>755.13671434174842</v>
      </c>
      <c r="DF348" s="72">
        <f t="shared" si="650"/>
        <v>144.44999999999999</v>
      </c>
      <c r="DG348" s="69">
        <f t="shared" si="651"/>
        <v>2.80818733619915E-2</v>
      </c>
      <c r="DH348" s="66">
        <f>HLOOKUP(H348,'GDP-PI'!$8:$9,2,FALSE)</f>
        <v>110.322</v>
      </c>
      <c r="DI348" s="69">
        <f t="shared" si="641"/>
        <v>2.3580352716508712E-2</v>
      </c>
      <c r="EB348"/>
    </row>
    <row r="349" spans="1:132" s="160" customFormat="1" ht="21">
      <c r="A349" s="160" t="s">
        <v>180</v>
      </c>
      <c r="B349" s="161" t="s">
        <v>180</v>
      </c>
      <c r="C349" s="161">
        <v>4059402</v>
      </c>
      <c r="D349" s="161" t="s">
        <v>181</v>
      </c>
      <c r="E349" s="161" t="s">
        <v>3</v>
      </c>
      <c r="F349" s="161"/>
      <c r="G349" s="161" t="s">
        <v>140</v>
      </c>
      <c r="H349" s="162">
        <v>2019</v>
      </c>
      <c r="I349" s="163"/>
      <c r="J349" s="159">
        <v>25752</v>
      </c>
      <c r="K349" s="159">
        <f t="shared" si="642"/>
        <v>172.05278102555536</v>
      </c>
      <c r="L349" s="165">
        <f t="shared" si="648"/>
        <v>-3.5544438369330869E-2</v>
      </c>
      <c r="M349" s="76">
        <f t="shared" si="652"/>
        <v>-2.8609603198258407E-4</v>
      </c>
      <c r="N349" s="62">
        <f t="shared" si="659"/>
        <v>114.58157470252704</v>
      </c>
      <c r="O349" s="96">
        <f t="shared" si="653"/>
        <v>2.9984911665240383E-3</v>
      </c>
      <c r="P349" s="96"/>
      <c r="Q349" s="159">
        <v>37294</v>
      </c>
      <c r="R349" s="159">
        <f t="shared" si="643"/>
        <v>332.03938816574367</v>
      </c>
      <c r="S349" s="165">
        <f t="shared" si="654"/>
        <v>-1.7934471493848102E-2</v>
      </c>
      <c r="T349" s="165">
        <f t="shared" si="655"/>
        <v>-1.4435397956722026E-4</v>
      </c>
      <c r="U349" s="165"/>
      <c r="V349" s="165"/>
      <c r="W349" s="159">
        <f t="shared" si="624"/>
        <v>43758.513521918772</v>
      </c>
      <c r="X349" s="163"/>
      <c r="Y349" s="167">
        <v>2193.3639888487255</v>
      </c>
      <c r="Z349" s="168">
        <v>2.0220712637306067E-2</v>
      </c>
      <c r="AA349" s="76">
        <f t="shared" si="644"/>
        <v>1.6275586040444907E-4</v>
      </c>
      <c r="AB349" s="168"/>
      <c r="AC349" s="168"/>
      <c r="AD349" s="163">
        <f t="shared" si="577"/>
        <v>106804.51352191877</v>
      </c>
      <c r="AE349" s="168">
        <f t="shared" si="656"/>
        <v>1.1156687548396703E-2</v>
      </c>
      <c r="AF349" s="163"/>
      <c r="AG349" s="163"/>
      <c r="AH349" s="163"/>
      <c r="AI349" s="163"/>
      <c r="AJ349" s="116">
        <f t="shared" si="657"/>
        <v>593.95566387266501</v>
      </c>
      <c r="AK349" s="114">
        <f>+AV349/$AX$24</f>
        <v>4.7741227620113121E-3</v>
      </c>
      <c r="AL349" s="115">
        <f t="shared" si="645"/>
        <v>0.24111340570560336</v>
      </c>
      <c r="AM349" s="115">
        <f t="shared" si="646"/>
        <v>0.34917999970428598</v>
      </c>
      <c r="AN349" s="115">
        <f t="shared" si="647"/>
        <v>0.40970659459011072</v>
      </c>
      <c r="AO349" s="115">
        <f t="shared" si="649"/>
        <v>-6.6983051309886521E-3</v>
      </c>
      <c r="AP349" s="166">
        <f t="shared" si="661"/>
        <v>120.7814942804107</v>
      </c>
      <c r="AQ349" s="168">
        <f t="shared" si="662"/>
        <v>-6.6983051309886521E-3</v>
      </c>
      <c r="AR349" s="69">
        <f>+AD349/$AF$24</f>
        <v>8.0489675771453148E-3</v>
      </c>
      <c r="AS349" s="169">
        <f t="shared" si="660"/>
        <v>-5.3914440821153762E-5</v>
      </c>
      <c r="AT349" s="115"/>
      <c r="AU349" s="115"/>
      <c r="AV349" s="113">
        <f>IFERROR(INDEX('Total Customers'!$F$7:$AB$91,MATCH($C349,'Total Customers'!$D$7:$D$91,0),MATCH($G349,'Total Customers'!$F$5:$AB$5,0)),"NA")</f>
        <v>179819</v>
      </c>
      <c r="AW349" s="68">
        <f t="shared" si="619"/>
        <v>9.336123930191096E-3</v>
      </c>
      <c r="AX349" s="114"/>
      <c r="AY349" s="114"/>
      <c r="AZ349" s="116">
        <v>8963640</v>
      </c>
      <c r="BA349" s="116"/>
      <c r="BB349" s="166"/>
      <c r="BC349" s="166"/>
      <c r="BD349" s="166"/>
      <c r="BE349" s="166"/>
      <c r="BF349" s="166"/>
      <c r="BG349" s="166"/>
      <c r="BH349" s="166"/>
      <c r="BI349" s="113"/>
      <c r="BJ349" s="113"/>
      <c r="BK349" s="113">
        <f>INDEX('Dist. Plant Gas Additions'!$F$7:$AE$91,MATCH($C349,'Dist. Plant Gas Additions'!$D$7:$D$91,0),MATCH(Calculation!$G349,'Dist. Plant Gas Additions'!$F$5:$AE$5,0))</f>
        <v>43649</v>
      </c>
      <c r="BL349" s="113">
        <f>INDEX('Gen. Plant Additions'!$F$7:$AE$91,MATCH($C349,'Gen. Plant Additions'!$D$7:$D$91,0),MATCH(Calculation!$G349,'Gen. Plant Additions'!$F$5:$AE$5,0))</f>
        <v>6384</v>
      </c>
      <c r="BM349" s="231">
        <f t="shared" si="625"/>
        <v>0.93528934576359268</v>
      </c>
      <c r="BN349" s="61">
        <f t="shared" si="663"/>
        <v>5970.8871833547755</v>
      </c>
      <c r="BO349" s="113">
        <f>INDEX('Dist Plant Depreciation'!$E$7:$AD$94,MATCH($C349,'Dist Plant Depreciation'!$D$7:$D$94,0),MATCH(Calculation!$G349,'Dist Plant Depreciation'!$E$5:$AD$5,0))</f>
        <v>486016</v>
      </c>
      <c r="BP349" s="113">
        <f>INDEX('Gen. Plant Depreciation'!$E$7:$AD$94,MATCH($C349,'Gen. Plant Depreciation'!$D$7:$D$94,0),MATCH(Calculation!$G349,'Gen. Plant Depreciation'!$E$5:$AD$5,0))</f>
        <v>24618</v>
      </c>
      <c r="BQ349" s="113"/>
      <c r="BR349" s="113"/>
      <c r="BS349" s="113"/>
      <c r="BT349" s="113"/>
      <c r="BU349" s="113"/>
      <c r="BV349" s="113"/>
      <c r="BW349" s="113">
        <f>INDEX('Gross Dx Plant'!$E$7:$AD$91,MATCH($C349,'Gross Dx Plant'!$D$7:$D$91,0),MATCH(Calculation!$G349,'Gross Dx Plant'!$E$5:$AD$5,0))</f>
        <v>885459</v>
      </c>
      <c r="BX349" s="113">
        <f>INDEX('Gross Gen Plant'!$E$7:$AD$91,MATCH($C349,'Gross Gen Plant'!$D$7:$D$91,0),MATCH(Calculation!$G349,'Gross Gen Plant'!$E$5:$AD$5,0))</f>
        <v>61263</v>
      </c>
      <c r="BY349" s="113">
        <f t="shared" si="623"/>
        <v>436088</v>
      </c>
      <c r="BZ349" s="113"/>
      <c r="CA349" s="116">
        <v>2019</v>
      </c>
      <c r="CB349" s="113"/>
      <c r="CC349" s="113"/>
      <c r="CD349" s="113"/>
      <c r="CE349" s="175"/>
      <c r="CF349" s="113">
        <f t="shared" si="626"/>
        <v>50033</v>
      </c>
      <c r="CG349" s="113">
        <f t="shared" si="627"/>
        <v>64.68061820941962</v>
      </c>
      <c r="CH349" s="178">
        <v>0.85106382978723405</v>
      </c>
      <c r="CI349" s="61">
        <f>CI328*CH349+CG329*CH348+CG330*CH347+CG331*CH346+CG332*CH345+CG333*CH344+CG334*CH343+CG335*CH342+CG336*CH341+CG337*CH340+CG338*CH339+CG339*CH338+CG340*CH337+CG341*CH336+CG342*CH335+CG343*CH334+CG344*CH333+CG345*CH332+CG346*CH331+CG347*CH330+CG348*CH329+CG349</f>
        <v>2193.3639888487255</v>
      </c>
      <c r="CJ349" s="114">
        <f t="shared" si="628"/>
        <v>2.0220712637306067E-2</v>
      </c>
      <c r="CK349" s="114"/>
      <c r="CL349" s="169">
        <f t="shared" si="629"/>
        <v>9.6650580458676003E-3</v>
      </c>
      <c r="CM349" s="169">
        <f t="shared" si="637"/>
        <v>9.3317616360139057E-3</v>
      </c>
      <c r="CN349" s="114">
        <f>VLOOKUP($H349,RoR!$E:$F,2,FALSE)</f>
        <v>3.3875000000000009E-2</v>
      </c>
      <c r="CO349" s="169">
        <v>1.8092492884465461E-2</v>
      </c>
      <c r="CP349" s="169">
        <f t="shared" si="635"/>
        <v>1.5782507115534548E-2</v>
      </c>
      <c r="CQ349" s="169">
        <f t="shared" si="638"/>
        <v>2.1570179972519719E-2</v>
      </c>
      <c r="CR349" s="169">
        <f t="shared" si="639"/>
        <v>4.8445665544254078E-2</v>
      </c>
      <c r="CS349" s="179">
        <f t="shared" si="630"/>
        <v>0.90305999999999997</v>
      </c>
      <c r="CT349" s="180">
        <f t="shared" si="631"/>
        <v>1.513861292459078</v>
      </c>
      <c r="CU349" s="180">
        <f t="shared" si="632"/>
        <v>0.23699261992619944</v>
      </c>
      <c r="CV349" s="180">
        <f t="shared" si="633"/>
        <v>0.73619765810468829</v>
      </c>
      <c r="CW349" s="180">
        <f t="shared" si="634"/>
        <v>0.26412854465362851</v>
      </c>
      <c r="CX349" s="181">
        <f>INDEX('State Tax Lookup'!$D$7:$Z$91,MATCH(Calculation!$C349,'State Tax Lookup'!$B$7:$B$91,0),MATCH($H349,'State Tax Lookup'!$D$6:$Z$6,0))</f>
        <v>0.26200000000000001</v>
      </c>
      <c r="CY349" s="72">
        <v>0.37</v>
      </c>
      <c r="CZ349" s="70">
        <f t="shared" si="636"/>
        <v>20.357929012107423</v>
      </c>
      <c r="DA349" s="70">
        <v>19.236104090735289</v>
      </c>
      <c r="DB349" s="69">
        <f t="shared" si="640"/>
        <v>9.3470606803072384E-3</v>
      </c>
      <c r="DC349" s="111">
        <f>VLOOKUP($H349,RoR!$E:$F,2,FALSE)</f>
        <v>3.3875000000000009E-2</v>
      </c>
      <c r="DD349" s="216">
        <f>HLOOKUP($H349,'GDP-PI'!$D$8:$CQ$11,3,FALSE)</f>
        <v>1.8092492884465461E-2</v>
      </c>
      <c r="DE349" s="111">
        <f>VLOOKUP(H349,'HW Dx Data'!$E:$F,2,FALSE)</f>
        <v>773.53929793938721</v>
      </c>
      <c r="DF349" s="72">
        <f t="shared" si="650"/>
        <v>149.67500000000001</v>
      </c>
      <c r="DG349" s="69">
        <f t="shared" si="651"/>
        <v>3.5532849899171604E-2</v>
      </c>
      <c r="DH349" s="66">
        <f>HLOOKUP(H349,'GDP-PI'!$8:$9,2,FALSE)</f>
        <v>112.318</v>
      </c>
      <c r="DI349" s="69">
        <f t="shared" si="641"/>
        <v>1.7930771451401852E-2</v>
      </c>
      <c r="EB349"/>
    </row>
    <row r="350" spans="1:132" s="160" customFormat="1" ht="21">
      <c r="A350" s="160" t="s">
        <v>180</v>
      </c>
      <c r="B350" s="160" t="s">
        <v>180</v>
      </c>
      <c r="C350" s="160">
        <v>4059402</v>
      </c>
      <c r="D350" s="160" t="s">
        <v>181</v>
      </c>
      <c r="E350" s="160" t="s">
        <v>3</v>
      </c>
      <c r="G350" s="161" t="s">
        <v>141</v>
      </c>
      <c r="H350" s="162">
        <v>2020</v>
      </c>
      <c r="I350" s="163"/>
      <c r="J350" s="159">
        <v>25752</v>
      </c>
      <c r="K350" s="159">
        <f t="shared" si="642"/>
        <v>168.1488736532811</v>
      </c>
      <c r="L350" s="165">
        <f t="shared" si="648"/>
        <v>-2.2951556467368461E-2</v>
      </c>
      <c r="M350" s="76">
        <f t="shared" si="652"/>
        <v>-1.8336117389491536E-4</v>
      </c>
      <c r="N350" s="62">
        <f t="shared" si="659"/>
        <v>113.32346813695847</v>
      </c>
      <c r="O350" s="96">
        <f t="shared" si="653"/>
        <v>-1.1040732841194733E-2</v>
      </c>
      <c r="P350" s="96"/>
      <c r="Q350" s="159">
        <v>37294</v>
      </c>
      <c r="R350" s="159">
        <f t="shared" si="643"/>
        <v>328.22579935400404</v>
      </c>
      <c r="S350" s="165">
        <f t="shared" si="654"/>
        <v>-1.1551816731392739E-2</v>
      </c>
      <c r="T350" s="165">
        <f t="shared" si="655"/>
        <v>-9.228806244572556E-5</v>
      </c>
      <c r="U350" s="165"/>
      <c r="V350" s="165"/>
      <c r="W350" s="159">
        <f t="shared" si="624"/>
        <v>46219.366073924786</v>
      </c>
      <c r="X350" s="163"/>
      <c r="Y350" s="167">
        <v>2222.8327558543551</v>
      </c>
      <c r="Z350" s="168">
        <v>1.3345965367878399E-2</v>
      </c>
      <c r="AA350" s="76">
        <f t="shared" si="644"/>
        <v>1.0662160886972074E-4</v>
      </c>
      <c r="AB350" s="168"/>
      <c r="AC350" s="168"/>
      <c r="AD350" s="163">
        <f t="shared" si="577"/>
        <v>109265.36607392479</v>
      </c>
      <c r="AE350" s="168">
        <f t="shared" si="656"/>
        <v>2.2779287573285276E-2</v>
      </c>
      <c r="AF350" s="163"/>
      <c r="AG350" s="163"/>
      <c r="AH350" s="163"/>
      <c r="AI350" s="163"/>
      <c r="AJ350" s="116">
        <f t="shared" si="657"/>
        <v>598.62249120093782</v>
      </c>
      <c r="AK350" s="114">
        <f>+AV350/$AX$25</f>
        <v>4.8118249501485728E-3</v>
      </c>
      <c r="AL350" s="115">
        <f t="shared" si="645"/>
        <v>0.23568309817931857</v>
      </c>
      <c r="AM350" s="115">
        <f t="shared" si="646"/>
        <v>0.34131583812905819</v>
      </c>
      <c r="AN350" s="115">
        <f t="shared" si="647"/>
        <v>0.42300106369162321</v>
      </c>
      <c r="AO350" s="115">
        <f t="shared" si="649"/>
        <v>-3.9032078429018903E-3</v>
      </c>
      <c r="AP350" s="166">
        <f t="shared" si="661"/>
        <v>120.31097786370283</v>
      </c>
      <c r="AQ350" s="168">
        <f t="shared" si="662"/>
        <v>-3.903207842901889E-3</v>
      </c>
      <c r="AR350" s="69">
        <f>+AD350/$AF$25</f>
        <v>7.9890518168391073E-3</v>
      </c>
      <c r="AS350" s="169">
        <f t="shared" si="660"/>
        <v>-3.1182929708835987E-5</v>
      </c>
      <c r="AT350" s="115"/>
      <c r="AU350" s="115"/>
      <c r="AV350" s="113">
        <f>IFERROR(INDEX('Total Customers'!$F$7:$AB$91,MATCH($C350,'Total Customers'!$D$7:$D$91,0),MATCH($G350,'Total Customers'!$F$5:$AB$5,0)),"NA")</f>
        <v>182528</v>
      </c>
      <c r="AW350" s="68">
        <f t="shared" si="619"/>
        <v>1.4952796487229704E-2</v>
      </c>
      <c r="AX350" s="114"/>
      <c r="AY350" s="114"/>
      <c r="AZ350" s="116">
        <v>9060252</v>
      </c>
      <c r="BA350" s="116"/>
      <c r="BB350" s="166"/>
      <c r="BC350" s="166"/>
      <c r="BD350" s="166"/>
      <c r="BE350" s="166"/>
      <c r="BF350" s="166"/>
      <c r="BG350" s="166"/>
      <c r="BH350" s="166"/>
      <c r="BI350" s="113"/>
      <c r="BJ350" s="113"/>
      <c r="BK350" s="113">
        <f>INDEX('Dist. Plant Gas Additions'!$F$7:$AE$91,MATCH($C350,'Dist. Plant Gas Additions'!$D$7:$D$91,0),MATCH(Calculation!$G350,'Dist. Plant Gas Additions'!$F$5:$AE$5,0))</f>
        <v>38432</v>
      </c>
      <c r="BL350" s="113">
        <f>INDEX('Gen. Plant Additions'!$F$7:$AE$91,MATCH($C350,'Gen. Plant Additions'!$D$7:$D$91,0),MATCH(Calculation!$G350,'Gen. Plant Additions'!$F$5:$AE$5,0))</f>
        <v>3375</v>
      </c>
      <c r="BM350" s="231">
        <f t="shared" si="625"/>
        <v>0.93425724711960312</v>
      </c>
      <c r="BN350" s="61">
        <f t="shared" si="663"/>
        <v>3153.1182090286607</v>
      </c>
      <c r="BO350" s="113">
        <f>INDEX('Dist Plant Depreciation'!$E$7:$AD$94,MATCH($C350,'Dist Plant Depreciation'!$D$7:$D$94,0),MATCH(Calculation!$G350,'Dist Plant Depreciation'!$E$5:$AD$5,0))</f>
        <v>505292</v>
      </c>
      <c r="BP350" s="113">
        <f>INDEX('Gen. Plant Depreciation'!$E$7:$AD$94,MATCH($C350,'Gen. Plant Depreciation'!$D$7:$D$94,0),MATCH(Calculation!$G350,'Gen. Plant Depreciation'!$E$5:$AD$5,0))</f>
        <v>27537</v>
      </c>
      <c r="BQ350" s="113"/>
      <c r="BR350" s="113"/>
      <c r="BS350" s="113"/>
      <c r="BT350" s="113"/>
      <c r="BU350" s="113"/>
      <c r="BV350" s="113"/>
      <c r="BW350" s="113">
        <f>INDEX('Gross Dx Plant'!$E$7:$AD$91,MATCH($C350,'Gross Dx Plant'!$D$7:$D$91,0),MATCH(Calculation!$G350,'Gross Dx Plant'!$E$5:$AD$5,0))</f>
        <v>911424</v>
      </c>
      <c r="BX350" s="113">
        <f>INDEX('Gross Gen Plant'!$E$7:$AD$91,MATCH($C350,'Gross Gen Plant'!$D$7:$D$91,0),MATCH(Calculation!$G350,'Gross Gen Plant'!$E$5:$AD$5,0))</f>
        <v>64136</v>
      </c>
      <c r="BY350" s="113">
        <f t="shared" si="623"/>
        <v>442731</v>
      </c>
      <c r="BZ350" s="113"/>
      <c r="CA350" s="116">
        <v>2020</v>
      </c>
      <c r="CB350" s="113"/>
      <c r="CC350" s="113"/>
      <c r="CD350" s="113"/>
      <c r="CE350" s="175"/>
      <c r="CF350" s="113">
        <f t="shared" si="626"/>
        <v>41807</v>
      </c>
      <c r="CG350" s="113">
        <f t="shared" si="627"/>
        <v>51.418054369413703</v>
      </c>
      <c r="CH350" s="178">
        <v>0.84057971014492749</v>
      </c>
      <c r="CI350" s="61">
        <f>CI328*CH350+CG329*CH349+CG330*CH348+CG331*CH347+CG332*CH346+CG333*CH345+CG334*CH344+CG335*CH343+CG336*CH342+CG337*CH341+CG338*CH340+CG339*CH339+CG340*CH338+CG341*CH337+CG342*CH336+CG343*CH335+CG344*CH334+CG345*CH333+CG346*CH332+CG347*CH331+CG348*CH330+CG349*CH329+CG350</f>
        <v>2222.8327558543551</v>
      </c>
      <c r="CJ350" s="114">
        <f t="shared" si="628"/>
        <v>1.3345965367878399E-2</v>
      </c>
      <c r="CK350" s="114"/>
      <c r="CL350" s="169">
        <f t="shared" si="629"/>
        <v>1.0007134007568459E-2</v>
      </c>
      <c r="CM350" s="169">
        <f t="shared" si="637"/>
        <v>9.666725351703433E-3</v>
      </c>
      <c r="CN350" s="114">
        <f>VLOOKUP($H350,RoR!$E:$F,2,FALSE)</f>
        <v>2.4766666666666666E-2</v>
      </c>
      <c r="CO350" s="169">
        <v>1.1618796630994188E-2</v>
      </c>
      <c r="CP350" s="169">
        <f t="shared" si="635"/>
        <v>1.3147870035672478E-2</v>
      </c>
      <c r="CQ350" s="169">
        <f t="shared" si="638"/>
        <v>2.123521625683019E-2</v>
      </c>
      <c r="CR350" s="169">
        <f t="shared" si="639"/>
        <v>4.5144642961987357E-2</v>
      </c>
      <c r="CS350" s="179">
        <f t="shared" si="630"/>
        <v>0.90305999999999997</v>
      </c>
      <c r="CT350" s="180">
        <f t="shared" si="631"/>
        <v>2.0706077233668081</v>
      </c>
      <c r="CU350" s="180">
        <f t="shared" si="632"/>
        <v>-3.4421265141318998E-2</v>
      </c>
      <c r="CV350" s="180">
        <f t="shared" si="633"/>
        <v>0.62416226176410472</v>
      </c>
      <c r="CW350" s="180">
        <f t="shared" si="634"/>
        <v>-4.4485877841158712E-2</v>
      </c>
      <c r="CX350" s="181">
        <f>INDEX('State Tax Lookup'!$D$7:$Z$91,MATCH(Calculation!$C350,'State Tax Lookup'!$B$7:$B$91,0),MATCH($H350,'State Tax Lookup'!$D$6:$Z$6,0))</f>
        <v>0.26200000000000001</v>
      </c>
      <c r="CY350" s="72">
        <v>0.37</v>
      </c>
      <c r="CZ350" s="70">
        <f t="shared" si="636"/>
        <v>21.072364782547954</v>
      </c>
      <c r="DA350" s="70">
        <v>19.952659173050833</v>
      </c>
      <c r="DB350" s="69">
        <f t="shared" si="640"/>
        <v>3.4491988049429115E-2</v>
      </c>
      <c r="DC350" s="111">
        <f>VLOOKUP($H350,RoR!$E:$F,2,FALSE)</f>
        <v>2.4766666666666666E-2</v>
      </c>
      <c r="DD350" s="216">
        <f>HLOOKUP($H350,'GDP-PI'!$D$8:$CQ$11,3,FALSE)</f>
        <v>1.1618796630994188E-2</v>
      </c>
      <c r="DE350" s="111">
        <f>VLOOKUP(H350,'HW Dx Data'!$E:$F,2,FALSE)</f>
        <v>813.080162458833</v>
      </c>
      <c r="DF350" s="72">
        <f t="shared" si="650"/>
        <v>153.15</v>
      </c>
      <c r="DG350" s="69">
        <f t="shared" si="651"/>
        <v>2.2951556467368479E-2</v>
      </c>
      <c r="DH350" s="66">
        <f>HLOOKUP(H350,'GDP-PI'!$8:$9,2,FALSE)</f>
        <v>113.623</v>
      </c>
      <c r="DI350" s="69">
        <f t="shared" si="641"/>
        <v>1.1551816731392881E-2</v>
      </c>
      <c r="EB350"/>
    </row>
    <row r="351" spans="1:132" s="160" customFormat="1" ht="21">
      <c r="A351" s="160" t="s">
        <v>180</v>
      </c>
      <c r="B351" s="160" t="s">
        <v>180</v>
      </c>
      <c r="C351" s="160">
        <v>4059402</v>
      </c>
      <c r="D351" s="160" t="s">
        <v>181</v>
      </c>
      <c r="E351" s="160" t="s">
        <v>3</v>
      </c>
      <c r="G351" s="161" t="s">
        <v>142</v>
      </c>
      <c r="H351" s="162">
        <v>2021</v>
      </c>
      <c r="I351" s="163"/>
      <c r="J351" s="159">
        <v>30337.677754069391</v>
      </c>
      <c r="K351" s="159">
        <f t="shared" si="642"/>
        <v>192.92640861093412</v>
      </c>
      <c r="L351" s="164">
        <f t="shared" si="648"/>
        <v>0.1374590739567097</v>
      </c>
      <c r="M351" s="76">
        <f t="shared" si="652"/>
        <v>1.1233862185282845E-3</v>
      </c>
      <c r="N351" s="166">
        <f>+N350*EXP(O351)</f>
        <v>118.29858701358522</v>
      </c>
      <c r="O351" s="114">
        <f t="shared" si="653"/>
        <v>4.2965547515189301E-2</v>
      </c>
      <c r="P351" s="114"/>
      <c r="Q351" s="159">
        <v>42765.160207543609</v>
      </c>
      <c r="R351" s="159">
        <f t="shared" si="643"/>
        <v>360.91788511725554</v>
      </c>
      <c r="S351" s="165">
        <f t="shared" si="654"/>
        <v>9.4948683208144521E-2</v>
      </c>
      <c r="T351" s="165">
        <f t="shared" si="655"/>
        <v>7.7596945122029165E-4</v>
      </c>
      <c r="U351" s="165"/>
      <c r="V351" s="165"/>
      <c r="W351" s="159">
        <f t="shared" si="624"/>
        <v>52119.341582043191</v>
      </c>
      <c r="X351" s="163"/>
      <c r="Y351" s="167">
        <v>2264.4378716225565</v>
      </c>
      <c r="Z351" s="168"/>
      <c r="AA351" s="76">
        <f t="shared" si="644"/>
        <v>0</v>
      </c>
      <c r="AB351" s="168"/>
      <c r="AC351" s="168"/>
      <c r="AD351" s="163">
        <f t="shared" si="577"/>
        <v>125222.17954365618</v>
      </c>
      <c r="AE351" s="168">
        <f t="shared" si="656"/>
        <v>0.13631012123330019</v>
      </c>
      <c r="AF351" s="113"/>
      <c r="AG351" s="114"/>
      <c r="AH351" s="114"/>
      <c r="AI351" s="114"/>
      <c r="AJ351" s="116">
        <f t="shared" si="657"/>
        <v>679.45121538183162</v>
      </c>
      <c r="AK351" s="114"/>
      <c r="AL351" s="115">
        <f t="shared" si="645"/>
        <v>0.24227080110431054</v>
      </c>
      <c r="AM351" s="115">
        <f t="shared" si="646"/>
        <v>0.34151426179764266</v>
      </c>
      <c r="AN351" s="115">
        <f t="shared" si="647"/>
        <v>0.41621493709804691</v>
      </c>
      <c r="AO351" s="115">
        <f t="shared" si="649"/>
        <v>6.5266459616226069E-2</v>
      </c>
      <c r="AP351" s="166">
        <f t="shared" si="661"/>
        <v>128.42516132020145</v>
      </c>
      <c r="AQ351" s="168">
        <f t="shared" si="662"/>
        <v>6.5266459616226027E-2</v>
      </c>
      <c r="AR351" s="69">
        <f>+AD351/$AF$26</f>
        <v>8.1725140886812261E-3</v>
      </c>
      <c r="AS351" s="169">
        <f t="shared" si="660"/>
        <v>5.3339106073195151E-4</v>
      </c>
      <c r="AT351" s="115"/>
      <c r="AU351" s="115"/>
      <c r="AV351" s="113">
        <f>INDEX('Total Customers'!$E$7:$E$91,MATCH(Calculation!$C351,'Total Customers'!$D$7:$D$91,0))</f>
        <v>184299</v>
      </c>
      <c r="AW351" s="68">
        <f t="shared" si="619"/>
        <v>9.6558528133618947E-3</v>
      </c>
      <c r="AX351" s="113"/>
      <c r="AY351" s="113"/>
      <c r="AZ351" s="116"/>
      <c r="BA351" s="116"/>
      <c r="BB351" s="166"/>
      <c r="BC351" s="166"/>
      <c r="BD351" s="166"/>
      <c r="BE351" s="166"/>
      <c r="BF351" s="166"/>
      <c r="BG351" s="166"/>
      <c r="BH351" s="166"/>
      <c r="BI351" s="113"/>
      <c r="BJ351" s="113"/>
      <c r="BK351" s="113">
        <f>INDEX('Dist. Plant Gas Additions'!$E$7:$AE$91,MATCH($C351,'Dist. Plant Gas Additions'!$D$7:$D$91,0),MATCH(Calculation!$G351,'Dist. Plant Gas Additions'!$E$5:$AE$5,0))</f>
        <v>51678</v>
      </c>
      <c r="BL351" s="113">
        <f>INDEX('Gen. Plant Additions'!$E$7:$AE$91,MATCH($C351,'Gen. Plant Additions'!$D$7:$D$91,0),MATCH(Calculation!$G351,'Gen. Plant Additions'!$E$5:$AE$5,0))</f>
        <v>10334</v>
      </c>
      <c r="BM351" s="232">
        <v>0.93425724711960312</v>
      </c>
      <c r="BN351" s="61">
        <f t="shared" si="663"/>
        <v>9654.6143917339778</v>
      </c>
      <c r="BO351" s="113"/>
      <c r="BP351" s="113"/>
      <c r="BQ351" s="175"/>
      <c r="BR351" s="175"/>
      <c r="BS351" s="170"/>
      <c r="BT351" s="176"/>
      <c r="BU351" s="177"/>
      <c r="BV351" s="177"/>
      <c r="BW351" s="113"/>
      <c r="BX351" s="113"/>
      <c r="BY351" s="113"/>
      <c r="BZ351" s="113"/>
      <c r="CA351" s="116">
        <v>2021</v>
      </c>
      <c r="CB351" s="113"/>
      <c r="CC351" s="113"/>
      <c r="CD351" s="113"/>
      <c r="CE351" s="175"/>
      <c r="CF351" s="113">
        <f t="shared" si="626"/>
        <v>62012</v>
      </c>
      <c r="CG351" s="113">
        <f t="shared" si="627"/>
        <v>66.463563367513473</v>
      </c>
      <c r="CH351" s="178">
        <f>+(51-23)/(51-23*0.75)</f>
        <v>0.82962962962962961</v>
      </c>
      <c r="CI351" s="113">
        <f>CI328*CH351+CG329*CH350+CG330*CH349+CG331*CH348+CG332*CH347+CG333*CH346+CG334*CH345+CG335*CH344+CG336*CH343+CG337*CH342+CG338*CH341+CG339*CH340+CG340*CH339+CG341*CH338+CG342*CH337+CG333*CH336+CG344*CH335+CG345*CH334+CG346*CH333+CG347*CH332+CG348*CH331+CG349*CH330+CG351+CG350*CH329</f>
        <v>2264.4378716225565</v>
      </c>
      <c r="CJ351" s="114"/>
      <c r="CK351" s="113"/>
      <c r="CL351" s="169">
        <f t="shared" si="629"/>
        <v>1.1183228937868366E-2</v>
      </c>
      <c r="CM351" s="169">
        <f t="shared" si="637"/>
        <v>1.0285140330434808E-2</v>
      </c>
      <c r="CN351" s="114">
        <f>VLOOKUP($H351,RoR!$E:$F,2,FALSE)</f>
        <v>2.7033333333333336E-2</v>
      </c>
      <c r="CO351" s="169"/>
      <c r="CP351" s="169"/>
      <c r="CQ351" s="169">
        <f t="shared" si="638"/>
        <v>2.0616801278098819E-2</v>
      </c>
      <c r="CR351" s="169">
        <f t="shared" si="639"/>
        <v>7.433422950153494E-2</v>
      </c>
      <c r="CS351" s="179">
        <f t="shared" si="630"/>
        <v>0.90305999999999997</v>
      </c>
      <c r="CT351" s="180">
        <f t="shared" si="631"/>
        <v>1.8969932656739068</v>
      </c>
      <c r="CU351" s="180">
        <f t="shared" si="632"/>
        <v>5.0215782983970621E-2</v>
      </c>
      <c r="CV351" s="180">
        <f t="shared" si="633"/>
        <v>0.655952481704143</v>
      </c>
      <c r="CW351" s="180">
        <f t="shared" si="634"/>
        <v>6.2485378865697057E-2</v>
      </c>
      <c r="CX351" s="181">
        <f>CX350</f>
        <v>0.26200000000000001</v>
      </c>
      <c r="CY351" s="72">
        <v>0.37</v>
      </c>
      <c r="CZ351" s="182">
        <f t="shared" si="636"/>
        <v>23.447261808057576</v>
      </c>
      <c r="DA351" s="182"/>
      <c r="DB351" s="169">
        <f t="shared" si="640"/>
        <v>0.10679126473168091</v>
      </c>
      <c r="DC351" s="181">
        <f>VLOOKUP($H351,RoR!$E:$F,2,FALSE)</f>
        <v>2.7033333333333336E-2</v>
      </c>
      <c r="DD351" s="183">
        <f>HLOOKUP($H351,'GDP-PI'!$D$8:$CR$11,3,FALSE)</f>
        <v>4.2834637353352578E-2</v>
      </c>
      <c r="DE351" s="181">
        <f>VLOOKUP(H351,'HW Dx Data'!$E:$F,2,FALSE)</f>
        <v>933.02249921662576</v>
      </c>
      <c r="DF351" s="72">
        <f t="shared" si="650"/>
        <v>157.25</v>
      </c>
      <c r="DG351" s="69">
        <f t="shared" si="651"/>
        <v>2.6419062301765574E-2</v>
      </c>
      <c r="DH351" s="175">
        <f>HLOOKUP(H351,'GDP-PI'!$8:$9,2,FALSE)</f>
        <v>118.49</v>
      </c>
      <c r="DI351" s="169">
        <f t="shared" si="641"/>
        <v>4.194261824609434E-2</v>
      </c>
      <c r="EB351"/>
    </row>
    <row r="352" spans="1:132" s="160" customFormat="1" ht="21">
      <c r="G352" s="161" t="s">
        <v>144</v>
      </c>
      <c r="H352" s="162"/>
      <c r="I352" s="163"/>
      <c r="J352" s="159">
        <v>32615.172063535254</v>
      </c>
      <c r="K352" s="159">
        <f t="shared" si="642"/>
        <v>200.64701361756536</v>
      </c>
      <c r="L352" s="164">
        <f t="shared" ref="L352" si="664">LN(K352/K351)</f>
        <v>3.923839940492916E-2</v>
      </c>
      <c r="M352" s="76">
        <f t="shared" si="652"/>
        <v>3.3055857400038921E-4</v>
      </c>
      <c r="N352" s="166">
        <f>+N351*EXP(O352)</f>
        <v>118.49918346772401</v>
      </c>
      <c r="O352" s="114">
        <f t="shared" si="653"/>
        <v>1.6942431655056344E-3</v>
      </c>
      <c r="P352" s="114"/>
      <c r="Q352" s="163">
        <v>45975.603993176206</v>
      </c>
      <c r="R352" s="159">
        <f t="shared" si="643"/>
        <v>361.30140662613917</v>
      </c>
      <c r="S352" s="165">
        <f t="shared" ref="S352" si="665">LN(R352/R351)</f>
        <v>1.062063972310207E-3</v>
      </c>
      <c r="T352" s="165">
        <f t="shared" si="655"/>
        <v>8.9472138901758727E-6</v>
      </c>
      <c r="U352" s="166"/>
      <c r="V352" s="114"/>
      <c r="W352" s="159">
        <f t="shared" si="624"/>
        <v>58264.661919102</v>
      </c>
      <c r="X352" s="168"/>
      <c r="Y352" s="167">
        <v>2301.8965225241195</v>
      </c>
      <c r="Z352" s="168">
        <v>1.6406810336305533E-2</v>
      </c>
      <c r="AA352" s="76">
        <f t="shared" si="644"/>
        <v>1.3821694847172358E-4</v>
      </c>
      <c r="AB352" s="166"/>
      <c r="AC352" s="114"/>
      <c r="AD352" s="163">
        <f t="shared" ref="AD352" si="666">+J352+Q352+W352</f>
        <v>136855.43797581346</v>
      </c>
      <c r="AE352" s="168">
        <f t="shared" ref="AE352" si="667">LN(AD352/AD351)</f>
        <v>8.8835575577842565E-2</v>
      </c>
      <c r="AF352" s="113"/>
      <c r="AG352" s="114"/>
      <c r="AH352" s="114"/>
      <c r="AI352" s="114"/>
      <c r="AJ352" s="116">
        <f t="shared" si="657"/>
        <v>740.880456776816</v>
      </c>
      <c r="AK352" s="114"/>
      <c r="AL352" s="115"/>
      <c r="AM352" s="115"/>
      <c r="AN352" s="115"/>
      <c r="AO352" s="115"/>
      <c r="AP352" s="166"/>
      <c r="AQ352" s="168"/>
      <c r="AR352" s="69">
        <f>+AD352/$AF$27</f>
        <v>8.4243643729989704E-3</v>
      </c>
      <c r="AS352" s="169"/>
      <c r="AT352" s="166"/>
      <c r="AU352" s="168"/>
      <c r="AV352" s="113">
        <v>184720</v>
      </c>
      <c r="AW352" s="68">
        <f t="shared" si="619"/>
        <v>2.2817263211567535E-3</v>
      </c>
      <c r="AX352" s="113"/>
      <c r="AY352" s="113"/>
      <c r="AZ352" s="113"/>
      <c r="BA352" s="113"/>
      <c r="BB352" s="171"/>
      <c r="BC352" s="172"/>
      <c r="BD352" s="173"/>
      <c r="BE352" s="115"/>
      <c r="BF352" s="174"/>
      <c r="BG352" s="174"/>
      <c r="BH352" s="166"/>
      <c r="BI352" s="113"/>
      <c r="BJ352" s="113"/>
      <c r="BK352" s="113"/>
      <c r="BL352" s="113"/>
      <c r="BM352" s="232">
        <v>0.93425724711960312</v>
      </c>
      <c r="BN352" s="61">
        <f t="shared" si="663"/>
        <v>0</v>
      </c>
      <c r="BO352" s="113"/>
      <c r="BP352" s="113"/>
      <c r="BQ352" s="175"/>
      <c r="BR352" s="175"/>
      <c r="BS352" s="170"/>
      <c r="BT352" s="176"/>
      <c r="BU352" s="177"/>
      <c r="BV352" s="177"/>
      <c r="BW352" s="113"/>
      <c r="BX352" s="113"/>
      <c r="BY352" s="113"/>
      <c r="BZ352" s="113"/>
      <c r="CA352" s="116">
        <v>2022</v>
      </c>
      <c r="CB352" s="113"/>
      <c r="CC352" s="113"/>
      <c r="CD352" s="113"/>
      <c r="CE352" s="175"/>
      <c r="CF352" s="238">
        <v>76791</v>
      </c>
      <c r="CG352" s="113">
        <f>+CF352/DE352</f>
        <v>74.495784868210436</v>
      </c>
      <c r="CH352" s="178">
        <f>+(51-24)/(51-24*0.75)</f>
        <v>0.81818181818181823</v>
      </c>
      <c r="CI352" s="113">
        <f>+CI328*CH352+CG329*CH351+CG330*CH350+CG331*CH349+CG332*CH348+CG333*CH347+CG334*CH346+CG335*CH345+CG336*CH344+CG337*CH343+CG338*CH342+CG339*CH341+CG340*CH340+CG341*CH339+CG342*CH338+CG343*CH337+CG344*CH336+CG345*CH335+CG346*CH334+CG347*CH333+CG348*CH332+CG349*CH331+CG350*CH330+CG351*CH329+CG352*CH328</f>
        <v>2316.2337912739376</v>
      </c>
      <c r="CJ352" s="114">
        <f t="shared" ref="CJ352" si="668">LN(CI352/CI351)</f>
        <v>2.2615952927865342E-2</v>
      </c>
      <c r="CK352" s="113"/>
      <c r="CL352" s="169">
        <f t="shared" si="629"/>
        <v>1.0024503432529133E-2</v>
      </c>
      <c r="CM352" s="169">
        <f t="shared" si="637"/>
        <v>1.0404955459321985E-2</v>
      </c>
      <c r="CN352" s="114"/>
      <c r="CO352" s="169"/>
      <c r="CP352" s="169"/>
      <c r="CQ352" s="69">
        <f t="shared" si="638"/>
        <v>2.0496986149211638E-2</v>
      </c>
      <c r="CR352" s="169">
        <f t="shared" si="639"/>
        <v>0.10114668178709289</v>
      </c>
      <c r="CS352" s="179">
        <f t="shared" si="630"/>
        <v>0.90305999999999997</v>
      </c>
      <c r="CT352" s="180"/>
      <c r="CU352" s="180"/>
      <c r="CV352" s="180"/>
      <c r="CW352" s="180"/>
      <c r="CX352" s="181">
        <f>CX351</f>
        <v>0.26200000000000001</v>
      </c>
      <c r="CY352" s="72">
        <v>0.37</v>
      </c>
      <c r="CZ352" s="182">
        <f t="shared" si="636"/>
        <v>25.730298300192771</v>
      </c>
      <c r="DA352" s="182"/>
      <c r="DB352" s="169">
        <f t="shared" si="640"/>
        <v>9.2915498877146924E-2</v>
      </c>
      <c r="DC352" s="181">
        <v>0.04</v>
      </c>
      <c r="DD352" s="183">
        <v>7.0000000000000001E-3</v>
      </c>
      <c r="DE352" s="181">
        <v>1030.81</v>
      </c>
      <c r="DF352" s="72">
        <f t="shared" si="650"/>
        <v>162.55000000000001</v>
      </c>
      <c r="DG352" s="169">
        <f t="shared" si="651"/>
        <v>3.3148751169364422E-2</v>
      </c>
      <c r="DH352" s="175">
        <v>127.25</v>
      </c>
      <c r="DI352" s="169">
        <f t="shared" si="641"/>
        <v>7.1325086601983473E-2</v>
      </c>
      <c r="EB352"/>
    </row>
    <row r="353" spans="1:132" s="160" customFormat="1" ht="21">
      <c r="A353" s="160" t="s">
        <v>182</v>
      </c>
      <c r="B353" s="161" t="s">
        <v>182</v>
      </c>
      <c r="C353" s="161">
        <v>4057080</v>
      </c>
      <c r="D353" s="161" t="s">
        <v>171</v>
      </c>
      <c r="E353" s="161" t="s">
        <v>3</v>
      </c>
      <c r="F353" s="161"/>
      <c r="G353" s="161" t="s">
        <v>100</v>
      </c>
      <c r="H353" s="162">
        <v>1998</v>
      </c>
      <c r="I353" s="163"/>
      <c r="J353" s="159"/>
      <c r="K353" s="159"/>
      <c r="L353" s="159"/>
      <c r="M353" s="60"/>
      <c r="N353" s="131"/>
      <c r="O353" s="76"/>
      <c r="P353" s="76"/>
      <c r="Q353" s="165"/>
      <c r="R353" s="165"/>
      <c r="S353" s="165"/>
      <c r="T353" s="159"/>
      <c r="U353" s="165"/>
      <c r="V353" s="165"/>
      <c r="W353" s="159"/>
      <c r="X353" s="163"/>
      <c r="Y353" s="167">
        <v>6060.9924752512061</v>
      </c>
      <c r="Z353" s="168"/>
      <c r="AA353" s="78"/>
      <c r="AB353" s="168"/>
      <c r="AC353" s="168"/>
      <c r="AD353" s="163">
        <f t="shared" si="577"/>
        <v>0</v>
      </c>
      <c r="AE353" s="163"/>
      <c r="AF353" s="163"/>
      <c r="AG353" s="114"/>
      <c r="AH353" s="114"/>
      <c r="AI353" s="114"/>
      <c r="AJ353" s="166">
        <f>+(AJ350+AJ351+AJ352)/3</f>
        <v>672.98472111986177</v>
      </c>
      <c r="AK353" s="168"/>
      <c r="AL353" s="115"/>
      <c r="AM353" s="115"/>
      <c r="AN353" s="115"/>
      <c r="AO353" s="115"/>
      <c r="AP353" s="115"/>
      <c r="AQ353" s="168">
        <f>AVERAGE(AQ362:AQ376)</f>
        <v>3.0964833518803647E-2</v>
      </c>
      <c r="AR353" s="79"/>
      <c r="AS353" s="115"/>
      <c r="AT353" s="115"/>
      <c r="AU353" s="115"/>
      <c r="AV353" s="113">
        <f>IFERROR(INDEX('Total Customers'!$F$7:$AB$91,MATCH($C353,'Total Customers'!$D$7:$D$91,0),MATCH($G353,'Total Customers'!$F$5:$AB$5,0)),"NA")</f>
        <v>1037951</v>
      </c>
      <c r="AW353" s="68"/>
      <c r="AX353" s="114"/>
      <c r="AY353" s="114"/>
      <c r="AZ353" s="116"/>
      <c r="BA353" s="116"/>
      <c r="BB353" s="166"/>
      <c r="BC353" s="166"/>
      <c r="BD353" s="166"/>
      <c r="BE353" s="166"/>
      <c r="BF353" s="166"/>
      <c r="BG353" s="166"/>
      <c r="BH353" s="166"/>
      <c r="BI353" s="113">
        <f>INDEX('Gross Dx Plant'!$E$7:$AD$91,MATCH($C353,'Gross Dx Plant'!$D$7:$D$91,0),MATCH(Calculation!$G353,'Gross Dx Plant'!$E$5:$AD$5,0))</f>
        <v>1541535</v>
      </c>
      <c r="BJ353" s="113">
        <f>INDEX('Gross Gen Plant'!$E$7:$AD$91,MATCH($C353,'Gross Gen Plant'!$D$7:$D$91,0),MATCH(Calculation!$G353,'Gross Gen Plant'!$E$5:$AD$5,0))</f>
        <v>0</v>
      </c>
      <c r="BK353" s="113">
        <f>INDEX('Dist. Plant Gas Additions'!$F$7:$AE$91,MATCH($C353,'Dist. Plant Gas Additions'!$D$7:$D$91,0),MATCH(Calculation!$G353,'Dist. Plant Gas Additions'!$F$5:$AE$5,0))</f>
        <v>94451</v>
      </c>
      <c r="BL353" s="113">
        <f>INDEX('Gen. Plant Additions'!$F$7:$AE$91,MATCH($C353,'Gen. Plant Additions'!$D$7:$D$91,0),MATCH(Calculation!$G353,'Gen. Plant Additions'!$F$5:$AE$5,0))</f>
        <v>0</v>
      </c>
      <c r="BM353" s="231">
        <f>+(BW353/(BW353+BX353))</f>
        <v>1</v>
      </c>
      <c r="BN353" s="61">
        <f t="shared" si="663"/>
        <v>0</v>
      </c>
      <c r="BO353" s="113">
        <f>INDEX('Dist Plant Depreciation'!$E$7:$AD$94,MATCH($C353,'Dist Plant Depreciation'!$D$7:$D$94,0),MATCH(Calculation!$G353,'Dist Plant Depreciation'!$E$5:$AD$5,0))</f>
        <v>318915</v>
      </c>
      <c r="BP353" s="113">
        <f>INDEX('Gen. Plant Depreciation'!$E$7:$AD$94,MATCH($C353,'Gen. Plant Depreciation'!$D$7:$D$94,0),MATCH(Calculation!$G353,'Gen. Plant Depreciation'!$E$5:$AD$5,0))</f>
        <v>0</v>
      </c>
      <c r="BQ353" s="113"/>
      <c r="BR353" s="113"/>
      <c r="BS353" s="113"/>
      <c r="BT353" s="113"/>
      <c r="BU353" s="113"/>
      <c r="BV353" s="113"/>
      <c r="BW353" s="113">
        <f>INDEX('Gross Dx Plant'!$E$7:$AD$91,MATCH($C353,'Gross Dx Plant'!$D$7:$D$91,0),MATCH(Calculation!$G353,'Gross Dx Plant'!$E$5:$AD$5,0))</f>
        <v>1541535</v>
      </c>
      <c r="BX353" s="113">
        <f>INDEX('Gross Gen Plant'!$E$7:$AD$91,MATCH($C353,'Gross Gen Plant'!$D$7:$D$91,0),MATCH(Calculation!$G353,'Gross Gen Plant'!$E$5:$AD$5,0))</f>
        <v>0</v>
      </c>
      <c r="BY353" s="113">
        <f t="shared" si="623"/>
        <v>1222620</v>
      </c>
      <c r="BZ353" s="113"/>
      <c r="CA353" s="116">
        <v>1998</v>
      </c>
      <c r="CB353" s="113">
        <f>BI353+BJ353</f>
        <v>1541535</v>
      </c>
      <c r="CC353" s="113">
        <v>318915</v>
      </c>
      <c r="CD353" s="113">
        <f>+CB353-CC353</f>
        <v>1222620</v>
      </c>
      <c r="CE353" s="113">
        <f>CD353/$BV$3</f>
        <v>6060.9924752512061</v>
      </c>
      <c r="CF353" s="175"/>
      <c r="CG353" s="175"/>
      <c r="CH353" s="178">
        <v>1</v>
      </c>
      <c r="CI353" s="113">
        <f>+CE353</f>
        <v>6060.9924752512061</v>
      </c>
      <c r="CJ353" s="114"/>
      <c r="CK353" s="114"/>
      <c r="CL353" s="169"/>
      <c r="CM353" s="169"/>
      <c r="CN353" s="114" t="e">
        <f>VLOOKUP($H353,RoR!$E:$F,2,FALSE)</f>
        <v>#N/A</v>
      </c>
      <c r="CO353" s="169">
        <v>1.1028127770464469E-2</v>
      </c>
      <c r="CP353" s="169"/>
      <c r="CQ353" s="169"/>
      <c r="CR353" s="169"/>
      <c r="CS353" s="179"/>
      <c r="CT353" s="182" t="e">
        <f>2/(DC353*39)</f>
        <v>#N/A</v>
      </c>
      <c r="CU353" s="180" t="e">
        <f>+(DC353*40-(1+DC353))/(DC353*40)</f>
        <v>#N/A</v>
      </c>
      <c r="CV353" s="180" t="e">
        <f>+(1-(1/(1+DC353)^40))</f>
        <v>#N/A</v>
      </c>
      <c r="CW353" s="180" t="e">
        <f>+CV353*CU353*CT353</f>
        <v>#N/A</v>
      </c>
      <c r="CX353" s="181">
        <f>INDEX('State Tax Lookup'!$D$7:$Z$91,MATCH(Calculation!$C353,'State Tax Lookup'!$B$7:$B$91,0),MATCH($H353,'State Tax Lookup'!$D$6:$Z$6,0))</f>
        <v>0.39649667</v>
      </c>
      <c r="CY353" s="72">
        <v>0.37</v>
      </c>
      <c r="CZ353" s="66"/>
      <c r="DA353" s="66"/>
      <c r="DB353" s="69"/>
      <c r="DC353" s="111" t="e">
        <f>VLOOKUP($H353,RoR!$E:$F,2,FALSE)</f>
        <v>#N/A</v>
      </c>
      <c r="DD353" s="216">
        <f>HLOOKUP($H353,'GDP-PI'!$D$8:$CQ$11,3,FALSE)</f>
        <v>1.1028127770464469E-2</v>
      </c>
      <c r="DE353" s="111">
        <f>VLOOKUP(H353,'HW Dx Data'!$E:$F,2,FALSE)</f>
        <v>329.24564746449528</v>
      </c>
      <c r="DF353" s="72" t="e">
        <f t="shared" si="650"/>
        <v>#N/A</v>
      </c>
      <c r="DG353" s="169" t="e">
        <f t="shared" si="651"/>
        <v>#N/A</v>
      </c>
      <c r="DH353" s="66">
        <f>HLOOKUP(H353,'GDP-PI'!$8:$9,2,FALSE)</f>
        <v>75.266999999999996</v>
      </c>
      <c r="DI353"/>
      <c r="EB353"/>
    </row>
    <row r="354" spans="1:132" s="160" customFormat="1" ht="21">
      <c r="A354" s="160" t="s">
        <v>182</v>
      </c>
      <c r="B354" s="161" t="s">
        <v>182</v>
      </c>
      <c r="C354" s="161">
        <v>4057080</v>
      </c>
      <c r="D354" s="161" t="s">
        <v>171</v>
      </c>
      <c r="E354" s="161" t="s">
        <v>3</v>
      </c>
      <c r="F354" s="161"/>
      <c r="G354" s="161" t="s">
        <v>106</v>
      </c>
      <c r="H354" s="162">
        <v>1999</v>
      </c>
      <c r="I354" s="163"/>
      <c r="J354" s="159"/>
      <c r="K354" s="163"/>
      <c r="L354" s="163"/>
      <c r="M354" s="60"/>
      <c r="N354" s="152"/>
      <c r="O354" s="60"/>
      <c r="P354" s="59"/>
      <c r="Q354" s="169"/>
      <c r="R354" s="169"/>
      <c r="S354" s="169"/>
      <c r="T354" s="187"/>
      <c r="U354" s="169"/>
      <c r="V354" s="169"/>
      <c r="W354" s="159">
        <f t="shared" ref="W354:W377" si="669">+CI353*CZ354</f>
        <v>0</v>
      </c>
      <c r="X354" s="163"/>
      <c r="Y354" s="167">
        <v>6304.8500704217377</v>
      </c>
      <c r="Z354" s="168">
        <v>3.9445628195464509E-2</v>
      </c>
      <c r="AA354" s="78"/>
      <c r="AB354" s="168"/>
      <c r="AC354" s="168"/>
      <c r="AD354" s="163">
        <f t="shared" si="577"/>
        <v>0</v>
      </c>
      <c r="AE354" s="168"/>
      <c r="AF354" s="163"/>
      <c r="AG354" s="114"/>
      <c r="AH354" s="114"/>
      <c r="AI354" s="114"/>
      <c r="AJ354" s="167"/>
      <c r="AK354" s="168"/>
      <c r="AL354" s="115"/>
      <c r="AM354" s="115"/>
      <c r="AN354" s="115"/>
      <c r="AO354" s="115"/>
      <c r="AP354" s="115"/>
      <c r="AQ354" s="168"/>
      <c r="AR354" s="79"/>
      <c r="AS354" s="115"/>
      <c r="AT354" s="115"/>
      <c r="AU354" s="115"/>
      <c r="AV354" s="113">
        <f>IFERROR(INDEX('Total Customers'!$F$7:$AB$91,MATCH($C354,'Total Customers'!$D$7:$D$91,0),MATCH($G354,'Total Customers'!$F$5:$AB$5,0)),"NA")</f>
        <v>1043048</v>
      </c>
      <c r="AW354" s="68">
        <f t="shared" si="619"/>
        <v>4.8986185889507653E-3</v>
      </c>
      <c r="AX354" s="114"/>
      <c r="AY354" s="114"/>
      <c r="AZ354" s="116"/>
      <c r="BA354" s="116"/>
      <c r="BB354" s="166"/>
      <c r="BC354" s="166"/>
      <c r="BD354" s="166"/>
      <c r="BE354" s="166"/>
      <c r="BF354" s="166"/>
      <c r="BG354" s="166"/>
      <c r="BH354" s="166"/>
      <c r="BI354" s="113"/>
      <c r="BJ354" s="113"/>
      <c r="BK354" s="113">
        <f>INDEX('Dist. Plant Gas Additions'!$F$7:$AE$91,MATCH($C354,'Dist. Plant Gas Additions'!$D$7:$D$91,0),MATCH(Calculation!$G354,'Dist. Plant Gas Additions'!$F$5:$AE$5,0))</f>
        <v>91883</v>
      </c>
      <c r="BL354" s="113">
        <f>INDEX('Gen. Plant Additions'!$F$7:$AE$91,MATCH($C354,'Gen. Plant Additions'!$D$7:$D$91,0),MATCH(Calculation!$G354,'Gen. Plant Additions'!$F$5:$AE$5,0))</f>
        <v>0</v>
      </c>
      <c r="BM354" s="231">
        <f t="shared" ref="BM354:BM375" si="670">+(BW354/(BW354+BX354))</f>
        <v>1</v>
      </c>
      <c r="BN354" s="61">
        <f t="shared" si="663"/>
        <v>0</v>
      </c>
      <c r="BO354" s="113">
        <f>INDEX('Dist Plant Depreciation'!$E$7:$AD$94,MATCH($C354,'Dist Plant Depreciation'!$D$7:$D$94,0),MATCH(Calculation!$G354,'Dist Plant Depreciation'!$E$5:$AD$5,0))</f>
        <v>348410</v>
      </c>
      <c r="BP354" s="113">
        <f>INDEX('Gen. Plant Depreciation'!$E$7:$AD$94,MATCH($C354,'Gen. Plant Depreciation'!$D$7:$D$94,0),MATCH(Calculation!$G354,'Gen. Plant Depreciation'!$E$5:$AD$5,0))</f>
        <v>0</v>
      </c>
      <c r="BQ354" s="113"/>
      <c r="BR354" s="113"/>
      <c r="BS354" s="113"/>
      <c r="BT354" s="113"/>
      <c r="BU354" s="113"/>
      <c r="BV354" s="113"/>
      <c r="BW354" s="113">
        <f>INDEX('Gross Dx Plant'!$E$7:$AD$91,MATCH($C354,'Gross Dx Plant'!$D$7:$D$91,0),MATCH(Calculation!$G354,'Gross Dx Plant'!$E$5:$AD$5,0))</f>
        <v>1626315</v>
      </c>
      <c r="BX354" s="113">
        <f>INDEX('Gross Gen Plant'!$E$7:$AD$91,MATCH($C354,'Gross Gen Plant'!$D$7:$D$91,0),MATCH(Calculation!$G354,'Gross Gen Plant'!$E$5:$AD$5,0))</f>
        <v>0</v>
      </c>
      <c r="BY354" s="113">
        <f t="shared" si="623"/>
        <v>1277905</v>
      </c>
      <c r="BZ354" s="113"/>
      <c r="CA354" s="116">
        <v>1999</v>
      </c>
      <c r="CB354" s="113"/>
      <c r="CC354" s="113"/>
      <c r="CD354" s="113"/>
      <c r="CE354" s="175"/>
      <c r="CF354" s="113">
        <f t="shared" ref="CF354:CF376" si="671">+BL354+BK354</f>
        <v>91883</v>
      </c>
      <c r="CG354" s="113">
        <f t="shared" ref="CG354:CG376" si="672">+CF354/$DE354</f>
        <v>274.01178658969212</v>
      </c>
      <c r="CH354" s="178">
        <v>0.99502487562189057</v>
      </c>
      <c r="CI354" s="61">
        <f>+CI353*CH354+CG354</f>
        <v>6304.8500704217377</v>
      </c>
      <c r="CJ354" s="114">
        <f t="shared" ref="CJ354:CJ375" si="673">LN(CI354/CI353)</f>
        <v>3.9445628195464509E-2</v>
      </c>
      <c r="CK354" s="114"/>
      <c r="CL354" s="169">
        <f t="shared" ref="CL354:CL377" si="674">+(CI353-CI354+CG354)/CI353</f>
        <v>4.9751243781095064E-3</v>
      </c>
      <c r="CM354" s="169"/>
      <c r="CN354" s="114">
        <f>VLOOKUP($H354,RoR!$E:$F,2,FALSE)</f>
        <v>7.0416666666666669E-2</v>
      </c>
      <c r="CO354" s="169">
        <v>1.4335631817396832E-2</v>
      </c>
      <c r="CP354" s="169">
        <f>+CN354-CO354</f>
        <v>5.6081034849269837E-2</v>
      </c>
      <c r="CQ354" s="169"/>
      <c r="CR354" s="169"/>
      <c r="CS354" s="179">
        <f t="shared" ref="CS354:CS377" si="675">1-CX354*CY354</f>
        <v>0.85329623209999994</v>
      </c>
      <c r="CT354" s="180">
        <f t="shared" ref="CT354:CT376" si="676">2/(DC354*39)</f>
        <v>0.72826581702321336</v>
      </c>
      <c r="CU354" s="180">
        <f t="shared" ref="CU354:CU376" si="677">+(DC354*40-(1+DC354))/(DC354*40)</f>
        <v>0.61997041420118348</v>
      </c>
      <c r="CV354" s="180">
        <f t="shared" ref="CV354:CV376" si="678">+(1-(1/(1+DC354)^40))</f>
        <v>0.93425155319585029</v>
      </c>
      <c r="CW354" s="180">
        <f t="shared" ref="CW354:CW376" si="679">+CV354*CU354*CT354</f>
        <v>0.42181762214141483</v>
      </c>
      <c r="CX354" s="181">
        <f>INDEX('State Tax Lookup'!$D$7:$Z$91,MATCH(Calculation!$C354,'State Tax Lookup'!$B$7:$B$91,0),MATCH($H354,'State Tax Lookup'!$D$6:$Z$6,0))</f>
        <v>0.39649667</v>
      </c>
      <c r="CY354" s="72">
        <v>0.37</v>
      </c>
      <c r="CZ354" s="70"/>
      <c r="DA354" s="70"/>
      <c r="DB354" s="69"/>
      <c r="DC354" s="111">
        <f>VLOOKUP($H354,RoR!$E:$F,2,FALSE)</f>
        <v>7.0416666666666669E-2</v>
      </c>
      <c r="DD354" s="216">
        <f>HLOOKUP($H354,'GDP-PI'!$D$8:$CQ$11,3,FALSE)</f>
        <v>1.4335631817396832E-2</v>
      </c>
      <c r="DE354" s="111">
        <f>VLOOKUP(H354,'HW Dx Data'!$E:$F,2,FALSE)</f>
        <v>335.32499146683239</v>
      </c>
      <c r="DF354" s="66"/>
      <c r="DG354" s="69"/>
      <c r="DH354" s="66">
        <f>HLOOKUP(H354,'GDP-PI'!$8:$9,2,FALSE)</f>
        <v>76.346000000000004</v>
      </c>
      <c r="DI354"/>
      <c r="EB354"/>
    </row>
    <row r="355" spans="1:132" s="160" customFormat="1" ht="21">
      <c r="A355" s="160" t="s">
        <v>182</v>
      </c>
      <c r="B355" s="161" t="s">
        <v>182</v>
      </c>
      <c r="C355" s="161">
        <v>4057080</v>
      </c>
      <c r="D355" s="161" t="s">
        <v>171</v>
      </c>
      <c r="E355" s="161" t="s">
        <v>3</v>
      </c>
      <c r="F355" s="161"/>
      <c r="G355" s="161" t="s">
        <v>107</v>
      </c>
      <c r="H355" s="162">
        <v>2000</v>
      </c>
      <c r="I355" s="163"/>
      <c r="J355" s="159"/>
      <c r="K355" s="159"/>
      <c r="L355" s="159"/>
      <c r="M355" s="60"/>
      <c r="N355" s="152"/>
      <c r="O355" s="60"/>
      <c r="P355" s="60"/>
      <c r="Q355" s="159"/>
      <c r="R355" s="159"/>
      <c r="S355" s="159"/>
      <c r="T355" s="159"/>
      <c r="U355" s="159"/>
      <c r="V355" s="159"/>
      <c r="W355" s="159">
        <f t="shared" si="669"/>
        <v>0</v>
      </c>
      <c r="X355" s="163"/>
      <c r="Y355" s="167">
        <v>6524.5472965109775</v>
      </c>
      <c r="Z355" s="168">
        <v>3.4252381295814788E-2</v>
      </c>
      <c r="AA355" s="78"/>
      <c r="AB355" s="168"/>
      <c r="AC355" s="168"/>
      <c r="AD355" s="163">
        <f t="shared" si="577"/>
        <v>0</v>
      </c>
      <c r="AE355" s="168"/>
      <c r="AF355" s="163"/>
      <c r="AG355" s="163"/>
      <c r="AH355" s="163"/>
      <c r="AI355" s="163"/>
      <c r="AJ355" s="167"/>
      <c r="AK355" s="168"/>
      <c r="AL355" s="115"/>
      <c r="AM355" s="115"/>
      <c r="AN355" s="115"/>
      <c r="AO355" s="115"/>
      <c r="AP355" s="115"/>
      <c r="AQ355" s="168"/>
      <c r="AR355" s="79"/>
      <c r="AS355" s="115"/>
      <c r="AT355" s="115"/>
      <c r="AU355" s="115"/>
      <c r="AV355" s="113">
        <f>IFERROR(INDEX('Total Customers'!$F$7:$AB$91,MATCH($C355,'Total Customers'!$D$7:$D$91,0),MATCH($G355,'Total Customers'!$F$5:$AB$5,0)),"NA")</f>
        <v>1048357</v>
      </c>
      <c r="AW355" s="68">
        <f t="shared" si="619"/>
        <v>5.0769806934658976E-3</v>
      </c>
      <c r="AX355" s="114"/>
      <c r="AY355" s="114"/>
      <c r="AZ355" s="116"/>
      <c r="BA355" s="116"/>
      <c r="BB355" s="166"/>
      <c r="BC355" s="166"/>
      <c r="BD355" s="166"/>
      <c r="BE355" s="166"/>
      <c r="BF355" s="166"/>
      <c r="BG355" s="166"/>
      <c r="BH355" s="166"/>
      <c r="BI355" s="113"/>
      <c r="BJ355" s="113"/>
      <c r="BK355" s="113">
        <f>INDEX('Dist. Plant Gas Additions'!$F$7:$AE$91,MATCH($C355,'Dist. Plant Gas Additions'!$D$7:$D$91,0),MATCH(Calculation!$G355,'Dist. Plant Gas Additions'!$F$5:$AE$5,0))</f>
        <v>87371</v>
      </c>
      <c r="BL355" s="113">
        <f>INDEX('Gen. Plant Additions'!$F$7:$AE$91,MATCH($C355,'Gen. Plant Additions'!$D$7:$D$91,0),MATCH(Calculation!$G355,'Gen. Plant Additions'!$F$5:$AE$5,0))</f>
        <v>0</v>
      </c>
      <c r="BM355" s="231">
        <f t="shared" si="670"/>
        <v>1</v>
      </c>
      <c r="BN355" s="61">
        <f t="shared" si="663"/>
        <v>0</v>
      </c>
      <c r="BO355" s="113">
        <f>INDEX('Dist Plant Depreciation'!$E$7:$AD$94,MATCH($C355,'Dist Plant Depreciation'!$D$7:$D$94,0),MATCH(Calculation!$G355,'Dist Plant Depreciation'!$E$5:$AD$5,0))</f>
        <v>377575</v>
      </c>
      <c r="BP355" s="113">
        <f>INDEX('Gen. Plant Depreciation'!$E$7:$AD$94,MATCH($C355,'Gen. Plant Depreciation'!$D$7:$D$94,0),MATCH(Calculation!$G355,'Gen. Plant Depreciation'!$E$5:$AD$5,0))</f>
        <v>0</v>
      </c>
      <c r="BQ355" s="113"/>
      <c r="BR355" s="113"/>
      <c r="BS355" s="113"/>
      <c r="BT355" s="113"/>
      <c r="BU355" s="113"/>
      <c r="BV355" s="113"/>
      <c r="BW355" s="113">
        <f>INDEX('Gross Dx Plant'!$E$7:$AD$91,MATCH($C355,'Gross Dx Plant'!$D$7:$D$91,0),MATCH(Calculation!$G355,'Gross Dx Plant'!$E$5:$AD$5,0))</f>
        <v>1705259</v>
      </c>
      <c r="BX355" s="113">
        <f>INDEX('Gross Gen Plant'!$E$7:$AD$91,MATCH($C355,'Gross Gen Plant'!$D$7:$D$91,0),MATCH(Calculation!$G355,'Gross Gen Plant'!$E$5:$AD$5,0))</f>
        <v>0</v>
      </c>
      <c r="BY355" s="113">
        <f t="shared" si="623"/>
        <v>1327684</v>
      </c>
      <c r="BZ355" s="113"/>
      <c r="CA355" s="116">
        <v>2000</v>
      </c>
      <c r="CB355" s="113"/>
      <c r="CC355" s="113"/>
      <c r="CD355" s="113"/>
      <c r="CE355" s="175"/>
      <c r="CF355" s="113">
        <f t="shared" si="671"/>
        <v>87371</v>
      </c>
      <c r="CG355" s="113">
        <f t="shared" si="672"/>
        <v>252.12842360408942</v>
      </c>
      <c r="CH355" s="178">
        <v>0.98989898989898994</v>
      </c>
      <c r="CI355" s="61">
        <f>+CI353*CH355+CG354*CH354+CG355</f>
        <v>6524.5472965109775</v>
      </c>
      <c r="CJ355" s="114">
        <f t="shared" si="673"/>
        <v>3.4252381295814788E-2</v>
      </c>
      <c r="CK355" s="114"/>
      <c r="CL355" s="169">
        <f t="shared" si="674"/>
        <v>5.1438491245011028E-3</v>
      </c>
      <c r="CM355" s="169"/>
      <c r="CN355" s="114">
        <f>VLOOKUP($H355,RoR!$E:$F,2,FALSE)</f>
        <v>7.6225000000000001E-2</v>
      </c>
      <c r="CO355" s="169">
        <v>2.2568307442433211E-2</v>
      </c>
      <c r="CP355" s="169">
        <f t="shared" ref="CP355:CP375" si="680">+CN355-CO355</f>
        <v>5.365669255756679E-2</v>
      </c>
      <c r="CQ355" s="169"/>
      <c r="CR355" s="169"/>
      <c r="CS355" s="179">
        <f t="shared" si="675"/>
        <v>0.85329623209999994</v>
      </c>
      <c r="CT355" s="180">
        <f t="shared" si="676"/>
        <v>0.67277207323124022</v>
      </c>
      <c r="CU355" s="180">
        <f t="shared" si="677"/>
        <v>0.6470236142997704</v>
      </c>
      <c r="CV355" s="180">
        <f t="shared" si="678"/>
        <v>0.94704866037543145</v>
      </c>
      <c r="CW355" s="180">
        <f t="shared" si="679"/>
        <v>0.41224973107878493</v>
      </c>
      <c r="CX355" s="181">
        <f>INDEX('State Tax Lookup'!$D$7:$Z$91,MATCH(Calculation!$C355,'State Tax Lookup'!$B$7:$B$91,0),MATCH($H355,'State Tax Lookup'!$D$6:$Z$6,0))</f>
        <v>0.39649667</v>
      </c>
      <c r="CY355" s="72">
        <v>0.37</v>
      </c>
      <c r="CZ355" s="70"/>
      <c r="DA355" s="70"/>
      <c r="DB355" s="69"/>
      <c r="DC355" s="111">
        <f>VLOOKUP($H355,RoR!$E:$F,2,FALSE)</f>
        <v>7.6225000000000001E-2</v>
      </c>
      <c r="DD355" s="216">
        <f>HLOOKUP($H355,'GDP-PI'!$D$8:$CQ$11,3,FALSE)</f>
        <v>2.2568307442433211E-2</v>
      </c>
      <c r="DE355" s="111">
        <f>VLOOKUP(H355,'HW Dx Data'!$E:$F,2,FALSE)</f>
        <v>346.53371782150339</v>
      </c>
      <c r="DF355" s="66"/>
      <c r="DG355" s="69"/>
      <c r="DH355" s="66">
        <f>HLOOKUP(H355,'GDP-PI'!$8:$9,2,FALSE)</f>
        <v>78.069000000000003</v>
      </c>
      <c r="DI355"/>
      <c r="EB355"/>
    </row>
    <row r="356" spans="1:132" s="160" customFormat="1" ht="21">
      <c r="A356" s="160" t="s">
        <v>182</v>
      </c>
      <c r="B356" s="161" t="s">
        <v>182</v>
      </c>
      <c r="C356" s="161">
        <v>4057080</v>
      </c>
      <c r="D356" s="161" t="s">
        <v>171</v>
      </c>
      <c r="E356" s="161" t="s">
        <v>3</v>
      </c>
      <c r="F356" s="161"/>
      <c r="G356" s="161" t="s">
        <v>111</v>
      </c>
      <c r="H356" s="162">
        <v>2001</v>
      </c>
      <c r="I356" s="163"/>
      <c r="J356" s="159"/>
      <c r="K356" s="159"/>
      <c r="L356" s="159"/>
      <c r="M356" s="60"/>
      <c r="N356" s="152"/>
      <c r="O356" s="60"/>
      <c r="P356" s="60"/>
      <c r="Q356" s="159"/>
      <c r="R356" s="159"/>
      <c r="S356" s="159"/>
      <c r="T356" s="159"/>
      <c r="U356" s="159"/>
      <c r="V356" s="159"/>
      <c r="W356" s="159">
        <f t="shared" si="669"/>
        <v>83971.001197002828</v>
      </c>
      <c r="X356" s="163"/>
      <c r="Y356" s="167">
        <v>6757.5007948817502</v>
      </c>
      <c r="Z356" s="168">
        <v>3.5081545841215048E-2</v>
      </c>
      <c r="AA356" s="78"/>
      <c r="AB356" s="168"/>
      <c r="AC356" s="168"/>
      <c r="AD356" s="163">
        <f t="shared" si="577"/>
        <v>83971.001197002828</v>
      </c>
      <c r="AE356" s="168"/>
      <c r="AF356" s="163"/>
      <c r="AG356" s="163"/>
      <c r="AH356" s="163"/>
      <c r="AI356" s="163"/>
      <c r="AJ356" s="167"/>
      <c r="AK356" s="168"/>
      <c r="AL356" s="115"/>
      <c r="AM356" s="115"/>
      <c r="AN356" s="115"/>
      <c r="AO356" s="115"/>
      <c r="AP356" s="115"/>
      <c r="AQ356" s="168"/>
      <c r="AR356" s="79"/>
      <c r="AS356" s="115"/>
      <c r="AT356" s="115"/>
      <c r="AU356" s="115"/>
      <c r="AV356" s="113">
        <f>IFERROR(INDEX('Total Customers'!$F$7:$AB$91,MATCH($C356,'Total Customers'!$D$7:$D$91,0),MATCH($G356,'Total Customers'!$F$5:$AB$5,0)),"NA")</f>
        <v>1048357</v>
      </c>
      <c r="AW356" s="68">
        <f t="shared" si="619"/>
        <v>0</v>
      </c>
      <c r="AX356" s="114"/>
      <c r="AY356" s="114"/>
      <c r="AZ356" s="116"/>
      <c r="BA356" s="116"/>
      <c r="BB356" s="166"/>
      <c r="BC356" s="166"/>
      <c r="BD356" s="166"/>
      <c r="BE356" s="166"/>
      <c r="BF356" s="166"/>
      <c r="BG356" s="166"/>
      <c r="BH356" s="166"/>
      <c r="BI356" s="113"/>
      <c r="BJ356" s="113"/>
      <c r="BK356" s="113">
        <f>INDEX('Dist. Plant Gas Additions'!$F$7:$AE$91,MATCH($C356,'Dist. Plant Gas Additions'!$D$7:$D$91,0),MATCH(Calculation!$G356,'Dist. Plant Gas Additions'!$F$5:$AE$5,0))</f>
        <v>94152</v>
      </c>
      <c r="BL356" s="113">
        <f>INDEX('Gen. Plant Additions'!$F$7:$AE$91,MATCH($C356,'Gen. Plant Additions'!$D$7:$D$91,0),MATCH(Calculation!$G356,'Gen. Plant Additions'!$F$5:$AE$5,0))</f>
        <v>0</v>
      </c>
      <c r="BM356" s="231">
        <f t="shared" si="670"/>
        <v>1</v>
      </c>
      <c r="BN356" s="61">
        <f t="shared" si="663"/>
        <v>0</v>
      </c>
      <c r="BO356" s="113">
        <f>INDEX('Dist Plant Depreciation'!$E$7:$AD$94,MATCH($C356,'Dist Plant Depreciation'!$D$7:$D$94,0),MATCH(Calculation!$G356,'Dist Plant Depreciation'!$E$5:$AD$5,0))</f>
        <v>404890</v>
      </c>
      <c r="BP356" s="113">
        <f>INDEX('Gen. Plant Depreciation'!$E$7:$AD$94,MATCH($C356,'Gen. Plant Depreciation'!$D$7:$D$94,0),MATCH(Calculation!$G356,'Gen. Plant Depreciation'!$E$5:$AD$5,0))</f>
        <v>0</v>
      </c>
      <c r="BQ356" s="113"/>
      <c r="BR356" s="113"/>
      <c r="BS356" s="113"/>
      <c r="BT356" s="113"/>
      <c r="BU356" s="113"/>
      <c r="BV356" s="113"/>
      <c r="BW356" s="113">
        <f>INDEX('Gross Dx Plant'!$E$7:$AD$91,MATCH($C356,'Gross Dx Plant'!$D$7:$D$91,0),MATCH(Calculation!$G356,'Gross Dx Plant'!$E$5:$AD$5,0))</f>
        <v>1791455</v>
      </c>
      <c r="BX356" s="113">
        <f>INDEX('Gross Gen Plant'!$E$7:$AD$91,MATCH($C356,'Gross Gen Plant'!$D$7:$D$91,0),MATCH(Calculation!$G356,'Gross Gen Plant'!$E$5:$AD$5,0))</f>
        <v>0</v>
      </c>
      <c r="BY356" s="113">
        <f t="shared" si="623"/>
        <v>1386565</v>
      </c>
      <c r="BZ356" s="113"/>
      <c r="CA356" s="116">
        <v>2001</v>
      </c>
      <c r="CB356" s="113"/>
      <c r="CC356" s="113"/>
      <c r="CD356" s="113"/>
      <c r="CE356" s="175"/>
      <c r="CF356" s="113">
        <f t="shared" si="671"/>
        <v>94152</v>
      </c>
      <c r="CG356" s="113">
        <f t="shared" si="672"/>
        <v>266.38194334168804</v>
      </c>
      <c r="CH356" s="178">
        <v>0.98461538461538467</v>
      </c>
      <c r="CI356" s="61">
        <f>+CI353*CH356+CG354*CH355+CG355*CH353+CG356</f>
        <v>6757.5007948817502</v>
      </c>
      <c r="CJ356" s="114">
        <f t="shared" si="673"/>
        <v>3.5081545841215048E-2</v>
      </c>
      <c r="CK356" s="114"/>
      <c r="CL356" s="169">
        <f t="shared" si="674"/>
        <v>5.1234887957347418E-3</v>
      </c>
      <c r="CM356" s="169">
        <f>+(CL356+CL355+CL354)/3</f>
        <v>5.0808207661151164E-3</v>
      </c>
      <c r="CN356" s="114">
        <f>VLOOKUP($H356,RoR!$E:$F,2,FALSE)</f>
        <v>7.0824999999999999E-2</v>
      </c>
      <c r="CO356" s="169">
        <v>2.2454495382290052E-2</v>
      </c>
      <c r="CP356" s="169">
        <f t="shared" si="680"/>
        <v>4.8370504617709947E-2</v>
      </c>
      <c r="CQ356" s="169">
        <f>+$CP$2-CM356</f>
        <v>2.5821120842418509E-2</v>
      </c>
      <c r="CR356" s="169">
        <f>+((DE354/DE353-1)+(DE355/DE354-1)+(DE356/DE355-1))/3</f>
        <v>2.3947275901631187E-2</v>
      </c>
      <c r="CS356" s="179">
        <f t="shared" si="675"/>
        <v>0.85329623209999994</v>
      </c>
      <c r="CT356" s="180">
        <f t="shared" si="676"/>
        <v>0.72406708481540816</v>
      </c>
      <c r="CU356" s="180">
        <f t="shared" si="677"/>
        <v>0.62201729615248857</v>
      </c>
      <c r="CV356" s="180">
        <f t="shared" si="678"/>
        <v>0.9352469954311422</v>
      </c>
      <c r="CW356" s="180">
        <f t="shared" si="679"/>
        <v>0.42121864641655071</v>
      </c>
      <c r="CX356" s="181">
        <f>INDEX('State Tax Lookup'!$D$7:$Z$91,MATCH(Calculation!$C356,'State Tax Lookup'!$B$7:$B$91,0),MATCH($H356,'State Tax Lookup'!$D$6:$Z$6,0))</f>
        <v>0.39649667</v>
      </c>
      <c r="CY356" s="72">
        <v>0.37</v>
      </c>
      <c r="CZ356" s="70">
        <f t="shared" ref="CZ356:CZ377" si="681">+(DE356*CQ356-CR356)*CS356/(1-CX356)</f>
        <v>12.870011876825016</v>
      </c>
      <c r="DA356" s="70"/>
      <c r="DB356" s="69"/>
      <c r="DC356" s="111">
        <f>VLOOKUP($H356,RoR!$E:$F,2,FALSE)</f>
        <v>7.0824999999999999E-2</v>
      </c>
      <c r="DD356" s="216">
        <f>HLOOKUP($H356,'GDP-PI'!$D$8:$CQ$11,3,FALSE)</f>
        <v>2.2454495382290052E-2</v>
      </c>
      <c r="DE356" s="111">
        <f>VLOOKUP(H356,'HW Dx Data'!$E:$F,2,FALSE)</f>
        <v>353.44738017483138</v>
      </c>
      <c r="DF356" s="66"/>
      <c r="DG356" s="69"/>
      <c r="DH356" s="66">
        <f>HLOOKUP(H356,'GDP-PI'!$8:$9,2,FALSE)</f>
        <v>79.822000000000003</v>
      </c>
      <c r="DI356"/>
      <c r="EB356"/>
    </row>
    <row r="357" spans="1:132" s="160" customFormat="1" ht="21">
      <c r="A357" s="160" t="s">
        <v>182</v>
      </c>
      <c r="B357" s="161" t="s">
        <v>182</v>
      </c>
      <c r="C357" s="161">
        <v>4057080</v>
      </c>
      <c r="D357" s="161" t="s">
        <v>171</v>
      </c>
      <c r="E357" s="161" t="s">
        <v>3</v>
      </c>
      <c r="F357" s="161"/>
      <c r="G357" s="161" t="s">
        <v>113</v>
      </c>
      <c r="H357" s="162">
        <v>2002</v>
      </c>
      <c r="I357" s="163"/>
      <c r="J357" s="159"/>
      <c r="K357" s="159"/>
      <c r="L357" s="159"/>
      <c r="M357" s="60"/>
      <c r="N357" s="152"/>
      <c r="O357" s="60"/>
      <c r="P357" s="60"/>
      <c r="Q357" s="159"/>
      <c r="R357" s="159"/>
      <c r="S357" s="159"/>
      <c r="T357" s="159"/>
      <c r="U357" s="159"/>
      <c r="V357" s="159"/>
      <c r="W357" s="159">
        <f t="shared" si="669"/>
        <v>88101.215687352</v>
      </c>
      <c r="X357" s="163"/>
      <c r="Y357" s="167">
        <v>7052.4055867723409</v>
      </c>
      <c r="Z357" s="168">
        <v>4.2715659806434852E-2</v>
      </c>
      <c r="AA357" s="78"/>
      <c r="AB357" s="168"/>
      <c r="AC357" s="168"/>
      <c r="AD357" s="163">
        <f t="shared" si="577"/>
        <v>88101.215687352</v>
      </c>
      <c r="AE357" s="168"/>
      <c r="AF357" s="163"/>
      <c r="AG357" s="163"/>
      <c r="AH357" s="163"/>
      <c r="AI357" s="163"/>
      <c r="AJ357" s="167"/>
      <c r="AK357" s="168"/>
      <c r="AL357" s="115"/>
      <c r="AM357" s="115"/>
      <c r="AN357" s="115"/>
      <c r="AO357" s="115"/>
      <c r="AP357" s="115"/>
      <c r="AQ357" s="168"/>
      <c r="AR357" s="79"/>
      <c r="AS357" s="115"/>
      <c r="AT357" s="115"/>
      <c r="AU357" s="115"/>
      <c r="AV357" s="113">
        <f>IFERROR(INDEX('Total Customers'!$F$7:$AB$91,MATCH($C357,'Total Customers'!$D$7:$D$91,0),MATCH($G357,'Total Customers'!$F$5:$AB$5,0)),"NA")</f>
        <v>1048776</v>
      </c>
      <c r="AW357" s="68">
        <f t="shared" si="619"/>
        <v>3.9959316416774017E-4</v>
      </c>
      <c r="AX357" s="114"/>
      <c r="AY357" s="114"/>
      <c r="AZ357" s="116"/>
      <c r="BA357" s="116"/>
      <c r="BB357" s="166"/>
      <c r="BC357" s="166"/>
      <c r="BD357" s="166"/>
      <c r="BE357" s="166"/>
      <c r="BF357" s="166"/>
      <c r="BG357" s="166"/>
      <c r="BH357" s="166"/>
      <c r="BI357" s="113"/>
      <c r="BJ357" s="113"/>
      <c r="BK357" s="113">
        <f>INDEX('Dist. Plant Gas Additions'!$F$7:$AE$91,MATCH($C357,'Dist. Plant Gas Additions'!$D$7:$D$91,0),MATCH(Calculation!$G357,'Dist. Plant Gas Additions'!$F$5:$AE$5,0))</f>
        <v>120419</v>
      </c>
      <c r="BL357" s="113">
        <f>INDEX('Gen. Plant Additions'!$F$7:$AE$91,MATCH($C357,'Gen. Plant Additions'!$D$7:$D$91,0),MATCH(Calculation!$G357,'Gen. Plant Additions'!$F$5:$AE$5,0))</f>
        <v>0</v>
      </c>
      <c r="BM357" s="231">
        <f t="shared" si="670"/>
        <v>1</v>
      </c>
      <c r="BN357" s="61">
        <f t="shared" si="663"/>
        <v>0</v>
      </c>
      <c r="BO357" s="113">
        <f>INDEX('Dist Plant Depreciation'!$E$7:$AD$94,MATCH($C357,'Dist Plant Depreciation'!$D$7:$D$94,0),MATCH(Calculation!$G357,'Dist Plant Depreciation'!$E$5:$AD$5,0))</f>
        <v>431102</v>
      </c>
      <c r="BP357" s="113">
        <f>INDEX('Gen. Plant Depreciation'!$E$7:$AD$94,MATCH($C357,'Gen. Plant Depreciation'!$D$7:$D$94,0),MATCH(Calculation!$G357,'Gen. Plant Depreciation'!$E$5:$AD$5,0))</f>
        <v>0</v>
      </c>
      <c r="BQ357" s="113"/>
      <c r="BR357" s="113"/>
      <c r="BS357" s="113"/>
      <c r="BT357" s="113"/>
      <c r="BU357" s="113"/>
      <c r="BV357" s="113"/>
      <c r="BW357" s="113">
        <f>INDEX('Gross Dx Plant'!$E$7:$AD$91,MATCH($C357,'Gross Dx Plant'!$D$7:$D$91,0),MATCH(Calculation!$G357,'Gross Dx Plant'!$E$5:$AD$5,0))</f>
        <v>1902805</v>
      </c>
      <c r="BX357" s="113">
        <f>INDEX('Gross Gen Plant'!$E$7:$AD$91,MATCH($C357,'Gross Gen Plant'!$D$7:$D$91,0),MATCH(Calculation!$G357,'Gross Gen Plant'!$E$5:$AD$5,0))</f>
        <v>0</v>
      </c>
      <c r="BY357" s="113">
        <f t="shared" si="623"/>
        <v>1471703</v>
      </c>
      <c r="BZ357" s="113"/>
      <c r="CA357" s="116">
        <v>2002</v>
      </c>
      <c r="CB357" s="113"/>
      <c r="CC357" s="113"/>
      <c r="CD357" s="113"/>
      <c r="CE357" s="175"/>
      <c r="CF357" s="113">
        <f t="shared" si="671"/>
        <v>120419</v>
      </c>
      <c r="CG357" s="113">
        <f t="shared" si="672"/>
        <v>333.24923555471702</v>
      </c>
      <c r="CH357" s="178">
        <v>0.97916666666666663</v>
      </c>
      <c r="CI357" s="61">
        <f>+CI353*CH357+CG354*CH356+CG355*CH355+CG356*CH354+CG357</f>
        <v>7052.4055867723409</v>
      </c>
      <c r="CJ357" s="114">
        <f t="shared" si="673"/>
        <v>4.2715659806434852E-2</v>
      </c>
      <c r="CK357" s="114"/>
      <c r="CL357" s="169">
        <f t="shared" si="674"/>
        <v>5.6743528159358837E-3</v>
      </c>
      <c r="CM357" s="169">
        <f t="shared" ref="CM357:CM377" si="682">+(CL357+CL356+CL355)/3</f>
        <v>5.3138969120572433E-3</v>
      </c>
      <c r="CN357" s="114">
        <f>VLOOKUP($H357,RoR!$E:$F,2,FALSE)</f>
        <v>6.4916666666666664E-2</v>
      </c>
      <c r="CO357" s="169">
        <v>1.5246423291824351E-2</v>
      </c>
      <c r="CP357" s="169">
        <f t="shared" si="680"/>
        <v>4.9670243374842313E-2</v>
      </c>
      <c r="CQ357" s="169">
        <f t="shared" ref="CQ357:CQ377" si="683">+$CP$2-CM357</f>
        <v>2.5588044696476381E-2</v>
      </c>
      <c r="CR357" s="169">
        <f t="shared" ref="CR357:CR377" si="684">+((DE355/DE354-1)+(DE356/DE355-1)+(DE357/DE356-1))/3</f>
        <v>2.5243621214759093E-2</v>
      </c>
      <c r="CS357" s="179">
        <f t="shared" si="675"/>
        <v>0.85329623209999994</v>
      </c>
      <c r="CT357" s="180">
        <f t="shared" si="676"/>
        <v>0.78996741384417901</v>
      </c>
      <c r="CU357" s="180">
        <f t="shared" si="677"/>
        <v>0.58989088575096271</v>
      </c>
      <c r="CV357" s="180">
        <f t="shared" si="678"/>
        <v>0.91920675783645744</v>
      </c>
      <c r="CW357" s="180">
        <f t="shared" si="679"/>
        <v>0.42834536472275586</v>
      </c>
      <c r="CX357" s="181">
        <f>INDEX('State Tax Lookup'!$D$7:$Z$91,MATCH(Calculation!$C357,'State Tax Lookup'!$B$7:$B$91,0),MATCH($H357,'State Tax Lookup'!$D$6:$Z$6,0))</f>
        <v>0.39649667</v>
      </c>
      <c r="CY357" s="72">
        <v>0.37</v>
      </c>
      <c r="CZ357" s="70">
        <f t="shared" si="681"/>
        <v>13.037544258090419</v>
      </c>
      <c r="DA357" s="70"/>
      <c r="DB357" s="69">
        <f>LN(CZ357/CZ356)</f>
        <v>1.2933270559451489E-2</v>
      </c>
      <c r="DC357" s="111">
        <f>VLOOKUP($H357,RoR!$E:$F,2,FALSE)</f>
        <v>6.4916666666666664E-2</v>
      </c>
      <c r="DD357" s="216">
        <f>HLOOKUP($H357,'GDP-PI'!$D$8:$CQ$11,3,FALSE)</f>
        <v>1.5246423291824351E-2</v>
      </c>
      <c r="DE357" s="111">
        <f>VLOOKUP(H357,'HW Dx Data'!$E:$F,2,FALSE)</f>
        <v>361.34816573413599</v>
      </c>
      <c r="DF357" s="66"/>
      <c r="DG357" s="69"/>
      <c r="DH357" s="66">
        <f>HLOOKUP(H357,'GDP-PI'!$8:$9,2,FALSE)</f>
        <v>81.039000000000001</v>
      </c>
      <c r="DI357" s="69">
        <f>LN(DH357/DH356)</f>
        <v>1.513136459537477E-2</v>
      </c>
      <c r="EB357"/>
    </row>
    <row r="358" spans="1:132" s="160" customFormat="1" ht="21">
      <c r="A358" s="160" t="s">
        <v>182</v>
      </c>
      <c r="B358" s="161" t="s">
        <v>182</v>
      </c>
      <c r="C358" s="161">
        <v>4057080</v>
      </c>
      <c r="D358" s="161" t="s">
        <v>171</v>
      </c>
      <c r="E358" s="161" t="s">
        <v>3</v>
      </c>
      <c r="F358" s="161"/>
      <c r="G358" s="161" t="s">
        <v>114</v>
      </c>
      <c r="H358" s="162">
        <v>2003</v>
      </c>
      <c r="I358" s="163"/>
      <c r="J358" s="159"/>
      <c r="K358" s="159"/>
      <c r="L358" s="159"/>
      <c r="M358" s="76"/>
      <c r="N358" s="152"/>
      <c r="O358" s="76"/>
      <c r="P358" s="76"/>
      <c r="Q358" s="159"/>
      <c r="R358" s="159"/>
      <c r="S358" s="159"/>
      <c r="T358" s="159"/>
      <c r="U358" s="159"/>
      <c r="V358" s="159"/>
      <c r="W358" s="159">
        <f t="shared" si="669"/>
        <v>93362.120184463522</v>
      </c>
      <c r="X358" s="163"/>
      <c r="Y358" s="167">
        <v>7386.4240086070986</v>
      </c>
      <c r="Z358" s="168">
        <v>4.6274945246581538E-2</v>
      </c>
      <c r="AA358" s="78"/>
      <c r="AB358" s="168"/>
      <c r="AC358" s="168"/>
      <c r="AD358" s="163">
        <f t="shared" si="577"/>
        <v>93362.120184463522</v>
      </c>
      <c r="AE358" s="168"/>
      <c r="AF358" s="163"/>
      <c r="AG358" s="163"/>
      <c r="AH358" s="163"/>
      <c r="AI358" s="163"/>
      <c r="AJ358" s="167"/>
      <c r="AK358" s="168"/>
      <c r="AL358" s="115"/>
      <c r="AM358" s="115"/>
      <c r="AN358" s="115"/>
      <c r="AO358" s="115"/>
      <c r="AP358" s="115"/>
      <c r="AQ358" s="168"/>
      <c r="AR358" s="79"/>
      <c r="AS358" s="115"/>
      <c r="AT358" s="115"/>
      <c r="AU358" s="115"/>
      <c r="AV358" s="113">
        <f>IFERROR(INDEX('Total Customers'!$F$7:$AB$91,MATCH($C358,'Total Customers'!$D$7:$D$91,0),MATCH($G358,'Total Customers'!$F$5:$AB$5,0)),"NA")</f>
        <v>1051147</v>
      </c>
      <c r="AW358" s="68">
        <f t="shared" si="619"/>
        <v>2.2581789975640865E-3</v>
      </c>
      <c r="AX358" s="114"/>
      <c r="AY358" s="114"/>
      <c r="AZ358" s="116"/>
      <c r="BA358" s="116"/>
      <c r="BB358" s="166"/>
      <c r="BC358" s="166"/>
      <c r="BD358" s="166"/>
      <c r="BE358" s="166"/>
      <c r="BF358" s="166"/>
      <c r="BG358" s="166"/>
      <c r="BH358" s="166"/>
      <c r="BI358" s="113"/>
      <c r="BJ358" s="113"/>
      <c r="BK358" s="113">
        <f>INDEX('Dist. Plant Gas Additions'!$F$7:$AE$91,MATCH($C358,'Dist. Plant Gas Additions'!$D$7:$D$91,0),MATCH(Calculation!$G358,'Dist. Plant Gas Additions'!$F$5:$AE$5,0))</f>
        <v>138071</v>
      </c>
      <c r="BL358" s="113">
        <f>INDEX('Gen. Plant Additions'!$F$7:$AE$91,MATCH($C358,'Gen. Plant Additions'!$D$7:$D$91,0),MATCH(Calculation!$G358,'Gen. Plant Additions'!$F$5:$AE$5,0))</f>
        <v>0</v>
      </c>
      <c r="BM358" s="231">
        <f t="shared" si="670"/>
        <v>1</v>
      </c>
      <c r="BN358" s="61">
        <f t="shared" si="663"/>
        <v>0</v>
      </c>
      <c r="BO358" s="113">
        <f>INDEX('Dist Plant Depreciation'!$E$7:$AD$94,MATCH($C358,'Dist Plant Depreciation'!$D$7:$D$94,0),MATCH(Calculation!$G358,'Dist Plant Depreciation'!$E$5:$AD$5,0))</f>
        <v>462602</v>
      </c>
      <c r="BP358" s="113">
        <f>INDEX('Gen. Plant Depreciation'!$E$7:$AD$94,MATCH($C358,'Gen. Plant Depreciation'!$D$7:$D$94,0),MATCH(Calculation!$G358,'Gen. Plant Depreciation'!$E$5:$AD$5,0))</f>
        <v>0</v>
      </c>
      <c r="BQ358" s="113"/>
      <c r="BR358" s="113"/>
      <c r="BS358" s="113"/>
      <c r="BT358" s="113"/>
      <c r="BU358" s="113"/>
      <c r="BV358" s="113"/>
      <c r="BW358" s="113">
        <f>INDEX('Gross Dx Plant'!$E$7:$AD$91,MATCH($C358,'Gross Dx Plant'!$D$7:$D$91,0),MATCH(Calculation!$G358,'Gross Dx Plant'!$E$5:$AD$5,0))</f>
        <v>2030145</v>
      </c>
      <c r="BX358" s="113">
        <f>INDEX('Gross Gen Plant'!$E$7:$AD$91,MATCH($C358,'Gross Gen Plant'!$D$7:$D$91,0),MATCH(Calculation!$G358,'Gross Gen Plant'!$E$5:$AD$5,0))</f>
        <v>0</v>
      </c>
      <c r="BY358" s="113">
        <f t="shared" si="623"/>
        <v>1567543</v>
      </c>
      <c r="BZ358" s="113"/>
      <c r="CA358" s="116">
        <v>2003</v>
      </c>
      <c r="CB358" s="113"/>
      <c r="CC358" s="113"/>
      <c r="CD358" s="113"/>
      <c r="CE358" s="175"/>
      <c r="CF358" s="113">
        <f t="shared" si="671"/>
        <v>138071</v>
      </c>
      <c r="CG358" s="113">
        <f t="shared" si="672"/>
        <v>373.94002135037221</v>
      </c>
      <c r="CH358" s="178">
        <v>0.97354497354497349</v>
      </c>
      <c r="CI358" s="61">
        <f>+CI353*CH358+CG354*CH357+CG355*CH356+CG356*CH355+CG357*CH354+CG358</f>
        <v>7386.4240086070986</v>
      </c>
      <c r="CJ358" s="114">
        <f t="shared" si="673"/>
        <v>4.6274945246581538E-2</v>
      </c>
      <c r="CK358" s="114"/>
      <c r="CL358" s="169">
        <f t="shared" si="674"/>
        <v>5.6607066942508891E-3</v>
      </c>
      <c r="CM358" s="169">
        <f t="shared" si="682"/>
        <v>5.4861827686405046E-3</v>
      </c>
      <c r="CN358" s="114">
        <f>VLOOKUP($H358,RoR!$E:$F,2,FALSE)</f>
        <v>5.6666666666666671E-2</v>
      </c>
      <c r="CO358" s="169">
        <v>1.8855119140166909E-2</v>
      </c>
      <c r="CP358" s="169">
        <f t="shared" si="680"/>
        <v>3.7811547526499761E-2</v>
      </c>
      <c r="CQ358" s="169">
        <f t="shared" si="683"/>
        <v>2.541575883989312E-2</v>
      </c>
      <c r="CR358" s="169">
        <f t="shared" si="684"/>
        <v>2.1375012817671957E-2</v>
      </c>
      <c r="CS358" s="179">
        <f t="shared" si="675"/>
        <v>0.85329623209999994</v>
      </c>
      <c r="CT358" s="180">
        <f t="shared" si="676"/>
        <v>0.90497737556561086</v>
      </c>
      <c r="CU358" s="180">
        <f t="shared" si="677"/>
        <v>0.5338235294117647</v>
      </c>
      <c r="CV358" s="180">
        <f t="shared" si="678"/>
        <v>0.88972433127405692</v>
      </c>
      <c r="CW358" s="180">
        <f t="shared" si="679"/>
        <v>0.42982423775949252</v>
      </c>
      <c r="CX358" s="181">
        <f>INDEX('State Tax Lookup'!$D$7:$Z$91,MATCH(Calculation!$C358,'State Tax Lookup'!$B$7:$B$91,0),MATCH($H358,'State Tax Lookup'!$D$6:$Z$6,0))</f>
        <v>0.39649667</v>
      </c>
      <c r="CY358" s="72">
        <v>0.37</v>
      </c>
      <c r="CZ358" s="70">
        <f t="shared" si="681"/>
        <v>13.238336768318561</v>
      </c>
      <c r="DA358" s="70"/>
      <c r="DB358" s="69">
        <f t="shared" ref="DB358:DB377" si="685">LN(CZ358/CZ357)</f>
        <v>1.5283705892299104E-2</v>
      </c>
      <c r="DC358" s="111">
        <f>VLOOKUP($H358,RoR!$E:$F,2,FALSE)</f>
        <v>5.6666666666666671E-2</v>
      </c>
      <c r="DD358" s="216">
        <f>HLOOKUP($H358,'GDP-PI'!$D$8:$CQ$11,3,FALSE)</f>
        <v>1.8855119140166909E-2</v>
      </c>
      <c r="DE358" s="111">
        <f>VLOOKUP(H358,'HW Dx Data'!$E:$F,2,FALSE)</f>
        <v>369.23301095560191</v>
      </c>
      <c r="DF358" s="66"/>
      <c r="DG358" s="69"/>
      <c r="DH358" s="66">
        <f>HLOOKUP(H358,'GDP-PI'!$8:$9,2,FALSE)</f>
        <v>82.566999999999993</v>
      </c>
      <c r="DI358" s="69">
        <f t="shared" ref="DI358:DI377" si="686">LN(DH358/DH357)</f>
        <v>1.8679564681853753E-2</v>
      </c>
      <c r="EB358"/>
    </row>
    <row r="359" spans="1:132" s="160" customFormat="1" ht="21">
      <c r="A359" s="160" t="s">
        <v>182</v>
      </c>
      <c r="B359" s="161" t="s">
        <v>182</v>
      </c>
      <c r="C359" s="161">
        <v>4057080</v>
      </c>
      <c r="D359" s="161" t="s">
        <v>171</v>
      </c>
      <c r="E359" s="161" t="s">
        <v>3</v>
      </c>
      <c r="F359" s="161"/>
      <c r="G359" s="161" t="s">
        <v>115</v>
      </c>
      <c r="H359" s="162">
        <v>2004</v>
      </c>
      <c r="I359" s="163"/>
      <c r="J359" s="159">
        <f>IFERROR(INDEX('Labor Expenditures'!$F$7:$X$91,MATCH($C359,'Labor Expenditures'!$D$7:$D$91,0),MATCH($G359,'Labor Expenditures'!$F$5:$X$5,0)),"NA")</f>
        <v>61522.071778329351</v>
      </c>
      <c r="K359" s="159">
        <f t="shared" ref="K359:K377" si="687">+J359/DF359</f>
        <v>652.06223400455065</v>
      </c>
      <c r="L359" s="165"/>
      <c r="M359" s="76"/>
      <c r="N359" s="152"/>
      <c r="O359" s="76"/>
      <c r="P359" s="76"/>
      <c r="Q359" s="159">
        <f>IFERROR(INDEX('Non-Labor Expenditures'!$F$7:$AB$91,MATCH($C359,'Non-Labor Expenditures'!$D$7:$D$91,0),MATCH($G359,'Non-Labor Expenditures'!$F$5:$AB$5,0)),"NA")</f>
        <v>89095.450673002488</v>
      </c>
      <c r="R359" s="159">
        <f t="shared" ref="R359:R377" si="688">+Q359/DH359</f>
        <v>1050.9265454835274</v>
      </c>
      <c r="S359" s="159"/>
      <c r="T359" s="159"/>
      <c r="U359" s="159"/>
      <c r="V359" s="159"/>
      <c r="W359" s="159">
        <f t="shared" si="669"/>
        <v>108520.83803939864</v>
      </c>
      <c r="X359" s="163"/>
      <c r="Y359" s="167">
        <v>7685.6787468780412</v>
      </c>
      <c r="Z359" s="168">
        <v>3.9714972238549168E-2</v>
      </c>
      <c r="AA359" s="76">
        <f t="shared" ref="AA359:AA377" si="689">+Z359*$AR359</f>
        <v>0</v>
      </c>
      <c r="AB359" s="168"/>
      <c r="AC359" s="168"/>
      <c r="AD359" s="163">
        <f t="shared" si="577"/>
        <v>259138.3604907305</v>
      </c>
      <c r="AE359" s="168"/>
      <c r="AF359" s="163"/>
      <c r="AG359" s="163"/>
      <c r="AH359" s="163"/>
      <c r="AI359" s="163"/>
      <c r="AJ359" s="167"/>
      <c r="AK359" s="168"/>
      <c r="AL359" s="115">
        <f t="shared" ref="AL359:AL377" si="690">+J359/AD359</f>
        <v>0.2374101297153573</v>
      </c>
      <c r="AM359" s="115">
        <f t="shared" ref="AM359:AM377" si="691">+Q359/AD359</f>
        <v>0.34381420992354189</v>
      </c>
      <c r="AN359" s="115">
        <f t="shared" ref="AN359:AN377" si="692">+W359/AD359</f>
        <v>0.41877566036110075</v>
      </c>
      <c r="AO359" s="115"/>
      <c r="AP359" s="115"/>
      <c r="AQ359" s="168"/>
      <c r="AR359" s="79"/>
      <c r="AS359" s="115"/>
      <c r="AT359" s="115"/>
      <c r="AU359" s="115"/>
      <c r="AV359" s="113">
        <f>IFERROR(INDEX('Total Customers'!$F$7:$AB$91,MATCH($C359,'Total Customers'!$D$7:$D$91,0),MATCH($G359,'Total Customers'!$F$5:$AB$5,0)),"NA")</f>
        <v>1041458</v>
      </c>
      <c r="AW359" s="68">
        <f t="shared" si="619"/>
        <v>-9.2602944543719538E-3</v>
      </c>
      <c r="AX359" s="114"/>
      <c r="AY359" s="114"/>
      <c r="AZ359" s="116"/>
      <c r="BA359" s="116"/>
      <c r="BB359" s="166"/>
      <c r="BC359" s="166"/>
      <c r="BD359" s="166"/>
      <c r="BE359" s="166"/>
      <c r="BF359" s="166"/>
      <c r="BG359" s="166"/>
      <c r="BH359" s="166"/>
      <c r="BI359" s="113"/>
      <c r="BJ359" s="113"/>
      <c r="BK359" s="113">
        <f>INDEX('Dist. Plant Gas Additions'!$F$7:$AE$91,MATCH($C359,'Dist. Plant Gas Additions'!$D$7:$D$91,0),MATCH(Calculation!$G359,'Dist. Plant Gas Additions'!$F$5:$AE$5,0))</f>
        <v>142023</v>
      </c>
      <c r="BL359" s="113">
        <f>INDEX('Gen. Plant Additions'!$F$7:$AE$91,MATCH($C359,'Gen. Plant Additions'!$D$7:$D$91,0),MATCH(Calculation!$G359,'Gen. Plant Additions'!$F$5:$AE$5,0))</f>
        <v>0</v>
      </c>
      <c r="BM359" s="231">
        <f t="shared" si="670"/>
        <v>1</v>
      </c>
      <c r="BN359" s="61">
        <f t="shared" si="663"/>
        <v>0</v>
      </c>
      <c r="BO359" s="113">
        <f>INDEX('Dist Plant Depreciation'!$E$7:$AD$94,MATCH($C359,'Dist Plant Depreciation'!$D$7:$D$94,0),MATCH(Calculation!$G359,'Dist Plant Depreciation'!$E$5:$AD$5,0))</f>
        <v>500384</v>
      </c>
      <c r="BP359" s="113">
        <f>INDEX('Gen. Plant Depreciation'!$E$7:$AD$94,MATCH($C359,'Gen. Plant Depreciation'!$D$7:$D$94,0),MATCH(Calculation!$G359,'Gen. Plant Depreciation'!$E$5:$AD$5,0))</f>
        <v>0</v>
      </c>
      <c r="BQ359" s="113"/>
      <c r="BR359" s="113"/>
      <c r="BS359" s="113"/>
      <c r="BT359" s="113"/>
      <c r="BU359" s="113"/>
      <c r="BV359" s="113"/>
      <c r="BW359" s="113">
        <f>INDEX('Gross Dx Plant'!$E$7:$AD$91,MATCH($C359,'Gross Dx Plant'!$D$7:$D$91,0),MATCH(Calculation!$G359,'Gross Dx Plant'!$E$5:$AD$5,0))</f>
        <v>2162736</v>
      </c>
      <c r="BX359" s="113">
        <f>INDEX('Gross Gen Plant'!$E$7:$AD$91,MATCH($C359,'Gross Gen Plant'!$D$7:$D$91,0),MATCH(Calculation!$G359,'Gross Gen Plant'!$E$5:$AD$5,0))</f>
        <v>0</v>
      </c>
      <c r="BY359" s="113">
        <f t="shared" si="623"/>
        <v>1662352</v>
      </c>
      <c r="BZ359" s="113"/>
      <c r="CA359" s="116">
        <v>2004</v>
      </c>
      <c r="CB359" s="113"/>
      <c r="CC359" s="113"/>
      <c r="CD359" s="113"/>
      <c r="CE359" s="175"/>
      <c r="CF359" s="113">
        <f t="shared" si="671"/>
        <v>142023</v>
      </c>
      <c r="CG359" s="113">
        <f t="shared" si="672"/>
        <v>342.31714779405485</v>
      </c>
      <c r="CH359" s="178">
        <v>0.967741935483871</v>
      </c>
      <c r="CI359" s="61">
        <f>+CI353*CH359+CG354*CH358+CG355*CH357+CG356*CH356+CG357*CH355+CG358*CH354+CG359</f>
        <v>7685.6787468780412</v>
      </c>
      <c r="CJ359" s="114">
        <f t="shared" si="673"/>
        <v>3.9714972238549168E-2</v>
      </c>
      <c r="CK359" s="114"/>
      <c r="CL359" s="169">
        <f t="shared" si="674"/>
        <v>5.8299400999635717E-3</v>
      </c>
      <c r="CM359" s="169">
        <f t="shared" si="682"/>
        <v>5.7216665367167824E-3</v>
      </c>
      <c r="CN359" s="114">
        <f>VLOOKUP($H359,RoR!$E:$F,2,FALSE)</f>
        <v>5.6283333333333331E-2</v>
      </c>
      <c r="CO359" s="169">
        <v>2.6778252812867276E-2</v>
      </c>
      <c r="CP359" s="169">
        <f t="shared" si="680"/>
        <v>2.9505080520466055E-2</v>
      </c>
      <c r="CQ359" s="169">
        <f t="shared" si="683"/>
        <v>2.5180275071816843E-2</v>
      </c>
      <c r="CR359" s="169">
        <f t="shared" si="684"/>
        <v>5.5940039414565046E-2</v>
      </c>
      <c r="CS359" s="179">
        <f t="shared" si="675"/>
        <v>0.85329623209999994</v>
      </c>
      <c r="CT359" s="180">
        <f t="shared" si="676"/>
        <v>0.91114097628755619</v>
      </c>
      <c r="CU359" s="180">
        <f t="shared" si="677"/>
        <v>0.53081877405981637</v>
      </c>
      <c r="CV359" s="180">
        <f t="shared" si="678"/>
        <v>0.88811215519385678</v>
      </c>
      <c r="CW359" s="180">
        <f t="shared" si="679"/>
        <v>0.42953609753547711</v>
      </c>
      <c r="CX359" s="181">
        <f>INDEX('State Tax Lookup'!$D$7:$Z$91,MATCH(Calculation!$C359,'State Tax Lookup'!$B$7:$B$91,0),MATCH($H359,'State Tax Lookup'!$D$6:$Z$6,0))</f>
        <v>0.39649667</v>
      </c>
      <c r="CY359" s="72">
        <v>0.37</v>
      </c>
      <c r="CZ359" s="70">
        <f t="shared" si="681"/>
        <v>14.691931835072525</v>
      </c>
      <c r="DA359" s="70"/>
      <c r="DB359" s="69">
        <f t="shared" si="685"/>
        <v>0.10418156746222541</v>
      </c>
      <c r="DC359" s="111">
        <f>VLOOKUP($H359,RoR!$E:$F,2,FALSE)</f>
        <v>5.6283333333333331E-2</v>
      </c>
      <c r="DD359" s="216">
        <f>HLOOKUP($H359,'GDP-PI'!$D$8:$CQ$11,3,FALSE)</f>
        <v>2.6778252812867276E-2</v>
      </c>
      <c r="DE359" s="111">
        <f>VLOOKUP(H359,'HW Dx Data'!$E:$F,2,FALSE)</f>
        <v>414.88719135228365</v>
      </c>
      <c r="DF359" s="72">
        <f>VLOOKUP(G359,EG$8:EH$27,2,FALSE)</f>
        <v>94.35</v>
      </c>
      <c r="DG359" s="69"/>
      <c r="DH359" s="66">
        <f>HLOOKUP(H359,'GDP-PI'!$8:$9,2,FALSE)</f>
        <v>84.778000000000006</v>
      </c>
      <c r="DI359" s="69">
        <f t="shared" si="686"/>
        <v>2.6425990216022755E-2</v>
      </c>
      <c r="EB359"/>
    </row>
    <row r="360" spans="1:132" s="160" customFormat="1" ht="21">
      <c r="A360" s="160" t="s">
        <v>182</v>
      </c>
      <c r="B360" s="161" t="s">
        <v>182</v>
      </c>
      <c r="C360" s="161">
        <v>4057080</v>
      </c>
      <c r="D360" s="161" t="s">
        <v>171</v>
      </c>
      <c r="E360" s="161" t="s">
        <v>3</v>
      </c>
      <c r="F360" s="161"/>
      <c r="G360" s="161" t="s">
        <v>116</v>
      </c>
      <c r="H360" s="162">
        <v>2005</v>
      </c>
      <c r="I360" s="163"/>
      <c r="J360" s="159">
        <f>IFERROR(INDEX('Labor Expenditures'!$F$7:$X$91,MATCH($C360,'Labor Expenditures'!$D$7:$D$91,0),MATCH($G360,'Labor Expenditures'!$F$5:$X$5,0)),"NA")</f>
        <v>68711.047060469995</v>
      </c>
      <c r="K360" s="159">
        <f t="shared" si="687"/>
        <v>692.47716866182918</v>
      </c>
      <c r="L360" s="165">
        <f t="shared" ref="L360:L376" si="693">LN(K360/K359)</f>
        <v>6.0135259777859704E-2</v>
      </c>
      <c r="M360" s="76"/>
      <c r="N360" s="62">
        <v>100</v>
      </c>
      <c r="O360" s="77"/>
      <c r="P360" s="77"/>
      <c r="Q360" s="159">
        <f>IFERROR(INDEX('Non-Labor Expenditures'!$F$7:$AB$91,MATCH($C360,'Non-Labor Expenditures'!$D$7:$D$91,0),MATCH($G360,'Non-Labor Expenditures'!$F$5:$AB$5,0)),"NA")</f>
        <v>99506.429596911374</v>
      </c>
      <c r="R360" s="159">
        <f t="shared" si="688"/>
        <v>1138.4263227992194</v>
      </c>
      <c r="S360" s="165">
        <f>LN(R360/R359)</f>
        <v>7.9974690821695837E-2</v>
      </c>
      <c r="T360" s="165"/>
      <c r="U360" s="165"/>
      <c r="V360" s="165"/>
      <c r="W360" s="159">
        <f t="shared" si="669"/>
        <v>126822.49053641589</v>
      </c>
      <c r="X360" s="163"/>
      <c r="Y360" s="167">
        <v>7938.9244755827076</v>
      </c>
      <c r="Z360" s="168">
        <v>3.241911551867406E-2</v>
      </c>
      <c r="AA360" s="76">
        <f t="shared" si="689"/>
        <v>0</v>
      </c>
      <c r="AB360" s="168"/>
      <c r="AC360" s="168"/>
      <c r="AD360" s="163">
        <f t="shared" si="577"/>
        <v>295039.96719379723</v>
      </c>
      <c r="AE360" s="168">
        <f>LN(AD360/AD359)</f>
        <v>0.12974869972694661</v>
      </c>
      <c r="AF360" s="163"/>
      <c r="AG360" s="163"/>
      <c r="AH360" s="163"/>
      <c r="AI360" s="163"/>
      <c r="AJ360" s="116"/>
      <c r="AK360" s="114"/>
      <c r="AL360" s="115">
        <f t="shared" si="690"/>
        <v>0.2328872515611998</v>
      </c>
      <c r="AM360" s="115">
        <f t="shared" si="691"/>
        <v>0.33726423759920804</v>
      </c>
      <c r="AN360" s="115">
        <f t="shared" si="692"/>
        <v>0.42984851083959225</v>
      </c>
      <c r="AO360" s="115">
        <f t="shared" ref="AO360:AO376" si="694">+(((AL360+AL359)/2)*L360+((AM359+AM360)/2)*S360+((AN359+AN360)/2)*Z360)</f>
        <v>5.5131069249979861E-2</v>
      </c>
      <c r="AP360" s="166">
        <v>100</v>
      </c>
      <c r="AQ360" s="168"/>
      <c r="AR360" s="16"/>
      <c r="AS360" s="115"/>
      <c r="AT360" s="115"/>
      <c r="AU360" s="115"/>
      <c r="AV360" s="113">
        <f>IFERROR(INDEX('Total Customers'!$F$7:$AB$91,MATCH($C360,'Total Customers'!$D$7:$D$91,0),MATCH($G360,'Total Customers'!$F$5:$AB$5,0)),"NA")</f>
        <v>1054926</v>
      </c>
      <c r="AW360" s="68">
        <f t="shared" si="619"/>
        <v>1.2848967834333152E-2</v>
      </c>
      <c r="AX360" s="114"/>
      <c r="AY360" s="114"/>
      <c r="AZ360" s="116"/>
      <c r="BA360" s="116"/>
      <c r="BB360" s="166"/>
      <c r="BC360" s="166"/>
      <c r="BD360" s="166"/>
      <c r="BE360" s="166"/>
      <c r="BF360" s="166"/>
      <c r="BG360" s="166"/>
      <c r="BH360" s="166"/>
      <c r="BI360" s="113"/>
      <c r="BJ360" s="113"/>
      <c r="BK360" s="113">
        <f>INDEX('Dist. Plant Gas Additions'!$F$7:$AE$91,MATCH($C360,'Dist. Plant Gas Additions'!$D$7:$D$91,0),MATCH(Calculation!$G360,'Dist. Plant Gas Additions'!$F$5:$AE$5,0))</f>
        <v>140485</v>
      </c>
      <c r="BL360" s="113">
        <f>INDEX('Gen. Plant Additions'!$F$7:$AE$91,MATCH($C360,'Gen. Plant Additions'!$D$7:$D$91,0),MATCH(Calculation!$G360,'Gen. Plant Additions'!$F$5:$AE$5,0))</f>
        <v>0</v>
      </c>
      <c r="BM360" s="231">
        <f t="shared" si="670"/>
        <v>1</v>
      </c>
      <c r="BN360" s="61">
        <f t="shared" si="663"/>
        <v>0</v>
      </c>
      <c r="BO360" s="113">
        <f>INDEX('Dist Plant Depreciation'!$E$7:$AD$94,MATCH($C360,'Dist Plant Depreciation'!$D$7:$D$94,0),MATCH(Calculation!$G360,'Dist Plant Depreciation'!$E$5:$AD$5,0))</f>
        <v>537924</v>
      </c>
      <c r="BP360" s="113">
        <f>INDEX('Gen. Plant Depreciation'!$E$7:$AD$94,MATCH($C360,'Gen. Plant Depreciation'!$D$7:$D$94,0),MATCH(Calculation!$G360,'Gen. Plant Depreciation'!$E$5:$AD$5,0))</f>
        <v>0</v>
      </c>
      <c r="BQ360" s="113"/>
      <c r="BR360" s="113"/>
      <c r="BS360" s="113"/>
      <c r="BT360" s="113"/>
      <c r="BU360" s="113"/>
      <c r="BV360" s="113"/>
      <c r="BW360" s="113">
        <f>INDEX('Gross Dx Plant'!$E$7:$AD$91,MATCH($C360,'Gross Dx Plant'!$D$7:$D$91,0),MATCH(Calculation!$G360,'Gross Dx Plant'!$E$5:$AD$5,0))</f>
        <v>2292855</v>
      </c>
      <c r="BX360" s="113">
        <f>INDEX('Gross Gen Plant'!$E$7:$AD$91,MATCH($C360,'Gross Gen Plant'!$D$7:$D$91,0),MATCH(Calculation!$G360,'Gross Gen Plant'!$E$5:$AD$5,0))</f>
        <v>0</v>
      </c>
      <c r="BY360" s="113">
        <f t="shared" si="623"/>
        <v>1754931</v>
      </c>
      <c r="BZ360" s="113"/>
      <c r="CA360" s="116">
        <v>2005</v>
      </c>
      <c r="CB360" s="113"/>
      <c r="CC360" s="113"/>
      <c r="CD360" s="113"/>
      <c r="CE360" s="175"/>
      <c r="CF360" s="113">
        <f t="shared" si="671"/>
        <v>140485</v>
      </c>
      <c r="CG360" s="113">
        <f t="shared" si="672"/>
        <v>299.41061578182439</v>
      </c>
      <c r="CH360" s="178">
        <v>0.96174863387978138</v>
      </c>
      <c r="CI360" s="61">
        <f>+CI353*CH360+CG354*CH359+CG355*CH358+CG356*CH357+CG357*CH356+CG358*CH355+CG359*CH354+CG360</f>
        <v>7938.9244755827076</v>
      </c>
      <c r="CJ360" s="114">
        <f t="shared" si="673"/>
        <v>3.241911551867406E-2</v>
      </c>
      <c r="CK360" s="114"/>
      <c r="CL360" s="169">
        <f t="shared" si="674"/>
        <v>6.0066115950930714E-3</v>
      </c>
      <c r="CM360" s="169">
        <f t="shared" si="682"/>
        <v>5.8324194631025105E-3</v>
      </c>
      <c r="CN360" s="114">
        <f>VLOOKUP($H360,RoR!$E:$F,2,FALSE)</f>
        <v>5.2350000000000001E-2</v>
      </c>
      <c r="CO360" s="169">
        <v>3.1010403642454332E-2</v>
      </c>
      <c r="CP360" s="169">
        <f t="shared" si="680"/>
        <v>2.1339596357545669E-2</v>
      </c>
      <c r="CQ360" s="169">
        <f t="shared" si="683"/>
        <v>2.5069522145431115E-2</v>
      </c>
      <c r="CR360" s="169">
        <f t="shared" si="684"/>
        <v>9.2129610649277341E-2</v>
      </c>
      <c r="CS360" s="179">
        <f t="shared" si="675"/>
        <v>0.85329623209999994</v>
      </c>
      <c r="CT360" s="180">
        <f t="shared" si="676"/>
        <v>0.97959983346802826</v>
      </c>
      <c r="CU360" s="180">
        <f t="shared" si="677"/>
        <v>0.49744508118433622</v>
      </c>
      <c r="CV360" s="180">
        <f t="shared" si="678"/>
        <v>0.87010519444335932</v>
      </c>
      <c r="CW360" s="180">
        <f t="shared" si="679"/>
        <v>0.42399975420741998</v>
      </c>
      <c r="CX360" s="181">
        <f>INDEX('State Tax Lookup'!$D$7:$Z$91,MATCH(Calculation!$C360,'State Tax Lookup'!$B$7:$B$91,0),MATCH($H360,'State Tax Lookup'!$D$6:$Z$6,0))</f>
        <v>0.39649667</v>
      </c>
      <c r="CY360" s="72">
        <v>0.37</v>
      </c>
      <c r="CZ360" s="70">
        <f t="shared" si="681"/>
        <v>16.501143843402481</v>
      </c>
      <c r="DA360" s="70"/>
      <c r="DB360" s="69">
        <f t="shared" si="685"/>
        <v>0.11613121399451096</v>
      </c>
      <c r="DC360" s="111">
        <f>VLOOKUP($H360,RoR!$E:$F,2,FALSE)</f>
        <v>5.2350000000000001E-2</v>
      </c>
      <c r="DD360" s="216">
        <f>HLOOKUP($H360,'GDP-PI'!$D$8:$CQ$11,3,FALSE)</f>
        <v>3.1010403642454332E-2</v>
      </c>
      <c r="DE360" s="111">
        <f>VLOOKUP(H360,'HW Dx Data'!$E:$F,2,FALSE)</f>
        <v>469.20514034936258</v>
      </c>
      <c r="DF360" s="72">
        <f t="shared" ref="DF360:DF378" si="695">VLOOKUP(G360,EG$8:EH$27,2,FALSE)</f>
        <v>99.224999999999994</v>
      </c>
      <c r="DG360" s="69">
        <f t="shared" ref="DG360:DG378" si="696">LN(DF360/DF359)</f>
        <v>5.0378726854569796E-2</v>
      </c>
      <c r="DH360" s="66">
        <f>HLOOKUP(H360,'GDP-PI'!$8:$9,2,FALSE)</f>
        <v>87.406999999999996</v>
      </c>
      <c r="DI360" s="69">
        <f t="shared" si="686"/>
        <v>3.0539295810733648E-2</v>
      </c>
      <c r="EB360"/>
    </row>
    <row r="361" spans="1:132" s="160" customFormat="1" ht="21">
      <c r="A361" s="160" t="s">
        <v>182</v>
      </c>
      <c r="B361" s="161" t="s">
        <v>182</v>
      </c>
      <c r="C361" s="161">
        <v>4057080</v>
      </c>
      <c r="D361" s="161" t="s">
        <v>171</v>
      </c>
      <c r="E361" s="161" t="s">
        <v>3</v>
      </c>
      <c r="F361" s="161"/>
      <c r="G361" s="161" t="s">
        <v>117</v>
      </c>
      <c r="H361" s="162">
        <v>2006</v>
      </c>
      <c r="I361" s="163"/>
      <c r="J361" s="159">
        <f>IFERROR(INDEX('Labor Expenditures'!$F$7:$X$91,MATCH($C361,'Labor Expenditures'!$D$7:$D$91,0),MATCH($G361,'Labor Expenditures'!$F$5:$X$5,0)),"NA")</f>
        <v>73972.106776327477</v>
      </c>
      <c r="K361" s="159">
        <f t="shared" si="687"/>
        <v>676.16185353132971</v>
      </c>
      <c r="L361" s="165">
        <f t="shared" si="693"/>
        <v>-2.3842792391221244E-2</v>
      </c>
      <c r="M361" s="76">
        <f t="shared" ref="M361:M377" si="697">+L361*$AR361</f>
        <v>-9.257193161866465E-4</v>
      </c>
      <c r="N361" s="62">
        <f>+N360*EXP(O361)</f>
        <v>106.2731871929288</v>
      </c>
      <c r="O361" s="96">
        <f t="shared" ref="O361:O377" si="698">+M361+M386+M411+M436+M461+M486+M511+M536+M561+M586+M611+M636+M661+M686+M711+M736+M761+M786+M811+M836+M861+M886+M911+M936+M961+M986+M1011+M1036+M1061+M1086+M1111+M1136+M1161+M1186+M1211+M1236+M1261+M1286+M1311+M1336+M1361+M1386+M1411+M1436+M1461+M1486+M1511+M1536+M1561+M1586+M1611+M1636+M1661+M1686</f>
        <v>6.0842830411243429E-2</v>
      </c>
      <c r="P361" s="96"/>
      <c r="Q361" s="159">
        <f>IFERROR(INDEX('Non-Labor Expenditures'!$F$7:$AB$91,MATCH($C361,'Non-Labor Expenditures'!$D$7:$D$91,0),MATCH($G361,'Non-Labor Expenditures'!$F$5:$AB$5,0)),"NA")</f>
        <v>107125.42669588438</v>
      </c>
      <c r="R361" s="159">
        <f t="shared" si="688"/>
        <v>1189.3046461341162</v>
      </c>
      <c r="S361" s="165">
        <f t="shared" ref="S361:S376" si="699">LN(R361/R360)</f>
        <v>4.3721915202076141E-2</v>
      </c>
      <c r="T361" s="165">
        <f t="shared" ref="T361:T377" si="700">+S361*AR361</f>
        <v>1.6975453537119588E-3</v>
      </c>
      <c r="U361" s="165"/>
      <c r="V361" s="165"/>
      <c r="W361" s="159">
        <f t="shared" si="669"/>
        <v>127942.58866781858</v>
      </c>
      <c r="X361" s="163"/>
      <c r="Y361" s="167">
        <v>8240.7277524000474</v>
      </c>
      <c r="Z361" s="168">
        <v>3.7310849879213272E-2</v>
      </c>
      <c r="AA361" s="76">
        <f t="shared" si="689"/>
        <v>1.4486295845634715E-3</v>
      </c>
      <c r="AB361" s="168"/>
      <c r="AC361" s="168"/>
      <c r="AD361" s="163">
        <f t="shared" si="577"/>
        <v>309040.12214003043</v>
      </c>
      <c r="AE361" s="168">
        <f t="shared" ref="AE361:AE377" si="701">LN(AD361/AD360)</f>
        <v>4.6360284406132643E-2</v>
      </c>
      <c r="AF361" s="163"/>
      <c r="AG361" s="163"/>
      <c r="AH361" s="163"/>
      <c r="AI361" s="163"/>
      <c r="AJ361" s="116">
        <f t="shared" ref="AJ361:AJ377" si="702">+(AD361*1000)/AV361</f>
        <v>269.07917400808913</v>
      </c>
      <c r="AK361" s="114">
        <f>+AV361/$AX$11</f>
        <v>3.311597505629018E-2</v>
      </c>
      <c r="AL361" s="115">
        <f t="shared" si="690"/>
        <v>0.23936085147807984</v>
      </c>
      <c r="AM361" s="115">
        <f t="shared" si="691"/>
        <v>0.34663921938053188</v>
      </c>
      <c r="AN361" s="115">
        <f t="shared" si="692"/>
        <v>0.41399992914138828</v>
      </c>
      <c r="AO361" s="115">
        <f t="shared" si="694"/>
        <v>2.5063278969749993E-2</v>
      </c>
      <c r="AP361" s="166">
        <f>+AP360*EXP(AO361)</f>
        <v>102.53800034617657</v>
      </c>
      <c r="AQ361" s="168">
        <f>LN(AP361/AP360)</f>
        <v>2.5063278969749934E-2</v>
      </c>
      <c r="AR361" s="69">
        <f>+AD361/$AF$11</f>
        <v>3.8825960524971483E-2</v>
      </c>
      <c r="AS361" s="169">
        <f>+AR361*AQ361</f>
        <v>9.7310587990585894E-4</v>
      </c>
      <c r="AT361" s="115"/>
      <c r="AU361" s="115"/>
      <c r="AV361" s="113">
        <f>IFERROR(INDEX('Total Customers'!$F$7:$AB$91,MATCH($C361,'Total Customers'!$D$7:$D$91,0),MATCH($G361,'Total Customers'!$F$5:$AB$5,0)),"NA")</f>
        <v>1148510</v>
      </c>
      <c r="AW361" s="68">
        <f t="shared" si="619"/>
        <v>8.4994827830395081E-2</v>
      </c>
      <c r="AX361" s="114"/>
      <c r="AY361" s="114"/>
      <c r="AZ361" s="116">
        <v>8247377</v>
      </c>
      <c r="BA361" s="116"/>
      <c r="BB361" s="166"/>
      <c r="BC361" s="166"/>
      <c r="BD361" s="166"/>
      <c r="BE361" s="166"/>
      <c r="BF361" s="166"/>
      <c r="BG361" s="166"/>
      <c r="BH361" s="166"/>
      <c r="BI361" s="113"/>
      <c r="BJ361" s="113"/>
      <c r="BK361" s="113">
        <f>INDEX('Dist. Plant Gas Additions'!$F$7:$AE$91,MATCH($C361,'Dist. Plant Gas Additions'!$D$7:$D$91,0),MATCH(Calculation!$G361,'Dist. Plant Gas Additions'!$F$5:$AE$5,0))</f>
        <v>161831</v>
      </c>
      <c r="BL361" s="113">
        <f>INDEX('Gen. Plant Additions'!$F$7:$AE$91,MATCH($C361,'Gen. Plant Additions'!$D$7:$D$91,0),MATCH(Calculation!$G361,'Gen. Plant Additions'!$F$5:$AE$5,0))</f>
        <v>0</v>
      </c>
      <c r="BM361" s="231">
        <f t="shared" si="670"/>
        <v>1</v>
      </c>
      <c r="BN361" s="61">
        <f t="shared" si="663"/>
        <v>0</v>
      </c>
      <c r="BO361" s="113">
        <f>INDEX('Dist Plant Depreciation'!$E$7:$AD$94,MATCH($C361,'Dist Plant Depreciation'!$D$7:$D$94,0),MATCH(Calculation!$G361,'Dist Plant Depreciation'!$E$5:$AD$5,0))</f>
        <v>579904</v>
      </c>
      <c r="BP361" s="113">
        <f>INDEX('Gen. Plant Depreciation'!$E$7:$AD$94,MATCH($C361,'Gen. Plant Depreciation'!$D$7:$D$94,0),MATCH(Calculation!$G361,'Gen. Plant Depreciation'!$E$5:$AD$5,0))</f>
        <v>0</v>
      </c>
      <c r="BQ361" s="113"/>
      <c r="BR361" s="113"/>
      <c r="BS361" s="113"/>
      <c r="BT361" s="113"/>
      <c r="BU361" s="113"/>
      <c r="BV361" s="113"/>
      <c r="BW361" s="113">
        <f>INDEX('Gross Dx Plant'!$E$7:$AD$91,MATCH($C361,'Gross Dx Plant'!$D$7:$D$91,0),MATCH(Calculation!$G361,'Gross Dx Plant'!$E$5:$AD$5,0))</f>
        <v>2445432</v>
      </c>
      <c r="BX361" s="113">
        <f>INDEX('Gross Gen Plant'!$E$7:$AD$91,MATCH($C361,'Gross Gen Plant'!$D$7:$D$91,0),MATCH(Calculation!$G361,'Gross Gen Plant'!$E$5:$AD$5,0))</f>
        <v>0</v>
      </c>
      <c r="BY361" s="113">
        <f t="shared" si="623"/>
        <v>1865528</v>
      </c>
      <c r="BZ361" s="114"/>
      <c r="CA361" s="116">
        <v>2006</v>
      </c>
      <c r="CB361" s="113"/>
      <c r="CC361" s="113"/>
      <c r="CD361" s="113"/>
      <c r="CE361" s="175"/>
      <c r="CF361" s="113">
        <f t="shared" si="671"/>
        <v>161831</v>
      </c>
      <c r="CG361" s="113">
        <f t="shared" si="672"/>
        <v>350.97815779425224</v>
      </c>
      <c r="CH361" s="178">
        <v>0.9555555555555556</v>
      </c>
      <c r="CI361" s="61">
        <f>+CI353*CH361+CG354*CH360+CG355*CH359+CG356*CH358+CG357*CH357+CG358*CH356+CG359*CH355+CG360*CH354+CG361</f>
        <v>8240.7277524000474</v>
      </c>
      <c r="CJ361" s="114">
        <f t="shared" si="673"/>
        <v>3.7310849879213272E-2</v>
      </c>
      <c r="CK361" s="114"/>
      <c r="CL361" s="169">
        <f t="shared" si="674"/>
        <v>6.1941489843059718E-3</v>
      </c>
      <c r="CM361" s="169">
        <f t="shared" si="682"/>
        <v>6.0102335597875386E-3</v>
      </c>
      <c r="CN361" s="114">
        <f>VLOOKUP($H361,RoR!$E:$F,2,FALSE)</f>
        <v>5.5874999999999994E-2</v>
      </c>
      <c r="CO361" s="169">
        <v>3.0512430354548314E-2</v>
      </c>
      <c r="CP361" s="169">
        <f t="shared" si="680"/>
        <v>2.536256964545168E-2</v>
      </c>
      <c r="CQ361" s="169">
        <f t="shared" si="683"/>
        <v>2.4891708048746086E-2</v>
      </c>
      <c r="CR361" s="169">
        <f t="shared" si="684"/>
        <v>7.9087823893859641E-2</v>
      </c>
      <c r="CS361" s="179">
        <f t="shared" si="675"/>
        <v>0.85329623209999994</v>
      </c>
      <c r="CT361" s="180">
        <f t="shared" si="676"/>
        <v>0.91779957551769631</v>
      </c>
      <c r="CU361" s="180">
        <f t="shared" si="677"/>
        <v>0.52757270693512304</v>
      </c>
      <c r="CV361" s="180">
        <f t="shared" si="678"/>
        <v>0.88636824549024895</v>
      </c>
      <c r="CW361" s="180">
        <f t="shared" si="679"/>
        <v>0.42918482841932087</v>
      </c>
      <c r="CX361" s="181">
        <f>INDEX('State Tax Lookup'!$D$7:$Z$91,MATCH(Calculation!$C361,'State Tax Lookup'!$B$7:$B$91,0),MATCH($H361,'State Tax Lookup'!$D$6:$Z$6,0))</f>
        <v>0.39649667</v>
      </c>
      <c r="CY361" s="72">
        <v>0.37</v>
      </c>
      <c r="CZ361" s="70">
        <f t="shared" si="681"/>
        <v>16.1158591521212</v>
      </c>
      <c r="DA361" s="70">
        <v>14.788696346247992</v>
      </c>
      <c r="DB361" s="69">
        <f t="shared" si="685"/>
        <v>-2.362587468551974E-2</v>
      </c>
      <c r="DC361" s="111">
        <f>VLOOKUP($H361,RoR!$E:$F,2,FALSE)</f>
        <v>5.5874999999999994E-2</v>
      </c>
      <c r="DD361" s="216">
        <f>HLOOKUP($H361,'GDP-PI'!$D$8:$CQ$11,3,FALSE)</f>
        <v>3.0512430354548314E-2</v>
      </c>
      <c r="DE361" s="111">
        <f>VLOOKUP(H361,'HW Dx Data'!$E:$F,2,FALSE)</f>
        <v>461.08567272971823</v>
      </c>
      <c r="DF361" s="72">
        <f t="shared" si="695"/>
        <v>109.4</v>
      </c>
      <c r="DG361" s="69">
        <f t="shared" si="696"/>
        <v>9.7620891318751846E-2</v>
      </c>
      <c r="DH361" s="66">
        <f>HLOOKUP(H361,'GDP-PI'!$8:$9,2,FALSE)</f>
        <v>90.073999999999998</v>
      </c>
      <c r="DI361" s="69">
        <f t="shared" si="686"/>
        <v>3.005618372545445E-2</v>
      </c>
      <c r="EB361"/>
    </row>
    <row r="362" spans="1:132" s="160" customFormat="1" ht="21">
      <c r="A362" s="160" t="s">
        <v>182</v>
      </c>
      <c r="B362" s="161" t="s">
        <v>182</v>
      </c>
      <c r="C362" s="161">
        <v>4057080</v>
      </c>
      <c r="D362" s="161" t="s">
        <v>171</v>
      </c>
      <c r="E362" s="161" t="s">
        <v>3</v>
      </c>
      <c r="F362" s="161"/>
      <c r="G362" s="161" t="s">
        <v>118</v>
      </c>
      <c r="H362" s="162">
        <v>2007</v>
      </c>
      <c r="I362" s="163"/>
      <c r="J362" s="159">
        <f>IFERROR(INDEX('Labor Expenditures'!$F$7:$X$91,MATCH($C362,'Labor Expenditures'!$D$7:$D$91,0),MATCH($G362,'Labor Expenditures'!$F$5:$X$5,0)),"NA")</f>
        <v>78490.775650091135</v>
      </c>
      <c r="K362" s="159">
        <f t="shared" si="687"/>
        <v>750.92825305038161</v>
      </c>
      <c r="L362" s="165">
        <f t="shared" si="693"/>
        <v>0.10487763629578976</v>
      </c>
      <c r="M362" s="76">
        <f t="shared" si="697"/>
        <v>4.1761134468228222E-3</v>
      </c>
      <c r="N362" s="62">
        <f t="shared" ref="N362:N375" si="703">+N361*EXP(O362)</f>
        <v>117.65953169331519</v>
      </c>
      <c r="O362" s="96">
        <f t="shared" si="698"/>
        <v>0.10178211286005195</v>
      </c>
      <c r="P362" s="96"/>
      <c r="Q362" s="159">
        <f>IFERROR(INDEX('Non-Labor Expenditures'!$F$7:$AB$91,MATCH($C362,'Non-Labor Expenditures'!$D$7:$D$91,0),MATCH($G362,'Non-Labor Expenditures'!$F$5:$AB$5,0)),"NA")</f>
        <v>113669.30319602285</v>
      </c>
      <c r="R362" s="159">
        <f t="shared" si="688"/>
        <v>1228.8839023116484</v>
      </c>
      <c r="S362" s="165">
        <f t="shared" si="699"/>
        <v>3.2737555600499513E-2</v>
      </c>
      <c r="T362" s="165">
        <f t="shared" si="700"/>
        <v>1.3035738693973995E-3</v>
      </c>
      <c r="U362" s="165"/>
      <c r="V362" s="165"/>
      <c r="W362" s="159">
        <f t="shared" si="669"/>
        <v>142627.23847692844</v>
      </c>
      <c r="X362" s="163"/>
      <c r="Y362" s="167">
        <v>8481.7158660071418</v>
      </c>
      <c r="Z362" s="168">
        <v>2.8824112537341039E-2</v>
      </c>
      <c r="AA362" s="76">
        <f t="shared" si="689"/>
        <v>1.1477448215979338E-3</v>
      </c>
      <c r="AB362" s="168"/>
      <c r="AC362" s="168"/>
      <c r="AD362" s="163">
        <f t="shared" si="577"/>
        <v>334787.31732304243</v>
      </c>
      <c r="AE362" s="168">
        <f t="shared" si="701"/>
        <v>8.0024342962918257E-2</v>
      </c>
      <c r="AF362" s="163"/>
      <c r="AG362" s="163"/>
      <c r="AH362" s="163"/>
      <c r="AI362" s="163"/>
      <c r="AJ362" s="116">
        <f t="shared" si="702"/>
        <v>315.73403146052556</v>
      </c>
      <c r="AK362" s="114">
        <f>+AV362/$AX$12</f>
        <v>3.034367391606628E-2</v>
      </c>
      <c r="AL362" s="115">
        <f t="shared" si="690"/>
        <v>0.234449668755982</v>
      </c>
      <c r="AM362" s="115">
        <f t="shared" si="691"/>
        <v>0.33952690951653125</v>
      </c>
      <c r="AN362" s="115">
        <f t="shared" si="692"/>
        <v>0.42602342172748675</v>
      </c>
      <c r="AO362" s="115">
        <f t="shared" si="694"/>
        <v>4.8184228404806385E-2</v>
      </c>
      <c r="AP362" s="166">
        <f>+AP361*EXP(AO362)</f>
        <v>107.59968211079168</v>
      </c>
      <c r="AQ362" s="168">
        <f>LN(AP362/AP361)</f>
        <v>4.8184228404806406E-2</v>
      </c>
      <c r="AR362" s="69">
        <f>+AD362/$AF$12</f>
        <v>3.9818912728398985E-2</v>
      </c>
      <c r="AS362" s="169">
        <f t="shared" ref="AS362:AS376" si="704">+AR362*AQ362</f>
        <v>1.9186435857362297E-3</v>
      </c>
      <c r="AT362" s="115"/>
      <c r="AU362" s="115"/>
      <c r="AV362" s="113">
        <f>IFERROR(INDEX('Total Customers'!$F$7:$AB$91,MATCH($C362,'Total Customers'!$D$7:$D$91,0),MATCH($G362,'Total Customers'!$F$5:$AB$5,0)),"NA")</f>
        <v>1060346</v>
      </c>
      <c r="AW362" s="68">
        <f t="shared" si="619"/>
        <v>-7.9870180161753998E-2</v>
      </c>
      <c r="AX362" s="114"/>
      <c r="AY362" s="114"/>
      <c r="AZ362" s="116">
        <v>8187757</v>
      </c>
      <c r="BA362" s="116"/>
      <c r="BB362" s="166"/>
      <c r="BC362" s="166"/>
      <c r="BD362" s="166"/>
      <c r="BE362" s="166"/>
      <c r="BF362" s="166"/>
      <c r="BG362" s="166"/>
      <c r="BH362" s="166"/>
      <c r="BI362" s="113"/>
      <c r="BJ362" s="113"/>
      <c r="BK362" s="113">
        <f>INDEX('Dist. Plant Gas Additions'!$F$7:$AE$91,MATCH($C362,'Dist. Plant Gas Additions'!$D$7:$D$91,0),MATCH(Calculation!$G362,'Dist. Plant Gas Additions'!$F$5:$AE$5,0))</f>
        <v>146195</v>
      </c>
      <c r="BL362" s="113">
        <f>INDEX('Gen. Plant Additions'!$F$7:$AE$91,MATCH($C362,'Gen. Plant Additions'!$D$7:$D$91,0),MATCH(Calculation!$G362,'Gen. Plant Additions'!$F$5:$AE$5,0))</f>
        <v>0</v>
      </c>
      <c r="BM362" s="231">
        <f t="shared" si="670"/>
        <v>1</v>
      </c>
      <c r="BN362" s="61">
        <f t="shared" si="663"/>
        <v>0</v>
      </c>
      <c r="BO362" s="113">
        <f>INDEX('Dist Plant Depreciation'!$E$7:$AD$94,MATCH($C362,'Dist Plant Depreciation'!$D$7:$D$94,0),MATCH(Calculation!$G362,'Dist Plant Depreciation'!$E$5:$AD$5,0))</f>
        <v>618997</v>
      </c>
      <c r="BP362" s="113">
        <f>INDEX('Gen. Plant Depreciation'!$E$7:$AD$94,MATCH($C362,'Gen. Plant Depreciation'!$D$7:$D$94,0),MATCH(Calculation!$G362,'Gen. Plant Depreciation'!$E$5:$AD$5,0))</f>
        <v>0</v>
      </c>
      <c r="BQ362" s="113"/>
      <c r="BR362" s="113"/>
      <c r="BS362" s="113"/>
      <c r="BT362" s="113"/>
      <c r="BU362" s="113"/>
      <c r="BV362" s="113"/>
      <c r="BW362" s="113">
        <f>INDEX('Gross Dx Plant'!$E$7:$AD$91,MATCH($C362,'Gross Dx Plant'!$D$7:$D$91,0),MATCH(Calculation!$G362,'Gross Dx Plant'!$E$5:$AD$5,0))</f>
        <v>2577852</v>
      </c>
      <c r="BX362" s="113">
        <f>INDEX('Gross Gen Plant'!$E$7:$AD$91,MATCH($C362,'Gross Gen Plant'!$D$7:$D$91,0),MATCH(Calculation!$G362,'Gross Gen Plant'!$E$5:$AD$5,0))</f>
        <v>0</v>
      </c>
      <c r="BY362" s="113">
        <f t="shared" si="623"/>
        <v>1958855</v>
      </c>
      <c r="BZ362" s="113"/>
      <c r="CA362" s="116">
        <v>2007</v>
      </c>
      <c r="CB362" s="113"/>
      <c r="CC362" s="113"/>
      <c r="CD362" s="113"/>
      <c r="CE362" s="175"/>
      <c r="CF362" s="113">
        <f t="shared" si="671"/>
        <v>146195</v>
      </c>
      <c r="CG362" s="113">
        <f t="shared" si="672"/>
        <v>293.55110294585637</v>
      </c>
      <c r="CH362" s="178">
        <v>0.94915254237288138</v>
      </c>
      <c r="CI362" s="61">
        <f>+CI353*CH362+CG354*CH361+CG355*CH360+CG356*CH359+CG357*CH358+CG358*CH357+CG359*CH356+CG360*CH355+CG361*CH354+CG362</f>
        <v>8481.7158660071418</v>
      </c>
      <c r="CJ362" s="114">
        <f t="shared" si="673"/>
        <v>2.8824112537341039E-2</v>
      </c>
      <c r="CK362" s="114"/>
      <c r="CL362" s="169">
        <f t="shared" si="674"/>
        <v>6.3784402200950507E-3</v>
      </c>
      <c r="CM362" s="169">
        <f t="shared" si="682"/>
        <v>6.193066933164698E-3</v>
      </c>
      <c r="CN362" s="114">
        <f>VLOOKUP($H362,RoR!$E:$F,2,FALSE)</f>
        <v>5.5558333333333321E-2</v>
      </c>
      <c r="CO362" s="169">
        <v>2.691120634145272E-2</v>
      </c>
      <c r="CP362" s="169">
        <f t="shared" si="680"/>
        <v>2.86471269918806E-2</v>
      </c>
      <c r="CQ362" s="169">
        <f t="shared" si="683"/>
        <v>2.4708874675368926E-2</v>
      </c>
      <c r="CR362" s="169">
        <f t="shared" si="684"/>
        <v>6.4575155250632399E-2</v>
      </c>
      <c r="CS362" s="179">
        <f t="shared" si="675"/>
        <v>0.85329623209999994</v>
      </c>
      <c r="CT362" s="180">
        <f t="shared" si="676"/>
        <v>0.92303077153834634</v>
      </c>
      <c r="CU362" s="180">
        <f t="shared" si="677"/>
        <v>0.52502249887505614</v>
      </c>
      <c r="CV362" s="180">
        <f t="shared" si="678"/>
        <v>0.88499666072084604</v>
      </c>
      <c r="CW362" s="180">
        <f t="shared" si="679"/>
        <v>0.42887993290280618</v>
      </c>
      <c r="CX362" s="181">
        <f>INDEX('State Tax Lookup'!$D$7:$Z$91,MATCH(Calculation!$C362,'State Tax Lookup'!$B$7:$B$91,0),MATCH($H362,'State Tax Lookup'!$D$6:$Z$6,0))</f>
        <v>0.39649667</v>
      </c>
      <c r="CY362" s="72">
        <v>0.37</v>
      </c>
      <c r="CZ362" s="70">
        <f t="shared" si="681"/>
        <v>17.307602284930404</v>
      </c>
      <c r="DA362" s="70">
        <v>16.108943221861779</v>
      </c>
      <c r="DB362" s="69">
        <f t="shared" si="685"/>
        <v>7.1342015753421001E-2</v>
      </c>
      <c r="DC362" s="111">
        <f>VLOOKUP($H362,RoR!$E:$F,2,FALSE)</f>
        <v>5.5558333333333321E-2</v>
      </c>
      <c r="DD362" s="216">
        <f>HLOOKUP($H362,'GDP-PI'!$D$8:$CQ$11,3,FALSE)</f>
        <v>2.691120634145272E-2</v>
      </c>
      <c r="DE362" s="111">
        <f>VLOOKUP(H362,'HW Dx Data'!$E:$F,2,FALSE)</f>
        <v>498.0223154772637</v>
      </c>
      <c r="DF362" s="72">
        <f t="shared" si="695"/>
        <v>104.52499999999999</v>
      </c>
      <c r="DG362" s="69">
        <f t="shared" si="696"/>
        <v>-4.5584612745252218E-2</v>
      </c>
      <c r="DH362" s="66">
        <f>HLOOKUP(H362,'GDP-PI'!$8:$9,2,FALSE)</f>
        <v>92.498000000000005</v>
      </c>
      <c r="DI362" s="69">
        <f t="shared" si="686"/>
        <v>2.6555467950038037E-2</v>
      </c>
      <c r="EB362"/>
    </row>
    <row r="363" spans="1:132" s="160" customFormat="1" ht="21">
      <c r="A363" s="160" t="s">
        <v>182</v>
      </c>
      <c r="B363" s="161" t="s">
        <v>182</v>
      </c>
      <c r="C363" s="161">
        <v>4057080</v>
      </c>
      <c r="D363" s="161" t="s">
        <v>171</v>
      </c>
      <c r="E363" s="161" t="s">
        <v>3</v>
      </c>
      <c r="F363" s="161"/>
      <c r="G363" s="161" t="s">
        <v>120</v>
      </c>
      <c r="H363" s="162">
        <v>2008</v>
      </c>
      <c r="I363" s="163"/>
      <c r="J363" s="159">
        <f>IFERROR(INDEX('Labor Expenditures'!$F$7:$X$91,MATCH($C363,'Labor Expenditures'!$D$7:$D$91,0),MATCH($G363,'Labor Expenditures'!$F$5:$X$5,0)),"NA")</f>
        <v>90665.546732827643</v>
      </c>
      <c r="K363" s="159">
        <f t="shared" si="687"/>
        <v>840.27383440989468</v>
      </c>
      <c r="L363" s="165">
        <f t="shared" si="693"/>
        <v>0.11241772007703051</v>
      </c>
      <c r="M363" s="76">
        <f t="shared" si="697"/>
        <v>4.86114374055508E-3</v>
      </c>
      <c r="N363" s="62">
        <f t="shared" si="703"/>
        <v>109.54371783562786</v>
      </c>
      <c r="O363" s="96">
        <f t="shared" si="698"/>
        <v>-7.1471410041324568E-2</v>
      </c>
      <c r="P363" s="96"/>
      <c r="Q363" s="159">
        <f>IFERROR(INDEX('Non-Labor Expenditures'!$F$7:$AB$91,MATCH($C363,'Non-Labor Expenditures'!$D$7:$D$91,0),MATCH($G363,'Non-Labor Expenditures'!$F$5:$AB$5,0)),"NA")</f>
        <v>131300.64565739833</v>
      </c>
      <c r="R363" s="159">
        <f t="shared" si="688"/>
        <v>1392.9033953301189</v>
      </c>
      <c r="S363" s="165">
        <f t="shared" si="699"/>
        <v>0.1252839813504586</v>
      </c>
      <c r="T363" s="165">
        <f t="shared" si="700"/>
        <v>5.417503942583857E-3</v>
      </c>
      <c r="U363" s="165"/>
      <c r="V363" s="165"/>
      <c r="W363" s="159">
        <f t="shared" si="669"/>
        <v>166733.59890439679</v>
      </c>
      <c r="X363" s="163"/>
      <c r="Y363" s="167">
        <v>8831.5264513983493</v>
      </c>
      <c r="Z363" s="168">
        <v>4.0415098703618473E-2</v>
      </c>
      <c r="AA363" s="76">
        <f t="shared" si="689"/>
        <v>1.7476213176391632E-3</v>
      </c>
      <c r="AB363" s="168"/>
      <c r="AC363" s="168"/>
      <c r="AD363" s="163">
        <f t="shared" ref="AD363:AD429" si="705">+J363+Q363+W363</f>
        <v>388699.79129462276</v>
      </c>
      <c r="AE363" s="168">
        <f t="shared" si="701"/>
        <v>0.14931184438138403</v>
      </c>
      <c r="AF363" s="163"/>
      <c r="AG363" s="163"/>
      <c r="AH363" s="163"/>
      <c r="AI363" s="163"/>
      <c r="AJ363" s="116">
        <f t="shared" si="702"/>
        <v>366.31328736394971</v>
      </c>
      <c r="AK363" s="114">
        <f>+AV363/$AX$13</f>
        <v>3.020327084521755E-2</v>
      </c>
      <c r="AL363" s="115">
        <f t="shared" si="690"/>
        <v>0.23325339700042669</v>
      </c>
      <c r="AM363" s="115">
        <f t="shared" si="691"/>
        <v>0.33779448458174344</v>
      </c>
      <c r="AN363" s="115">
        <f t="shared" si="692"/>
        <v>0.42895211841782988</v>
      </c>
      <c r="AO363" s="115">
        <f t="shared" si="694"/>
        <v>8.5994777038000153E-2</v>
      </c>
      <c r="AP363" s="166">
        <f t="shared" ref="AP363:AP376" si="706">+AP362*EXP(AO363)</f>
        <v>117.26220203033627</v>
      </c>
      <c r="AQ363" s="168">
        <f t="shared" ref="AQ363:AQ376" si="707">LN(AP363/AP362)</f>
        <v>8.5994777038000167E-2</v>
      </c>
      <c r="AR363" s="69">
        <f>+AD363/$AF$13</f>
        <v>4.3241792639311161E-2</v>
      </c>
      <c r="AS363" s="169">
        <f t="shared" si="704"/>
        <v>3.718568316741E-3</v>
      </c>
      <c r="AT363" s="115"/>
      <c r="AU363" s="115"/>
      <c r="AV363" s="113">
        <f>IFERROR(INDEX('Total Customers'!$F$7:$AB$91,MATCH($C363,'Total Customers'!$D$7:$D$91,0),MATCH($G363,'Total Customers'!$F$5:$AB$5,0)),"NA")</f>
        <v>1061113</v>
      </c>
      <c r="AW363" s="68">
        <f t="shared" si="619"/>
        <v>7.230873030487601E-4</v>
      </c>
      <c r="AX363" s="114"/>
      <c r="AY363" s="114"/>
      <c r="AZ363" s="116">
        <v>8244107</v>
      </c>
      <c r="BA363" s="116"/>
      <c r="BB363" s="166"/>
      <c r="BC363" s="166"/>
      <c r="BD363" s="166"/>
      <c r="BE363" s="166"/>
      <c r="BF363" s="166"/>
      <c r="BG363" s="166"/>
      <c r="BH363" s="166"/>
      <c r="BI363" s="113"/>
      <c r="BJ363" s="113"/>
      <c r="BK363" s="113">
        <f>INDEX('Dist. Plant Gas Additions'!$F$7:$AE$91,MATCH($C363,'Dist. Plant Gas Additions'!$D$7:$D$91,0),MATCH(Calculation!$G363,'Dist. Plant Gas Additions'!$F$5:$AE$5,0))</f>
        <v>231151</v>
      </c>
      <c r="BL363" s="113">
        <f>INDEX('Gen. Plant Additions'!$F$7:$AE$91,MATCH($C363,'Gen. Plant Additions'!$D$7:$D$91,0),MATCH(Calculation!$G363,'Gen. Plant Additions'!$F$5:$AE$5,0))</f>
        <v>0</v>
      </c>
      <c r="BM363" s="231">
        <f t="shared" si="670"/>
        <v>1</v>
      </c>
      <c r="BN363" s="61">
        <f t="shared" si="663"/>
        <v>0</v>
      </c>
      <c r="BO363" s="113">
        <f>INDEX('Dist Plant Depreciation'!$E$7:$AD$94,MATCH($C363,'Dist Plant Depreciation'!$D$7:$D$94,0),MATCH(Calculation!$G363,'Dist Plant Depreciation'!$E$5:$AD$5,0))</f>
        <v>654655</v>
      </c>
      <c r="BP363" s="113">
        <f>INDEX('Gen. Plant Depreciation'!$E$7:$AD$94,MATCH($C363,'Gen. Plant Depreciation'!$D$7:$D$94,0),MATCH(Calculation!$G363,'Gen. Plant Depreciation'!$E$5:$AD$5,0))</f>
        <v>0</v>
      </c>
      <c r="BQ363" s="113"/>
      <c r="BR363" s="113"/>
      <c r="BS363" s="113"/>
      <c r="BT363" s="113"/>
      <c r="BU363" s="113"/>
      <c r="BV363" s="113"/>
      <c r="BW363" s="113">
        <f>INDEX('Gross Dx Plant'!$E$7:$AD$91,MATCH($C363,'Gross Dx Plant'!$D$7:$D$91,0),MATCH(Calculation!$G363,'Gross Dx Plant'!$E$5:$AD$5,0))</f>
        <v>2789532</v>
      </c>
      <c r="BX363" s="113">
        <f>INDEX('Gross Gen Plant'!$E$7:$AD$91,MATCH($C363,'Gross Gen Plant'!$D$7:$D$91,0),MATCH(Calculation!$G363,'Gross Gen Plant'!$E$5:$AD$5,0))</f>
        <v>0</v>
      </c>
      <c r="BY363" s="113">
        <f t="shared" si="623"/>
        <v>2134877</v>
      </c>
      <c r="BZ363" s="113"/>
      <c r="CA363" s="116">
        <v>2008</v>
      </c>
      <c r="CB363" s="113"/>
      <c r="CC363" s="113"/>
      <c r="CD363" s="113"/>
      <c r="CE363" s="175"/>
      <c r="CF363" s="113">
        <f t="shared" si="671"/>
        <v>231151</v>
      </c>
      <c r="CG363" s="113">
        <f t="shared" si="672"/>
        <v>405.61260600844668</v>
      </c>
      <c r="CH363" s="178">
        <v>0.94252873563218387</v>
      </c>
      <c r="CI363" s="61">
        <f>+CI353*CH363+CG354*CH362+CG355*CH361+CG356*CH360+CG357*CH359+CG358*CH358+CG359*CH357+CG360*CH356+CG361*CH355+CG362*CH354+CG363</f>
        <v>8831.5264513983493</v>
      </c>
      <c r="CJ363" s="114">
        <f t="shared" si="673"/>
        <v>4.0415098703618473E-2</v>
      </c>
      <c r="CK363" s="114"/>
      <c r="CL363" s="169">
        <f t="shared" si="674"/>
        <v>6.5790957276559391E-3</v>
      </c>
      <c r="CM363" s="169">
        <f t="shared" si="682"/>
        <v>6.3838949773523208E-3</v>
      </c>
      <c r="CN363" s="114">
        <f>VLOOKUP($H363,RoR!$E:$F,2,FALSE)</f>
        <v>5.6316666666666668E-2</v>
      </c>
      <c r="CO363" s="169">
        <v>1.9092304698479889E-2</v>
      </c>
      <c r="CP363" s="169">
        <f t="shared" si="680"/>
        <v>3.7224361968186778E-2</v>
      </c>
      <c r="CQ363" s="169">
        <f t="shared" si="683"/>
        <v>2.4518046631181303E-2</v>
      </c>
      <c r="CR363" s="169">
        <f t="shared" si="684"/>
        <v>6.9030581091053131E-2</v>
      </c>
      <c r="CS363" s="179">
        <f t="shared" si="675"/>
        <v>0.85329623209999994</v>
      </c>
      <c r="CT363" s="180">
        <f t="shared" si="676"/>
        <v>0.91060168006009956</v>
      </c>
      <c r="CU363" s="180">
        <f t="shared" si="677"/>
        <v>0.53108168097070152</v>
      </c>
      <c r="CV363" s="180">
        <f t="shared" si="678"/>
        <v>0.88825329850328805</v>
      </c>
      <c r="CW363" s="180">
        <f t="shared" si="679"/>
        <v>0.4295627335323573</v>
      </c>
      <c r="CX363" s="181">
        <f>INDEX('State Tax Lookup'!$D$7:$Z$91,MATCH(Calculation!$C363,'State Tax Lookup'!$B$7:$B$91,0),MATCH($H363,'State Tax Lookup'!$D$6:$Z$6,0))</f>
        <v>0.39649667</v>
      </c>
      <c r="CY363" s="72">
        <v>0.37</v>
      </c>
      <c r="CZ363" s="70">
        <f t="shared" si="681"/>
        <v>19.658003349608599</v>
      </c>
      <c r="DA363" s="70">
        <v>18.300102035478151</v>
      </c>
      <c r="DB363" s="69">
        <f t="shared" si="685"/>
        <v>0.12733870712436909</v>
      </c>
      <c r="DC363" s="111">
        <f>VLOOKUP($H363,RoR!$E:$F,2,FALSE)</f>
        <v>5.6316666666666668E-2</v>
      </c>
      <c r="DD363" s="216">
        <f>HLOOKUP($H363,'GDP-PI'!$D$8:$CQ$11,3,FALSE)</f>
        <v>1.9092304698479889E-2</v>
      </c>
      <c r="DE363" s="111">
        <f>VLOOKUP(H363,'HW Dx Data'!$E:$F,2,FALSE)</f>
        <v>569.88120333515076</v>
      </c>
      <c r="DF363" s="72">
        <f t="shared" si="695"/>
        <v>107.9</v>
      </c>
      <c r="DG363" s="69">
        <f t="shared" si="696"/>
        <v>3.1778595021460486E-2</v>
      </c>
      <c r="DH363" s="66">
        <f>HLOOKUP(H363,'GDP-PI'!$8:$9,2,FALSE)</f>
        <v>94.263999999999996</v>
      </c>
      <c r="DI363" s="69">
        <f t="shared" si="686"/>
        <v>1.8912333748032254E-2</v>
      </c>
      <c r="EB363"/>
    </row>
    <row r="364" spans="1:132" s="160" customFormat="1" ht="21">
      <c r="A364" s="160" t="s">
        <v>182</v>
      </c>
      <c r="B364" s="161" t="s">
        <v>182</v>
      </c>
      <c r="C364" s="161">
        <v>4057080</v>
      </c>
      <c r="D364" s="161" t="s">
        <v>171</v>
      </c>
      <c r="E364" s="161" t="s">
        <v>3</v>
      </c>
      <c r="F364" s="161"/>
      <c r="G364" s="161" t="s">
        <v>125</v>
      </c>
      <c r="H364" s="162">
        <v>2009</v>
      </c>
      <c r="I364" s="163"/>
      <c r="J364" s="159">
        <f>IFERROR(INDEX('Labor Expenditures'!$F$7:$X$91,MATCH($C364,'Labor Expenditures'!$D$7:$D$91,0),MATCH($G364,'Labor Expenditures'!$F$5:$X$5,0)),"NA")</f>
        <v>97782.663292966579</v>
      </c>
      <c r="K364" s="159">
        <f t="shared" si="687"/>
        <v>881.52051650183978</v>
      </c>
      <c r="L364" s="165">
        <f t="shared" si="693"/>
        <v>4.792044404302534E-2</v>
      </c>
      <c r="M364" s="76">
        <f t="shared" si="697"/>
        <v>2.0749380156334651E-3</v>
      </c>
      <c r="N364" s="62">
        <f t="shared" si="703"/>
        <v>117.53256674034678</v>
      </c>
      <c r="O364" s="96">
        <f t="shared" si="698"/>
        <v>7.0391739711008011E-2</v>
      </c>
      <c r="P364" s="96"/>
      <c r="Q364" s="159">
        <f>IFERROR(INDEX('Non-Labor Expenditures'!$F$7:$AB$91,MATCH($C364,'Non-Labor Expenditures'!$D$7:$D$91,0),MATCH($G364,'Non-Labor Expenditures'!$F$5:$AB$5,0)),"NA")</f>
        <v>141607.55973049079</v>
      </c>
      <c r="R364" s="159">
        <f t="shared" si="688"/>
        <v>1490.6215826534046</v>
      </c>
      <c r="S364" s="165">
        <f t="shared" si="699"/>
        <v>6.7802860225599573E-2</v>
      </c>
      <c r="T364" s="165">
        <f t="shared" si="700"/>
        <v>2.9358394952363814E-3</v>
      </c>
      <c r="U364" s="165"/>
      <c r="V364" s="165"/>
      <c r="W364" s="159">
        <f t="shared" si="669"/>
        <v>166571.38952227577</v>
      </c>
      <c r="X364" s="163"/>
      <c r="Y364" s="167">
        <v>9231.1859919781255</v>
      </c>
      <c r="Z364" s="168">
        <v>4.4259662703850899E-2</v>
      </c>
      <c r="AA364" s="76">
        <f t="shared" si="689"/>
        <v>1.9164274984781011E-3</v>
      </c>
      <c r="AB364" s="168"/>
      <c r="AC364" s="168"/>
      <c r="AD364" s="163">
        <f t="shared" si="705"/>
        <v>405961.61254573311</v>
      </c>
      <c r="AE364" s="168">
        <f t="shared" si="701"/>
        <v>4.3451303825328226E-2</v>
      </c>
      <c r="AF364" s="163"/>
      <c r="AG364" s="163"/>
      <c r="AH364" s="163"/>
      <c r="AI364" s="163"/>
      <c r="AJ364" s="116">
        <f t="shared" si="702"/>
        <v>383.40693290380119</v>
      </c>
      <c r="AK364" s="114">
        <f>+AV364/$AX$14</f>
        <v>3.0099783297320454E-2</v>
      </c>
      <c r="AL364" s="115">
        <f t="shared" si="690"/>
        <v>0.24086677230338124</v>
      </c>
      <c r="AM364" s="115">
        <f t="shared" si="691"/>
        <v>0.34882007400278064</v>
      </c>
      <c r="AN364" s="115">
        <f t="shared" si="692"/>
        <v>0.4103131536938382</v>
      </c>
      <c r="AO364" s="115">
        <f t="shared" si="694"/>
        <v>5.321003892503956E-2</v>
      </c>
      <c r="AP364" s="166">
        <f t="shared" si="706"/>
        <v>123.67071500904177</v>
      </c>
      <c r="AQ364" s="168">
        <f t="shared" si="707"/>
        <v>5.3210038925039616E-2</v>
      </c>
      <c r="AR364" s="69">
        <f>+AD364/$AF$14</f>
        <v>4.3299640833262799E-2</v>
      </c>
      <c r="AS364" s="169">
        <f t="shared" si="704"/>
        <v>2.3039755741781484E-3</v>
      </c>
      <c r="AT364" s="115"/>
      <c r="AU364" s="115"/>
      <c r="AV364" s="113">
        <f>IFERROR(INDEX('Total Customers'!$F$7:$AB$91,MATCH($C364,'Total Customers'!$D$7:$D$91,0),MATCH($G364,'Total Customers'!$F$5:$AB$5,0)),"NA")</f>
        <v>1058827</v>
      </c>
      <c r="AW364" s="68">
        <f t="shared" si="619"/>
        <v>-2.156665647192631E-3</v>
      </c>
      <c r="AX364" s="114"/>
      <c r="AY364" s="114"/>
      <c r="AZ364" s="116">
        <v>8336812</v>
      </c>
      <c r="BA364" s="116"/>
      <c r="BB364" s="166"/>
      <c r="BC364" s="166"/>
      <c r="BD364" s="166"/>
      <c r="BE364" s="166"/>
      <c r="BF364" s="166"/>
      <c r="BG364" s="166"/>
      <c r="BH364" s="166"/>
      <c r="BI364" s="113"/>
      <c r="BJ364" s="113"/>
      <c r="BK364" s="113">
        <f>INDEX('Dist. Plant Gas Additions'!$F$7:$AE$91,MATCH($C364,'Dist. Plant Gas Additions'!$D$7:$D$91,0),MATCH(Calculation!$G364,'Dist. Plant Gas Additions'!$F$5:$AE$5,0))</f>
        <v>253099</v>
      </c>
      <c r="BL364" s="113">
        <f>INDEX('Gen. Plant Additions'!$F$7:$AE$91,MATCH($C364,'Gen. Plant Additions'!$D$7:$D$91,0),MATCH(Calculation!$G364,'Gen. Plant Additions'!$F$5:$AE$5,0))</f>
        <v>0</v>
      </c>
      <c r="BM364" s="231">
        <f t="shared" si="670"/>
        <v>1</v>
      </c>
      <c r="BN364" s="61">
        <f t="shared" si="663"/>
        <v>0</v>
      </c>
      <c r="BO364" s="113">
        <f>INDEX('Dist Plant Depreciation'!$E$7:$AD$94,MATCH($C364,'Dist Plant Depreciation'!$D$7:$D$94,0),MATCH(Calculation!$G364,'Dist Plant Depreciation'!$E$5:$AD$5,0))</f>
        <v>697168</v>
      </c>
      <c r="BP364" s="113">
        <f>INDEX('Gen. Plant Depreciation'!$E$7:$AD$94,MATCH($C364,'Gen. Plant Depreciation'!$D$7:$D$94,0),MATCH(Calculation!$G364,'Gen. Plant Depreciation'!$E$5:$AD$5,0))</f>
        <v>0</v>
      </c>
      <c r="BQ364" s="113"/>
      <c r="BR364" s="113"/>
      <c r="BS364" s="113"/>
      <c r="BT364" s="113"/>
      <c r="BU364" s="113"/>
      <c r="BV364" s="113"/>
      <c r="BW364" s="113">
        <f>INDEX('Gross Dx Plant'!$E$7:$AD$91,MATCH($C364,'Gross Dx Plant'!$D$7:$D$91,0),MATCH(Calculation!$G364,'Gross Dx Plant'!$E$5:$AD$5,0))</f>
        <v>3025520</v>
      </c>
      <c r="BX364" s="113">
        <f>INDEX('Gross Gen Plant'!$E$7:$AD$91,MATCH($C364,'Gross Gen Plant'!$D$7:$D$91,0),MATCH(Calculation!$G364,'Gross Gen Plant'!$E$5:$AD$5,0))</f>
        <v>0</v>
      </c>
      <c r="BY364" s="113">
        <f t="shared" si="623"/>
        <v>2328352</v>
      </c>
      <c r="BZ364" s="113"/>
      <c r="CA364" s="116">
        <v>2009</v>
      </c>
      <c r="CB364" s="113"/>
      <c r="CC364" s="113"/>
      <c r="CD364" s="113"/>
      <c r="CE364" s="175"/>
      <c r="CF364" s="113">
        <f t="shared" si="671"/>
        <v>253099</v>
      </c>
      <c r="CG364" s="113">
        <f t="shared" si="672"/>
        <v>459.39432144899143</v>
      </c>
      <c r="CH364" s="178">
        <v>0.93567251461988299</v>
      </c>
      <c r="CI364" s="61">
        <f>+CI353*CH364+CG354*CH363+CG355*CH362+CG356*CH361+CG357*CH360+CG358*CH359+CG359*CH358+CG360*CH357+CG361*CH356+CG362*CH355+CG363*CH354+CG364</f>
        <v>9231.1859919781255</v>
      </c>
      <c r="CJ364" s="114">
        <f t="shared" si="673"/>
        <v>4.4259662703850899E-2</v>
      </c>
      <c r="CK364" s="114"/>
      <c r="CL364" s="169">
        <f t="shared" si="674"/>
        <v>6.7638115786605741E-3</v>
      </c>
      <c r="CM364" s="169">
        <f t="shared" si="682"/>
        <v>6.5737825088038543E-3</v>
      </c>
      <c r="CN364" s="114">
        <f>VLOOKUP($H364,RoR!$E:$F,2,FALSE)</f>
        <v>5.3133333333333324E-2</v>
      </c>
      <c r="CO364" s="169">
        <v>7.7972502758210105E-3</v>
      </c>
      <c r="CP364" s="169">
        <f t="shared" si="680"/>
        <v>4.5336083057512314E-2</v>
      </c>
      <c r="CQ364" s="169">
        <f t="shared" si="683"/>
        <v>2.4328159099729772E-2</v>
      </c>
      <c r="CR364" s="169">
        <f t="shared" si="684"/>
        <v>6.3720160300892073E-2</v>
      </c>
      <c r="CS364" s="179">
        <f t="shared" si="675"/>
        <v>0.85329623209999994</v>
      </c>
      <c r="CT364" s="180">
        <f t="shared" si="676"/>
        <v>0.96515780330083989</v>
      </c>
      <c r="CU364" s="180">
        <f t="shared" si="677"/>
        <v>0.50448557089084056</v>
      </c>
      <c r="CV364" s="180">
        <f t="shared" si="678"/>
        <v>0.87391435735465484</v>
      </c>
      <c r="CW364" s="180">
        <f t="shared" si="679"/>
        <v>0.42551605393279146</v>
      </c>
      <c r="CX364" s="181">
        <f>INDEX('State Tax Lookup'!$D$7:$Z$91,MATCH(Calculation!$C364,'State Tax Lookup'!$B$7:$B$91,0),MATCH($H364,'State Tax Lookup'!$D$6:$Z$6,0))</f>
        <v>0.39649667</v>
      </c>
      <c r="CY364" s="72">
        <v>0.37</v>
      </c>
      <c r="CZ364" s="70">
        <f t="shared" si="681"/>
        <v>18.860996503713299</v>
      </c>
      <c r="DA364" s="70">
        <v>17.478615056163342</v>
      </c>
      <c r="DB364" s="69">
        <f t="shared" si="685"/>
        <v>-4.138843784080317E-2</v>
      </c>
      <c r="DC364" s="111">
        <f>VLOOKUP($H364,RoR!$E:$F,2,FALSE)</f>
        <v>5.3133333333333324E-2</v>
      </c>
      <c r="DD364" s="216">
        <f>HLOOKUP($H364,'GDP-PI'!$D$8:$CQ$11,3,FALSE)</f>
        <v>7.7972502758210105E-3</v>
      </c>
      <c r="DE364" s="111">
        <f>VLOOKUP(H364,'HW Dx Data'!$E:$F,2,FALSE)</f>
        <v>550.94063679692806</v>
      </c>
      <c r="DF364" s="72">
        <f t="shared" si="695"/>
        <v>110.925</v>
      </c>
      <c r="DG364" s="69">
        <f t="shared" si="696"/>
        <v>2.7649425000884052E-2</v>
      </c>
      <c r="DH364" s="66">
        <f>HLOOKUP(H364,'GDP-PI'!$8:$9,2,FALSE)</f>
        <v>94.998999999999995</v>
      </c>
      <c r="DI364" s="69">
        <f t="shared" si="686"/>
        <v>7.7670088183096342E-3</v>
      </c>
      <c r="EB364"/>
    </row>
    <row r="365" spans="1:132" s="160" customFormat="1" ht="21">
      <c r="A365" s="160" t="s">
        <v>182</v>
      </c>
      <c r="B365" s="161" t="s">
        <v>182</v>
      </c>
      <c r="C365" s="161">
        <v>4057080</v>
      </c>
      <c r="D365" s="161" t="s">
        <v>171</v>
      </c>
      <c r="E365" s="161" t="s">
        <v>3</v>
      </c>
      <c r="F365" s="161"/>
      <c r="G365" s="161" t="s">
        <v>126</v>
      </c>
      <c r="H365" s="162">
        <v>2010</v>
      </c>
      <c r="I365" s="163"/>
      <c r="J365" s="159">
        <f>IFERROR(INDEX('Labor Expenditures'!$F$7:$X$91,MATCH($C365,'Labor Expenditures'!$D$7:$D$91,0),MATCH($G365,'Labor Expenditures'!$F$5:$X$5,0)),"NA")</f>
        <v>109839.17599763915</v>
      </c>
      <c r="K365" s="159">
        <f t="shared" si="687"/>
        <v>939.39855460884451</v>
      </c>
      <c r="L365" s="165">
        <f t="shared" si="693"/>
        <v>6.3591558858227967E-2</v>
      </c>
      <c r="M365" s="76">
        <f t="shared" si="697"/>
        <v>2.9286353616170733E-3</v>
      </c>
      <c r="N365" s="62">
        <f t="shared" si="703"/>
        <v>97.265315993503251</v>
      </c>
      <c r="O365" s="96">
        <f t="shared" si="698"/>
        <v>-0.18927299789514376</v>
      </c>
      <c r="P365" s="96"/>
      <c r="Q365" s="159">
        <f>IFERROR(INDEX('Non-Labor Expenditures'!$F$7:$AB$91,MATCH($C365,'Non-Labor Expenditures'!$D$7:$D$91,0),MATCH($G365,'Non-Labor Expenditures'!$F$5:$AB$5,0)),"NA")</f>
        <v>159067.64197281143</v>
      </c>
      <c r="R365" s="159">
        <f t="shared" si="688"/>
        <v>1655.0754036855178</v>
      </c>
      <c r="S365" s="165">
        <f t="shared" si="699"/>
        <v>0.10465336639805455</v>
      </c>
      <c r="T365" s="165">
        <f t="shared" si="700"/>
        <v>4.8196892016581583E-3</v>
      </c>
      <c r="U365" s="165"/>
      <c r="V365" s="165"/>
      <c r="W365" s="159">
        <f t="shared" si="669"/>
        <v>178647.65467320819</v>
      </c>
      <c r="X365" s="163"/>
      <c r="Y365" s="167">
        <v>9675.7788008839925</v>
      </c>
      <c r="Z365" s="168">
        <v>4.7038198459317337E-2</v>
      </c>
      <c r="AA365" s="76">
        <f t="shared" si="689"/>
        <v>2.1662895803802795E-3</v>
      </c>
      <c r="AB365" s="168"/>
      <c r="AC365" s="168"/>
      <c r="AD365" s="163">
        <f t="shared" si="705"/>
        <v>447554.47264365875</v>
      </c>
      <c r="AE365" s="168">
        <f t="shared" si="701"/>
        <v>9.7539652133243809E-2</v>
      </c>
      <c r="AF365" s="163"/>
      <c r="AG365" s="163"/>
      <c r="AH365" s="163"/>
      <c r="AI365" s="163"/>
      <c r="AJ365" s="116">
        <f t="shared" si="702"/>
        <v>421.18373764591064</v>
      </c>
      <c r="AK365" s="114">
        <f>+AV365/$AX$15</f>
        <v>3.0042075999615274E-2</v>
      </c>
      <c r="AL365" s="115">
        <f t="shared" si="690"/>
        <v>0.245420798386463</v>
      </c>
      <c r="AM365" s="115">
        <f t="shared" si="691"/>
        <v>0.35541515434582754</v>
      </c>
      <c r="AN365" s="115">
        <f t="shared" si="692"/>
        <v>0.39916404726770949</v>
      </c>
      <c r="AO365" s="115">
        <f t="shared" si="694"/>
        <v>7.1350360641727201E-2</v>
      </c>
      <c r="AP365" s="166">
        <f t="shared" si="706"/>
        <v>132.81708355118081</v>
      </c>
      <c r="AQ365" s="168">
        <f t="shared" si="707"/>
        <v>7.1350360641727256E-2</v>
      </c>
      <c r="AR365" s="69">
        <f>+AD365/$AF$15</f>
        <v>4.6053838185445645E-2</v>
      </c>
      <c r="AS365" s="169">
        <f t="shared" si="704"/>
        <v>3.2859579634672968E-3</v>
      </c>
      <c r="AT365" s="115"/>
      <c r="AU365" s="115"/>
      <c r="AV365" s="113">
        <f>IFERROR(INDEX('Total Customers'!$F$7:$AB$91,MATCH($C365,'Total Customers'!$D$7:$D$91,0),MATCH($G365,'Total Customers'!$F$5:$AB$5,0)),"NA")</f>
        <v>1062611</v>
      </c>
      <c r="AW365" s="68">
        <f t="shared" si="619"/>
        <v>3.5673953356436853E-3</v>
      </c>
      <c r="AX365" s="114"/>
      <c r="AY365" s="114"/>
      <c r="AZ365" s="116">
        <v>8403441</v>
      </c>
      <c r="BA365" s="116"/>
      <c r="BB365" s="166"/>
      <c r="BC365" s="166"/>
      <c r="BD365" s="166"/>
      <c r="BE365" s="166"/>
      <c r="BF365" s="166"/>
      <c r="BG365" s="166"/>
      <c r="BH365" s="166"/>
      <c r="BI365" s="113"/>
      <c r="BJ365" s="113"/>
      <c r="BK365" s="113">
        <f>INDEX('Dist. Plant Gas Additions'!$F$7:$AE$91,MATCH($C365,'Dist. Plant Gas Additions'!$D$7:$D$91,0),MATCH(Calculation!$G365,'Dist. Plant Gas Additions'!$F$5:$AE$5,0))</f>
        <v>289439</v>
      </c>
      <c r="BL365" s="113">
        <f>INDEX('Gen. Plant Additions'!$F$7:$AE$91,MATCH($C365,'Gen. Plant Additions'!$D$7:$D$91,0),MATCH(Calculation!$G365,'Gen. Plant Additions'!$F$5:$AE$5,0))</f>
        <v>0</v>
      </c>
      <c r="BM365" s="231">
        <f t="shared" si="670"/>
        <v>1</v>
      </c>
      <c r="BN365" s="61">
        <f>+BM365*BL365</f>
        <v>0</v>
      </c>
      <c r="BO365" s="113">
        <f>INDEX('Dist Plant Depreciation'!$E$7:$AD$94,MATCH($C365,'Dist Plant Depreciation'!$D$7:$D$94,0),MATCH(Calculation!$G365,'Dist Plant Depreciation'!$E$5:$AD$5,0))</f>
        <v>749635</v>
      </c>
      <c r="BP365" s="113">
        <f>INDEX('Gen. Plant Depreciation'!$E$7:$AD$94,MATCH($C365,'Gen. Plant Depreciation'!$D$7:$D$94,0),MATCH(Calculation!$G365,'Gen. Plant Depreciation'!$E$5:$AD$5,0))</f>
        <v>0</v>
      </c>
      <c r="BQ365" s="113"/>
      <c r="BR365" s="113"/>
      <c r="BS365" s="113"/>
      <c r="BT365" s="113"/>
      <c r="BU365" s="113"/>
      <c r="BV365" s="113"/>
      <c r="BW365" s="113">
        <f>INDEX('Gross Dx Plant'!$E$7:$AD$91,MATCH($C365,'Gross Dx Plant'!$D$7:$D$91,0),MATCH(Calculation!$G365,'Gross Dx Plant'!$E$5:$AD$5,0))</f>
        <v>3301820</v>
      </c>
      <c r="BX365" s="113">
        <f>INDEX('Gross Gen Plant'!$E$7:$AD$91,MATCH($C365,'Gross Gen Plant'!$D$7:$D$91,0),MATCH(Calculation!$G365,'Gross Gen Plant'!$E$5:$AD$5,0))</f>
        <v>0</v>
      </c>
      <c r="BY365" s="113">
        <f t="shared" si="623"/>
        <v>2552185</v>
      </c>
      <c r="BZ365" s="113"/>
      <c r="CA365" s="116">
        <v>2010</v>
      </c>
      <c r="CB365" s="113"/>
      <c r="CC365" s="113"/>
      <c r="CD365" s="113"/>
      <c r="CE365" s="175"/>
      <c r="CF365" s="113">
        <f t="shared" si="671"/>
        <v>289439</v>
      </c>
      <c r="CG365" s="113">
        <f t="shared" si="672"/>
        <v>508.68952531160994</v>
      </c>
      <c r="CH365" s="178">
        <v>0.9285714285714286</v>
      </c>
      <c r="CI365" s="61">
        <f>+CI353*CH365+CG354*CH364+CG355*CH363+CG356*CH362+CG357*CH361+CG358*CH360+CG359*CH359+CG360*CH358+CG361*CH357+CG362*CH356+CG363*CH355+CG364*CH354+CG365</f>
        <v>9675.7788008839925</v>
      </c>
      <c r="CJ365" s="114">
        <f t="shared" si="673"/>
        <v>4.7038198459317337E-2</v>
      </c>
      <c r="CK365" s="114"/>
      <c r="CL365" s="169">
        <f t="shared" si="674"/>
        <v>6.9434974510797151E-3</v>
      </c>
      <c r="CM365" s="169">
        <f t="shared" si="682"/>
        <v>6.7621349191320764E-3</v>
      </c>
      <c r="CN365" s="114">
        <f>VLOOKUP($H365,RoR!$E:$F,2,FALSE)</f>
        <v>4.9433333333333322E-2</v>
      </c>
      <c r="CO365" s="169">
        <v>1.1684333519300205E-2</v>
      </c>
      <c r="CP365" s="169">
        <f t="shared" si="680"/>
        <v>3.7748999814033117E-2</v>
      </c>
      <c r="CQ365" s="169">
        <f t="shared" si="683"/>
        <v>2.4139806689401549E-2</v>
      </c>
      <c r="CR365" s="169">
        <f t="shared" si="684"/>
        <v>4.7937530248493419E-2</v>
      </c>
      <c r="CS365" s="179">
        <f t="shared" si="675"/>
        <v>0.85329623209999994</v>
      </c>
      <c r="CT365" s="180">
        <f t="shared" si="676"/>
        <v>1.037398205301105</v>
      </c>
      <c r="CU365" s="180">
        <f t="shared" si="677"/>
        <v>0.46926837491571133</v>
      </c>
      <c r="CV365" s="180">
        <f t="shared" si="678"/>
        <v>0.8548537519972772</v>
      </c>
      <c r="CW365" s="180">
        <f t="shared" si="679"/>
        <v>0.41615833911547367</v>
      </c>
      <c r="CX365" s="181">
        <f>INDEX('State Tax Lookup'!$D$7:$Z$91,MATCH(Calculation!$C365,'State Tax Lookup'!$B$7:$B$91,0),MATCH($H365,'State Tax Lookup'!$D$6:$Z$6,0))</f>
        <v>0.39649667</v>
      </c>
      <c r="CY365" s="72">
        <v>0.37</v>
      </c>
      <c r="CZ365" s="70">
        <f t="shared" si="681"/>
        <v>19.352622168858097</v>
      </c>
      <c r="DA365" s="70">
        <v>17.956102603965455</v>
      </c>
      <c r="DB365" s="69">
        <f t="shared" si="685"/>
        <v>2.5731810199483136E-2</v>
      </c>
      <c r="DC365" s="111">
        <f>VLOOKUP($H365,RoR!$E:$F,2,FALSE)</f>
        <v>4.9433333333333322E-2</v>
      </c>
      <c r="DD365" s="216">
        <f>HLOOKUP($H365,'GDP-PI'!$D$8:$CQ$11,3,FALSE)</f>
        <v>1.1684333519300205E-2</v>
      </c>
      <c r="DE365" s="111">
        <f>VLOOKUP(H365,'HW Dx Data'!$E:$F,2,FALSE)</f>
        <v>568.98950262971744</v>
      </c>
      <c r="DF365" s="72">
        <f t="shared" si="695"/>
        <v>116.925</v>
      </c>
      <c r="DG365" s="69">
        <f t="shared" si="696"/>
        <v>5.2678406346976722E-2</v>
      </c>
      <c r="DH365" s="66">
        <f>HLOOKUP(H365,'GDP-PI'!$8:$9,2,FALSE)</f>
        <v>96.108999999999995</v>
      </c>
      <c r="DI365" s="69">
        <f t="shared" si="686"/>
        <v>1.1616598807150427E-2</v>
      </c>
      <c r="EB365"/>
    </row>
    <row r="366" spans="1:132" s="160" customFormat="1" ht="21">
      <c r="A366" s="160" t="s">
        <v>182</v>
      </c>
      <c r="B366" s="161" t="s">
        <v>182</v>
      </c>
      <c r="C366" s="161">
        <v>4057080</v>
      </c>
      <c r="D366" s="161" t="s">
        <v>171</v>
      </c>
      <c r="E366" s="161" t="s">
        <v>3</v>
      </c>
      <c r="F366" s="161"/>
      <c r="G366" s="161" t="s">
        <v>127</v>
      </c>
      <c r="H366" s="162">
        <v>2011</v>
      </c>
      <c r="I366" s="163"/>
      <c r="J366" s="159">
        <f>IFERROR(INDEX('Labor Expenditures'!$F$7:$X$91,MATCH($C366,'Labor Expenditures'!$D$7:$D$91,0),MATCH($G366,'Labor Expenditures'!$F$5:$X$5,0)),"NA")</f>
        <v>117334.51076646303</v>
      </c>
      <c r="K366" s="159">
        <f t="shared" si="687"/>
        <v>970.70949961913573</v>
      </c>
      <c r="L366" s="165">
        <f t="shared" si="693"/>
        <v>3.2787412070322715E-2</v>
      </c>
      <c r="M366" s="76">
        <f t="shared" si="697"/>
        <v>1.5657818595838679E-3</v>
      </c>
      <c r="N366" s="62">
        <f t="shared" si="703"/>
        <v>116.8458348254223</v>
      </c>
      <c r="O366" s="96">
        <f t="shared" si="698"/>
        <v>0.18341295383357403</v>
      </c>
      <c r="P366" s="96"/>
      <c r="Q366" s="159">
        <f>IFERROR(INDEX('Non-Labor Expenditures'!$F$7:$AB$91,MATCH($C366,'Non-Labor Expenditures'!$D$7:$D$91,0),MATCH($G366,'Non-Labor Expenditures'!$F$5:$AB$5,0)),"NA")</f>
        <v>169922.28665349682</v>
      </c>
      <c r="R366" s="159">
        <f t="shared" si="688"/>
        <v>1731.9215453104291</v>
      </c>
      <c r="S366" s="165">
        <f t="shared" si="699"/>
        <v>4.5384943018981841E-2</v>
      </c>
      <c r="T366" s="165">
        <f t="shared" si="700"/>
        <v>2.1673842487157243E-3</v>
      </c>
      <c r="U366" s="165"/>
      <c r="V366" s="165"/>
      <c r="W366" s="159">
        <f t="shared" si="669"/>
        <v>200137.43615477122</v>
      </c>
      <c r="X366" s="163"/>
      <c r="Y366" s="167">
        <v>10129.250013573899</v>
      </c>
      <c r="Z366" s="168">
        <v>4.5801547455811289E-2</v>
      </c>
      <c r="AA366" s="76">
        <f t="shared" si="689"/>
        <v>2.1872794349661862E-3</v>
      </c>
      <c r="AB366" s="168"/>
      <c r="AC366" s="168"/>
      <c r="AD366" s="163">
        <f t="shared" si="705"/>
        <v>487394.23357473104</v>
      </c>
      <c r="AE366" s="168">
        <f t="shared" si="701"/>
        <v>8.5275053244755109E-2</v>
      </c>
      <c r="AF366" s="163"/>
      <c r="AG366" s="163"/>
      <c r="AH366" s="163"/>
      <c r="AI366" s="163"/>
      <c r="AJ366" s="116">
        <f t="shared" si="702"/>
        <v>457.42554177950501</v>
      </c>
      <c r="AK366" s="114">
        <f>+AV366/$AX$16</f>
        <v>2.9978856993545907E-2</v>
      </c>
      <c r="AL366" s="115">
        <f t="shared" si="690"/>
        <v>0.24073840575808209</v>
      </c>
      <c r="AM366" s="115">
        <f t="shared" si="691"/>
        <v>0.34863417526962398</v>
      </c>
      <c r="AN366" s="115">
        <f t="shared" si="692"/>
        <v>0.41062741897229404</v>
      </c>
      <c r="AO366" s="115">
        <f t="shared" si="694"/>
        <v>4.249142156775975E-2</v>
      </c>
      <c r="AP366" s="166">
        <f t="shared" si="706"/>
        <v>138.58228871415383</v>
      </c>
      <c r="AQ366" s="168">
        <f t="shared" si="707"/>
        <v>4.2491421567759681E-2</v>
      </c>
      <c r="AR366" s="69">
        <f>+AD366/$AF$16</f>
        <v>4.7755579373741544E-2</v>
      </c>
      <c r="AS366" s="169">
        <f t="shared" si="704"/>
        <v>2.0292024553822609E-3</v>
      </c>
      <c r="AT366" s="115"/>
      <c r="AU366" s="115"/>
      <c r="AV366" s="113">
        <f>IFERROR(INDEX('Total Customers'!$F$7:$AB$91,MATCH($C366,'Total Customers'!$D$7:$D$91,0),MATCH($G366,'Total Customers'!$F$5:$AB$5,0)),"NA")</f>
        <v>1065516</v>
      </c>
      <c r="AW366" s="68">
        <f t="shared" si="619"/>
        <v>2.7301019200050227E-3</v>
      </c>
      <c r="AX366" s="114"/>
      <c r="AY366" s="114"/>
      <c r="AZ366" s="116">
        <v>8437841</v>
      </c>
      <c r="BA366" s="116"/>
      <c r="BB366" s="166"/>
      <c r="BC366" s="166"/>
      <c r="BD366" s="166"/>
      <c r="BE366" s="166"/>
      <c r="BF366" s="166"/>
      <c r="BG366" s="166"/>
      <c r="BH366" s="166"/>
      <c r="BI366" s="113"/>
      <c r="BJ366" s="113"/>
      <c r="BK366" s="113">
        <f>INDEX('Dist. Plant Gas Additions'!$F$7:$AE$91,MATCH($C366,'Dist. Plant Gas Additions'!$D$7:$D$91,0),MATCH(Calculation!$G366,'Dist. Plant Gas Additions'!$F$5:$AE$5,0))</f>
        <v>319478</v>
      </c>
      <c r="BL366" s="113">
        <f>INDEX('Gen. Plant Additions'!$F$7:$AE$91,MATCH($C366,'Gen. Plant Additions'!$D$7:$D$91,0),MATCH(Calculation!$G366,'Gen. Plant Additions'!$F$5:$AE$5,0))</f>
        <v>0</v>
      </c>
      <c r="BM366" s="231">
        <f t="shared" si="670"/>
        <v>1</v>
      </c>
      <c r="BN366" s="61">
        <f t="shared" ref="BN366:BN369" si="708">+BM366*BL366</f>
        <v>0</v>
      </c>
      <c r="BO366" s="113">
        <f>INDEX('Dist Plant Depreciation'!$E$7:$AD$94,MATCH($C366,'Dist Plant Depreciation'!$D$7:$D$94,0),MATCH(Calculation!$G366,'Dist Plant Depreciation'!$E$5:$AD$5,0))</f>
        <v>811630</v>
      </c>
      <c r="BP366" s="113">
        <f>INDEX('Gen. Plant Depreciation'!$E$7:$AD$94,MATCH($C366,'Gen. Plant Depreciation'!$D$7:$D$94,0),MATCH(Calculation!$G366,'Gen. Plant Depreciation'!$E$5:$AD$5,0))</f>
        <v>0</v>
      </c>
      <c r="BQ366" s="113"/>
      <c r="BR366" s="113"/>
      <c r="BS366" s="113"/>
      <c r="BT366" s="113"/>
      <c r="BU366" s="113"/>
      <c r="BV366" s="113"/>
      <c r="BW366" s="113">
        <f>INDEX('Gross Dx Plant'!$E$7:$AD$91,MATCH($C366,'Gross Dx Plant'!$D$7:$D$91,0),MATCH(Calculation!$G366,'Gross Dx Plant'!$E$5:$AD$5,0))</f>
        <v>3610878</v>
      </c>
      <c r="BX366" s="113">
        <f>INDEX('Gross Gen Plant'!$E$7:$AD$91,MATCH($C366,'Gross Gen Plant'!$D$7:$D$91,0),MATCH(Calculation!$G366,'Gross Gen Plant'!$E$5:$AD$5,0))</f>
        <v>0</v>
      </c>
      <c r="BY366" s="113">
        <f t="shared" si="623"/>
        <v>2799248</v>
      </c>
      <c r="BZ366" s="113"/>
      <c r="CA366" s="116">
        <v>2011</v>
      </c>
      <c r="CB366" s="113"/>
      <c r="CC366" s="113"/>
      <c r="CD366" s="113"/>
      <c r="CE366" s="175"/>
      <c r="CF366" s="113">
        <f t="shared" si="671"/>
        <v>319478</v>
      </c>
      <c r="CG366" s="113">
        <f t="shared" si="672"/>
        <v>522.35481341862067</v>
      </c>
      <c r="CH366" s="178">
        <v>0.92121212121212126</v>
      </c>
      <c r="CI366" s="61">
        <f>+CI353*CH366+CG354*CH365+CG355*CH364+CG356*CH363+CG357*CH362+CG358*CH361+CG359*CH360+CG360*CH359+CG361*CH358+CG362*CH357+CG363*CH356+CG364*CH355+CG365*CH354+CG366</f>
        <v>10129.250013573899</v>
      </c>
      <c r="CJ366" s="114">
        <f t="shared" si="673"/>
        <v>4.5801547455811289E-2</v>
      </c>
      <c r="CK366" s="114"/>
      <c r="CL366" s="169">
        <f t="shared" si="674"/>
        <v>7.1191789463418368E-3</v>
      </c>
      <c r="CM366" s="169">
        <f t="shared" si="682"/>
        <v>6.942162658694042E-3</v>
      </c>
      <c r="CN366" s="114">
        <f>VLOOKUP($H366,RoR!$E:$F,2,FALSE)</f>
        <v>4.6391666666666664E-2</v>
      </c>
      <c r="CO366" s="169">
        <v>2.0840920205183799E-2</v>
      </c>
      <c r="CP366" s="169">
        <f t="shared" si="680"/>
        <v>2.5550746461482865E-2</v>
      </c>
      <c r="CQ366" s="169">
        <f t="shared" si="683"/>
        <v>2.3959778949839583E-2</v>
      </c>
      <c r="CR366" s="169">
        <f t="shared" si="684"/>
        <v>2.4810540821321614E-2</v>
      </c>
      <c r="CS366" s="179">
        <f t="shared" si="675"/>
        <v>0.85329623209999994</v>
      </c>
      <c r="CT366" s="180">
        <f t="shared" si="676"/>
        <v>1.1054151524782025</v>
      </c>
      <c r="CU366" s="180">
        <f t="shared" si="677"/>
        <v>0.43611011316687626</v>
      </c>
      <c r="CV366" s="180">
        <f t="shared" si="678"/>
        <v>0.83698442246886229</v>
      </c>
      <c r="CW366" s="180">
        <f t="shared" si="679"/>
        <v>0.40349573304423936</v>
      </c>
      <c r="CX366" s="181">
        <f>INDEX('State Tax Lookup'!$D$7:$Z$91,MATCH(Calculation!$C366,'State Tax Lookup'!$B$7:$B$91,0),MATCH($H366,'State Tax Lookup'!$D$6:$Z$6,0))</f>
        <v>0.39649667</v>
      </c>
      <c r="CY366" s="72">
        <v>0.37</v>
      </c>
      <c r="CZ366" s="70">
        <f t="shared" si="681"/>
        <v>20.684374898740593</v>
      </c>
      <c r="DA366" s="70">
        <v>19.146574949201604</v>
      </c>
      <c r="DB366" s="69">
        <f t="shared" si="685"/>
        <v>6.6550656532423286E-2</v>
      </c>
      <c r="DC366" s="111">
        <f>VLOOKUP($H366,RoR!$E:$F,2,FALSE)</f>
        <v>4.6391666666666664E-2</v>
      </c>
      <c r="DD366" s="216">
        <f>HLOOKUP($H366,'GDP-PI'!$D$8:$CQ$11,3,FALSE)</f>
        <v>2.0840920205183799E-2</v>
      </c>
      <c r="DE366" s="111">
        <f>VLOOKUP(H366,'HW Dx Data'!$E:$F,2,FALSE)</f>
        <v>611.61109612283201</v>
      </c>
      <c r="DF366" s="72">
        <f t="shared" si="695"/>
        <v>120.875</v>
      </c>
      <c r="DG366" s="69">
        <f t="shared" si="696"/>
        <v>3.3224250161508609E-2</v>
      </c>
      <c r="DH366" s="66">
        <f>HLOOKUP(H366,'GDP-PI'!$8:$9,2,FALSE)</f>
        <v>98.111999999999995</v>
      </c>
      <c r="DI366" s="69">
        <f t="shared" si="686"/>
        <v>2.0626719212849295E-2</v>
      </c>
      <c r="EB366"/>
    </row>
    <row r="367" spans="1:132" s="160" customFormat="1" ht="21">
      <c r="A367" s="160" t="s">
        <v>182</v>
      </c>
      <c r="B367" s="161" t="s">
        <v>182</v>
      </c>
      <c r="C367" s="161">
        <v>4057080</v>
      </c>
      <c r="D367" s="161" t="s">
        <v>171</v>
      </c>
      <c r="E367" s="161" t="s">
        <v>3</v>
      </c>
      <c r="F367" s="161"/>
      <c r="G367" s="161" t="s">
        <v>128</v>
      </c>
      <c r="H367" s="162">
        <v>2012</v>
      </c>
      <c r="I367" s="163"/>
      <c r="J367" s="159">
        <f>IFERROR(INDEX('Labor Expenditures'!$F$7:$X$91,MATCH($C367,'Labor Expenditures'!$D$7:$D$91,0),MATCH($G367,'Labor Expenditures'!$F$5:$X$5,0)),"NA")</f>
        <v>109599.99298994782</v>
      </c>
      <c r="K367" s="159">
        <f t="shared" si="687"/>
        <v>878.20507203483817</v>
      </c>
      <c r="L367" s="165">
        <f t="shared" si="693"/>
        <v>-0.10014711342937002</v>
      </c>
      <c r="M367" s="76">
        <f t="shared" si="697"/>
        <v>-4.6373149844165231E-3</v>
      </c>
      <c r="N367" s="62">
        <f t="shared" si="703"/>
        <v>114.87796559925663</v>
      </c>
      <c r="O367" s="96">
        <f t="shared" si="698"/>
        <v>-1.6985018644510925E-2</v>
      </c>
      <c r="P367" s="96"/>
      <c r="Q367" s="159">
        <f>IFERROR(INDEX('Non-Labor Expenditures'!$F$7:$AB$91,MATCH($C367,'Non-Labor Expenditures'!$D$7:$D$91,0),MATCH($G367,'Non-Labor Expenditures'!$F$5:$AB$5,0)),"NA")</f>
        <v>158721.26030445073</v>
      </c>
      <c r="R367" s="159">
        <f t="shared" si="688"/>
        <v>1587.2126030445072</v>
      </c>
      <c r="S367" s="165">
        <f t="shared" si="699"/>
        <v>-8.7252114006243497E-2</v>
      </c>
      <c r="T367" s="165">
        <f t="shared" si="700"/>
        <v>-4.0402116631003231E-3</v>
      </c>
      <c r="U367" s="165"/>
      <c r="V367" s="165"/>
      <c r="W367" s="159">
        <f t="shared" si="669"/>
        <v>226866.23932915798</v>
      </c>
      <c r="X367" s="163"/>
      <c r="Y367" s="167">
        <v>10539.830547161451</v>
      </c>
      <c r="Z367" s="168">
        <v>3.9734186517161027E-2</v>
      </c>
      <c r="AA367" s="76">
        <f t="shared" si="689"/>
        <v>1.8398926561131828E-3</v>
      </c>
      <c r="AB367" s="168"/>
      <c r="AC367" s="168"/>
      <c r="AD367" s="163">
        <f t="shared" si="705"/>
        <v>495187.49262355652</v>
      </c>
      <c r="AE367" s="168">
        <f t="shared" si="701"/>
        <v>1.586315369960219E-2</v>
      </c>
      <c r="AF367" s="163"/>
      <c r="AG367" s="163"/>
      <c r="AH367" s="163"/>
      <c r="AI367" s="163"/>
      <c r="AJ367" s="116">
        <f t="shared" si="702"/>
        <v>463.75813973553926</v>
      </c>
      <c r="AK367" s="114">
        <f>+AV367/$AX$17</f>
        <v>2.989833031574508E-2</v>
      </c>
      <c r="AL367" s="115">
        <f t="shared" si="690"/>
        <v>0.2213302933183455</v>
      </c>
      <c r="AM367" s="115">
        <f t="shared" si="691"/>
        <v>0.32052760352150345</v>
      </c>
      <c r="AN367" s="115">
        <f t="shared" si="692"/>
        <v>0.45814210316015108</v>
      </c>
      <c r="AO367" s="115">
        <f t="shared" si="694"/>
        <v>-3.5070387998718575E-2</v>
      </c>
      <c r="AP367" s="166">
        <f t="shared" si="706"/>
        <v>133.80638988427938</v>
      </c>
      <c r="AQ367" s="168">
        <f t="shared" si="707"/>
        <v>-3.5070387998718582E-2</v>
      </c>
      <c r="AR367" s="69">
        <f>+AD367/$AF$17</f>
        <v>4.6305028928138266E-2</v>
      </c>
      <c r="AS367" s="169">
        <f t="shared" si="704"/>
        <v>-1.623935330801697E-3</v>
      </c>
      <c r="AT367" s="115"/>
      <c r="AU367" s="115"/>
      <c r="AV367" s="113">
        <f>IFERROR(INDEX('Total Customers'!$F$7:$AB$91,MATCH($C367,'Total Customers'!$D$7:$D$91,0),MATCH($G367,'Total Customers'!$F$5:$AB$5,0)),"NA")</f>
        <v>1067771</v>
      </c>
      <c r="AW367" s="68">
        <f t="shared" si="619"/>
        <v>2.1141092032019404E-3</v>
      </c>
      <c r="AX367" s="114"/>
      <c r="AY367" s="114"/>
      <c r="AZ367" s="116">
        <v>8485072</v>
      </c>
      <c r="BA367" s="116"/>
      <c r="BB367" s="166"/>
      <c r="BC367" s="166"/>
      <c r="BD367" s="166"/>
      <c r="BE367" s="166"/>
      <c r="BF367" s="166"/>
      <c r="BG367" s="166"/>
      <c r="BH367" s="166"/>
      <c r="BI367" s="113"/>
      <c r="BJ367" s="113"/>
      <c r="BK367" s="113">
        <f>INDEX('Dist. Plant Gas Additions'!$F$7:$AE$91,MATCH($C367,'Dist. Plant Gas Additions'!$D$7:$D$91,0),MATCH(Calculation!$G367,'Dist. Plant Gas Additions'!$F$5:$AE$5,0))</f>
        <v>324103</v>
      </c>
      <c r="BL367" s="113">
        <f>INDEX('Gen. Plant Additions'!$F$7:$AE$91,MATCH($C367,'Gen. Plant Additions'!$D$7:$D$91,0),MATCH(Calculation!$G367,'Gen. Plant Additions'!$F$5:$AE$5,0))</f>
        <v>0</v>
      </c>
      <c r="BM367" s="231">
        <f t="shared" si="670"/>
        <v>1</v>
      </c>
      <c r="BN367" s="61">
        <f t="shared" si="708"/>
        <v>0</v>
      </c>
      <c r="BO367" s="113">
        <f>INDEX('Dist Plant Depreciation'!$E$7:$AD$94,MATCH($C367,'Dist Plant Depreciation'!$D$7:$D$94,0),MATCH(Calculation!$G367,'Dist Plant Depreciation'!$E$5:$AD$5,0))</f>
        <v>882724</v>
      </c>
      <c r="BP367" s="113">
        <f>INDEX('Gen. Plant Depreciation'!$E$7:$AD$94,MATCH($C367,'Gen. Plant Depreciation'!$D$7:$D$94,0),MATCH(Calculation!$G367,'Gen. Plant Depreciation'!$E$5:$AD$5,0))</f>
        <v>0</v>
      </c>
      <c r="BQ367" s="113"/>
      <c r="BR367" s="113"/>
      <c r="BS367" s="113"/>
      <c r="BT367" s="113"/>
      <c r="BU367" s="113"/>
      <c r="BV367" s="113"/>
      <c r="BW367" s="113">
        <f>INDEX('Gross Dx Plant'!$E$7:$AD$91,MATCH($C367,'Gross Dx Plant'!$D$7:$D$91,0),MATCH(Calculation!$G367,'Gross Dx Plant'!$E$5:$AD$5,0))</f>
        <v>3926889</v>
      </c>
      <c r="BX367" s="113">
        <f>INDEX('Gross Gen Plant'!$E$7:$AD$91,MATCH($C367,'Gross Gen Plant'!$D$7:$D$91,0),MATCH(Calculation!$G367,'Gross Gen Plant'!$E$5:$AD$5,0))</f>
        <v>0</v>
      </c>
      <c r="BY367" s="113">
        <f t="shared" si="623"/>
        <v>3044165</v>
      </c>
      <c r="BZ367" s="113"/>
      <c r="CA367" s="116">
        <v>2012</v>
      </c>
      <c r="CB367" s="113"/>
      <c r="CC367" s="113"/>
      <c r="CD367" s="113"/>
      <c r="CE367" s="175"/>
      <c r="CF367" s="113">
        <f t="shared" si="671"/>
        <v>324103</v>
      </c>
      <c r="CG367" s="113">
        <f t="shared" si="672"/>
        <v>484.51732411675329</v>
      </c>
      <c r="CH367" s="178">
        <v>0.9135802469135802</v>
      </c>
      <c r="CI367" s="61">
        <f>+CI353*CH367+CG354*CH366+CG355*CH365+CG356*CH364+CG357*CH363+CG358*CH362+CG359*CH361+CG360*CH360+CG361*CH359+CG362*CH358+CG363*CH357+CG364*CH356+CG365*CH355+CG366*CH354+CG367</f>
        <v>10539.830547161451</v>
      </c>
      <c r="CJ367" s="114">
        <f t="shared" si="673"/>
        <v>3.9734186517161027E-2</v>
      </c>
      <c r="CK367" s="114"/>
      <c r="CL367" s="169">
        <f t="shared" si="674"/>
        <v>7.2993351363744401E-3</v>
      </c>
      <c r="CM367" s="169">
        <f t="shared" si="682"/>
        <v>7.1206705112653312E-3</v>
      </c>
      <c r="CN367" s="114">
        <f>VLOOKUP($H367,RoR!$E:$F,2,FALSE)</f>
        <v>3.6733333333333333E-2</v>
      </c>
      <c r="CO367" s="169">
        <v>1.924331376386168E-2</v>
      </c>
      <c r="CP367" s="169">
        <f t="shared" si="680"/>
        <v>1.7490019569471653E-2</v>
      </c>
      <c r="CQ367" s="169">
        <f t="shared" si="683"/>
        <v>2.3781271097268294E-2</v>
      </c>
      <c r="CR367" s="169">
        <f t="shared" si="684"/>
        <v>6.7122682943869583E-2</v>
      </c>
      <c r="CS367" s="179">
        <f t="shared" si="675"/>
        <v>0.85329623209999994</v>
      </c>
      <c r="CT367" s="180">
        <f t="shared" si="676"/>
        <v>1.3960631020522127</v>
      </c>
      <c r="CU367" s="180">
        <f t="shared" si="677"/>
        <v>0.29441923774954631</v>
      </c>
      <c r="CV367" s="180">
        <f t="shared" si="678"/>
        <v>0.76377954189366437</v>
      </c>
      <c r="CW367" s="180">
        <f t="shared" si="679"/>
        <v>0.31393465103033691</v>
      </c>
      <c r="CX367" s="181">
        <f>INDEX('State Tax Lookup'!$D$7:$Z$91,MATCH(Calculation!$C367,'State Tax Lookup'!$B$7:$B$91,0),MATCH($H367,'State Tax Lookup'!$D$6:$Z$6,0))</f>
        <v>0.39649667</v>
      </c>
      <c r="CY367" s="72">
        <v>0.37</v>
      </c>
      <c r="CZ367" s="70">
        <f t="shared" si="681"/>
        <v>22.397140856938218</v>
      </c>
      <c r="DA367" s="70">
        <v>20.759737328210988</v>
      </c>
      <c r="DB367" s="69">
        <f t="shared" si="685"/>
        <v>7.9554730969321294E-2</v>
      </c>
      <c r="DC367" s="111">
        <f>VLOOKUP($H367,RoR!$E:$F,2,FALSE)</f>
        <v>3.6733333333333333E-2</v>
      </c>
      <c r="DD367" s="216">
        <f>HLOOKUP($H367,'GDP-PI'!$D$8:$CQ$11,3,FALSE)</f>
        <v>1.924331376386168E-2</v>
      </c>
      <c r="DE367" s="111">
        <f>VLOOKUP(H367,'HW Dx Data'!$E:$F,2,FALSE)</f>
        <v>668.91932211262167</v>
      </c>
      <c r="DF367" s="72">
        <f t="shared" si="695"/>
        <v>124.80000000000001</v>
      </c>
      <c r="DG367" s="69">
        <f t="shared" si="696"/>
        <v>3.1955502161869064E-2</v>
      </c>
      <c r="DH367" s="66">
        <f>HLOOKUP(H367,'GDP-PI'!$8:$9,2,FALSE)</f>
        <v>100</v>
      </c>
      <c r="DI367" s="69">
        <f t="shared" si="686"/>
        <v>1.9060502738742411E-2</v>
      </c>
      <c r="EB367"/>
    </row>
    <row r="368" spans="1:132" s="160" customFormat="1" ht="21">
      <c r="A368" s="160" t="s">
        <v>182</v>
      </c>
      <c r="B368" s="161" t="s">
        <v>182</v>
      </c>
      <c r="C368" s="161">
        <v>4057080</v>
      </c>
      <c r="D368" s="161" t="s">
        <v>171</v>
      </c>
      <c r="E368" s="161" t="s">
        <v>3</v>
      </c>
      <c r="F368" s="161"/>
      <c r="G368" s="161" t="s">
        <v>129</v>
      </c>
      <c r="H368" s="162">
        <v>2013</v>
      </c>
      <c r="I368" s="163"/>
      <c r="J368" s="159">
        <f>IFERROR(INDEX('Labor Expenditures'!$F$7:$X$91,MATCH($C368,'Labor Expenditures'!$D$7:$D$91,0),MATCH($G368,'Labor Expenditures'!$F$5:$X$5,0)),"NA")</f>
        <v>113890.16012322962</v>
      </c>
      <c r="K368" s="159">
        <f t="shared" si="687"/>
        <v>898.18738267531251</v>
      </c>
      <c r="L368" s="165">
        <f t="shared" si="693"/>
        <v>2.2498579610238774E-2</v>
      </c>
      <c r="M368" s="76">
        <f t="shared" si="697"/>
        <v>1.037088937033218E-3</v>
      </c>
      <c r="N368" s="62">
        <f t="shared" si="703"/>
        <v>107.81372966271786</v>
      </c>
      <c r="O368" s="96">
        <f t="shared" si="698"/>
        <v>-6.3465383495115352E-2</v>
      </c>
      <c r="P368" s="96"/>
      <c r="Q368" s="159">
        <f>IFERROR(INDEX('Non-Labor Expenditures'!$F$7:$AB$91,MATCH($C368,'Non-Labor Expenditures'!$D$7:$D$91,0),MATCH($G368,'Non-Labor Expenditures'!$F$5:$AB$5,0)),"NA")</f>
        <v>164934.22360613337</v>
      </c>
      <c r="R368" s="159">
        <f t="shared" si="688"/>
        <v>1620.6088413049961</v>
      </c>
      <c r="S368" s="165">
        <f t="shared" si="699"/>
        <v>2.0822508661526337E-2</v>
      </c>
      <c r="T368" s="165">
        <f t="shared" si="700"/>
        <v>9.5982918691986439E-4</v>
      </c>
      <c r="U368" s="165"/>
      <c r="V368" s="165"/>
      <c r="W368" s="159">
        <f t="shared" si="669"/>
        <v>232434.36059278052</v>
      </c>
      <c r="X368" s="163"/>
      <c r="Y368" s="167">
        <v>10966.416879164613</v>
      </c>
      <c r="Z368" s="168">
        <v>3.9676126003375084E-2</v>
      </c>
      <c r="AA368" s="76">
        <f t="shared" si="689"/>
        <v>1.8289008486433774E-3</v>
      </c>
      <c r="AB368" s="168"/>
      <c r="AC368" s="168"/>
      <c r="AD368" s="163">
        <f t="shared" si="705"/>
        <v>511258.7443221435</v>
      </c>
      <c r="AE368" s="168">
        <f t="shared" si="701"/>
        <v>3.1939347190139668E-2</v>
      </c>
      <c r="AF368" s="163"/>
      <c r="AG368" s="163"/>
      <c r="AH368" s="163"/>
      <c r="AI368" s="163"/>
      <c r="AJ368" s="116">
        <f t="shared" si="702"/>
        <v>477.91240618087306</v>
      </c>
      <c r="AK368" s="114">
        <f>+AV368/$AX$18</f>
        <v>2.9763534350113703E-2</v>
      </c>
      <c r="AL368" s="115">
        <f t="shared" si="690"/>
        <v>0.22276422924410183</v>
      </c>
      <c r="AM368" s="115">
        <f t="shared" si="691"/>
        <v>0.32260421056428623</v>
      </c>
      <c r="AN368" s="115">
        <f t="shared" si="692"/>
        <v>0.45463156019161194</v>
      </c>
      <c r="AO368" s="115">
        <f t="shared" si="694"/>
        <v>2.9799218309676762E-2</v>
      </c>
      <c r="AP368" s="166">
        <f t="shared" si="706"/>
        <v>137.85371984646528</v>
      </c>
      <c r="AQ368" s="168">
        <f t="shared" si="707"/>
        <v>2.9799218309676658E-2</v>
      </c>
      <c r="AR368" s="69">
        <f>+AD368/$AF$18</f>
        <v>4.6095751598525532E-2</v>
      </c>
      <c r="AS368" s="169">
        <f t="shared" si="704"/>
        <v>1.3736173650330892E-3</v>
      </c>
      <c r="AT368" s="115"/>
      <c r="AU368" s="115"/>
      <c r="AV368" s="113">
        <f>IFERROR(INDEX('Total Customers'!$F$7:$AB$91,MATCH($C368,'Total Customers'!$D$7:$D$91,0),MATCH($G368,'Total Customers'!$F$5:$AB$5,0)),"NA")</f>
        <v>1069775</v>
      </c>
      <c r="AW368" s="68">
        <f t="shared" si="619"/>
        <v>1.8750479167599021E-3</v>
      </c>
      <c r="AX368" s="114"/>
      <c r="AY368" s="114"/>
      <c r="AZ368" s="116">
        <v>8534921</v>
      </c>
      <c r="BA368" s="116"/>
      <c r="BB368" s="166"/>
      <c r="BC368" s="166"/>
      <c r="BD368" s="166"/>
      <c r="BE368" s="166"/>
      <c r="BF368" s="166"/>
      <c r="BG368" s="166"/>
      <c r="BH368" s="166"/>
      <c r="BI368" s="113"/>
      <c r="BJ368" s="113"/>
      <c r="BK368" s="113">
        <f>INDEX('Dist. Plant Gas Additions'!$F$7:$AE$91,MATCH($C368,'Dist. Plant Gas Additions'!$D$7:$D$91,0),MATCH(Calculation!$G368,'Dist. Plant Gas Additions'!$F$5:$AE$5,0))</f>
        <v>335339</v>
      </c>
      <c r="BL368" s="113">
        <f>INDEX('Gen. Plant Additions'!$F$7:$AE$91,MATCH($C368,'Gen. Plant Additions'!$D$7:$D$91,0),MATCH(Calculation!$G368,'Gen. Plant Additions'!$F$5:$AE$5,0))</f>
        <v>0</v>
      </c>
      <c r="BM368" s="231">
        <f t="shared" si="670"/>
        <v>1</v>
      </c>
      <c r="BN368" s="61">
        <f t="shared" si="708"/>
        <v>0</v>
      </c>
      <c r="BO368" s="113">
        <f>INDEX('Dist Plant Depreciation'!$E$7:$AD$94,MATCH($C368,'Dist Plant Depreciation'!$D$7:$D$94,0),MATCH(Calculation!$G368,'Dist Plant Depreciation'!$E$5:$AD$5,0))</f>
        <v>952542</v>
      </c>
      <c r="BP368" s="113">
        <f>INDEX('Gen. Plant Depreciation'!$E$7:$AD$94,MATCH($C368,'Gen. Plant Depreciation'!$D$7:$D$94,0),MATCH(Calculation!$G368,'Gen. Plant Depreciation'!$E$5:$AD$5,0))</f>
        <v>5</v>
      </c>
      <c r="BQ368" s="113"/>
      <c r="BR368" s="113"/>
      <c r="BS368" s="113"/>
      <c r="BT368" s="113"/>
      <c r="BU368" s="113"/>
      <c r="BV368" s="113"/>
      <c r="BW368" s="113">
        <f>INDEX('Gross Dx Plant'!$E$7:$AD$91,MATCH($C368,'Gross Dx Plant'!$D$7:$D$91,0),MATCH(Calculation!$G368,'Gross Dx Plant'!$E$5:$AD$5,0))</f>
        <v>4249532</v>
      </c>
      <c r="BX368" s="113">
        <f>INDEX('Gross Gen Plant'!$E$7:$AD$91,MATCH($C368,'Gross Gen Plant'!$D$7:$D$91,0),MATCH(Calculation!$G368,'Gross Gen Plant'!$E$5:$AD$5,0))</f>
        <v>0</v>
      </c>
      <c r="BY368" s="113">
        <f t="shared" si="623"/>
        <v>3296985</v>
      </c>
      <c r="BZ368" s="113"/>
      <c r="CA368" s="116">
        <v>2013</v>
      </c>
      <c r="CB368" s="113"/>
      <c r="CC368" s="113"/>
      <c r="CD368" s="113"/>
      <c r="CE368" s="175"/>
      <c r="CF368" s="113">
        <f t="shared" si="671"/>
        <v>335339</v>
      </c>
      <c r="CG368" s="113">
        <f t="shared" si="672"/>
        <v>505.60091396398997</v>
      </c>
      <c r="CH368" s="178">
        <v>0.90566037735849059</v>
      </c>
      <c r="CI368" s="61">
        <f>+CI353*CH368+CG354*CH367+CG355*CH366+CG356*CH365+CG357*CH364+CG358*CH363+CG359*CH362+CG360*CH361+CG361*CH360+CG362*CH359+CG363*CH358+CG364*CH357+CG365*CH356+CG366*CH355+CG367*CH354+CG368</f>
        <v>10966.416879164613</v>
      </c>
      <c r="CJ368" s="114">
        <f t="shared" si="673"/>
        <v>3.9676126003375084E-2</v>
      </c>
      <c r="CK368" s="114"/>
      <c r="CL368" s="169">
        <f t="shared" si="674"/>
        <v>7.4967601810360905E-3</v>
      </c>
      <c r="CM368" s="169">
        <f t="shared" si="682"/>
        <v>7.3050914212507883E-3</v>
      </c>
      <c r="CN368" s="114">
        <f>VLOOKUP($H368,RoR!$E:$F,2,FALSE)</f>
        <v>4.2350000000000006E-2</v>
      </c>
      <c r="CO368" s="169">
        <v>1.7730000000000024E-2</v>
      </c>
      <c r="CP368" s="169">
        <f t="shared" si="680"/>
        <v>2.4619999999999982E-2</v>
      </c>
      <c r="CQ368" s="169">
        <f t="shared" si="683"/>
        <v>2.3596850187282838E-2</v>
      </c>
      <c r="CR368" s="169">
        <f t="shared" si="684"/>
        <v>5.3376742735721204E-2</v>
      </c>
      <c r="CS368" s="179">
        <f t="shared" si="675"/>
        <v>0.85329623209999994</v>
      </c>
      <c r="CT368" s="180">
        <f t="shared" si="676"/>
        <v>1.2109103018193925</v>
      </c>
      <c r="CU368" s="180">
        <f t="shared" si="677"/>
        <v>0.38468122786304604</v>
      </c>
      <c r="CV368" s="180">
        <f t="shared" si="678"/>
        <v>0.80969194503422559</v>
      </c>
      <c r="CW368" s="180">
        <f t="shared" si="679"/>
        <v>0.37716621754800816</v>
      </c>
      <c r="CX368" s="181">
        <f>INDEX('State Tax Lookup'!$D$7:$Z$91,MATCH(Calculation!$C368,'State Tax Lookup'!$B$7:$B$91,0),MATCH($H368,'State Tax Lookup'!$D$6:$Z$6,0))</f>
        <v>0.39649667</v>
      </c>
      <c r="CY368" s="72">
        <v>0.37</v>
      </c>
      <c r="CZ368" s="70">
        <f t="shared" si="681"/>
        <v>22.052950429585312</v>
      </c>
      <c r="DA368" s="70">
        <v>20.339519021246105</v>
      </c>
      <c r="DB368" s="69">
        <f t="shared" si="685"/>
        <v>-1.5486911127031704E-2</v>
      </c>
      <c r="DC368" s="111">
        <f>VLOOKUP($H368,RoR!$E:$F,2,FALSE)</f>
        <v>4.2350000000000006E-2</v>
      </c>
      <c r="DD368" s="216">
        <f>HLOOKUP($H368,'GDP-PI'!$D$8:$CQ$11,3,FALSE)</f>
        <v>1.7730000000000024E-2</v>
      </c>
      <c r="DE368" s="111">
        <f>VLOOKUP(H368,'HW Dx Data'!$E:$F,2,FALSE)</f>
        <v>663.24840548821396</v>
      </c>
      <c r="DF368" s="72">
        <f t="shared" si="695"/>
        <v>126.8</v>
      </c>
      <c r="DG368" s="69">
        <f t="shared" si="696"/>
        <v>1.5898586067798204E-2</v>
      </c>
      <c r="DH368" s="66">
        <f>HLOOKUP(H368,'GDP-PI'!$8:$9,2,FALSE)</f>
        <v>101.773</v>
      </c>
      <c r="DI368" s="69">
        <f t="shared" si="686"/>
        <v>1.7574657016510519E-2</v>
      </c>
      <c r="EB368"/>
    </row>
    <row r="369" spans="1:132" s="160" customFormat="1" ht="21">
      <c r="A369" s="160" t="s">
        <v>182</v>
      </c>
      <c r="B369" s="161" t="s">
        <v>182</v>
      </c>
      <c r="C369" s="161">
        <v>4057080</v>
      </c>
      <c r="D369" s="161" t="s">
        <v>171</v>
      </c>
      <c r="E369" s="161" t="s">
        <v>3</v>
      </c>
      <c r="F369" s="161"/>
      <c r="G369" s="161" t="s">
        <v>130</v>
      </c>
      <c r="H369" s="162">
        <v>2014</v>
      </c>
      <c r="I369" s="163"/>
      <c r="J369" s="159">
        <f>IFERROR(INDEX('Labor Expenditures'!$F$7:$X$91,MATCH($C369,'Labor Expenditures'!$D$7:$D$91,0),MATCH($G369,'Labor Expenditures'!$F$5:$X$5,0)),"NA")</f>
        <v>135183.09782483571</v>
      </c>
      <c r="K369" s="159">
        <f t="shared" si="687"/>
        <v>1044.691636977092</v>
      </c>
      <c r="L369" s="165">
        <f t="shared" si="693"/>
        <v>0.1510983234099133</v>
      </c>
      <c r="M369" s="76">
        <f t="shared" si="697"/>
        <v>7.6809614438480304E-3</v>
      </c>
      <c r="N369" s="62">
        <f t="shared" si="703"/>
        <v>120.72009985001669</v>
      </c>
      <c r="O369" s="96">
        <f t="shared" si="698"/>
        <v>0.11306962885212538</v>
      </c>
      <c r="P369" s="96"/>
      <c r="Q369" s="159">
        <f>IFERROR(INDEX('Non-Labor Expenditures'!$F$7:$AB$91,MATCH($C369,'Non-Labor Expenditures'!$D$7:$D$91,0),MATCH($G369,'Non-Labor Expenditures'!$F$5:$AB$5,0)),"NA")</f>
        <v>195770.37437024011</v>
      </c>
      <c r="R369" s="159">
        <f t="shared" si="688"/>
        <v>1888.8185318459782</v>
      </c>
      <c r="S369" s="165">
        <f t="shared" si="699"/>
        <v>0.15314961157533216</v>
      </c>
      <c r="T369" s="165">
        <f t="shared" si="700"/>
        <v>7.7852370238361687E-3</v>
      </c>
      <c r="U369" s="165"/>
      <c r="V369" s="165"/>
      <c r="W369" s="159">
        <f t="shared" si="669"/>
        <v>247780.67543194172</v>
      </c>
      <c r="X369" s="163"/>
      <c r="Y369" s="167">
        <v>11625.500588771883</v>
      </c>
      <c r="Z369" s="168">
        <v>5.8363420078090263E-2</v>
      </c>
      <c r="AA369" s="76">
        <f t="shared" si="689"/>
        <v>2.9668574027440597E-3</v>
      </c>
      <c r="AB369" s="168"/>
      <c r="AC369" s="168"/>
      <c r="AD369" s="163">
        <f t="shared" si="705"/>
        <v>578734.14762701758</v>
      </c>
      <c r="AE369" s="168">
        <f t="shared" si="701"/>
        <v>0.12396740329671799</v>
      </c>
      <c r="AF369" s="163"/>
      <c r="AG369" s="163"/>
      <c r="AH369" s="163"/>
      <c r="AI369" s="163"/>
      <c r="AJ369" s="116">
        <f t="shared" si="702"/>
        <v>537.2523559702023</v>
      </c>
      <c r="AK369" s="114">
        <f>+AV369/$AX$19</f>
        <v>2.9810267279580756E-2</v>
      </c>
      <c r="AL369" s="115">
        <f t="shared" si="690"/>
        <v>0.23358410485907335</v>
      </c>
      <c r="AM369" s="115">
        <f t="shared" si="691"/>
        <v>0.33827341132877153</v>
      </c>
      <c r="AN369" s="115">
        <f t="shared" si="692"/>
        <v>0.42814248381215503</v>
      </c>
      <c r="AO369" s="115">
        <f t="shared" si="694"/>
        <v>0.11084416581493707</v>
      </c>
      <c r="AP369" s="166">
        <f t="shared" si="706"/>
        <v>154.01304208033395</v>
      </c>
      <c r="AQ369" s="168">
        <f t="shared" si="707"/>
        <v>0.11084416581493717</v>
      </c>
      <c r="AR369" s="69">
        <f>+AD369/$AF$19</f>
        <v>5.0834193725700173E-2</v>
      </c>
      <c r="AS369" s="169">
        <f t="shared" si="704"/>
        <v>5.6346737984001487E-3</v>
      </c>
      <c r="AT369" s="115"/>
      <c r="AU369" s="115"/>
      <c r="AV369" s="113">
        <f>IFERROR(INDEX('Total Customers'!$F$7:$AB$91,MATCH($C369,'Total Customers'!$D$7:$D$91,0),MATCH($G369,'Total Customers'!$F$5:$AB$5,0)),"NA")</f>
        <v>1077211</v>
      </c>
      <c r="AW369" s="68">
        <f t="shared" si="619"/>
        <v>6.9269475750617553E-3</v>
      </c>
      <c r="AX369" s="114"/>
      <c r="AY369" s="114"/>
      <c r="AZ369" s="116">
        <v>8599754</v>
      </c>
      <c r="BA369" s="116"/>
      <c r="BB369" s="166"/>
      <c r="BC369" s="166"/>
      <c r="BD369" s="166"/>
      <c r="BE369" s="166"/>
      <c r="BF369" s="166"/>
      <c r="BG369" s="166"/>
      <c r="BH369" s="166"/>
      <c r="BI369" s="113"/>
      <c r="BJ369" s="113"/>
      <c r="BK369" s="113">
        <f>INDEX('Dist. Plant Gas Additions'!$F$7:$AE$91,MATCH($C369,'Dist. Plant Gas Additions'!$D$7:$D$91,0),MATCH(Calculation!$G369,'Dist. Plant Gas Additions'!$F$5:$AE$5,0))</f>
        <v>508904</v>
      </c>
      <c r="BL369" s="113">
        <f>INDEX('Gen. Plant Additions'!$F$7:$AE$91,MATCH($C369,'Gen. Plant Additions'!$D$7:$D$91,0),MATCH(Calculation!$G369,'Gen. Plant Additions'!$F$5:$AE$5,0))</f>
        <v>0</v>
      </c>
      <c r="BM369" s="231">
        <f t="shared" si="670"/>
        <v>1</v>
      </c>
      <c r="BN369" s="61">
        <f t="shared" si="708"/>
        <v>0</v>
      </c>
      <c r="BO369" s="113">
        <f>INDEX('Dist Plant Depreciation'!$E$7:$AD$94,MATCH($C369,'Dist Plant Depreciation'!$D$7:$D$94,0),MATCH(Calculation!$G369,'Dist Plant Depreciation'!$E$5:$AD$5,0))</f>
        <v>1004884</v>
      </c>
      <c r="BP369" s="113">
        <f>INDEX('Gen. Plant Depreciation'!$E$7:$AD$94,MATCH($C369,'Gen. Plant Depreciation'!$D$7:$D$94,0),MATCH(Calculation!$G369,'Gen. Plant Depreciation'!$E$5:$AD$5,0))</f>
        <v>0</v>
      </c>
      <c r="BQ369" s="113"/>
      <c r="BR369" s="113"/>
      <c r="BS369" s="113"/>
      <c r="BT369" s="113"/>
      <c r="BU369" s="113"/>
      <c r="BV369" s="113"/>
      <c r="BW369" s="113">
        <f>INDEX('Gross Dx Plant'!$E$7:$AD$91,MATCH($C369,'Gross Dx Plant'!$D$7:$D$91,0),MATCH(Calculation!$G369,'Gross Dx Plant'!$E$5:$AD$5,0))</f>
        <v>4741384</v>
      </c>
      <c r="BX369" s="113">
        <f>INDEX('Gross Gen Plant'!$E$7:$AD$91,MATCH($C369,'Gross Gen Plant'!$D$7:$D$91,0),MATCH(Calculation!$G369,'Gross Gen Plant'!$E$5:$AD$5,0))</f>
        <v>0</v>
      </c>
      <c r="BY369" s="113">
        <f t="shared" si="623"/>
        <v>3736500</v>
      </c>
      <c r="BZ369" s="113"/>
      <c r="CA369" s="116">
        <v>2014</v>
      </c>
      <c r="CB369" s="113"/>
      <c r="CC369" s="113"/>
      <c r="CD369" s="113"/>
      <c r="CE369" s="175"/>
      <c r="CF369" s="113">
        <f t="shared" si="671"/>
        <v>508904</v>
      </c>
      <c r="CG369" s="113">
        <f t="shared" si="672"/>
        <v>743.50174192031682</v>
      </c>
      <c r="CH369" s="178">
        <v>0.89743589743589747</v>
      </c>
      <c r="CI369" s="61">
        <f>+CI353*CH369+CG354*CH368+CG355*CH367+CG356*CH366+CG357*CH365+CG358*CH364+CG359*CH363+CG360*CH362+CG361*CH361+CG362*CH360+CG363*CH359+CG364*CH358+CG365*CH357+CG366*CH356+CG367*CH355+CG368*CH354+CG369</f>
        <v>11625.500588771883</v>
      </c>
      <c r="CJ369" s="114">
        <f t="shared" si="673"/>
        <v>5.8363420078090263E-2</v>
      </c>
      <c r="CK369" s="114"/>
      <c r="CL369" s="169">
        <f t="shared" si="674"/>
        <v>7.6978682502426852E-3</v>
      </c>
      <c r="CM369" s="169">
        <f t="shared" si="682"/>
        <v>7.4979878558844052E-3</v>
      </c>
      <c r="CN369" s="114">
        <f>VLOOKUP($H369,RoR!$E:$F,2,FALSE)</f>
        <v>4.1625000000000002E-2</v>
      </c>
      <c r="CO369" s="169">
        <v>1.841352814597208E-2</v>
      </c>
      <c r="CP369" s="169">
        <f t="shared" si="680"/>
        <v>2.3211471854027922E-2</v>
      </c>
      <c r="CQ369" s="169">
        <f t="shared" si="683"/>
        <v>2.3403953752649219E-2</v>
      </c>
      <c r="CR369" s="169">
        <f t="shared" si="684"/>
        <v>3.9072621432650924E-2</v>
      </c>
      <c r="CS369" s="179">
        <f t="shared" si="675"/>
        <v>0.85329623209999994</v>
      </c>
      <c r="CT369" s="180">
        <f t="shared" si="676"/>
        <v>1.2320012320012319</v>
      </c>
      <c r="CU369" s="180">
        <f t="shared" si="677"/>
        <v>0.37439939939939942</v>
      </c>
      <c r="CV369" s="180">
        <f t="shared" si="678"/>
        <v>0.80432100613819935</v>
      </c>
      <c r="CW369" s="180">
        <f t="shared" si="679"/>
        <v>0.37100152660040037</v>
      </c>
      <c r="CX369" s="181">
        <f>INDEX('State Tax Lookup'!$D$7:$Z$91,MATCH(Calculation!$C369,'State Tax Lookup'!$B$7:$B$91,0),MATCH($H369,'State Tax Lookup'!$D$6:$Z$6,0))</f>
        <v>0.39649667</v>
      </c>
      <c r="CY369" s="72">
        <v>0.37</v>
      </c>
      <c r="CZ369" s="70">
        <f t="shared" si="681"/>
        <v>22.594497196500601</v>
      </c>
      <c r="DA369" s="70">
        <v>20.763592984765573</v>
      </c>
      <c r="DB369" s="69">
        <f t="shared" si="685"/>
        <v>2.4259990478006553E-2</v>
      </c>
      <c r="DC369" s="111">
        <f>VLOOKUP($H369,RoR!$E:$F,2,FALSE)</f>
        <v>4.1625000000000002E-2</v>
      </c>
      <c r="DD369" s="216">
        <f>HLOOKUP($H369,'GDP-PI'!$D$8:$CQ$11,3,FALSE)</f>
        <v>1.841352814597208E-2</v>
      </c>
      <c r="DE369" s="111">
        <f>VLOOKUP(H369,'HW Dx Data'!$E:$F,2,FALSE)</f>
        <v>684.46914285042885</v>
      </c>
      <c r="DF369" s="72">
        <f t="shared" si="695"/>
        <v>129.4</v>
      </c>
      <c r="DG369" s="69">
        <f t="shared" si="696"/>
        <v>2.0297340063674733E-2</v>
      </c>
      <c r="DH369" s="66">
        <f>HLOOKUP(H369,'GDP-PI'!$8:$9,2,FALSE)</f>
        <v>103.64700000000001</v>
      </c>
      <c r="DI369" s="69">
        <f t="shared" si="686"/>
        <v>1.8246051898256087E-2</v>
      </c>
      <c r="EB369"/>
    </row>
    <row r="370" spans="1:132" s="160" customFormat="1" ht="21">
      <c r="A370" s="160" t="s">
        <v>182</v>
      </c>
      <c r="B370" s="161" t="s">
        <v>182</v>
      </c>
      <c r="C370" s="161">
        <v>4057080</v>
      </c>
      <c r="D370" s="161" t="s">
        <v>171</v>
      </c>
      <c r="E370" s="161" t="s">
        <v>3</v>
      </c>
      <c r="F370" s="161"/>
      <c r="G370" s="161" t="s">
        <v>132</v>
      </c>
      <c r="H370" s="162">
        <v>2015</v>
      </c>
      <c r="I370" s="163"/>
      <c r="J370" s="159">
        <f>IFERROR(INDEX('Labor Expenditures'!$F$7:$X$91,MATCH($C370,'Labor Expenditures'!$D$7:$D$91,0),MATCH($G370,'Labor Expenditures'!$F$5:$X$5,0)),"NA")</f>
        <v>146038.09545015765</v>
      </c>
      <c r="K370" s="159">
        <f t="shared" si="687"/>
        <v>1093.918317978709</v>
      </c>
      <c r="L370" s="165">
        <f t="shared" si="693"/>
        <v>4.6044279934707749E-2</v>
      </c>
      <c r="M370" s="76">
        <f t="shared" si="697"/>
        <v>2.4643269858344234E-3</v>
      </c>
      <c r="N370" s="62">
        <f t="shared" si="703"/>
        <v>119.05103246248373</v>
      </c>
      <c r="O370" s="96">
        <f t="shared" si="698"/>
        <v>-1.3922396173320408E-2</v>
      </c>
      <c r="P370" s="96"/>
      <c r="Q370" s="159">
        <f>IFERROR(INDEX('Non-Labor Expenditures'!$F$7:$AB$91,MATCH($C370,'Non-Labor Expenditures'!$D$7:$D$91,0),MATCH($G370,'Non-Labor Expenditures'!$F$5:$AB$5,0)),"NA")</f>
        <v>211490.43836559949</v>
      </c>
      <c r="R370" s="159">
        <f t="shared" si="688"/>
        <v>2021.1435350643594</v>
      </c>
      <c r="S370" s="165">
        <f t="shared" si="699"/>
        <v>6.771193952276916E-2</v>
      </c>
      <c r="T370" s="165">
        <f t="shared" si="700"/>
        <v>3.6239975967865597E-3</v>
      </c>
      <c r="U370" s="165"/>
      <c r="V370" s="165"/>
      <c r="W370" s="159">
        <f t="shared" si="669"/>
        <v>257817.15446865902</v>
      </c>
      <c r="X370" s="163"/>
      <c r="Y370" s="167">
        <v>12506.75521759603</v>
      </c>
      <c r="Z370" s="168">
        <v>7.3067903797002592E-2</v>
      </c>
      <c r="AA370" s="76">
        <f t="shared" si="689"/>
        <v>3.9106531230511665E-3</v>
      </c>
      <c r="AB370" s="168"/>
      <c r="AC370" s="168"/>
      <c r="AD370" s="163">
        <f t="shared" si="705"/>
        <v>615345.68828441622</v>
      </c>
      <c r="AE370" s="168">
        <f t="shared" si="701"/>
        <v>6.1340990345778765E-2</v>
      </c>
      <c r="AF370" s="163"/>
      <c r="AG370" s="163"/>
      <c r="AH370" s="163"/>
      <c r="AI370" s="163"/>
      <c r="AJ370" s="116">
        <f t="shared" si="702"/>
        <v>571.45561149885793</v>
      </c>
      <c r="AK370" s="114">
        <f>+AV370/$AX$20</f>
        <v>2.9556699464380137E-2</v>
      </c>
      <c r="AL370" s="115">
        <f t="shared" si="690"/>
        <v>0.237326917585645</v>
      </c>
      <c r="AM370" s="115">
        <f t="shared" si="691"/>
        <v>0.34369370321783654</v>
      </c>
      <c r="AN370" s="115">
        <f t="shared" si="692"/>
        <v>0.4189793791965184</v>
      </c>
      <c r="AO370" s="115">
        <f t="shared" si="694"/>
        <v>6.4878746874568363E-2</v>
      </c>
      <c r="AP370" s="166">
        <f t="shared" si="706"/>
        <v>164.33648020893037</v>
      </c>
      <c r="AQ370" s="168">
        <f t="shared" si="707"/>
        <v>6.4878746874568308E-2</v>
      </c>
      <c r="AR370" s="69">
        <f>+AD370/$AF$20</f>
        <v>5.3520806261470856E-2</v>
      </c>
      <c r="AS370" s="169">
        <f t="shared" si="704"/>
        <v>3.4723628419607781E-3</v>
      </c>
      <c r="AT370" s="115"/>
      <c r="AU370" s="115"/>
      <c r="AV370" s="113">
        <f>IFERROR(INDEX('Total Customers'!$F$7:$AB$91,MATCH($C370,'Total Customers'!$D$7:$D$91,0),MATCH($G370,'Total Customers'!$F$5:$AB$5,0)),"NA")</f>
        <v>1076804</v>
      </c>
      <c r="AW370" s="68">
        <f t="shared" si="619"/>
        <v>-3.7789895134768476E-4</v>
      </c>
      <c r="AX370" s="114"/>
      <c r="AY370" s="114"/>
      <c r="AZ370" s="116">
        <v>8659109</v>
      </c>
      <c r="BA370" s="116"/>
      <c r="BB370" s="166"/>
      <c r="BC370" s="166"/>
      <c r="BD370" s="166"/>
      <c r="BE370" s="166"/>
      <c r="BF370" s="166"/>
      <c r="BG370" s="166"/>
      <c r="BH370" s="166"/>
      <c r="BI370" s="113"/>
      <c r="BJ370" s="113"/>
      <c r="BK370" s="113">
        <f>INDEX('Dist. Plant Gas Additions'!$F$7:$AE$91,MATCH($C370,'Dist. Plant Gas Additions'!$D$7:$D$91,0),MATCH(Calculation!$G370,'Dist. Plant Gas Additions'!$F$5:$AE$5,0))</f>
        <v>657034</v>
      </c>
      <c r="BL370" s="113">
        <f>INDEX('Gen. Plant Additions'!$F$7:$AE$91,MATCH($C370,'Gen. Plant Additions'!$D$7:$D$91,0),MATCH(Calculation!$G370,'Gen. Plant Additions'!$F$5:$AE$5,0))</f>
        <v>0</v>
      </c>
      <c r="BM370" s="231">
        <f t="shared" si="670"/>
        <v>1</v>
      </c>
      <c r="BN370" s="113"/>
      <c r="BO370" s="113">
        <f>INDEX('Dist Plant Depreciation'!$E$7:$AD$94,MATCH($C370,'Dist Plant Depreciation'!$D$7:$D$94,0),MATCH(Calculation!$G370,'Dist Plant Depreciation'!$E$5:$AD$5,0))</f>
        <v>1053743</v>
      </c>
      <c r="BP370" s="113">
        <f>INDEX('Gen. Plant Depreciation'!$E$7:$AD$94,MATCH($C370,'Gen. Plant Depreciation'!$D$7:$D$94,0),MATCH(Calculation!$G370,'Gen. Plant Depreciation'!$E$5:$AD$5,0))</f>
        <v>0</v>
      </c>
      <c r="BQ370" s="113"/>
      <c r="BR370" s="113"/>
      <c r="BS370" s="113"/>
      <c r="BT370" s="113"/>
      <c r="BU370" s="113"/>
      <c r="BV370" s="113"/>
      <c r="BW370" s="113">
        <f>INDEX('Gross Dx Plant'!$E$7:$AD$91,MATCH($C370,'Gross Dx Plant'!$D$7:$D$91,0),MATCH(Calculation!$G370,'Gross Dx Plant'!$E$5:$AD$5,0))</f>
        <v>5374273</v>
      </c>
      <c r="BX370" s="113">
        <f>INDEX('Gross Gen Plant'!$E$7:$AD$91,MATCH($C370,'Gross Gen Plant'!$D$7:$D$91,0),MATCH(Calculation!$G370,'Gross Gen Plant'!$E$5:$AD$5,0))</f>
        <v>0</v>
      </c>
      <c r="BY370" s="113">
        <f t="shared" si="623"/>
        <v>4320530</v>
      </c>
      <c r="BZ370" s="113"/>
      <c r="CA370" s="116">
        <v>2015</v>
      </c>
      <c r="CB370" s="113"/>
      <c r="CC370" s="113"/>
      <c r="CD370" s="113"/>
      <c r="CE370" s="175"/>
      <c r="CF370" s="113">
        <f t="shared" si="671"/>
        <v>657034</v>
      </c>
      <c r="CG370" s="113">
        <f t="shared" si="672"/>
        <v>972.49817843380754</v>
      </c>
      <c r="CH370" s="178">
        <v>0.88888888888888884</v>
      </c>
      <c r="CI370" s="61">
        <f>+CI353*CH370+CG354*CH369+CG355*CH368+CG356*CH367+CG357*CH366+CG358*CH365+CG359*CH364+CG360*CH363+CG361*CH362+CG362*CH361+CG363*CH360+CG364*CH359+CG365*CH358+CG366*CH357+CG367*CH356+CG368*CH355+CG369*CH354+CG370</f>
        <v>12506.75521759603</v>
      </c>
      <c r="CJ370" s="114">
        <f t="shared" si="673"/>
        <v>7.3067903797002592E-2</v>
      </c>
      <c r="CK370" s="114"/>
      <c r="CL370" s="169">
        <f t="shared" si="674"/>
        <v>7.8485695229146262E-3</v>
      </c>
      <c r="CM370" s="169">
        <f t="shared" si="682"/>
        <v>7.6810659847311342E-3</v>
      </c>
      <c r="CN370" s="114">
        <f>VLOOKUP($H370,RoR!$E:$F,2,FALSE)</f>
        <v>3.8866666666666674E-2</v>
      </c>
      <c r="CO370" s="169">
        <v>9.5709475431029478E-3</v>
      </c>
      <c r="CP370" s="169">
        <f t="shared" si="680"/>
        <v>2.9295719123563727E-2</v>
      </c>
      <c r="CQ370" s="169">
        <f t="shared" si="683"/>
        <v>2.3220875623802491E-2</v>
      </c>
      <c r="CR370" s="169">
        <f t="shared" si="684"/>
        <v>3.5270373279175926E-3</v>
      </c>
      <c r="CS370" s="179">
        <f t="shared" si="675"/>
        <v>0.85329623209999994</v>
      </c>
      <c r="CT370" s="180">
        <f t="shared" si="676"/>
        <v>1.3194352816994324</v>
      </c>
      <c r="CU370" s="180">
        <f t="shared" si="677"/>
        <v>0.33177530017152673</v>
      </c>
      <c r="CV370" s="180">
        <f t="shared" si="678"/>
        <v>0.78242572977668579</v>
      </c>
      <c r="CW370" s="180">
        <f t="shared" si="679"/>
        <v>0.34251158643433932</v>
      </c>
      <c r="CX370" s="181">
        <f>INDEX('State Tax Lookup'!$D$7:$Z$91,MATCH(Calculation!$C370,'State Tax Lookup'!$B$7:$B$91,0),MATCH($H370,'State Tax Lookup'!$D$6:$Z$6,0))</f>
        <v>0.39649667</v>
      </c>
      <c r="CY370" s="72">
        <v>0.37</v>
      </c>
      <c r="CZ370" s="70">
        <f t="shared" si="681"/>
        <v>22.17686477240072</v>
      </c>
      <c r="DA370" s="70">
        <v>20.279488671080099</v>
      </c>
      <c r="DB370" s="69">
        <f t="shared" si="685"/>
        <v>-1.8656771633378283E-2</v>
      </c>
      <c r="DC370" s="111">
        <f>VLOOKUP($H370,RoR!$E:$F,2,FALSE)</f>
        <v>3.8866666666666674E-2</v>
      </c>
      <c r="DD370" s="216">
        <f>HLOOKUP($H370,'GDP-PI'!$D$8:$CQ$11,3,FALSE)</f>
        <v>9.5709475431029478E-3</v>
      </c>
      <c r="DE370" s="111">
        <f>VLOOKUP(H370,'HW Dx Data'!$E:$F,2,FALSE)</f>
        <v>675.61463308665782</v>
      </c>
      <c r="DF370" s="72">
        <f t="shared" si="695"/>
        <v>133.5</v>
      </c>
      <c r="DG370" s="69">
        <f t="shared" si="696"/>
        <v>3.1193095773504077E-2</v>
      </c>
      <c r="DH370" s="66">
        <f>HLOOKUP(H370,'GDP-PI'!$8:$9,2,FALSE)</f>
        <v>104.639</v>
      </c>
      <c r="DI370" s="69">
        <f t="shared" si="686"/>
        <v>9.5254361854427965E-3</v>
      </c>
      <c r="EB370"/>
    </row>
    <row r="371" spans="1:132" s="160" customFormat="1" ht="21">
      <c r="A371" s="160" t="s">
        <v>182</v>
      </c>
      <c r="B371" s="161" t="s">
        <v>182</v>
      </c>
      <c r="C371" s="161">
        <v>4057080</v>
      </c>
      <c r="D371" s="161" t="s">
        <v>171</v>
      </c>
      <c r="E371" s="161" t="s">
        <v>3</v>
      </c>
      <c r="F371" s="161"/>
      <c r="G371" s="161" t="s">
        <v>133</v>
      </c>
      <c r="H371" s="162">
        <v>2016</v>
      </c>
      <c r="I371" s="163"/>
      <c r="J371" s="159">
        <f>IFERROR(INDEX('Labor Expenditures'!$F$7:$X$91,MATCH($C371,'Labor Expenditures'!$D$7:$D$91,0),MATCH($G371,'Labor Expenditures'!$F$5:$X$5,0)),"NA")</f>
        <v>139222.50442893512</v>
      </c>
      <c r="K371" s="159">
        <f t="shared" si="687"/>
        <v>1016.5936796563354</v>
      </c>
      <c r="L371" s="165">
        <f t="shared" si="693"/>
        <v>-7.3308528700931547E-2</v>
      </c>
      <c r="M371" s="76">
        <f t="shared" si="697"/>
        <v>-3.7872956551662641E-3</v>
      </c>
      <c r="N371" s="62">
        <f t="shared" si="703"/>
        <v>296.5189580578816</v>
      </c>
      <c r="O371" s="96">
        <f t="shared" si="698"/>
        <v>0.91255891047401239</v>
      </c>
      <c r="P371" s="96"/>
      <c r="Q371" s="159">
        <f>IFERROR(INDEX('Non-Labor Expenditures'!$F$7:$AB$91,MATCH($C371,'Non-Labor Expenditures'!$D$7:$D$91,0),MATCH($G371,'Non-Labor Expenditures'!$F$5:$AB$5,0)),"NA")</f>
        <v>201620.18959006027</v>
      </c>
      <c r="R371" s="159">
        <f t="shared" si="688"/>
        <v>1906.8263371988751</v>
      </c>
      <c r="S371" s="165">
        <f t="shared" si="699"/>
        <v>-5.8223201199353869E-2</v>
      </c>
      <c r="T371" s="165">
        <f t="shared" si="700"/>
        <v>-3.0079512007636579E-3</v>
      </c>
      <c r="U371" s="165"/>
      <c r="V371" s="165"/>
      <c r="W371" s="159">
        <f t="shared" si="669"/>
        <v>273823.45121337997</v>
      </c>
      <c r="X371" s="163"/>
      <c r="Y371" s="167">
        <v>13222.130011500301</v>
      </c>
      <c r="Z371" s="168">
        <v>5.5623026087807823E-2</v>
      </c>
      <c r="AA371" s="76">
        <f t="shared" si="689"/>
        <v>2.8736198742845237E-3</v>
      </c>
      <c r="AB371" s="168"/>
      <c r="AC371" s="168"/>
      <c r="AD371" s="163">
        <f t="shared" si="705"/>
        <v>614666.14523237536</v>
      </c>
      <c r="AE371" s="168">
        <f t="shared" si="701"/>
        <v>-1.1049375341943986E-3</v>
      </c>
      <c r="AF371" s="163"/>
      <c r="AG371" s="163"/>
      <c r="AH371" s="163"/>
      <c r="AI371" s="163"/>
      <c r="AJ371" s="116">
        <f t="shared" si="702"/>
        <v>570.57655376949867</v>
      </c>
      <c r="AK371" s="114">
        <f>+AV371/$AX$21</f>
        <v>2.9314023144992891E-2</v>
      </c>
      <c r="AL371" s="115">
        <f t="shared" si="690"/>
        <v>0.22650101279988646</v>
      </c>
      <c r="AM371" s="115">
        <f t="shared" si="691"/>
        <v>0.32801577108795782</v>
      </c>
      <c r="AN371" s="115">
        <f t="shared" si="692"/>
        <v>0.44548321611215574</v>
      </c>
      <c r="AO371" s="115">
        <f t="shared" si="694"/>
        <v>-1.2513796763095733E-2</v>
      </c>
      <c r="AP371" s="166">
        <f t="shared" si="706"/>
        <v>162.29282053459832</v>
      </c>
      <c r="AQ371" s="168">
        <f t="shared" si="707"/>
        <v>-1.2513796763095768E-2</v>
      </c>
      <c r="AR371" s="69">
        <f>+AD371/$AF$21</f>
        <v>5.1662415305275905E-2</v>
      </c>
      <c r="AS371" s="169">
        <f t="shared" si="704"/>
        <v>-6.4649296542087088E-4</v>
      </c>
      <c r="AT371" s="115"/>
      <c r="AU371" s="115"/>
      <c r="AV371" s="113">
        <f>IFERROR(INDEX('Total Customers'!$F$7:$AB$91,MATCH($C371,'Total Customers'!$D$7:$D$91,0),MATCH($G371,'Total Customers'!$F$5:$AB$5,0)),"NA")</f>
        <v>1077272</v>
      </c>
      <c r="AW371" s="68">
        <f t="shared" si="619"/>
        <v>4.3452506537721054E-4</v>
      </c>
      <c r="AX371" s="114"/>
      <c r="AY371" s="114"/>
      <c r="AZ371" s="116">
        <v>8759079</v>
      </c>
      <c r="BA371" s="116"/>
      <c r="BB371" s="166"/>
      <c r="BC371" s="166"/>
      <c r="BD371" s="166"/>
      <c r="BE371" s="166"/>
      <c r="BF371" s="166"/>
      <c r="BG371" s="166"/>
      <c r="BH371" s="166"/>
      <c r="BI371" s="113"/>
      <c r="BJ371" s="113"/>
      <c r="BK371" s="113">
        <f>INDEX('Dist. Plant Gas Additions'!$F$7:$AE$91,MATCH($C371,'Dist. Plant Gas Additions'!$D$7:$D$91,0),MATCH(Calculation!$G371,'Dist. Plant Gas Additions'!$F$5:$AE$5,0))</f>
        <v>547152</v>
      </c>
      <c r="BL371" s="113">
        <f>INDEX('Gen. Plant Additions'!$F$7:$AE$91,MATCH($C371,'Gen. Plant Additions'!$D$7:$D$91,0),MATCH(Calculation!$G371,'Gen. Plant Additions'!$F$5:$AE$5,0))</f>
        <v>0</v>
      </c>
      <c r="BM371" s="231">
        <f t="shared" si="670"/>
        <v>1</v>
      </c>
      <c r="BN371" s="113"/>
      <c r="BO371" s="113">
        <f>INDEX('Dist Plant Depreciation'!$E$7:$AD$94,MATCH($C371,'Dist Plant Depreciation'!$D$7:$D$94,0),MATCH(Calculation!$G371,'Dist Plant Depreciation'!$E$5:$AD$5,0))</f>
        <v>1109522</v>
      </c>
      <c r="BP371" s="113">
        <f>INDEX('Gen. Plant Depreciation'!$E$7:$AD$94,MATCH($C371,'Gen. Plant Depreciation'!$D$7:$D$94,0),MATCH(Calculation!$G371,'Gen. Plant Depreciation'!$E$5:$AD$5,0))</f>
        <v>-1</v>
      </c>
      <c r="BQ371" s="113"/>
      <c r="BR371" s="113"/>
      <c r="BS371" s="113"/>
      <c r="BT371" s="113"/>
      <c r="BU371" s="113"/>
      <c r="BV371" s="113"/>
      <c r="BW371" s="113">
        <f>INDEX('Gross Dx Plant'!$E$7:$AD$91,MATCH($C371,'Gross Dx Plant'!$D$7:$D$91,0),MATCH(Calculation!$G371,'Gross Dx Plant'!$E$5:$AD$5,0))</f>
        <v>5891454</v>
      </c>
      <c r="BX371" s="113">
        <f>INDEX('Gross Gen Plant'!$E$7:$AD$91,MATCH($C371,'Gross Gen Plant'!$D$7:$D$91,0),MATCH(Calculation!$G371,'Gross Gen Plant'!$E$5:$AD$5,0))</f>
        <v>0</v>
      </c>
      <c r="BY371" s="113">
        <f t="shared" si="623"/>
        <v>4781933</v>
      </c>
      <c r="BZ371" s="113"/>
      <c r="CA371" s="116">
        <v>2016</v>
      </c>
      <c r="CB371" s="113"/>
      <c r="CC371" s="113"/>
      <c r="CD371" s="113"/>
      <c r="CE371" s="175"/>
      <c r="CF371" s="113">
        <f t="shared" si="671"/>
        <v>547152</v>
      </c>
      <c r="CG371" s="113">
        <f t="shared" si="672"/>
        <v>814.87346759008869</v>
      </c>
      <c r="CH371" s="178">
        <v>0.88</v>
      </c>
      <c r="CI371" s="61">
        <f>+CI353*CH371+CG354*CH370+CG355*CH369+CG356*CH368+CG357*CH367+CG358*CH366+CG359*CH365+CG360*CH364+CG361*CH363+CG362*CH362+CG363*CH361+CG364*CH360+CG365*CH359+CG366*CH358+CG367*CH357+CG368*CH356+CG369*CH355+CG370*CH354+CG371</f>
        <v>13222.130011500301</v>
      </c>
      <c r="CJ371" s="114">
        <f t="shared" si="673"/>
        <v>5.5623026087807823E-2</v>
      </c>
      <c r="CK371" s="114"/>
      <c r="CL371" s="169">
        <f t="shared" si="674"/>
        <v>7.9555945530804337E-3</v>
      </c>
      <c r="CM371" s="169">
        <f t="shared" si="682"/>
        <v>7.834010775412582E-3</v>
      </c>
      <c r="CN371" s="114">
        <f>VLOOKUP($H371,RoR!$E:$F,2,FALSE)</f>
        <v>3.6658333333333334E-2</v>
      </c>
      <c r="CO371" s="169">
        <v>1.0483662879041455E-2</v>
      </c>
      <c r="CP371" s="169">
        <f t="shared" si="680"/>
        <v>2.6174670454291879E-2</v>
      </c>
      <c r="CQ371" s="169">
        <f t="shared" si="683"/>
        <v>2.3067930833121045E-2</v>
      </c>
      <c r="CR371" s="169">
        <f t="shared" si="684"/>
        <v>4.301363574220729E-3</v>
      </c>
      <c r="CS371" s="179">
        <f t="shared" si="675"/>
        <v>0.85329623209999994</v>
      </c>
      <c r="CT371" s="180">
        <f t="shared" si="676"/>
        <v>1.3989193348138562</v>
      </c>
      <c r="CU371" s="180">
        <f t="shared" si="677"/>
        <v>0.29302682427824522</v>
      </c>
      <c r="CV371" s="180">
        <f t="shared" si="678"/>
        <v>0.76309497491941802</v>
      </c>
      <c r="CW371" s="180">
        <f t="shared" si="679"/>
        <v>0.31280857135128509</v>
      </c>
      <c r="CX371" s="181">
        <f>INDEX('State Tax Lookup'!$D$7:$Z$91,MATCH(Calculation!$C371,'State Tax Lookup'!$B$7:$B$91,0),MATCH($H371,'State Tax Lookup'!$D$6:$Z$6,0))</f>
        <v>0.39649667</v>
      </c>
      <c r="CY371" s="72">
        <v>0.37</v>
      </c>
      <c r="CZ371" s="70">
        <f t="shared" si="681"/>
        <v>21.894044174473944</v>
      </c>
      <c r="DA371" s="70">
        <v>19.909765876209278</v>
      </c>
      <c r="DB371" s="69">
        <f t="shared" si="685"/>
        <v>-1.2834973784236052E-2</v>
      </c>
      <c r="DC371" s="111">
        <f>VLOOKUP($H371,RoR!$E:$F,2,FALSE)</f>
        <v>3.6658333333333334E-2</v>
      </c>
      <c r="DD371" s="216">
        <f>HLOOKUP($H371,'GDP-PI'!$D$8:$CQ$11,3,FALSE)</f>
        <v>1.0483662879041455E-2</v>
      </c>
      <c r="DE371" s="111">
        <f>VLOOKUP(H371,'HW Dx Data'!$E:$F,2,FALSE)</f>
        <v>671.45639385971219</v>
      </c>
      <c r="DF371" s="72">
        <f t="shared" si="695"/>
        <v>136.94999999999999</v>
      </c>
      <c r="DG371" s="69">
        <f t="shared" si="696"/>
        <v>2.5514417868782811E-2</v>
      </c>
      <c r="DH371" s="66">
        <f>HLOOKUP(H371,'GDP-PI'!$8:$9,2,FALSE)</f>
        <v>105.736</v>
      </c>
      <c r="DI371" s="69">
        <f t="shared" si="686"/>
        <v>1.0429090367205095E-2</v>
      </c>
      <c r="EB371"/>
    </row>
    <row r="372" spans="1:132" s="160" customFormat="1" ht="21">
      <c r="A372" s="160" t="s">
        <v>182</v>
      </c>
      <c r="B372" s="161" t="s">
        <v>182</v>
      </c>
      <c r="C372" s="161">
        <v>4057080</v>
      </c>
      <c r="D372" s="161" t="s">
        <v>171</v>
      </c>
      <c r="E372" s="161" t="s">
        <v>3</v>
      </c>
      <c r="F372" s="161"/>
      <c r="G372" s="161" t="s">
        <v>135</v>
      </c>
      <c r="H372" s="162">
        <v>2017</v>
      </c>
      <c r="I372" s="163"/>
      <c r="J372" s="159">
        <f>IFERROR(INDEX('Labor Expenditures'!$F$7:$X$91,MATCH($C372,'Labor Expenditures'!$D$7:$D$91,0),MATCH($G372,'Labor Expenditures'!$F$5:$X$5,0)),"NA")</f>
        <v>149376.08595545925</v>
      </c>
      <c r="K372" s="159">
        <f t="shared" si="687"/>
        <v>1063.5534777889588</v>
      </c>
      <c r="L372" s="165">
        <f t="shared" si="693"/>
        <v>4.5158130231618611E-2</v>
      </c>
      <c r="M372" s="76">
        <f t="shared" si="697"/>
        <v>2.3965794230995296E-3</v>
      </c>
      <c r="N372" s="62">
        <f t="shared" si="703"/>
        <v>165.15847089179053</v>
      </c>
      <c r="O372" s="96">
        <f t="shared" si="698"/>
        <v>-0.58520571325035342</v>
      </c>
      <c r="P372" s="96"/>
      <c r="Q372" s="159">
        <f>IFERROR(INDEX('Non-Labor Expenditures'!$F$7:$AB$91,MATCH($C372,'Non-Labor Expenditures'!$D$7:$D$91,0),MATCH($G372,'Non-Labor Expenditures'!$F$5:$AB$5,0)),"NA")</f>
        <v>216324.47206790411</v>
      </c>
      <c r="R372" s="159">
        <f t="shared" si="688"/>
        <v>2007.6330806016101</v>
      </c>
      <c r="S372" s="165">
        <f t="shared" si="699"/>
        <v>5.1516199845038795E-2</v>
      </c>
      <c r="T372" s="165">
        <f t="shared" si="700"/>
        <v>2.7340074505223344E-3</v>
      </c>
      <c r="U372" s="165"/>
      <c r="V372" s="165"/>
      <c r="W372" s="159">
        <f t="shared" si="669"/>
        <v>262698.87876267429</v>
      </c>
      <c r="X372" s="163"/>
      <c r="Y372" s="167">
        <v>14065.943410818494</v>
      </c>
      <c r="Z372" s="168">
        <v>6.1864572928622685E-2</v>
      </c>
      <c r="AA372" s="76">
        <f t="shared" si="689"/>
        <v>3.2832041924483173E-3</v>
      </c>
      <c r="AB372" s="168"/>
      <c r="AC372" s="168"/>
      <c r="AD372" s="163">
        <f t="shared" si="705"/>
        <v>628399.43678603764</v>
      </c>
      <c r="AE372" s="168">
        <f t="shared" si="701"/>
        <v>2.2096742986776236E-2</v>
      </c>
      <c r="AF372" s="163"/>
      <c r="AG372" s="163"/>
      <c r="AH372" s="163"/>
      <c r="AI372" s="163"/>
      <c r="AJ372" s="116">
        <f t="shared" si="702"/>
        <v>583.21648895380827</v>
      </c>
      <c r="AK372" s="114">
        <f>+AV372/$AX$22</f>
        <v>2.9099183613679407E-2</v>
      </c>
      <c r="AL372" s="115">
        <f t="shared" si="690"/>
        <v>0.23770881578036804</v>
      </c>
      <c r="AM372" s="115">
        <f t="shared" si="691"/>
        <v>0.34424676313253916</v>
      </c>
      <c r="AN372" s="115">
        <f t="shared" si="692"/>
        <v>0.41804442108709283</v>
      </c>
      <c r="AO372" s="115">
        <f t="shared" si="694"/>
        <v>5.4508513721226989E-2</v>
      </c>
      <c r="AP372" s="166">
        <f t="shared" si="706"/>
        <v>171.38470243227724</v>
      </c>
      <c r="AQ372" s="168">
        <f t="shared" si="707"/>
        <v>5.4508513721227066E-2</v>
      </c>
      <c r="AR372" s="69">
        <f>+AD372/$AF$22</f>
        <v>5.3070829345841772E-2</v>
      </c>
      <c r="AS372" s="169">
        <f t="shared" si="704"/>
        <v>2.8928120295947162E-3</v>
      </c>
      <c r="AT372" s="115"/>
      <c r="AU372" s="115"/>
      <c r="AV372" s="113">
        <f>IFERROR(INDEX('Total Customers'!$F$7:$AB$91,MATCH($C372,'Total Customers'!$D$7:$D$91,0),MATCH($G372,'Total Customers'!$F$5:$AB$5,0)),"NA")</f>
        <v>1077472</v>
      </c>
      <c r="AW372" s="68">
        <f t="shared" si="619"/>
        <v>1.8563690217904396E-4</v>
      </c>
      <c r="AX372" s="114"/>
      <c r="AY372" s="114"/>
      <c r="AZ372" s="116">
        <v>8824403</v>
      </c>
      <c r="BA372" s="116"/>
      <c r="BB372" s="166"/>
      <c r="BC372" s="166"/>
      <c r="BD372" s="166"/>
      <c r="BE372" s="166"/>
      <c r="BF372" s="166"/>
      <c r="BG372" s="166"/>
      <c r="BH372" s="166"/>
      <c r="BI372" s="113"/>
      <c r="BJ372" s="113"/>
      <c r="BK372" s="113">
        <f>INDEX('Dist. Plant Gas Additions'!$F$7:$AE$91,MATCH($C372,'Dist. Plant Gas Additions'!$D$7:$D$91,0),MATCH(Calculation!$G372,'Dist. Plant Gas Additions'!$F$5:$AE$5,0))</f>
        <v>677610</v>
      </c>
      <c r="BL372" s="113">
        <f>INDEX('Gen. Plant Additions'!$F$7:$AE$91,MATCH($C372,'Gen. Plant Additions'!$D$7:$D$91,0),MATCH(Calculation!$G372,'Gen. Plant Additions'!$F$5:$AE$5,0))</f>
        <v>0</v>
      </c>
      <c r="BM372" s="231">
        <f t="shared" si="670"/>
        <v>1</v>
      </c>
      <c r="BN372" s="113"/>
      <c r="BO372" s="113">
        <f>INDEX('Dist Plant Depreciation'!$E$7:$AD$94,MATCH($C372,'Dist Plant Depreciation'!$D$7:$D$94,0),MATCH(Calculation!$G372,'Dist Plant Depreciation'!$E$5:$AD$5,0))</f>
        <v>1128699</v>
      </c>
      <c r="BP372" s="113">
        <f>INDEX('Gen. Plant Depreciation'!$E$7:$AD$94,MATCH($C372,'Gen. Plant Depreciation'!$D$7:$D$94,0),MATCH(Calculation!$G372,'Gen. Plant Depreciation'!$E$5:$AD$5,0))</f>
        <v>0</v>
      </c>
      <c r="BQ372" s="113"/>
      <c r="BR372" s="113"/>
      <c r="BS372" s="113"/>
      <c r="BT372" s="113"/>
      <c r="BU372" s="113"/>
      <c r="BV372" s="113"/>
      <c r="BW372" s="113">
        <f>INDEX('Gross Dx Plant'!$E$7:$AD$91,MATCH($C372,'Gross Dx Plant'!$D$7:$D$91,0),MATCH(Calculation!$G372,'Gross Dx Plant'!$E$5:$AD$5,0))</f>
        <v>6483385</v>
      </c>
      <c r="BX372" s="113">
        <f>INDEX('Gross Gen Plant'!$E$7:$AD$91,MATCH($C372,'Gross Gen Plant'!$D$7:$D$91,0),MATCH(Calculation!$G372,'Gross Gen Plant'!$E$5:$AD$5,0))</f>
        <v>0</v>
      </c>
      <c r="BY372" s="113">
        <f t="shared" si="623"/>
        <v>5354686</v>
      </c>
      <c r="BZ372" s="113"/>
      <c r="CA372" s="116">
        <v>2017</v>
      </c>
      <c r="CB372" s="113"/>
      <c r="CC372" s="113"/>
      <c r="CD372" s="113"/>
      <c r="CE372" s="175"/>
      <c r="CF372" s="113">
        <f t="shared" si="671"/>
        <v>677610</v>
      </c>
      <c r="CG372" s="113">
        <f t="shared" si="672"/>
        <v>951.12691363202396</v>
      </c>
      <c r="CH372" s="178">
        <v>0.87074829931972786</v>
      </c>
      <c r="CI372" s="61">
        <f>+CI353*CH372+CG354*CH371+CG355*CH370+CG356*CH369+CG357*CH368+CG358*CH367+CG359*CH366+CG360*CH365+CG361*CH364+CG362*CH363+CG363*CH362+CG364*CH361+CG365*CH360+CG366*CH359+CG367*CH358+CG368*CH357+CG369*CH356+CG370*CH355+CG371*CH354+CG372</f>
        <v>14065.943410818494</v>
      </c>
      <c r="CJ372" s="114">
        <f t="shared" si="673"/>
        <v>6.1864572928622685E-2</v>
      </c>
      <c r="CK372" s="114"/>
      <c r="CL372" s="169">
        <f t="shared" si="674"/>
        <v>8.1162047431459529E-3</v>
      </c>
      <c r="CM372" s="169">
        <f t="shared" si="682"/>
        <v>7.9734562730470054E-3</v>
      </c>
      <c r="CN372" s="114">
        <f>VLOOKUP($H372,RoR!$E:$F,2,FALSE)</f>
        <v>3.7433333333333339E-2</v>
      </c>
      <c r="CO372" s="169">
        <v>1.9056896421275615E-2</v>
      </c>
      <c r="CP372" s="169">
        <f t="shared" si="680"/>
        <v>1.8376436912057724E-2</v>
      </c>
      <c r="CQ372" s="169">
        <f t="shared" si="683"/>
        <v>2.292848533548662E-2</v>
      </c>
      <c r="CR372" s="169">
        <f t="shared" si="684"/>
        <v>1.3976271617800498E-2</v>
      </c>
      <c r="CS372" s="179">
        <f t="shared" si="675"/>
        <v>0.90509623210000001</v>
      </c>
      <c r="CT372" s="180">
        <f t="shared" si="676"/>
        <v>1.3699568463593395</v>
      </c>
      <c r="CU372" s="180">
        <f t="shared" si="677"/>
        <v>0.30714603739982199</v>
      </c>
      <c r="CV372" s="180">
        <f t="shared" si="678"/>
        <v>0.77007188472689425</v>
      </c>
      <c r="CW372" s="180">
        <f t="shared" si="679"/>
        <v>0.32402839633793828</v>
      </c>
      <c r="CX372" s="181">
        <f>INDEX('State Tax Lookup'!$D$7:$Z$91,MATCH(Calculation!$C372,'State Tax Lookup'!$B$7:$B$91,0),MATCH($H372,'State Tax Lookup'!$D$6:$Z$6,0))</f>
        <v>0.25649666999999998</v>
      </c>
      <c r="CY372" s="72">
        <v>0.37</v>
      </c>
      <c r="CZ372" s="70">
        <f t="shared" si="681"/>
        <v>19.868120986118342</v>
      </c>
      <c r="DA372" s="70">
        <v>18.231812616449311</v>
      </c>
      <c r="DB372" s="69">
        <f t="shared" si="685"/>
        <v>-9.7098157609220623E-2</v>
      </c>
      <c r="DC372" s="111">
        <f>VLOOKUP($H372,RoR!$E:$F,2,FALSE)</f>
        <v>3.7433333333333339E-2</v>
      </c>
      <c r="DD372" s="216">
        <f>HLOOKUP($H372,'GDP-PI'!$D$8:$CQ$11,3,FALSE)</f>
        <v>1.9056896421275615E-2</v>
      </c>
      <c r="DE372" s="111">
        <f>VLOOKUP(H372,'HW Dx Data'!$E:$F,2,FALSE)</f>
        <v>712.42858370229726</v>
      </c>
      <c r="DF372" s="72">
        <f t="shared" si="695"/>
        <v>140.44999999999999</v>
      </c>
      <c r="DG372" s="69">
        <f t="shared" si="696"/>
        <v>2.5235657841165486E-2</v>
      </c>
      <c r="DH372" s="66">
        <f>HLOOKUP(H372,'GDP-PI'!$8:$9,2,FALSE)</f>
        <v>107.751</v>
      </c>
      <c r="DI372" s="69">
        <f t="shared" si="686"/>
        <v>1.8877588227745139E-2</v>
      </c>
      <c r="EB372"/>
    </row>
    <row r="373" spans="1:132" s="160" customFormat="1" ht="21">
      <c r="A373" s="160" t="s">
        <v>182</v>
      </c>
      <c r="B373" s="161" t="s">
        <v>182</v>
      </c>
      <c r="C373" s="161">
        <v>4057080</v>
      </c>
      <c r="D373" s="161" t="s">
        <v>171</v>
      </c>
      <c r="E373" s="161" t="s">
        <v>3</v>
      </c>
      <c r="F373" s="161"/>
      <c r="G373" s="161" t="s">
        <v>136</v>
      </c>
      <c r="H373" s="162">
        <v>2018</v>
      </c>
      <c r="I373" s="163"/>
      <c r="J373" s="159">
        <f>IFERROR(INDEX('Labor Expenditures'!$F$7:$X$91,MATCH($C373,'Labor Expenditures'!$D$7:$D$91,0),MATCH($G373,'Labor Expenditures'!$F$5:$X$5,0)),"NA")</f>
        <v>151597.08864638535</v>
      </c>
      <c r="K373" s="159">
        <f t="shared" si="687"/>
        <v>1049.4779414772265</v>
      </c>
      <c r="L373" s="165">
        <f t="shared" si="693"/>
        <v>-1.3322797171694182E-2</v>
      </c>
      <c r="M373" s="76">
        <f t="shared" si="697"/>
        <v>-6.885637186355391E-4</v>
      </c>
      <c r="N373" s="62">
        <f t="shared" si="703"/>
        <v>114.05246935497503</v>
      </c>
      <c r="O373" s="96">
        <f t="shared" si="698"/>
        <v>-0.37024684262205582</v>
      </c>
      <c r="P373" s="96"/>
      <c r="Q373" s="159">
        <f>IFERROR(INDEX('Non-Labor Expenditures'!$F$7:$AB$91,MATCH($C373,'Non-Labor Expenditures'!$D$7:$D$91,0),MATCH($G373,'Non-Labor Expenditures'!$F$5:$AB$5,0)),"NA")</f>
        <v>219540.89879044687</v>
      </c>
      <c r="R373" s="159">
        <f t="shared" si="688"/>
        <v>1990.0010767611795</v>
      </c>
      <c r="S373" s="165">
        <f t="shared" si="699"/>
        <v>-8.8212765262112806E-3</v>
      </c>
      <c r="T373" s="165">
        <f t="shared" si="700"/>
        <v>-4.5591108906959613E-4</v>
      </c>
      <c r="U373" s="165"/>
      <c r="V373" s="165"/>
      <c r="W373" s="159">
        <f t="shared" si="669"/>
        <v>294053.01503785845</v>
      </c>
      <c r="X373" s="163"/>
      <c r="Y373" s="167">
        <v>14929.531139040817</v>
      </c>
      <c r="Z373" s="168">
        <v>5.9584692349474139E-2</v>
      </c>
      <c r="AA373" s="76">
        <f t="shared" si="689"/>
        <v>3.0795227765740424E-3</v>
      </c>
      <c r="AB373" s="168"/>
      <c r="AC373" s="168"/>
      <c r="AD373" s="163">
        <f t="shared" si="705"/>
        <v>665191.00247469067</v>
      </c>
      <c r="AE373" s="168">
        <f t="shared" si="701"/>
        <v>5.6898211067616035E-2</v>
      </c>
      <c r="AF373" s="163"/>
      <c r="AG373" s="163"/>
      <c r="AH373" s="163"/>
      <c r="AI373" s="163"/>
      <c r="AJ373" s="116">
        <f t="shared" si="702"/>
        <v>614.10428140859142</v>
      </c>
      <c r="AK373" s="114">
        <f>+AV373/$AX$23</f>
        <v>2.8997382820418176E-2</v>
      </c>
      <c r="AL373" s="115">
        <f t="shared" si="690"/>
        <v>0.22790008897054098</v>
      </c>
      <c r="AM373" s="115">
        <f t="shared" si="691"/>
        <v>0.33004189469444906</v>
      </c>
      <c r="AN373" s="115">
        <f t="shared" si="692"/>
        <v>0.44205801633500996</v>
      </c>
      <c r="AO373" s="115">
        <f t="shared" si="694"/>
        <v>1.9548819707159035E-2</v>
      </c>
      <c r="AP373" s="166">
        <f t="shared" si="706"/>
        <v>174.7680333981227</v>
      </c>
      <c r="AQ373" s="168">
        <f t="shared" si="707"/>
        <v>1.9548819707158938E-2</v>
      </c>
      <c r="AR373" s="69">
        <f>+AD373/$AF$23</f>
        <v>5.1683119525265463E-2</v>
      </c>
      <c r="AS373" s="169">
        <f t="shared" si="704"/>
        <v>1.0103439855029604E-3</v>
      </c>
      <c r="AT373" s="115"/>
      <c r="AU373" s="115"/>
      <c r="AV373" s="113">
        <f>IFERROR(INDEX('Total Customers'!$F$7:$AB$91,MATCH($C373,'Total Customers'!$D$7:$D$91,0),MATCH($G373,'Total Customers'!$F$5:$AB$5,0)),"NA")</f>
        <v>1083189</v>
      </c>
      <c r="AW373" s="68">
        <f t="shared" si="619"/>
        <v>5.2919114490628319E-3</v>
      </c>
      <c r="AX373" s="114"/>
      <c r="AY373" s="114"/>
      <c r="AZ373" s="116">
        <v>8911356</v>
      </c>
      <c r="BA373" s="116"/>
      <c r="BB373" s="166"/>
      <c r="BC373" s="166"/>
      <c r="BD373" s="166"/>
      <c r="BE373" s="166"/>
      <c r="BF373" s="166"/>
      <c r="BG373" s="166"/>
      <c r="BH373" s="166"/>
      <c r="BI373" s="113"/>
      <c r="BJ373" s="113"/>
      <c r="BK373" s="113">
        <f>INDEX('Dist. Plant Gas Additions'!$F$7:$AE$91,MATCH($C373,'Dist. Plant Gas Additions'!$D$7:$D$91,0),MATCH(Calculation!$G373,'Dist. Plant Gas Additions'!$F$5:$AE$5,0))</f>
        <v>739835</v>
      </c>
      <c r="BL373" s="113">
        <f>INDEX('Gen. Plant Additions'!$F$7:$AE$91,MATCH($C373,'Gen. Plant Additions'!$D$7:$D$91,0),MATCH(Calculation!$G373,'Gen. Plant Additions'!$F$5:$AE$5,0))</f>
        <v>0</v>
      </c>
      <c r="BM373" s="231">
        <f t="shared" si="670"/>
        <v>1</v>
      </c>
      <c r="BN373" s="113"/>
      <c r="BO373" s="113">
        <f>INDEX('Dist Plant Depreciation'!$E$7:$AD$94,MATCH($C373,'Dist Plant Depreciation'!$D$7:$D$94,0),MATCH(Calculation!$G373,'Dist Plant Depreciation'!$E$5:$AD$5,0))</f>
        <v>1212731</v>
      </c>
      <c r="BP373" s="113">
        <f>INDEX('Gen. Plant Depreciation'!$E$7:$AD$94,MATCH($C373,'Gen. Plant Depreciation'!$D$7:$D$94,0),MATCH(Calculation!$G373,'Gen. Plant Depreciation'!$E$5:$AD$5,0))</f>
        <v>0</v>
      </c>
      <c r="BQ373" s="113"/>
      <c r="BR373" s="113"/>
      <c r="BS373" s="113"/>
      <c r="BT373" s="113"/>
      <c r="BU373" s="113"/>
      <c r="BV373" s="113"/>
      <c r="BW373" s="113">
        <f>INDEX('Gross Dx Plant'!$E$7:$AD$91,MATCH($C373,'Gross Dx Plant'!$D$7:$D$91,0),MATCH(Calculation!$G373,'Gross Dx Plant'!$E$5:$AD$5,0))</f>
        <v>7191048</v>
      </c>
      <c r="BX373" s="113">
        <f>INDEX('Gross Gen Plant'!$E$7:$AD$91,MATCH($C373,'Gross Gen Plant'!$D$7:$D$91,0),MATCH(Calculation!$G373,'Gross Gen Plant'!$E$5:$AD$5,0))</f>
        <v>0</v>
      </c>
      <c r="BY373" s="113">
        <f t="shared" si="623"/>
        <v>5978317</v>
      </c>
      <c r="BZ373" s="113"/>
      <c r="CA373" s="116">
        <v>2018</v>
      </c>
      <c r="CB373" s="113"/>
      <c r="CC373" s="113"/>
      <c r="CD373" s="113"/>
      <c r="CE373" s="175"/>
      <c r="CF373" s="113">
        <f t="shared" si="671"/>
        <v>739835</v>
      </c>
      <c r="CG373" s="113">
        <f t="shared" si="672"/>
        <v>979.73649797297048</v>
      </c>
      <c r="CH373" s="178">
        <v>0.86111111111111116</v>
      </c>
      <c r="CI373" s="61">
        <f>+CI353*CH373++CG354*CH372+CG355*CH371+CG356*CH370+CG357*CH369+CG358*CH368+CG359*CH367+CG360*CH366+CG361*CH365+CG362*CH364+CG363*CH363+CG364*CH362+CG365*CH361+CG366*CH360+CG367*CH359+CG368*CH358+CG369*CH357+CG370*CH356+CG371*CH355+CG372*CH354+CG373</f>
        <v>14929.531139040817</v>
      </c>
      <c r="CJ373" s="114">
        <f t="shared" si="673"/>
        <v>5.9584692349474139E-2</v>
      </c>
      <c r="CK373" s="114"/>
      <c r="CL373" s="169">
        <f t="shared" si="674"/>
        <v>8.2574461135194524E-3</v>
      </c>
      <c r="CM373" s="169">
        <f t="shared" si="682"/>
        <v>8.1097484699152803E-3</v>
      </c>
      <c r="CN373" s="114">
        <f>VLOOKUP($H373,RoR!$E:$F,2,FALSE)</f>
        <v>3.9299999999999995E-2</v>
      </c>
      <c r="CO373" s="169">
        <v>2.386056741932796E-2</v>
      </c>
      <c r="CP373" s="169">
        <f t="shared" si="680"/>
        <v>1.5439432580672034E-2</v>
      </c>
      <c r="CQ373" s="169">
        <f t="shared" si="683"/>
        <v>2.2792193138618345E-2</v>
      </c>
      <c r="CR373" s="169">
        <f t="shared" si="684"/>
        <v>3.8270792163076606E-2</v>
      </c>
      <c r="CS373" s="179">
        <f t="shared" si="675"/>
        <v>0.90509623210000001</v>
      </c>
      <c r="CT373" s="180">
        <f t="shared" si="676"/>
        <v>1.3048868010700074</v>
      </c>
      <c r="CU373" s="180">
        <f t="shared" si="677"/>
        <v>0.33886768447837151</v>
      </c>
      <c r="CV373" s="180">
        <f t="shared" si="678"/>
        <v>0.78602506232557801</v>
      </c>
      <c r="CW373" s="180">
        <f t="shared" si="679"/>
        <v>0.34756768162358759</v>
      </c>
      <c r="CX373" s="181">
        <f>INDEX('State Tax Lookup'!$D$7:$Z$91,MATCH(Calculation!$C373,'State Tax Lookup'!$B$7:$B$91,0),MATCH($H373,'State Tax Lookup'!$D$6:$Z$6,0))</f>
        <v>0.25649666999999998</v>
      </c>
      <c r="CY373" s="72">
        <v>0.37</v>
      </c>
      <c r="CZ373" s="70">
        <f t="shared" si="681"/>
        <v>20.905317649130765</v>
      </c>
      <c r="DA373" s="70">
        <v>19.050901628905343</v>
      </c>
      <c r="DB373" s="69">
        <f t="shared" si="685"/>
        <v>5.0887072857791822E-2</v>
      </c>
      <c r="DC373" s="111">
        <f>VLOOKUP($H373,RoR!$E:$F,2,FALSE)</f>
        <v>3.9299999999999995E-2</v>
      </c>
      <c r="DD373" s="216">
        <f>HLOOKUP($H373,'GDP-PI'!$D$8:$CQ$11,3,FALSE)</f>
        <v>2.386056741932796E-2</v>
      </c>
      <c r="DE373" s="111">
        <f>VLOOKUP(H373,'HW Dx Data'!$E:$F,2,FALSE)</f>
        <v>755.13671434174842</v>
      </c>
      <c r="DF373" s="72">
        <f t="shared" si="695"/>
        <v>144.44999999999999</v>
      </c>
      <c r="DG373" s="69">
        <f t="shared" si="696"/>
        <v>2.80818733619915E-2</v>
      </c>
      <c r="DH373" s="66">
        <f>HLOOKUP(H373,'GDP-PI'!$8:$9,2,FALSE)</f>
        <v>110.322</v>
      </c>
      <c r="DI373" s="69">
        <f t="shared" si="686"/>
        <v>2.3580352716508712E-2</v>
      </c>
      <c r="EB373"/>
    </row>
    <row r="374" spans="1:132" s="160" customFormat="1" ht="21">
      <c r="A374" s="160" t="s">
        <v>182</v>
      </c>
      <c r="B374" s="161" t="s">
        <v>182</v>
      </c>
      <c r="C374" s="161">
        <v>4057080</v>
      </c>
      <c r="D374" s="161" t="s">
        <v>171</v>
      </c>
      <c r="E374" s="161" t="s">
        <v>3</v>
      </c>
      <c r="F374" s="161"/>
      <c r="G374" s="161" t="s">
        <v>140</v>
      </c>
      <c r="H374" s="162">
        <v>2019</v>
      </c>
      <c r="I374" s="163"/>
      <c r="J374" s="159">
        <f>IFERROR(INDEX('Labor Expenditures'!$F$7:$X$91,MATCH($C374,'Labor Expenditures'!$D$7:$D$91,0),MATCH($G374,'Labor Expenditures'!$F$5:$X$5,0)),"NA")</f>
        <v>139778.84443068921</v>
      </c>
      <c r="K374" s="159">
        <f t="shared" si="687"/>
        <v>933.88237468307466</v>
      </c>
      <c r="L374" s="165">
        <f t="shared" si="693"/>
        <v>-0.11669762778630964</v>
      </c>
      <c r="M374" s="76">
        <f t="shared" si="697"/>
        <v>-5.8011697828116021E-3</v>
      </c>
      <c r="N374" s="62">
        <f t="shared" si="703"/>
        <v>114.4277005381981</v>
      </c>
      <c r="O374" s="96">
        <f t="shared" si="698"/>
        <v>3.2845871985066246E-3</v>
      </c>
      <c r="P374" s="96"/>
      <c r="Q374" s="159">
        <f>IFERROR(INDEX('Non-Labor Expenditures'!$F$7:$AB$91,MATCH($C374,'Non-Labor Expenditures'!$D$7:$D$91,0),MATCH($G374,'Non-Labor Expenditures'!$F$5:$AB$5,0)),"NA")</f>
        <v>202425.87382257925</v>
      </c>
      <c r="R374" s="159">
        <f t="shared" si="688"/>
        <v>1802.2567515676851</v>
      </c>
      <c r="S374" s="165">
        <f t="shared" si="699"/>
        <v>-9.9095549338539646E-2</v>
      </c>
      <c r="T374" s="165">
        <f t="shared" si="700"/>
        <v>-4.9261507482099235E-3</v>
      </c>
      <c r="U374" s="165"/>
      <c r="V374" s="165"/>
      <c r="W374" s="159">
        <f t="shared" si="669"/>
        <v>317429.19643157732</v>
      </c>
      <c r="X374" s="163"/>
      <c r="Y374" s="167">
        <v>15866.350986077163</v>
      </c>
      <c r="Z374" s="168">
        <v>6.0859369426923271E-2</v>
      </c>
      <c r="AA374" s="76">
        <f t="shared" si="689"/>
        <v>3.025387418902222E-3</v>
      </c>
      <c r="AB374" s="168"/>
      <c r="AC374" s="168"/>
      <c r="AD374" s="163">
        <f t="shared" si="705"/>
        <v>659633.91468484583</v>
      </c>
      <c r="AE374" s="168">
        <f t="shared" si="701"/>
        <v>-8.3892147704212241E-3</v>
      </c>
      <c r="AF374" s="163"/>
      <c r="AG374" s="163"/>
      <c r="AH374" s="163"/>
      <c r="AI374" s="163"/>
      <c r="AJ374" s="116">
        <f t="shared" si="702"/>
        <v>607.97489576646501</v>
      </c>
      <c r="AK374" s="114">
        <f>+AV374/$AX$24</f>
        <v>2.8805494408136241E-2</v>
      </c>
      <c r="AL374" s="115">
        <f t="shared" si="690"/>
        <v>0.21190366553161769</v>
      </c>
      <c r="AM374" s="115">
        <f t="shared" si="691"/>
        <v>0.30687608583511433</v>
      </c>
      <c r="AN374" s="115">
        <f t="shared" si="692"/>
        <v>0.4812202486332679</v>
      </c>
      <c r="AO374" s="115">
        <f t="shared" si="694"/>
        <v>-2.9124829497265813E-2</v>
      </c>
      <c r="AP374" s="166">
        <f t="shared" si="706"/>
        <v>169.75135380660791</v>
      </c>
      <c r="AQ374" s="168">
        <f t="shared" si="707"/>
        <v>-2.9124829497265935E-2</v>
      </c>
      <c r="AR374" s="69">
        <f>+AD374/$AF$24</f>
        <v>4.9711120036084959E-2</v>
      </c>
      <c r="AS374" s="169">
        <f t="shared" si="704"/>
        <v>-1.4478278951690947E-3</v>
      </c>
      <c r="AT374" s="115"/>
      <c r="AU374" s="115"/>
      <c r="AV374" s="113">
        <f>IFERROR(INDEX('Total Customers'!$F$7:$AB$91,MATCH($C374,'Total Customers'!$D$7:$D$91,0),MATCH($G374,'Total Customers'!$F$5:$AB$5,0)),"NA")</f>
        <v>1084969</v>
      </c>
      <c r="AW374" s="68">
        <f t="shared" si="619"/>
        <v>1.6419471273820387E-3</v>
      </c>
      <c r="AX374" s="114"/>
      <c r="AY374" s="114"/>
      <c r="AZ374" s="116">
        <v>8963640</v>
      </c>
      <c r="BA374" s="116"/>
      <c r="BB374" s="166"/>
      <c r="BC374" s="166"/>
      <c r="BD374" s="166"/>
      <c r="BE374" s="166"/>
      <c r="BF374" s="166"/>
      <c r="BG374" s="166"/>
      <c r="BH374" s="166"/>
      <c r="BI374" s="113"/>
      <c r="BJ374" s="113"/>
      <c r="BK374" s="113">
        <f>INDEX('Dist. Plant Gas Additions'!$F$7:$AE$91,MATCH($C374,'Dist. Plant Gas Additions'!$D$7:$D$91,0),MATCH(Calculation!$G374,'Dist. Plant Gas Additions'!$F$5:$AE$5,0))</f>
        <v>821756</v>
      </c>
      <c r="BL374" s="113">
        <f>INDEX('Gen. Plant Additions'!$F$7:$AE$91,MATCH($C374,'Gen. Plant Additions'!$D$7:$D$91,0),MATCH(Calculation!$G374,'Gen. Plant Additions'!$F$5:$AE$5,0))</f>
        <v>0</v>
      </c>
      <c r="BM374" s="231">
        <f t="shared" si="670"/>
        <v>1</v>
      </c>
      <c r="BN374" s="113"/>
      <c r="BO374" s="113">
        <f>INDEX('Dist Plant Depreciation'!$E$7:$AD$94,MATCH($C374,'Dist Plant Depreciation'!$D$7:$D$94,0),MATCH(Calculation!$G374,'Dist Plant Depreciation'!$E$5:$AD$5,0))</f>
        <v>1276174</v>
      </c>
      <c r="BP374" s="113">
        <f>INDEX('Gen. Plant Depreciation'!$E$7:$AD$94,MATCH($C374,'Gen. Plant Depreciation'!$D$7:$D$94,0),MATCH(Calculation!$G374,'Gen. Plant Depreciation'!$E$5:$AD$5,0))</f>
        <v>0</v>
      </c>
      <c r="BQ374" s="113"/>
      <c r="BR374" s="113"/>
      <c r="BS374" s="113"/>
      <c r="BT374" s="113"/>
      <c r="BU374" s="113"/>
      <c r="BV374" s="113"/>
      <c r="BW374" s="113">
        <f>INDEX('Gross Dx Plant'!$E$7:$AD$91,MATCH($C374,'Gross Dx Plant'!$D$7:$D$91,0),MATCH(Calculation!$G374,'Gross Dx Plant'!$E$5:$AD$5,0))</f>
        <v>7959211</v>
      </c>
      <c r="BX374" s="113">
        <f>INDEX('Gross Gen Plant'!$E$7:$AD$91,MATCH($C374,'Gross Gen Plant'!$D$7:$D$91,0),MATCH(Calculation!$G374,'Gross Gen Plant'!$E$5:$AD$5,0))</f>
        <v>0</v>
      </c>
      <c r="BY374" s="113">
        <f t="shared" si="623"/>
        <v>6683037</v>
      </c>
      <c r="BZ374" s="113"/>
      <c r="CA374" s="116">
        <v>2019</v>
      </c>
      <c r="CB374" s="113"/>
      <c r="CC374" s="113"/>
      <c r="CD374" s="113"/>
      <c r="CE374" s="175"/>
      <c r="CF374" s="113">
        <f t="shared" si="671"/>
        <v>821756</v>
      </c>
      <c r="CG374" s="113">
        <f t="shared" si="672"/>
        <v>1062.3325824415851</v>
      </c>
      <c r="CH374" s="178">
        <v>0.85106382978723405</v>
      </c>
      <c r="CI374" s="61">
        <f>CI353*CH374+CG354*CH373+CG355*CH372+CG356*CH371+CG357*CH370+CG358*CH369+CG359*CH368+CG360*CH367+CG361*CH366+CG362*CH365+CG363*CH364+CG364*CH363+CG365*CH362+CG366*CH361+CG367*CH360+CG368*CH359+CG369*CH358+CG370*CH357+CG371*CH356+CG372*CH355+CG373*CH354+CG374</f>
        <v>15866.350986077163</v>
      </c>
      <c r="CJ374" s="114">
        <f t="shared" si="673"/>
        <v>6.0859369426923271E-2</v>
      </c>
      <c r="CK374" s="114"/>
      <c r="CL374" s="169">
        <f t="shared" si="674"/>
        <v>8.4070111938761866E-3</v>
      </c>
      <c r="CM374" s="169">
        <f t="shared" si="682"/>
        <v>8.260220683513864E-3</v>
      </c>
      <c r="CN374" s="114">
        <f>VLOOKUP($H374,RoR!$E:$F,2,FALSE)</f>
        <v>3.3875000000000009E-2</v>
      </c>
      <c r="CO374" s="169">
        <v>1.8092492884465461E-2</v>
      </c>
      <c r="CP374" s="169">
        <f t="shared" si="680"/>
        <v>1.5782507115534548E-2</v>
      </c>
      <c r="CQ374" s="169">
        <f t="shared" si="683"/>
        <v>2.2641720925019759E-2</v>
      </c>
      <c r="CR374" s="169">
        <f t="shared" si="684"/>
        <v>4.8445665544254078E-2</v>
      </c>
      <c r="CS374" s="179">
        <f t="shared" si="675"/>
        <v>0.90509623210000001</v>
      </c>
      <c r="CT374" s="180">
        <f t="shared" si="676"/>
        <v>1.513861292459078</v>
      </c>
      <c r="CU374" s="180">
        <f t="shared" si="677"/>
        <v>0.23699261992619944</v>
      </c>
      <c r="CV374" s="180">
        <f t="shared" si="678"/>
        <v>0.73619765810468829</v>
      </c>
      <c r="CW374" s="180">
        <f t="shared" si="679"/>
        <v>0.26412854465362851</v>
      </c>
      <c r="CX374" s="181">
        <f>INDEX('State Tax Lookup'!$D$7:$Z$91,MATCH(Calculation!$C374,'State Tax Lookup'!$B$7:$B$91,0),MATCH($H374,'State Tax Lookup'!$D$6:$Z$6,0))</f>
        <v>0.25649666999999998</v>
      </c>
      <c r="CY374" s="72">
        <v>0.37</v>
      </c>
      <c r="CZ374" s="70">
        <f t="shared" si="681"/>
        <v>21.261832905220846</v>
      </c>
      <c r="DA374" s="70">
        <v>19.236104090735289</v>
      </c>
      <c r="DB374" s="69">
        <f t="shared" si="685"/>
        <v>1.6910023408794522E-2</v>
      </c>
      <c r="DC374" s="111">
        <f>VLOOKUP($H374,RoR!$E:$F,2,FALSE)</f>
        <v>3.3875000000000009E-2</v>
      </c>
      <c r="DD374" s="216">
        <f>HLOOKUP($H374,'GDP-PI'!$D$8:$CQ$11,3,FALSE)</f>
        <v>1.8092492884465461E-2</v>
      </c>
      <c r="DE374" s="111">
        <f>VLOOKUP(H374,'HW Dx Data'!$E:$F,2,FALSE)</f>
        <v>773.53929793938721</v>
      </c>
      <c r="DF374" s="72">
        <f t="shared" si="695"/>
        <v>149.67500000000001</v>
      </c>
      <c r="DG374" s="69">
        <f t="shared" si="696"/>
        <v>3.5532849899171604E-2</v>
      </c>
      <c r="DH374" s="66">
        <f>HLOOKUP(H374,'GDP-PI'!$8:$9,2,FALSE)</f>
        <v>112.318</v>
      </c>
      <c r="DI374" s="69">
        <f t="shared" si="686"/>
        <v>1.7930771451401852E-2</v>
      </c>
      <c r="EB374"/>
    </row>
    <row r="375" spans="1:132" s="160" customFormat="1" ht="21">
      <c r="A375" s="160" t="s">
        <v>182</v>
      </c>
      <c r="B375" s="160" t="s">
        <v>182</v>
      </c>
      <c r="C375" s="160">
        <v>4057080</v>
      </c>
      <c r="D375" s="160" t="s">
        <v>171</v>
      </c>
      <c r="E375" s="160" t="s">
        <v>3</v>
      </c>
      <c r="G375" s="161" t="s">
        <v>141</v>
      </c>
      <c r="H375" s="162">
        <v>2020</v>
      </c>
      <c r="I375" s="163"/>
      <c r="J375" s="159">
        <f>IFERROR(INDEX('Labor Expenditures'!$F$7:$X$91,MATCH($C375,'Labor Expenditures'!$D$7:$D$91,0),MATCH($G375,'Labor Expenditures'!$F$5:$X$5,0)),"NA")</f>
        <v>132051.58497180408</v>
      </c>
      <c r="K375" s="159">
        <f t="shared" si="687"/>
        <v>862.23692439963486</v>
      </c>
      <c r="L375" s="165">
        <f t="shared" si="693"/>
        <v>-7.9820405937843883E-2</v>
      </c>
      <c r="M375" s="76">
        <f t="shared" si="697"/>
        <v>-3.9435110758606435E-3</v>
      </c>
      <c r="N375" s="62">
        <f t="shared" si="703"/>
        <v>113.1920366341256</v>
      </c>
      <c r="O375" s="96">
        <f t="shared" si="698"/>
        <v>-1.0857371667299817E-2</v>
      </c>
      <c r="P375" s="96"/>
      <c r="Q375" s="159">
        <f>IFERROR(INDEX('Non-Labor Expenditures'!$F$7:$AB$91,MATCH($C375,'Non-Labor Expenditures'!$D$7:$D$91,0),MATCH($G375,'Non-Labor Expenditures'!$F$5:$AB$5,0)),"NA")</f>
        <v>191235.35887312822</v>
      </c>
      <c r="R375" s="159">
        <f t="shared" si="688"/>
        <v>1683.0690870081605</v>
      </c>
      <c r="S375" s="165">
        <f t="shared" si="699"/>
        <v>-6.8420666201868444E-2</v>
      </c>
      <c r="T375" s="165">
        <f t="shared" si="700"/>
        <v>-3.3803092306363249E-3</v>
      </c>
      <c r="U375" s="165"/>
      <c r="V375" s="165"/>
      <c r="W375" s="159">
        <f t="shared" si="669"/>
        <v>352416.9473774432</v>
      </c>
      <c r="X375" s="163"/>
      <c r="Y375" s="167">
        <v>16482.203146389274</v>
      </c>
      <c r="Z375" s="168">
        <v>3.8080625077583037E-2</v>
      </c>
      <c r="AA375" s="76">
        <f t="shared" si="689"/>
        <v>1.8813656107698031E-3</v>
      </c>
      <c r="AB375" s="168"/>
      <c r="AC375" s="168"/>
      <c r="AD375" s="163">
        <f t="shared" si="705"/>
        <v>675703.89122237545</v>
      </c>
      <c r="AE375" s="168">
        <f t="shared" si="701"/>
        <v>2.4069942931735731E-2</v>
      </c>
      <c r="AF375" s="163"/>
      <c r="AG375" s="163"/>
      <c r="AH375" s="163"/>
      <c r="AI375" s="163"/>
      <c r="AJ375" s="116">
        <f t="shared" si="702"/>
        <v>589.49908240583977</v>
      </c>
      <c r="AK375" s="114">
        <f>+AV375/$AX$25</f>
        <v>3.0217157695852686E-2</v>
      </c>
      <c r="AL375" s="115">
        <f t="shared" si="690"/>
        <v>0.19542818487091657</v>
      </c>
      <c r="AM375" s="115">
        <f t="shared" si="691"/>
        <v>0.28301651264309841</v>
      </c>
      <c r="AN375" s="115">
        <f t="shared" si="692"/>
        <v>0.52155530248598514</v>
      </c>
      <c r="AO375" s="115">
        <f t="shared" si="694"/>
        <v>-1.7343959213417508E-2</v>
      </c>
      <c r="AP375" s="166">
        <f t="shared" si="706"/>
        <v>166.83257798095701</v>
      </c>
      <c r="AQ375" s="168">
        <f t="shared" si="707"/>
        <v>-1.7343959213417508E-2</v>
      </c>
      <c r="AR375" s="69">
        <f>+AD375/$AF$25</f>
        <v>4.9404798554037094E-2</v>
      </c>
      <c r="AS375" s="169">
        <f t="shared" si="704"/>
        <v>-8.5687481106832761E-4</v>
      </c>
      <c r="AT375" s="115"/>
      <c r="AU375" s="115"/>
      <c r="AV375" s="113">
        <f>IFERROR(INDEX('Total Customers'!$F$7:$AB$91,MATCH($C375,'Total Customers'!$D$7:$D$91,0),MATCH($G375,'Total Customers'!$F$5:$AB$5,0)),"NA")</f>
        <v>1146234</v>
      </c>
      <c r="AW375" s="68">
        <f t="shared" si="619"/>
        <v>5.4930370774912002E-2</v>
      </c>
      <c r="AX375" s="114"/>
      <c r="AY375" s="114"/>
      <c r="AZ375" s="116">
        <v>9060252</v>
      </c>
      <c r="BA375" s="116"/>
      <c r="BB375" s="166"/>
      <c r="BC375" s="166"/>
      <c r="BD375" s="166"/>
      <c r="BE375" s="166"/>
      <c r="BF375" s="166"/>
      <c r="BG375" s="166"/>
      <c r="BH375" s="166"/>
      <c r="BI375" s="113"/>
      <c r="BJ375" s="113"/>
      <c r="BK375" s="113">
        <f>INDEX('Dist. Plant Gas Additions'!$F$7:$AE$91,MATCH($C375,'Dist. Plant Gas Additions'!$D$7:$D$91,0),MATCH(Calculation!$G375,'Dist. Plant Gas Additions'!$F$5:$AE$5,0))</f>
        <v>600822</v>
      </c>
      <c r="BL375" s="113">
        <f>INDEX('Gen. Plant Additions'!$F$7:$AE$91,MATCH($C375,'Gen. Plant Additions'!$D$7:$D$91,0),MATCH(Calculation!$G375,'Gen. Plant Additions'!$F$5:$AE$5,0))</f>
        <v>10254</v>
      </c>
      <c r="BM375" s="231">
        <f t="shared" si="670"/>
        <v>0.99809191798947239</v>
      </c>
      <c r="BN375" s="61">
        <f t="shared" ref="BN375:BN387" si="709">+BM375*BL375</f>
        <v>10234.43452706405</v>
      </c>
      <c r="BO375" s="113">
        <f>INDEX('Dist Plant Depreciation'!$E$7:$AD$94,MATCH($C375,'Dist Plant Depreciation'!$D$7:$D$94,0),MATCH(Calculation!$G375,'Dist Plant Depreciation'!$E$5:$AD$5,0))</f>
        <v>1395185</v>
      </c>
      <c r="BP375" s="113">
        <f>INDEX('Gen. Plant Depreciation'!$E$7:$AD$94,MATCH($C375,'Gen. Plant Depreciation'!$D$7:$D$94,0),MATCH(Calculation!$G375,'Gen. Plant Depreciation'!$E$5:$AD$5,0))</f>
        <v>1405</v>
      </c>
      <c r="BQ375" s="113"/>
      <c r="BR375" s="113"/>
      <c r="BS375" s="113"/>
      <c r="BT375" s="113"/>
      <c r="BU375" s="113"/>
      <c r="BV375" s="113"/>
      <c r="BW375" s="113">
        <f>INDEX('Gross Dx Plant'!$E$7:$AD$91,MATCH($C375,'Gross Dx Plant'!$D$7:$D$91,0),MATCH(Calculation!$G375,'Gross Dx Plant'!$E$5:$AD$5,0))</f>
        <v>8497540</v>
      </c>
      <c r="BX375" s="113">
        <f>INDEX('Gross Gen Plant'!$E$7:$AD$91,MATCH($C375,'Gross Gen Plant'!$D$7:$D$91,0),MATCH(Calculation!$G375,'Gross Gen Plant'!$E$5:$AD$5,0))</f>
        <v>16245</v>
      </c>
      <c r="BY375" s="113">
        <f t="shared" si="623"/>
        <v>7117195</v>
      </c>
      <c r="BZ375" s="113"/>
      <c r="CA375" s="116">
        <v>2020</v>
      </c>
      <c r="CB375" s="113"/>
      <c r="CC375" s="113"/>
      <c r="CD375" s="113"/>
      <c r="CE375" s="175"/>
      <c r="CF375" s="113">
        <f t="shared" si="671"/>
        <v>611076</v>
      </c>
      <c r="CG375" s="113">
        <f t="shared" si="672"/>
        <v>751.55689219135184</v>
      </c>
      <c r="CH375" s="178">
        <v>0.84057971014492749</v>
      </c>
      <c r="CI375" s="61">
        <f>CI353*CH375+CG354*CH374+CG355*CH373+CG356*CH372+CG357*CH371+CG358*CH370+CG359*CH369+CG360*CH368+CG361*CH367+CG362*CH366+CG363*CH365+CG364*CH364+CG365*CH363+CG366*CH362+CG367*CH361+CG368*CH360+CG369*CH359+CG370*CH358+CG371*CH357+CG372*CH356+CG373*CH355+CG374*CH354+CG375</f>
        <v>16482.203146389274</v>
      </c>
      <c r="CJ375" s="114">
        <f t="shared" si="673"/>
        <v>3.8080625077583037E-2</v>
      </c>
      <c r="CK375" s="114"/>
      <c r="CL375" s="169">
        <f t="shared" si="674"/>
        <v>8.5529894049565687E-3</v>
      </c>
      <c r="CM375" s="169">
        <f t="shared" si="682"/>
        <v>8.4058155707840698E-3</v>
      </c>
      <c r="CN375" s="114">
        <f>VLOOKUP($H375,RoR!$E:$F,2,FALSE)</f>
        <v>2.4766666666666666E-2</v>
      </c>
      <c r="CO375" s="169">
        <v>1.1618796630994188E-2</v>
      </c>
      <c r="CP375" s="169">
        <f t="shared" si="680"/>
        <v>1.3147870035672478E-2</v>
      </c>
      <c r="CQ375" s="169">
        <f t="shared" si="683"/>
        <v>2.2496126037749555E-2</v>
      </c>
      <c r="CR375" s="169">
        <f t="shared" si="684"/>
        <v>4.5144642961987357E-2</v>
      </c>
      <c r="CS375" s="179">
        <f t="shared" si="675"/>
        <v>0.90509623210000001</v>
      </c>
      <c r="CT375" s="180">
        <f t="shared" si="676"/>
        <v>2.0706077233668081</v>
      </c>
      <c r="CU375" s="180">
        <f t="shared" si="677"/>
        <v>-3.4421265141318998E-2</v>
      </c>
      <c r="CV375" s="180">
        <f t="shared" si="678"/>
        <v>0.62416226176410472</v>
      </c>
      <c r="CW375" s="180">
        <f t="shared" si="679"/>
        <v>-4.4485877841158712E-2</v>
      </c>
      <c r="CX375" s="181">
        <f>INDEX('State Tax Lookup'!$D$7:$Z$91,MATCH(Calculation!$C375,'State Tax Lookup'!$B$7:$B$91,0),MATCH($H375,'State Tax Lookup'!$D$6:$Z$6,0))</f>
        <v>0.25649666999999998</v>
      </c>
      <c r="CY375" s="72">
        <v>0.37</v>
      </c>
      <c r="CZ375" s="70">
        <f t="shared" si="681"/>
        <v>22.211594063858261</v>
      </c>
      <c r="DA375" s="70">
        <v>19.952659173050833</v>
      </c>
      <c r="DB375" s="69">
        <f t="shared" si="685"/>
        <v>4.3700824689493642E-2</v>
      </c>
      <c r="DC375" s="111">
        <f>VLOOKUP($H375,RoR!$E:$F,2,FALSE)</f>
        <v>2.4766666666666666E-2</v>
      </c>
      <c r="DD375" s="216">
        <f>HLOOKUP($H375,'GDP-PI'!$D$8:$CQ$11,3,FALSE)</f>
        <v>1.1618796630994188E-2</v>
      </c>
      <c r="DE375" s="111">
        <f>VLOOKUP(H375,'HW Dx Data'!$E:$F,2,FALSE)</f>
        <v>813.080162458833</v>
      </c>
      <c r="DF375" s="72">
        <f t="shared" si="695"/>
        <v>153.15</v>
      </c>
      <c r="DG375" s="69">
        <f t="shared" si="696"/>
        <v>2.2951556467368479E-2</v>
      </c>
      <c r="DH375" s="66">
        <f>HLOOKUP(H375,'GDP-PI'!$8:$9,2,FALSE)</f>
        <v>113.623</v>
      </c>
      <c r="DI375" s="69">
        <f t="shared" si="686"/>
        <v>1.1551816731392881E-2</v>
      </c>
      <c r="EB375"/>
    </row>
    <row r="376" spans="1:132" s="160" customFormat="1" ht="21">
      <c r="A376" s="160" t="s">
        <v>182</v>
      </c>
      <c r="B376" s="160" t="s">
        <v>182</v>
      </c>
      <c r="C376" s="160">
        <v>4057080</v>
      </c>
      <c r="D376" s="160" t="s">
        <v>171</v>
      </c>
      <c r="E376" s="160" t="s">
        <v>3</v>
      </c>
      <c r="G376" s="161" t="s">
        <v>142</v>
      </c>
      <c r="H376" s="162">
        <v>2021</v>
      </c>
      <c r="I376" s="163"/>
      <c r="J376" s="159">
        <v>132600.11101561776</v>
      </c>
      <c r="K376" s="159">
        <f t="shared" si="687"/>
        <v>843.24394922491422</v>
      </c>
      <c r="L376" s="164">
        <f t="shared" si="693"/>
        <v>-2.2273788815239639E-2</v>
      </c>
      <c r="M376" s="76">
        <f t="shared" si="697"/>
        <v>-1.0004781291230861E-3</v>
      </c>
      <c r="N376" s="166">
        <f>+N375*EXP(O376)</f>
        <v>118.02871907400291</v>
      </c>
      <c r="O376" s="114">
        <f t="shared" si="698"/>
        <v>4.1842161296661018E-2</v>
      </c>
      <c r="P376" s="114"/>
      <c r="Q376" s="159">
        <v>186918.22878105156</v>
      </c>
      <c r="R376" s="159">
        <f t="shared" si="688"/>
        <v>1577.5021417929916</v>
      </c>
      <c r="S376" s="165">
        <f t="shared" si="699"/>
        <v>-6.4776291136091707E-2</v>
      </c>
      <c r="T376" s="165">
        <f t="shared" si="700"/>
        <v>-2.9095751560250273E-3</v>
      </c>
      <c r="U376" s="165"/>
      <c r="V376" s="165"/>
      <c r="W376" s="159">
        <f t="shared" si="669"/>
        <v>368720.34853936906</v>
      </c>
      <c r="X376" s="163"/>
      <c r="Y376" s="167">
        <v>17495.24925020049</v>
      </c>
      <c r="Z376" s="168"/>
      <c r="AA376" s="76">
        <f t="shared" si="689"/>
        <v>0</v>
      </c>
      <c r="AB376" s="168"/>
      <c r="AC376" s="168"/>
      <c r="AD376" s="163">
        <f t="shared" si="705"/>
        <v>688238.68833603838</v>
      </c>
      <c r="AE376" s="168">
        <f t="shared" si="701"/>
        <v>1.8380759144436556E-2</v>
      </c>
      <c r="AF376" s="113"/>
      <c r="AG376" s="114"/>
      <c r="AH376" s="114"/>
      <c r="AI376" s="114"/>
      <c r="AJ376" s="116">
        <f t="shared" si="702"/>
        <v>600.43471781157984</v>
      </c>
      <c r="AK376" s="114">
        <f>+AV376/$AX$26</f>
        <v>2.9690354287473769E-2</v>
      </c>
      <c r="AL376" s="115">
        <f t="shared" si="690"/>
        <v>0.19266587778755417</v>
      </c>
      <c r="AM376" s="115">
        <f t="shared" si="691"/>
        <v>0.27158924941137158</v>
      </c>
      <c r="AN376" s="115">
        <f t="shared" si="692"/>
        <v>0.5357448728010743</v>
      </c>
      <c r="AO376" s="115">
        <f t="shared" si="694"/>
        <v>-2.2284814750348755E-2</v>
      </c>
      <c r="AP376" s="166">
        <f t="shared" si="706"/>
        <v>163.15586448329532</v>
      </c>
      <c r="AQ376" s="168">
        <f t="shared" si="707"/>
        <v>-2.2284814750348807E-2</v>
      </c>
      <c r="AR376" s="69">
        <f>+AD376/$AF$26</f>
        <v>4.4917285398636937E-2</v>
      </c>
      <c r="AS376" s="169">
        <f t="shared" si="704"/>
        <v>-1.0009733841971715E-3</v>
      </c>
      <c r="AT376" s="115"/>
      <c r="AU376" s="115"/>
      <c r="AV376" s="113">
        <f>INDEX('Total Customers'!$E$7:$E$91,MATCH(Calculation!$C376,'Total Customers'!$D$7:$D$91,0))</f>
        <v>1146234</v>
      </c>
      <c r="AW376" s="68">
        <f t="shared" si="619"/>
        <v>0</v>
      </c>
      <c r="AX376" s="113"/>
      <c r="AY376" s="113"/>
      <c r="AZ376" s="116"/>
      <c r="BA376" s="116"/>
      <c r="BB376" s="166"/>
      <c r="BC376" s="166"/>
      <c r="BD376" s="166"/>
      <c r="BE376" s="166"/>
      <c r="BF376" s="166"/>
      <c r="BG376" s="166"/>
      <c r="BH376" s="166"/>
      <c r="BI376" s="113"/>
      <c r="BJ376" s="113"/>
      <c r="BK376" s="113">
        <f>INDEX('Dist. Plant Gas Additions'!$E$7:$AE$91,MATCH($C376,'Dist. Plant Gas Additions'!$D$7:$D$91,0),MATCH(Calculation!$G376,'Dist. Plant Gas Additions'!$E$5:$AE$5,0))</f>
        <v>1174807</v>
      </c>
      <c r="BL376" s="113">
        <f>INDEX('Gen. Plant Additions'!$E$7:$AE$91,MATCH($C376,'Gen. Plant Additions'!$D$7:$D$91,0),MATCH(Calculation!$G376,'Gen. Plant Additions'!$E$5:$AE$5,0))</f>
        <v>22881</v>
      </c>
      <c r="BM376" s="231">
        <v>0.99809191798947239</v>
      </c>
      <c r="BN376" s="61">
        <f t="shared" si="709"/>
        <v>22837.341175517118</v>
      </c>
      <c r="BO376" s="113"/>
      <c r="BP376" s="113"/>
      <c r="BQ376" s="175"/>
      <c r="BR376" s="175"/>
      <c r="BS376" s="170"/>
      <c r="BT376" s="176"/>
      <c r="BU376" s="177"/>
      <c r="BV376" s="177"/>
      <c r="BW376" s="113"/>
      <c r="BX376" s="113"/>
      <c r="BY376" s="113"/>
      <c r="BZ376" s="113"/>
      <c r="CA376" s="116">
        <v>2021</v>
      </c>
      <c r="CB376" s="113"/>
      <c r="CC376" s="113"/>
      <c r="CD376" s="113"/>
      <c r="CE376" s="175"/>
      <c r="CF376" s="113">
        <f t="shared" si="671"/>
        <v>1197688</v>
      </c>
      <c r="CG376" s="113">
        <f t="shared" si="672"/>
        <v>1283.6646501082125</v>
      </c>
      <c r="CH376" s="178">
        <f>+(51-23)/(51-23*0.75)</f>
        <v>0.82962962962962961</v>
      </c>
      <c r="CI376" s="113">
        <f>CI353*CH376+CG354*CH375+CG355*CH374+CG356*CH373+CG357*CH372+CG358*CH371+CG359*CH370+CG360*CH369+CG361*CH368+CG362*CH367+CG363*CH366+CG364*CH365+CG365*CH364+CG366*CH363+CG367*CH362+CG358*CH361+CG369*CH360+CG370*CH359+CG371*CH358+CG372*CH357+CG373*CH356+CG374*CH355+CG376+CG375*CH354</f>
        <v>17495.24925020049</v>
      </c>
      <c r="CJ376" s="114"/>
      <c r="CK376" s="113"/>
      <c r="CL376" s="169">
        <f t="shared" si="674"/>
        <v>1.6418833325463601E-2</v>
      </c>
      <c r="CM376" s="169">
        <f t="shared" si="682"/>
        <v>1.1126277974765453E-2</v>
      </c>
      <c r="CN376" s="114">
        <f>VLOOKUP($H376,RoR!$E:$F,2,FALSE)</f>
        <v>2.7033333333333336E-2</v>
      </c>
      <c r="CO376" s="169"/>
      <c r="CP376" s="169"/>
      <c r="CQ376" s="169">
        <f t="shared" si="683"/>
        <v>1.9775663633768172E-2</v>
      </c>
      <c r="CR376" s="169">
        <f t="shared" si="684"/>
        <v>7.433422950153494E-2</v>
      </c>
      <c r="CS376" s="179">
        <f t="shared" si="675"/>
        <v>0.90509623210000001</v>
      </c>
      <c r="CT376" s="180">
        <f t="shared" si="676"/>
        <v>1.8969932656739068</v>
      </c>
      <c r="CU376" s="180">
        <f t="shared" si="677"/>
        <v>5.0215782983970621E-2</v>
      </c>
      <c r="CV376" s="180">
        <f t="shared" si="678"/>
        <v>0.655952481704143</v>
      </c>
      <c r="CW376" s="180">
        <f t="shared" si="679"/>
        <v>6.2485378865697057E-2</v>
      </c>
      <c r="CX376" s="181">
        <f>CX375</f>
        <v>0.25649666999999998</v>
      </c>
      <c r="CY376" s="72">
        <v>0.37</v>
      </c>
      <c r="CZ376" s="182">
        <f t="shared" si="681"/>
        <v>22.370816890467943</v>
      </c>
      <c r="DA376" s="182"/>
      <c r="DB376" s="169">
        <f t="shared" si="685"/>
        <v>7.1428843875307587E-3</v>
      </c>
      <c r="DC376" s="181">
        <f>VLOOKUP($H376,RoR!$E:$F,2,FALSE)</f>
        <v>2.7033333333333336E-2</v>
      </c>
      <c r="DD376" s="183">
        <f>HLOOKUP($H376,'GDP-PI'!$D$8:$CR$11,3,FALSE)</f>
        <v>4.2834637353352578E-2</v>
      </c>
      <c r="DE376" s="181">
        <f>VLOOKUP(H376,'HW Dx Data'!$E:$F,2,FALSE)</f>
        <v>933.02249921662576</v>
      </c>
      <c r="DF376" s="72">
        <f t="shared" si="695"/>
        <v>157.25</v>
      </c>
      <c r="DG376" s="69">
        <f t="shared" si="696"/>
        <v>2.6419062301765574E-2</v>
      </c>
      <c r="DH376" s="175">
        <f>HLOOKUP(H376,'GDP-PI'!$8:$9,2,FALSE)</f>
        <v>118.49</v>
      </c>
      <c r="DI376" s="169">
        <f t="shared" si="686"/>
        <v>4.194261824609434E-2</v>
      </c>
      <c r="EB376"/>
    </row>
    <row r="377" spans="1:132" s="160" customFormat="1" ht="21">
      <c r="G377" s="161" t="s">
        <v>144</v>
      </c>
      <c r="H377" s="162"/>
      <c r="I377" s="163"/>
      <c r="J377" s="159">
        <v>138791.19761883351</v>
      </c>
      <c r="K377" s="159">
        <f t="shared" si="687"/>
        <v>853.83695859017837</v>
      </c>
      <c r="L377" s="164">
        <f t="shared" ref="L377" si="710">LN(K377/K376)</f>
        <v>1.2483962187338198E-2</v>
      </c>
      <c r="M377" s="76">
        <f t="shared" si="697"/>
        <v>6.2623292610606456E-4</v>
      </c>
      <c r="N377" s="166">
        <f>+N376*EXP(O377)</f>
        <v>118.18978281466994</v>
      </c>
      <c r="O377" s="114">
        <f t="shared" si="698"/>
        <v>1.3636845915052439E-3</v>
      </c>
      <c r="P377" s="114"/>
      <c r="Q377" s="163">
        <v>195645.42314944003</v>
      </c>
      <c r="R377" s="159">
        <f t="shared" si="688"/>
        <v>1537.4885905653441</v>
      </c>
      <c r="S377" s="165">
        <f t="shared" ref="S377" si="711">LN(R377/R376)</f>
        <v>-2.5692373245280845E-2</v>
      </c>
      <c r="T377" s="165">
        <f t="shared" si="700"/>
        <v>-1.2888063768985139E-3</v>
      </c>
      <c r="U377" s="166"/>
      <c r="V377" s="114"/>
      <c r="W377" s="159">
        <f t="shared" si="669"/>
        <v>480470.98219629168</v>
      </c>
      <c r="X377" s="168"/>
      <c r="Y377" s="167">
        <v>18625.943332666964</v>
      </c>
      <c r="Z377" s="168">
        <v>6.2626039059498068E-2</v>
      </c>
      <c r="AA377" s="76">
        <f t="shared" si="689"/>
        <v>3.1415096507132439E-3</v>
      </c>
      <c r="AB377" s="166"/>
      <c r="AC377" s="114"/>
      <c r="AD377" s="163">
        <f t="shared" si="705"/>
        <v>814907.60296456516</v>
      </c>
      <c r="AE377" s="168">
        <f t="shared" si="701"/>
        <v>0.16893902773052294</v>
      </c>
      <c r="AF377" s="113"/>
      <c r="AG377" s="114"/>
      <c r="AH377" s="114"/>
      <c r="AI377" s="114"/>
      <c r="AJ377" s="116">
        <f t="shared" si="702"/>
        <v>754.43300751515767</v>
      </c>
      <c r="AK377" s="114"/>
      <c r="AL377" s="115">
        <f t="shared" si="690"/>
        <v>0.17031525674066952</v>
      </c>
      <c r="AM377" s="115">
        <f t="shared" si="691"/>
        <v>0.24008295227299203</v>
      </c>
      <c r="AN377" s="115">
        <f t="shared" si="692"/>
        <v>0.58960179098633847</v>
      </c>
      <c r="AO377" s="115"/>
      <c r="AP377" s="166"/>
      <c r="AQ377" s="168"/>
      <c r="AR377" s="69">
        <f>+AD377/$AF$27</f>
        <v>5.0162994465108079E-2</v>
      </c>
      <c r="AS377" s="169"/>
      <c r="AT377" s="166"/>
      <c r="AU377" s="168"/>
      <c r="AV377" s="113">
        <v>1080159</v>
      </c>
      <c r="AW377" s="68">
        <f t="shared" si="619"/>
        <v>-5.9373533408369726E-2</v>
      </c>
      <c r="AX377" s="113"/>
      <c r="AY377" s="113"/>
      <c r="AZ377" s="113"/>
      <c r="BA377" s="113"/>
      <c r="BB377" s="171"/>
      <c r="BC377" s="172"/>
      <c r="BD377" s="173"/>
      <c r="BE377" s="115"/>
      <c r="BF377" s="174"/>
      <c r="BG377" s="174"/>
      <c r="BH377" s="166"/>
      <c r="BI377" s="113"/>
      <c r="BJ377" s="113"/>
      <c r="BK377" s="113"/>
      <c r="BL377" s="113"/>
      <c r="BM377" s="231">
        <v>0.99809191798947239</v>
      </c>
      <c r="BN377" s="61">
        <f t="shared" si="709"/>
        <v>0</v>
      </c>
      <c r="BO377" s="113"/>
      <c r="BP377" s="113"/>
      <c r="BQ377" s="175"/>
      <c r="BR377" s="175"/>
      <c r="BS377" s="170"/>
      <c r="BT377" s="176"/>
      <c r="BU377" s="177"/>
      <c r="BV377" s="177"/>
      <c r="BW377" s="113"/>
      <c r="BX377" s="113"/>
      <c r="BY377" s="113"/>
      <c r="BZ377" s="113"/>
      <c r="CA377" s="116">
        <v>2022</v>
      </c>
      <c r="CB377" s="113"/>
      <c r="CC377" s="113"/>
      <c r="CD377" s="113"/>
      <c r="CE377" s="175"/>
      <c r="CF377" s="238">
        <v>933908</v>
      </c>
      <c r="CG377" s="113">
        <f>+CF377/DE377</f>
        <v>905.99431515022172</v>
      </c>
      <c r="CH377" s="178">
        <f>+(51-24)/(51-24*0.75)</f>
        <v>0.81818181818181823</v>
      </c>
      <c r="CI377" s="113">
        <f>+CI353*CH377+CG354*CH376+CG355*CH375+CG356*CH374+CG357*CH373+CG358*CH372+CG359*CH371+CG360*CH370+CG361*CH369+CG362*CH368+CG363*CH367+CG364*CH366+CG365*CH365+CG366*CH364+CG367*CH363+CG368*CH362+CG369*CH361+CG370*CH360+CG371*CH359+CG372*CH358+CG373*CH357+CG374*CH356+CG375*CH355+CG376*CH354+CG377*CH353</f>
        <v>18370.047483771436</v>
      </c>
      <c r="CJ377" s="114">
        <f t="shared" ref="CJ377" si="712">LN(CI377/CI376)</f>
        <v>4.8792111420563548E-2</v>
      </c>
      <c r="CK377" s="113"/>
      <c r="CL377" s="169">
        <f t="shared" si="674"/>
        <v>1.7831172984813855E-3</v>
      </c>
      <c r="CM377" s="169">
        <f t="shared" si="682"/>
        <v>8.9183133429671848E-3</v>
      </c>
      <c r="CN377" s="114"/>
      <c r="CO377" s="169"/>
      <c r="CP377" s="169"/>
      <c r="CQ377" s="69">
        <f t="shared" si="683"/>
        <v>2.1983628265566442E-2</v>
      </c>
      <c r="CR377" s="169">
        <f t="shared" si="684"/>
        <v>0.10114668178709289</v>
      </c>
      <c r="CS377" s="179">
        <f t="shared" si="675"/>
        <v>0.90509623210000001</v>
      </c>
      <c r="CT377" s="180"/>
      <c r="CU377" s="180"/>
      <c r="CV377" s="180"/>
      <c r="CW377" s="180"/>
      <c r="CX377" s="181">
        <f>CX376</f>
        <v>0.25649666999999998</v>
      </c>
      <c r="CY377" s="72">
        <v>0.37</v>
      </c>
      <c r="CZ377" s="182">
        <f t="shared" si="681"/>
        <v>27.462940100198093</v>
      </c>
      <c r="DA377" s="182"/>
      <c r="DB377" s="169">
        <f t="shared" si="685"/>
        <v>0.20508017101207002</v>
      </c>
      <c r="DC377" s="181">
        <v>0.04</v>
      </c>
      <c r="DD377" s="183">
        <v>7.0000000000000001E-3</v>
      </c>
      <c r="DE377" s="181">
        <v>1030.81</v>
      </c>
      <c r="DF377" s="72">
        <f t="shared" si="695"/>
        <v>162.55000000000001</v>
      </c>
      <c r="DG377" s="169">
        <f t="shared" si="696"/>
        <v>3.3148751169364422E-2</v>
      </c>
      <c r="DH377" s="175">
        <v>127.25</v>
      </c>
      <c r="DI377" s="169">
        <f t="shared" si="686"/>
        <v>7.1325086601983473E-2</v>
      </c>
      <c r="EB377"/>
    </row>
    <row r="378" spans="1:132" s="160" customFormat="1" ht="21">
      <c r="A378" s="160" t="s">
        <v>183</v>
      </c>
      <c r="B378" s="161" t="s">
        <v>183</v>
      </c>
      <c r="C378" s="161">
        <v>4057081</v>
      </c>
      <c r="D378" s="161" t="s">
        <v>184</v>
      </c>
      <c r="E378" s="161"/>
      <c r="F378" s="161"/>
      <c r="G378" s="161" t="s">
        <v>100</v>
      </c>
      <c r="H378" s="162">
        <v>1998</v>
      </c>
      <c r="I378" s="163"/>
      <c r="J378" s="159"/>
      <c r="K378" s="159"/>
      <c r="L378" s="159"/>
      <c r="M378" s="60"/>
      <c r="N378" s="131"/>
      <c r="O378" s="76"/>
      <c r="P378" s="76"/>
      <c r="Q378" s="165"/>
      <c r="R378" s="165"/>
      <c r="S378" s="165"/>
      <c r="T378" s="159"/>
      <c r="U378" s="165"/>
      <c r="V378" s="165"/>
      <c r="W378" s="159"/>
      <c r="X378" s="163"/>
      <c r="Y378" s="167">
        <v>3505.2546477365595</v>
      </c>
      <c r="Z378" s="168"/>
      <c r="AA378" s="78"/>
      <c r="AB378" s="168"/>
      <c r="AC378" s="168"/>
      <c r="AD378" s="163">
        <f t="shared" si="705"/>
        <v>0</v>
      </c>
      <c r="AE378" s="163"/>
      <c r="AF378" s="163"/>
      <c r="AG378" s="114"/>
      <c r="AH378" s="114"/>
      <c r="AI378" s="114"/>
      <c r="AJ378" s="166">
        <f>+(AJ375+AJ376+AJ377)/3</f>
        <v>648.12226924419235</v>
      </c>
      <c r="AK378" s="168"/>
      <c r="AL378" s="115"/>
      <c r="AM378" s="115"/>
      <c r="AN378" s="115"/>
      <c r="AO378" s="115"/>
      <c r="AP378" s="115"/>
      <c r="AQ378" s="168">
        <f>AVERAGE(AQ387:AQ401)</f>
        <v>5.5485119725638115E-3</v>
      </c>
      <c r="AR378" s="79"/>
      <c r="AS378" s="115"/>
      <c r="AT378" s="115"/>
      <c r="AU378" s="115"/>
      <c r="AV378" s="113">
        <f>IFERROR(INDEX('Total Customers'!$F$7:$AB$91,MATCH($C378,'Total Customers'!$D$7:$D$91,0),MATCH($G378,'Total Customers'!$F$5:$AB$5,0)),"NA")</f>
        <v>1542448</v>
      </c>
      <c r="AW378" s="68"/>
      <c r="AX378" s="114"/>
      <c r="AY378" s="114"/>
      <c r="AZ378" s="116"/>
      <c r="BA378" s="116"/>
      <c r="BB378" s="166"/>
      <c r="BC378" s="166"/>
      <c r="BD378" s="166"/>
      <c r="BE378" s="166"/>
      <c r="BF378" s="166"/>
      <c r="BG378" s="166"/>
      <c r="BH378" s="166"/>
      <c r="BI378" s="113">
        <f>INDEX('Gross Dx Plant'!$E$7:$AD$91,MATCH($C378,'Gross Dx Plant'!$D$7:$D$91,0),MATCH(Calculation!$G378,'Gross Dx Plant'!$E$5:$AD$5,0))</f>
        <v>1570879</v>
      </c>
      <c r="BJ378" s="113">
        <f>INDEX('Gross Gen Plant'!$E$7:$AD$91,MATCH($C378,'Gross Gen Plant'!$D$7:$D$91,0),MATCH(Calculation!$G378,'Gross Gen Plant'!$E$5:$AD$5,0))</f>
        <v>51099</v>
      </c>
      <c r="BK378" s="113">
        <f>INDEX('Dist. Plant Gas Additions'!$F$7:$AE$91,MATCH($C378,'Dist. Plant Gas Additions'!$D$7:$D$91,0),MATCH(Calculation!$G378,'Dist. Plant Gas Additions'!$F$5:$AE$5,0))</f>
        <v>82485</v>
      </c>
      <c r="BL378" s="113">
        <f>INDEX('Gen. Plant Additions'!$F$7:$AE$91,MATCH($C378,'Gen. Plant Additions'!$D$7:$D$91,0),MATCH(Calculation!$G378,'Gen. Plant Additions'!$F$5:$AE$5,0))</f>
        <v>3290</v>
      </c>
      <c r="BM378" s="231">
        <f>+(BW378/(BW378+BX378))</f>
        <v>0.96849587355685463</v>
      </c>
      <c r="BN378" s="61">
        <f t="shared" si="709"/>
        <v>3186.3514240020518</v>
      </c>
      <c r="BO378" s="113">
        <f>INDEX('Dist Plant Depreciation'!$E$7:$AD$94,MATCH($C378,'Dist Plant Depreciation'!$D$7:$D$94,0),MATCH(Calculation!$G378,'Dist Plant Depreciation'!$E$5:$AD$5,0))</f>
        <v>893628</v>
      </c>
      <c r="BP378" s="113">
        <f>INDEX('Gen. Plant Depreciation'!$E$7:$AD$94,MATCH($C378,'Gen. Plant Depreciation'!$D$7:$D$94,0),MATCH(Calculation!$G378,'Gen. Plant Depreciation'!$E$5:$AD$5,0))</f>
        <v>21272</v>
      </c>
      <c r="BQ378" s="113"/>
      <c r="BR378" s="113"/>
      <c r="BS378" s="113"/>
      <c r="BT378" s="113"/>
      <c r="BU378" s="113"/>
      <c r="BV378" s="113"/>
      <c r="BW378" s="113">
        <f>INDEX('Gross Dx Plant'!$E$7:$AD$91,MATCH($C378,'Gross Dx Plant'!$D$7:$D$91,0),MATCH(Calculation!$G378,'Gross Dx Plant'!$E$5:$AD$5,0))</f>
        <v>1570879</v>
      </c>
      <c r="BX378" s="113">
        <f>INDEX('Gross Gen Plant'!$E$7:$AD$91,MATCH($C378,'Gross Gen Plant'!$D$7:$D$91,0),MATCH(Calculation!$G378,'Gross Gen Plant'!$E$5:$AD$5,0))</f>
        <v>51099</v>
      </c>
      <c r="BY378" s="113">
        <f t="shared" si="623"/>
        <v>707078</v>
      </c>
      <c r="BZ378" s="113"/>
      <c r="CA378" s="116">
        <v>1998</v>
      </c>
      <c r="CB378" s="113">
        <f>BI378+BJ378</f>
        <v>1621978</v>
      </c>
      <c r="CC378" s="113">
        <f>893628+21272</f>
        <v>914900</v>
      </c>
      <c r="CD378" s="113">
        <f>+CB378-CC378</f>
        <v>707078</v>
      </c>
      <c r="CE378" s="113">
        <f>CD378/$BV$3</f>
        <v>3505.2546477365595</v>
      </c>
      <c r="CF378" s="175"/>
      <c r="CG378" s="175"/>
      <c r="CH378" s="178">
        <v>1</v>
      </c>
      <c r="CI378" s="113">
        <f>+CE378</f>
        <v>3505.2546477365595</v>
      </c>
      <c r="CJ378" s="114"/>
      <c r="CK378" s="114"/>
      <c r="CL378" s="169"/>
      <c r="CM378" s="169"/>
      <c r="CN378" s="114" t="e">
        <f>VLOOKUP($H378,RoR!$E:$F,2,FALSE)</f>
        <v>#N/A</v>
      </c>
      <c r="CO378" s="169">
        <v>1.1028127770464469E-2</v>
      </c>
      <c r="CP378" s="169"/>
      <c r="CQ378" s="169"/>
      <c r="CR378" s="169"/>
      <c r="CS378" s="179"/>
      <c r="CT378" s="182" t="e">
        <f>2/(DC378*39)</f>
        <v>#N/A</v>
      </c>
      <c r="CU378" s="180" t="e">
        <f>+(DC378*40-(1+DC378))/(DC378*40)</f>
        <v>#N/A</v>
      </c>
      <c r="CV378" s="180" t="e">
        <f>+(1-(1/(1+DC378)^40))</f>
        <v>#N/A</v>
      </c>
      <c r="CW378" s="180" t="e">
        <f>+CV378*CU378*CT378</f>
        <v>#N/A</v>
      </c>
      <c r="CX378" s="181">
        <f>INDEX('State Tax Lookup'!$D$7:$Z$91,MATCH(Calculation!$C378,'State Tax Lookup'!$B$7:$B$91,0),MATCH($H378,'State Tax Lookup'!$D$6:$Z$6,0))</f>
        <v>0.35</v>
      </c>
      <c r="CY378" s="72">
        <v>0.37</v>
      </c>
      <c r="CZ378" s="66"/>
      <c r="DA378" s="66"/>
      <c r="DB378" s="69"/>
      <c r="DC378" s="111" t="e">
        <f>VLOOKUP($H378,RoR!$E:$F,2,FALSE)</f>
        <v>#N/A</v>
      </c>
      <c r="DD378" s="216">
        <f>HLOOKUP($H378,'GDP-PI'!$D$8:$CQ$11,3,FALSE)</f>
        <v>1.1028127770464469E-2</v>
      </c>
      <c r="DE378" s="111">
        <f>VLOOKUP(H378,'HW Dx Data'!$E:$F,2,FALSE)</f>
        <v>329.24564746449528</v>
      </c>
      <c r="DF378" s="72" t="e">
        <f t="shared" si="695"/>
        <v>#N/A</v>
      </c>
      <c r="DG378" s="169" t="e">
        <f t="shared" si="696"/>
        <v>#N/A</v>
      </c>
      <c r="DH378" s="66">
        <f>HLOOKUP(H378,'GDP-PI'!$8:$9,2,FALSE)</f>
        <v>75.266999999999996</v>
      </c>
      <c r="DI378"/>
      <c r="DJ378" s="160">
        <v>2.5640776638641321E-2</v>
      </c>
      <c r="EB378"/>
    </row>
    <row r="379" spans="1:132" s="160" customFormat="1" ht="21">
      <c r="A379" s="160" t="s">
        <v>183</v>
      </c>
      <c r="B379" s="161" t="s">
        <v>183</v>
      </c>
      <c r="C379" s="161">
        <v>4057081</v>
      </c>
      <c r="D379" s="161" t="s">
        <v>184</v>
      </c>
      <c r="E379" s="161"/>
      <c r="F379" s="161"/>
      <c r="G379" s="161" t="s">
        <v>106</v>
      </c>
      <c r="H379" s="162">
        <v>1999</v>
      </c>
      <c r="I379" s="163"/>
      <c r="J379" s="159"/>
      <c r="K379" s="163"/>
      <c r="L379" s="163"/>
      <c r="M379" s="60"/>
      <c r="N379" s="152"/>
      <c r="O379" s="60"/>
      <c r="P379" s="59"/>
      <c r="Q379" s="169"/>
      <c r="R379" s="169"/>
      <c r="S379" s="169"/>
      <c r="T379" s="187"/>
      <c r="U379" s="169"/>
      <c r="V379" s="169"/>
      <c r="W379" s="159">
        <f t="shared" ref="W379:W402" si="713">+CI378*CZ379</f>
        <v>0</v>
      </c>
      <c r="X379" s="163"/>
      <c r="Y379" s="167">
        <v>3742.1777622990085</v>
      </c>
      <c r="Z379" s="168">
        <v>6.5404560792467717E-2</v>
      </c>
      <c r="AA379" s="78"/>
      <c r="AB379" s="168"/>
      <c r="AC379" s="168"/>
      <c r="AD379" s="163">
        <f t="shared" si="705"/>
        <v>0</v>
      </c>
      <c r="AE379" s="168"/>
      <c r="AF379" s="163"/>
      <c r="AG379" s="114"/>
      <c r="AH379" s="114"/>
      <c r="AI379" s="114"/>
      <c r="AJ379" s="167"/>
      <c r="AK379" s="168"/>
      <c r="AL379" s="115"/>
      <c r="AM379" s="115"/>
      <c r="AN379" s="115"/>
      <c r="AO379" s="115"/>
      <c r="AP379" s="115"/>
      <c r="AQ379" s="168"/>
      <c r="AR379" s="79"/>
      <c r="AS379" s="115"/>
      <c r="AT379" s="115"/>
      <c r="AU379" s="115"/>
      <c r="AV379" s="113">
        <f>IFERROR(INDEX('Total Customers'!$F$7:$AB$91,MATCH($C379,'Total Customers'!$D$7:$D$91,0),MATCH($G379,'Total Customers'!$F$5:$AB$5,0)),"NA")</f>
        <v>1567712</v>
      </c>
      <c r="AW379" s="68">
        <f t="shared" si="619"/>
        <v>1.6246466866924093E-2</v>
      </c>
      <c r="AX379" s="114"/>
      <c r="AY379" s="114"/>
      <c r="AZ379" s="116"/>
      <c r="BA379" s="116"/>
      <c r="BB379" s="166"/>
      <c r="BC379" s="166"/>
      <c r="BD379" s="166"/>
      <c r="BE379" s="166"/>
      <c r="BF379" s="166"/>
      <c r="BG379" s="166"/>
      <c r="BH379" s="166"/>
      <c r="BI379" s="113"/>
      <c r="BJ379" s="113"/>
      <c r="BK379" s="113">
        <f>INDEX('Dist. Plant Gas Additions'!$F$7:$AE$91,MATCH($C379,'Dist. Plant Gas Additions'!$D$7:$D$91,0),MATCH(Calculation!$G379,'Dist. Plant Gas Additions'!$F$5:$AE$5,0))</f>
        <v>83445</v>
      </c>
      <c r="BL379" s="113">
        <f>INDEX('Gen. Plant Additions'!$F$7:$AE$91,MATCH($C379,'Gen. Plant Additions'!$D$7:$D$91,0),MATCH(Calculation!$G379,'Gen. Plant Additions'!$F$5:$AE$5,0))</f>
        <v>1849</v>
      </c>
      <c r="BM379" s="231">
        <f t="shared" ref="BM379:BM400" si="714">+(BW379/(BW379+BX379))</f>
        <v>0.96929649147225905</v>
      </c>
      <c r="BN379" s="61">
        <f t="shared" si="709"/>
        <v>1792.2292127322071</v>
      </c>
      <c r="BO379" s="113">
        <f>INDEX('Dist Plant Depreciation'!$E$7:$AD$94,MATCH($C379,'Dist Plant Depreciation'!$D$7:$D$94,0),MATCH(Calculation!$G379,'Dist Plant Depreciation'!$E$5:$AD$5,0))</f>
        <v>962316</v>
      </c>
      <c r="BP379" s="113">
        <f>INDEX('Gen. Plant Depreciation'!$E$7:$AD$94,MATCH($C379,'Gen. Plant Depreciation'!$D$7:$D$94,0),MATCH(Calculation!$G379,'Gen. Plant Depreciation'!$E$5:$AD$5,0))</f>
        <v>23036</v>
      </c>
      <c r="BQ379" s="113"/>
      <c r="BR379" s="113"/>
      <c r="BS379" s="113"/>
      <c r="BT379" s="113"/>
      <c r="BU379" s="113"/>
      <c r="BV379" s="113"/>
      <c r="BW379" s="113">
        <f>INDEX('Gross Dx Plant'!$E$7:$AD$91,MATCH($C379,'Gross Dx Plant'!$D$7:$D$91,0),MATCH(Calculation!$G379,'Gross Dx Plant'!$E$5:$AD$5,0))</f>
        <v>1650457</v>
      </c>
      <c r="BX379" s="113">
        <f>INDEX('Gross Gen Plant'!$E$7:$AD$91,MATCH($C379,'Gross Gen Plant'!$D$7:$D$91,0),MATCH(Calculation!$G379,'Gross Gen Plant'!$E$5:$AD$5,0))</f>
        <v>52280</v>
      </c>
      <c r="BY379" s="113">
        <f t="shared" si="623"/>
        <v>717385</v>
      </c>
      <c r="BZ379" s="113"/>
      <c r="CA379" s="116">
        <v>1999</v>
      </c>
      <c r="CB379" s="113"/>
      <c r="CC379" s="113"/>
      <c r="CD379" s="113"/>
      <c r="CE379" s="175"/>
      <c r="CF379" s="113">
        <f t="shared" ref="CF379:CF401" si="715">+BL379+BK379</f>
        <v>85294</v>
      </c>
      <c r="CG379" s="113">
        <f t="shared" ref="CG379:CG401" si="716">+CF379/$DE379</f>
        <v>254.36219241188465</v>
      </c>
      <c r="CH379" s="178">
        <v>0.99502487562189057</v>
      </c>
      <c r="CI379" s="61">
        <f>+CI378*CH379+CG379</f>
        <v>3742.1777622990085</v>
      </c>
      <c r="CJ379" s="114">
        <f t="shared" ref="CJ379:CJ400" si="717">LN(CI379/CI378)</f>
        <v>6.5404560792467717E-2</v>
      </c>
      <c r="CK379" s="114"/>
      <c r="CL379" s="169">
        <f t="shared" ref="CL379:CL402" si="718">+(CI378-CI379+CG379)/CI378</f>
        <v>4.9751243781094691E-3</v>
      </c>
      <c r="CM379" s="169"/>
      <c r="CN379" s="114">
        <f>VLOOKUP($H379,RoR!$E:$F,2,FALSE)</f>
        <v>7.0416666666666669E-2</v>
      </c>
      <c r="CO379" s="169">
        <v>1.4335631817396832E-2</v>
      </c>
      <c r="CP379" s="169">
        <f>+CN379-CO379</f>
        <v>5.6081034849269837E-2</v>
      </c>
      <c r="CQ379" s="169"/>
      <c r="CR379" s="169"/>
      <c r="CS379" s="179">
        <f t="shared" ref="CS379:CS402" si="719">1-CX379*CY379</f>
        <v>0.87050000000000005</v>
      </c>
      <c r="CT379" s="180">
        <f t="shared" ref="CT379:CT401" si="720">2/(DC379*39)</f>
        <v>0.72826581702321336</v>
      </c>
      <c r="CU379" s="180">
        <f t="shared" ref="CU379:CU401" si="721">+(DC379*40-(1+DC379))/(DC379*40)</f>
        <v>0.61997041420118348</v>
      </c>
      <c r="CV379" s="180">
        <f t="shared" ref="CV379:CV401" si="722">+(1-(1/(1+DC379)^40))</f>
        <v>0.93425155319585029</v>
      </c>
      <c r="CW379" s="180">
        <f t="shared" ref="CW379:CW401" si="723">+CV379*CU379*CT379</f>
        <v>0.42181762214141483</v>
      </c>
      <c r="CX379" s="181">
        <f>INDEX('State Tax Lookup'!$D$7:$Z$91,MATCH(Calculation!$C379,'State Tax Lookup'!$B$7:$B$91,0),MATCH($H379,'State Tax Lookup'!$D$6:$Z$6,0))</f>
        <v>0.35</v>
      </c>
      <c r="CY379" s="72">
        <v>0.37</v>
      </c>
      <c r="CZ379" s="70"/>
      <c r="DA379" s="70"/>
      <c r="DB379" s="69"/>
      <c r="DC379" s="111">
        <f>VLOOKUP($H379,RoR!$E:$F,2,FALSE)</f>
        <v>7.0416666666666669E-2</v>
      </c>
      <c r="DD379" s="216">
        <f>HLOOKUP($H379,'GDP-PI'!$D$8:$CQ$11,3,FALSE)</f>
        <v>1.4335631817396832E-2</v>
      </c>
      <c r="DE379" s="111">
        <f>VLOOKUP(H379,'HW Dx Data'!$E:$F,2,FALSE)</f>
        <v>335.32499146683239</v>
      </c>
      <c r="DF379" s="66"/>
      <c r="DG379" s="69"/>
      <c r="DH379" s="66">
        <f>HLOOKUP(H379,'GDP-PI'!$8:$9,2,FALSE)</f>
        <v>76.346000000000004</v>
      </c>
      <c r="DI379"/>
      <c r="DJ379" s="160">
        <v>9.3649579827502199E-3</v>
      </c>
      <c r="EB379"/>
    </row>
    <row r="380" spans="1:132" s="160" customFormat="1" ht="21">
      <c r="A380" s="160" t="s">
        <v>183</v>
      </c>
      <c r="B380" s="161" t="s">
        <v>183</v>
      </c>
      <c r="C380" s="161">
        <v>4057081</v>
      </c>
      <c r="D380" s="161" t="s">
        <v>184</v>
      </c>
      <c r="E380" s="161"/>
      <c r="F380" s="161"/>
      <c r="G380" s="161" t="s">
        <v>107</v>
      </c>
      <c r="H380" s="162">
        <v>2000</v>
      </c>
      <c r="I380" s="163"/>
      <c r="J380" s="159"/>
      <c r="K380" s="159"/>
      <c r="L380" s="159"/>
      <c r="M380" s="60"/>
      <c r="N380" s="152"/>
      <c r="O380" s="60"/>
      <c r="P380" s="60"/>
      <c r="Q380" s="159"/>
      <c r="R380" s="159"/>
      <c r="S380" s="159"/>
      <c r="T380" s="159"/>
      <c r="U380" s="159"/>
      <c r="V380" s="159"/>
      <c r="W380" s="159">
        <f t="shared" si="713"/>
        <v>0</v>
      </c>
      <c r="X380" s="163"/>
      <c r="Y380" s="167">
        <v>3992.1854995223921</v>
      </c>
      <c r="Z380" s="168">
        <v>6.4671093839332408E-2</v>
      </c>
      <c r="AA380" s="78"/>
      <c r="AB380" s="168"/>
      <c r="AC380" s="168"/>
      <c r="AD380" s="163">
        <f t="shared" si="705"/>
        <v>0</v>
      </c>
      <c r="AE380" s="168"/>
      <c r="AF380" s="163"/>
      <c r="AG380" s="163"/>
      <c r="AH380" s="163"/>
      <c r="AI380" s="163"/>
      <c r="AJ380" s="167"/>
      <c r="AK380" s="168"/>
      <c r="AL380" s="115"/>
      <c r="AM380" s="115"/>
      <c r="AN380" s="115"/>
      <c r="AO380" s="115"/>
      <c r="AP380" s="115"/>
      <c r="AQ380" s="168"/>
      <c r="AR380" s="79"/>
      <c r="AS380" s="115"/>
      <c r="AT380" s="115"/>
      <c r="AU380" s="115"/>
      <c r="AV380" s="113">
        <f>IFERROR(INDEX('Total Customers'!$F$7:$AB$91,MATCH($C380,'Total Customers'!$D$7:$D$91,0),MATCH($G380,'Total Customers'!$F$5:$AB$5,0)),"NA")</f>
        <v>1594484</v>
      </c>
      <c r="AW380" s="68">
        <f t="shared" si="619"/>
        <v>1.6932941335266745E-2</v>
      </c>
      <c r="AX380" s="114"/>
      <c r="AY380" s="114"/>
      <c r="AZ380" s="116"/>
      <c r="BA380" s="116"/>
      <c r="BB380" s="166"/>
      <c r="BC380" s="166"/>
      <c r="BD380" s="166"/>
      <c r="BE380" s="166"/>
      <c r="BF380" s="166"/>
      <c r="BG380" s="166"/>
      <c r="BH380" s="166"/>
      <c r="BI380" s="113"/>
      <c r="BJ380" s="113"/>
      <c r="BK380" s="113">
        <f>INDEX('Dist. Plant Gas Additions'!$F$7:$AE$91,MATCH($C380,'Dist. Plant Gas Additions'!$D$7:$D$91,0),MATCH(Calculation!$G380,'Dist. Plant Gas Additions'!$F$5:$AE$5,0))</f>
        <v>88307</v>
      </c>
      <c r="BL380" s="113">
        <f>INDEX('Gen. Plant Additions'!$F$7:$AE$91,MATCH($C380,'Gen. Plant Additions'!$D$7:$D$91,0),MATCH(Calculation!$G380,'Gen. Plant Additions'!$F$5:$AE$5,0))</f>
        <v>4994</v>
      </c>
      <c r="BM380" s="231">
        <f t="shared" si="714"/>
        <v>0.96374301335247736</v>
      </c>
      <c r="BN380" s="61">
        <f t="shared" si="709"/>
        <v>4812.9326086822721</v>
      </c>
      <c r="BO380" s="113">
        <f>INDEX('Dist Plant Depreciation'!$E$7:$AD$94,MATCH($C380,'Dist Plant Depreciation'!$D$7:$D$94,0),MATCH(Calculation!$G380,'Dist Plant Depreciation'!$E$5:$AD$5,0))</f>
        <v>1023095</v>
      </c>
      <c r="BP380" s="113">
        <f>INDEX('Gen. Plant Depreciation'!$E$7:$AD$94,MATCH($C380,'Gen. Plant Depreciation'!$D$7:$D$94,0),MATCH(Calculation!$G380,'Gen. Plant Depreciation'!$E$5:$AD$5,0))</f>
        <v>22487</v>
      </c>
      <c r="BQ380" s="113"/>
      <c r="BR380" s="113"/>
      <c r="BS380" s="113"/>
      <c r="BT380" s="113"/>
      <c r="BU380" s="113"/>
      <c r="BV380" s="113"/>
      <c r="BW380" s="113">
        <f>INDEX('Gross Dx Plant'!$E$7:$AD$91,MATCH($C380,'Gross Dx Plant'!$D$7:$D$91,0),MATCH(Calculation!$G380,'Gross Dx Plant'!$E$5:$AD$5,0))</f>
        <v>1722362</v>
      </c>
      <c r="BX380" s="113">
        <f>INDEX('Gross Gen Plant'!$E$7:$AD$91,MATCH($C380,'Gross Gen Plant'!$D$7:$D$91,0),MATCH(Calculation!$G380,'Gross Gen Plant'!$E$5:$AD$5,0))</f>
        <v>64797</v>
      </c>
      <c r="BY380" s="113">
        <f t="shared" si="623"/>
        <v>741577</v>
      </c>
      <c r="BZ380" s="113"/>
      <c r="CA380" s="116">
        <v>2000</v>
      </c>
      <c r="CB380" s="113"/>
      <c r="CC380" s="113"/>
      <c r="CD380" s="113"/>
      <c r="CE380" s="175"/>
      <c r="CF380" s="113">
        <f t="shared" si="715"/>
        <v>93301</v>
      </c>
      <c r="CG380" s="113">
        <f t="shared" si="716"/>
        <v>269.24075552168506</v>
      </c>
      <c r="CH380" s="178">
        <v>0.98989898989898994</v>
      </c>
      <c r="CI380" s="61">
        <f>+CI378*CH380+CG379*CH379+CG380</f>
        <v>3992.1854995223921</v>
      </c>
      <c r="CJ380" s="114">
        <f t="shared" si="717"/>
        <v>6.4671093839332408E-2</v>
      </c>
      <c r="CK380" s="114"/>
      <c r="CL380" s="169">
        <f t="shared" si="718"/>
        <v>5.1395255703955709E-3</v>
      </c>
      <c r="CM380" s="169"/>
      <c r="CN380" s="114">
        <f>VLOOKUP($H380,RoR!$E:$F,2,FALSE)</f>
        <v>7.6225000000000001E-2</v>
      </c>
      <c r="CO380" s="169">
        <v>2.2568307442433211E-2</v>
      </c>
      <c r="CP380" s="169">
        <f t="shared" ref="CP380:CP400" si="724">+CN380-CO380</f>
        <v>5.365669255756679E-2</v>
      </c>
      <c r="CQ380" s="169"/>
      <c r="CR380" s="169"/>
      <c r="CS380" s="179">
        <f t="shared" si="719"/>
        <v>0.87050000000000005</v>
      </c>
      <c r="CT380" s="180">
        <f t="shared" si="720"/>
        <v>0.67277207323124022</v>
      </c>
      <c r="CU380" s="180">
        <f t="shared" si="721"/>
        <v>0.6470236142997704</v>
      </c>
      <c r="CV380" s="180">
        <f t="shared" si="722"/>
        <v>0.94704866037543145</v>
      </c>
      <c r="CW380" s="180">
        <f t="shared" si="723"/>
        <v>0.41224973107878493</v>
      </c>
      <c r="CX380" s="181">
        <f>INDEX('State Tax Lookup'!$D$7:$Z$91,MATCH(Calculation!$C380,'State Tax Lookup'!$B$7:$B$91,0),MATCH($H380,'State Tax Lookup'!$D$6:$Z$6,0))</f>
        <v>0.35</v>
      </c>
      <c r="CY380" s="72">
        <v>0.37</v>
      </c>
      <c r="CZ380" s="70"/>
      <c r="DA380" s="70"/>
      <c r="DB380" s="69"/>
      <c r="DC380" s="111">
        <f>VLOOKUP($H380,RoR!$E:$F,2,FALSE)</f>
        <v>7.6225000000000001E-2</v>
      </c>
      <c r="DD380" s="216">
        <f>HLOOKUP($H380,'GDP-PI'!$D$8:$CQ$11,3,FALSE)</f>
        <v>2.2568307442433211E-2</v>
      </c>
      <c r="DE380" s="111">
        <f>VLOOKUP(H380,'HW Dx Data'!$E:$F,2,FALSE)</f>
        <v>346.53371782150339</v>
      </c>
      <c r="DF380" s="66"/>
      <c r="DG380" s="69"/>
      <c r="DH380" s="66">
        <f>HLOOKUP(H380,'GDP-PI'!$8:$9,2,FALSE)</f>
        <v>78.069000000000003</v>
      </c>
      <c r="DI380"/>
      <c r="DJ380" s="160">
        <v>2.2656063207879284E-2</v>
      </c>
      <c r="EB380"/>
    </row>
    <row r="381" spans="1:132" s="160" customFormat="1" ht="21">
      <c r="A381" s="160" t="s">
        <v>183</v>
      </c>
      <c r="B381" s="161" t="s">
        <v>183</v>
      </c>
      <c r="C381" s="161">
        <v>4057081</v>
      </c>
      <c r="D381" s="161" t="s">
        <v>184</v>
      </c>
      <c r="E381" s="161"/>
      <c r="F381" s="161"/>
      <c r="G381" s="161" t="s">
        <v>111</v>
      </c>
      <c r="H381" s="162">
        <v>2001</v>
      </c>
      <c r="I381" s="163"/>
      <c r="J381" s="159"/>
      <c r="K381" s="159"/>
      <c r="L381" s="159"/>
      <c r="M381" s="60"/>
      <c r="N381" s="152"/>
      <c r="O381" s="60"/>
      <c r="P381" s="60"/>
      <c r="Q381" s="159"/>
      <c r="R381" s="159"/>
      <c r="S381" s="159"/>
      <c r="T381" s="159"/>
      <c r="U381" s="159"/>
      <c r="V381" s="159"/>
      <c r="W381" s="159">
        <f t="shared" si="713"/>
        <v>48767.997961452245</v>
      </c>
      <c r="X381" s="163"/>
      <c r="Y381" s="167">
        <v>4247.9808137413247</v>
      </c>
      <c r="Z381" s="168">
        <v>6.2104942204349499E-2</v>
      </c>
      <c r="AA381" s="78"/>
      <c r="AB381" s="168"/>
      <c r="AC381" s="168"/>
      <c r="AD381" s="163">
        <f t="shared" si="705"/>
        <v>48767.997961452245</v>
      </c>
      <c r="AE381" s="168"/>
      <c r="AF381" s="163"/>
      <c r="AG381" s="163"/>
      <c r="AH381" s="163"/>
      <c r="AI381" s="163"/>
      <c r="AJ381" s="167"/>
      <c r="AK381" s="168"/>
      <c r="AL381" s="115"/>
      <c r="AM381" s="115"/>
      <c r="AN381" s="115"/>
      <c r="AO381" s="115"/>
      <c r="AP381" s="115"/>
      <c r="AQ381" s="168"/>
      <c r="AR381" s="79"/>
      <c r="AS381" s="115"/>
      <c r="AT381" s="115"/>
      <c r="AU381" s="115"/>
      <c r="AV381" s="113">
        <f>IFERROR(INDEX('Total Customers'!$F$7:$AB$91,MATCH($C381,'Total Customers'!$D$7:$D$91,0),MATCH($G381,'Total Customers'!$F$5:$AB$5,0)),"NA")</f>
        <v>1617294</v>
      </c>
      <c r="AW381" s="68">
        <f t="shared" si="619"/>
        <v>1.4204209325807803E-2</v>
      </c>
      <c r="AX381" s="114"/>
      <c r="AY381" s="114"/>
      <c r="AZ381" s="116"/>
      <c r="BA381" s="116"/>
      <c r="BB381" s="166"/>
      <c r="BC381" s="166"/>
      <c r="BD381" s="166"/>
      <c r="BE381" s="166"/>
      <c r="BF381" s="166"/>
      <c r="BG381" s="166"/>
      <c r="BH381" s="166"/>
      <c r="BI381" s="113"/>
      <c r="BJ381" s="113"/>
      <c r="BK381" s="113">
        <f>INDEX('Dist. Plant Gas Additions'!$F$7:$AE$91,MATCH($C381,'Dist. Plant Gas Additions'!$D$7:$D$91,0),MATCH(Calculation!$G381,'Dist. Plant Gas Additions'!$F$5:$AE$5,0))</f>
        <v>90232</v>
      </c>
      <c r="BL381" s="113">
        <f>INDEX('Gen. Plant Additions'!$F$7:$AE$91,MATCH($C381,'Gen. Plant Additions'!$D$7:$D$91,0),MATCH(Calculation!$G381,'Gen. Plant Additions'!$F$5:$AE$5,0))</f>
        <v>7185</v>
      </c>
      <c r="BM381" s="231">
        <f t="shared" si="714"/>
        <v>0.96745267637564192</v>
      </c>
      <c r="BN381" s="61">
        <f t="shared" si="709"/>
        <v>6951.1474797589872</v>
      </c>
      <c r="BO381" s="113">
        <f>INDEX('Dist Plant Depreciation'!$E$7:$AD$94,MATCH($C381,'Dist Plant Depreciation'!$D$7:$D$94,0),MATCH(Calculation!$G381,'Dist Plant Depreciation'!$E$5:$AD$5,0))</f>
        <v>1098892</v>
      </c>
      <c r="BP381" s="113">
        <f>INDEX('Gen. Plant Depreciation'!$E$7:$AD$94,MATCH($C381,'Gen. Plant Depreciation'!$D$7:$D$94,0),MATCH(Calculation!$G381,'Gen. Plant Depreciation'!$E$5:$AD$5,0))</f>
        <v>17836</v>
      </c>
      <c r="BQ381" s="113"/>
      <c r="BR381" s="113"/>
      <c r="BS381" s="113"/>
      <c r="BT381" s="113"/>
      <c r="BU381" s="113"/>
      <c r="BV381" s="113"/>
      <c r="BW381" s="113">
        <f>INDEX('Gross Dx Plant'!$E$7:$AD$91,MATCH($C381,'Gross Dx Plant'!$D$7:$D$91,0),MATCH(Calculation!$G381,'Gross Dx Plant'!$E$5:$AD$5,0))</f>
        <v>1806833</v>
      </c>
      <c r="BX381" s="113">
        <f>INDEX('Gross Gen Plant'!$E$7:$AD$91,MATCH($C381,'Gross Gen Plant'!$D$7:$D$91,0),MATCH(Calculation!$G381,'Gross Gen Plant'!$E$5:$AD$5,0))</f>
        <v>60786</v>
      </c>
      <c r="BY381" s="113">
        <f t="shared" si="623"/>
        <v>750891</v>
      </c>
      <c r="BZ381" s="113"/>
      <c r="CA381" s="116">
        <v>2001</v>
      </c>
      <c r="CB381" s="113"/>
      <c r="CC381" s="113"/>
      <c r="CD381" s="113"/>
      <c r="CE381" s="175"/>
      <c r="CF381" s="113">
        <f t="shared" si="715"/>
        <v>97417</v>
      </c>
      <c r="CG381" s="113">
        <f t="shared" si="716"/>
        <v>275.61952772662528</v>
      </c>
      <c r="CH381" s="178">
        <v>0.98461538461538467</v>
      </c>
      <c r="CI381" s="61">
        <f>+CI378*CH381+CG379*CH380+CG380*CH378+CG381</f>
        <v>4247.9808137413247</v>
      </c>
      <c r="CJ381" s="114">
        <f t="shared" si="717"/>
        <v>6.2104942204349499E-2</v>
      </c>
      <c r="CK381" s="114"/>
      <c r="CL381" s="169">
        <f t="shared" si="718"/>
        <v>4.9657545998462111E-3</v>
      </c>
      <c r="CM381" s="169">
        <f>+(CL381+CL380+CL379)/3</f>
        <v>5.026801516117084E-3</v>
      </c>
      <c r="CN381" s="114">
        <f>VLOOKUP($H381,RoR!$E:$F,2,FALSE)</f>
        <v>7.0824999999999999E-2</v>
      </c>
      <c r="CO381" s="169">
        <v>2.2454495382290052E-2</v>
      </c>
      <c r="CP381" s="169">
        <f t="shared" si="724"/>
        <v>4.8370504617709947E-2</v>
      </c>
      <c r="CQ381" s="169">
        <f>+$CP$2-CM381</f>
        <v>2.5875140092416541E-2</v>
      </c>
      <c r="CR381" s="169">
        <f>+((DE379/DE378-1)+(DE380/DE379-1)+(DE381/DE380-1))/3</f>
        <v>2.3947275901631187E-2</v>
      </c>
      <c r="CS381" s="179">
        <f t="shared" si="719"/>
        <v>0.87050000000000005</v>
      </c>
      <c r="CT381" s="180">
        <f t="shared" si="720"/>
        <v>0.72406708481540816</v>
      </c>
      <c r="CU381" s="180">
        <f t="shared" si="721"/>
        <v>0.62201729615248857</v>
      </c>
      <c r="CV381" s="180">
        <f t="shared" si="722"/>
        <v>0.9352469954311422</v>
      </c>
      <c r="CW381" s="180">
        <f t="shared" si="723"/>
        <v>0.42121864641655071</v>
      </c>
      <c r="CX381" s="181">
        <f>INDEX('State Tax Lookup'!$D$7:$Z$91,MATCH(Calculation!$C381,'State Tax Lookup'!$B$7:$B$91,0),MATCH($H381,'State Tax Lookup'!$D$6:$Z$6,0))</f>
        <v>0.35</v>
      </c>
      <c r="CY381" s="72">
        <v>0.37</v>
      </c>
      <c r="CZ381" s="70">
        <f t="shared" ref="CZ381:CZ402" si="725">+(DE381*CQ381-CR381)*CS381/(1-CX381)</f>
        <v>12.215864710516742</v>
      </c>
      <c r="DA381" s="70"/>
      <c r="DB381" s="69"/>
      <c r="DC381" s="111">
        <f>VLOOKUP($H381,RoR!$E:$F,2,FALSE)</f>
        <v>7.0824999999999999E-2</v>
      </c>
      <c r="DD381" s="216">
        <f>HLOOKUP($H381,'GDP-PI'!$D$8:$CQ$11,3,FALSE)</f>
        <v>2.2454495382290052E-2</v>
      </c>
      <c r="DE381" s="111">
        <f>VLOOKUP(H381,'HW Dx Data'!$E:$F,2,FALSE)</f>
        <v>353.44738017483138</v>
      </c>
      <c r="DF381" s="66"/>
      <c r="DG381" s="69"/>
      <c r="DH381" s="66">
        <f>HLOOKUP(H381,'GDP-PI'!$8:$9,2,FALSE)</f>
        <v>79.822000000000003</v>
      </c>
      <c r="DI381"/>
      <c r="DJ381" s="160">
        <v>3.4390332219296701E-3</v>
      </c>
      <c r="EB381"/>
    </row>
    <row r="382" spans="1:132" s="160" customFormat="1" ht="21">
      <c r="A382" s="160" t="s">
        <v>183</v>
      </c>
      <c r="B382" s="161" t="s">
        <v>183</v>
      </c>
      <c r="C382" s="161">
        <v>4057081</v>
      </c>
      <c r="D382" s="161" t="s">
        <v>184</v>
      </c>
      <c r="E382" s="161"/>
      <c r="F382" s="161"/>
      <c r="G382" s="161" t="s">
        <v>113</v>
      </c>
      <c r="H382" s="162">
        <v>2002</v>
      </c>
      <c r="I382" s="163"/>
      <c r="J382" s="159"/>
      <c r="K382" s="159"/>
      <c r="L382" s="159"/>
      <c r="M382" s="60"/>
      <c r="N382" s="152"/>
      <c r="O382" s="60"/>
      <c r="P382" s="60"/>
      <c r="Q382" s="159"/>
      <c r="R382" s="159"/>
      <c r="S382" s="159"/>
      <c r="T382" s="159"/>
      <c r="U382" s="159"/>
      <c r="V382" s="159"/>
      <c r="W382" s="159">
        <f t="shared" si="713"/>
        <v>52500.0091768696</v>
      </c>
      <c r="X382" s="163"/>
      <c r="Y382" s="167">
        <v>4537.2633292977207</v>
      </c>
      <c r="Z382" s="168">
        <v>6.588027200798971E-2</v>
      </c>
      <c r="AA382" s="78"/>
      <c r="AB382" s="168"/>
      <c r="AC382" s="168"/>
      <c r="AD382" s="163">
        <f t="shared" si="705"/>
        <v>52500.0091768696</v>
      </c>
      <c r="AE382" s="168"/>
      <c r="AF382" s="163"/>
      <c r="AG382" s="163"/>
      <c r="AH382" s="163"/>
      <c r="AI382" s="163"/>
      <c r="AJ382" s="167"/>
      <c r="AK382" s="168"/>
      <c r="AL382" s="115"/>
      <c r="AM382" s="115"/>
      <c r="AN382" s="115"/>
      <c r="AO382" s="115"/>
      <c r="AP382" s="115"/>
      <c r="AQ382" s="168"/>
      <c r="AR382" s="79"/>
      <c r="AS382" s="115"/>
      <c r="AT382" s="115"/>
      <c r="AU382" s="115"/>
      <c r="AV382" s="113">
        <f>IFERROR(INDEX('Total Customers'!$F$7:$AB$91,MATCH($C382,'Total Customers'!$D$7:$D$91,0),MATCH($G382,'Total Customers'!$F$5:$AB$5,0)),"NA")</f>
        <v>1652309</v>
      </c>
      <c r="AW382" s="68">
        <f t="shared" si="619"/>
        <v>2.1419321362840454E-2</v>
      </c>
      <c r="AX382" s="114"/>
      <c r="AY382" s="114"/>
      <c r="AZ382" s="116"/>
      <c r="BA382" s="116"/>
      <c r="BB382" s="166"/>
      <c r="BC382" s="166"/>
      <c r="BD382" s="166"/>
      <c r="BE382" s="166"/>
      <c r="BF382" s="166"/>
      <c r="BG382" s="166"/>
      <c r="BH382" s="166"/>
      <c r="BI382" s="113"/>
      <c r="BJ382" s="113"/>
      <c r="BK382" s="113">
        <f>INDEX('Dist. Plant Gas Additions'!$F$7:$AE$91,MATCH($C382,'Dist. Plant Gas Additions'!$D$7:$D$91,0),MATCH(Calculation!$G382,'Dist. Plant Gas Additions'!$F$5:$AE$5,0))</f>
        <v>97186</v>
      </c>
      <c r="BL382" s="113">
        <f>INDEX('Gen. Plant Additions'!$F$7:$AE$91,MATCH($C382,'Gen. Plant Additions'!$D$7:$D$91,0),MATCH(Calculation!$G382,'Gen. Plant Additions'!$F$5:$AE$5,0))</f>
        <v>16211</v>
      </c>
      <c r="BM382" s="231">
        <f t="shared" si="714"/>
        <v>0.96377009487165166</v>
      </c>
      <c r="BN382" s="61">
        <f t="shared" si="709"/>
        <v>15623.677007964345</v>
      </c>
      <c r="BO382" s="113">
        <f>INDEX('Dist Plant Depreciation'!$E$7:$AD$94,MATCH($C382,'Dist Plant Depreciation'!$D$7:$D$94,0),MATCH(Calculation!$G382,'Dist Plant Depreciation'!$E$5:$AD$5,0))</f>
        <v>1180196</v>
      </c>
      <c r="BP382" s="113">
        <f>INDEX('Gen. Plant Depreciation'!$E$7:$AD$94,MATCH($C382,'Gen. Plant Depreciation'!$D$7:$D$94,0),MATCH(Calculation!$G382,'Gen. Plant Depreciation'!$E$5:$AD$5,0))</f>
        <v>22042</v>
      </c>
      <c r="BQ382" s="113"/>
      <c r="BR382" s="113"/>
      <c r="BS382" s="113"/>
      <c r="BT382" s="113"/>
      <c r="BU382" s="113"/>
      <c r="BV382" s="113"/>
      <c r="BW382" s="113">
        <f>INDEX('Gross Dx Plant'!$E$7:$AD$91,MATCH($C382,'Gross Dx Plant'!$D$7:$D$91,0),MATCH(Calculation!$G382,'Gross Dx Plant'!$E$5:$AD$5,0))</f>
        <v>1898656</v>
      </c>
      <c r="BX382" s="113">
        <f>INDEX('Gross Gen Plant'!$E$7:$AD$91,MATCH($C382,'Gross Gen Plant'!$D$7:$D$91,0),MATCH(Calculation!$G382,'Gross Gen Plant'!$E$5:$AD$5,0))</f>
        <v>71374</v>
      </c>
      <c r="BY382" s="113">
        <f t="shared" si="623"/>
        <v>767792</v>
      </c>
      <c r="BZ382" s="113"/>
      <c r="CA382" s="116">
        <v>2002</v>
      </c>
      <c r="CB382" s="113"/>
      <c r="CC382" s="113"/>
      <c r="CD382" s="113"/>
      <c r="CE382" s="175"/>
      <c r="CF382" s="113">
        <f t="shared" si="715"/>
        <v>113397</v>
      </c>
      <c r="CG382" s="113">
        <f t="shared" si="716"/>
        <v>313.81645391672612</v>
      </c>
      <c r="CH382" s="178">
        <v>0.97916666666666663</v>
      </c>
      <c r="CI382" s="61">
        <f>+CI378*CH382+CG379*CH381+CG380*CH380+CG381*CH379+CG382</f>
        <v>4537.2633292977207</v>
      </c>
      <c r="CJ382" s="114">
        <f t="shared" si="717"/>
        <v>6.588027200798971E-2</v>
      </c>
      <c r="CK382" s="114"/>
      <c r="CL382" s="169">
        <f t="shared" si="718"/>
        <v>5.7754353035136116E-3</v>
      </c>
      <c r="CM382" s="169">
        <f t="shared" ref="CM382:CM402" si="726">+(CL382+CL381+CL380)/3</f>
        <v>5.2935718245851306E-3</v>
      </c>
      <c r="CN382" s="114">
        <f>VLOOKUP($H382,RoR!$E:$F,2,FALSE)</f>
        <v>6.4916666666666664E-2</v>
      </c>
      <c r="CO382" s="169">
        <v>1.5246423291824351E-2</v>
      </c>
      <c r="CP382" s="169">
        <f t="shared" si="724"/>
        <v>4.9670243374842313E-2</v>
      </c>
      <c r="CQ382" s="169">
        <f t="shared" ref="CQ382:CQ402" si="727">+$CP$2-CM382</f>
        <v>2.5608369783948495E-2</v>
      </c>
      <c r="CR382" s="169">
        <f t="shared" ref="CR382:CR402" si="728">+((DE380/DE379-1)+(DE381/DE380-1)+(DE382/DE381-1))/3</f>
        <v>2.5243621214759093E-2</v>
      </c>
      <c r="CS382" s="179">
        <f t="shared" si="719"/>
        <v>0.87050000000000005</v>
      </c>
      <c r="CT382" s="180">
        <f t="shared" si="720"/>
        <v>0.78996741384417901</v>
      </c>
      <c r="CU382" s="180">
        <f t="shared" si="721"/>
        <v>0.58989088575096271</v>
      </c>
      <c r="CV382" s="180">
        <f t="shared" si="722"/>
        <v>0.91920675783645744</v>
      </c>
      <c r="CW382" s="180">
        <f t="shared" si="723"/>
        <v>0.42834536472275586</v>
      </c>
      <c r="CX382" s="181">
        <f>INDEX('State Tax Lookup'!$D$7:$Z$91,MATCH(Calculation!$C382,'State Tax Lookup'!$B$7:$B$91,0),MATCH($H382,'State Tax Lookup'!$D$6:$Z$6,0))</f>
        <v>0.35</v>
      </c>
      <c r="CY382" s="72">
        <v>0.37</v>
      </c>
      <c r="CZ382" s="70">
        <f t="shared" si="725"/>
        <v>12.358815041499978</v>
      </c>
      <c r="DA382" s="70"/>
      <c r="DB382" s="69">
        <f>LN(CZ382/CZ381)</f>
        <v>1.1634083927479494E-2</v>
      </c>
      <c r="DC382" s="111">
        <f>VLOOKUP($H382,RoR!$E:$F,2,FALSE)</f>
        <v>6.4916666666666664E-2</v>
      </c>
      <c r="DD382" s="216">
        <f>HLOOKUP($H382,'GDP-PI'!$D$8:$CQ$11,3,FALSE)</f>
        <v>1.5246423291824351E-2</v>
      </c>
      <c r="DE382" s="111">
        <f>VLOOKUP(H382,'HW Dx Data'!$E:$F,2,FALSE)</f>
        <v>361.34816573413599</v>
      </c>
      <c r="DF382" s="66"/>
      <c r="DG382" s="69"/>
      <c r="DH382" s="66">
        <f>HLOOKUP(H382,'GDP-PI'!$8:$9,2,FALSE)</f>
        <v>81.039000000000001</v>
      </c>
      <c r="DI382" s="69">
        <f>LN(DH382/DH381)</f>
        <v>1.513136459537477E-2</v>
      </c>
      <c r="DJ382" s="160">
        <v>8.1307452597312275E-5</v>
      </c>
      <c r="EB382"/>
    </row>
    <row r="383" spans="1:132" s="160" customFormat="1" ht="21">
      <c r="A383" s="160" t="s">
        <v>183</v>
      </c>
      <c r="B383" s="161" t="s">
        <v>183</v>
      </c>
      <c r="C383" s="161">
        <v>4057081</v>
      </c>
      <c r="D383" s="161" t="s">
        <v>184</v>
      </c>
      <c r="E383" s="161"/>
      <c r="F383" s="161"/>
      <c r="G383" s="161" t="s">
        <v>114</v>
      </c>
      <c r="H383" s="162">
        <v>2003</v>
      </c>
      <c r="I383" s="163"/>
      <c r="J383" s="159"/>
      <c r="K383" s="159"/>
      <c r="L383" s="159"/>
      <c r="M383" s="76"/>
      <c r="N383" s="152"/>
      <c r="O383" s="76"/>
      <c r="P383" s="76"/>
      <c r="Q383" s="159"/>
      <c r="R383" s="159"/>
      <c r="S383" s="159"/>
      <c r="T383" s="159"/>
      <c r="U383" s="159"/>
      <c r="V383" s="159"/>
      <c r="W383" s="159">
        <f t="shared" si="713"/>
        <v>56968.189268609356</v>
      </c>
      <c r="X383" s="163"/>
      <c r="Y383" s="167">
        <v>4755.079639691121</v>
      </c>
      <c r="Z383" s="168">
        <v>4.6889405079540647E-2</v>
      </c>
      <c r="AA383" s="78"/>
      <c r="AB383" s="168"/>
      <c r="AC383" s="168"/>
      <c r="AD383" s="163">
        <f t="shared" si="705"/>
        <v>56968.189268609356</v>
      </c>
      <c r="AE383" s="168"/>
      <c r="AF383" s="163"/>
      <c r="AG383" s="163"/>
      <c r="AH383" s="163"/>
      <c r="AI383" s="163"/>
      <c r="AJ383" s="167"/>
      <c r="AK383" s="168"/>
      <c r="AL383" s="115"/>
      <c r="AM383" s="115"/>
      <c r="AN383" s="115"/>
      <c r="AO383" s="115"/>
      <c r="AP383" s="115"/>
      <c r="AQ383" s="168"/>
      <c r="AR383" s="79"/>
      <c r="AS383" s="115"/>
      <c r="AT383" s="115"/>
      <c r="AU383" s="115"/>
      <c r="AV383" s="113">
        <f>IFERROR(INDEX('Total Customers'!$F$7:$AB$91,MATCH($C383,'Total Customers'!$D$7:$D$91,0),MATCH($G383,'Total Customers'!$F$5:$AB$5,0)),"NA")</f>
        <v>1670989</v>
      </c>
      <c r="AW383" s="68">
        <f t="shared" si="619"/>
        <v>1.1241963094382976E-2</v>
      </c>
      <c r="AX383" s="114"/>
      <c r="AY383" s="114"/>
      <c r="AZ383" s="116"/>
      <c r="BA383" s="116"/>
      <c r="BB383" s="166"/>
      <c r="BC383" s="166"/>
      <c r="BD383" s="166"/>
      <c r="BE383" s="166"/>
      <c r="BF383" s="166"/>
      <c r="BG383" s="166"/>
      <c r="BH383" s="166"/>
      <c r="BI383" s="113"/>
      <c r="BJ383" s="113"/>
      <c r="BK383" s="113">
        <f>INDEX('Dist. Plant Gas Additions'!$F$7:$AE$91,MATCH($C383,'Dist. Plant Gas Additions'!$D$7:$D$91,0),MATCH(Calculation!$G383,'Dist. Plant Gas Additions'!$F$5:$AE$5,0))</f>
        <v>83974</v>
      </c>
      <c r="BL383" s="113">
        <f>INDEX('Gen. Plant Additions'!$F$7:$AE$91,MATCH($C383,'Gen. Plant Additions'!$D$7:$D$91,0),MATCH(Calculation!$G383,'Gen. Plant Additions'!$F$5:$AE$5,0))</f>
        <v>5862</v>
      </c>
      <c r="BM383" s="231">
        <f t="shared" si="714"/>
        <v>0.96535619405690232</v>
      </c>
      <c r="BN383" s="61">
        <f t="shared" si="709"/>
        <v>5658.9180095615611</v>
      </c>
      <c r="BO383" s="113">
        <f>INDEX('Dist Plant Depreciation'!$E$7:$AD$94,MATCH($C383,'Dist Plant Depreciation'!$D$7:$D$94,0),MATCH(Calculation!$G383,'Dist Plant Depreciation'!$E$5:$AD$5,0))</f>
        <v>1263590</v>
      </c>
      <c r="BP383" s="113">
        <f>INDEX('Gen. Plant Depreciation'!$E$7:$AD$94,MATCH($C383,'Gen. Plant Depreciation'!$D$7:$D$94,0),MATCH(Calculation!$G383,'Gen. Plant Depreciation'!$E$5:$AD$5,0))</f>
        <v>24418</v>
      </c>
      <c r="BQ383" s="113"/>
      <c r="BR383" s="113"/>
      <c r="BS383" s="113"/>
      <c r="BT383" s="113"/>
      <c r="BU383" s="113"/>
      <c r="BV383" s="113"/>
      <c r="BW383" s="113">
        <f>INDEX('Gross Dx Plant'!$E$7:$AD$91,MATCH($C383,'Gross Dx Plant'!$D$7:$D$91,0),MATCH(Calculation!$G383,'Gross Dx Plant'!$E$5:$AD$5,0))</f>
        <v>1976032</v>
      </c>
      <c r="BX383" s="113">
        <f>INDEX('Gross Gen Plant'!$E$7:$AD$91,MATCH($C383,'Gross Gen Plant'!$D$7:$D$91,0),MATCH(Calculation!$G383,'Gross Gen Plant'!$E$5:$AD$5,0))</f>
        <v>70914</v>
      </c>
      <c r="BY383" s="113">
        <f t="shared" si="623"/>
        <v>758938</v>
      </c>
      <c r="BZ383" s="113"/>
      <c r="CA383" s="116">
        <v>2003</v>
      </c>
      <c r="CB383" s="113"/>
      <c r="CC383" s="113"/>
      <c r="CD383" s="113"/>
      <c r="CE383" s="175"/>
      <c r="CF383" s="113">
        <f t="shared" si="715"/>
        <v>89836</v>
      </c>
      <c r="CG383" s="113">
        <f t="shared" si="716"/>
        <v>243.30435615032874</v>
      </c>
      <c r="CH383" s="178">
        <v>0.97354497354497349</v>
      </c>
      <c r="CI383" s="61">
        <f>+CI378*CH383+CG379*CH382+CG380*CH381+CG381*CH380+CG382*CH379+CG383</f>
        <v>4755.079639691121</v>
      </c>
      <c r="CJ383" s="114">
        <f t="shared" si="717"/>
        <v>4.6889405079540647E-2</v>
      </c>
      <c r="CK383" s="114"/>
      <c r="CL383" s="169">
        <f t="shared" si="718"/>
        <v>5.6174931687012139E-3</v>
      </c>
      <c r="CM383" s="169">
        <f t="shared" si="726"/>
        <v>5.4528943573536786E-3</v>
      </c>
      <c r="CN383" s="114">
        <f>VLOOKUP($H383,RoR!$E:$F,2,FALSE)</f>
        <v>5.6666666666666671E-2</v>
      </c>
      <c r="CO383" s="169">
        <v>1.8855119140166909E-2</v>
      </c>
      <c r="CP383" s="169">
        <f t="shared" si="724"/>
        <v>3.7811547526499761E-2</v>
      </c>
      <c r="CQ383" s="169">
        <f t="shared" si="727"/>
        <v>2.5449047251179947E-2</v>
      </c>
      <c r="CR383" s="169">
        <f t="shared" si="728"/>
        <v>2.1375012817671957E-2</v>
      </c>
      <c r="CS383" s="179">
        <f t="shared" si="719"/>
        <v>0.87050000000000005</v>
      </c>
      <c r="CT383" s="180">
        <f t="shared" si="720"/>
        <v>0.90497737556561086</v>
      </c>
      <c r="CU383" s="180">
        <f t="shared" si="721"/>
        <v>0.5338235294117647</v>
      </c>
      <c r="CV383" s="180">
        <f t="shared" si="722"/>
        <v>0.88972433127405692</v>
      </c>
      <c r="CW383" s="180">
        <f t="shared" si="723"/>
        <v>0.42982423775949252</v>
      </c>
      <c r="CX383" s="181">
        <f>INDEX('State Tax Lookup'!$D$7:$Z$91,MATCH(Calculation!$C383,'State Tax Lookup'!$B$7:$B$91,0),MATCH($H383,'State Tax Lookup'!$D$6:$Z$6,0))</f>
        <v>0.35</v>
      </c>
      <c r="CY383" s="72">
        <v>0.37</v>
      </c>
      <c r="CZ383" s="70">
        <f t="shared" si="725"/>
        <v>12.555627728449897</v>
      </c>
      <c r="DA383" s="70"/>
      <c r="DB383" s="69">
        <f t="shared" ref="DB383:DB402" si="729">LN(CZ383/CZ382)</f>
        <v>1.5799412638342825E-2</v>
      </c>
      <c r="DC383" s="111">
        <f>VLOOKUP($H383,RoR!$E:$F,2,FALSE)</f>
        <v>5.6666666666666671E-2</v>
      </c>
      <c r="DD383" s="216">
        <f>HLOOKUP($H383,'GDP-PI'!$D$8:$CQ$11,3,FALSE)</f>
        <v>1.8855119140166909E-2</v>
      </c>
      <c r="DE383" s="111">
        <f>VLOOKUP(H383,'HW Dx Data'!$E:$F,2,FALSE)</f>
        <v>369.23301095560191</v>
      </c>
      <c r="DF383" s="66"/>
      <c r="DG383" s="69"/>
      <c r="DH383" s="66">
        <f>HLOOKUP(H383,'GDP-PI'!$8:$9,2,FALSE)</f>
        <v>82.566999999999993</v>
      </c>
      <c r="DI383" s="69">
        <f t="shared" ref="DI383:DI402" si="730">LN(DH383/DH382)</f>
        <v>1.8679564681853753E-2</v>
      </c>
      <c r="DJ383" s="160">
        <v>5.2482057898802836E-2</v>
      </c>
      <c r="EB383"/>
    </row>
    <row r="384" spans="1:132" s="160" customFormat="1" ht="21">
      <c r="A384" s="160" t="s">
        <v>183</v>
      </c>
      <c r="B384" s="161" t="s">
        <v>183</v>
      </c>
      <c r="C384" s="161">
        <v>4057081</v>
      </c>
      <c r="D384" s="161" t="s">
        <v>184</v>
      </c>
      <c r="E384" s="161"/>
      <c r="F384" s="161"/>
      <c r="G384" s="161" t="s">
        <v>115</v>
      </c>
      <c r="H384" s="162">
        <v>2004</v>
      </c>
      <c r="I384" s="163"/>
      <c r="J384" s="159">
        <f>IFERROR(INDEX('Labor Expenditures'!$F$7:$X$91,MATCH($C384,'Labor Expenditures'!$D$7:$D$91,0),MATCH($G384,'Labor Expenditures'!$F$5:$X$5,0)),"NA")</f>
        <v>91667.35283122379</v>
      </c>
      <c r="K384" s="159">
        <f t="shared" ref="K384:K402" si="731">+J384/DF384</f>
        <v>971.56706763353259</v>
      </c>
      <c r="L384" s="165"/>
      <c r="M384" s="76"/>
      <c r="N384" s="152"/>
      <c r="O384" s="76"/>
      <c r="P384" s="76"/>
      <c r="Q384" s="159">
        <f>IFERROR(INDEX('Non-Labor Expenditures'!$F$7:$AB$91,MATCH($C384,'Non-Labor Expenditures'!$D$7:$D$91,0),MATCH($G384,'Non-Labor Expenditures'!$F$5:$AB$5,0)),"NA")</f>
        <v>132751.44799944502</v>
      </c>
      <c r="R384" s="159">
        <f t="shared" ref="R384:R402" si="732">+Q384/DH384</f>
        <v>1565.8714289018969</v>
      </c>
      <c r="S384" s="159"/>
      <c r="T384" s="159"/>
      <c r="U384" s="159"/>
      <c r="V384" s="159"/>
      <c r="W384" s="159">
        <f t="shared" si="713"/>
        <v>66159.286329739683</v>
      </c>
      <c r="X384" s="163"/>
      <c r="Y384" s="167">
        <v>4942.8295628175338</v>
      </c>
      <c r="Z384" s="168">
        <v>3.8724508738266376E-2</v>
      </c>
      <c r="AA384" s="76">
        <f t="shared" ref="AA384:AA402" si="733">+Z384*$AR384</f>
        <v>0</v>
      </c>
      <c r="AB384" s="168"/>
      <c r="AC384" s="168"/>
      <c r="AD384" s="163">
        <f t="shared" si="705"/>
        <v>290578.0871604085</v>
      </c>
      <c r="AE384" s="168"/>
      <c r="AF384" s="163"/>
      <c r="AG384" s="163"/>
      <c r="AH384" s="163"/>
      <c r="AI384" s="163"/>
      <c r="AJ384" s="167"/>
      <c r="AK384" s="168"/>
      <c r="AL384" s="115">
        <f t="shared" ref="AL384:AL402" si="734">+J384/AD384</f>
        <v>0.31546546997750885</v>
      </c>
      <c r="AM384" s="115">
        <f t="shared" ref="AM384:AM402" si="735">+Q384/AD384</f>
        <v>0.456852921349716</v>
      </c>
      <c r="AN384" s="115">
        <f t="shared" ref="AN384:AN402" si="736">+W384/AD384</f>
        <v>0.22768160867277518</v>
      </c>
      <c r="AO384" s="115"/>
      <c r="AP384" s="115"/>
      <c r="AQ384" s="168"/>
      <c r="AR384" s="79"/>
      <c r="AS384" s="115"/>
      <c r="AT384" s="115"/>
      <c r="AU384" s="115"/>
      <c r="AV384" s="113">
        <f>IFERROR(INDEX('Total Customers'!$F$7:$AB$91,MATCH($C384,'Total Customers'!$D$7:$D$91,0),MATCH($G384,'Total Customers'!$F$5:$AB$5,0)),"NA")</f>
        <v>1690874</v>
      </c>
      <c r="AW384" s="68">
        <f t="shared" si="619"/>
        <v>1.1829888310183853E-2</v>
      </c>
      <c r="AX384" s="114"/>
      <c r="AY384" s="114"/>
      <c r="AZ384" s="116"/>
      <c r="BA384" s="116"/>
      <c r="BB384" s="166"/>
      <c r="BC384" s="166"/>
      <c r="BD384" s="166"/>
      <c r="BE384" s="166"/>
      <c r="BF384" s="166"/>
      <c r="BG384" s="166"/>
      <c r="BH384" s="166"/>
      <c r="BI384" s="113"/>
      <c r="BJ384" s="113"/>
      <c r="BK384" s="113">
        <f>INDEX('Dist. Plant Gas Additions'!$F$7:$AE$91,MATCH($C384,'Dist. Plant Gas Additions'!$D$7:$D$91,0),MATCH(Calculation!$G384,'Dist. Plant Gas Additions'!$F$5:$AE$5,0))</f>
        <v>88031</v>
      </c>
      <c r="BL384" s="113">
        <f>INDEX('Gen. Plant Additions'!$F$7:$AE$91,MATCH($C384,'Gen. Plant Additions'!$D$7:$D$91,0),MATCH(Calculation!$G384,'Gen. Plant Additions'!$F$5:$AE$5,0))</f>
        <v>1279</v>
      </c>
      <c r="BM384" s="231">
        <f t="shared" si="714"/>
        <v>0.9744866222122206</v>
      </c>
      <c r="BN384" s="61">
        <f t="shared" si="709"/>
        <v>1246.3683898094303</v>
      </c>
      <c r="BO384" s="113">
        <f>INDEX('Dist Plant Depreciation'!$E$7:$AD$94,MATCH($C384,'Dist Plant Depreciation'!$D$7:$D$94,0),MATCH(Calculation!$G384,'Dist Plant Depreciation'!$E$5:$AD$5,0))</f>
        <v>1328511</v>
      </c>
      <c r="BP384" s="113">
        <f>INDEX('Gen. Plant Depreciation'!$E$7:$AD$94,MATCH($C384,'Gen. Plant Depreciation'!$D$7:$D$94,0),MATCH(Calculation!$G384,'Gen. Plant Depreciation'!$E$5:$AD$5,0))</f>
        <v>24724</v>
      </c>
      <c r="BQ384" s="113"/>
      <c r="BR384" s="113"/>
      <c r="BS384" s="113"/>
      <c r="BT384" s="113"/>
      <c r="BU384" s="113"/>
      <c r="BV384" s="113"/>
      <c r="BW384" s="113">
        <f>INDEX('Gross Dx Plant'!$E$7:$AD$91,MATCH($C384,'Gross Dx Plant'!$D$7:$D$91,0),MATCH(Calculation!$G384,'Gross Dx Plant'!$E$5:$AD$5,0))</f>
        <v>2056922</v>
      </c>
      <c r="BX384" s="113">
        <f>INDEX('Gross Gen Plant'!$E$7:$AD$91,MATCH($C384,'Gross Gen Plant'!$D$7:$D$91,0),MATCH(Calculation!$G384,'Gross Gen Plant'!$E$5:$AD$5,0))</f>
        <v>53853</v>
      </c>
      <c r="BY384" s="113">
        <f t="shared" si="623"/>
        <v>757540</v>
      </c>
      <c r="BZ384" s="113"/>
      <c r="CA384" s="116">
        <v>2004</v>
      </c>
      <c r="CB384" s="113"/>
      <c r="CC384" s="113"/>
      <c r="CD384" s="113"/>
      <c r="CE384" s="175"/>
      <c r="CF384" s="113">
        <f t="shared" si="715"/>
        <v>89310</v>
      </c>
      <c r="CG384" s="113">
        <f t="shared" si="716"/>
        <v>215.26333389301055</v>
      </c>
      <c r="CH384" s="178">
        <v>0.967741935483871</v>
      </c>
      <c r="CI384" s="61">
        <f>+CI378*CH384+CG379*CH383+CG380*CH382+CG381*CH381+CG382*CH380+CG383*CH379+CG384</f>
        <v>4942.8295628175338</v>
      </c>
      <c r="CJ384" s="114">
        <f t="shared" si="717"/>
        <v>3.8724508738266376E-2</v>
      </c>
      <c r="CK384" s="114"/>
      <c r="CL384" s="169">
        <f t="shared" si="718"/>
        <v>5.7861093507121505E-3</v>
      </c>
      <c r="CM384" s="169">
        <f t="shared" si="726"/>
        <v>5.7263459409756592E-3</v>
      </c>
      <c r="CN384" s="114">
        <f>VLOOKUP($H384,RoR!$E:$F,2,FALSE)</f>
        <v>5.6283333333333331E-2</v>
      </c>
      <c r="CO384" s="169">
        <v>2.6778252812867276E-2</v>
      </c>
      <c r="CP384" s="169">
        <f t="shared" si="724"/>
        <v>2.9505080520466055E-2</v>
      </c>
      <c r="CQ384" s="169">
        <f t="shared" si="727"/>
        <v>2.5175595667557966E-2</v>
      </c>
      <c r="CR384" s="169">
        <f t="shared" si="728"/>
        <v>5.5940039414565046E-2</v>
      </c>
      <c r="CS384" s="179">
        <f t="shared" si="719"/>
        <v>0.87050000000000005</v>
      </c>
      <c r="CT384" s="180">
        <f t="shared" si="720"/>
        <v>0.91114097628755619</v>
      </c>
      <c r="CU384" s="180">
        <f t="shared" si="721"/>
        <v>0.53081877405981637</v>
      </c>
      <c r="CV384" s="180">
        <f t="shared" si="722"/>
        <v>0.88811215519385678</v>
      </c>
      <c r="CW384" s="180">
        <f t="shared" si="723"/>
        <v>0.42953609753547711</v>
      </c>
      <c r="CX384" s="181">
        <f>INDEX('State Tax Lookup'!$D$7:$Z$91,MATCH(Calculation!$C384,'State Tax Lookup'!$B$7:$B$91,0),MATCH($H384,'State Tax Lookup'!$D$6:$Z$6,0))</f>
        <v>0.35</v>
      </c>
      <c r="CY384" s="72">
        <v>0.37</v>
      </c>
      <c r="CZ384" s="70">
        <f t="shared" si="725"/>
        <v>13.913391855207127</v>
      </c>
      <c r="DA384" s="70"/>
      <c r="DB384" s="69">
        <f t="shared" si="729"/>
        <v>0.10268282950092944</v>
      </c>
      <c r="DC384" s="111">
        <f>VLOOKUP($H384,RoR!$E:$F,2,FALSE)</f>
        <v>5.6283333333333331E-2</v>
      </c>
      <c r="DD384" s="216">
        <f>HLOOKUP($H384,'GDP-PI'!$D$8:$CQ$11,3,FALSE)</f>
        <v>2.6778252812867276E-2</v>
      </c>
      <c r="DE384" s="111">
        <f>VLOOKUP(H384,'HW Dx Data'!$E:$F,2,FALSE)</f>
        <v>414.88719135228365</v>
      </c>
      <c r="DF384" s="72">
        <f>VLOOKUP(G384,EG$8:EH$27,2,FALSE)</f>
        <v>94.35</v>
      </c>
      <c r="DG384" s="69"/>
      <c r="DH384" s="66">
        <f>HLOOKUP(H384,'GDP-PI'!$8:$9,2,FALSE)</f>
        <v>84.778000000000006</v>
      </c>
      <c r="DI384" s="69">
        <f t="shared" si="730"/>
        <v>2.6425990216022755E-2</v>
      </c>
      <c r="DJ384" s="160">
        <v>7.3928096917723254E-3</v>
      </c>
      <c r="EB384"/>
    </row>
    <row r="385" spans="1:132" s="160" customFormat="1" ht="21">
      <c r="A385" s="160" t="s">
        <v>183</v>
      </c>
      <c r="B385" s="161" t="s">
        <v>183</v>
      </c>
      <c r="C385" s="161">
        <v>4057081</v>
      </c>
      <c r="D385" s="161" t="s">
        <v>184</v>
      </c>
      <c r="E385" s="161"/>
      <c r="F385" s="161"/>
      <c r="G385" s="161" t="s">
        <v>116</v>
      </c>
      <c r="H385" s="162">
        <v>2005</v>
      </c>
      <c r="I385" s="163"/>
      <c r="J385" s="159">
        <f>IFERROR(INDEX('Labor Expenditures'!$F$7:$X$91,MATCH($C385,'Labor Expenditures'!$D$7:$D$91,0),MATCH($G385,'Labor Expenditures'!$F$5:$X$5,0)),"NA")</f>
        <v>105575.7339739138</v>
      </c>
      <c r="K385" s="159">
        <f t="shared" si="731"/>
        <v>1064.0033658242762</v>
      </c>
      <c r="L385" s="165">
        <f t="shared" ref="L385:L401" si="737">LN(K385/K384)</f>
        <v>9.088353169571084E-2</v>
      </c>
      <c r="M385" s="76"/>
      <c r="N385" s="62">
        <v>100</v>
      </c>
      <c r="O385" s="77"/>
      <c r="P385" s="77"/>
      <c r="Q385" s="159">
        <f>IFERROR(INDEX('Non-Labor Expenditures'!$F$7:$AB$91,MATCH($C385,'Non-Labor Expenditures'!$D$7:$D$91,0),MATCH($G385,'Non-Labor Expenditures'!$F$5:$AB$5,0)),"NA")</f>
        <v>152893.38162132844</v>
      </c>
      <c r="R385" s="159">
        <f t="shared" si="732"/>
        <v>1749.2120953851345</v>
      </c>
      <c r="S385" s="165">
        <f>LN(R385/R384)</f>
        <v>0.11072296273954714</v>
      </c>
      <c r="T385" s="165"/>
      <c r="U385" s="165"/>
      <c r="V385" s="165"/>
      <c r="W385" s="159">
        <f t="shared" si="713"/>
        <v>77389.644463696735</v>
      </c>
      <c r="X385" s="163"/>
      <c r="Y385" s="167">
        <v>5114.7434088698374</v>
      </c>
      <c r="Z385" s="168">
        <v>3.4189280485488617E-2</v>
      </c>
      <c r="AA385" s="76">
        <f t="shared" si="733"/>
        <v>0</v>
      </c>
      <c r="AB385" s="168"/>
      <c r="AC385" s="168"/>
      <c r="AD385" s="163">
        <f t="shared" si="705"/>
        <v>335858.76005893899</v>
      </c>
      <c r="AE385" s="168">
        <f>LN(AD385/AD384)</f>
        <v>0.14481837183240362</v>
      </c>
      <c r="AF385" s="163"/>
      <c r="AG385" s="163"/>
      <c r="AH385" s="163"/>
      <c r="AI385" s="163"/>
      <c r="AJ385" s="116"/>
      <c r="AK385" s="114"/>
      <c r="AL385" s="115">
        <f t="shared" si="734"/>
        <v>0.31434563134630339</v>
      </c>
      <c r="AM385" s="115">
        <f t="shared" si="735"/>
        <v>0.45523118585472527</v>
      </c>
      <c r="AN385" s="115">
        <f t="shared" si="736"/>
        <v>0.23042318279897128</v>
      </c>
      <c r="AO385" s="115">
        <f t="shared" ref="AO385:AO401" si="738">+(((AL385+AL384)/2)*L385+((AM384+AM385)/2)*S385+((AN384+AN385)/2)*Z385)</f>
        <v>8.6945192507088764E-2</v>
      </c>
      <c r="AP385" s="166">
        <v>100</v>
      </c>
      <c r="AQ385" s="168"/>
      <c r="AR385" s="16"/>
      <c r="AS385" s="115"/>
      <c r="AT385" s="115"/>
      <c r="AU385" s="115"/>
      <c r="AV385" s="113">
        <f>IFERROR(INDEX('Total Customers'!$F$7:$AB$91,MATCH($C385,'Total Customers'!$D$7:$D$91,0),MATCH($G385,'Total Customers'!$F$5:$AB$5,0)),"NA")</f>
        <v>1696524</v>
      </c>
      <c r="AW385" s="68">
        <f t="shared" si="619"/>
        <v>3.3358968975777292E-3</v>
      </c>
      <c r="AX385" s="114"/>
      <c r="AY385" s="114"/>
      <c r="AZ385" s="116"/>
      <c r="BA385" s="116"/>
      <c r="BB385" s="166"/>
      <c r="BC385" s="166"/>
      <c r="BD385" s="166"/>
      <c r="BE385" s="166"/>
      <c r="BF385" s="166"/>
      <c r="BG385" s="166"/>
      <c r="BH385" s="166"/>
      <c r="BI385" s="113"/>
      <c r="BJ385" s="113"/>
      <c r="BK385" s="113">
        <f>INDEX('Dist. Plant Gas Additions'!$F$7:$AE$91,MATCH($C385,'Dist. Plant Gas Additions'!$D$7:$D$91,0),MATCH(Calculation!$G385,'Dist. Plant Gas Additions'!$F$5:$AE$5,0))</f>
        <v>91333</v>
      </c>
      <c r="BL385" s="113">
        <f>INDEX('Gen. Plant Additions'!$F$7:$AE$91,MATCH($C385,'Gen. Plant Additions'!$D$7:$D$91,0),MATCH(Calculation!$G385,'Gen. Plant Additions'!$F$5:$AE$5,0))</f>
        <v>3160</v>
      </c>
      <c r="BM385" s="231">
        <f t="shared" si="714"/>
        <v>0.97436378301709869</v>
      </c>
      <c r="BN385" s="61">
        <f t="shared" si="709"/>
        <v>3078.9895543340317</v>
      </c>
      <c r="BO385" s="113">
        <f>INDEX('Dist Plant Depreciation'!$E$7:$AD$94,MATCH($C385,'Dist Plant Depreciation'!$D$7:$D$94,0),MATCH(Calculation!$G385,'Dist Plant Depreciation'!$E$5:$AD$5,0))</f>
        <v>1397984</v>
      </c>
      <c r="BP385" s="113">
        <f>INDEX('Gen. Plant Depreciation'!$E$7:$AD$94,MATCH($C385,'Gen. Plant Depreciation'!$D$7:$D$94,0),MATCH(Calculation!$G385,'Gen. Plant Depreciation'!$E$5:$AD$5,0))</f>
        <v>26737</v>
      </c>
      <c r="BQ385" s="113"/>
      <c r="BR385" s="113"/>
      <c r="BS385" s="113"/>
      <c r="BT385" s="113"/>
      <c r="BU385" s="113"/>
      <c r="BV385" s="113"/>
      <c r="BW385" s="113">
        <f>INDEX('Gross Dx Plant'!$E$7:$AD$91,MATCH($C385,'Gross Dx Plant'!$D$7:$D$91,0),MATCH(Calculation!$G385,'Gross Dx Plant'!$E$5:$AD$5,0))</f>
        <v>2140572</v>
      </c>
      <c r="BX385" s="113">
        <f>INDEX('Gross Gen Plant'!$E$7:$AD$91,MATCH($C385,'Gross Gen Plant'!$D$7:$D$91,0),MATCH(Calculation!$G385,'Gross Gen Plant'!$E$5:$AD$5,0))</f>
        <v>56320</v>
      </c>
      <c r="BY385" s="113">
        <f t="shared" si="623"/>
        <v>772171</v>
      </c>
      <c r="BZ385" s="113"/>
      <c r="CA385" s="116">
        <v>2005</v>
      </c>
      <c r="CB385" s="113"/>
      <c r="CC385" s="113"/>
      <c r="CD385" s="113"/>
      <c r="CE385" s="175"/>
      <c r="CF385" s="113">
        <f t="shared" si="715"/>
        <v>94493</v>
      </c>
      <c r="CG385" s="113">
        <f t="shared" si="716"/>
        <v>201.389524270007</v>
      </c>
      <c r="CH385" s="178">
        <v>0.96174863387978138</v>
      </c>
      <c r="CI385" s="61">
        <f>+CI378*CH385+CG379*CH384+CG380*CH383+CG381*CH382+CG382*CH381+CG383*CH380+CG384*CH379+CG385</f>
        <v>5114.7434088698374</v>
      </c>
      <c r="CJ385" s="114">
        <f t="shared" si="717"/>
        <v>3.4189280485488617E-2</v>
      </c>
      <c r="CK385" s="114"/>
      <c r="CL385" s="169">
        <f t="shared" si="718"/>
        <v>5.9633207746903468E-3</v>
      </c>
      <c r="CM385" s="169">
        <f t="shared" si="726"/>
        <v>5.7889744313679046E-3</v>
      </c>
      <c r="CN385" s="114">
        <f>VLOOKUP($H385,RoR!$E:$F,2,FALSE)</f>
        <v>5.2350000000000001E-2</v>
      </c>
      <c r="CO385" s="169">
        <v>3.1010403642454332E-2</v>
      </c>
      <c r="CP385" s="169">
        <f t="shared" si="724"/>
        <v>2.1339596357545669E-2</v>
      </c>
      <c r="CQ385" s="169">
        <f t="shared" si="727"/>
        <v>2.511296717716572E-2</v>
      </c>
      <c r="CR385" s="169">
        <f t="shared" si="728"/>
        <v>9.2129610649277341E-2</v>
      </c>
      <c r="CS385" s="179">
        <f t="shared" si="719"/>
        <v>0.87050000000000005</v>
      </c>
      <c r="CT385" s="180">
        <f t="shared" si="720"/>
        <v>0.97959983346802826</v>
      </c>
      <c r="CU385" s="180">
        <f t="shared" si="721"/>
        <v>0.49744508118433622</v>
      </c>
      <c r="CV385" s="180">
        <f t="shared" si="722"/>
        <v>0.87010519444335932</v>
      </c>
      <c r="CW385" s="180">
        <f t="shared" si="723"/>
        <v>0.42399975420741998</v>
      </c>
      <c r="CX385" s="181">
        <f>INDEX('State Tax Lookup'!$D$7:$Z$91,MATCH(Calculation!$C385,'State Tax Lookup'!$B$7:$B$91,0),MATCH($H385,'State Tax Lookup'!$D$6:$Z$6,0))</f>
        <v>0.35</v>
      </c>
      <c r="CY385" s="72">
        <v>0.37</v>
      </c>
      <c r="CZ385" s="70">
        <f t="shared" si="725"/>
        <v>15.656951849171742</v>
      </c>
      <c r="DA385" s="70"/>
      <c r="DB385" s="69">
        <f t="shared" si="729"/>
        <v>0.11806320682582545</v>
      </c>
      <c r="DC385" s="111">
        <f>VLOOKUP($H385,RoR!$E:$F,2,FALSE)</f>
        <v>5.2350000000000001E-2</v>
      </c>
      <c r="DD385" s="216">
        <f>HLOOKUP($H385,'GDP-PI'!$D$8:$CQ$11,3,FALSE)</f>
        <v>3.1010403642454332E-2</v>
      </c>
      <c r="DE385" s="111">
        <f>VLOOKUP(H385,'HW Dx Data'!$E:$F,2,FALSE)</f>
        <v>469.20514034936258</v>
      </c>
      <c r="DF385" s="72">
        <f t="shared" ref="DF385:DF403" si="739">VLOOKUP(G385,EG$8:EH$27,2,FALSE)</f>
        <v>99.224999999999994</v>
      </c>
      <c r="DG385" s="69">
        <f t="shared" ref="DG385:DG403" si="740">LN(DF385/DF384)</f>
        <v>5.0378726854569796E-2</v>
      </c>
      <c r="DH385" s="66">
        <f>HLOOKUP(H385,'GDP-PI'!$8:$9,2,FALSE)</f>
        <v>87.406999999999996</v>
      </c>
      <c r="DI385" s="69">
        <f t="shared" si="730"/>
        <v>3.0539295810733648E-2</v>
      </c>
      <c r="DJ385" s="160">
        <v>4.4391290945732563E-3</v>
      </c>
      <c r="EB385"/>
    </row>
    <row r="386" spans="1:132" s="160" customFormat="1" ht="21">
      <c r="A386" s="160" t="s">
        <v>183</v>
      </c>
      <c r="B386" s="161" t="s">
        <v>183</v>
      </c>
      <c r="C386" s="161">
        <v>4057081</v>
      </c>
      <c r="D386" s="161" t="s">
        <v>184</v>
      </c>
      <c r="E386" s="161"/>
      <c r="F386" s="161"/>
      <c r="G386" s="161" t="s">
        <v>117</v>
      </c>
      <c r="H386" s="162">
        <v>2006</v>
      </c>
      <c r="I386" s="163"/>
      <c r="J386" s="159">
        <f>IFERROR(INDEX('Labor Expenditures'!$F$7:$X$91,MATCH($C386,'Labor Expenditures'!$D$7:$D$91,0),MATCH($G386,'Labor Expenditures'!$F$5:$X$5,0)),"NA")</f>
        <v>101324.71397236465</v>
      </c>
      <c r="K386" s="159">
        <f t="shared" si="731"/>
        <v>926.18568530497851</v>
      </c>
      <c r="L386" s="165">
        <f t="shared" si="737"/>
        <v>-0.13871909463390528</v>
      </c>
      <c r="M386" s="76">
        <f t="shared" ref="M386:M402" si="741">+L386*$AR386</f>
        <v>-5.6863078172914245E-3</v>
      </c>
      <c r="N386" s="62">
        <f>+N385*EXP(O386)</f>
        <v>106.37161188489648</v>
      </c>
      <c r="O386" s="96">
        <f t="shared" ref="O386:O402" si="742">+M386+M411+M436+M461+M486+M511+M536+M561+M586+M611+M636+M661+M686+M711+M736+M761+M786+M811+M836+M861+M886+M911+M936+M961+M986+M1011+M1036+M1061+M1086+M1111+M1136+M1161+M1186+M1211+M1236+M1261+M1286+M1311+M1336+M1361+M1386+M1411+M1436+M1461+M1486+M1511+M1536+M1561+M1586+M1611+M1636+M1661+M1686+M1711</f>
        <v>6.176854972743008E-2</v>
      </c>
      <c r="P386" s="96"/>
      <c r="Q386" s="159">
        <f>IFERROR(INDEX('Non-Labor Expenditures'!$F$7:$AB$91,MATCH($C386,'Non-Labor Expenditures'!$D$7:$D$91,0),MATCH($G386,'Non-Labor Expenditures'!$F$5:$AB$5,0)),"NA")</f>
        <v>146737.11067807034</v>
      </c>
      <c r="R386" s="159">
        <f t="shared" si="732"/>
        <v>1629.0728809431173</v>
      </c>
      <c r="S386" s="165">
        <f t="shared" ref="S386:S401" si="743">LN(R386/R385)</f>
        <v>-7.1154387040607711E-2</v>
      </c>
      <c r="T386" s="165">
        <f t="shared" ref="T386:T402" si="744">+S386*AR386</f>
        <v>-2.9167271335744059E-3</v>
      </c>
      <c r="U386" s="165"/>
      <c r="V386" s="165"/>
      <c r="W386" s="159">
        <f t="shared" si="713"/>
        <v>78215.414010983426</v>
      </c>
      <c r="X386" s="163"/>
      <c r="Y386" s="167">
        <v>5267.9187729814466</v>
      </c>
      <c r="Z386" s="168">
        <v>2.9508131112581115E-2</v>
      </c>
      <c r="AA386" s="76">
        <f t="shared" si="733"/>
        <v>1.2095834179278086E-3</v>
      </c>
      <c r="AB386" s="168"/>
      <c r="AC386" s="168"/>
      <c r="AD386" s="163">
        <f t="shared" si="705"/>
        <v>326277.23866141844</v>
      </c>
      <c r="AE386" s="168">
        <f t="shared" ref="AE386:AE402" si="745">LN(AD386/AD385)</f>
        <v>-2.89432693192677E-2</v>
      </c>
      <c r="AF386" s="163"/>
      <c r="AG386" s="163"/>
      <c r="AH386" s="163"/>
      <c r="AI386" s="163"/>
      <c r="AJ386" s="116">
        <f t="shared" ref="AJ386:AJ402" si="746">+(AD386*1000)/AV386</f>
        <v>191.0614921645963</v>
      </c>
      <c r="AK386" s="114">
        <f>+AV386/$AX$11</f>
        <v>4.9239811173979499E-2</v>
      </c>
      <c r="AL386" s="115">
        <f t="shared" si="734"/>
        <v>0.3105479082391967</v>
      </c>
      <c r="AM386" s="115">
        <f t="shared" si="735"/>
        <v>0.44973137347880121</v>
      </c>
      <c r="AN386" s="115">
        <f t="shared" si="736"/>
        <v>0.239720718282002</v>
      </c>
      <c r="AO386" s="115">
        <f t="shared" si="738"/>
        <v>-6.8601827191537984E-2</v>
      </c>
      <c r="AP386" s="166">
        <f>+AP385*EXP(AO386)</f>
        <v>93.369837937898765</v>
      </c>
      <c r="AQ386" s="168">
        <f>LN(AP386/AP385)</f>
        <v>-6.8601827191537942E-2</v>
      </c>
      <c r="AR386" s="69">
        <f>+AD386/$AF$11</f>
        <v>4.0991529192849818E-2</v>
      </c>
      <c r="AS386" s="169">
        <f>+AR386*AQ386</f>
        <v>-2.8120938020047659E-3</v>
      </c>
      <c r="AT386" s="115"/>
      <c r="AU386" s="115"/>
      <c r="AV386" s="113">
        <f>IFERROR(INDEX('Total Customers'!$F$7:$AB$91,MATCH($C386,'Total Customers'!$D$7:$D$91,0),MATCH($G386,'Total Customers'!$F$5:$AB$5,0)),"NA")</f>
        <v>1707708</v>
      </c>
      <c r="AW386" s="68">
        <f t="shared" si="619"/>
        <v>6.5706686488153617E-3</v>
      </c>
      <c r="AX386" s="114"/>
      <c r="AY386" s="114"/>
      <c r="AZ386" s="116"/>
      <c r="BA386" s="116"/>
      <c r="BB386" s="166"/>
      <c r="BC386" s="166"/>
      <c r="BD386" s="166"/>
      <c r="BE386" s="166"/>
      <c r="BF386" s="166"/>
      <c r="BG386" s="166"/>
      <c r="BH386" s="166"/>
      <c r="BI386" s="113"/>
      <c r="BJ386" s="113"/>
      <c r="BK386" s="113">
        <f>INDEX('Dist. Plant Gas Additions'!$F$7:$AE$91,MATCH($C386,'Dist. Plant Gas Additions'!$D$7:$D$91,0),MATCH(Calculation!$G386,'Dist. Plant Gas Additions'!$F$5:$AE$5,0))</f>
        <v>85018</v>
      </c>
      <c r="BL386" s="113">
        <f>INDEX('Gen. Plant Additions'!$F$7:$AE$91,MATCH($C386,'Gen. Plant Additions'!$D$7:$D$91,0),MATCH(Calculation!$G386,'Gen. Plant Additions'!$F$5:$AE$5,0))</f>
        <v>108</v>
      </c>
      <c r="BM386" s="231">
        <f t="shared" si="714"/>
        <v>0.97692464666347267</v>
      </c>
      <c r="BN386" s="61">
        <f t="shared" si="709"/>
        <v>105.50786183965505</v>
      </c>
      <c r="BO386" s="113">
        <f>INDEX('Dist Plant Depreciation'!$E$7:$AD$94,MATCH($C386,'Dist Plant Depreciation'!$D$7:$D$94,0),MATCH(Calculation!$G386,'Dist Plant Depreciation'!$E$5:$AD$5,0))</f>
        <v>1468887</v>
      </c>
      <c r="BP386" s="113">
        <f>INDEX('Gen. Plant Depreciation'!$E$7:$AD$94,MATCH($C386,'Gen. Plant Depreciation'!$D$7:$D$94,0),MATCH(Calculation!$G386,'Gen. Plant Depreciation'!$E$5:$AD$5,0))</f>
        <v>24459</v>
      </c>
      <c r="BQ386" s="113"/>
      <c r="BR386" s="113"/>
      <c r="BS386" s="113"/>
      <c r="BT386" s="113"/>
      <c r="BU386" s="113"/>
      <c r="BV386" s="113"/>
      <c r="BW386" s="113">
        <f>INDEX('Gross Dx Plant'!$E$7:$AD$91,MATCH($C386,'Gross Dx Plant'!$D$7:$D$91,0),MATCH(Calculation!$G386,'Gross Dx Plant'!$E$5:$AD$5,0))</f>
        <v>2216516</v>
      </c>
      <c r="BX386" s="113">
        <f>INDEX('Gross Gen Plant'!$E$7:$AD$91,MATCH($C386,'Gross Gen Plant'!$D$7:$D$91,0),MATCH(Calculation!$G386,'Gross Gen Plant'!$E$5:$AD$5,0))</f>
        <v>52355</v>
      </c>
      <c r="BY386" s="113">
        <f t="shared" si="623"/>
        <v>775525</v>
      </c>
      <c r="BZ386" s="114"/>
      <c r="CA386" s="116">
        <v>2006</v>
      </c>
      <c r="CB386" s="113"/>
      <c r="CC386" s="113"/>
      <c r="CD386" s="113"/>
      <c r="CE386" s="175"/>
      <c r="CF386" s="113">
        <f t="shared" si="715"/>
        <v>85126</v>
      </c>
      <c r="CG386" s="113">
        <f t="shared" si="716"/>
        <v>184.62078749061376</v>
      </c>
      <c r="CH386" s="178">
        <v>0.9555555555555556</v>
      </c>
      <c r="CI386" s="61">
        <f>+CI378*CH386+CG379*CH385+CG380*CH384+CG381*CH383+CG382*CH382+CG383*CH381+CG384*CH380+CG385*CH379+CG386</f>
        <v>5267.9187729814466</v>
      </c>
      <c r="CJ386" s="114">
        <f t="shared" si="717"/>
        <v>2.9508131112581115E-2</v>
      </c>
      <c r="CK386" s="114"/>
      <c r="CL386" s="169">
        <f t="shared" si="718"/>
        <v>6.1479962659461602E-3</v>
      </c>
      <c r="CM386" s="169">
        <f t="shared" si="726"/>
        <v>5.9658087971162198E-3</v>
      </c>
      <c r="CN386" s="114">
        <f>VLOOKUP($H386,RoR!$E:$F,2,FALSE)</f>
        <v>5.5874999999999994E-2</v>
      </c>
      <c r="CO386" s="169">
        <v>3.0512430354548314E-2</v>
      </c>
      <c r="CP386" s="169">
        <f t="shared" si="724"/>
        <v>2.536256964545168E-2</v>
      </c>
      <c r="CQ386" s="169">
        <f t="shared" si="727"/>
        <v>2.4936132811417405E-2</v>
      </c>
      <c r="CR386" s="169">
        <f t="shared" si="728"/>
        <v>7.9087823893859641E-2</v>
      </c>
      <c r="CS386" s="179">
        <f t="shared" si="719"/>
        <v>0.87050000000000005</v>
      </c>
      <c r="CT386" s="180">
        <f t="shared" si="720"/>
        <v>0.91779957551769631</v>
      </c>
      <c r="CU386" s="180">
        <f t="shared" si="721"/>
        <v>0.52757270693512304</v>
      </c>
      <c r="CV386" s="180">
        <f t="shared" si="722"/>
        <v>0.88636824549024895</v>
      </c>
      <c r="CW386" s="180">
        <f t="shared" si="723"/>
        <v>0.42918482841932087</v>
      </c>
      <c r="CX386" s="181">
        <f>INDEX('State Tax Lookup'!$D$7:$Z$91,MATCH(Calculation!$C386,'State Tax Lookup'!$B$7:$B$91,0),MATCH($H386,'State Tax Lookup'!$D$6:$Z$6,0))</f>
        <v>0.35</v>
      </c>
      <c r="CY386" s="72">
        <v>0.37</v>
      </c>
      <c r="CZ386" s="70">
        <f t="shared" si="725"/>
        <v>15.29214816042278</v>
      </c>
      <c r="DA386" s="70">
        <v>14.788696346247992</v>
      </c>
      <c r="DB386" s="69">
        <f t="shared" si="729"/>
        <v>-2.3575521428965743E-2</v>
      </c>
      <c r="DC386" s="111">
        <f>VLOOKUP($H386,RoR!$E:$F,2,FALSE)</f>
        <v>5.5874999999999994E-2</v>
      </c>
      <c r="DD386" s="216">
        <f>HLOOKUP($H386,'GDP-PI'!$D$8:$CQ$11,3,FALSE)</f>
        <v>3.0512430354548314E-2</v>
      </c>
      <c r="DE386" s="111">
        <f>VLOOKUP(H386,'HW Dx Data'!$E:$F,2,FALSE)</f>
        <v>461.08567272971823</v>
      </c>
      <c r="DF386" s="72">
        <f t="shared" si="739"/>
        <v>109.4</v>
      </c>
      <c r="DG386" s="69">
        <f t="shared" si="740"/>
        <v>9.7620891318751846E-2</v>
      </c>
      <c r="DH386" s="66">
        <f>HLOOKUP(H386,'GDP-PI'!$8:$9,2,FALSE)</f>
        <v>90.073999999999998</v>
      </c>
      <c r="DI386" s="69">
        <f t="shared" si="730"/>
        <v>3.005618372545445E-2</v>
      </c>
      <c r="DJ386" s="160">
        <v>4.2856778722666529E-3</v>
      </c>
      <c r="EB386"/>
    </row>
    <row r="387" spans="1:132" s="160" customFormat="1" ht="21">
      <c r="A387" s="160" t="s">
        <v>183</v>
      </c>
      <c r="B387" s="161" t="s">
        <v>183</v>
      </c>
      <c r="C387" s="161">
        <v>4057081</v>
      </c>
      <c r="D387" s="161" t="s">
        <v>184</v>
      </c>
      <c r="E387" s="161"/>
      <c r="F387" s="161"/>
      <c r="G387" s="161" t="s">
        <v>118</v>
      </c>
      <c r="H387" s="162">
        <v>2007</v>
      </c>
      <c r="I387" s="163"/>
      <c r="J387" s="159">
        <f>IFERROR(INDEX('Labor Expenditures'!$F$7:$X$91,MATCH($C387,'Labor Expenditures'!$D$7:$D$91,0),MATCH($G387,'Labor Expenditures'!$F$5:$X$5,0)),"NA")</f>
        <v>101899.5695421228</v>
      </c>
      <c r="K387" s="159">
        <f t="shared" si="731"/>
        <v>974.88227258668076</v>
      </c>
      <c r="L387" s="165">
        <f t="shared" si="737"/>
        <v>5.1241979011149692E-2</v>
      </c>
      <c r="M387" s="76">
        <f t="shared" si="741"/>
        <v>2.0476445028749946E-3</v>
      </c>
      <c r="N387" s="62">
        <f t="shared" ref="N387:N400" si="747">+N386*EXP(O387)</f>
        <v>117.27771270933978</v>
      </c>
      <c r="O387" s="96">
        <f t="shared" si="742"/>
        <v>9.7605999413229116E-2</v>
      </c>
      <c r="P387" s="96"/>
      <c r="Q387" s="159">
        <f>IFERROR(INDEX('Non-Labor Expenditures'!$F$7:$AB$91,MATCH($C387,'Non-Labor Expenditures'!$D$7:$D$91,0),MATCH($G387,'Non-Labor Expenditures'!$F$5:$AB$5,0)),"NA")</f>
        <v>147569.60891129024</v>
      </c>
      <c r="R387" s="159">
        <f t="shared" si="732"/>
        <v>1595.3816181029886</v>
      </c>
      <c r="S387" s="165">
        <f t="shared" si="743"/>
        <v>-2.08981016841405E-2</v>
      </c>
      <c r="T387" s="165">
        <f t="shared" si="744"/>
        <v>-8.3509426957811123E-4</v>
      </c>
      <c r="U387" s="165"/>
      <c r="V387" s="165"/>
      <c r="W387" s="159">
        <f t="shared" si="713"/>
        <v>86506.829590901703</v>
      </c>
      <c r="X387" s="163"/>
      <c r="Y387" s="167">
        <v>5417.2168507106408</v>
      </c>
      <c r="Z387" s="168">
        <v>2.7946822574324875E-2</v>
      </c>
      <c r="AA387" s="76">
        <f t="shared" si="733"/>
        <v>1.1167632226828626E-3</v>
      </c>
      <c r="AB387" s="168"/>
      <c r="AC387" s="168"/>
      <c r="AD387" s="163">
        <f t="shared" si="705"/>
        <v>335976.00804431475</v>
      </c>
      <c r="AE387" s="168">
        <f t="shared" si="745"/>
        <v>2.9292307482020587E-2</v>
      </c>
      <c r="AF387" s="163"/>
      <c r="AG387" s="163"/>
      <c r="AH387" s="163"/>
      <c r="AI387" s="163"/>
      <c r="AJ387" s="116">
        <f t="shared" si="746"/>
        <v>196.63174333763774</v>
      </c>
      <c r="AK387" s="114">
        <f>+AV387/$AX$12</f>
        <v>4.8896209820879361E-2</v>
      </c>
      <c r="AL387" s="115">
        <f t="shared" si="734"/>
        <v>0.3032941850082414</v>
      </c>
      <c r="AM387" s="115">
        <f t="shared" si="735"/>
        <v>0.43922662743176</v>
      </c>
      <c r="AN387" s="115">
        <f t="shared" si="736"/>
        <v>0.25747918755999855</v>
      </c>
      <c r="AO387" s="115">
        <f t="shared" si="738"/>
        <v>1.3386053257461835E-2</v>
      </c>
      <c r="AP387" s="166">
        <f>+AP386*EXP(AO387)</f>
        <v>94.628094316139325</v>
      </c>
      <c r="AQ387" s="168">
        <f>LN(AP387/AP386)</f>
        <v>1.3386053257461823E-2</v>
      </c>
      <c r="AR387" s="69">
        <f>+AD387/$AF$12</f>
        <v>3.996029315006451E-2</v>
      </c>
      <c r="AS387" s="169">
        <f t="shared" ref="AS387:AS401" si="748">+AR387*AQ387</f>
        <v>5.3491061229055039E-4</v>
      </c>
      <c r="AT387" s="115"/>
      <c r="AU387" s="115"/>
      <c r="AV387" s="113">
        <f>IFERROR(INDEX('Total Customers'!$F$7:$AB$91,MATCH($C387,'Total Customers'!$D$7:$D$91,0),MATCH($G387,'Total Customers'!$F$5:$AB$5,0)),"NA")</f>
        <v>1708656</v>
      </c>
      <c r="AW387" s="68">
        <f t="shared" si="619"/>
        <v>5.5497600626380858E-4</v>
      </c>
      <c r="AX387" s="114"/>
      <c r="AY387" s="114"/>
      <c r="AZ387" s="116"/>
      <c r="BA387" s="116"/>
      <c r="BB387" s="166"/>
      <c r="BC387" s="166"/>
      <c r="BD387" s="166"/>
      <c r="BE387" s="166"/>
      <c r="BF387" s="166"/>
      <c r="BG387" s="166"/>
      <c r="BH387" s="166"/>
      <c r="BI387" s="113"/>
      <c r="BJ387" s="113"/>
      <c r="BK387" s="113">
        <f>INDEX('Dist. Plant Gas Additions'!$F$7:$AE$91,MATCH($C387,'Dist. Plant Gas Additions'!$D$7:$D$91,0),MATCH(Calculation!$G387,'Dist. Plant Gas Additions'!$F$5:$AE$5,0))</f>
        <v>77548</v>
      </c>
      <c r="BL387" s="113">
        <f>INDEX('Gen. Plant Additions'!$F$7:$AE$91,MATCH($C387,'Gen. Plant Additions'!$D$7:$D$91,0),MATCH(Calculation!$G387,'Gen. Plant Additions'!$F$5:$AE$5,0))</f>
        <v>13445</v>
      </c>
      <c r="BM387" s="231">
        <f t="shared" si="714"/>
        <v>0.97349684032896189</v>
      </c>
      <c r="BN387" s="61">
        <f t="shared" si="709"/>
        <v>13088.665018222893</v>
      </c>
      <c r="BO387" s="113">
        <f>INDEX('Dist Plant Depreciation'!$E$7:$AD$94,MATCH($C387,'Dist Plant Depreciation'!$D$7:$D$94,0),MATCH(Calculation!$G387,'Dist Plant Depreciation'!$E$5:$AD$5,0))</f>
        <v>1402450</v>
      </c>
      <c r="BP387" s="113">
        <f>INDEX('Gen. Plant Depreciation'!$E$7:$AD$94,MATCH($C387,'Gen. Plant Depreciation'!$D$7:$D$94,0),MATCH(Calculation!$G387,'Gen. Plant Depreciation'!$E$5:$AD$5,0))</f>
        <v>26055</v>
      </c>
      <c r="BQ387" s="113"/>
      <c r="BR387" s="113"/>
      <c r="BS387" s="113"/>
      <c r="BT387" s="113"/>
      <c r="BU387" s="113"/>
      <c r="BV387" s="113"/>
      <c r="BW387" s="113">
        <f>INDEX('Gross Dx Plant'!$E$7:$AD$91,MATCH($C387,'Gross Dx Plant'!$D$7:$D$91,0),MATCH(Calculation!$G387,'Gross Dx Plant'!$E$5:$AD$5,0))</f>
        <v>2285645</v>
      </c>
      <c r="BX387" s="113">
        <f>INDEX('Gross Gen Plant'!$E$7:$AD$91,MATCH($C387,'Gross Gen Plant'!$D$7:$D$91,0),MATCH(Calculation!$G387,'Gross Gen Plant'!$E$5:$AD$5,0))</f>
        <v>62226</v>
      </c>
      <c r="BY387" s="113">
        <f t="shared" si="623"/>
        <v>919366</v>
      </c>
      <c r="BZ387" s="113"/>
      <c r="CA387" s="116">
        <v>2007</v>
      </c>
      <c r="CB387" s="113"/>
      <c r="CC387" s="113"/>
      <c r="CD387" s="113"/>
      <c r="CE387" s="175"/>
      <c r="CF387" s="113">
        <f t="shared" si="715"/>
        <v>90993</v>
      </c>
      <c r="CG387" s="113">
        <f t="shared" si="716"/>
        <v>182.70868025823256</v>
      </c>
      <c r="CH387" s="178">
        <v>0.94915254237288138</v>
      </c>
      <c r="CI387" s="61">
        <f>+CI378*CH387+CG379*CH386+CG380*CH385+CG381*CH384+CG382*CH383+CG383*CH382+CG384*CH381+CG385*CH380+CG386*CH379+CG387</f>
        <v>5417.2168507106408</v>
      </c>
      <c r="CJ387" s="114">
        <f t="shared" si="717"/>
        <v>2.7946822574324875E-2</v>
      </c>
      <c r="CK387" s="114"/>
      <c r="CL387" s="169">
        <f t="shared" si="718"/>
        <v>6.3422774664631514E-3</v>
      </c>
      <c r="CM387" s="169">
        <f t="shared" si="726"/>
        <v>6.1511981690332189E-3</v>
      </c>
      <c r="CN387" s="114">
        <f>VLOOKUP($H387,RoR!$E:$F,2,FALSE)</f>
        <v>5.5558333333333321E-2</v>
      </c>
      <c r="CO387" s="169">
        <v>2.691120634145272E-2</v>
      </c>
      <c r="CP387" s="169">
        <f t="shared" si="724"/>
        <v>2.86471269918806E-2</v>
      </c>
      <c r="CQ387" s="169">
        <f t="shared" si="727"/>
        <v>2.4750743439500407E-2</v>
      </c>
      <c r="CR387" s="169">
        <f t="shared" si="728"/>
        <v>6.4575155250632399E-2</v>
      </c>
      <c r="CS387" s="179">
        <f t="shared" si="719"/>
        <v>0.87050000000000005</v>
      </c>
      <c r="CT387" s="180">
        <f t="shared" si="720"/>
        <v>0.92303077153834634</v>
      </c>
      <c r="CU387" s="180">
        <f t="shared" si="721"/>
        <v>0.52502249887505614</v>
      </c>
      <c r="CV387" s="180">
        <f t="shared" si="722"/>
        <v>0.88499666072084604</v>
      </c>
      <c r="CW387" s="180">
        <f t="shared" si="723"/>
        <v>0.42887993290280618</v>
      </c>
      <c r="CX387" s="181">
        <f>INDEX('State Tax Lookup'!$D$7:$Z$91,MATCH(Calculation!$C387,'State Tax Lookup'!$B$7:$B$91,0),MATCH($H387,'State Tax Lookup'!$D$6:$Z$6,0))</f>
        <v>0.35</v>
      </c>
      <c r="CY387" s="72">
        <v>0.37</v>
      </c>
      <c r="CZ387" s="70">
        <f t="shared" si="725"/>
        <v>16.421443328736455</v>
      </c>
      <c r="DA387" s="70">
        <v>16.108943221861779</v>
      </c>
      <c r="DB387" s="69">
        <f t="shared" si="729"/>
        <v>7.1248496274101417E-2</v>
      </c>
      <c r="DC387" s="111">
        <f>VLOOKUP($H387,RoR!$E:$F,2,FALSE)</f>
        <v>5.5558333333333321E-2</v>
      </c>
      <c r="DD387" s="216">
        <f>HLOOKUP($H387,'GDP-PI'!$D$8:$CQ$11,3,FALSE)</f>
        <v>2.691120634145272E-2</v>
      </c>
      <c r="DE387" s="111">
        <f>VLOOKUP(H387,'HW Dx Data'!$E:$F,2,FALSE)</f>
        <v>498.0223154772637</v>
      </c>
      <c r="DF387" s="72">
        <f t="shared" si="739"/>
        <v>104.52499999999999</v>
      </c>
      <c r="DG387" s="69">
        <f t="shared" si="740"/>
        <v>-4.5584612745252218E-2</v>
      </c>
      <c r="DH387" s="66">
        <f>HLOOKUP(H387,'GDP-PI'!$8:$9,2,FALSE)</f>
        <v>92.498000000000005</v>
      </c>
      <c r="DI387" s="69">
        <f t="shared" si="730"/>
        <v>2.6555467950038037E-2</v>
      </c>
      <c r="DJ387" s="160">
        <v>1.0258771601337193E-2</v>
      </c>
      <c r="EB387"/>
    </row>
    <row r="388" spans="1:132" s="160" customFormat="1" ht="21">
      <c r="A388" s="160" t="s">
        <v>183</v>
      </c>
      <c r="B388" s="161" t="s">
        <v>183</v>
      </c>
      <c r="C388" s="161">
        <v>4057081</v>
      </c>
      <c r="D388" s="161" t="s">
        <v>184</v>
      </c>
      <c r="E388" s="161"/>
      <c r="F388" s="161"/>
      <c r="G388" s="161" t="s">
        <v>120</v>
      </c>
      <c r="H388" s="162">
        <v>2008</v>
      </c>
      <c r="I388" s="163"/>
      <c r="J388" s="159">
        <f>IFERROR(INDEX('Labor Expenditures'!$F$7:$X$91,MATCH($C388,'Labor Expenditures'!$D$7:$D$91,0),MATCH($G388,'Labor Expenditures'!$F$5:$X$5,0)),"NA")</f>
        <v>109238.41661394139</v>
      </c>
      <c r="K388" s="159">
        <f t="shared" si="731"/>
        <v>1012.4042318252214</v>
      </c>
      <c r="L388" s="165">
        <f t="shared" si="737"/>
        <v>3.7766491013025726E-2</v>
      </c>
      <c r="M388" s="76">
        <f t="shared" si="741"/>
        <v>1.5480802392122553E-3</v>
      </c>
      <c r="N388" s="62">
        <f t="shared" si="747"/>
        <v>108.65874392194485</v>
      </c>
      <c r="O388" s="96">
        <f t="shared" si="742"/>
        <v>-7.6332553781879642E-2</v>
      </c>
      <c r="P388" s="96"/>
      <c r="Q388" s="159">
        <f>IFERROR(INDEX('Non-Labor Expenditures'!$F$7:$AB$91,MATCH($C388,'Non-Labor Expenditures'!$D$7:$D$91,0),MATCH($G388,'Non-Labor Expenditures'!$F$5:$AB$5,0)),"NA")</f>
        <v>158197.63017884188</v>
      </c>
      <c r="R388" s="159">
        <f t="shared" si="732"/>
        <v>1678.2401572057402</v>
      </c>
      <c r="S388" s="165">
        <f t="shared" si="743"/>
        <v>5.0632752286453968E-2</v>
      </c>
      <c r="T388" s="165">
        <f t="shared" si="744"/>
        <v>2.0754791130728535E-3</v>
      </c>
      <c r="U388" s="165"/>
      <c r="V388" s="165"/>
      <c r="W388" s="159">
        <f t="shared" si="713"/>
        <v>101029.97836698871</v>
      </c>
      <c r="X388" s="163"/>
      <c r="Y388" s="167">
        <v>5527.7069832893421</v>
      </c>
      <c r="Z388" s="168">
        <v>2.0190891754843957E-2</v>
      </c>
      <c r="AA388" s="76">
        <f t="shared" si="733"/>
        <v>8.2764163943552379E-4</v>
      </c>
      <c r="AB388" s="168"/>
      <c r="AC388" s="168"/>
      <c r="AD388" s="163">
        <f t="shared" si="705"/>
        <v>368466.02515977196</v>
      </c>
      <c r="AE388" s="168">
        <f t="shared" si="745"/>
        <v>9.2308756928335317E-2</v>
      </c>
      <c r="AF388" s="163"/>
      <c r="AG388" s="163"/>
      <c r="AH388" s="163"/>
      <c r="AI388" s="163"/>
      <c r="AJ388" s="116">
        <f t="shared" si="746"/>
        <v>215.94875896241967</v>
      </c>
      <c r="AK388" s="114">
        <f>+AV388/$AX$13</f>
        <v>4.8566754089325044E-2</v>
      </c>
      <c r="AL388" s="115">
        <f t="shared" si="734"/>
        <v>0.2964680843140805</v>
      </c>
      <c r="AM388" s="115">
        <f t="shared" si="735"/>
        <v>0.42934115868686995</v>
      </c>
      <c r="AN388" s="115">
        <f t="shared" si="736"/>
        <v>0.27419075699904955</v>
      </c>
      <c r="AO388" s="115">
        <f t="shared" si="738"/>
        <v>3.8681892106373669E-2</v>
      </c>
      <c r="AP388" s="166">
        <f t="shared" ref="AP388:AP401" si="749">+AP387*EXP(AO388)</f>
        <v>98.360205259081539</v>
      </c>
      <c r="AQ388" s="168">
        <f t="shared" ref="AQ388:AQ401" si="750">LN(AP388/AP387)</f>
        <v>3.8681892106373635E-2</v>
      </c>
      <c r="AR388" s="69">
        <f>+AD388/$AF$13</f>
        <v>4.0990841290452953E-2</v>
      </c>
      <c r="AS388" s="169">
        <f t="shared" si="748"/>
        <v>1.5856033001467866E-3</v>
      </c>
      <c r="AT388" s="115"/>
      <c r="AU388" s="115"/>
      <c r="AV388" s="113">
        <f>IFERROR(INDEX('Total Customers'!$F$7:$AB$91,MATCH($C388,'Total Customers'!$D$7:$D$91,0),MATCH($G388,'Total Customers'!$F$5:$AB$5,0)),"NA")</f>
        <v>1706266</v>
      </c>
      <c r="AW388" s="68">
        <f t="shared" ref="AW388:AW451" si="751">LN(AV388/AV387)</f>
        <v>-1.3997393733861478E-3</v>
      </c>
      <c r="AX388" s="114"/>
      <c r="AY388" s="114"/>
      <c r="AZ388" s="116"/>
      <c r="BA388" s="116"/>
      <c r="BB388" s="166"/>
      <c r="BC388" s="166"/>
      <c r="BD388" s="166"/>
      <c r="BE388" s="166"/>
      <c r="BF388" s="166"/>
      <c r="BG388" s="166"/>
      <c r="BH388" s="166"/>
      <c r="BI388" s="113"/>
      <c r="BJ388" s="113"/>
      <c r="BK388" s="113">
        <f>INDEX('Dist. Plant Gas Additions'!$F$7:$AE$91,MATCH($C388,'Dist. Plant Gas Additions'!$D$7:$D$91,0),MATCH(Calculation!$G388,'Dist. Plant Gas Additions'!$F$5:$AE$5,0))</f>
        <v>81780</v>
      </c>
      <c r="BL388" s="113">
        <f>INDEX('Gen. Plant Additions'!$F$7:$AE$91,MATCH($C388,'Gen. Plant Additions'!$D$7:$D$91,0),MATCH(Calculation!$G388,'Gen. Plant Additions'!$F$5:$AE$5,0))</f>
        <v>1387</v>
      </c>
      <c r="BM388" s="231">
        <f t="shared" si="714"/>
        <v>0.97541283981600979</v>
      </c>
      <c r="BN388" s="61">
        <f>+BM388*BL388</f>
        <v>1352.8976088248055</v>
      </c>
      <c r="BO388" s="113">
        <f>INDEX('Dist Plant Depreciation'!$E$7:$AD$94,MATCH($C388,'Dist Plant Depreciation'!$D$7:$D$94,0),MATCH(Calculation!$G388,'Dist Plant Depreciation'!$E$5:$AD$5,0))</f>
        <v>1478542</v>
      </c>
      <c r="BP388" s="113">
        <f>INDEX('Gen. Plant Depreciation'!$E$7:$AD$94,MATCH($C388,'Gen. Plant Depreciation'!$D$7:$D$94,0),MATCH(Calculation!$G388,'Gen. Plant Depreciation'!$E$5:$AD$5,0))</f>
        <v>28665</v>
      </c>
      <c r="BQ388" s="113"/>
      <c r="BR388" s="113"/>
      <c r="BS388" s="113"/>
      <c r="BT388" s="113"/>
      <c r="BU388" s="113"/>
      <c r="BV388" s="113"/>
      <c r="BW388" s="113">
        <f>INDEX('Gross Dx Plant'!$E$7:$AD$91,MATCH($C388,'Gross Dx Plant'!$D$7:$D$91,0),MATCH(Calculation!$G388,'Gross Dx Plant'!$E$5:$AD$5,0))</f>
        <v>2459443</v>
      </c>
      <c r="BX388" s="113">
        <f>INDEX('Gross Gen Plant'!$E$7:$AD$91,MATCH($C388,'Gross Gen Plant'!$D$7:$D$91,0),MATCH(Calculation!$G388,'Gross Gen Plant'!$E$5:$AD$5,0))</f>
        <v>61995</v>
      </c>
      <c r="BY388" s="113">
        <f t="shared" si="623"/>
        <v>1014231</v>
      </c>
      <c r="BZ388" s="113"/>
      <c r="CA388" s="116">
        <v>2008</v>
      </c>
      <c r="CB388" s="113"/>
      <c r="CC388" s="113"/>
      <c r="CD388" s="113"/>
      <c r="CE388" s="175"/>
      <c r="CF388" s="113">
        <f t="shared" si="715"/>
        <v>83167</v>
      </c>
      <c r="CG388" s="113">
        <f t="shared" si="716"/>
        <v>145.93743312338898</v>
      </c>
      <c r="CH388" s="178">
        <v>0.94252873563218387</v>
      </c>
      <c r="CI388" s="61">
        <f>+CI378*CH388+CG379*CH387+CG380*CH386+CG381*CH385+CG382*CH384+CG383*CH383+CG384*CH382+CG385*CH381+CG386*CH380+CG387*CH379+CG388</f>
        <v>5527.7069832893421</v>
      </c>
      <c r="CJ388" s="114">
        <f t="shared" si="717"/>
        <v>2.0190891754843957E-2</v>
      </c>
      <c r="CK388" s="114"/>
      <c r="CL388" s="169">
        <f t="shared" si="718"/>
        <v>6.5434523892167178E-3</v>
      </c>
      <c r="CM388" s="169">
        <f t="shared" si="726"/>
        <v>6.3445753738753429E-3</v>
      </c>
      <c r="CN388" s="114">
        <f>VLOOKUP($H388,RoR!$E:$F,2,FALSE)</f>
        <v>5.6316666666666668E-2</v>
      </c>
      <c r="CO388" s="169">
        <v>1.9092304698479889E-2</v>
      </c>
      <c r="CP388" s="169">
        <f t="shared" si="724"/>
        <v>3.7224361968186778E-2</v>
      </c>
      <c r="CQ388" s="169">
        <f t="shared" si="727"/>
        <v>2.4557366234658283E-2</v>
      </c>
      <c r="CR388" s="169">
        <f t="shared" si="728"/>
        <v>6.9030581091053131E-2</v>
      </c>
      <c r="CS388" s="179">
        <f t="shared" si="719"/>
        <v>0.87050000000000005</v>
      </c>
      <c r="CT388" s="180">
        <f t="shared" si="720"/>
        <v>0.91060168006009956</v>
      </c>
      <c r="CU388" s="180">
        <f t="shared" si="721"/>
        <v>0.53108168097070152</v>
      </c>
      <c r="CV388" s="180">
        <f t="shared" si="722"/>
        <v>0.88825329850328805</v>
      </c>
      <c r="CW388" s="180">
        <f t="shared" si="723"/>
        <v>0.4295627335323573</v>
      </c>
      <c r="CX388" s="181">
        <f>INDEX('State Tax Lookup'!$D$7:$Z$91,MATCH(Calculation!$C388,'State Tax Lookup'!$B$7:$B$91,0),MATCH($H388,'State Tax Lookup'!$D$6:$Z$6,0))</f>
        <v>0.35</v>
      </c>
      <c r="CY388" s="72">
        <v>0.37</v>
      </c>
      <c r="CZ388" s="70">
        <f t="shared" si="725"/>
        <v>18.649794008843379</v>
      </c>
      <c r="DA388" s="70">
        <v>18.300102035478151</v>
      </c>
      <c r="DB388" s="69">
        <f t="shared" si="729"/>
        <v>0.12724710011148463</v>
      </c>
      <c r="DC388" s="111">
        <f>VLOOKUP($H388,RoR!$E:$F,2,FALSE)</f>
        <v>5.6316666666666668E-2</v>
      </c>
      <c r="DD388" s="216">
        <f>HLOOKUP($H388,'GDP-PI'!$D$8:$CQ$11,3,FALSE)</f>
        <v>1.9092304698479889E-2</v>
      </c>
      <c r="DE388" s="111">
        <f>VLOOKUP(H388,'HW Dx Data'!$E:$F,2,FALSE)</f>
        <v>569.88120333515076</v>
      </c>
      <c r="DF388" s="72">
        <f t="shared" si="739"/>
        <v>107.9</v>
      </c>
      <c r="DG388" s="69">
        <f t="shared" si="740"/>
        <v>3.1778595021460486E-2</v>
      </c>
      <c r="DH388" s="66">
        <f>HLOOKUP(H388,'GDP-PI'!$8:$9,2,FALSE)</f>
        <v>94.263999999999996</v>
      </c>
      <c r="DI388" s="69">
        <f t="shared" si="730"/>
        <v>1.8912333748032254E-2</v>
      </c>
      <c r="DJ388" s="160">
        <v>7.8947970301827992E-3</v>
      </c>
      <c r="EB388"/>
    </row>
    <row r="389" spans="1:132" s="160" customFormat="1" ht="21">
      <c r="A389" s="160" t="s">
        <v>183</v>
      </c>
      <c r="B389" s="161" t="s">
        <v>183</v>
      </c>
      <c r="C389" s="161">
        <v>4057081</v>
      </c>
      <c r="D389" s="161" t="s">
        <v>184</v>
      </c>
      <c r="E389" s="161"/>
      <c r="F389" s="161"/>
      <c r="G389" s="161" t="s">
        <v>125</v>
      </c>
      <c r="H389" s="162">
        <v>2009</v>
      </c>
      <c r="I389" s="163"/>
      <c r="J389" s="159">
        <f>IFERROR(INDEX('Labor Expenditures'!$F$7:$X$91,MATCH($C389,'Labor Expenditures'!$D$7:$D$91,0),MATCH($G389,'Labor Expenditures'!$F$5:$X$5,0)),"NA")</f>
        <v>110453.24097685704</v>
      </c>
      <c r="K389" s="159">
        <f t="shared" si="731"/>
        <v>995.74704509224284</v>
      </c>
      <c r="L389" s="165">
        <f t="shared" si="737"/>
        <v>-1.6589954117902712E-2</v>
      </c>
      <c r="M389" s="76">
        <f t="shared" si="741"/>
        <v>-6.5339638019461428E-4</v>
      </c>
      <c r="N389" s="62">
        <f t="shared" si="747"/>
        <v>116.34140127250619</v>
      </c>
      <c r="O389" s="96">
        <f t="shared" si="742"/>
        <v>6.8316801695374546E-2</v>
      </c>
      <c r="P389" s="96"/>
      <c r="Q389" s="159">
        <f>IFERROR(INDEX('Non-Labor Expenditures'!$F$7:$AB$91,MATCH($C389,'Non-Labor Expenditures'!$D$7:$D$91,0),MATCH($G389,'Non-Labor Expenditures'!$F$5:$AB$5,0)),"NA")</f>
        <v>159956.92275423656</v>
      </c>
      <c r="R389" s="159">
        <f t="shared" si="732"/>
        <v>1683.7748055688646</v>
      </c>
      <c r="S389" s="165">
        <f t="shared" si="743"/>
        <v>3.2924620646719522E-3</v>
      </c>
      <c r="T389" s="165">
        <f t="shared" si="744"/>
        <v>1.2967382427316217E-4</v>
      </c>
      <c r="U389" s="165"/>
      <c r="V389" s="165"/>
      <c r="W389" s="159">
        <f t="shared" si="713"/>
        <v>98849.792807575286</v>
      </c>
      <c r="X389" s="163"/>
      <c r="Y389" s="167">
        <v>5708.9063902992821</v>
      </c>
      <c r="Z389" s="168">
        <v>3.225440083972908E-2</v>
      </c>
      <c r="AA389" s="76">
        <f t="shared" si="733"/>
        <v>1.2703415937288546E-3</v>
      </c>
      <c r="AB389" s="168"/>
      <c r="AC389" s="168"/>
      <c r="AD389" s="163">
        <f t="shared" si="705"/>
        <v>369259.95653866883</v>
      </c>
      <c r="AE389" s="168">
        <f t="shared" si="745"/>
        <v>2.152375557044125E-3</v>
      </c>
      <c r="AF389" s="163"/>
      <c r="AG389" s="163"/>
      <c r="AH389" s="163"/>
      <c r="AI389" s="163"/>
      <c r="AJ389" s="116">
        <f t="shared" si="746"/>
        <v>216.92195692617028</v>
      </c>
      <c r="AK389" s="114">
        <f>+AV389/$AX$14</f>
        <v>4.8391274696728534E-2</v>
      </c>
      <c r="AL389" s="115">
        <f t="shared" si="734"/>
        <v>0.29912054914432723</v>
      </c>
      <c r="AM389" s="115">
        <f t="shared" si="735"/>
        <v>0.43318242317316064</v>
      </c>
      <c r="AN389" s="115">
        <f t="shared" si="736"/>
        <v>0.26769702768251219</v>
      </c>
      <c r="AO389" s="115">
        <f t="shared" si="738"/>
        <v>5.2186519441058295E-3</v>
      </c>
      <c r="AP389" s="166">
        <f t="shared" si="749"/>
        <v>98.874854655505729</v>
      </c>
      <c r="AQ389" s="168">
        <f t="shared" si="750"/>
        <v>5.2186519441057783E-3</v>
      </c>
      <c r="AR389" s="69">
        <f>+AD389/$AF$14</f>
        <v>3.9385062523440907E-2</v>
      </c>
      <c r="AS389" s="169">
        <f t="shared" si="748"/>
        <v>2.0553693310668253E-4</v>
      </c>
      <c r="AT389" s="115"/>
      <c r="AU389" s="115"/>
      <c r="AV389" s="113">
        <f>IFERROR(INDEX('Total Customers'!$F$7:$AB$91,MATCH($C389,'Total Customers'!$D$7:$D$91,0),MATCH($G389,'Total Customers'!$F$5:$AB$5,0)),"NA")</f>
        <v>1702271</v>
      </c>
      <c r="AW389" s="68">
        <f t="shared" si="751"/>
        <v>-2.3441152783940582E-3</v>
      </c>
      <c r="AX389" s="114"/>
      <c r="AY389" s="114"/>
      <c r="AZ389" s="116"/>
      <c r="BA389" s="116"/>
      <c r="BB389" s="166"/>
      <c r="BC389" s="166"/>
      <c r="BD389" s="166"/>
      <c r="BE389" s="166"/>
      <c r="BF389" s="166"/>
      <c r="BG389" s="166"/>
      <c r="BH389" s="166"/>
      <c r="BI389" s="113"/>
      <c r="BJ389" s="113"/>
      <c r="BK389" s="113">
        <f>INDEX('Dist. Plant Gas Additions'!$F$7:$AE$91,MATCH($C389,'Dist. Plant Gas Additions'!$D$7:$D$91,0),MATCH(Calculation!$G389,'Dist. Plant Gas Additions'!$F$5:$AE$5,0))</f>
        <v>110951</v>
      </c>
      <c r="BL389" s="113">
        <f>INDEX('Gen. Plant Additions'!$F$7:$AE$91,MATCH($C389,'Gen. Plant Additions'!$D$7:$D$91,0),MATCH(Calculation!$G389,'Gen. Plant Additions'!$F$5:$AE$5,0))</f>
        <v>9477</v>
      </c>
      <c r="BM389" s="231">
        <f t="shared" si="714"/>
        <v>0.97466702135606187</v>
      </c>
      <c r="BN389" s="61">
        <f t="shared" ref="BN389:BN405" si="752">+BM389*BL389</f>
        <v>9236.9193613913976</v>
      </c>
      <c r="BO389" s="113">
        <f>INDEX('Dist Plant Depreciation'!$E$7:$AD$94,MATCH($C389,'Dist Plant Depreciation'!$D$7:$D$94,0),MATCH(Calculation!$G389,'Dist Plant Depreciation'!$E$5:$AD$5,0))</f>
        <v>1528832</v>
      </c>
      <c r="BP389" s="113">
        <f>INDEX('Gen. Plant Depreciation'!$E$7:$AD$94,MATCH($C389,'Gen. Plant Depreciation'!$D$7:$D$94,0),MATCH(Calculation!$G389,'Gen. Plant Depreciation'!$E$5:$AD$5,0))</f>
        <v>26980</v>
      </c>
      <c r="BQ389" s="113"/>
      <c r="BR389" s="113"/>
      <c r="BS389" s="113"/>
      <c r="BT389" s="113"/>
      <c r="BU389" s="113"/>
      <c r="BV389" s="113"/>
      <c r="BW389" s="113">
        <f>INDEX('Gross Dx Plant'!$E$7:$AD$91,MATCH($C389,'Gross Dx Plant'!$D$7:$D$91,0),MATCH(Calculation!$G389,'Gross Dx Plant'!$E$5:$AD$5,0))</f>
        <v>2557421</v>
      </c>
      <c r="BX389" s="113">
        <f>INDEX('Gross Gen Plant'!$E$7:$AD$91,MATCH($C389,'Gross Gen Plant'!$D$7:$D$91,0),MATCH(Calculation!$G389,'Gross Gen Plant'!$E$5:$AD$5,0))</f>
        <v>66471</v>
      </c>
      <c r="BY389" s="113">
        <f t="shared" si="623"/>
        <v>1068080</v>
      </c>
      <c r="BZ389" s="113"/>
      <c r="CA389" s="116">
        <v>2009</v>
      </c>
      <c r="CB389" s="113"/>
      <c r="CC389" s="113"/>
      <c r="CD389" s="113"/>
      <c r="CE389" s="175"/>
      <c r="CF389" s="113">
        <f t="shared" si="715"/>
        <v>120428</v>
      </c>
      <c r="CG389" s="113">
        <f t="shared" si="716"/>
        <v>218.5861632936485</v>
      </c>
      <c r="CH389" s="178">
        <v>0.93567251461988299</v>
      </c>
      <c r="CI389" s="61">
        <f>+CI378*CH389+CG379*CH388+CG380*CH387+CG381*CH386+CG382*CH385+CG383*CH384+CG384*CH383+CG385*CH382+CG386*CH381+CG387*CH380+CG388*CH379+CG389</f>
        <v>5708.9063902992821</v>
      </c>
      <c r="CJ389" s="114">
        <f t="shared" si="717"/>
        <v>3.225440083972908E-2</v>
      </c>
      <c r="CK389" s="114"/>
      <c r="CL389" s="169">
        <f t="shared" si="718"/>
        <v>6.7635199182466497E-3</v>
      </c>
      <c r="CM389" s="169">
        <f t="shared" si="726"/>
        <v>6.5497499246421733E-3</v>
      </c>
      <c r="CN389" s="114">
        <f>VLOOKUP($H389,RoR!$E:$F,2,FALSE)</f>
        <v>5.3133333333333324E-2</v>
      </c>
      <c r="CO389" s="169">
        <v>7.7972502758210105E-3</v>
      </c>
      <c r="CP389" s="169">
        <f t="shared" si="724"/>
        <v>4.5336083057512314E-2</v>
      </c>
      <c r="CQ389" s="169">
        <f t="shared" si="727"/>
        <v>2.4352191683891453E-2</v>
      </c>
      <c r="CR389" s="169">
        <f t="shared" si="728"/>
        <v>6.3720160300892073E-2</v>
      </c>
      <c r="CS389" s="179">
        <f t="shared" si="719"/>
        <v>0.87050000000000005</v>
      </c>
      <c r="CT389" s="180">
        <f t="shared" si="720"/>
        <v>0.96515780330083989</v>
      </c>
      <c r="CU389" s="180">
        <f t="shared" si="721"/>
        <v>0.50448557089084056</v>
      </c>
      <c r="CV389" s="180">
        <f t="shared" si="722"/>
        <v>0.87391435735465484</v>
      </c>
      <c r="CW389" s="180">
        <f t="shared" si="723"/>
        <v>0.42551605393279146</v>
      </c>
      <c r="CX389" s="181">
        <f>INDEX('State Tax Lookup'!$D$7:$Z$91,MATCH(Calculation!$C389,'State Tax Lookup'!$B$7:$B$91,0),MATCH($H389,'State Tax Lookup'!$D$6:$Z$6,0))</f>
        <v>0.35</v>
      </c>
      <c r="CY389" s="72">
        <v>0.37</v>
      </c>
      <c r="CZ389" s="70">
        <f t="shared" si="725"/>
        <v>17.882603601530501</v>
      </c>
      <c r="DA389" s="70">
        <v>17.478615056163342</v>
      </c>
      <c r="DB389" s="69">
        <f t="shared" si="729"/>
        <v>-4.2006726483979122E-2</v>
      </c>
      <c r="DC389" s="111">
        <f>VLOOKUP($H389,RoR!$E:$F,2,FALSE)</f>
        <v>5.3133333333333324E-2</v>
      </c>
      <c r="DD389" s="216">
        <f>HLOOKUP($H389,'GDP-PI'!$D$8:$CQ$11,3,FALSE)</f>
        <v>7.7972502758210105E-3</v>
      </c>
      <c r="DE389" s="111">
        <f>VLOOKUP(H389,'HW Dx Data'!$E:$F,2,FALSE)</f>
        <v>550.94063679692806</v>
      </c>
      <c r="DF389" s="72">
        <f t="shared" si="739"/>
        <v>110.925</v>
      </c>
      <c r="DG389" s="69">
        <f t="shared" si="740"/>
        <v>2.7649425000884052E-2</v>
      </c>
      <c r="DH389" s="66">
        <f>HLOOKUP(H389,'GDP-PI'!$8:$9,2,FALSE)</f>
        <v>94.998999999999995</v>
      </c>
      <c r="DI389" s="69">
        <f t="shared" si="730"/>
        <v>7.7670088183096342E-3</v>
      </c>
      <c r="DJ389" s="160">
        <v>5.1851356378726017E-2</v>
      </c>
      <c r="EB389"/>
    </row>
    <row r="390" spans="1:132" s="160" customFormat="1" ht="21">
      <c r="A390" s="160" t="s">
        <v>183</v>
      </c>
      <c r="B390" s="161" t="s">
        <v>183</v>
      </c>
      <c r="C390" s="161">
        <v>4057081</v>
      </c>
      <c r="D390" s="161" t="s">
        <v>184</v>
      </c>
      <c r="E390" s="161"/>
      <c r="F390" s="161"/>
      <c r="G390" s="161" t="s">
        <v>126</v>
      </c>
      <c r="H390" s="162">
        <v>2010</v>
      </c>
      <c r="I390" s="163"/>
      <c r="J390" s="159">
        <f>IFERROR(INDEX('Labor Expenditures'!$F$7:$X$91,MATCH($C390,'Labor Expenditures'!$D$7:$D$91,0),MATCH($G390,'Labor Expenditures'!$F$5:$X$5,0)),"NA")</f>
        <v>106779.14164816841</v>
      </c>
      <c r="K390" s="159">
        <f t="shared" si="731"/>
        <v>913.22763864159435</v>
      </c>
      <c r="L390" s="165">
        <f t="shared" si="737"/>
        <v>-8.6508074635223017E-2</v>
      </c>
      <c r="M390" s="76">
        <f t="shared" si="741"/>
        <v>-3.2587686992982768E-3</v>
      </c>
      <c r="N390" s="62">
        <f t="shared" si="747"/>
        <v>95.997999219344138</v>
      </c>
      <c r="O390" s="96">
        <f t="shared" si="742"/>
        <v>-0.19220163325676082</v>
      </c>
      <c r="P390" s="96"/>
      <c r="Q390" s="159">
        <f>IFERROR(INDEX('Non-Labor Expenditures'!$F$7:$AB$91,MATCH($C390,'Non-Labor Expenditures'!$D$7:$D$91,0),MATCH($G390,'Non-Labor Expenditures'!$F$5:$AB$5,0)),"NA")</f>
        <v>154636.14069919862</v>
      </c>
      <c r="R390" s="159">
        <f t="shared" si="732"/>
        <v>1608.9662851470582</v>
      </c>
      <c r="S390" s="165">
        <f t="shared" si="743"/>
        <v>-4.5446267095397119E-2</v>
      </c>
      <c r="T390" s="165">
        <f t="shared" si="744"/>
        <v>-1.7119658868251905E-3</v>
      </c>
      <c r="U390" s="165"/>
      <c r="V390" s="165"/>
      <c r="W390" s="159">
        <f t="shared" si="713"/>
        <v>104665.52527527117</v>
      </c>
      <c r="X390" s="163"/>
      <c r="Y390" s="167">
        <v>5857.8361951270608</v>
      </c>
      <c r="Z390" s="168">
        <v>2.5752805438077696E-2</v>
      </c>
      <c r="AA390" s="76">
        <f t="shared" si="733"/>
        <v>9.7011101720388768E-4</v>
      </c>
      <c r="AB390" s="168"/>
      <c r="AC390" s="168"/>
      <c r="AD390" s="163">
        <f t="shared" si="705"/>
        <v>366080.80762263818</v>
      </c>
      <c r="AE390" s="168">
        <f t="shared" si="745"/>
        <v>-8.6467903831768562E-3</v>
      </c>
      <c r="AF390" s="163"/>
      <c r="AG390" s="163"/>
      <c r="AH390" s="163"/>
      <c r="AI390" s="163"/>
      <c r="AJ390" s="116">
        <f t="shared" si="746"/>
        <v>214.79254072978031</v>
      </c>
      <c r="AK390" s="114">
        <f>+AV390/$AX$15</f>
        <v>4.8185170360216766E-2</v>
      </c>
      <c r="AL390" s="115">
        <f t="shared" si="734"/>
        <v>0.29168188942108658</v>
      </c>
      <c r="AM390" s="115">
        <f t="shared" si="735"/>
        <v>0.422409854543918</v>
      </c>
      <c r="AN390" s="115">
        <f t="shared" si="736"/>
        <v>0.28590825603499548</v>
      </c>
      <c r="AO390" s="115">
        <f t="shared" si="738"/>
        <v>-3.786788373345467E-2</v>
      </c>
      <c r="AP390" s="166">
        <f t="shared" si="749"/>
        <v>95.20067883303841</v>
      </c>
      <c r="AQ390" s="168">
        <f t="shared" si="750"/>
        <v>-3.7867883733454621E-2</v>
      </c>
      <c r="AR390" s="69">
        <f>+AD390/$AF$15</f>
        <v>3.7670110137573466E-2</v>
      </c>
      <c r="AS390" s="169">
        <f t="shared" si="748"/>
        <v>-1.4264873509160622E-3</v>
      </c>
      <c r="AT390" s="115"/>
      <c r="AU390" s="115"/>
      <c r="AV390" s="113">
        <f>IFERROR(INDEX('Total Customers'!$F$7:$AB$91,MATCH($C390,'Total Customers'!$D$7:$D$91,0),MATCH($G390,'Total Customers'!$F$5:$AB$5,0)),"NA")</f>
        <v>1704346</v>
      </c>
      <c r="AW390" s="68">
        <f t="shared" si="751"/>
        <v>1.2182175199723366E-3</v>
      </c>
      <c r="AX390" s="114"/>
      <c r="AY390" s="114"/>
      <c r="AZ390" s="116"/>
      <c r="BA390" s="116"/>
      <c r="BB390" s="166"/>
      <c r="BC390" s="166"/>
      <c r="BD390" s="166"/>
      <c r="BE390" s="166"/>
      <c r="BF390" s="166"/>
      <c r="BG390" s="166"/>
      <c r="BH390" s="166"/>
      <c r="BI390" s="113"/>
      <c r="BJ390" s="113"/>
      <c r="BK390" s="113">
        <f>INDEX('Dist. Plant Gas Additions'!$F$7:$AE$91,MATCH($C390,'Dist. Plant Gas Additions'!$D$7:$D$91,0),MATCH(Calculation!$G390,'Dist. Plant Gas Additions'!$F$5:$AE$5,0))</f>
        <v>106197</v>
      </c>
      <c r="BL390" s="113">
        <f>INDEX('Gen. Plant Additions'!$F$7:$AE$91,MATCH($C390,'Gen. Plant Additions'!$D$7:$D$91,0),MATCH(Calculation!$G390,'Gen. Plant Additions'!$F$5:$AE$5,0))</f>
        <v>1173</v>
      </c>
      <c r="BM390" s="231">
        <f t="shared" si="714"/>
        <v>0.97655094571745171</v>
      </c>
      <c r="BN390" s="61">
        <f t="shared" si="752"/>
        <v>1145.494259326571</v>
      </c>
      <c r="BO390" s="113">
        <f>INDEX('Dist Plant Depreciation'!$E$7:$AD$94,MATCH($C390,'Dist Plant Depreciation'!$D$7:$D$94,0),MATCH(Calculation!$G390,'Dist Plant Depreciation'!$E$5:$AD$5,0))</f>
        <v>1586520</v>
      </c>
      <c r="BP390" s="113">
        <f>INDEX('Gen. Plant Depreciation'!$E$7:$AD$94,MATCH($C390,'Gen. Plant Depreciation'!$D$7:$D$94,0),MATCH(Calculation!$G390,'Gen. Plant Depreciation'!$E$5:$AD$5,0))</f>
        <v>27958</v>
      </c>
      <c r="BQ390" s="113"/>
      <c r="BR390" s="113"/>
      <c r="BS390" s="113"/>
      <c r="BT390" s="113"/>
      <c r="BU390" s="113"/>
      <c r="BV390" s="113"/>
      <c r="BW390" s="113">
        <f>INDEX('Gross Dx Plant'!$E$7:$AD$91,MATCH($C390,'Gross Dx Plant'!$D$7:$D$91,0),MATCH(Calculation!$G390,'Gross Dx Plant'!$E$5:$AD$5,0))</f>
        <v>2654410</v>
      </c>
      <c r="BX390" s="113">
        <f>INDEX('Gross Gen Plant'!$E$7:$AD$91,MATCH($C390,'Gross Gen Plant'!$D$7:$D$91,0),MATCH(Calculation!$G390,'Gross Gen Plant'!$E$5:$AD$5,0))</f>
        <v>63738</v>
      </c>
      <c r="BY390" s="113">
        <f t="shared" si="623"/>
        <v>1103670</v>
      </c>
      <c r="BZ390" s="113"/>
      <c r="CA390" s="116">
        <v>2010</v>
      </c>
      <c r="CB390" s="113"/>
      <c r="CC390" s="113"/>
      <c r="CD390" s="113"/>
      <c r="CE390" s="175"/>
      <c r="CF390" s="113">
        <f t="shared" si="715"/>
        <v>107370</v>
      </c>
      <c r="CG390" s="113">
        <f t="shared" si="716"/>
        <v>188.70295410330868</v>
      </c>
      <c r="CH390" s="178">
        <v>0.9285714285714286</v>
      </c>
      <c r="CI390" s="61">
        <f>+CI378*CH390+CG379*CH389+CG380*CH388+CG381*CH387+CG382*CH386+CG383*CH385+CG384*CH384+CG385*CH383+CG386*CH382+CG387*CH381+CG388*CH380+CG389*CH379+CG390</f>
        <v>5857.8361951270608</v>
      </c>
      <c r="CJ390" s="114">
        <f t="shared" si="717"/>
        <v>2.5752805438077696E-2</v>
      </c>
      <c r="CK390" s="114"/>
      <c r="CL390" s="169">
        <f t="shared" si="718"/>
        <v>6.9668595973325946E-3</v>
      </c>
      <c r="CM390" s="169">
        <f t="shared" si="726"/>
        <v>6.7579439682653201E-3</v>
      </c>
      <c r="CN390" s="114">
        <f>VLOOKUP($H390,RoR!$E:$F,2,FALSE)</f>
        <v>4.9433333333333322E-2</v>
      </c>
      <c r="CO390" s="169">
        <v>1.1684333519300205E-2</v>
      </c>
      <c r="CP390" s="169">
        <f t="shared" si="724"/>
        <v>3.7748999814033117E-2</v>
      </c>
      <c r="CQ390" s="169">
        <f t="shared" si="727"/>
        <v>2.4143997640268304E-2</v>
      </c>
      <c r="CR390" s="169">
        <f t="shared" si="728"/>
        <v>4.7937530248493419E-2</v>
      </c>
      <c r="CS390" s="179">
        <f t="shared" si="719"/>
        <v>0.87050000000000005</v>
      </c>
      <c r="CT390" s="180">
        <f t="shared" si="720"/>
        <v>1.037398205301105</v>
      </c>
      <c r="CU390" s="180">
        <f t="shared" si="721"/>
        <v>0.46926837491571133</v>
      </c>
      <c r="CV390" s="180">
        <f t="shared" si="722"/>
        <v>0.8548537519972772</v>
      </c>
      <c r="CW390" s="180">
        <f t="shared" si="723"/>
        <v>0.41615833911547367</v>
      </c>
      <c r="CX390" s="181">
        <f>INDEX('State Tax Lookup'!$D$7:$Z$91,MATCH(Calculation!$C390,'State Tax Lookup'!$B$7:$B$91,0),MATCH($H390,'State Tax Lookup'!$D$6:$Z$6,0))</f>
        <v>0.35</v>
      </c>
      <c r="CY390" s="72">
        <v>0.37</v>
      </c>
      <c r="CZ390" s="70">
        <f t="shared" si="725"/>
        <v>18.333725957237881</v>
      </c>
      <c r="DA390" s="70">
        <v>17.956102603965455</v>
      </c>
      <c r="DB390" s="69">
        <f t="shared" si="729"/>
        <v>2.491393774176805E-2</v>
      </c>
      <c r="DC390" s="111">
        <f>VLOOKUP($H390,RoR!$E:$F,2,FALSE)</f>
        <v>4.9433333333333322E-2</v>
      </c>
      <c r="DD390" s="216">
        <f>HLOOKUP($H390,'GDP-PI'!$D$8:$CQ$11,3,FALSE)</f>
        <v>1.1684333519300205E-2</v>
      </c>
      <c r="DE390" s="111">
        <f>VLOOKUP(H390,'HW Dx Data'!$E:$F,2,FALSE)</f>
        <v>568.98950262971744</v>
      </c>
      <c r="DF390" s="72">
        <f t="shared" si="739"/>
        <v>116.925</v>
      </c>
      <c r="DG390" s="69">
        <f t="shared" si="740"/>
        <v>5.2678406346976722E-2</v>
      </c>
      <c r="DH390" s="66">
        <f>HLOOKUP(H390,'GDP-PI'!$8:$9,2,FALSE)</f>
        <v>96.108999999999995</v>
      </c>
      <c r="DI390" s="69">
        <f t="shared" si="730"/>
        <v>1.1616598807150427E-2</v>
      </c>
      <c r="DJ390" s="160">
        <v>4.3705481173557353E-2</v>
      </c>
      <c r="EB390"/>
    </row>
    <row r="391" spans="1:132" s="160" customFormat="1" ht="21">
      <c r="A391" s="160" t="s">
        <v>183</v>
      </c>
      <c r="B391" s="161" t="s">
        <v>183</v>
      </c>
      <c r="C391" s="161">
        <v>4057081</v>
      </c>
      <c r="D391" s="161" t="s">
        <v>184</v>
      </c>
      <c r="E391" s="161"/>
      <c r="F391" s="161"/>
      <c r="G391" s="161" t="s">
        <v>127</v>
      </c>
      <c r="H391" s="162">
        <v>2011</v>
      </c>
      <c r="I391" s="163"/>
      <c r="J391" s="159">
        <f>IFERROR(INDEX('Labor Expenditures'!$F$7:$X$91,MATCH($C391,'Labor Expenditures'!$D$7:$D$91,0),MATCH($G391,'Labor Expenditures'!$F$5:$X$5,0)),"NA")</f>
        <v>107757.50586358148</v>
      </c>
      <c r="K391" s="159">
        <f t="shared" si="731"/>
        <v>891.47884892311458</v>
      </c>
      <c r="L391" s="165">
        <f t="shared" si="737"/>
        <v>-2.4103468149184869E-2</v>
      </c>
      <c r="M391" s="76">
        <f t="shared" si="741"/>
        <v>-8.9373070390687639E-4</v>
      </c>
      <c r="N391" s="62">
        <f t="shared" si="747"/>
        <v>115.14296403096058</v>
      </c>
      <c r="O391" s="96">
        <f t="shared" si="742"/>
        <v>0.18184717197399017</v>
      </c>
      <c r="P391" s="96"/>
      <c r="Q391" s="159">
        <f>IFERROR(INDEX('Non-Labor Expenditures'!$F$7:$AB$91,MATCH($C391,'Non-Labor Expenditures'!$D$7:$D$91,0),MATCH($G391,'Non-Labor Expenditures'!$F$5:$AB$5,0)),"NA")</f>
        <v>156052.99481634604</v>
      </c>
      <c r="R391" s="159">
        <f t="shared" si="732"/>
        <v>1590.5597155938729</v>
      </c>
      <c r="S391" s="165">
        <f t="shared" si="743"/>
        <v>-1.1505937200525456E-2</v>
      </c>
      <c r="T391" s="165">
        <f t="shared" si="744"/>
        <v>-4.2662779022867249E-4</v>
      </c>
      <c r="U391" s="165"/>
      <c r="V391" s="165"/>
      <c r="W391" s="159">
        <f t="shared" si="713"/>
        <v>114617.62847234646</v>
      </c>
      <c r="X391" s="163"/>
      <c r="Y391" s="167">
        <v>5983.1320095000701</v>
      </c>
      <c r="Z391" s="168">
        <v>2.1163892841731986E-2</v>
      </c>
      <c r="AA391" s="76">
        <f t="shared" si="733"/>
        <v>7.847344095787516E-4</v>
      </c>
      <c r="AB391" s="168"/>
      <c r="AC391" s="168"/>
      <c r="AD391" s="163">
        <f t="shared" si="705"/>
        <v>378428.12915227399</v>
      </c>
      <c r="AE391" s="168">
        <f t="shared" si="745"/>
        <v>3.3172076612076627E-2</v>
      </c>
      <c r="AF391" s="163"/>
      <c r="AG391" s="163"/>
      <c r="AH391" s="163"/>
      <c r="AI391" s="163"/>
      <c r="AJ391" s="116">
        <f t="shared" si="746"/>
        <v>221.56499038762445</v>
      </c>
      <c r="AK391" s="114">
        <f>+AV391/$AX$16</f>
        <v>4.8054865633291803E-2</v>
      </c>
      <c r="AL391" s="115">
        <f t="shared" si="734"/>
        <v>0.28475025391207487</v>
      </c>
      <c r="AM391" s="115">
        <f t="shared" si="735"/>
        <v>0.41237155167593942</v>
      </c>
      <c r="AN391" s="115">
        <f t="shared" si="736"/>
        <v>0.30287819441198566</v>
      </c>
      <c r="AO391" s="115">
        <f t="shared" si="738"/>
        <v>-5.5189714496027926E-3</v>
      </c>
      <c r="AP391" s="166">
        <f t="shared" si="749"/>
        <v>94.676716201926425</v>
      </c>
      <c r="AQ391" s="168">
        <f t="shared" si="750"/>
        <v>-5.518971449602777E-3</v>
      </c>
      <c r="AR391" s="69">
        <f>+AD391/$AF$16</f>
        <v>3.7078925670582415E-2</v>
      </c>
      <c r="AS391" s="169">
        <f t="shared" si="748"/>
        <v>-2.0463753215788785E-4</v>
      </c>
      <c r="AT391" s="115"/>
      <c r="AU391" s="115"/>
      <c r="AV391" s="113">
        <f>IFERROR(INDEX('Total Customers'!$F$7:$AB$91,MATCH($C391,'Total Customers'!$D$7:$D$91,0),MATCH($G391,'Total Customers'!$F$5:$AB$5,0)),"NA")</f>
        <v>1707978</v>
      </c>
      <c r="AW391" s="68">
        <f t="shared" si="751"/>
        <v>2.1287552832404341E-3</v>
      </c>
      <c r="AX391" s="114"/>
      <c r="AY391" s="114"/>
      <c r="AZ391" s="116"/>
      <c r="BA391" s="116"/>
      <c r="BB391" s="166"/>
      <c r="BC391" s="166"/>
      <c r="BD391" s="166"/>
      <c r="BE391" s="166"/>
      <c r="BF391" s="166"/>
      <c r="BG391" s="166"/>
      <c r="BH391" s="166"/>
      <c r="BI391" s="113"/>
      <c r="BJ391" s="113"/>
      <c r="BK391" s="113">
        <f>INDEX('Dist. Plant Gas Additions'!$F$7:$AE$91,MATCH($C391,'Dist. Plant Gas Additions'!$D$7:$D$91,0),MATCH(Calculation!$G391,'Dist. Plant Gas Additions'!$F$5:$AE$5,0))</f>
        <v>97700</v>
      </c>
      <c r="BL391" s="113">
        <f>INDEX('Gen. Plant Additions'!$F$7:$AE$91,MATCH($C391,'Gen. Plant Additions'!$D$7:$D$91,0),MATCH(Calculation!$G391,'Gen. Plant Additions'!$F$5:$AE$5,0))</f>
        <v>4689</v>
      </c>
      <c r="BM391" s="231">
        <f t="shared" si="714"/>
        <v>0.97595812850920538</v>
      </c>
      <c r="BN391" s="61">
        <f t="shared" si="752"/>
        <v>4576.2676645796637</v>
      </c>
      <c r="BO391" s="113">
        <f>INDEX('Dist Plant Depreciation'!$E$7:$AD$94,MATCH($C391,'Dist Plant Depreciation'!$D$7:$D$94,0),MATCH(Calculation!$G391,'Dist Plant Depreciation'!$E$5:$AD$5,0))</f>
        <v>1647763</v>
      </c>
      <c r="BP391" s="113">
        <f>INDEX('Gen. Plant Depreciation'!$E$7:$AD$94,MATCH($C391,'Gen. Plant Depreciation'!$D$7:$D$94,0),MATCH(Calculation!$G391,'Gen. Plant Depreciation'!$E$5:$AD$5,0))</f>
        <v>32081</v>
      </c>
      <c r="BQ391" s="113"/>
      <c r="BR391" s="113"/>
      <c r="BS391" s="113"/>
      <c r="BT391" s="113"/>
      <c r="BU391" s="113"/>
      <c r="BV391" s="113"/>
      <c r="BW391" s="113">
        <f>INDEX('Gross Dx Plant'!$E$7:$AD$91,MATCH($C391,'Gross Dx Plant'!$D$7:$D$91,0),MATCH(Calculation!$G391,'Gross Dx Plant'!$E$5:$AD$5,0))</f>
        <v>2742375</v>
      </c>
      <c r="BX391" s="113">
        <f>INDEX('Gross Gen Plant'!$E$7:$AD$91,MATCH($C391,'Gross Gen Plant'!$D$7:$D$91,0),MATCH(Calculation!$G391,'Gross Gen Plant'!$E$5:$AD$5,0))</f>
        <v>67556</v>
      </c>
      <c r="BY391" s="113">
        <f t="shared" si="623"/>
        <v>1130087</v>
      </c>
      <c r="BZ391" s="113"/>
      <c r="CA391" s="116">
        <v>2011</v>
      </c>
      <c r="CB391" s="113"/>
      <c r="CC391" s="113"/>
      <c r="CD391" s="113"/>
      <c r="CE391" s="175"/>
      <c r="CF391" s="113">
        <f t="shared" si="715"/>
        <v>102389</v>
      </c>
      <c r="CG391" s="113">
        <f t="shared" si="716"/>
        <v>167.40866973976034</v>
      </c>
      <c r="CH391" s="178">
        <v>0.92121212121212126</v>
      </c>
      <c r="CI391" s="61">
        <f>+CI378*CH391+CG379*CH390+CG380*CH389+CG381*CH388+CG382*CH387+CG383*CH386+CG384*CH385+CG385*CH384+CG386*CH383+CG387*CH382+CG388*CH381+CG389*CH380+CG390*CH379+CG391</f>
        <v>5983.1320095000701</v>
      </c>
      <c r="CJ391" s="114">
        <f t="shared" si="717"/>
        <v>2.1163892841731986E-2</v>
      </c>
      <c r="CK391" s="114"/>
      <c r="CL391" s="169">
        <f t="shared" si="718"/>
        <v>7.1891486828845295E-3</v>
      </c>
      <c r="CM391" s="169">
        <f t="shared" si="726"/>
        <v>6.9731760661545907E-3</v>
      </c>
      <c r="CN391" s="114">
        <f>VLOOKUP($H391,RoR!$E:$F,2,FALSE)</f>
        <v>4.6391666666666664E-2</v>
      </c>
      <c r="CO391" s="169">
        <v>2.0840920205183799E-2</v>
      </c>
      <c r="CP391" s="169">
        <f t="shared" si="724"/>
        <v>2.5550746461482865E-2</v>
      </c>
      <c r="CQ391" s="169">
        <f t="shared" si="727"/>
        <v>2.3928765542379035E-2</v>
      </c>
      <c r="CR391" s="169">
        <f t="shared" si="728"/>
        <v>2.4810540821321614E-2</v>
      </c>
      <c r="CS391" s="179">
        <f t="shared" si="719"/>
        <v>0.87050000000000005</v>
      </c>
      <c r="CT391" s="180">
        <f t="shared" si="720"/>
        <v>1.1054151524782025</v>
      </c>
      <c r="CU391" s="180">
        <f t="shared" si="721"/>
        <v>0.43611011316687626</v>
      </c>
      <c r="CV391" s="180">
        <f t="shared" si="722"/>
        <v>0.83698442246886229</v>
      </c>
      <c r="CW391" s="180">
        <f t="shared" si="723"/>
        <v>0.40349573304423936</v>
      </c>
      <c r="CX391" s="181">
        <f>INDEX('State Tax Lookup'!$D$7:$Z$91,MATCH(Calculation!$C391,'State Tax Lookup'!$B$7:$B$91,0),MATCH($H391,'State Tax Lookup'!$D$6:$Z$6,0))</f>
        <v>0.35</v>
      </c>
      <c r="CY391" s="72">
        <v>0.37</v>
      </c>
      <c r="CZ391" s="70">
        <f t="shared" si="725"/>
        <v>19.566547212039328</v>
      </c>
      <c r="DA391" s="70">
        <v>19.146574949201604</v>
      </c>
      <c r="DB391" s="69">
        <f t="shared" si="729"/>
        <v>6.5079020956413366E-2</v>
      </c>
      <c r="DC391" s="111">
        <f>VLOOKUP($H391,RoR!$E:$F,2,FALSE)</f>
        <v>4.6391666666666664E-2</v>
      </c>
      <c r="DD391" s="216">
        <f>HLOOKUP($H391,'GDP-PI'!$D$8:$CQ$11,3,FALSE)</f>
        <v>2.0840920205183799E-2</v>
      </c>
      <c r="DE391" s="111">
        <f>VLOOKUP(H391,'HW Dx Data'!$E:$F,2,FALSE)</f>
        <v>611.61109612283201</v>
      </c>
      <c r="DF391" s="72">
        <f t="shared" si="739"/>
        <v>120.875</v>
      </c>
      <c r="DG391" s="69">
        <f t="shared" si="740"/>
        <v>3.3224250161508609E-2</v>
      </c>
      <c r="DH391" s="66">
        <f>HLOOKUP(H391,'GDP-PI'!$8:$9,2,FALSE)</f>
        <v>98.111999999999995</v>
      </c>
      <c r="DI391" s="69">
        <f t="shared" si="730"/>
        <v>2.0626719212849295E-2</v>
      </c>
      <c r="DJ391" s="160">
        <v>7.0491873246850015E-4</v>
      </c>
      <c r="EB391"/>
    </row>
    <row r="392" spans="1:132" s="160" customFormat="1" ht="21">
      <c r="A392" s="160" t="s">
        <v>183</v>
      </c>
      <c r="B392" s="161" t="s">
        <v>183</v>
      </c>
      <c r="C392" s="161">
        <v>4057081</v>
      </c>
      <c r="D392" s="161" t="s">
        <v>184</v>
      </c>
      <c r="E392" s="161"/>
      <c r="F392" s="161"/>
      <c r="G392" s="161" t="s">
        <v>128</v>
      </c>
      <c r="H392" s="162">
        <v>2012</v>
      </c>
      <c r="I392" s="163"/>
      <c r="J392" s="159">
        <f>IFERROR(INDEX('Labor Expenditures'!$F$7:$X$91,MATCH($C392,'Labor Expenditures'!$D$7:$D$91,0),MATCH($G392,'Labor Expenditures'!$F$5:$X$5,0)),"NA")</f>
        <v>110647.19852325744</v>
      </c>
      <c r="K392" s="159">
        <f t="shared" si="731"/>
        <v>886.59614201328066</v>
      </c>
      <c r="L392" s="165">
        <f t="shared" si="737"/>
        <v>-5.4921408917582926E-3</v>
      </c>
      <c r="M392" s="76">
        <f t="shared" si="741"/>
        <v>-2.0410000903369201E-4</v>
      </c>
      <c r="N392" s="62">
        <f t="shared" si="747"/>
        <v>113.7299544969804</v>
      </c>
      <c r="O392" s="96">
        <f t="shared" si="742"/>
        <v>-1.2347703660094404E-2</v>
      </c>
      <c r="P392" s="96"/>
      <c r="Q392" s="159">
        <f>IFERROR(INDEX('Non-Labor Expenditures'!$F$7:$AB$91,MATCH($C392,'Non-Labor Expenditures'!$D$7:$D$91,0),MATCH($G392,'Non-Labor Expenditures'!$F$5:$AB$5,0)),"NA")</f>
        <v>160237.80950769695</v>
      </c>
      <c r="R392" s="159">
        <f t="shared" si="732"/>
        <v>1602.3780950769694</v>
      </c>
      <c r="S392" s="165">
        <f t="shared" si="743"/>
        <v>7.4028585313682385E-3</v>
      </c>
      <c r="T392" s="165">
        <f t="shared" si="744"/>
        <v>2.7510646993684167E-4</v>
      </c>
      <c r="U392" s="165"/>
      <c r="V392" s="165"/>
      <c r="W392" s="159">
        <f t="shared" si="713"/>
        <v>126528.71635983542</v>
      </c>
      <c r="X392" s="163"/>
      <c r="Y392" s="167">
        <v>6137.4512582809566</v>
      </c>
      <c r="Z392" s="168">
        <v>2.546537320204386E-2</v>
      </c>
      <c r="AA392" s="76">
        <f t="shared" si="733"/>
        <v>9.4634915655259736E-4</v>
      </c>
      <c r="AB392" s="168"/>
      <c r="AC392" s="168"/>
      <c r="AD392" s="163">
        <f t="shared" si="705"/>
        <v>397413.72439078981</v>
      </c>
      <c r="AE392" s="168">
        <f t="shared" si="745"/>
        <v>4.8951693480793604E-2</v>
      </c>
      <c r="AF392" s="163"/>
      <c r="AG392" s="163"/>
      <c r="AH392" s="163"/>
      <c r="AI392" s="163"/>
      <c r="AJ392" s="116">
        <f t="shared" si="746"/>
        <v>232.30312019593092</v>
      </c>
      <c r="AK392" s="114">
        <f>+AV392/$AX$17</f>
        <v>4.7902329319032336E-2</v>
      </c>
      <c r="AL392" s="115">
        <f t="shared" si="734"/>
        <v>0.2784181615591475</v>
      </c>
      <c r="AM392" s="115">
        <f t="shared" si="735"/>
        <v>0.40320149927718629</v>
      </c>
      <c r="AN392" s="115">
        <f t="shared" si="736"/>
        <v>0.3183803391636662</v>
      </c>
      <c r="AO392" s="115">
        <f t="shared" si="738"/>
        <v>9.3825760235523078E-3</v>
      </c>
      <c r="AP392" s="166">
        <f t="shared" si="749"/>
        <v>95.569208078426811</v>
      </c>
      <c r="AQ392" s="168">
        <f t="shared" si="750"/>
        <v>9.3825760235523182E-3</v>
      </c>
      <c r="AR392" s="69">
        <f>+AD392/$AF$17</f>
        <v>3.7162194680761367E-2</v>
      </c>
      <c r="AS392" s="169">
        <f t="shared" si="748"/>
        <v>3.4867711679429508E-4</v>
      </c>
      <c r="AT392" s="115"/>
      <c r="AU392" s="115"/>
      <c r="AV392" s="113">
        <f>IFERROR(INDEX('Total Customers'!$F$7:$AB$91,MATCH($C392,'Total Customers'!$D$7:$D$91,0),MATCH($G392,'Total Customers'!$F$5:$AB$5,0)),"NA")</f>
        <v>1710755</v>
      </c>
      <c r="AW392" s="68">
        <f t="shared" si="751"/>
        <v>1.6245788195615291E-3</v>
      </c>
      <c r="AX392" s="114"/>
      <c r="AY392" s="114"/>
      <c r="AZ392" s="116"/>
      <c r="BA392" s="116"/>
      <c r="BB392" s="166"/>
      <c r="BC392" s="166"/>
      <c r="BD392" s="166"/>
      <c r="BE392" s="166"/>
      <c r="BF392" s="166"/>
      <c r="BG392" s="166"/>
      <c r="BH392" s="166"/>
      <c r="BI392" s="113"/>
      <c r="BJ392" s="113"/>
      <c r="BK392" s="113">
        <f>INDEX('Dist. Plant Gas Additions'!$F$7:$AE$91,MATCH($C392,'Dist. Plant Gas Additions'!$D$7:$D$91,0),MATCH(Calculation!$G392,'Dist. Plant Gas Additions'!$F$5:$AE$5,0))</f>
        <v>128481</v>
      </c>
      <c r="BL392" s="113">
        <f>INDEX('Gen. Plant Additions'!$F$7:$AE$91,MATCH($C392,'Gen. Plant Additions'!$D$7:$D$91,0),MATCH(Calculation!$G392,'Gen. Plant Additions'!$F$5:$AE$5,0))</f>
        <v>4480</v>
      </c>
      <c r="BM392" s="231">
        <f t="shared" si="714"/>
        <v>0.97625754746852722</v>
      </c>
      <c r="BN392" s="61">
        <f t="shared" si="752"/>
        <v>4373.6338126590017</v>
      </c>
      <c r="BO392" s="113">
        <f>INDEX('Dist Plant Depreciation'!$E$7:$AD$94,MATCH($C392,'Dist Plant Depreciation'!$D$7:$D$94,0),MATCH(Calculation!$G392,'Dist Plant Depreciation'!$E$5:$AD$5,0))</f>
        <v>1714727</v>
      </c>
      <c r="BP392" s="113">
        <f>INDEX('Gen. Plant Depreciation'!$E$7:$AD$94,MATCH($C392,'Gen. Plant Depreciation'!$D$7:$D$94,0),MATCH(Calculation!$G392,'Gen. Plant Depreciation'!$E$5:$AD$5,0))</f>
        <v>34927</v>
      </c>
      <c r="BQ392" s="113"/>
      <c r="BR392" s="113"/>
      <c r="BS392" s="113"/>
      <c r="BT392" s="113"/>
      <c r="BU392" s="113"/>
      <c r="BV392" s="113"/>
      <c r="BW392" s="113">
        <f>INDEX('Gross Dx Plant'!$E$7:$AD$91,MATCH($C392,'Gross Dx Plant'!$D$7:$D$91,0),MATCH(Calculation!$G392,'Gross Dx Plant'!$E$5:$AD$5,0))</f>
        <v>2861200</v>
      </c>
      <c r="BX392" s="113">
        <f>INDEX('Gross Gen Plant'!$E$7:$AD$91,MATCH($C392,'Gross Gen Plant'!$D$7:$D$91,0),MATCH(Calculation!$G392,'Gross Gen Plant'!$E$5:$AD$5,0))</f>
        <v>69584</v>
      </c>
      <c r="BY392" s="113">
        <f t="shared" si="623"/>
        <v>1181130</v>
      </c>
      <c r="BZ392" s="113"/>
      <c r="CA392" s="116">
        <v>2012</v>
      </c>
      <c r="CB392" s="113"/>
      <c r="CC392" s="113"/>
      <c r="CD392" s="113"/>
      <c r="CE392" s="175"/>
      <c r="CF392" s="113">
        <f t="shared" si="715"/>
        <v>132961</v>
      </c>
      <c r="CG392" s="113">
        <f t="shared" si="716"/>
        <v>198.76985998860744</v>
      </c>
      <c r="CH392" s="178">
        <v>0.9135802469135802</v>
      </c>
      <c r="CI392" s="61">
        <f>+CI378*CH392+CG379*CH391+CG380*CH390+CG381*CH389+CG382*CH388+CG383*CH387+CG384*CH386+CG385*CH385+CG386*CH384+CG387*CH383+CG388*CH382+CG389*CH381+CG390*CH380+CG391*CH379+CG392</f>
        <v>6137.4512582809566</v>
      </c>
      <c r="CJ392" s="114">
        <f t="shared" si="717"/>
        <v>2.546537320204386E-2</v>
      </c>
      <c r="CK392" s="114"/>
      <c r="CL392" s="169">
        <f t="shared" si="718"/>
        <v>7.4293214886687903E-3</v>
      </c>
      <c r="CM392" s="169">
        <f t="shared" si="726"/>
        <v>7.1951099229619715E-3</v>
      </c>
      <c r="CN392" s="114">
        <f>VLOOKUP($H392,RoR!$E:$F,2,FALSE)</f>
        <v>3.6733333333333333E-2</v>
      </c>
      <c r="CO392" s="169">
        <v>1.924331376386168E-2</v>
      </c>
      <c r="CP392" s="169">
        <f t="shared" si="724"/>
        <v>1.7490019569471653E-2</v>
      </c>
      <c r="CQ392" s="169">
        <f t="shared" si="727"/>
        <v>2.3706831685571653E-2</v>
      </c>
      <c r="CR392" s="169">
        <f t="shared" si="728"/>
        <v>6.7122682943869583E-2</v>
      </c>
      <c r="CS392" s="179">
        <f t="shared" si="719"/>
        <v>0.87050000000000005</v>
      </c>
      <c r="CT392" s="180">
        <f t="shared" si="720"/>
        <v>1.3960631020522127</v>
      </c>
      <c r="CU392" s="180">
        <f t="shared" si="721"/>
        <v>0.29441923774954631</v>
      </c>
      <c r="CV392" s="180">
        <f t="shared" si="722"/>
        <v>0.76377954189366437</v>
      </c>
      <c r="CW392" s="180">
        <f t="shared" si="723"/>
        <v>0.31393465103033691</v>
      </c>
      <c r="CX392" s="181">
        <f>INDEX('State Tax Lookup'!$D$7:$Z$91,MATCH(Calculation!$C392,'State Tax Lookup'!$B$7:$B$91,0),MATCH($H392,'State Tax Lookup'!$D$6:$Z$6,0))</f>
        <v>0.35</v>
      </c>
      <c r="CY392" s="72">
        <v>0.37</v>
      </c>
      <c r="CZ392" s="70">
        <f t="shared" si="725"/>
        <v>21.147572234564105</v>
      </c>
      <c r="DA392" s="70">
        <v>20.759737328210988</v>
      </c>
      <c r="DB392" s="69">
        <f t="shared" si="729"/>
        <v>7.7703777798974902E-2</v>
      </c>
      <c r="DC392" s="111">
        <f>VLOOKUP($H392,RoR!$E:$F,2,FALSE)</f>
        <v>3.6733333333333333E-2</v>
      </c>
      <c r="DD392" s="216">
        <f>HLOOKUP($H392,'GDP-PI'!$D$8:$CQ$11,3,FALSE)</f>
        <v>1.924331376386168E-2</v>
      </c>
      <c r="DE392" s="111">
        <f>VLOOKUP(H392,'HW Dx Data'!$E:$F,2,FALSE)</f>
        <v>668.91932211262167</v>
      </c>
      <c r="DF392" s="72">
        <f t="shared" si="739"/>
        <v>124.80000000000001</v>
      </c>
      <c r="DG392" s="69">
        <f t="shared" si="740"/>
        <v>3.1955502161869064E-2</v>
      </c>
      <c r="DH392" s="66">
        <f>HLOOKUP(H392,'GDP-PI'!$8:$9,2,FALSE)</f>
        <v>100</v>
      </c>
      <c r="DI392" s="69">
        <f t="shared" si="730"/>
        <v>1.9060502738742411E-2</v>
      </c>
      <c r="DJ392" s="160">
        <v>1.2856192326674205E-3</v>
      </c>
      <c r="EB392"/>
    </row>
    <row r="393" spans="1:132" s="160" customFormat="1" ht="21">
      <c r="A393" s="160" t="s">
        <v>183</v>
      </c>
      <c r="B393" s="161" t="s">
        <v>183</v>
      </c>
      <c r="C393" s="161">
        <v>4057081</v>
      </c>
      <c r="D393" s="161" t="s">
        <v>184</v>
      </c>
      <c r="E393" s="161"/>
      <c r="F393" s="161"/>
      <c r="G393" s="161" t="s">
        <v>129</v>
      </c>
      <c r="H393" s="162">
        <v>2013</v>
      </c>
      <c r="I393" s="163"/>
      <c r="J393" s="159">
        <f>IFERROR(INDEX('Labor Expenditures'!$F$7:$X$91,MATCH($C393,'Labor Expenditures'!$D$7:$D$91,0),MATCH($G393,'Labor Expenditures'!$F$5:$X$5,0)),"NA")</f>
        <v>110877.57693443171</v>
      </c>
      <c r="K393" s="159">
        <f t="shared" si="731"/>
        <v>874.42884017690619</v>
      </c>
      <c r="L393" s="165">
        <f t="shared" si="737"/>
        <v>-1.381865172409206E-2</v>
      </c>
      <c r="M393" s="76">
        <f t="shared" si="741"/>
        <v>-4.970897331074951E-4</v>
      </c>
      <c r="N393" s="62">
        <f t="shared" si="747"/>
        <v>106.62567598922365</v>
      </c>
      <c r="O393" s="96">
        <f t="shared" si="742"/>
        <v>-6.4502472432148572E-2</v>
      </c>
      <c r="P393" s="96"/>
      <c r="Q393" s="159">
        <f>IFERROR(INDEX('Non-Labor Expenditures'!$F$7:$AB$91,MATCH($C393,'Non-Labor Expenditures'!$D$7:$D$91,0),MATCH($G393,'Non-Labor Expenditures'!$F$5:$AB$5,0)),"NA")</f>
        <v>160571.44047582915</v>
      </c>
      <c r="R393" s="159">
        <f t="shared" si="732"/>
        <v>1577.741055838279</v>
      </c>
      <c r="S393" s="165">
        <f t="shared" si="743"/>
        <v>-1.549472267280415E-2</v>
      </c>
      <c r="T393" s="165">
        <f t="shared" si="744"/>
        <v>-5.5738198717103396E-4</v>
      </c>
      <c r="U393" s="165"/>
      <c r="V393" s="165"/>
      <c r="W393" s="159">
        <f t="shared" si="713"/>
        <v>127529.00231744195</v>
      </c>
      <c r="X393" s="163"/>
      <c r="Y393" s="167">
        <v>6375.6905264665056</v>
      </c>
      <c r="Z393" s="168">
        <v>3.8082851590811068E-2</v>
      </c>
      <c r="AA393" s="76">
        <f t="shared" si="733"/>
        <v>1.3699306496193233E-3</v>
      </c>
      <c r="AB393" s="168"/>
      <c r="AC393" s="168"/>
      <c r="AD393" s="163">
        <f t="shared" si="705"/>
        <v>398978.01972770283</v>
      </c>
      <c r="AE393" s="168">
        <f t="shared" si="745"/>
        <v>3.9284619918652439E-3</v>
      </c>
      <c r="AF393" s="163"/>
      <c r="AG393" s="163"/>
      <c r="AH393" s="163"/>
      <c r="AI393" s="163"/>
      <c r="AJ393" s="116">
        <f t="shared" si="746"/>
        <v>232.17156953584242</v>
      </c>
      <c r="AK393" s="114">
        <f>+AV393/$AX$18</f>
        <v>4.7811458265864408E-2</v>
      </c>
      <c r="AL393" s="115">
        <f t="shared" si="734"/>
        <v>0.27790397328179678</v>
      </c>
      <c r="AM393" s="115">
        <f t="shared" si="735"/>
        <v>0.40245685861445957</v>
      </c>
      <c r="AN393" s="115">
        <f t="shared" si="736"/>
        <v>0.31963916810374365</v>
      </c>
      <c r="AO393" s="115">
        <f t="shared" si="738"/>
        <v>2.0632637774894696E-3</v>
      </c>
      <c r="AP393" s="166">
        <f t="shared" si="749"/>
        <v>95.766596125477832</v>
      </c>
      <c r="AQ393" s="168">
        <f t="shared" si="750"/>
        <v>2.0632637774895641E-3</v>
      </c>
      <c r="AR393" s="69">
        <f>+AD393/$AF$18</f>
        <v>3.5972375817305419E-2</v>
      </c>
      <c r="AS393" s="169">
        <f t="shared" si="748"/>
        <v>7.4220500014087823E-5</v>
      </c>
      <c r="AT393" s="115"/>
      <c r="AU393" s="115"/>
      <c r="AV393" s="113">
        <f>IFERROR(INDEX('Total Customers'!$F$7:$AB$91,MATCH($C393,'Total Customers'!$D$7:$D$91,0),MATCH($G393,'Total Customers'!$F$5:$AB$5,0)),"NA")</f>
        <v>1718462</v>
      </c>
      <c r="AW393" s="68">
        <f t="shared" si="751"/>
        <v>4.4949112151026474E-3</v>
      </c>
      <c r="AX393" s="114"/>
      <c r="AY393" s="114"/>
      <c r="AZ393" s="116"/>
      <c r="BA393" s="116"/>
      <c r="BB393" s="166"/>
      <c r="BC393" s="166"/>
      <c r="BD393" s="166"/>
      <c r="BE393" s="166"/>
      <c r="BF393" s="166"/>
      <c r="BG393" s="166"/>
      <c r="BH393" s="166"/>
      <c r="BI393" s="113"/>
      <c r="BJ393" s="113"/>
      <c r="BK393" s="113">
        <f>INDEX('Dist. Plant Gas Additions'!$F$7:$AE$91,MATCH($C393,'Dist. Plant Gas Additions'!$D$7:$D$91,0),MATCH(Calculation!$G393,'Dist. Plant Gas Additions'!$F$5:$AE$5,0))</f>
        <v>163183</v>
      </c>
      <c r="BL393" s="113">
        <f>INDEX('Gen. Plant Additions'!$F$7:$AE$91,MATCH($C393,'Gen. Plant Additions'!$D$7:$D$91,0),MATCH(Calculation!$G393,'Gen. Plant Additions'!$F$5:$AE$5,0))</f>
        <v>26036</v>
      </c>
      <c r="BM393" s="231">
        <f t="shared" si="714"/>
        <v>0.96952823777950514</v>
      </c>
      <c r="BN393" s="61">
        <f t="shared" si="752"/>
        <v>25242.637198827197</v>
      </c>
      <c r="BO393" s="113">
        <f>INDEX('Dist Plant Depreciation'!$E$7:$AD$94,MATCH($C393,'Dist Plant Depreciation'!$D$7:$D$94,0),MATCH(Calculation!$G393,'Dist Plant Depreciation'!$E$5:$AD$5,0))</f>
        <v>1776417</v>
      </c>
      <c r="BP393" s="113">
        <f>INDEX('Gen. Plant Depreciation'!$E$7:$AD$94,MATCH($C393,'Gen. Plant Depreciation'!$D$7:$D$94,0),MATCH(Calculation!$G393,'Gen. Plant Depreciation'!$E$5:$AD$5,0))</f>
        <v>38751</v>
      </c>
      <c r="BQ393" s="113"/>
      <c r="BR393" s="113"/>
      <c r="BS393" s="113"/>
      <c r="BT393" s="113"/>
      <c r="BU393" s="113"/>
      <c r="BV393" s="113"/>
      <c r="BW393" s="113">
        <f>INDEX('Gross Dx Plant'!$E$7:$AD$91,MATCH($C393,'Gross Dx Plant'!$D$7:$D$91,0),MATCH(Calculation!$G393,'Gross Dx Plant'!$E$5:$AD$5,0))</f>
        <v>3014718</v>
      </c>
      <c r="BX393" s="113">
        <f>INDEX('Gross Gen Plant'!$E$7:$AD$91,MATCH($C393,'Gross Gen Plant'!$D$7:$D$91,0),MATCH(Calculation!$G393,'Gross Gen Plant'!$E$5:$AD$5,0))</f>
        <v>94751</v>
      </c>
      <c r="BY393" s="113">
        <f t="shared" si="623"/>
        <v>1294301</v>
      </c>
      <c r="BZ393" s="113"/>
      <c r="CA393" s="116">
        <v>2013</v>
      </c>
      <c r="CB393" s="113"/>
      <c r="CC393" s="113"/>
      <c r="CD393" s="113"/>
      <c r="CE393" s="175"/>
      <c r="CF393" s="113">
        <f t="shared" si="715"/>
        <v>189219</v>
      </c>
      <c r="CG393" s="113">
        <f t="shared" si="716"/>
        <v>285.29130026436599</v>
      </c>
      <c r="CH393" s="178">
        <v>0.90566037735849059</v>
      </c>
      <c r="CI393" s="61">
        <f>+CI378*CH393+CG379*CH392+CG380*CH391+CG381*CH390+CG382*CH389+CG383*CH388+CG384*CH387+CG385*CH386+CG386*CH385+CG387*CH384+CG388*CH383+CG389*CH382+CG390*CH381+CG391*CH380+CG392*CH379+CG393</f>
        <v>6375.6905264665056</v>
      </c>
      <c r="CJ393" s="114">
        <f t="shared" si="717"/>
        <v>3.8082851590811068E-2</v>
      </c>
      <c r="CK393" s="114"/>
      <c r="CL393" s="169">
        <f t="shared" si="718"/>
        <v>7.6663797558199779E-3</v>
      </c>
      <c r="CM393" s="169">
        <f t="shared" si="726"/>
        <v>7.4282833091244326E-3</v>
      </c>
      <c r="CN393" s="114">
        <f>VLOOKUP($H393,RoR!$E:$F,2,FALSE)</f>
        <v>4.2350000000000006E-2</v>
      </c>
      <c r="CO393" s="169">
        <v>1.7730000000000024E-2</v>
      </c>
      <c r="CP393" s="169">
        <f t="shared" si="724"/>
        <v>2.4619999999999982E-2</v>
      </c>
      <c r="CQ393" s="169">
        <f t="shared" si="727"/>
        <v>2.3473658299409193E-2</v>
      </c>
      <c r="CR393" s="169">
        <f t="shared" si="728"/>
        <v>5.3376742735721204E-2</v>
      </c>
      <c r="CS393" s="179">
        <f t="shared" si="719"/>
        <v>0.87050000000000005</v>
      </c>
      <c r="CT393" s="180">
        <f t="shared" si="720"/>
        <v>1.2109103018193925</v>
      </c>
      <c r="CU393" s="180">
        <f t="shared" si="721"/>
        <v>0.38468122786304604</v>
      </c>
      <c r="CV393" s="180">
        <f t="shared" si="722"/>
        <v>0.80969194503422559</v>
      </c>
      <c r="CW393" s="180">
        <f t="shared" si="723"/>
        <v>0.37716621754800816</v>
      </c>
      <c r="CX393" s="181">
        <f>INDEX('State Tax Lookup'!$D$7:$Z$91,MATCH(Calculation!$C393,'State Tax Lookup'!$B$7:$B$91,0),MATCH($H393,'State Tax Lookup'!$D$6:$Z$6,0))</f>
        <v>0.35</v>
      </c>
      <c r="CY393" s="72">
        <v>0.37</v>
      </c>
      <c r="CZ393" s="70">
        <f t="shared" si="725"/>
        <v>20.778821199658967</v>
      </c>
      <c r="DA393" s="70">
        <v>20.339519021246105</v>
      </c>
      <c r="DB393" s="69">
        <f t="shared" si="729"/>
        <v>-1.7590854516890107E-2</v>
      </c>
      <c r="DC393" s="111">
        <f>VLOOKUP($H393,RoR!$E:$F,2,FALSE)</f>
        <v>4.2350000000000006E-2</v>
      </c>
      <c r="DD393" s="216">
        <f>HLOOKUP($H393,'GDP-PI'!$D$8:$CQ$11,3,FALSE)</f>
        <v>1.7730000000000024E-2</v>
      </c>
      <c r="DE393" s="111">
        <f>VLOOKUP(H393,'HW Dx Data'!$E:$F,2,FALSE)</f>
        <v>663.24840548821396</v>
      </c>
      <c r="DF393" s="72">
        <f t="shared" si="739"/>
        <v>126.8</v>
      </c>
      <c r="DG393" s="69">
        <f t="shared" si="740"/>
        <v>1.5898586067798204E-2</v>
      </c>
      <c r="DH393" s="66">
        <f>HLOOKUP(H393,'GDP-PI'!$8:$9,2,FALSE)</f>
        <v>101.773</v>
      </c>
      <c r="DI393" s="69">
        <f t="shared" si="730"/>
        <v>1.7574657016510519E-2</v>
      </c>
      <c r="DJ393" s="160">
        <v>3.7681794141276863E-2</v>
      </c>
      <c r="EB393"/>
    </row>
    <row r="394" spans="1:132" s="160" customFormat="1" ht="21">
      <c r="A394" s="160" t="s">
        <v>183</v>
      </c>
      <c r="B394" s="161" t="s">
        <v>183</v>
      </c>
      <c r="C394" s="161">
        <v>4057081</v>
      </c>
      <c r="D394" s="161" t="s">
        <v>184</v>
      </c>
      <c r="E394" s="161"/>
      <c r="F394" s="161"/>
      <c r="G394" s="161" t="s">
        <v>130</v>
      </c>
      <c r="H394" s="162">
        <v>2014</v>
      </c>
      <c r="I394" s="163"/>
      <c r="J394" s="159">
        <f>IFERROR(INDEX('Labor Expenditures'!$F$7:$X$91,MATCH($C394,'Labor Expenditures'!$D$7:$D$91,0),MATCH($G394,'Labor Expenditures'!$F$5:$X$5,0)),"NA")</f>
        <v>109347.33676154299</v>
      </c>
      <c r="K394" s="159">
        <f t="shared" si="731"/>
        <v>845.03351438595814</v>
      </c>
      <c r="L394" s="165">
        <f t="shared" si="737"/>
        <v>-3.4194630571501808E-2</v>
      </c>
      <c r="M394" s="76">
        <f t="shared" si="741"/>
        <v>-1.2110996714644151E-3</v>
      </c>
      <c r="N394" s="62">
        <f t="shared" si="747"/>
        <v>118.47630858988634</v>
      </c>
      <c r="O394" s="96">
        <f t="shared" si="742"/>
        <v>0.10538866740827735</v>
      </c>
      <c r="P394" s="96"/>
      <c r="Q394" s="159">
        <f>IFERROR(INDEX('Non-Labor Expenditures'!$F$7:$AB$91,MATCH($C394,'Non-Labor Expenditures'!$D$7:$D$91,0),MATCH($G394,'Non-Labor Expenditures'!$F$5:$AB$5,0)),"NA")</f>
        <v>158355.36689604638</v>
      </c>
      <c r="R394" s="159">
        <f t="shared" si="732"/>
        <v>1527.8335783577563</v>
      </c>
      <c r="S394" s="165">
        <f t="shared" si="743"/>
        <v>-3.2143342406083332E-2</v>
      </c>
      <c r="T394" s="165">
        <f t="shared" si="744"/>
        <v>-1.1384474924030739E-3</v>
      </c>
      <c r="U394" s="165"/>
      <c r="V394" s="165"/>
      <c r="W394" s="159">
        <f t="shared" si="713"/>
        <v>135520.14993000458</v>
      </c>
      <c r="X394" s="163"/>
      <c r="Y394" s="167">
        <v>6734.4812719891952</v>
      </c>
      <c r="Z394" s="168">
        <v>5.4748384091331537E-2</v>
      </c>
      <c r="AA394" s="76">
        <f t="shared" si="733"/>
        <v>1.9390690549375082E-3</v>
      </c>
      <c r="AB394" s="168"/>
      <c r="AC394" s="168"/>
      <c r="AD394" s="163">
        <f t="shared" si="705"/>
        <v>403222.853587594</v>
      </c>
      <c r="AE394" s="168">
        <f t="shared" si="745"/>
        <v>1.058306870497084E-2</v>
      </c>
      <c r="AF394" s="163"/>
      <c r="AG394" s="163"/>
      <c r="AH394" s="163"/>
      <c r="AI394" s="163"/>
      <c r="AJ394" s="116">
        <f t="shared" si="746"/>
        <v>233.63941931123966</v>
      </c>
      <c r="AK394" s="114">
        <f>+AV394/$AX$19</f>
        <v>4.775997721912232E-2</v>
      </c>
      <c r="AL394" s="115">
        <f t="shared" si="734"/>
        <v>0.27118338107239487</v>
      </c>
      <c r="AM394" s="115">
        <f t="shared" si="735"/>
        <v>0.39272418586176716</v>
      </c>
      <c r="AN394" s="115">
        <f t="shared" si="736"/>
        <v>0.33609243306583786</v>
      </c>
      <c r="AO394" s="115">
        <f t="shared" si="738"/>
        <v>-4.2176851296975744E-3</v>
      </c>
      <c r="AP394" s="166">
        <f t="shared" si="749"/>
        <v>95.36353337047403</v>
      </c>
      <c r="AQ394" s="168">
        <f t="shared" si="750"/>
        <v>-4.2176851296977088E-3</v>
      </c>
      <c r="AR394" s="69">
        <f>+AD394/$AF$19</f>
        <v>3.5417831724544477E-2</v>
      </c>
      <c r="AS394" s="169">
        <f t="shared" si="748"/>
        <v>-1.49381262190747E-4</v>
      </c>
      <c r="AT394" s="115"/>
      <c r="AU394" s="115"/>
      <c r="AV394" s="113">
        <f>IFERROR(INDEX('Total Customers'!$F$7:$AB$91,MATCH($C394,'Total Customers'!$D$7:$D$91,0),MATCH($G394,'Total Customers'!$F$5:$AB$5,0)),"NA")</f>
        <v>1725834</v>
      </c>
      <c r="AW394" s="68">
        <f t="shared" si="751"/>
        <v>4.2807071502095669E-3</v>
      </c>
      <c r="AX394" s="114"/>
      <c r="AY394" s="114"/>
      <c r="AZ394" s="116"/>
      <c r="BA394" s="116"/>
      <c r="BB394" s="166"/>
      <c r="BC394" s="166"/>
      <c r="BD394" s="166"/>
      <c r="BE394" s="166"/>
      <c r="BF394" s="166"/>
      <c r="BG394" s="166"/>
      <c r="BH394" s="166"/>
      <c r="BI394" s="113"/>
      <c r="BJ394" s="113"/>
      <c r="BK394" s="113">
        <f>INDEX('Dist. Plant Gas Additions'!$F$7:$AE$91,MATCH($C394,'Dist. Plant Gas Additions'!$D$7:$D$91,0),MATCH(Calculation!$G394,'Dist. Plant Gas Additions'!$F$5:$AE$5,0))</f>
        <v>240078</v>
      </c>
      <c r="BL394" s="113">
        <f>INDEX('Gen. Plant Additions'!$F$7:$AE$91,MATCH($C394,'Gen. Plant Additions'!$D$7:$D$91,0),MATCH(Calculation!$G394,'Gen. Plant Additions'!$F$5:$AE$5,0))</f>
        <v>39866</v>
      </c>
      <c r="BM394" s="231">
        <f t="shared" si="714"/>
        <v>0.96093098288544532</v>
      </c>
      <c r="BN394" s="61">
        <f t="shared" si="752"/>
        <v>38308.474563711163</v>
      </c>
      <c r="BO394" s="113">
        <f>INDEX('Dist Plant Depreciation'!$E$7:$AD$94,MATCH($C394,'Dist Plant Depreciation'!$D$7:$D$94,0),MATCH(Calculation!$G394,'Dist Plant Depreciation'!$E$5:$AD$5,0))</f>
        <v>1836225</v>
      </c>
      <c r="BP394" s="113">
        <f>INDEX('Gen. Plant Depreciation'!$E$7:$AD$94,MATCH($C394,'Gen. Plant Depreciation'!$D$7:$D$94,0),MATCH(Calculation!$G394,'Gen. Plant Depreciation'!$E$5:$AD$5,0))</f>
        <v>40492</v>
      </c>
      <c r="BQ394" s="113"/>
      <c r="BR394" s="113"/>
      <c r="BS394" s="113"/>
      <c r="BT394" s="113"/>
      <c r="BU394" s="113"/>
      <c r="BV394" s="113"/>
      <c r="BW394" s="113">
        <f>INDEX('Gross Dx Plant'!$E$7:$AD$91,MATCH($C394,'Gross Dx Plant'!$D$7:$D$91,0),MATCH(Calculation!$G394,'Gross Dx Plant'!$E$5:$AD$5,0))</f>
        <v>3239233</v>
      </c>
      <c r="BX394" s="113">
        <f>INDEX('Gross Gen Plant'!$E$7:$AD$91,MATCH($C394,'Gross Gen Plant'!$D$7:$D$91,0),MATCH(Calculation!$G394,'Gross Gen Plant'!$E$5:$AD$5,0))</f>
        <v>131699</v>
      </c>
      <c r="BY394" s="113">
        <f t="shared" si="623"/>
        <v>1494215</v>
      </c>
      <c r="BZ394" s="113"/>
      <c r="CA394" s="116">
        <v>2014</v>
      </c>
      <c r="CB394" s="113"/>
      <c r="CC394" s="113"/>
      <c r="CD394" s="113"/>
      <c r="CE394" s="175"/>
      <c r="CF394" s="113">
        <f t="shared" si="715"/>
        <v>279944</v>
      </c>
      <c r="CG394" s="113">
        <f t="shared" si="716"/>
        <v>408.99433221224666</v>
      </c>
      <c r="CH394" s="178">
        <v>0.89743589743589747</v>
      </c>
      <c r="CI394" s="61">
        <f>+CI378*CH394+CG379*CH393+CG380*CH392+CG381*CH391+CG382*CH390+CG383*CH389+CG384*CH388+CG385*CH387+CG386*CH386+CG387*CH385+CG388*CH384+CG389*CH383+CG390*CH382+CG391*CH381+CG392*CH380+CG393*CH379+CG394</f>
        <v>6734.4812719891952</v>
      </c>
      <c r="CJ394" s="114">
        <f t="shared" si="717"/>
        <v>5.4748384091331537E-2</v>
      </c>
      <c r="CK394" s="114"/>
      <c r="CL394" s="169">
        <f t="shared" si="718"/>
        <v>7.874219503150915E-3</v>
      </c>
      <c r="CM394" s="169">
        <f t="shared" si="726"/>
        <v>7.6566402492132283E-3</v>
      </c>
      <c r="CN394" s="114">
        <f>VLOOKUP($H394,RoR!$E:$F,2,FALSE)</f>
        <v>4.1625000000000002E-2</v>
      </c>
      <c r="CO394" s="169">
        <v>1.841352814597208E-2</v>
      </c>
      <c r="CP394" s="169">
        <f t="shared" si="724"/>
        <v>2.3211471854027922E-2</v>
      </c>
      <c r="CQ394" s="169">
        <f t="shared" si="727"/>
        <v>2.3245301359320396E-2</v>
      </c>
      <c r="CR394" s="169">
        <f t="shared" si="728"/>
        <v>3.9072621432650924E-2</v>
      </c>
      <c r="CS394" s="179">
        <f t="shared" si="719"/>
        <v>0.87050000000000005</v>
      </c>
      <c r="CT394" s="180">
        <f t="shared" si="720"/>
        <v>1.2320012320012319</v>
      </c>
      <c r="CU394" s="180">
        <f t="shared" si="721"/>
        <v>0.37439939939939942</v>
      </c>
      <c r="CV394" s="180">
        <f t="shared" si="722"/>
        <v>0.80432100613819935</v>
      </c>
      <c r="CW394" s="180">
        <f t="shared" si="723"/>
        <v>0.37100152660040037</v>
      </c>
      <c r="CX394" s="181">
        <f>INDEX('State Tax Lookup'!$D$7:$Z$91,MATCH(Calculation!$C394,'State Tax Lookup'!$B$7:$B$91,0),MATCH($H394,'State Tax Lookup'!$D$6:$Z$6,0))</f>
        <v>0.35</v>
      </c>
      <c r="CY394" s="72">
        <v>0.37</v>
      </c>
      <c r="CZ394" s="70">
        <f t="shared" si="725"/>
        <v>21.255760355280557</v>
      </c>
      <c r="DA394" s="70">
        <v>20.763592984765573</v>
      </c>
      <c r="DB394" s="69">
        <f t="shared" si="729"/>
        <v>2.2693677755821481E-2</v>
      </c>
      <c r="DC394" s="111">
        <f>VLOOKUP($H394,RoR!$E:$F,2,FALSE)</f>
        <v>4.1625000000000002E-2</v>
      </c>
      <c r="DD394" s="216">
        <f>HLOOKUP($H394,'GDP-PI'!$D$8:$CQ$11,3,FALSE)</f>
        <v>1.841352814597208E-2</v>
      </c>
      <c r="DE394" s="111">
        <f>VLOOKUP(H394,'HW Dx Data'!$E:$F,2,FALSE)</f>
        <v>684.46914285042885</v>
      </c>
      <c r="DF394" s="72">
        <f t="shared" si="739"/>
        <v>129.4</v>
      </c>
      <c r="DG394" s="69">
        <f t="shared" si="740"/>
        <v>2.0297340063674733E-2</v>
      </c>
      <c r="DH394" s="66">
        <f>HLOOKUP(H394,'GDP-PI'!$8:$9,2,FALSE)</f>
        <v>103.64700000000001</v>
      </c>
      <c r="DI394" s="69">
        <f t="shared" si="730"/>
        <v>1.8246051898256087E-2</v>
      </c>
      <c r="DJ394" s="160">
        <v>3.3310601358195048E-3</v>
      </c>
      <c r="EB394"/>
    </row>
    <row r="395" spans="1:132" s="160" customFormat="1" ht="21">
      <c r="A395" s="160" t="s">
        <v>183</v>
      </c>
      <c r="B395" s="161" t="s">
        <v>183</v>
      </c>
      <c r="C395" s="161">
        <v>4057081</v>
      </c>
      <c r="D395" s="161" t="s">
        <v>184</v>
      </c>
      <c r="E395" s="161"/>
      <c r="F395" s="161"/>
      <c r="G395" s="161" t="s">
        <v>132</v>
      </c>
      <c r="H395" s="162">
        <v>2015</v>
      </c>
      <c r="I395" s="163"/>
      <c r="J395" s="159">
        <f>IFERROR(INDEX('Labor Expenditures'!$F$7:$X$91,MATCH($C395,'Labor Expenditures'!$D$7:$D$91,0),MATCH($G395,'Labor Expenditures'!$F$5:$X$5,0)),"NA")</f>
        <v>113048.56167988709</v>
      </c>
      <c r="K395" s="159">
        <f t="shared" si="731"/>
        <v>846.80570546731906</v>
      </c>
      <c r="L395" s="165">
        <f t="shared" si="737"/>
        <v>2.094988352013734E-3</v>
      </c>
      <c r="M395" s="76">
        <f t="shared" si="741"/>
        <v>7.6010166580539739E-5</v>
      </c>
      <c r="N395" s="62">
        <f t="shared" si="747"/>
        <v>116.55069049489664</v>
      </c>
      <c r="O395" s="96">
        <f t="shared" si="742"/>
        <v>-1.6386723159154837E-2</v>
      </c>
      <c r="P395" s="96"/>
      <c r="Q395" s="159">
        <f>IFERROR(INDEX('Non-Labor Expenditures'!$F$7:$AB$91,MATCH($C395,'Non-Labor Expenditures'!$D$7:$D$91,0),MATCH($G395,'Non-Labor Expenditures'!$F$5:$AB$5,0)),"NA")</f>
        <v>163715.43187126672</v>
      </c>
      <c r="R395" s="159">
        <f t="shared" si="732"/>
        <v>1564.5737427848767</v>
      </c>
      <c r="S395" s="165">
        <f t="shared" si="743"/>
        <v>2.3762647940074776E-2</v>
      </c>
      <c r="T395" s="165">
        <f t="shared" si="744"/>
        <v>8.6215411488262171E-4</v>
      </c>
      <c r="U395" s="165"/>
      <c r="V395" s="165"/>
      <c r="W395" s="159">
        <f t="shared" si="713"/>
        <v>140380.56835285353</v>
      </c>
      <c r="X395" s="163"/>
      <c r="Y395" s="167">
        <v>7153.6440185373167</v>
      </c>
      <c r="Z395" s="168">
        <v>6.0381092672284802E-2</v>
      </c>
      <c r="AA395" s="76">
        <f t="shared" si="733"/>
        <v>2.1907410167334848E-3</v>
      </c>
      <c r="AB395" s="168"/>
      <c r="AC395" s="168"/>
      <c r="AD395" s="163">
        <f t="shared" si="705"/>
        <v>417144.56190400734</v>
      </c>
      <c r="AE395" s="168">
        <f t="shared" si="745"/>
        <v>3.3943437279179998E-2</v>
      </c>
      <c r="AF395" s="163"/>
      <c r="AG395" s="163"/>
      <c r="AH395" s="163"/>
      <c r="AI395" s="163"/>
      <c r="AJ395" s="116">
        <f t="shared" si="746"/>
        <v>240.36195179100213</v>
      </c>
      <c r="AK395" s="114">
        <f>+AV395/$AX$20</f>
        <v>4.7636532340091381E-2</v>
      </c>
      <c r="AL395" s="115">
        <f t="shared" si="734"/>
        <v>0.27100571841063975</v>
      </c>
      <c r="AM395" s="115">
        <f t="shared" si="735"/>
        <v>0.3924668971447377</v>
      </c>
      <c r="AN395" s="115">
        <f t="shared" si="736"/>
        <v>0.33652738444462255</v>
      </c>
      <c r="AO395" s="115">
        <f t="shared" si="738"/>
        <v>3.0203809326744886E-2</v>
      </c>
      <c r="AP395" s="166">
        <f t="shared" si="749"/>
        <v>98.28781526767655</v>
      </c>
      <c r="AQ395" s="168">
        <f t="shared" si="750"/>
        <v>3.0203809326744782E-2</v>
      </c>
      <c r="AR395" s="69">
        <f>+AD395/$AF$20</f>
        <v>3.6281904148764185E-2</v>
      </c>
      <c r="AS395" s="169">
        <f t="shared" si="748"/>
        <v>1.095851714920504E-3</v>
      </c>
      <c r="AT395" s="115"/>
      <c r="AU395" s="115"/>
      <c r="AV395" s="113">
        <f>IFERROR(INDEX('Total Customers'!$F$7:$AB$91,MATCH($C395,'Total Customers'!$D$7:$D$91,0),MATCH($G395,'Total Customers'!$F$5:$AB$5,0)),"NA")</f>
        <v>1735485</v>
      </c>
      <c r="AW395" s="68">
        <f t="shared" si="751"/>
        <v>5.576501333765871E-3</v>
      </c>
      <c r="AX395" s="114"/>
      <c r="AY395" s="114"/>
      <c r="AZ395" s="116"/>
      <c r="BA395" s="116"/>
      <c r="BB395" s="166"/>
      <c r="BC395" s="166"/>
      <c r="BD395" s="166"/>
      <c r="BE395" s="166"/>
      <c r="BF395" s="166"/>
      <c r="BG395" s="166"/>
      <c r="BH395" s="166"/>
      <c r="BI395" s="113"/>
      <c r="BJ395" s="113"/>
      <c r="BK395" s="113">
        <f>INDEX('Dist. Plant Gas Additions'!$F$7:$AE$91,MATCH($C395,'Dist. Plant Gas Additions'!$D$7:$D$91,0),MATCH(Calculation!$G395,'Dist. Plant Gas Additions'!$F$5:$AE$5,0))</f>
        <v>273076</v>
      </c>
      <c r="BL395" s="113">
        <f>INDEX('Gen. Plant Additions'!$F$7:$AE$91,MATCH($C395,'Gen. Plant Additions'!$D$7:$D$91,0),MATCH(Calculation!$G395,'Gen. Plant Additions'!$F$5:$AE$5,0))</f>
        <v>46675</v>
      </c>
      <c r="BM395" s="231">
        <f t="shared" si="714"/>
        <v>0.95367512594564907</v>
      </c>
      <c r="BN395" s="61">
        <f t="shared" si="752"/>
        <v>44512.786503513169</v>
      </c>
      <c r="BO395" s="113">
        <f>INDEX('Dist Plant Depreciation'!$E$7:$AD$94,MATCH($C395,'Dist Plant Depreciation'!$D$7:$D$94,0),MATCH(Calculation!$G395,'Dist Plant Depreciation'!$E$5:$AD$5,0))</f>
        <v>1905140</v>
      </c>
      <c r="BP395" s="113">
        <f>INDEX('Gen. Plant Depreciation'!$E$7:$AD$94,MATCH($C395,'Gen. Plant Depreciation'!$D$7:$D$94,0),MATCH(Calculation!$G395,'Gen. Plant Depreciation'!$E$5:$AD$5,0))</f>
        <v>45932</v>
      </c>
      <c r="BQ395" s="113"/>
      <c r="BR395" s="113"/>
      <c r="BS395" s="113"/>
      <c r="BT395" s="113"/>
      <c r="BU395" s="113"/>
      <c r="BV395" s="113"/>
      <c r="BW395" s="113">
        <f>INDEX('Gross Dx Plant'!$E$7:$AD$91,MATCH($C395,'Gross Dx Plant'!$D$7:$D$91,0),MATCH(Calculation!$G395,'Gross Dx Plant'!$E$5:$AD$5,0))</f>
        <v>3497182</v>
      </c>
      <c r="BX395" s="113">
        <f>INDEX('Gross Gen Plant'!$E$7:$AD$91,MATCH($C395,'Gross Gen Plant'!$D$7:$D$91,0),MATCH(Calculation!$G395,'Gross Gen Plant'!$E$5:$AD$5,0))</f>
        <v>169876</v>
      </c>
      <c r="BY395" s="113">
        <f t="shared" ref="BY395:BY464" si="753">IF(OR(BO395="NA",BP395="NA"),"NA",(SUM(BW395:BX395)-SUM(BO395:BP395)))</f>
        <v>1715986</v>
      </c>
      <c r="BZ395" s="113"/>
      <c r="CA395" s="116">
        <v>2015</v>
      </c>
      <c r="CB395" s="113"/>
      <c r="CC395" s="113"/>
      <c r="CD395" s="113"/>
      <c r="CE395" s="175"/>
      <c r="CF395" s="113">
        <f t="shared" si="715"/>
        <v>319751</v>
      </c>
      <c r="CG395" s="113">
        <f t="shared" si="716"/>
        <v>473.2742370294207</v>
      </c>
      <c r="CH395" s="178">
        <v>0.88888888888888884</v>
      </c>
      <c r="CI395" s="61">
        <f>+CI378*CH395+CG379*CH394+CG380*CH393+CG381*CH392+CG382*CH391+CG383*CH390+CG384*CH389+CG385*CH388+CG386*CH387+CG387*CH386+CG388*CH385+CG389*CH384+CG390*CH383+CG391*CH382+CG392*CH381+CG393*CH380+CG394*CH379+CG395</f>
        <v>7153.6440185373167</v>
      </c>
      <c r="CJ395" s="114">
        <f t="shared" si="717"/>
        <v>6.0381092672284802E-2</v>
      </c>
      <c r="CK395" s="114"/>
      <c r="CL395" s="169">
        <f t="shared" si="718"/>
        <v>8.0349901196348616E-3</v>
      </c>
      <c r="CM395" s="169">
        <f t="shared" si="726"/>
        <v>7.8585297928685845E-3</v>
      </c>
      <c r="CN395" s="114">
        <f>VLOOKUP($H395,RoR!$E:$F,2,FALSE)</f>
        <v>3.8866666666666674E-2</v>
      </c>
      <c r="CO395" s="169">
        <v>9.5709475431029478E-3</v>
      </c>
      <c r="CP395" s="169">
        <f t="shared" si="724"/>
        <v>2.9295719123563727E-2</v>
      </c>
      <c r="CQ395" s="169">
        <f t="shared" si="727"/>
        <v>2.3043411815665042E-2</v>
      </c>
      <c r="CR395" s="169">
        <f t="shared" si="728"/>
        <v>3.5270373279175926E-3</v>
      </c>
      <c r="CS395" s="179">
        <f t="shared" si="719"/>
        <v>0.87050000000000005</v>
      </c>
      <c r="CT395" s="180">
        <f t="shared" si="720"/>
        <v>1.3194352816994324</v>
      </c>
      <c r="CU395" s="180">
        <f t="shared" si="721"/>
        <v>0.33177530017152673</v>
      </c>
      <c r="CV395" s="180">
        <f t="shared" si="722"/>
        <v>0.78242572977668579</v>
      </c>
      <c r="CW395" s="180">
        <f t="shared" si="723"/>
        <v>0.34251158643433932</v>
      </c>
      <c r="CX395" s="181">
        <f>INDEX('State Tax Lookup'!$D$7:$Z$91,MATCH(Calculation!$C395,'State Tax Lookup'!$B$7:$B$91,0),MATCH($H395,'State Tax Lookup'!$D$6:$Z$6,0))</f>
        <v>0.35</v>
      </c>
      <c r="CY395" s="72">
        <v>0.37</v>
      </c>
      <c r="CZ395" s="70">
        <f t="shared" si="725"/>
        <v>20.845045473174011</v>
      </c>
      <c r="DA395" s="70">
        <v>20.279488671080099</v>
      </c>
      <c r="DB395" s="69">
        <f t="shared" si="729"/>
        <v>-1.951164135760532E-2</v>
      </c>
      <c r="DC395" s="111">
        <f>VLOOKUP($H395,RoR!$E:$F,2,FALSE)</f>
        <v>3.8866666666666674E-2</v>
      </c>
      <c r="DD395" s="216">
        <f>HLOOKUP($H395,'GDP-PI'!$D$8:$CQ$11,3,FALSE)</f>
        <v>9.5709475431029478E-3</v>
      </c>
      <c r="DE395" s="111">
        <f>VLOOKUP(H395,'HW Dx Data'!$E:$F,2,FALSE)</f>
        <v>675.61463308665782</v>
      </c>
      <c r="DF395" s="72">
        <f t="shared" si="739"/>
        <v>133.5</v>
      </c>
      <c r="DG395" s="69">
        <f t="shared" si="740"/>
        <v>3.1193095773504077E-2</v>
      </c>
      <c r="DH395" s="66">
        <f>HLOOKUP(H395,'GDP-PI'!$8:$9,2,FALSE)</f>
        <v>104.639</v>
      </c>
      <c r="DI395" s="69">
        <f t="shared" si="730"/>
        <v>9.5254361854427965E-3</v>
      </c>
      <c r="DJ395" s="160">
        <v>1.2225736679067095E-2</v>
      </c>
      <c r="EB395"/>
    </row>
    <row r="396" spans="1:132" s="160" customFormat="1" ht="21">
      <c r="A396" s="160" t="s">
        <v>183</v>
      </c>
      <c r="B396" s="161" t="s">
        <v>183</v>
      </c>
      <c r="C396" s="161">
        <v>4057081</v>
      </c>
      <c r="D396" s="161" t="s">
        <v>184</v>
      </c>
      <c r="E396" s="161"/>
      <c r="F396" s="161"/>
      <c r="G396" s="161" t="s">
        <v>133</v>
      </c>
      <c r="H396" s="162">
        <v>2016</v>
      </c>
      <c r="I396" s="163"/>
      <c r="J396" s="159">
        <f>IFERROR(INDEX('Labor Expenditures'!$F$7:$X$91,MATCH($C396,'Labor Expenditures'!$D$7:$D$91,0),MATCH($G396,'Labor Expenditures'!$F$5:$X$5,0)),"NA")</f>
        <v>111819.22825536168</v>
      </c>
      <c r="K396" s="159">
        <f t="shared" si="731"/>
        <v>816.49673789968381</v>
      </c>
      <c r="L396" s="165">
        <f t="shared" si="737"/>
        <v>-3.6448359739251465E-2</v>
      </c>
      <c r="M396" s="76">
        <f t="shared" si="741"/>
        <v>-1.2892551290565179E-3</v>
      </c>
      <c r="N396" s="62">
        <f t="shared" si="747"/>
        <v>291.39289059240951</v>
      </c>
      <c r="O396" s="96">
        <f t="shared" si="742"/>
        <v>0.91634620612917872</v>
      </c>
      <c r="P396" s="96"/>
      <c r="Q396" s="159">
        <f>IFERROR(INDEX('Non-Labor Expenditures'!$F$7:$AB$91,MATCH($C396,'Non-Labor Expenditures'!$D$7:$D$91,0),MATCH($G396,'Non-Labor Expenditures'!$F$5:$AB$5,0)),"NA")</f>
        <v>161935.12746474223</v>
      </c>
      <c r="R396" s="159">
        <f t="shared" si="732"/>
        <v>1531.5041940752649</v>
      </c>
      <c r="S396" s="165">
        <f t="shared" si="743"/>
        <v>-2.1363032237673499E-2</v>
      </c>
      <c r="T396" s="165">
        <f t="shared" si="744"/>
        <v>-7.5565537329131771E-4</v>
      </c>
      <c r="U396" s="165"/>
      <c r="V396" s="165"/>
      <c r="W396" s="159">
        <f t="shared" si="713"/>
        <v>147093.83678360551</v>
      </c>
      <c r="X396" s="163"/>
      <c r="Y396" s="167">
        <v>7631.6307290679697</v>
      </c>
      <c r="Z396" s="168">
        <v>6.4679668600083923E-2</v>
      </c>
      <c r="AA396" s="76">
        <f t="shared" si="733"/>
        <v>2.2878558893977417E-3</v>
      </c>
      <c r="AB396" s="168"/>
      <c r="AC396" s="168"/>
      <c r="AD396" s="163">
        <f t="shared" si="705"/>
        <v>420848.1925037094</v>
      </c>
      <c r="AE396" s="168">
        <f t="shared" si="745"/>
        <v>8.839347822920219E-3</v>
      </c>
      <c r="AF396" s="163"/>
      <c r="AG396" s="163"/>
      <c r="AH396" s="163"/>
      <c r="AI396" s="163"/>
      <c r="AJ396" s="116">
        <f t="shared" si="746"/>
        <v>240.53526256018944</v>
      </c>
      <c r="AK396" s="114">
        <f>+AV396/$AX$21</f>
        <v>4.7609845000352931E-2</v>
      </c>
      <c r="AL396" s="115">
        <f t="shared" si="734"/>
        <v>0.2656996756719493</v>
      </c>
      <c r="AM396" s="115">
        <f t="shared" si="735"/>
        <v>0.3847827562270329</v>
      </c>
      <c r="AN396" s="115">
        <f t="shared" si="736"/>
        <v>0.34951756810101781</v>
      </c>
      <c r="AO396" s="115">
        <f t="shared" si="738"/>
        <v>4.10335974809585E-3</v>
      </c>
      <c r="AP396" s="166">
        <f t="shared" si="749"/>
        <v>98.691954129083229</v>
      </c>
      <c r="AQ396" s="168">
        <f t="shared" si="750"/>
        <v>4.1033597480957988E-3</v>
      </c>
      <c r="AR396" s="69">
        <f>+AD396/$AF$21</f>
        <v>3.5372102840285323E-2</v>
      </c>
      <c r="AS396" s="169">
        <f t="shared" si="748"/>
        <v>1.4514446300033189E-4</v>
      </c>
      <c r="AT396" s="115"/>
      <c r="AU396" s="115"/>
      <c r="AV396" s="113">
        <f>IFERROR(INDEX('Total Customers'!$F$7:$AB$91,MATCH($C396,'Total Customers'!$D$7:$D$91,0),MATCH($G396,'Total Customers'!$F$5:$AB$5,0)),"NA")</f>
        <v>1749632</v>
      </c>
      <c r="AW396" s="68">
        <f t="shared" si="751"/>
        <v>8.1185668679944218E-3</v>
      </c>
      <c r="AX396" s="114"/>
      <c r="AY396" s="114"/>
      <c r="AZ396" s="116"/>
      <c r="BA396" s="116"/>
      <c r="BB396" s="166"/>
      <c r="BC396" s="166"/>
      <c r="BD396" s="166"/>
      <c r="BE396" s="166"/>
      <c r="BF396" s="166"/>
      <c r="BG396" s="166"/>
      <c r="BH396" s="166"/>
      <c r="BI396" s="113"/>
      <c r="BJ396" s="113"/>
      <c r="BK396" s="113">
        <f>INDEX('Dist. Plant Gas Additions'!$F$7:$AE$91,MATCH($C396,'Dist. Plant Gas Additions'!$D$7:$D$91,0),MATCH(Calculation!$G396,'Dist. Plant Gas Additions'!$F$5:$AE$5,0))</f>
        <v>324644</v>
      </c>
      <c r="BL396" s="113">
        <f>INDEX('Gen. Plant Additions'!$F$7:$AE$91,MATCH($C396,'Gen. Plant Additions'!$D$7:$D$91,0),MATCH(Calculation!$G396,'Gen. Plant Additions'!$F$5:$AE$5,0))</f>
        <v>35589</v>
      </c>
      <c r="BM396" s="231">
        <f t="shared" si="714"/>
        <v>0.95057714696347484</v>
      </c>
      <c r="BN396" s="61">
        <f t="shared" si="752"/>
        <v>33830.090083283103</v>
      </c>
      <c r="BO396" s="113">
        <f>INDEX('Dist Plant Depreciation'!$E$7:$AD$94,MATCH($C396,'Dist Plant Depreciation'!$D$7:$D$94,0),MATCH(Calculation!$G396,'Dist Plant Depreciation'!$E$5:$AD$5,0))</f>
        <v>1984804</v>
      </c>
      <c r="BP396" s="113">
        <f>INDEX('Gen. Plant Depreciation'!$E$7:$AD$94,MATCH($C396,'Gen. Plant Depreciation'!$D$7:$D$94,0),MATCH(Calculation!$G396,'Gen. Plant Depreciation'!$E$5:$AD$5,0))</f>
        <v>53270</v>
      </c>
      <c r="BQ396" s="113"/>
      <c r="BR396" s="113"/>
      <c r="BS396" s="113"/>
      <c r="BT396" s="113"/>
      <c r="BU396" s="113"/>
      <c r="BV396" s="113"/>
      <c r="BW396" s="113">
        <f>INDEX('Gross Dx Plant'!$E$7:$AD$91,MATCH($C396,'Gross Dx Plant'!$D$7:$D$91,0),MATCH(Calculation!$G396,'Gross Dx Plant'!$E$5:$AD$5,0))</f>
        <v>3805705</v>
      </c>
      <c r="BX396" s="113">
        <f>INDEX('Gross Gen Plant'!$E$7:$AD$91,MATCH($C396,'Gross Gen Plant'!$D$7:$D$91,0),MATCH(Calculation!$G396,'Gross Gen Plant'!$E$5:$AD$5,0))</f>
        <v>197868</v>
      </c>
      <c r="BY396" s="113">
        <f t="shared" si="753"/>
        <v>1965499</v>
      </c>
      <c r="BZ396" s="113"/>
      <c r="CA396" s="116">
        <v>2016</v>
      </c>
      <c r="CB396" s="113"/>
      <c r="CC396" s="113"/>
      <c r="CD396" s="113"/>
      <c r="CE396" s="175"/>
      <c r="CF396" s="113">
        <f t="shared" si="715"/>
        <v>360233</v>
      </c>
      <c r="CG396" s="113">
        <f t="shared" si="716"/>
        <v>536.49500294320478</v>
      </c>
      <c r="CH396" s="178">
        <v>0.88</v>
      </c>
      <c r="CI396" s="61">
        <f>+CI378*CH396+CG379*CH395+CG380*CH394+CG381*CH393+CG382*CH392+CG383*CH391+CG384*CH390+CG385*CH389+CG386*CH388+CG387*CH387+CG388*CH386+CG389*CH385+CG390*CH384+CG391*CH383+CG392*CH382+CG393*CH381+CG394*CH380+CG395*CH379+CG396</f>
        <v>7631.6307290679697</v>
      </c>
      <c r="CJ396" s="114">
        <f t="shared" si="717"/>
        <v>6.4679668600083923E-2</v>
      </c>
      <c r="CK396" s="114"/>
      <c r="CL396" s="169">
        <f t="shared" si="718"/>
        <v>8.1788096054176869E-3</v>
      </c>
      <c r="CM396" s="169">
        <f t="shared" si="726"/>
        <v>8.0293397427344867E-3</v>
      </c>
      <c r="CN396" s="114">
        <f>VLOOKUP($H396,RoR!$E:$F,2,FALSE)</f>
        <v>3.6658333333333334E-2</v>
      </c>
      <c r="CO396" s="169">
        <v>1.0483662879041455E-2</v>
      </c>
      <c r="CP396" s="169">
        <f t="shared" si="724"/>
        <v>2.6174670454291879E-2</v>
      </c>
      <c r="CQ396" s="169">
        <f t="shared" si="727"/>
        <v>2.287260186579914E-2</v>
      </c>
      <c r="CR396" s="169">
        <f t="shared" si="728"/>
        <v>4.301363574220729E-3</v>
      </c>
      <c r="CS396" s="179">
        <f t="shared" si="719"/>
        <v>0.87050000000000005</v>
      </c>
      <c r="CT396" s="180">
        <f t="shared" si="720"/>
        <v>1.3989193348138562</v>
      </c>
      <c r="CU396" s="180">
        <f t="shared" si="721"/>
        <v>0.29302682427824522</v>
      </c>
      <c r="CV396" s="180">
        <f t="shared" si="722"/>
        <v>0.76309497491941802</v>
      </c>
      <c r="CW396" s="180">
        <f t="shared" si="723"/>
        <v>0.31280857135128509</v>
      </c>
      <c r="CX396" s="181">
        <f>INDEX('State Tax Lookup'!$D$7:$Z$91,MATCH(Calculation!$C396,'State Tax Lookup'!$B$7:$B$91,0),MATCH($H396,'State Tax Lookup'!$D$6:$Z$6,0))</f>
        <v>0.35</v>
      </c>
      <c r="CY396" s="72">
        <v>0.37</v>
      </c>
      <c r="CZ396" s="70">
        <f t="shared" si="725"/>
        <v>20.562085057970403</v>
      </c>
      <c r="DA396" s="70">
        <v>19.909765876209278</v>
      </c>
      <c r="DB396" s="69">
        <f t="shared" si="729"/>
        <v>-1.3667444050709054E-2</v>
      </c>
      <c r="DC396" s="111">
        <f>VLOOKUP($H396,RoR!$E:$F,2,FALSE)</f>
        <v>3.6658333333333334E-2</v>
      </c>
      <c r="DD396" s="216">
        <f>HLOOKUP($H396,'GDP-PI'!$D$8:$CQ$11,3,FALSE)</f>
        <v>1.0483662879041455E-2</v>
      </c>
      <c r="DE396" s="111">
        <f>VLOOKUP(H396,'HW Dx Data'!$E:$F,2,FALSE)</f>
        <v>671.45639385971219</v>
      </c>
      <c r="DF396" s="72">
        <f t="shared" si="739"/>
        <v>136.94999999999999</v>
      </c>
      <c r="DG396" s="69">
        <f t="shared" si="740"/>
        <v>2.5514417868782811E-2</v>
      </c>
      <c r="DH396" s="66">
        <f>HLOOKUP(H396,'GDP-PI'!$8:$9,2,FALSE)</f>
        <v>105.736</v>
      </c>
      <c r="DI396" s="69">
        <f t="shared" si="730"/>
        <v>1.0429090367205095E-2</v>
      </c>
      <c r="DJ396" s="160">
        <v>8.1954649143381481E-3</v>
      </c>
      <c r="EB396"/>
    </row>
    <row r="397" spans="1:132" s="160" customFormat="1" ht="21">
      <c r="A397" s="160" t="s">
        <v>183</v>
      </c>
      <c r="B397" s="161" t="s">
        <v>183</v>
      </c>
      <c r="C397" s="161">
        <v>4057081</v>
      </c>
      <c r="D397" s="161" t="s">
        <v>184</v>
      </c>
      <c r="E397" s="161"/>
      <c r="F397" s="161"/>
      <c r="G397" s="161" t="s">
        <v>135</v>
      </c>
      <c r="H397" s="162">
        <v>2017</v>
      </c>
      <c r="I397" s="163"/>
      <c r="J397" s="159">
        <f>IFERROR(INDEX('Labor Expenditures'!$F$7:$X$91,MATCH($C397,'Labor Expenditures'!$D$7:$D$91,0),MATCH($G397,'Labor Expenditures'!$F$5:$X$5,0)),"NA")</f>
        <v>106858.4565753466</v>
      </c>
      <c r="K397" s="159">
        <f t="shared" si="731"/>
        <v>760.8291674997979</v>
      </c>
      <c r="L397" s="165">
        <f t="shared" si="737"/>
        <v>-7.0614068748847597E-2</v>
      </c>
      <c r="M397" s="76">
        <f t="shared" si="741"/>
        <v>-2.4197442642046683E-3</v>
      </c>
      <c r="N397" s="62">
        <f t="shared" si="747"/>
        <v>161.91478905669248</v>
      </c>
      <c r="O397" s="96">
        <f t="shared" si="742"/>
        <v>-0.58760229267345299</v>
      </c>
      <c r="P397" s="96"/>
      <c r="Q397" s="159">
        <f>IFERROR(INDEX('Non-Labor Expenditures'!$F$7:$AB$91,MATCH($C397,'Non-Labor Expenditures'!$D$7:$D$91,0),MATCH($G397,'Non-Labor Expenditures'!$F$5:$AB$5,0)),"NA")</f>
        <v>154751.00352773763</v>
      </c>
      <c r="R397" s="159">
        <f t="shared" si="732"/>
        <v>1436.1908801564498</v>
      </c>
      <c r="S397" s="165">
        <f t="shared" si="743"/>
        <v>-6.4255999135427025E-2</v>
      </c>
      <c r="T397" s="165">
        <f t="shared" si="744"/>
        <v>-2.2018712149514414E-3</v>
      </c>
      <c r="U397" s="165"/>
      <c r="V397" s="165"/>
      <c r="W397" s="159">
        <f t="shared" si="713"/>
        <v>144140.18223478587</v>
      </c>
      <c r="X397" s="163"/>
      <c r="Y397" s="167">
        <v>8144.1061393358714</v>
      </c>
      <c r="Z397" s="168">
        <v>6.4992944130022989E-2</v>
      </c>
      <c r="AA397" s="76">
        <f t="shared" si="733"/>
        <v>2.227124234007039E-3</v>
      </c>
      <c r="AB397" s="168"/>
      <c r="AC397" s="168"/>
      <c r="AD397" s="163">
        <f t="shared" si="705"/>
        <v>405749.64233787009</v>
      </c>
      <c r="AE397" s="168">
        <f t="shared" si="745"/>
        <v>-3.6535855867445767E-2</v>
      </c>
      <c r="AF397" s="163"/>
      <c r="AG397" s="163"/>
      <c r="AH397" s="163"/>
      <c r="AI397" s="163"/>
      <c r="AJ397" s="116">
        <f t="shared" si="746"/>
        <v>230.04471196498332</v>
      </c>
      <c r="AK397" s="114">
        <f>+AV397/$AX$22</f>
        <v>4.7634400401344208E-2</v>
      </c>
      <c r="AL397" s="115">
        <f t="shared" si="734"/>
        <v>0.26336056874787073</v>
      </c>
      <c r="AM397" s="115">
        <f t="shared" si="735"/>
        <v>0.38139529251605742</v>
      </c>
      <c r="AN397" s="115">
        <f t="shared" si="736"/>
        <v>0.35524413873607191</v>
      </c>
      <c r="AO397" s="115">
        <f t="shared" si="738"/>
        <v>-2.0393047135959921E-2</v>
      </c>
      <c r="AP397" s="166">
        <f t="shared" si="749"/>
        <v>96.699707489944771</v>
      </c>
      <c r="AQ397" s="168">
        <f t="shared" si="750"/>
        <v>-2.0393047135959887E-2</v>
      </c>
      <c r="AR397" s="69">
        <f>+AD397/$AF$22</f>
        <v>3.4267169518456021E-2</v>
      </c>
      <c r="AS397" s="169">
        <f t="shared" si="748"/>
        <v>-6.9881200320580145E-4</v>
      </c>
      <c r="AT397" s="115"/>
      <c r="AU397" s="115"/>
      <c r="AV397" s="113">
        <f>IFERROR(INDEX('Total Customers'!$F$7:$AB$91,MATCH($C397,'Total Customers'!$D$7:$D$91,0),MATCH($G397,'Total Customers'!$F$5:$AB$5,0)),"NA")</f>
        <v>1763786</v>
      </c>
      <c r="AW397" s="68">
        <f t="shared" si="751"/>
        <v>8.0571549245764783E-3</v>
      </c>
      <c r="AX397" s="114"/>
      <c r="AY397" s="114"/>
      <c r="AZ397" s="116"/>
      <c r="BA397" s="116"/>
      <c r="BB397" s="166"/>
      <c r="BC397" s="166"/>
      <c r="BD397" s="166"/>
      <c r="BE397" s="166"/>
      <c r="BF397" s="166"/>
      <c r="BG397" s="166"/>
      <c r="BH397" s="166"/>
      <c r="BI397" s="113"/>
      <c r="BJ397" s="113"/>
      <c r="BK397" s="113">
        <f>INDEX('Dist. Plant Gas Additions'!$F$7:$AE$91,MATCH($C397,'Dist. Plant Gas Additions'!$D$7:$D$91,0),MATCH(Calculation!$G397,'Dist. Plant Gas Additions'!$F$5:$AE$5,0))</f>
        <v>394545</v>
      </c>
      <c r="BL397" s="113">
        <f>INDEX('Gen. Plant Additions'!$F$7:$AE$91,MATCH($C397,'Gen. Plant Additions'!$D$7:$D$91,0),MATCH(Calculation!$G397,'Gen. Plant Additions'!$F$5:$AE$5,0))</f>
        <v>15732</v>
      </c>
      <c r="BM397" s="231">
        <f t="shared" si="714"/>
        <v>0.95272139002444045</v>
      </c>
      <c r="BN397" s="61">
        <f t="shared" si="752"/>
        <v>14988.212907864498</v>
      </c>
      <c r="BO397" s="113">
        <f>INDEX('Dist Plant Depreciation'!$E$7:$AD$94,MATCH($C397,'Dist Plant Depreciation'!$D$7:$D$94,0),MATCH(Calculation!$G397,'Dist Plant Depreciation'!$E$5:$AD$5,0))</f>
        <v>2074548</v>
      </c>
      <c r="BP397" s="113">
        <f>INDEX('Gen. Plant Depreciation'!$E$7:$AD$94,MATCH($C397,'Gen. Plant Depreciation'!$D$7:$D$94,0),MATCH(Calculation!$G397,'Gen. Plant Depreciation'!$E$5:$AD$5,0))</f>
        <v>61821</v>
      </c>
      <c r="BQ397" s="113"/>
      <c r="BR397" s="113"/>
      <c r="BS397" s="113"/>
      <c r="BT397" s="113"/>
      <c r="BU397" s="113"/>
      <c r="BV397" s="113"/>
      <c r="BW397" s="113">
        <f>INDEX('Gross Dx Plant'!$E$7:$AD$91,MATCH($C397,'Gross Dx Plant'!$D$7:$D$91,0),MATCH(Calculation!$G397,'Gross Dx Plant'!$E$5:$AD$5,0))</f>
        <v>4181921</v>
      </c>
      <c r="BX397" s="113">
        <f>INDEX('Gross Gen Plant'!$E$7:$AD$91,MATCH($C397,'Gross Gen Plant'!$D$7:$D$91,0),MATCH(Calculation!$G397,'Gross Gen Plant'!$E$5:$AD$5,0))</f>
        <v>207527</v>
      </c>
      <c r="BY397" s="113">
        <f t="shared" si="753"/>
        <v>2253079</v>
      </c>
      <c r="BZ397" s="113"/>
      <c r="CA397" s="116">
        <v>2017</v>
      </c>
      <c r="CB397" s="113"/>
      <c r="CC397" s="113"/>
      <c r="CD397" s="113"/>
      <c r="CE397" s="175"/>
      <c r="CF397" s="113">
        <f t="shared" si="715"/>
        <v>410277</v>
      </c>
      <c r="CG397" s="113">
        <f t="shared" si="716"/>
        <v>575.885091341931</v>
      </c>
      <c r="CH397" s="178">
        <v>0.87074829931972786</v>
      </c>
      <c r="CI397" s="61">
        <f>+CI378*CH397+CG379*CH396+CG380*CH395+CG381*CH394+CG382*CH393+CG383*CH392+CG384*CH391+CG385*CH390+CG386*CH389+CG387*CH388+CG388*CH387+CG389*CH386+CG390*CH385+CG391*CH384+CG392*CH383+CG393*CH382+CG394*CH381+CG395*CH380+CG396*CH379+CG397</f>
        <v>8144.1061393358714</v>
      </c>
      <c r="CJ397" s="114">
        <f t="shared" si="717"/>
        <v>6.4992944130022989E-2</v>
      </c>
      <c r="CK397" s="114"/>
      <c r="CL397" s="169">
        <f t="shared" si="718"/>
        <v>8.3087983846636369E-3</v>
      </c>
      <c r="CM397" s="169">
        <f t="shared" si="726"/>
        <v>8.1741993699053963E-3</v>
      </c>
      <c r="CN397" s="114">
        <f>VLOOKUP($H397,RoR!$E:$F,2,FALSE)</f>
        <v>3.7433333333333339E-2</v>
      </c>
      <c r="CO397" s="169">
        <v>1.9056896421275615E-2</v>
      </c>
      <c r="CP397" s="169">
        <f t="shared" si="724"/>
        <v>1.8376436912057724E-2</v>
      </c>
      <c r="CQ397" s="169">
        <f t="shared" si="727"/>
        <v>2.272774223862823E-2</v>
      </c>
      <c r="CR397" s="169">
        <f t="shared" si="728"/>
        <v>1.3976271617800498E-2</v>
      </c>
      <c r="CS397" s="179">
        <f t="shared" si="719"/>
        <v>0.92230000000000001</v>
      </c>
      <c r="CT397" s="180">
        <f t="shared" si="720"/>
        <v>1.3699568463593395</v>
      </c>
      <c r="CU397" s="180">
        <f t="shared" si="721"/>
        <v>0.30714603739982199</v>
      </c>
      <c r="CV397" s="180">
        <f t="shared" si="722"/>
        <v>0.77007188472689425</v>
      </c>
      <c r="CW397" s="180">
        <f t="shared" si="723"/>
        <v>0.32402839633793828</v>
      </c>
      <c r="CX397" s="181">
        <f>INDEX('State Tax Lookup'!$D$7:$Z$91,MATCH(Calculation!$C397,'State Tax Lookup'!$B$7:$B$91,0),MATCH($H397,'State Tax Lookup'!$D$6:$Z$6,0))</f>
        <v>0.20999999999999996</v>
      </c>
      <c r="CY397" s="72">
        <v>0.37</v>
      </c>
      <c r="CZ397" s="70">
        <f t="shared" si="725"/>
        <v>18.887206070620415</v>
      </c>
      <c r="DA397" s="70">
        <v>18.231812616449311</v>
      </c>
      <c r="DB397" s="69">
        <f t="shared" si="729"/>
        <v>-8.4964083404049762E-2</v>
      </c>
      <c r="DC397" s="111">
        <f>VLOOKUP($H397,RoR!$E:$F,2,FALSE)</f>
        <v>3.7433333333333339E-2</v>
      </c>
      <c r="DD397" s="216">
        <f>HLOOKUP($H397,'GDP-PI'!$D$8:$CQ$11,3,FALSE)</f>
        <v>1.9056896421275615E-2</v>
      </c>
      <c r="DE397" s="111">
        <f>VLOOKUP(H397,'HW Dx Data'!$E:$F,2,FALSE)</f>
        <v>712.42858370229726</v>
      </c>
      <c r="DF397" s="72">
        <f t="shared" si="739"/>
        <v>140.44999999999999</v>
      </c>
      <c r="DG397" s="69">
        <f t="shared" si="740"/>
        <v>2.5235657841165486E-2</v>
      </c>
      <c r="DH397" s="66">
        <f>HLOOKUP(H397,'GDP-PI'!$8:$9,2,FALSE)</f>
        <v>107.751</v>
      </c>
      <c r="DI397" s="69">
        <f t="shared" si="730"/>
        <v>1.8877588227745139E-2</v>
      </c>
      <c r="DJ397" s="160">
        <v>6.6641116146713324E-3</v>
      </c>
      <c r="EB397"/>
    </row>
    <row r="398" spans="1:132" s="160" customFormat="1" ht="21">
      <c r="A398" s="160" t="s">
        <v>183</v>
      </c>
      <c r="B398" s="161" t="s">
        <v>183</v>
      </c>
      <c r="C398" s="161">
        <v>4057081</v>
      </c>
      <c r="D398" s="161" t="s">
        <v>184</v>
      </c>
      <c r="E398" s="161"/>
      <c r="F398" s="161"/>
      <c r="G398" s="161" t="s">
        <v>136</v>
      </c>
      <c r="H398" s="162">
        <v>2018</v>
      </c>
      <c r="I398" s="163"/>
      <c r="J398" s="159">
        <f>IFERROR(INDEX('Labor Expenditures'!$F$7:$X$91,MATCH($C398,'Labor Expenditures'!$D$7:$D$91,0),MATCH($G398,'Labor Expenditures'!$F$5:$X$5,0)),"NA")</f>
        <v>114322.44571808956</v>
      </c>
      <c r="K398" s="159">
        <f t="shared" si="731"/>
        <v>791.43264602346528</v>
      </c>
      <c r="L398" s="165">
        <f t="shared" si="737"/>
        <v>3.9435930648074768E-2</v>
      </c>
      <c r="M398" s="76">
        <f t="shared" si="741"/>
        <v>1.3534962051397778E-3</v>
      </c>
      <c r="N398" s="62">
        <f t="shared" si="747"/>
        <v>111.88951648508471</v>
      </c>
      <c r="O398" s="96">
        <f t="shared" si="742"/>
        <v>-0.3695582789034203</v>
      </c>
      <c r="P398" s="96"/>
      <c r="Q398" s="159">
        <f>IFERROR(INDEX('Non-Labor Expenditures'!$F$7:$AB$91,MATCH($C398,'Non-Labor Expenditures'!$D$7:$D$91,0),MATCH($G398,'Non-Labor Expenditures'!$F$5:$AB$5,0)),"NA")</f>
        <v>165560.25388730245</v>
      </c>
      <c r="R398" s="159">
        <f t="shared" si="732"/>
        <v>1500.7002582195976</v>
      </c>
      <c r="S398" s="165">
        <f t="shared" si="743"/>
        <v>4.3937451293557597E-2</v>
      </c>
      <c r="T398" s="165">
        <f t="shared" si="744"/>
        <v>1.5079946792696591E-3</v>
      </c>
      <c r="U398" s="165"/>
      <c r="V398" s="165"/>
      <c r="W398" s="159">
        <f t="shared" si="713"/>
        <v>161853.09800414284</v>
      </c>
      <c r="X398" s="163"/>
      <c r="Y398" s="167">
        <v>8748.3589532563783</v>
      </c>
      <c r="Z398" s="168">
        <v>7.1571642031534932E-2</v>
      </c>
      <c r="AA398" s="76">
        <f t="shared" si="733"/>
        <v>2.4564386916537586E-3</v>
      </c>
      <c r="AB398" s="168"/>
      <c r="AC398" s="168"/>
      <c r="AD398" s="163">
        <f t="shared" si="705"/>
        <v>441735.79760953481</v>
      </c>
      <c r="AE398" s="168">
        <f t="shared" si="745"/>
        <v>8.4975635482976514E-2</v>
      </c>
      <c r="AF398" s="163"/>
      <c r="AG398" s="163"/>
      <c r="AH398" s="163"/>
      <c r="AI398" s="163"/>
      <c r="AJ398" s="116">
        <f t="shared" si="746"/>
        <v>248.78044250243425</v>
      </c>
      <c r="AK398" s="114">
        <f>+AV398/$AX$23</f>
        <v>4.7533623331522584E-2</v>
      </c>
      <c r="AL398" s="115">
        <f t="shared" si="734"/>
        <v>0.25880276476742103</v>
      </c>
      <c r="AM398" s="115">
        <f t="shared" si="735"/>
        <v>0.37479474107200783</v>
      </c>
      <c r="AN398" s="115">
        <f t="shared" si="736"/>
        <v>0.36640249416057119</v>
      </c>
      <c r="AO398" s="115">
        <f t="shared" si="738"/>
        <v>5.2733247129933464E-2</v>
      </c>
      <c r="AP398" s="166">
        <f t="shared" si="749"/>
        <v>101.93584294604781</v>
      </c>
      <c r="AQ398" s="168">
        <f t="shared" si="750"/>
        <v>5.2733247129933443E-2</v>
      </c>
      <c r="AR398" s="69">
        <f>+AD398/$AF$23</f>
        <v>3.4321396323021842E-2</v>
      </c>
      <c r="AS398" s="169">
        <f t="shared" si="748"/>
        <v>1.8098786741462998E-3</v>
      </c>
      <c r="AT398" s="115"/>
      <c r="AU398" s="115"/>
      <c r="AV398" s="113">
        <f>IFERROR(INDEX('Total Customers'!$F$7:$AB$91,MATCH($C398,'Total Customers'!$D$7:$D$91,0),MATCH($G398,'Total Customers'!$F$5:$AB$5,0)),"NA")</f>
        <v>1775605</v>
      </c>
      <c r="AW398" s="68">
        <f t="shared" si="751"/>
        <v>6.6785748907439288E-3</v>
      </c>
      <c r="AX398" s="114"/>
      <c r="AY398" s="114"/>
      <c r="AZ398" s="116"/>
      <c r="BA398" s="116"/>
      <c r="BB398" s="166"/>
      <c r="BC398" s="166"/>
      <c r="BD398" s="166"/>
      <c r="BE398" s="166"/>
      <c r="BF398" s="166"/>
      <c r="BG398" s="166"/>
      <c r="BH398" s="166"/>
      <c r="BI398" s="113"/>
      <c r="BJ398" s="113"/>
      <c r="BK398" s="113">
        <f>INDEX('Dist. Plant Gas Additions'!$F$7:$AE$91,MATCH($C398,'Dist. Plant Gas Additions'!$D$7:$D$91,0),MATCH(Calculation!$G398,'Dist. Plant Gas Additions'!$F$5:$AE$5,0))</f>
        <v>486899</v>
      </c>
      <c r="BL398" s="113">
        <f>INDEX('Gen. Plant Additions'!$F$7:$AE$91,MATCH($C398,'Gen. Plant Additions'!$D$7:$D$91,0),MATCH(Calculation!$G398,'Gen. Plant Additions'!$F$5:$AE$5,0))</f>
        <v>21287</v>
      </c>
      <c r="BM398" s="231">
        <f t="shared" si="714"/>
        <v>0.95404181534213939</v>
      </c>
      <c r="BN398" s="61">
        <f t="shared" si="752"/>
        <v>20308.68812318812</v>
      </c>
      <c r="BO398" s="113">
        <f>INDEX('Dist Plant Depreciation'!$E$7:$AD$94,MATCH($C398,'Dist Plant Depreciation'!$D$7:$D$94,0),MATCH(Calculation!$G398,'Dist Plant Depreciation'!$E$5:$AD$5,0))</f>
        <v>2178057</v>
      </c>
      <c r="BP398" s="113">
        <f>INDEX('Gen. Plant Depreciation'!$E$7:$AD$94,MATCH($C398,'Gen. Plant Depreciation'!$D$7:$D$94,0),MATCH(Calculation!$G398,'Gen. Plant Depreciation'!$E$5:$AD$5,0))</f>
        <v>73755</v>
      </c>
      <c r="BQ398" s="113"/>
      <c r="BR398" s="113"/>
      <c r="BS398" s="113"/>
      <c r="BT398" s="113"/>
      <c r="BU398" s="113"/>
      <c r="BV398" s="113"/>
      <c r="BW398" s="113">
        <f>INDEX('Gross Dx Plant'!$E$7:$AD$91,MATCH($C398,'Gross Dx Plant'!$D$7:$D$91,0),MATCH(Calculation!$G398,'Gross Dx Plant'!$E$5:$AD$5,0))</f>
        <v>4650411</v>
      </c>
      <c r="BX398" s="113">
        <f>INDEX('Gross Gen Plant'!$E$7:$AD$91,MATCH($C398,'Gross Gen Plant'!$D$7:$D$91,0),MATCH(Calculation!$G398,'Gross Gen Plant'!$E$5:$AD$5,0))</f>
        <v>224020</v>
      </c>
      <c r="BY398" s="113">
        <f t="shared" si="753"/>
        <v>2622619</v>
      </c>
      <c r="BZ398" s="113"/>
      <c r="CA398" s="116">
        <v>2018</v>
      </c>
      <c r="CB398" s="113"/>
      <c r="CC398" s="113"/>
      <c r="CD398" s="113"/>
      <c r="CE398" s="175"/>
      <c r="CF398" s="113">
        <f t="shared" si="715"/>
        <v>508186</v>
      </c>
      <c r="CG398" s="113">
        <f t="shared" si="716"/>
        <v>672.97217887622503</v>
      </c>
      <c r="CH398" s="178">
        <v>0.86111111111111116</v>
      </c>
      <c r="CI398" s="61">
        <f>+CI378*CH398++CG379*CH397+CG380*CH396+CG381*CH395+CG382*CH394+CG383*CH393+CG384*CH392+CG385*CH391+CG386*CH390+CG387*CH389+CG388*CH388+CG389*CH387+CG390*CH386+CG391*CH385+CG392*CH384+CG393*CH383+CG394*CH382+CG395*CH381+CG396*CH380+CG397*CH379+CG398</f>
        <v>8748.3589532563783</v>
      </c>
      <c r="CJ398" s="114">
        <f t="shared" si="717"/>
        <v>7.1571642031534932E-2</v>
      </c>
      <c r="CK398" s="114"/>
      <c r="CL398" s="169">
        <f t="shared" si="718"/>
        <v>8.4379260019469705E-3</v>
      </c>
      <c r="CM398" s="169">
        <f t="shared" si="726"/>
        <v>8.3085113306760987E-3</v>
      </c>
      <c r="CN398" s="114">
        <f>VLOOKUP($H398,RoR!$E:$F,2,FALSE)</f>
        <v>3.9299999999999995E-2</v>
      </c>
      <c r="CO398" s="169">
        <v>2.386056741932796E-2</v>
      </c>
      <c r="CP398" s="169">
        <f t="shared" si="724"/>
        <v>1.5439432580672034E-2</v>
      </c>
      <c r="CQ398" s="169">
        <f t="shared" si="727"/>
        <v>2.2593430277857526E-2</v>
      </c>
      <c r="CR398" s="169">
        <f t="shared" si="728"/>
        <v>3.8270792163076606E-2</v>
      </c>
      <c r="CS398" s="179">
        <f t="shared" si="719"/>
        <v>0.92230000000000001</v>
      </c>
      <c r="CT398" s="180">
        <f t="shared" si="720"/>
        <v>1.3048868010700074</v>
      </c>
      <c r="CU398" s="180">
        <f t="shared" si="721"/>
        <v>0.33886768447837151</v>
      </c>
      <c r="CV398" s="180">
        <f t="shared" si="722"/>
        <v>0.78602506232557801</v>
      </c>
      <c r="CW398" s="180">
        <f t="shared" si="723"/>
        <v>0.34756768162358759</v>
      </c>
      <c r="CX398" s="181">
        <f>INDEX('State Tax Lookup'!$D$7:$Z$91,MATCH(Calculation!$C398,'State Tax Lookup'!$B$7:$B$91,0),MATCH($H398,'State Tax Lookup'!$D$6:$Z$6,0))</f>
        <v>0.20999999999999996</v>
      </c>
      <c r="CY398" s="72">
        <v>0.37</v>
      </c>
      <c r="CZ398" s="70">
        <f t="shared" si="725"/>
        <v>19.873647916054971</v>
      </c>
      <c r="DA398" s="70">
        <v>19.050901628905343</v>
      </c>
      <c r="DB398" s="69">
        <f t="shared" si="729"/>
        <v>5.0909863479070755E-2</v>
      </c>
      <c r="DC398" s="111">
        <f>VLOOKUP($H398,RoR!$E:$F,2,FALSE)</f>
        <v>3.9299999999999995E-2</v>
      </c>
      <c r="DD398" s="216">
        <f>HLOOKUP($H398,'GDP-PI'!$D$8:$CQ$11,3,FALSE)</f>
        <v>2.386056741932796E-2</v>
      </c>
      <c r="DE398" s="111">
        <f>VLOOKUP(H398,'HW Dx Data'!$E:$F,2,FALSE)</f>
        <v>755.13671434174842</v>
      </c>
      <c r="DF398" s="72">
        <f t="shared" si="739"/>
        <v>144.44999999999999</v>
      </c>
      <c r="DG398" s="69">
        <f t="shared" si="740"/>
        <v>2.80818733619915E-2</v>
      </c>
      <c r="DH398" s="66">
        <f>HLOOKUP(H398,'GDP-PI'!$8:$9,2,FALSE)</f>
        <v>110.322</v>
      </c>
      <c r="DI398" s="69">
        <f t="shared" si="730"/>
        <v>2.3580352716508712E-2</v>
      </c>
      <c r="EB398"/>
    </row>
    <row r="399" spans="1:132" s="160" customFormat="1" ht="21">
      <c r="A399" s="160" t="s">
        <v>183</v>
      </c>
      <c r="B399" s="161" t="s">
        <v>183</v>
      </c>
      <c r="C399" s="161">
        <v>4057081</v>
      </c>
      <c r="D399" s="161" t="s">
        <v>184</v>
      </c>
      <c r="E399" s="161"/>
      <c r="F399" s="161"/>
      <c r="G399" s="161" t="s">
        <v>140</v>
      </c>
      <c r="H399" s="162">
        <v>2019</v>
      </c>
      <c r="I399" s="163"/>
      <c r="J399" s="159">
        <f>IFERROR(INDEX('Labor Expenditures'!$F$7:$X$91,MATCH($C399,'Labor Expenditures'!$D$7:$D$91,0),MATCH($G399,'Labor Expenditures'!$F$5:$X$5,0)),"NA")</f>
        <v>114700.57730108232</v>
      </c>
      <c r="K399" s="159">
        <f t="shared" si="731"/>
        <v>766.33089895495107</v>
      </c>
      <c r="L399" s="165">
        <f t="shared" si="737"/>
        <v>-3.2230719645143555E-2</v>
      </c>
      <c r="M399" s="76">
        <f t="shared" si="741"/>
        <v>-1.1121035206319645E-3</v>
      </c>
      <c r="N399" s="62">
        <f t="shared" si="747"/>
        <v>112.91074975396896</v>
      </c>
      <c r="O399" s="96">
        <f t="shared" si="742"/>
        <v>9.0857569813182337E-3</v>
      </c>
      <c r="P399" s="96"/>
      <c r="Q399" s="159">
        <f>IFERROR(INDEX('Non-Labor Expenditures'!$F$7:$AB$91,MATCH($C399,'Non-Labor Expenditures'!$D$7:$D$91,0),MATCH($G399,'Non-Labor Expenditures'!$F$5:$AB$5,0)),"NA")</f>
        <v>166107.85904471367</v>
      </c>
      <c r="R399" s="159">
        <f t="shared" si="732"/>
        <v>1478.9068452493248</v>
      </c>
      <c r="S399" s="165">
        <f t="shared" si="743"/>
        <v>-1.4628641197373766E-2</v>
      </c>
      <c r="T399" s="165">
        <f t="shared" si="744"/>
        <v>-5.0475333957094779E-4</v>
      </c>
      <c r="U399" s="165"/>
      <c r="V399" s="165"/>
      <c r="W399" s="159">
        <f t="shared" si="713"/>
        <v>177043.06365066455</v>
      </c>
      <c r="X399" s="163"/>
      <c r="Y399" s="167">
        <v>9456.9060872989958</v>
      </c>
      <c r="Z399" s="168">
        <v>7.787914290714297E-2</v>
      </c>
      <c r="AA399" s="76">
        <f t="shared" si="733"/>
        <v>2.6871776356344476E-3</v>
      </c>
      <c r="AB399" s="168"/>
      <c r="AC399" s="168"/>
      <c r="AD399" s="163">
        <f t="shared" si="705"/>
        <v>457851.49999646051</v>
      </c>
      <c r="AE399" s="168">
        <f t="shared" si="745"/>
        <v>3.5832935329503234E-2</v>
      </c>
      <c r="AF399" s="163"/>
      <c r="AG399" s="163"/>
      <c r="AH399" s="163"/>
      <c r="AI399" s="163"/>
      <c r="AJ399" s="116">
        <f t="shared" si="746"/>
        <v>256.92116471096</v>
      </c>
      <c r="AK399" s="114">
        <f>+AV399/$AX$24</f>
        <v>4.7313248046632991E-2</v>
      </c>
      <c r="AL399" s="115">
        <f t="shared" si="734"/>
        <v>0.25051916899249871</v>
      </c>
      <c r="AM399" s="115">
        <f t="shared" si="735"/>
        <v>0.36279854722764432</v>
      </c>
      <c r="AN399" s="115">
        <f t="shared" si="736"/>
        <v>0.38668228377985703</v>
      </c>
      <c r="AO399" s="115">
        <f t="shared" si="738"/>
        <v>1.5721898511075805E-2</v>
      </c>
      <c r="AP399" s="166">
        <f t="shared" si="749"/>
        <v>103.55113235972448</v>
      </c>
      <c r="AQ399" s="168">
        <f t="shared" si="750"/>
        <v>1.5721898511075735E-2</v>
      </c>
      <c r="AR399" s="69">
        <f>+AD399/$AF$24</f>
        <v>3.4504458258335341E-2</v>
      </c>
      <c r="AS399" s="169">
        <f t="shared" si="748"/>
        <v>5.4247559091719728E-4</v>
      </c>
      <c r="AT399" s="115"/>
      <c r="AU399" s="115"/>
      <c r="AV399" s="113">
        <f>IFERROR(INDEX('Total Customers'!$F$7:$AB$91,MATCH($C399,'Total Customers'!$D$7:$D$91,0),MATCH($G399,'Total Customers'!$F$5:$AB$5,0)),"NA")</f>
        <v>1782070</v>
      </c>
      <c r="AW399" s="68">
        <f t="shared" si="751"/>
        <v>3.6344000597434466E-3</v>
      </c>
      <c r="AX399" s="114"/>
      <c r="AY399" s="114"/>
      <c r="AZ399" s="116"/>
      <c r="BA399" s="116"/>
      <c r="BB399" s="166"/>
      <c r="BC399" s="166"/>
      <c r="BD399" s="166"/>
      <c r="BE399" s="166"/>
      <c r="BF399" s="166"/>
      <c r="BG399" s="166"/>
      <c r="BH399" s="166"/>
      <c r="BI399" s="113"/>
      <c r="BJ399" s="113"/>
      <c r="BK399" s="113">
        <f>INDEX('Dist. Plant Gas Additions'!$F$7:$AE$91,MATCH($C399,'Dist. Plant Gas Additions'!$D$7:$D$91,0),MATCH(Calculation!$G399,'Dist. Plant Gas Additions'!$F$5:$AE$5,0))</f>
        <v>590954</v>
      </c>
      <c r="BL399" s="113">
        <f>INDEX('Gen. Plant Additions'!$F$7:$AE$91,MATCH($C399,'Gen. Plant Additions'!$D$7:$D$91,0),MATCH(Calculation!$G399,'Gen. Plant Additions'!$F$5:$AE$5,0))</f>
        <v>14953</v>
      </c>
      <c r="BM399" s="231">
        <f t="shared" si="714"/>
        <v>0.95692874927299465</v>
      </c>
      <c r="BN399" s="61">
        <f t="shared" si="752"/>
        <v>14308.955587879089</v>
      </c>
      <c r="BO399" s="113">
        <f>INDEX('Dist Plant Depreciation'!$E$7:$AD$94,MATCH($C399,'Dist Plant Depreciation'!$D$7:$D$94,0),MATCH(Calculation!$G399,'Dist Plant Depreciation'!$E$5:$AD$5,0))</f>
        <v>2295251</v>
      </c>
      <c r="BP399" s="113">
        <f>INDEX('Gen. Plant Depreciation'!$E$7:$AD$94,MATCH($C399,'Gen. Plant Depreciation'!$D$7:$D$94,0),MATCH(Calculation!$G399,'Gen. Plant Depreciation'!$E$5:$AD$5,0))</f>
        <v>86867</v>
      </c>
      <c r="BQ399" s="113"/>
      <c r="BR399" s="113"/>
      <c r="BS399" s="113"/>
      <c r="BT399" s="113"/>
      <c r="BU399" s="113"/>
      <c r="BV399" s="113"/>
      <c r="BW399" s="113">
        <f>INDEX('Gross Dx Plant'!$E$7:$AD$91,MATCH($C399,'Gross Dx Plant'!$D$7:$D$91,0),MATCH(Calculation!$G399,'Gross Dx Plant'!$E$5:$AD$5,0))</f>
        <v>5235428</v>
      </c>
      <c r="BX399" s="113">
        <f>INDEX('Gross Gen Plant'!$E$7:$AD$91,MATCH($C399,'Gross Gen Plant'!$D$7:$D$91,0),MATCH(Calculation!$G399,'Gross Gen Plant'!$E$5:$AD$5,0))</f>
        <v>235646</v>
      </c>
      <c r="BY399" s="113">
        <f t="shared" si="753"/>
        <v>3088956</v>
      </c>
      <c r="BZ399" s="113"/>
      <c r="CA399" s="116">
        <v>2019</v>
      </c>
      <c r="CB399" s="113"/>
      <c r="CC399" s="113"/>
      <c r="CD399" s="113"/>
      <c r="CE399" s="175"/>
      <c r="CF399" s="113">
        <f t="shared" si="715"/>
        <v>605907</v>
      </c>
      <c r="CG399" s="113">
        <f t="shared" si="716"/>
        <v>783.29181415095672</v>
      </c>
      <c r="CH399" s="178">
        <v>0.85106382978723405</v>
      </c>
      <c r="CI399" s="61">
        <f>CI378*CH399+CG379*CH398+CG380*CH397+CG381*CH396+CG382*CH395+CG383*CH394+CG384*CH393+CG385*CH392+CG386*CH391+CG387*CH390+CG388*CH389+CG389*CH388+CG390*CH387+CG391*CH386+CG392*CH385+CG393*CH384+CG394*CH383+CG395*CH382+CG396*CH381+CG397*CH380+CG398*CH379+CG399</f>
        <v>9456.9060872989958</v>
      </c>
      <c r="CJ399" s="114">
        <f t="shared" si="717"/>
        <v>7.787914290714297E-2</v>
      </c>
      <c r="CK399" s="114"/>
      <c r="CL399" s="169">
        <f t="shared" si="718"/>
        <v>8.5438515392097895E-3</v>
      </c>
      <c r="CM399" s="169">
        <f t="shared" si="726"/>
        <v>8.4301919752734662E-3</v>
      </c>
      <c r="CN399" s="114">
        <f>VLOOKUP($H399,RoR!$E:$F,2,FALSE)</f>
        <v>3.3875000000000009E-2</v>
      </c>
      <c r="CO399" s="169">
        <v>1.8092492884465461E-2</v>
      </c>
      <c r="CP399" s="169">
        <f t="shared" si="724"/>
        <v>1.5782507115534548E-2</v>
      </c>
      <c r="CQ399" s="169">
        <f t="shared" si="727"/>
        <v>2.2471749633260159E-2</v>
      </c>
      <c r="CR399" s="169">
        <f t="shared" si="728"/>
        <v>4.8445665544254078E-2</v>
      </c>
      <c r="CS399" s="179">
        <f t="shared" si="719"/>
        <v>0.92230000000000001</v>
      </c>
      <c r="CT399" s="180">
        <f t="shared" si="720"/>
        <v>1.513861292459078</v>
      </c>
      <c r="CU399" s="180">
        <f t="shared" si="721"/>
        <v>0.23699261992619944</v>
      </c>
      <c r="CV399" s="180">
        <f t="shared" si="722"/>
        <v>0.73619765810468829</v>
      </c>
      <c r="CW399" s="180">
        <f t="shared" si="723"/>
        <v>0.26412854465362851</v>
      </c>
      <c r="CX399" s="181">
        <f>INDEX('State Tax Lookup'!$D$7:$Z$91,MATCH(Calculation!$C399,'State Tax Lookup'!$B$7:$B$91,0),MATCH($H399,'State Tax Lookup'!$D$6:$Z$6,0))</f>
        <v>0.20999999999999996</v>
      </c>
      <c r="CY399" s="72">
        <v>0.37</v>
      </c>
      <c r="CZ399" s="70">
        <f t="shared" si="725"/>
        <v>20.237288455655364</v>
      </c>
      <c r="DA399" s="70">
        <v>19.236104090735289</v>
      </c>
      <c r="DB399" s="69">
        <f t="shared" si="729"/>
        <v>1.8132237016883476E-2</v>
      </c>
      <c r="DC399" s="111">
        <f>VLOOKUP($H399,RoR!$E:$F,2,FALSE)</f>
        <v>3.3875000000000009E-2</v>
      </c>
      <c r="DD399" s="216">
        <f>HLOOKUP($H399,'GDP-PI'!$D$8:$CQ$11,3,FALSE)</f>
        <v>1.8092492884465461E-2</v>
      </c>
      <c r="DE399" s="111">
        <f>VLOOKUP(H399,'HW Dx Data'!$E:$F,2,FALSE)</f>
        <v>773.53929793938721</v>
      </c>
      <c r="DF399" s="72">
        <f t="shared" si="739"/>
        <v>149.67500000000001</v>
      </c>
      <c r="DG399" s="69">
        <f t="shared" si="740"/>
        <v>3.5532849899171604E-2</v>
      </c>
      <c r="DH399" s="66">
        <f>HLOOKUP(H399,'GDP-PI'!$8:$9,2,FALSE)</f>
        <v>112.318</v>
      </c>
      <c r="DI399" s="69">
        <f t="shared" si="730"/>
        <v>1.7930771451401852E-2</v>
      </c>
      <c r="DJ399" s="160">
        <v>1.7081629389229851E-2</v>
      </c>
      <c r="EB399"/>
    </row>
    <row r="400" spans="1:132" s="160" customFormat="1" ht="21">
      <c r="A400" s="160" t="s">
        <v>183</v>
      </c>
      <c r="B400" s="160" t="s">
        <v>183</v>
      </c>
      <c r="C400" s="160">
        <v>4057081</v>
      </c>
      <c r="D400" s="160" t="s">
        <v>184</v>
      </c>
      <c r="G400" s="161" t="s">
        <v>141</v>
      </c>
      <c r="H400" s="162">
        <v>2020</v>
      </c>
      <c r="I400" s="163"/>
      <c r="J400" s="159">
        <f>IFERROR(INDEX('Labor Expenditures'!$F$7:$X$91,MATCH($C400,'Labor Expenditures'!$D$7:$D$91,0),MATCH($G400,'Labor Expenditures'!$F$5:$X$5,0)),"NA")</f>
        <v>104019.6138718424</v>
      </c>
      <c r="K400" s="159">
        <f t="shared" si="731"/>
        <v>679.20087412237933</v>
      </c>
      <c r="L400" s="165">
        <f t="shared" si="737"/>
        <v>-0.12069713744821974</v>
      </c>
      <c r="M400" s="76">
        <f t="shared" si="741"/>
        <v>-4.0147716315565539E-3</v>
      </c>
      <c r="N400" s="62">
        <f t="shared" si="747"/>
        <v>112.13279301207868</v>
      </c>
      <c r="O400" s="96">
        <f t="shared" si="742"/>
        <v>-6.9138605914391728E-3</v>
      </c>
      <c r="P400" s="96"/>
      <c r="Q400" s="159">
        <f>IFERROR(INDEX('Non-Labor Expenditures'!$F$7:$AB$91,MATCH($C400,'Non-Labor Expenditures'!$D$7:$D$91,0),MATCH($G400,'Non-Labor Expenditures'!$F$5:$AB$5,0)),"NA")</f>
        <v>150639.8290703852</v>
      </c>
      <c r="R400" s="159">
        <f t="shared" si="732"/>
        <v>1325.7864083010058</v>
      </c>
      <c r="S400" s="165">
        <f t="shared" si="743"/>
        <v>-0.10929739771224391</v>
      </c>
      <c r="T400" s="165">
        <f t="shared" si="744"/>
        <v>-3.6355799401317393E-3</v>
      </c>
      <c r="U400" s="165"/>
      <c r="V400" s="165"/>
      <c r="W400" s="159">
        <f t="shared" si="713"/>
        <v>200277.45683458654</v>
      </c>
      <c r="X400" s="163"/>
      <c r="Y400" s="167">
        <v>9987.7605714040983</v>
      </c>
      <c r="Z400" s="168">
        <v>5.4615123016629727E-2</v>
      </c>
      <c r="AA400" s="76">
        <f t="shared" si="733"/>
        <v>1.8166731305885712E-3</v>
      </c>
      <c r="AB400" s="168"/>
      <c r="AC400" s="168"/>
      <c r="AD400" s="163">
        <f t="shared" si="705"/>
        <v>454936.89977681416</v>
      </c>
      <c r="AE400" s="168">
        <f t="shared" si="745"/>
        <v>-6.3861681982600622E-3</v>
      </c>
      <c r="AF400" s="163"/>
      <c r="AG400" s="163"/>
      <c r="AH400" s="163"/>
      <c r="AI400" s="163"/>
      <c r="AJ400" s="116">
        <f t="shared" si="746"/>
        <v>253.10409850554078</v>
      </c>
      <c r="AK400" s="114">
        <f>+AV400/$AX$25</f>
        <v>4.7384064473097551E-2</v>
      </c>
      <c r="AL400" s="115">
        <f t="shared" si="734"/>
        <v>0.22864624505700243</v>
      </c>
      <c r="AM400" s="115">
        <f t="shared" si="735"/>
        <v>0.33112246807037865</v>
      </c>
      <c r="AN400" s="115">
        <f t="shared" si="736"/>
        <v>0.44023128687261887</v>
      </c>
      <c r="AO400" s="115">
        <f t="shared" si="738"/>
        <v>-4.4257834322286187E-2</v>
      </c>
      <c r="AP400" s="166">
        <f t="shared" si="749"/>
        <v>99.068119457778153</v>
      </c>
      <c r="AQ400" s="168">
        <f t="shared" si="750"/>
        <v>-4.4257834322286201E-2</v>
      </c>
      <c r="AR400" s="69">
        <f>+AD400/$AF$25</f>
        <v>3.3263188476851245E-2</v>
      </c>
      <c r="AS400" s="169">
        <f t="shared" si="748"/>
        <v>-1.4721566846394619E-3</v>
      </c>
      <c r="AT400" s="115"/>
      <c r="AU400" s="115"/>
      <c r="AV400" s="113">
        <f>IFERROR(INDEX('Total Customers'!$F$7:$AB$91,MATCH($C400,'Total Customers'!$D$7:$D$91,0),MATCH($G400,'Total Customers'!$F$5:$AB$5,0)),"NA")</f>
        <v>1797430</v>
      </c>
      <c r="AW400" s="68">
        <f t="shared" si="751"/>
        <v>8.5822568953513954E-3</v>
      </c>
      <c r="AX400" s="114"/>
      <c r="AY400" s="114"/>
      <c r="AZ400" s="116"/>
      <c r="BA400" s="116"/>
      <c r="BB400" s="166"/>
      <c r="BC400" s="166"/>
      <c r="BD400" s="166"/>
      <c r="BE400" s="166"/>
      <c r="BF400" s="166"/>
      <c r="BG400" s="166"/>
      <c r="BH400" s="166"/>
      <c r="BI400" s="113"/>
      <c r="BJ400" s="113"/>
      <c r="BK400" s="113">
        <f>INDEX('Dist. Plant Gas Additions'!$F$7:$AE$91,MATCH($C400,'Dist. Plant Gas Additions'!$D$7:$D$91,0),MATCH(Calculation!$G400,'Dist. Plant Gas Additions'!$F$5:$AE$5,0))</f>
        <v>481405</v>
      </c>
      <c r="BL400" s="113">
        <f>INDEX('Gen. Plant Additions'!$F$7:$AE$91,MATCH($C400,'Gen. Plant Additions'!$D$7:$D$91,0),MATCH(Calculation!$G400,'Gen. Plant Additions'!$F$5:$AE$5,0))</f>
        <v>16555</v>
      </c>
      <c r="BM400" s="231">
        <f t="shared" si="714"/>
        <v>0.95800567315159668</v>
      </c>
      <c r="BN400" s="61">
        <f t="shared" si="752"/>
        <v>15859.783919024683</v>
      </c>
      <c r="BO400" s="113">
        <f>INDEX('Dist Plant Depreciation'!$E$7:$AD$94,MATCH($C400,'Dist Plant Depreciation'!$D$7:$D$94,0),MATCH(Calculation!$G400,'Dist Plant Depreciation'!$E$5:$AD$5,0))</f>
        <v>2413834</v>
      </c>
      <c r="BP400" s="113">
        <f>INDEX('Gen. Plant Depreciation'!$E$7:$AD$94,MATCH($C400,'Gen. Plant Depreciation'!$D$7:$D$94,0),MATCH(Calculation!$G400,'Gen. Plant Depreciation'!$E$5:$AD$5,0))</f>
        <v>103586</v>
      </c>
      <c r="BQ400" s="113"/>
      <c r="BR400" s="113"/>
      <c r="BS400" s="113"/>
      <c r="BT400" s="113"/>
      <c r="BU400" s="113"/>
      <c r="BV400" s="113"/>
      <c r="BW400" s="113">
        <f>INDEX('Gross Dx Plant'!$E$7:$AD$91,MATCH($C400,'Gross Dx Plant'!$D$7:$D$91,0),MATCH(Calculation!$G400,'Gross Dx Plant'!$E$5:$AD$5,0))</f>
        <v>5701611</v>
      </c>
      <c r="BX400" s="113">
        <f>INDEX('Gross Gen Plant'!$E$7:$AD$91,MATCH($C400,'Gross Gen Plant'!$D$7:$D$91,0),MATCH(Calculation!$G400,'Gross Gen Plant'!$E$5:$AD$5,0))</f>
        <v>249931</v>
      </c>
      <c r="BY400" s="113">
        <f t="shared" si="753"/>
        <v>3434122</v>
      </c>
      <c r="BZ400" s="113"/>
      <c r="CA400" s="116">
        <v>2020</v>
      </c>
      <c r="CB400" s="113"/>
      <c r="CC400" s="113"/>
      <c r="CD400" s="113"/>
      <c r="CE400" s="175"/>
      <c r="CF400" s="113">
        <f t="shared" si="715"/>
        <v>497960</v>
      </c>
      <c r="CG400" s="113">
        <f t="shared" si="716"/>
        <v>612.4365382302783</v>
      </c>
      <c r="CH400" s="178">
        <v>0.84057971014492749</v>
      </c>
      <c r="CI400" s="61">
        <f>CI378*CH400+CG379*CH399+CG380*CH398+CG381*CH397+CG382*CH396+CG383*CH395+CG384*CH394+CG385*CH393+CG386*CH392+CG387*CH391+CG388*CH390+CG389*CH389+CG390*CH388+CG391*CH387+CG392*CH386+CG393*CH385+CG394*CH384+CG395*CH383+CG396*CH382+CG397*CH381+CG398*CH380+CG399*CH379+CG400</f>
        <v>9987.7605714040983</v>
      </c>
      <c r="CJ400" s="114">
        <f t="shared" si="717"/>
        <v>5.4615123016629727E-2</v>
      </c>
      <c r="CK400" s="114"/>
      <c r="CL400" s="169">
        <f t="shared" si="718"/>
        <v>8.6267171707186292E-3</v>
      </c>
      <c r="CM400" s="169">
        <f t="shared" si="726"/>
        <v>8.5361649039584625E-3</v>
      </c>
      <c r="CN400" s="114">
        <f>VLOOKUP($H400,RoR!$E:$F,2,FALSE)</f>
        <v>2.4766666666666666E-2</v>
      </c>
      <c r="CO400" s="169">
        <v>1.1618796630994188E-2</v>
      </c>
      <c r="CP400" s="169">
        <f t="shared" si="724"/>
        <v>1.3147870035672478E-2</v>
      </c>
      <c r="CQ400" s="169">
        <f t="shared" si="727"/>
        <v>2.2365776704575163E-2</v>
      </c>
      <c r="CR400" s="169">
        <f t="shared" si="728"/>
        <v>4.5144642961987357E-2</v>
      </c>
      <c r="CS400" s="179">
        <f t="shared" si="719"/>
        <v>0.92230000000000001</v>
      </c>
      <c r="CT400" s="180">
        <f t="shared" si="720"/>
        <v>2.0706077233668081</v>
      </c>
      <c r="CU400" s="180">
        <f t="shared" si="721"/>
        <v>-3.4421265141318998E-2</v>
      </c>
      <c r="CV400" s="180">
        <f t="shared" si="722"/>
        <v>0.62416226176410472</v>
      </c>
      <c r="CW400" s="180">
        <f t="shared" si="723"/>
        <v>-4.4485877841158712E-2</v>
      </c>
      <c r="CX400" s="181">
        <f>INDEX('State Tax Lookup'!$D$7:$Z$91,MATCH(Calculation!$C400,'State Tax Lookup'!$B$7:$B$91,0),MATCH($H400,'State Tax Lookup'!$D$6:$Z$6,0))</f>
        <v>0.20999999999999996</v>
      </c>
      <c r="CY400" s="72">
        <v>0.37</v>
      </c>
      <c r="CZ400" s="70">
        <f t="shared" si="725"/>
        <v>21.177904801610243</v>
      </c>
      <c r="DA400" s="70">
        <v>19.952659173050833</v>
      </c>
      <c r="DB400" s="69">
        <f t="shared" si="729"/>
        <v>4.5431545980999348E-2</v>
      </c>
      <c r="DC400" s="111">
        <f>VLOOKUP($H400,RoR!$E:$F,2,FALSE)</f>
        <v>2.4766666666666666E-2</v>
      </c>
      <c r="DD400" s="216">
        <f>HLOOKUP($H400,'GDP-PI'!$D$8:$CQ$11,3,FALSE)</f>
        <v>1.1618796630994188E-2</v>
      </c>
      <c r="DE400" s="111">
        <f>VLOOKUP(H400,'HW Dx Data'!$E:$F,2,FALSE)</f>
        <v>813.080162458833</v>
      </c>
      <c r="DF400" s="72">
        <f t="shared" si="739"/>
        <v>153.15</v>
      </c>
      <c r="DG400" s="69">
        <f t="shared" si="740"/>
        <v>2.2951556467368479E-2</v>
      </c>
      <c r="DH400" s="66">
        <f>HLOOKUP(H400,'GDP-PI'!$8:$9,2,FALSE)</f>
        <v>113.623</v>
      </c>
      <c r="DI400" s="69">
        <f t="shared" si="730"/>
        <v>1.1551816731392881E-2</v>
      </c>
      <c r="DJ400" s="160">
        <v>1.0563420558705747E-2</v>
      </c>
      <c r="EB400"/>
    </row>
    <row r="401" spans="1:132" s="160" customFormat="1" ht="21">
      <c r="A401" s="160" t="s">
        <v>183</v>
      </c>
      <c r="B401" s="160" t="s">
        <v>183</v>
      </c>
      <c r="C401" s="160">
        <v>4057081</v>
      </c>
      <c r="D401" s="160" t="s">
        <v>184</v>
      </c>
      <c r="G401" s="161" t="s">
        <v>142</v>
      </c>
      <c r="H401" s="162">
        <v>2021</v>
      </c>
      <c r="I401" s="163"/>
      <c r="J401" s="159">
        <v>114352.14945213952</v>
      </c>
      <c r="K401" s="159">
        <f t="shared" si="731"/>
        <v>727.19967855096672</v>
      </c>
      <c r="L401" s="164">
        <f t="shared" si="737"/>
        <v>6.8284178842046503E-2</v>
      </c>
      <c r="M401" s="76">
        <f t="shared" si="741"/>
        <v>2.2377699393522606E-3</v>
      </c>
      <c r="N401" s="166">
        <f>+N400*EXP(O401)</f>
        <v>117.04125275282451</v>
      </c>
      <c r="O401" s="114">
        <f t="shared" si="742"/>
        <v>4.2842639425784104E-2</v>
      </c>
      <c r="P401" s="114"/>
      <c r="Q401" s="159">
        <v>161195.19862530514</v>
      </c>
      <c r="R401" s="159">
        <f t="shared" si="732"/>
        <v>1360.4118374994105</v>
      </c>
      <c r="S401" s="165">
        <f t="shared" si="743"/>
        <v>2.5781676521194525E-2</v>
      </c>
      <c r="T401" s="165">
        <f t="shared" si="744"/>
        <v>8.4490231388281538E-4</v>
      </c>
      <c r="U401" s="165"/>
      <c r="V401" s="165"/>
      <c r="W401" s="159">
        <f t="shared" si="713"/>
        <v>226588.1505747484</v>
      </c>
      <c r="X401" s="163"/>
      <c r="Y401" s="167">
        <v>10568.889206536356</v>
      </c>
      <c r="Z401" s="168"/>
      <c r="AA401" s="76">
        <f t="shared" si="733"/>
        <v>0</v>
      </c>
      <c r="AB401" s="168"/>
      <c r="AC401" s="168"/>
      <c r="AD401" s="163">
        <f t="shared" si="705"/>
        <v>502135.49865219306</v>
      </c>
      <c r="AE401" s="168">
        <f t="shared" si="745"/>
        <v>9.8711273379829545E-2</v>
      </c>
      <c r="AF401" s="113"/>
      <c r="AG401" s="114"/>
      <c r="AH401" s="114"/>
      <c r="AI401" s="114"/>
      <c r="AJ401" s="116">
        <f t="shared" si="746"/>
        <v>278.09681285822609</v>
      </c>
      <c r="AK401" s="114">
        <f>+AV401/$AX$26</f>
        <v>4.6769960903639801E-2</v>
      </c>
      <c r="AL401" s="115">
        <f t="shared" si="734"/>
        <v>0.22773165760850972</v>
      </c>
      <c r="AM401" s="115">
        <f t="shared" si="735"/>
        <v>0.3210193245806704</v>
      </c>
      <c r="AN401" s="115">
        <f t="shared" si="736"/>
        <v>0.45124901781081994</v>
      </c>
      <c r="AO401" s="115">
        <f t="shared" si="738"/>
        <v>2.3988349534625593E-2</v>
      </c>
      <c r="AP401" s="166">
        <f t="shared" si="749"/>
        <v>101.4733333537903</v>
      </c>
      <c r="AQ401" s="168">
        <f t="shared" si="750"/>
        <v>2.3988349534625496E-2</v>
      </c>
      <c r="AR401" s="69">
        <f>+AD401/$AF$26</f>
        <v>3.2771426372844317E-2</v>
      </c>
      <c r="AS401" s="169">
        <f t="shared" si="748"/>
        <v>7.8613243058003369E-4</v>
      </c>
      <c r="AT401" s="115"/>
      <c r="AU401" s="115"/>
      <c r="AV401" s="113">
        <f>INDEX('Total Customers'!$E$7:$E$91,MATCH(Calculation!$C401,'Total Customers'!$D$7:$D$91,0))</f>
        <v>1805614</v>
      </c>
      <c r="AW401" s="68">
        <f t="shared" si="751"/>
        <v>4.5428332680127427E-3</v>
      </c>
      <c r="AX401" s="113"/>
      <c r="AY401" s="113"/>
      <c r="AZ401" s="116"/>
      <c r="BA401" s="116"/>
      <c r="BB401" s="166"/>
      <c r="BC401" s="166"/>
      <c r="BD401" s="166"/>
      <c r="BE401" s="166"/>
      <c r="BF401" s="166"/>
      <c r="BG401" s="166"/>
      <c r="BH401" s="166"/>
      <c r="BI401" s="113"/>
      <c r="BJ401" s="113"/>
      <c r="BK401" s="113">
        <f>INDEX('Dist. Plant Gas Additions'!$E$7:$AE$91,MATCH($C401,'Dist. Plant Gas Additions'!$D$7:$D$91,0),MATCH(Calculation!$G401,'Dist. Plant Gas Additions'!$E$5:$AE$5,0))</f>
        <v>656622</v>
      </c>
      <c r="BL401" s="113">
        <f>INDEX('Gen. Plant Additions'!$E$7:$AE$91,MATCH($C401,'Gen. Plant Additions'!$D$7:$D$91,0),MATCH(Calculation!$G401,'Gen. Plant Additions'!$E$5:$AE$5,0))</f>
        <v>5000</v>
      </c>
      <c r="BM401" s="232">
        <v>0.95800567315159668</v>
      </c>
      <c r="BN401" s="61">
        <f t="shared" si="752"/>
        <v>4790.028365757983</v>
      </c>
      <c r="BO401" s="113"/>
      <c r="BP401" s="113"/>
      <c r="BQ401" s="175"/>
      <c r="BR401" s="175"/>
      <c r="BS401" s="170"/>
      <c r="BT401" s="176"/>
      <c r="BU401" s="177"/>
      <c r="BV401" s="177"/>
      <c r="BW401" s="113"/>
      <c r="BX401" s="113"/>
      <c r="BY401" s="113"/>
      <c r="BZ401" s="113"/>
      <c r="CA401" s="116">
        <v>2021</v>
      </c>
      <c r="CB401" s="113"/>
      <c r="CC401" s="113"/>
      <c r="CD401" s="113"/>
      <c r="CE401" s="175"/>
      <c r="CF401" s="113">
        <f t="shared" si="715"/>
        <v>661622</v>
      </c>
      <c r="CG401" s="113">
        <f t="shared" si="716"/>
        <v>709.11687612624974</v>
      </c>
      <c r="CH401" s="178">
        <f>+(51-23)/(51-23*0.75)</f>
        <v>0.82962962962962961</v>
      </c>
      <c r="CI401" s="113">
        <f>CI378*CH401+CG379*CH400+CG380*CH399+CG381*CH398+CG382*CH397+CG383*CH396+CG384*CH395+CG385*CH394+CG386*CH393+CG387*CH392+CG388*CH391+CG389*CH390+CG390*CH389+CG391*CH388+CG392*CH387+CG383*CH386+CG394*CH385+CG395*CH384+CG396*CH383+CG397*CH382+CG398*CH381+CG399*CH380+CG401+CG400*CH379</f>
        <v>10568.889206536356</v>
      </c>
      <c r="CJ401" s="114"/>
      <c r="CK401" s="113"/>
      <c r="CL401" s="169">
        <f t="shared" si="718"/>
        <v>1.2814508325363176E-2</v>
      </c>
      <c r="CM401" s="169">
        <f t="shared" si="726"/>
        <v>9.9950256784305316E-3</v>
      </c>
      <c r="CN401" s="114">
        <f>VLOOKUP($H401,RoR!$E:$F,2,FALSE)</f>
        <v>2.7033333333333336E-2</v>
      </c>
      <c r="CO401" s="169"/>
      <c r="CP401" s="169"/>
      <c r="CQ401" s="169">
        <f t="shared" si="727"/>
        <v>2.0906915930103093E-2</v>
      </c>
      <c r="CR401" s="169">
        <f t="shared" si="728"/>
        <v>7.433422950153494E-2</v>
      </c>
      <c r="CS401" s="179">
        <f t="shared" si="719"/>
        <v>0.92230000000000001</v>
      </c>
      <c r="CT401" s="180">
        <f t="shared" si="720"/>
        <v>1.8969932656739068</v>
      </c>
      <c r="CU401" s="180">
        <f t="shared" si="721"/>
        <v>5.0215782983970621E-2</v>
      </c>
      <c r="CV401" s="180">
        <f t="shared" si="722"/>
        <v>0.655952481704143</v>
      </c>
      <c r="CW401" s="180">
        <f t="shared" si="723"/>
        <v>6.2485378865697057E-2</v>
      </c>
      <c r="CX401" s="181">
        <f>CX400</f>
        <v>0.20999999999999996</v>
      </c>
      <c r="CY401" s="72">
        <v>0.37</v>
      </c>
      <c r="CZ401" s="182">
        <f t="shared" si="725"/>
        <v>22.686582137690774</v>
      </c>
      <c r="DA401" s="182"/>
      <c r="DB401" s="169">
        <f t="shared" si="729"/>
        <v>6.8815242622477832E-2</v>
      </c>
      <c r="DC401" s="181">
        <f>VLOOKUP($H401,RoR!$E:$F,2,FALSE)</f>
        <v>2.7033333333333336E-2</v>
      </c>
      <c r="DD401" s="183">
        <f>HLOOKUP($H401,'GDP-PI'!$D$8:$CR$11,3,FALSE)</f>
        <v>4.2834637353352578E-2</v>
      </c>
      <c r="DE401" s="181">
        <f>VLOOKUP(H401,'HW Dx Data'!$E:$F,2,FALSE)</f>
        <v>933.02249921662576</v>
      </c>
      <c r="DF401" s="72">
        <f t="shared" si="739"/>
        <v>157.25</v>
      </c>
      <c r="DG401" s="69">
        <f t="shared" si="740"/>
        <v>2.6419062301765574E-2</v>
      </c>
      <c r="DH401" s="175">
        <f>HLOOKUP(H401,'GDP-PI'!$8:$9,2,FALSE)</f>
        <v>118.49</v>
      </c>
      <c r="DI401" s="169">
        <f t="shared" si="730"/>
        <v>4.194261824609434E-2</v>
      </c>
      <c r="EB401"/>
    </row>
    <row r="402" spans="1:132" s="160" customFormat="1" ht="21">
      <c r="G402" s="161" t="s">
        <v>144</v>
      </c>
      <c r="H402" s="162"/>
      <c r="I402" s="163"/>
      <c r="J402" s="159">
        <v>117750.91325027205</v>
      </c>
      <c r="K402" s="159">
        <f t="shared" si="731"/>
        <v>724.39811289001557</v>
      </c>
      <c r="L402" s="164">
        <f t="shared" ref="L402" si="754">LN(K402/K401)</f>
        <v>-3.8599798869221285E-3</v>
      </c>
      <c r="M402" s="76">
        <f t="shared" si="741"/>
        <v>-1.3368800951547499E-4</v>
      </c>
      <c r="N402" s="166">
        <f>+N401*EXP(O402)</f>
        <v>117.12759685297465</v>
      </c>
      <c r="O402" s="114">
        <f t="shared" si="742"/>
        <v>7.3745166539917963E-4</v>
      </c>
      <c r="P402" s="114"/>
      <c r="Q402" s="163">
        <v>165986.22711182927</v>
      </c>
      <c r="R402" s="159">
        <f t="shared" si="732"/>
        <v>1304.4104291695817</v>
      </c>
      <c r="S402" s="165">
        <f t="shared" ref="S402" si="755">LN(R402/R401)</f>
        <v>-4.2036315319541294E-2</v>
      </c>
      <c r="T402" s="165">
        <f t="shared" si="744"/>
        <v>-1.455901711165501E-3</v>
      </c>
      <c r="U402" s="166"/>
      <c r="V402" s="114"/>
      <c r="W402" s="159">
        <f t="shared" si="713"/>
        <v>278905.09707293252</v>
      </c>
      <c r="X402" s="168"/>
      <c r="Y402" s="167">
        <v>11155.930184470089</v>
      </c>
      <c r="Z402" s="168">
        <v>5.4056506529492412E-2</v>
      </c>
      <c r="AA402" s="76">
        <f t="shared" si="733"/>
        <v>1.872213579084359E-3</v>
      </c>
      <c r="AB402" s="166"/>
      <c r="AC402" s="114"/>
      <c r="AD402" s="163">
        <f t="shared" si="705"/>
        <v>562642.23743503378</v>
      </c>
      <c r="AE402" s="168">
        <f t="shared" si="745"/>
        <v>0.11377396776001951</v>
      </c>
      <c r="AF402" s="113"/>
      <c r="AG402" s="114"/>
      <c r="AH402" s="114"/>
      <c r="AI402" s="114"/>
      <c r="AJ402" s="116">
        <f t="shared" si="746"/>
        <v>309.96856883338251</v>
      </c>
      <c r="AK402" s="114"/>
      <c r="AL402" s="115">
        <f t="shared" si="734"/>
        <v>0.20928203646259017</v>
      </c>
      <c r="AM402" s="115">
        <f t="shared" si="735"/>
        <v>0.29501202730268733</v>
      </c>
      <c r="AN402" s="115">
        <f t="shared" si="736"/>
        <v>0.49570593623472264</v>
      </c>
      <c r="AO402" s="115"/>
      <c r="AP402" s="166"/>
      <c r="AQ402" s="168"/>
      <c r="AR402" s="69">
        <f>+AD402/$AF$27</f>
        <v>3.4634379823692593E-2</v>
      </c>
      <c r="AS402" s="169"/>
      <c r="AT402" s="166"/>
      <c r="AU402" s="168"/>
      <c r="AV402" s="113">
        <v>1815159</v>
      </c>
      <c r="AW402" s="68">
        <f t="shared" si="751"/>
        <v>5.2723670392295918E-3</v>
      </c>
      <c r="AX402" s="113"/>
      <c r="AY402" s="113"/>
      <c r="AZ402" s="113"/>
      <c r="BA402" s="113"/>
      <c r="BB402" s="171"/>
      <c r="BC402" s="172"/>
      <c r="BD402" s="173"/>
      <c r="BE402" s="115"/>
      <c r="BF402" s="174"/>
      <c r="BG402" s="174"/>
      <c r="BH402" s="166"/>
      <c r="BI402" s="113"/>
      <c r="BJ402" s="113"/>
      <c r="BK402" s="113"/>
      <c r="BL402" s="113"/>
      <c r="BM402" s="232">
        <v>0.95800567315159668</v>
      </c>
      <c r="BN402" s="61">
        <f t="shared" si="752"/>
        <v>0</v>
      </c>
      <c r="BO402" s="113"/>
      <c r="BP402" s="113"/>
      <c r="BQ402" s="175"/>
      <c r="BR402" s="175"/>
      <c r="BS402" s="170"/>
      <c r="BT402" s="176"/>
      <c r="BU402" s="177"/>
      <c r="BV402" s="177"/>
      <c r="BW402" s="113"/>
      <c r="BX402" s="113"/>
      <c r="BY402" s="113"/>
      <c r="BZ402" s="113"/>
      <c r="CA402" s="116">
        <v>2022</v>
      </c>
      <c r="CB402" s="113"/>
      <c r="CC402" s="113"/>
      <c r="CD402" s="113"/>
      <c r="CE402" s="175"/>
      <c r="CF402" s="238">
        <v>657584</v>
      </c>
      <c r="CG402" s="113">
        <f>+CF402/DE402</f>
        <v>637.92939532988623</v>
      </c>
      <c r="CH402" s="178">
        <f>+(51-24)/(51-24*0.75)</f>
        <v>0.81818181818181823</v>
      </c>
      <c r="CI402" s="113">
        <f>+CI378*CH402+CG379*CH401+CG380*CH400+CG381*CH399+CG382*CH398+CG383*CH397+CG384*CH396+CG385*CH395+CG386*CH394+CG387*CH393+CG388*CH392+CG389*CH391+CG390*CH390+CG391*CH389+CG392*CH388+CG393*CH387+CG394*CH386+CG395*CH385+CG396*CH384+CG397*CH383+CG398*CH382+CG399*CH381+CG400*CH380+CG401*CH379+CG402*CH378</f>
        <v>11152.012876721814</v>
      </c>
      <c r="CJ402" s="114">
        <f t="shared" ref="CJ402" si="756">LN(CI402/CI401)</f>
        <v>5.3705303572070935E-2</v>
      </c>
      <c r="CK402" s="113"/>
      <c r="CL402" s="169">
        <f t="shared" si="718"/>
        <v>5.185570978502997E-3</v>
      </c>
      <c r="CM402" s="169">
        <f t="shared" si="726"/>
        <v>8.8755988248616011E-3</v>
      </c>
      <c r="CN402" s="114"/>
      <c r="CO402" s="169"/>
      <c r="CP402" s="169"/>
      <c r="CQ402" s="69">
        <f t="shared" si="727"/>
        <v>2.2026342783672024E-2</v>
      </c>
      <c r="CR402" s="169">
        <f t="shared" si="728"/>
        <v>0.10114668178709289</v>
      </c>
      <c r="CS402" s="179">
        <f t="shared" si="719"/>
        <v>0.92230000000000001</v>
      </c>
      <c r="CT402" s="180"/>
      <c r="CU402" s="180"/>
      <c r="CV402" s="180"/>
      <c r="CW402" s="180"/>
      <c r="CX402" s="181">
        <f>CX401</f>
        <v>0.20999999999999996</v>
      </c>
      <c r="CY402" s="72">
        <v>0.37</v>
      </c>
      <c r="CZ402" s="182">
        <f t="shared" si="725"/>
        <v>26.389253555656822</v>
      </c>
      <c r="DA402" s="182"/>
      <c r="DB402" s="169">
        <f t="shared" si="729"/>
        <v>0.15118321052843067</v>
      </c>
      <c r="DC402" s="181">
        <v>0.04</v>
      </c>
      <c r="DD402" s="183">
        <v>7.0000000000000001E-3</v>
      </c>
      <c r="DE402" s="181">
        <v>1030.81</v>
      </c>
      <c r="DF402" s="72">
        <f t="shared" si="739"/>
        <v>162.55000000000001</v>
      </c>
      <c r="DG402" s="169">
        <f t="shared" si="740"/>
        <v>3.3148751169364422E-2</v>
      </c>
      <c r="DH402" s="175">
        <v>127.25</v>
      </c>
      <c r="DI402" s="169">
        <f t="shared" si="730"/>
        <v>7.1325086601983473E-2</v>
      </c>
      <c r="EB402"/>
    </row>
    <row r="403" spans="1:132" s="160" customFormat="1" ht="21">
      <c r="A403" s="160" t="s">
        <v>185</v>
      </c>
      <c r="B403" s="161" t="s">
        <v>185</v>
      </c>
      <c r="C403" s="161">
        <v>4059459</v>
      </c>
      <c r="D403" s="161" t="s">
        <v>171</v>
      </c>
      <c r="E403" s="161" t="s">
        <v>3</v>
      </c>
      <c r="F403" s="161"/>
      <c r="G403" s="161" t="s">
        <v>100</v>
      </c>
      <c r="H403" s="162">
        <v>1998</v>
      </c>
      <c r="I403" s="163"/>
      <c r="J403" s="159"/>
      <c r="K403" s="159"/>
      <c r="L403" s="159"/>
      <c r="M403" s="60"/>
      <c r="N403" s="131"/>
      <c r="O403" s="76"/>
      <c r="P403" s="76"/>
      <c r="Q403" s="165"/>
      <c r="R403" s="165"/>
      <c r="S403" s="165"/>
      <c r="T403" s="159"/>
      <c r="U403" s="165"/>
      <c r="V403" s="165"/>
      <c r="W403" s="159"/>
      <c r="X403" s="163"/>
      <c r="Y403" s="167">
        <v>61.169117266300752</v>
      </c>
      <c r="Z403" s="168"/>
      <c r="AA403" s="78"/>
      <c r="AB403" s="168"/>
      <c r="AC403" s="168"/>
      <c r="AD403" s="163">
        <f t="shared" si="705"/>
        <v>0</v>
      </c>
      <c r="AE403" s="163"/>
      <c r="AF403" s="163"/>
      <c r="AG403" s="114"/>
      <c r="AH403" s="114"/>
      <c r="AI403" s="114"/>
      <c r="AJ403" s="166">
        <f>+(AJ400+AJ401+AJ402)/3</f>
        <v>280.38982673238314</v>
      </c>
      <c r="AK403" s="168"/>
      <c r="AL403" s="115"/>
      <c r="AM403" s="115"/>
      <c r="AN403" s="115"/>
      <c r="AO403" s="115"/>
      <c r="AP403" s="115"/>
      <c r="AQ403" s="168">
        <f>AVERAGE(AQ412:AQ426)</f>
        <v>3.671915686648046E-2</v>
      </c>
      <c r="AR403" s="79"/>
      <c r="AS403" s="115"/>
      <c r="AT403" s="115"/>
      <c r="AU403" s="115"/>
      <c r="AV403" s="113">
        <f>IFERROR(INDEX('Total Customers'!$F$7:$AB$91,MATCH($C403,'Total Customers'!$D$7:$D$91,0),MATCH($G403,'Total Customers'!$F$5:$AB$5,0)),"NA")</f>
        <v>13880</v>
      </c>
      <c r="AW403" s="68"/>
      <c r="AX403" s="114"/>
      <c r="AY403" s="114"/>
      <c r="AZ403" s="116"/>
      <c r="BA403" s="116"/>
      <c r="BB403" s="166"/>
      <c r="BC403" s="166"/>
      <c r="BD403" s="166"/>
      <c r="BE403" s="166"/>
      <c r="BF403" s="166"/>
      <c r="BG403" s="166"/>
      <c r="BH403" s="166"/>
      <c r="BI403" s="113">
        <f>INDEX('Gross Dx Plant'!$E$7:$AD$91,MATCH($C403,'Gross Dx Plant'!$D$7:$D$91,0),MATCH(Calculation!$G403,'Gross Dx Plant'!$E$5:$AD$5,0))</f>
        <v>10678</v>
      </c>
      <c r="BJ403" s="113">
        <f>INDEX('Gross Gen Plant'!$E$7:$AD$91,MATCH($C403,'Gross Gen Plant'!$D$7:$D$91,0),MATCH(Calculation!$G403,'Gross Gen Plant'!$E$5:$AD$5,0))</f>
        <v>6979</v>
      </c>
      <c r="BK403" s="113">
        <f>INDEX('Dist. Plant Gas Additions'!$F$7:$AE$91,MATCH($C403,'Dist. Plant Gas Additions'!$D$7:$D$91,0),MATCH(Calculation!$G403,'Dist. Plant Gas Additions'!$F$5:$AE$5,0))</f>
        <v>717</v>
      </c>
      <c r="BL403" s="113">
        <f>INDEX('Gen. Plant Additions'!$F$7:$AE$91,MATCH($C403,'Gen. Plant Additions'!$D$7:$D$91,0),MATCH(Calculation!$G403,'Gen. Plant Additions'!$F$5:$AE$5,0))</f>
        <v>236</v>
      </c>
      <c r="BM403" s="231">
        <f>+(BW403/(BW403+BX403))</f>
        <v>0.60474599309055899</v>
      </c>
      <c r="BN403" s="61">
        <f t="shared" si="752"/>
        <v>142.72005436937192</v>
      </c>
      <c r="BO403" s="113">
        <f>INDEX('Dist Plant Depreciation'!$E$7:$AD$94,MATCH($C403,'Dist Plant Depreciation'!$D$7:$D$94,0),MATCH(Calculation!$G403,'Dist Plant Depreciation'!$E$5:$AD$5,0))</f>
        <v>2904</v>
      </c>
      <c r="BP403" s="113">
        <f>INDEX('Gen. Plant Depreciation'!$E$7:$AD$94,MATCH($C403,'Gen. Plant Depreciation'!$D$7:$D$94,0),MATCH(Calculation!$G403,'Gen. Plant Depreciation'!$E$5:$AD$5,0))</f>
        <v>2414</v>
      </c>
      <c r="BQ403" s="113"/>
      <c r="BR403" s="113"/>
      <c r="BS403" s="113"/>
      <c r="BT403" s="113"/>
      <c r="BU403" s="113"/>
      <c r="BV403" s="113"/>
      <c r="BW403" s="113">
        <f>INDEX('Gross Dx Plant'!$E$7:$AD$91,MATCH($C403,'Gross Dx Plant'!$D$7:$D$91,0),MATCH(Calculation!$G403,'Gross Dx Plant'!$E$5:$AD$5,0))</f>
        <v>10678</v>
      </c>
      <c r="BX403" s="113">
        <f>INDEX('Gross Gen Plant'!$E$7:$AD$91,MATCH($C403,'Gross Gen Plant'!$D$7:$D$91,0),MATCH(Calculation!$G403,'Gross Gen Plant'!$E$5:$AD$5,0))</f>
        <v>6979</v>
      </c>
      <c r="BY403" s="113">
        <f t="shared" si="753"/>
        <v>12339</v>
      </c>
      <c r="BZ403" s="113"/>
      <c r="CA403" s="116">
        <v>1998</v>
      </c>
      <c r="CB403" s="113">
        <f>BI403+BJ403</f>
        <v>17657</v>
      </c>
      <c r="CC403" s="113">
        <f>2904+2414</f>
        <v>5318</v>
      </c>
      <c r="CD403" s="113">
        <f>+CB403-CC403</f>
        <v>12339</v>
      </c>
      <c r="CE403" s="113">
        <f>CD403/$BV$3</f>
        <v>61.169117266300752</v>
      </c>
      <c r="CF403" s="175"/>
      <c r="CG403" s="175"/>
      <c r="CH403" s="178">
        <v>1</v>
      </c>
      <c r="CI403" s="113">
        <f>+CE403</f>
        <v>61.169117266300752</v>
      </c>
      <c r="CJ403" s="114"/>
      <c r="CK403" s="114"/>
      <c r="CL403" s="169"/>
      <c r="CM403" s="169"/>
      <c r="CN403" s="114" t="e">
        <f>VLOOKUP($H403,RoR!$E:$F,2,FALSE)</f>
        <v>#N/A</v>
      </c>
      <c r="CO403" s="169">
        <v>1.1028127770464469E-2</v>
      </c>
      <c r="CP403" s="169"/>
      <c r="CQ403" s="169"/>
      <c r="CR403" s="169"/>
      <c r="CS403" s="179"/>
      <c r="CT403" s="182" t="e">
        <f>2/(DC403*39)</f>
        <v>#N/A</v>
      </c>
      <c r="CU403" s="180" t="e">
        <f>+(DC403*40-(1+DC403))/(DC403*40)</f>
        <v>#N/A</v>
      </c>
      <c r="CV403" s="180" t="e">
        <f>+(1-(1/(1+DC403)^40))</f>
        <v>#N/A</v>
      </c>
      <c r="CW403" s="180" t="e">
        <f>+CV403*CU403*CT403</f>
        <v>#N/A</v>
      </c>
      <c r="CX403" s="181">
        <f>INDEX('State Tax Lookup'!$D$7:$Z$91,MATCH(Calculation!$C403,'State Tax Lookup'!$B$7:$B$91,0),MATCH($H403,'State Tax Lookup'!$D$6:$Z$6,0))</f>
        <v>0.39649667</v>
      </c>
      <c r="CY403" s="72">
        <v>0.37</v>
      </c>
      <c r="CZ403" s="66"/>
      <c r="DA403" s="66"/>
      <c r="DB403" s="69"/>
      <c r="DC403" s="111" t="e">
        <f>VLOOKUP($H403,RoR!$E:$F,2,FALSE)</f>
        <v>#N/A</v>
      </c>
      <c r="DD403" s="216">
        <f>HLOOKUP($H403,'GDP-PI'!$D$8:$CQ$11,3,FALSE)</f>
        <v>1.1028127770464469E-2</v>
      </c>
      <c r="DE403" s="111">
        <f>VLOOKUP(H403,'HW Dx Data'!$E:$F,2,FALSE)</f>
        <v>329.24564746449528</v>
      </c>
      <c r="DF403" s="72" t="e">
        <f t="shared" si="739"/>
        <v>#N/A</v>
      </c>
      <c r="DG403" s="169" t="e">
        <f t="shared" si="740"/>
        <v>#N/A</v>
      </c>
      <c r="DH403" s="66">
        <f>HLOOKUP(H403,'GDP-PI'!$8:$9,2,FALSE)</f>
        <v>75.266999999999996</v>
      </c>
      <c r="DI403"/>
      <c r="DJ403" s="160">
        <v>1.9340147467329368E-2</v>
      </c>
      <c r="EB403"/>
    </row>
    <row r="404" spans="1:132" s="160" customFormat="1" ht="21">
      <c r="A404" s="160" t="s">
        <v>185</v>
      </c>
      <c r="B404" s="161" t="s">
        <v>185</v>
      </c>
      <c r="C404" s="161">
        <v>4059459</v>
      </c>
      <c r="D404" s="161" t="s">
        <v>171</v>
      </c>
      <c r="E404" s="161" t="s">
        <v>3</v>
      </c>
      <c r="F404" s="161"/>
      <c r="G404" s="161" t="s">
        <v>106</v>
      </c>
      <c r="H404" s="162">
        <v>1999</v>
      </c>
      <c r="I404" s="163"/>
      <c r="J404" s="159"/>
      <c r="K404" s="163"/>
      <c r="L404" s="163"/>
      <c r="M404" s="60"/>
      <c r="N404" s="152"/>
      <c r="O404" s="60"/>
      <c r="P404" s="59"/>
      <c r="Q404" s="169"/>
      <c r="R404" s="169"/>
      <c r="S404" s="169"/>
      <c r="T404" s="187"/>
      <c r="U404" s="169"/>
      <c r="V404" s="169"/>
      <c r="W404" s="159">
        <f t="shared" ref="W404:W427" si="757">+CI403*CZ404</f>
        <v>0</v>
      </c>
      <c r="X404" s="163"/>
      <c r="Y404" s="167">
        <v>63.489113056437134</v>
      </c>
      <c r="Z404" s="168">
        <v>3.7226000946488078E-2</v>
      </c>
      <c r="AA404" s="78"/>
      <c r="AB404" s="168"/>
      <c r="AC404" s="168"/>
      <c r="AD404" s="163">
        <f t="shared" si="705"/>
        <v>0</v>
      </c>
      <c r="AE404" s="168"/>
      <c r="AF404" s="163"/>
      <c r="AG404" s="114"/>
      <c r="AH404" s="114"/>
      <c r="AI404" s="114"/>
      <c r="AJ404" s="167"/>
      <c r="AK404" s="168"/>
      <c r="AL404" s="115"/>
      <c r="AM404" s="115"/>
      <c r="AN404" s="115"/>
      <c r="AO404" s="115"/>
      <c r="AP404" s="115"/>
      <c r="AQ404" s="168"/>
      <c r="AR404" s="79"/>
      <c r="AS404" s="115"/>
      <c r="AT404" s="115"/>
      <c r="AU404" s="115"/>
      <c r="AV404" s="113">
        <f>IFERROR(INDEX('Total Customers'!$F$7:$AB$91,MATCH($C404,'Total Customers'!$D$7:$D$91,0),MATCH($G404,'Total Customers'!$F$5:$AB$5,0)),"NA")</f>
        <v>14418</v>
      </c>
      <c r="AW404" s="68">
        <f t="shared" si="751"/>
        <v>3.8028470903728379E-2</v>
      </c>
      <c r="AX404" s="114"/>
      <c r="AY404" s="114"/>
      <c r="AZ404" s="116"/>
      <c r="BA404" s="116"/>
      <c r="BB404" s="166"/>
      <c r="BC404" s="166"/>
      <c r="BD404" s="166"/>
      <c r="BE404" s="166"/>
      <c r="BF404" s="166"/>
      <c r="BG404" s="166"/>
      <c r="BH404" s="166"/>
      <c r="BI404" s="113"/>
      <c r="BJ404" s="113"/>
      <c r="BK404" s="113">
        <f>INDEX('Dist. Plant Gas Additions'!$F$7:$AE$91,MATCH($C404,'Dist. Plant Gas Additions'!$D$7:$D$91,0),MATCH(Calculation!$G404,'Dist. Plant Gas Additions'!$F$5:$AE$5,0))</f>
        <v>595</v>
      </c>
      <c r="BL404" s="113">
        <f>INDEX('Gen. Plant Additions'!$F$7:$AE$91,MATCH($C404,'Gen. Plant Additions'!$D$7:$D$91,0),MATCH(Calculation!$G404,'Gen. Plant Additions'!$F$5:$AE$5,0))</f>
        <v>285</v>
      </c>
      <c r="BM404" s="231">
        <f t="shared" ref="BM404:BM425" si="758">+(BW404/(BW404+BX404))</f>
        <v>0.62785630482149846</v>
      </c>
      <c r="BN404" s="61">
        <f t="shared" si="752"/>
        <v>178.93904687412706</v>
      </c>
      <c r="BO404" s="113">
        <f>INDEX('Dist Plant Depreciation'!$E$7:$AD$94,MATCH($C404,'Dist Plant Depreciation'!$D$7:$D$94,0),MATCH(Calculation!$G404,'Dist Plant Depreciation'!$E$5:$AD$5,0))</f>
        <v>3081</v>
      </c>
      <c r="BP404" s="113">
        <f>INDEX('Gen. Plant Depreciation'!$E$7:$AD$94,MATCH($C404,'Gen. Plant Depreciation'!$D$7:$D$94,0),MATCH(Calculation!$G404,'Gen. Plant Depreciation'!$E$5:$AD$5,0))</f>
        <v>2039</v>
      </c>
      <c r="BQ404" s="113"/>
      <c r="BR404" s="113"/>
      <c r="BS404" s="113"/>
      <c r="BT404" s="113"/>
      <c r="BU404" s="113"/>
      <c r="BV404" s="113"/>
      <c r="BW404" s="113">
        <f>INDEX('Gross Dx Plant'!$E$7:$AD$91,MATCH($C404,'Gross Dx Plant'!$D$7:$D$91,0),MATCH(Calculation!$G404,'Gross Dx Plant'!$E$5:$AD$5,0))</f>
        <v>11238</v>
      </c>
      <c r="BX404" s="113">
        <f>INDEX('Gross Gen Plant'!$E$7:$AD$91,MATCH($C404,'Gross Gen Plant'!$D$7:$D$91,0),MATCH(Calculation!$G404,'Gross Gen Plant'!$E$5:$AD$5,0))</f>
        <v>6661</v>
      </c>
      <c r="BY404" s="113">
        <f t="shared" si="753"/>
        <v>12779</v>
      </c>
      <c r="BZ404" s="113"/>
      <c r="CA404" s="116">
        <v>1999</v>
      </c>
      <c r="CB404" s="113"/>
      <c r="CC404" s="113"/>
      <c r="CD404" s="113"/>
      <c r="CE404" s="175"/>
      <c r="CF404" s="113">
        <f t="shared" ref="CF404:CF426" si="759">+BL404+BK404</f>
        <v>880</v>
      </c>
      <c r="CG404" s="113">
        <f t="shared" ref="CG404:CG426" si="760">+CF404/$DE404</f>
        <v>2.6243197566353849</v>
      </c>
      <c r="CH404" s="178">
        <v>0.99502487562189057</v>
      </c>
      <c r="CI404" s="61">
        <f>+CI403*CH404+CG404</f>
        <v>63.489113056437134</v>
      </c>
      <c r="CJ404" s="114">
        <f t="shared" ref="CJ404:CJ425" si="761">LN(CI404/CI403)</f>
        <v>3.7226000946488078E-2</v>
      </c>
      <c r="CK404" s="114"/>
      <c r="CL404" s="169">
        <f t="shared" ref="CL404:CL426" si="762">+(CI403-CI404+CG404)/CI403</f>
        <v>4.9751243781093624E-3</v>
      </c>
      <c r="CM404" s="169"/>
      <c r="CN404" s="114">
        <f>VLOOKUP($H404,RoR!$E:$F,2,FALSE)</f>
        <v>7.0416666666666669E-2</v>
      </c>
      <c r="CO404" s="169">
        <v>1.4335631817396832E-2</v>
      </c>
      <c r="CP404" s="169">
        <f>+CN404-CO404</f>
        <v>5.6081034849269837E-2</v>
      </c>
      <c r="CQ404" s="169"/>
      <c r="CR404" s="169"/>
      <c r="CS404" s="179">
        <f t="shared" ref="CS404:CS427" si="763">1-CX404*CY404</f>
        <v>0.85329623209999994</v>
      </c>
      <c r="CT404" s="180">
        <f t="shared" ref="CT404:CT426" si="764">2/(DC404*39)</f>
        <v>0.72826581702321336</v>
      </c>
      <c r="CU404" s="180">
        <f t="shared" ref="CU404:CU426" si="765">+(DC404*40-(1+DC404))/(DC404*40)</f>
        <v>0.61997041420118348</v>
      </c>
      <c r="CV404" s="180">
        <f t="shared" ref="CV404:CV426" si="766">+(1-(1/(1+DC404)^40))</f>
        <v>0.93425155319585029</v>
      </c>
      <c r="CW404" s="180">
        <f t="shared" ref="CW404:CW426" si="767">+CV404*CU404*CT404</f>
        <v>0.42181762214141483</v>
      </c>
      <c r="CX404" s="181">
        <f>INDEX('State Tax Lookup'!$D$7:$Z$91,MATCH(Calculation!$C404,'State Tax Lookup'!$B$7:$B$91,0),MATCH($H404,'State Tax Lookup'!$D$6:$Z$6,0))</f>
        <v>0.39649667</v>
      </c>
      <c r="CY404" s="72">
        <v>0.37</v>
      </c>
      <c r="CZ404" s="70"/>
      <c r="DA404" s="70"/>
      <c r="DB404" s="69"/>
      <c r="DC404" s="111">
        <f>VLOOKUP($H404,RoR!$E:$F,2,FALSE)</f>
        <v>7.0416666666666669E-2</v>
      </c>
      <c r="DD404" s="216">
        <f>HLOOKUP($H404,'GDP-PI'!$D$8:$CQ$11,3,FALSE)</f>
        <v>1.4335631817396832E-2</v>
      </c>
      <c r="DE404" s="111">
        <f>VLOOKUP(H404,'HW Dx Data'!$E:$F,2,FALSE)</f>
        <v>335.32499146683239</v>
      </c>
      <c r="DF404" s="66"/>
      <c r="DG404" s="69"/>
      <c r="DH404" s="66">
        <f>HLOOKUP(H404,'GDP-PI'!$8:$9,2,FALSE)</f>
        <v>76.346000000000004</v>
      </c>
      <c r="DI404"/>
      <c r="DJ404" s="160">
        <v>4.9522900380789929E-3</v>
      </c>
      <c r="EB404"/>
    </row>
    <row r="405" spans="1:132" s="160" customFormat="1" ht="21">
      <c r="A405" s="160" t="s">
        <v>185</v>
      </c>
      <c r="B405" s="161" t="s">
        <v>185</v>
      </c>
      <c r="C405" s="161">
        <v>4059459</v>
      </c>
      <c r="D405" s="161" t="s">
        <v>171</v>
      </c>
      <c r="E405" s="161" t="s">
        <v>3</v>
      </c>
      <c r="F405" s="161"/>
      <c r="G405" s="161" t="s">
        <v>107</v>
      </c>
      <c r="H405" s="162">
        <v>2000</v>
      </c>
      <c r="I405" s="163"/>
      <c r="J405" s="159"/>
      <c r="K405" s="159"/>
      <c r="L405" s="159"/>
      <c r="M405" s="60"/>
      <c r="N405" s="152"/>
      <c r="O405" s="60"/>
      <c r="P405" s="60"/>
      <c r="Q405" s="159"/>
      <c r="R405" s="159"/>
      <c r="S405" s="159"/>
      <c r="T405" s="159"/>
      <c r="U405" s="159"/>
      <c r="V405" s="159"/>
      <c r="W405" s="159">
        <f t="shared" si="757"/>
        <v>0</v>
      </c>
      <c r="X405" s="163"/>
      <c r="Y405" s="167">
        <v>65.295059449388006</v>
      </c>
      <c r="Z405" s="168">
        <v>2.80479308761293E-2</v>
      </c>
      <c r="AA405" s="78"/>
      <c r="AB405" s="168"/>
      <c r="AC405" s="168"/>
      <c r="AD405" s="163">
        <f t="shared" si="705"/>
        <v>0</v>
      </c>
      <c r="AE405" s="168"/>
      <c r="AF405" s="163"/>
      <c r="AG405" s="163"/>
      <c r="AH405" s="163"/>
      <c r="AI405" s="163"/>
      <c r="AJ405" s="167"/>
      <c r="AK405" s="168"/>
      <c r="AL405" s="115"/>
      <c r="AM405" s="115"/>
      <c r="AN405" s="115"/>
      <c r="AO405" s="115"/>
      <c r="AP405" s="115"/>
      <c r="AQ405" s="168"/>
      <c r="AR405" s="79"/>
      <c r="AS405" s="115"/>
      <c r="AT405" s="115"/>
      <c r="AU405" s="115"/>
      <c r="AV405" s="113">
        <f>IFERROR(INDEX('Total Customers'!$F$7:$AB$91,MATCH($C405,'Total Customers'!$D$7:$D$91,0),MATCH($G405,'Total Customers'!$F$5:$AB$5,0)),"NA")</f>
        <v>15234</v>
      </c>
      <c r="AW405" s="68">
        <f t="shared" si="751"/>
        <v>5.5052345968209584E-2</v>
      </c>
      <c r="AX405" s="114"/>
      <c r="AY405" s="114"/>
      <c r="AZ405" s="116"/>
      <c r="BA405" s="116"/>
      <c r="BB405" s="166"/>
      <c r="BC405" s="166"/>
      <c r="BD405" s="166"/>
      <c r="BE405" s="166"/>
      <c r="BF405" s="166"/>
      <c r="BG405" s="166"/>
      <c r="BH405" s="166"/>
      <c r="BI405" s="113"/>
      <c r="BJ405" s="113"/>
      <c r="BK405" s="113">
        <f>INDEX('Dist. Plant Gas Additions'!$F$7:$AE$91,MATCH($C405,'Dist. Plant Gas Additions'!$D$7:$D$91,0),MATCH(Calculation!$G405,'Dist. Plant Gas Additions'!$F$5:$AE$5,0))</f>
        <v>518</v>
      </c>
      <c r="BL405" s="113">
        <f>INDEX('Gen. Plant Additions'!$F$7:$AE$91,MATCH($C405,'Gen. Plant Additions'!$D$7:$D$91,0),MATCH(Calculation!$G405,'Gen. Plant Additions'!$F$5:$AE$5,0))</f>
        <v>221</v>
      </c>
      <c r="BM405" s="231">
        <f t="shared" si="758"/>
        <v>0.63229907347554404</v>
      </c>
      <c r="BN405" s="61">
        <f t="shared" si="752"/>
        <v>139.73809523809524</v>
      </c>
      <c r="BO405" s="113">
        <f>INDEX('Dist Plant Depreciation'!$E$7:$AD$94,MATCH($C405,'Dist Plant Depreciation'!$D$7:$D$94,0),MATCH(Calculation!$G405,'Dist Plant Depreciation'!$E$5:$AD$5,0))</f>
        <v>3302</v>
      </c>
      <c r="BP405" s="113">
        <f>INDEX('Gen. Plant Depreciation'!$E$7:$AD$94,MATCH($C405,'Gen. Plant Depreciation'!$D$7:$D$94,0),MATCH(Calculation!$G405,'Gen. Plant Depreciation'!$E$5:$AD$5,0))</f>
        <v>2247</v>
      </c>
      <c r="BQ405" s="113"/>
      <c r="BR405" s="113"/>
      <c r="BS405" s="113"/>
      <c r="BT405" s="113"/>
      <c r="BU405" s="113"/>
      <c r="BV405" s="113"/>
      <c r="BW405" s="113">
        <f>INDEX('Gross Dx Plant'!$E$7:$AD$91,MATCH($C405,'Gross Dx Plant'!$D$7:$D$91,0),MATCH(Calculation!$G405,'Gross Dx Plant'!$E$5:$AD$5,0))</f>
        <v>11738</v>
      </c>
      <c r="BX405" s="113">
        <f>INDEX('Gross Gen Plant'!$E$7:$AD$91,MATCH($C405,'Gross Gen Plant'!$D$7:$D$91,0),MATCH(Calculation!$G405,'Gross Gen Plant'!$E$5:$AD$5,0))</f>
        <v>6826</v>
      </c>
      <c r="BY405" s="113">
        <f t="shared" si="753"/>
        <v>13015</v>
      </c>
      <c r="BZ405" s="113"/>
      <c r="CA405" s="116">
        <v>2000</v>
      </c>
      <c r="CB405" s="113"/>
      <c r="CC405" s="113"/>
      <c r="CD405" s="113"/>
      <c r="CE405" s="175"/>
      <c r="CF405" s="113">
        <f t="shared" si="759"/>
        <v>739</v>
      </c>
      <c r="CG405" s="113">
        <f t="shared" si="760"/>
        <v>2.1325486150258333</v>
      </c>
      <c r="CH405" s="178">
        <v>0.98989898989898994</v>
      </c>
      <c r="CI405" s="61">
        <f>+CI403*CH405+CG404*CH404+CG405</f>
        <v>65.295059449388006</v>
      </c>
      <c r="CJ405" s="114">
        <f t="shared" si="761"/>
        <v>2.80479308761293E-2</v>
      </c>
      <c r="CK405" s="114"/>
      <c r="CL405" s="169">
        <f t="shared" si="762"/>
        <v>5.1442240464855075E-3</v>
      </c>
      <c r="CM405" s="169"/>
      <c r="CN405" s="114">
        <f>VLOOKUP($H405,RoR!$E:$F,2,FALSE)</f>
        <v>7.6225000000000001E-2</v>
      </c>
      <c r="CO405" s="169">
        <v>2.2568307442433211E-2</v>
      </c>
      <c r="CP405" s="169">
        <f t="shared" ref="CP405:CP425" si="768">+CN405-CO405</f>
        <v>5.365669255756679E-2</v>
      </c>
      <c r="CQ405" s="169"/>
      <c r="CR405" s="169"/>
      <c r="CS405" s="179">
        <f t="shared" si="763"/>
        <v>0.85329623209999994</v>
      </c>
      <c r="CT405" s="180">
        <f t="shared" si="764"/>
        <v>0.67277207323124022</v>
      </c>
      <c r="CU405" s="180">
        <f t="shared" si="765"/>
        <v>0.6470236142997704</v>
      </c>
      <c r="CV405" s="180">
        <f t="shared" si="766"/>
        <v>0.94704866037543145</v>
      </c>
      <c r="CW405" s="180">
        <f t="shared" si="767"/>
        <v>0.41224973107878493</v>
      </c>
      <c r="CX405" s="181">
        <f>INDEX('State Tax Lookup'!$D$7:$Z$91,MATCH(Calculation!$C405,'State Tax Lookup'!$B$7:$B$91,0),MATCH($H405,'State Tax Lookup'!$D$6:$Z$6,0))</f>
        <v>0.39649667</v>
      </c>
      <c r="CY405" s="72">
        <v>0.37</v>
      </c>
      <c r="CZ405" s="70"/>
      <c r="DA405" s="70"/>
      <c r="DB405" s="69"/>
      <c r="DC405" s="111">
        <f>VLOOKUP($H405,RoR!$E:$F,2,FALSE)</f>
        <v>7.6225000000000001E-2</v>
      </c>
      <c r="DD405" s="216">
        <f>HLOOKUP($H405,'GDP-PI'!$D$8:$CQ$11,3,FALSE)</f>
        <v>2.2568307442433211E-2</v>
      </c>
      <c r="DE405" s="111">
        <f>VLOOKUP(H405,'HW Dx Data'!$E:$F,2,FALSE)</f>
        <v>346.53371782150339</v>
      </c>
      <c r="DF405" s="66"/>
      <c r="DG405" s="69"/>
      <c r="DH405" s="66">
        <f>HLOOKUP(H405,'GDP-PI'!$8:$9,2,FALSE)</f>
        <v>78.069000000000003</v>
      </c>
      <c r="DI405"/>
      <c r="DJ405" s="160">
        <v>3.5669720481991657E-2</v>
      </c>
      <c r="EB405"/>
    </row>
    <row r="406" spans="1:132" s="160" customFormat="1" ht="21">
      <c r="A406" s="160" t="s">
        <v>185</v>
      </c>
      <c r="B406" s="161" t="s">
        <v>185</v>
      </c>
      <c r="C406" s="161">
        <v>4059459</v>
      </c>
      <c r="D406" s="161" t="s">
        <v>171</v>
      </c>
      <c r="E406" s="161" t="s">
        <v>3</v>
      </c>
      <c r="F406" s="161"/>
      <c r="G406" s="161" t="s">
        <v>111</v>
      </c>
      <c r="H406" s="162">
        <v>2001</v>
      </c>
      <c r="I406" s="163"/>
      <c r="J406" s="159"/>
      <c r="K406" s="159"/>
      <c r="L406" s="159"/>
      <c r="M406" s="60"/>
      <c r="N406" s="152"/>
      <c r="O406" s="60"/>
      <c r="P406" s="60"/>
      <c r="Q406" s="159"/>
      <c r="R406" s="159"/>
      <c r="S406" s="159"/>
      <c r="T406" s="159"/>
      <c r="U406" s="159"/>
      <c r="V406" s="159"/>
      <c r="W406" s="159">
        <f t="shared" si="757"/>
        <v>839.9931397699155</v>
      </c>
      <c r="X406" s="163"/>
      <c r="Y406" s="167">
        <v>67.790518752957539</v>
      </c>
      <c r="Z406" s="168">
        <v>3.7505969620048138E-2</v>
      </c>
      <c r="AA406" s="78"/>
      <c r="AB406" s="168"/>
      <c r="AC406" s="168"/>
      <c r="AD406" s="163">
        <f t="shared" si="705"/>
        <v>839.9931397699155</v>
      </c>
      <c r="AE406" s="168"/>
      <c r="AF406" s="163"/>
      <c r="AG406" s="163"/>
      <c r="AH406" s="163"/>
      <c r="AI406" s="163"/>
      <c r="AJ406" s="167"/>
      <c r="AK406" s="168"/>
      <c r="AL406" s="115"/>
      <c r="AM406" s="115"/>
      <c r="AN406" s="115"/>
      <c r="AO406" s="115"/>
      <c r="AP406" s="115"/>
      <c r="AQ406" s="168"/>
      <c r="AR406" s="79"/>
      <c r="AS406" s="115"/>
      <c r="AT406" s="115"/>
      <c r="AU406" s="115"/>
      <c r="AV406" s="113">
        <f>IFERROR(INDEX('Total Customers'!$F$7:$AB$91,MATCH($C406,'Total Customers'!$D$7:$D$91,0),MATCH($G406,'Total Customers'!$F$5:$AB$5,0)),"NA")</f>
        <v>18138</v>
      </c>
      <c r="AW406" s="68">
        <f t="shared" si="751"/>
        <v>0.17447941307477968</v>
      </c>
      <c r="AX406" s="114"/>
      <c r="AY406" s="114"/>
      <c r="AZ406" s="116"/>
      <c r="BA406" s="116"/>
      <c r="BB406" s="166"/>
      <c r="BC406" s="166"/>
      <c r="BD406" s="166"/>
      <c r="BE406" s="166"/>
      <c r="BF406" s="166"/>
      <c r="BG406" s="166"/>
      <c r="BH406" s="166"/>
      <c r="BI406" s="113"/>
      <c r="BJ406" s="113"/>
      <c r="BK406" s="113">
        <f>INDEX('Dist. Plant Gas Additions'!$F$7:$AE$91,MATCH($C406,'Dist. Plant Gas Additions'!$D$7:$D$91,0),MATCH(Calculation!$G406,'Dist. Plant Gas Additions'!$F$5:$AE$5,0))</f>
        <v>649</v>
      </c>
      <c r="BL406" s="113">
        <f>INDEX('Gen. Plant Additions'!$F$7:$AE$91,MATCH($C406,'Gen. Plant Additions'!$D$7:$D$91,0),MATCH(Calculation!$G406,'Gen. Plant Additions'!$F$5:$AE$5,0))</f>
        <v>352</v>
      </c>
      <c r="BM406" s="231">
        <f t="shared" si="758"/>
        <v>0.63920513351273023</v>
      </c>
      <c r="BN406" s="61">
        <f>+BM406*BL406</f>
        <v>225.00020699648104</v>
      </c>
      <c r="BO406" s="113">
        <f>INDEX('Dist Plant Depreciation'!$E$7:$AD$94,MATCH($C406,'Dist Plant Depreciation'!$D$7:$D$94,0),MATCH(Calculation!$G406,'Dist Plant Depreciation'!$E$5:$AD$5,0))</f>
        <v>3508</v>
      </c>
      <c r="BP406" s="113">
        <f>INDEX('Gen. Plant Depreciation'!$E$7:$AD$94,MATCH($C406,'Gen. Plant Depreciation'!$D$7:$D$94,0),MATCH(Calculation!$G406,'Gen. Plant Depreciation'!$E$5:$AD$5,0))</f>
        <v>2376</v>
      </c>
      <c r="BQ406" s="113"/>
      <c r="BR406" s="113"/>
      <c r="BS406" s="113"/>
      <c r="BT406" s="113"/>
      <c r="BU406" s="113"/>
      <c r="BV406" s="113"/>
      <c r="BW406" s="113">
        <f>INDEX('Gross Dx Plant'!$E$7:$AD$91,MATCH($C406,'Gross Dx Plant'!$D$7:$D$91,0),MATCH(Calculation!$G406,'Gross Dx Plant'!$E$5:$AD$5,0))</f>
        <v>12352</v>
      </c>
      <c r="BX406" s="113">
        <f>INDEX('Gross Gen Plant'!$E$7:$AD$91,MATCH($C406,'Gross Gen Plant'!$D$7:$D$91,0),MATCH(Calculation!$G406,'Gross Gen Plant'!$E$5:$AD$5,0))</f>
        <v>6972</v>
      </c>
      <c r="BY406" s="113">
        <f t="shared" si="753"/>
        <v>13440</v>
      </c>
      <c r="BZ406" s="113"/>
      <c r="CA406" s="116">
        <v>2001</v>
      </c>
      <c r="CB406" s="113"/>
      <c r="CC406" s="113"/>
      <c r="CD406" s="113"/>
      <c r="CE406" s="175"/>
      <c r="CF406" s="113">
        <f t="shared" si="759"/>
        <v>1001</v>
      </c>
      <c r="CG406" s="113">
        <f t="shared" si="760"/>
        <v>2.8321047379240984</v>
      </c>
      <c r="CH406" s="178">
        <v>0.98461538461538467</v>
      </c>
      <c r="CI406" s="61">
        <f>+CI403*CH406+CG404*CH405+CG405*CH403+CG406</f>
        <v>67.790518752957539</v>
      </c>
      <c r="CJ406" s="114">
        <f t="shared" si="761"/>
        <v>3.7505969620048138E-2</v>
      </c>
      <c r="CK406" s="114"/>
      <c r="CL406" s="169">
        <f t="shared" si="762"/>
        <v>5.1557566099699947E-3</v>
      </c>
      <c r="CM406" s="169">
        <f>+(CL406+CL405+CL404)/3</f>
        <v>5.0917016781882882E-3</v>
      </c>
      <c r="CN406" s="114">
        <f>VLOOKUP($H406,RoR!$E:$F,2,FALSE)</f>
        <v>7.0824999999999999E-2</v>
      </c>
      <c r="CO406" s="169">
        <v>2.2454495382290052E-2</v>
      </c>
      <c r="CP406" s="169">
        <f t="shared" si="768"/>
        <v>4.8370504617709947E-2</v>
      </c>
      <c r="CQ406" s="169">
        <f>+$CP$2-CM406</f>
        <v>2.5810239930345338E-2</v>
      </c>
      <c r="CR406" s="169">
        <f>+((DE404/DE403-1)+(DE405/DE404-1)+(DE406/DE405-1))/3</f>
        <v>2.3947275901631187E-2</v>
      </c>
      <c r="CS406" s="179">
        <f t="shared" si="763"/>
        <v>0.85329623209999994</v>
      </c>
      <c r="CT406" s="180">
        <f t="shared" si="764"/>
        <v>0.72406708481540816</v>
      </c>
      <c r="CU406" s="180">
        <f t="shared" si="765"/>
        <v>0.62201729615248857</v>
      </c>
      <c r="CV406" s="180">
        <f t="shared" si="766"/>
        <v>0.9352469954311422</v>
      </c>
      <c r="CW406" s="180">
        <f t="shared" si="767"/>
        <v>0.42121864641655071</v>
      </c>
      <c r="CX406" s="181">
        <f>INDEX('State Tax Lookup'!$D$7:$Z$91,MATCH(Calculation!$C406,'State Tax Lookup'!$B$7:$B$91,0),MATCH($H406,'State Tax Lookup'!$D$6:$Z$6,0))</f>
        <v>0.39649667</v>
      </c>
      <c r="CY406" s="72">
        <v>0.37</v>
      </c>
      <c r="CZ406" s="70">
        <f t="shared" ref="CZ406:CZ427" si="769">+(DE406*CQ406-CR406)*CS406/(1-CX406)</f>
        <v>12.864574239663833</v>
      </c>
      <c r="DA406" s="70"/>
      <c r="DB406" s="69"/>
      <c r="DC406" s="111">
        <f>VLOOKUP($H406,RoR!$E:$F,2,FALSE)</f>
        <v>7.0824999999999999E-2</v>
      </c>
      <c r="DD406" s="216">
        <f>HLOOKUP($H406,'GDP-PI'!$D$8:$CQ$11,3,FALSE)</f>
        <v>2.2454495382290052E-2</v>
      </c>
      <c r="DE406" s="111">
        <f>VLOOKUP(H406,'HW Dx Data'!$E:$F,2,FALSE)</f>
        <v>353.44738017483138</v>
      </c>
      <c r="DF406" s="66"/>
      <c r="DG406" s="69"/>
      <c r="DH406" s="66">
        <f>HLOOKUP(H406,'GDP-PI'!$8:$9,2,FALSE)</f>
        <v>79.822000000000003</v>
      </c>
      <c r="DI406"/>
      <c r="DJ406" s="160">
        <v>1.9446497596593303E-2</v>
      </c>
      <c r="EB406"/>
    </row>
    <row r="407" spans="1:132" s="160" customFormat="1" ht="21">
      <c r="A407" s="160" t="s">
        <v>185</v>
      </c>
      <c r="B407" s="161" t="s">
        <v>185</v>
      </c>
      <c r="C407" s="161">
        <v>4059459</v>
      </c>
      <c r="D407" s="161" t="s">
        <v>171</v>
      </c>
      <c r="E407" s="161" t="s">
        <v>3</v>
      </c>
      <c r="F407" s="161"/>
      <c r="G407" s="161" t="s">
        <v>113</v>
      </c>
      <c r="H407" s="162">
        <v>2002</v>
      </c>
      <c r="I407" s="163"/>
      <c r="J407" s="159"/>
      <c r="K407" s="159"/>
      <c r="L407" s="159"/>
      <c r="M407" s="60"/>
      <c r="N407" s="152"/>
      <c r="O407" s="60"/>
      <c r="P407" s="60"/>
      <c r="Q407" s="159"/>
      <c r="R407" s="159"/>
      <c r="S407" s="159"/>
      <c r="T407" s="159"/>
      <c r="U407" s="159"/>
      <c r="V407" s="159"/>
      <c r="W407" s="159">
        <f t="shared" si="757"/>
        <v>883.76472559404056</v>
      </c>
      <c r="X407" s="163"/>
      <c r="Y407" s="167">
        <v>69.776635096252377</v>
      </c>
      <c r="Z407" s="168">
        <v>2.8876869222945897E-2</v>
      </c>
      <c r="AA407" s="78"/>
      <c r="AB407" s="168"/>
      <c r="AC407" s="168"/>
      <c r="AD407" s="163">
        <f t="shared" si="705"/>
        <v>883.76472559404056</v>
      </c>
      <c r="AE407" s="168"/>
      <c r="AF407" s="163"/>
      <c r="AG407" s="163"/>
      <c r="AH407" s="163"/>
      <c r="AI407" s="163"/>
      <c r="AJ407" s="167"/>
      <c r="AK407" s="168"/>
      <c r="AL407" s="115"/>
      <c r="AM407" s="115"/>
      <c r="AN407" s="115"/>
      <c r="AO407" s="115"/>
      <c r="AP407" s="115"/>
      <c r="AQ407" s="168"/>
      <c r="AR407" s="79"/>
      <c r="AS407" s="115"/>
      <c r="AT407" s="115"/>
      <c r="AU407" s="115"/>
      <c r="AV407" s="113">
        <f>IFERROR(INDEX('Total Customers'!$F$7:$AB$91,MATCH($C407,'Total Customers'!$D$7:$D$91,0),MATCH($G407,'Total Customers'!$F$5:$AB$5,0)),"NA")</f>
        <v>14509</v>
      </c>
      <c r="AW407" s="68">
        <f t="shared" si="751"/>
        <v>-0.22324003849182797</v>
      </c>
      <c r="AX407" s="114"/>
      <c r="AY407" s="114"/>
      <c r="AZ407" s="116"/>
      <c r="BA407" s="116"/>
      <c r="BB407" s="166"/>
      <c r="BC407" s="166"/>
      <c r="BD407" s="166"/>
      <c r="BE407" s="166"/>
      <c r="BF407" s="166"/>
      <c r="BG407" s="166"/>
      <c r="BH407" s="166"/>
      <c r="BI407" s="113"/>
      <c r="BJ407" s="113"/>
      <c r="BK407" s="113">
        <f>INDEX('Dist. Plant Gas Additions'!$F$7:$AE$91,MATCH($C407,'Dist. Plant Gas Additions'!$D$7:$D$91,0),MATCH(Calculation!$G407,'Dist. Plant Gas Additions'!$F$5:$AE$5,0))</f>
        <v>649</v>
      </c>
      <c r="BL407" s="113">
        <f>INDEX('Gen. Plant Additions'!$F$7:$AE$91,MATCH($C407,'Gen. Plant Additions'!$D$7:$D$91,0),MATCH(Calculation!$G407,'Gen. Plant Additions'!$F$5:$AE$5,0))</f>
        <v>207</v>
      </c>
      <c r="BM407" s="231">
        <f t="shared" si="758"/>
        <v>0.64642429085097886</v>
      </c>
      <c r="BN407" s="61">
        <f t="shared" ref="BN407:BN423" si="770">+BM407*BL407</f>
        <v>133.80982820615262</v>
      </c>
      <c r="BO407" s="113">
        <f>INDEX('Dist Plant Depreciation'!$E$7:$AD$94,MATCH($C407,'Dist Plant Depreciation'!$D$7:$D$94,0),MATCH(Calculation!$G407,'Dist Plant Depreciation'!$E$5:$AD$5,0))</f>
        <v>3695</v>
      </c>
      <c r="BP407" s="113">
        <f>INDEX('Gen. Plant Depreciation'!$E$7:$AD$94,MATCH($C407,'Gen. Plant Depreciation'!$D$7:$D$94,0),MATCH(Calculation!$G407,'Gen. Plant Depreciation'!$E$5:$AD$5,0))</f>
        <v>2573</v>
      </c>
      <c r="BQ407" s="113"/>
      <c r="BR407" s="113"/>
      <c r="BS407" s="113"/>
      <c r="BT407" s="113"/>
      <c r="BU407" s="113"/>
      <c r="BV407" s="113"/>
      <c r="BW407" s="113">
        <f>INDEX('Gross Dx Plant'!$E$7:$AD$91,MATCH($C407,'Gross Dx Plant'!$D$7:$D$91,0),MATCH(Calculation!$G407,'Gross Dx Plant'!$E$5:$AD$5,0))</f>
        <v>12944</v>
      </c>
      <c r="BX407" s="113">
        <f>INDEX('Gross Gen Plant'!$E$7:$AD$91,MATCH($C407,'Gross Gen Plant'!$D$7:$D$91,0),MATCH(Calculation!$G407,'Gross Gen Plant'!$E$5:$AD$5,0))</f>
        <v>7080</v>
      </c>
      <c r="BY407" s="113">
        <f t="shared" si="753"/>
        <v>13756</v>
      </c>
      <c r="BZ407" s="113"/>
      <c r="CA407" s="116">
        <v>2002</v>
      </c>
      <c r="CB407" s="113"/>
      <c r="CC407" s="113"/>
      <c r="CD407" s="113"/>
      <c r="CE407" s="175"/>
      <c r="CF407" s="113">
        <f t="shared" si="759"/>
        <v>856</v>
      </c>
      <c r="CG407" s="113">
        <f t="shared" si="760"/>
        <v>2.3689064486072611</v>
      </c>
      <c r="CH407" s="178">
        <v>0.97916666666666663</v>
      </c>
      <c r="CI407" s="61">
        <f>+CI403*CH407+CG404*CH406+CG405*CH405+CG406*CH404+CG407</f>
        <v>69.776635096252377</v>
      </c>
      <c r="CJ407" s="114">
        <f t="shared" si="761"/>
        <v>2.8876869222945897E-2</v>
      </c>
      <c r="CK407" s="114"/>
      <c r="CL407" s="169">
        <f t="shared" si="762"/>
        <v>5.6466613968154961E-3</v>
      </c>
      <c r="CM407" s="169">
        <f t="shared" ref="CM407:CM426" si="771">+(CL407+CL406+CL405)/3</f>
        <v>5.3155473510903316E-3</v>
      </c>
      <c r="CN407" s="114">
        <f>VLOOKUP($H407,RoR!$E:$F,2,FALSE)</f>
        <v>6.4916666666666664E-2</v>
      </c>
      <c r="CO407" s="169">
        <v>1.5246423291824351E-2</v>
      </c>
      <c r="CP407" s="169">
        <f t="shared" si="768"/>
        <v>4.9670243374842313E-2</v>
      </c>
      <c r="CQ407" s="169">
        <f t="shared" ref="CQ407:CQ427" si="772">+$CP$2-CM407</f>
        <v>2.5586394257443294E-2</v>
      </c>
      <c r="CR407" s="169">
        <f t="shared" ref="CR407:CR427" si="773">+((DE405/DE404-1)+(DE406/DE405-1)+(DE407/DE406-1))/3</f>
        <v>2.5243621214759093E-2</v>
      </c>
      <c r="CS407" s="179">
        <f t="shared" si="763"/>
        <v>0.85329623209999994</v>
      </c>
      <c r="CT407" s="180">
        <f t="shared" si="764"/>
        <v>0.78996741384417901</v>
      </c>
      <c r="CU407" s="180">
        <f t="shared" si="765"/>
        <v>0.58989088575096271</v>
      </c>
      <c r="CV407" s="180">
        <f t="shared" si="766"/>
        <v>0.91920675783645744</v>
      </c>
      <c r="CW407" s="180">
        <f t="shared" si="767"/>
        <v>0.42834536472275586</v>
      </c>
      <c r="CX407" s="181">
        <f>INDEX('State Tax Lookup'!$D$7:$Z$91,MATCH(Calculation!$C407,'State Tax Lookup'!$B$7:$B$91,0),MATCH($H407,'State Tax Lookup'!$D$6:$Z$6,0))</f>
        <v>0.39649667</v>
      </c>
      <c r="CY407" s="72">
        <v>0.37</v>
      </c>
      <c r="CZ407" s="70">
        <f t="shared" si="769"/>
        <v>13.036701029161014</v>
      </c>
      <c r="DA407" s="70"/>
      <c r="DB407" s="69">
        <f>LN(CZ407/CZ406)</f>
        <v>1.3291185212572552E-2</v>
      </c>
      <c r="DC407" s="111">
        <f>VLOOKUP($H407,RoR!$E:$F,2,FALSE)</f>
        <v>6.4916666666666664E-2</v>
      </c>
      <c r="DD407" s="216">
        <f>HLOOKUP($H407,'GDP-PI'!$D$8:$CQ$11,3,FALSE)</f>
        <v>1.5246423291824351E-2</v>
      </c>
      <c r="DE407" s="111">
        <f>VLOOKUP(H407,'HW Dx Data'!$E:$F,2,FALSE)</f>
        <v>361.34816573413599</v>
      </c>
      <c r="DF407" s="66"/>
      <c r="DG407" s="69"/>
      <c r="DH407" s="66">
        <f>HLOOKUP(H407,'GDP-PI'!$8:$9,2,FALSE)</f>
        <v>81.039000000000001</v>
      </c>
      <c r="DI407" s="69">
        <f>LN(DH407/DH406)</f>
        <v>1.513136459537477E-2</v>
      </c>
      <c r="DJ407" s="160">
        <v>1.9153869584023625E-2</v>
      </c>
      <c r="EB407"/>
    </row>
    <row r="408" spans="1:132" s="160" customFormat="1" ht="21">
      <c r="A408" s="160" t="s">
        <v>185</v>
      </c>
      <c r="B408" s="161" t="s">
        <v>185</v>
      </c>
      <c r="C408" s="161">
        <v>4059459</v>
      </c>
      <c r="D408" s="161" t="s">
        <v>171</v>
      </c>
      <c r="E408" s="161" t="s">
        <v>3</v>
      </c>
      <c r="F408" s="161"/>
      <c r="G408" s="161" t="s">
        <v>114</v>
      </c>
      <c r="H408" s="162">
        <v>2003</v>
      </c>
      <c r="I408" s="163"/>
      <c r="J408" s="159"/>
      <c r="K408" s="159"/>
      <c r="L408" s="159"/>
      <c r="M408" s="76"/>
      <c r="N408" s="152"/>
      <c r="O408" s="76"/>
      <c r="P408" s="76"/>
      <c r="Q408" s="159"/>
      <c r="R408" s="159"/>
      <c r="S408" s="159"/>
      <c r="T408" s="159"/>
      <c r="U408" s="159"/>
      <c r="V408" s="159"/>
      <c r="W408" s="159">
        <f t="shared" si="757"/>
        <v>923.53906318091208</v>
      </c>
      <c r="X408" s="163"/>
      <c r="Y408" s="167">
        <v>71.775043848661142</v>
      </c>
      <c r="Z408" s="168">
        <v>2.8237623936474211E-2</v>
      </c>
      <c r="AA408" s="78"/>
      <c r="AB408" s="168"/>
      <c r="AC408" s="168"/>
      <c r="AD408" s="163">
        <f t="shared" si="705"/>
        <v>923.53906318091208</v>
      </c>
      <c r="AE408" s="168"/>
      <c r="AF408" s="163"/>
      <c r="AG408" s="163"/>
      <c r="AH408" s="163"/>
      <c r="AI408" s="163"/>
      <c r="AJ408" s="167"/>
      <c r="AK408" s="168"/>
      <c r="AL408" s="115"/>
      <c r="AM408" s="115"/>
      <c r="AN408" s="115"/>
      <c r="AO408" s="115"/>
      <c r="AP408" s="115"/>
      <c r="AQ408" s="168"/>
      <c r="AR408" s="79"/>
      <c r="AS408" s="115"/>
      <c r="AT408" s="115"/>
      <c r="AU408" s="115"/>
      <c r="AV408" s="113">
        <f>IFERROR(INDEX('Total Customers'!$F$7:$AB$91,MATCH($C408,'Total Customers'!$D$7:$D$91,0),MATCH($G408,'Total Customers'!$F$5:$AB$5,0)),"NA")</f>
        <v>18100</v>
      </c>
      <c r="AW408" s="68">
        <f t="shared" si="751"/>
        <v>0.22114279173823201</v>
      </c>
      <c r="AX408" s="114"/>
      <c r="AY408" s="114"/>
      <c r="AZ408" s="116"/>
      <c r="BA408" s="116"/>
      <c r="BB408" s="166"/>
      <c r="BC408" s="166"/>
      <c r="BD408" s="166"/>
      <c r="BE408" s="166"/>
      <c r="BF408" s="166"/>
      <c r="BG408" s="166"/>
      <c r="BH408" s="166"/>
      <c r="BI408" s="113"/>
      <c r="BJ408" s="113"/>
      <c r="BK408" s="113">
        <f>INDEX('Dist. Plant Gas Additions'!$F$7:$AE$91,MATCH($C408,'Dist. Plant Gas Additions'!$D$7:$D$91,0),MATCH(Calculation!$G408,'Dist. Plant Gas Additions'!$F$5:$AE$5,0))</f>
        <v>707</v>
      </c>
      <c r="BL408" s="113">
        <f>INDEX('Gen. Plant Additions'!$F$7:$AE$91,MATCH($C408,'Gen. Plant Additions'!$D$7:$D$91,0),MATCH(Calculation!$G408,'Gen. Plant Additions'!$F$5:$AE$5,0))</f>
        <v>177</v>
      </c>
      <c r="BM408" s="231">
        <f t="shared" si="758"/>
        <v>0.66028592197722313</v>
      </c>
      <c r="BN408" s="61">
        <f t="shared" si="770"/>
        <v>116.87060818996849</v>
      </c>
      <c r="BO408" s="113">
        <f>INDEX('Dist Plant Depreciation'!$E$7:$AD$94,MATCH($C408,'Dist Plant Depreciation'!$D$7:$D$94,0),MATCH(Calculation!$G408,'Dist Plant Depreciation'!$E$5:$AD$5,0))</f>
        <v>3919</v>
      </c>
      <c r="BP408" s="113">
        <f>INDEX('Gen. Plant Depreciation'!$E$7:$AD$94,MATCH($C408,'Gen. Plant Depreciation'!$D$7:$D$94,0),MATCH(Calculation!$G408,'Gen. Plant Depreciation'!$E$5:$AD$5,0))</f>
        <v>2689</v>
      </c>
      <c r="BQ408" s="113"/>
      <c r="BR408" s="113"/>
      <c r="BS408" s="113"/>
      <c r="BT408" s="113"/>
      <c r="BU408" s="113"/>
      <c r="BV408" s="113"/>
      <c r="BW408" s="113">
        <f>INDEX('Gross Dx Plant'!$E$7:$AD$91,MATCH($C408,'Gross Dx Plant'!$D$7:$D$91,0),MATCH(Calculation!$G408,'Gross Dx Plant'!$E$5:$AD$5,0))</f>
        <v>13625</v>
      </c>
      <c r="BX408" s="113">
        <f>INDEX('Gross Gen Plant'!$E$7:$AD$91,MATCH($C408,'Gross Gen Plant'!$D$7:$D$91,0),MATCH(Calculation!$G408,'Gross Gen Plant'!$E$5:$AD$5,0))</f>
        <v>7010</v>
      </c>
      <c r="BY408" s="113">
        <f t="shared" si="753"/>
        <v>14027</v>
      </c>
      <c r="BZ408" s="113"/>
      <c r="CA408" s="116">
        <v>2003</v>
      </c>
      <c r="CB408" s="113"/>
      <c r="CC408" s="113"/>
      <c r="CD408" s="113"/>
      <c r="CE408" s="175"/>
      <c r="CF408" s="113">
        <f t="shared" si="759"/>
        <v>884</v>
      </c>
      <c r="CG408" s="113">
        <f t="shared" si="760"/>
        <v>2.3941521309596441</v>
      </c>
      <c r="CH408" s="178">
        <v>0.97354497354497349</v>
      </c>
      <c r="CI408" s="61">
        <f>+CI403*CH408+CG404*CH407+CG405*CH406+CG406*CH405+CG407*CH404+CG408</f>
        <v>71.775043848661142</v>
      </c>
      <c r="CJ408" s="114">
        <f t="shared" si="761"/>
        <v>2.8237623936474211E-2</v>
      </c>
      <c r="CK408" s="114"/>
      <c r="CL408" s="169">
        <f t="shared" si="762"/>
        <v>5.671574417496307E-3</v>
      </c>
      <c r="CM408" s="169">
        <f t="shared" si="771"/>
        <v>5.491330808093932E-3</v>
      </c>
      <c r="CN408" s="114">
        <f>VLOOKUP($H408,RoR!$E:$F,2,FALSE)</f>
        <v>5.6666666666666671E-2</v>
      </c>
      <c r="CO408" s="169">
        <v>1.8855119140166909E-2</v>
      </c>
      <c r="CP408" s="169">
        <f t="shared" si="768"/>
        <v>3.7811547526499761E-2</v>
      </c>
      <c r="CQ408" s="169">
        <f t="shared" si="772"/>
        <v>2.5410610800439694E-2</v>
      </c>
      <c r="CR408" s="169">
        <f t="shared" si="773"/>
        <v>2.1375012817671957E-2</v>
      </c>
      <c r="CS408" s="179">
        <f t="shared" si="763"/>
        <v>0.85329623209999994</v>
      </c>
      <c r="CT408" s="180">
        <f t="shared" si="764"/>
        <v>0.90497737556561086</v>
      </c>
      <c r="CU408" s="180">
        <f t="shared" si="765"/>
        <v>0.5338235294117647</v>
      </c>
      <c r="CV408" s="180">
        <f t="shared" si="766"/>
        <v>0.88972433127405692</v>
      </c>
      <c r="CW408" s="180">
        <f t="shared" si="767"/>
        <v>0.42982423775949252</v>
      </c>
      <c r="CX408" s="181">
        <f>INDEX('State Tax Lookup'!$D$7:$Z$91,MATCH(Calculation!$C408,'State Tax Lookup'!$B$7:$B$91,0),MATCH($H408,'State Tax Lookup'!$D$6:$Z$6,0))</f>
        <v>0.39649667</v>
      </c>
      <c r="CY408" s="72">
        <v>0.37</v>
      </c>
      <c r="CZ408" s="70">
        <f t="shared" si="769"/>
        <v>13.235649181233079</v>
      </c>
      <c r="DA408" s="70"/>
      <c r="DB408" s="69">
        <f t="shared" ref="DB408:DB427" si="774">LN(CZ408/CZ407)</f>
        <v>1.5145348884634582E-2</v>
      </c>
      <c r="DC408" s="111">
        <f>VLOOKUP($H408,RoR!$E:$F,2,FALSE)</f>
        <v>5.6666666666666671E-2</v>
      </c>
      <c r="DD408" s="216">
        <f>HLOOKUP($H408,'GDP-PI'!$D$8:$CQ$11,3,FALSE)</f>
        <v>1.8855119140166909E-2</v>
      </c>
      <c r="DE408" s="111">
        <f>VLOOKUP(H408,'HW Dx Data'!$E:$F,2,FALSE)</f>
        <v>369.23301095560191</v>
      </c>
      <c r="DF408" s="66"/>
      <c r="DG408" s="69"/>
      <c r="DH408" s="66">
        <f>HLOOKUP(H408,'GDP-PI'!$8:$9,2,FALSE)</f>
        <v>82.566999999999993</v>
      </c>
      <c r="DI408" s="69">
        <f t="shared" ref="DI408:DI427" si="775">LN(DH408/DH407)</f>
        <v>1.8679564681853753E-2</v>
      </c>
      <c r="DJ408" s="160">
        <v>8.6027422684860073E-4</v>
      </c>
      <c r="EB408"/>
    </row>
    <row r="409" spans="1:132" s="160" customFormat="1" ht="21">
      <c r="A409" s="160" t="s">
        <v>185</v>
      </c>
      <c r="B409" s="161" t="s">
        <v>185</v>
      </c>
      <c r="C409" s="161">
        <v>4059459</v>
      </c>
      <c r="D409" s="161" t="s">
        <v>171</v>
      </c>
      <c r="E409" s="161" t="s">
        <v>3</v>
      </c>
      <c r="F409" s="161"/>
      <c r="G409" s="161" t="s">
        <v>115</v>
      </c>
      <c r="H409" s="162">
        <v>2004</v>
      </c>
      <c r="I409" s="163"/>
      <c r="J409" s="159">
        <f>IFERROR(INDEX('Labor Expenditures'!$F$7:$X$91,MATCH($C409,'Labor Expenditures'!$D$7:$D$91,0),MATCH($G409,'Labor Expenditures'!$F$5:$X$5,0)),"NA")</f>
        <v>1077.7043382577167</v>
      </c>
      <c r="K409" s="159">
        <f t="shared" ref="K409:K427" si="776">+J409/DF409</f>
        <v>11.422409520484544</v>
      </c>
      <c r="L409" s="165"/>
      <c r="M409" s="76"/>
      <c r="N409" s="152"/>
      <c r="O409" s="76"/>
      <c r="P409" s="76"/>
      <c r="Q409" s="159">
        <f>IFERROR(INDEX('Non-Labor Expenditures'!$F$7:$AB$91,MATCH($C409,'Non-Labor Expenditures'!$D$7:$D$91,0),MATCH($G409,'Non-Labor Expenditures'!$F$5:$AB$5,0)),"NA")</f>
        <v>1560.7171692020775</v>
      </c>
      <c r="R409" s="159">
        <f t="shared" ref="R409:R427" si="777">+Q409/DH409</f>
        <v>18.409459638138166</v>
      </c>
      <c r="S409" s="159"/>
      <c r="T409" s="159"/>
      <c r="U409" s="159"/>
      <c r="V409" s="159"/>
      <c r="W409" s="159">
        <f t="shared" si="757"/>
        <v>1054.3761128477686</v>
      </c>
      <c r="X409" s="163"/>
      <c r="Y409" s="167">
        <v>73.05394377131978</v>
      </c>
      <c r="Z409" s="168">
        <v>1.7661287101264848E-2</v>
      </c>
      <c r="AA409" s="76">
        <f t="shared" ref="AA409:AA427" si="778">+Z409*$AR409</f>
        <v>0</v>
      </c>
      <c r="AB409" s="168"/>
      <c r="AC409" s="168"/>
      <c r="AD409" s="163">
        <f t="shared" si="705"/>
        <v>3692.7976203075627</v>
      </c>
      <c r="AE409" s="168"/>
      <c r="AF409" s="163"/>
      <c r="AG409" s="163"/>
      <c r="AH409" s="163"/>
      <c r="AI409" s="163"/>
      <c r="AJ409" s="167"/>
      <c r="AK409" s="168"/>
      <c r="AL409" s="115">
        <f t="shared" ref="AL409:AL427" si="779">+J409/AD409</f>
        <v>0.29183953443079769</v>
      </c>
      <c r="AM409" s="115">
        <f t="shared" ref="AM409:AM427" si="780">+Q409/AD409</f>
        <v>0.4226381539620061</v>
      </c>
      <c r="AN409" s="115">
        <f t="shared" ref="AN409:AN427" si="781">+W409/AD409</f>
        <v>0.28552231160719621</v>
      </c>
      <c r="AO409" s="115"/>
      <c r="AP409" s="115"/>
      <c r="AQ409" s="168"/>
      <c r="AR409" s="79"/>
      <c r="AS409" s="115"/>
      <c r="AT409" s="115"/>
      <c r="AU409" s="115"/>
      <c r="AV409" s="113">
        <f>IFERROR(INDEX('Total Customers'!$F$7:$AB$91,MATCH($C409,'Total Customers'!$D$7:$D$91,0),MATCH($G409,'Total Customers'!$F$5:$AB$5,0)),"NA")</f>
        <v>17982</v>
      </c>
      <c r="AW409" s="68">
        <f t="shared" si="751"/>
        <v>-6.5406807091989072E-3</v>
      </c>
      <c r="AX409" s="114"/>
      <c r="AY409" s="114"/>
      <c r="AZ409" s="116"/>
      <c r="BA409" s="116"/>
      <c r="BB409" s="166"/>
      <c r="BC409" s="166"/>
      <c r="BD409" s="166"/>
      <c r="BE409" s="166"/>
      <c r="BF409" s="166"/>
      <c r="BG409" s="166"/>
      <c r="BH409" s="166"/>
      <c r="BI409" s="113"/>
      <c r="BJ409" s="113"/>
      <c r="BK409" s="113">
        <f>INDEX('Dist. Plant Gas Additions'!$F$7:$AE$91,MATCH($C409,'Dist. Plant Gas Additions'!$D$7:$D$91,0),MATCH(Calculation!$G409,'Dist. Plant Gas Additions'!$F$5:$AE$5,0))</f>
        <v>623</v>
      </c>
      <c r="BL409" s="113">
        <f>INDEX('Gen. Plant Additions'!$F$7:$AE$91,MATCH($C409,'Gen. Plant Additions'!$D$7:$D$91,0),MATCH(Calculation!$G409,'Gen. Plant Additions'!$F$5:$AE$5,0))</f>
        <v>82</v>
      </c>
      <c r="BM409" s="231">
        <f t="shared" si="758"/>
        <v>0.66683896433438283</v>
      </c>
      <c r="BN409" s="61">
        <f t="shared" si="770"/>
        <v>54.68079507541939</v>
      </c>
      <c r="BO409" s="113">
        <f>INDEX('Dist Plant Depreciation'!$E$7:$AD$94,MATCH($C409,'Dist Plant Depreciation'!$D$7:$D$94,0),MATCH(Calculation!$G409,'Dist Plant Depreciation'!$E$5:$AD$5,0))</f>
        <v>4099</v>
      </c>
      <c r="BP409" s="113">
        <f>INDEX('Gen. Plant Depreciation'!$E$7:$AD$94,MATCH($C409,'Gen. Plant Depreciation'!$D$7:$D$94,0),MATCH(Calculation!$G409,'Gen. Plant Depreciation'!$E$5:$AD$5,0))</f>
        <v>2900</v>
      </c>
      <c r="BQ409" s="113"/>
      <c r="BR409" s="113"/>
      <c r="BS409" s="113"/>
      <c r="BT409" s="113"/>
      <c r="BU409" s="113"/>
      <c r="BV409" s="113"/>
      <c r="BW409" s="113">
        <f>INDEX('Gross Dx Plant'!$E$7:$AD$91,MATCH($C409,'Gross Dx Plant'!$D$7:$D$91,0),MATCH(Calculation!$G409,'Gross Dx Plant'!$E$5:$AD$5,0))</f>
        <v>14191</v>
      </c>
      <c r="BX409" s="113">
        <f>INDEX('Gross Gen Plant'!$E$7:$AD$91,MATCH($C409,'Gross Gen Plant'!$D$7:$D$91,0),MATCH(Calculation!$G409,'Gross Gen Plant'!$E$5:$AD$5,0))</f>
        <v>7090</v>
      </c>
      <c r="BY409" s="113">
        <f t="shared" si="753"/>
        <v>14282</v>
      </c>
      <c r="BZ409" s="113"/>
      <c r="CA409" s="116">
        <v>2004</v>
      </c>
      <c r="CB409" s="113"/>
      <c r="CC409" s="113"/>
      <c r="CD409" s="113"/>
      <c r="CE409" s="175"/>
      <c r="CF409" s="113">
        <f t="shared" si="759"/>
        <v>705</v>
      </c>
      <c r="CG409" s="113">
        <f t="shared" si="760"/>
        <v>1.6992570864916856</v>
      </c>
      <c r="CH409" s="178">
        <v>0.967741935483871</v>
      </c>
      <c r="CI409" s="61">
        <f>+CI403*CH409+CG404*CH408+CG405*CH407+CG406*CH406+CG407*CH405+CG408*CH404+CG409</f>
        <v>73.05394377131978</v>
      </c>
      <c r="CJ409" s="114">
        <f t="shared" si="761"/>
        <v>1.7661287101264848E-2</v>
      </c>
      <c r="CK409" s="114"/>
      <c r="CL409" s="169">
        <f t="shared" si="762"/>
        <v>5.8565922261138176E-3</v>
      </c>
      <c r="CM409" s="169">
        <f t="shared" si="771"/>
        <v>5.7249426801418736E-3</v>
      </c>
      <c r="CN409" s="114">
        <f>VLOOKUP($H409,RoR!$E:$F,2,FALSE)</f>
        <v>5.6283333333333331E-2</v>
      </c>
      <c r="CO409" s="169">
        <v>2.6778252812867276E-2</v>
      </c>
      <c r="CP409" s="169">
        <f t="shared" si="768"/>
        <v>2.9505080520466055E-2</v>
      </c>
      <c r="CQ409" s="169">
        <f t="shared" si="772"/>
        <v>2.5176998928391751E-2</v>
      </c>
      <c r="CR409" s="169">
        <f t="shared" si="773"/>
        <v>5.5940039414565046E-2</v>
      </c>
      <c r="CS409" s="179">
        <f t="shared" si="763"/>
        <v>0.85329623209999994</v>
      </c>
      <c r="CT409" s="180">
        <f t="shared" si="764"/>
        <v>0.91114097628755619</v>
      </c>
      <c r="CU409" s="180">
        <f t="shared" si="765"/>
        <v>0.53081877405981637</v>
      </c>
      <c r="CV409" s="180">
        <f t="shared" si="766"/>
        <v>0.88811215519385678</v>
      </c>
      <c r="CW409" s="180">
        <f t="shared" si="767"/>
        <v>0.42953609753547711</v>
      </c>
      <c r="CX409" s="181">
        <f>INDEX('State Tax Lookup'!$D$7:$Z$91,MATCH(Calculation!$C409,'State Tax Lookup'!$B$7:$B$91,0),MATCH($H409,'State Tax Lookup'!$D$6:$Z$6,0))</f>
        <v>0.39649667</v>
      </c>
      <c r="CY409" s="72">
        <v>0.37</v>
      </c>
      <c r="CZ409" s="70">
        <f t="shared" si="769"/>
        <v>14.690010013382061</v>
      </c>
      <c r="DA409" s="70"/>
      <c r="DB409" s="69">
        <f t="shared" si="774"/>
        <v>0.10425378701684646</v>
      </c>
      <c r="DC409" s="111">
        <f>VLOOKUP($H409,RoR!$E:$F,2,FALSE)</f>
        <v>5.6283333333333331E-2</v>
      </c>
      <c r="DD409" s="216">
        <f>HLOOKUP($H409,'GDP-PI'!$D$8:$CQ$11,3,FALSE)</f>
        <v>2.6778252812867276E-2</v>
      </c>
      <c r="DE409" s="111">
        <f>VLOOKUP(H409,'HW Dx Data'!$E:$F,2,FALSE)</f>
        <v>414.88719135228365</v>
      </c>
      <c r="DF409" s="72">
        <f>VLOOKUP(G409,EG$8:EH$27,2,FALSE)</f>
        <v>94.35</v>
      </c>
      <c r="DG409" s="69"/>
      <c r="DH409" s="66">
        <f>HLOOKUP(H409,'GDP-PI'!$8:$9,2,FALSE)</f>
        <v>84.778000000000006</v>
      </c>
      <c r="DI409" s="69">
        <f t="shared" si="775"/>
        <v>2.6425990216022755E-2</v>
      </c>
      <c r="DJ409" s="160">
        <v>1.758657341238868E-2</v>
      </c>
      <c r="EB409"/>
    </row>
    <row r="410" spans="1:132" s="160" customFormat="1" ht="21">
      <c r="A410" s="160" t="s">
        <v>185</v>
      </c>
      <c r="B410" s="161" t="s">
        <v>185</v>
      </c>
      <c r="C410" s="161">
        <v>4059459</v>
      </c>
      <c r="D410" s="161" t="s">
        <v>171</v>
      </c>
      <c r="E410" s="161" t="s">
        <v>3</v>
      </c>
      <c r="F410" s="161"/>
      <c r="G410" s="161" t="s">
        <v>116</v>
      </c>
      <c r="H410" s="162">
        <v>2005</v>
      </c>
      <c r="I410" s="163"/>
      <c r="J410" s="159">
        <f>IFERROR(INDEX('Labor Expenditures'!$F$7:$X$91,MATCH($C410,'Labor Expenditures'!$D$7:$D$91,0),MATCH($G410,'Labor Expenditures'!$F$5:$X$5,0)),"NA")</f>
        <v>1111.6450131313147</v>
      </c>
      <c r="K410" s="159">
        <f t="shared" si="776"/>
        <v>11.203275516566539</v>
      </c>
      <c r="L410" s="165">
        <f t="shared" ref="L410:L426" si="782">LN(K410/K409)</f>
        <v>-1.9370980878012711E-2</v>
      </c>
      <c r="M410" s="76"/>
      <c r="N410" s="62">
        <v>100</v>
      </c>
      <c r="O410" s="77"/>
      <c r="P410" s="77"/>
      <c r="Q410" s="159">
        <f>IFERROR(INDEX('Non-Labor Expenditures'!$F$7:$AB$91,MATCH($C410,'Non-Labor Expenditures'!$D$7:$D$91,0),MATCH($G410,'Non-Labor Expenditures'!$F$5:$AB$5,0)),"NA")</f>
        <v>1609.8696056626816</v>
      </c>
      <c r="R410" s="159">
        <f t="shared" si="777"/>
        <v>18.418085572810892</v>
      </c>
      <c r="S410" s="165">
        <f>LN(R410/R409)</f>
        <v>4.6845016582330987E-4</v>
      </c>
      <c r="T410" s="165"/>
      <c r="U410" s="165"/>
      <c r="V410" s="165"/>
      <c r="W410" s="159">
        <f t="shared" si="757"/>
        <v>1204.051565912464</v>
      </c>
      <c r="X410" s="163"/>
      <c r="Y410" s="167">
        <v>74.898293585808588</v>
      </c>
      <c r="Z410" s="168">
        <v>2.4932983671165743E-2</v>
      </c>
      <c r="AA410" s="76">
        <f t="shared" si="778"/>
        <v>0</v>
      </c>
      <c r="AB410" s="168"/>
      <c r="AC410" s="168"/>
      <c r="AD410" s="163">
        <f t="shared" si="705"/>
        <v>3925.5661847064603</v>
      </c>
      <c r="AE410" s="168">
        <f>LN(AD410/AD409)</f>
        <v>6.1126258234572864E-2</v>
      </c>
      <c r="AF410" s="163"/>
      <c r="AG410" s="163"/>
      <c r="AH410" s="163"/>
      <c r="AI410" s="163"/>
      <c r="AJ410" s="116"/>
      <c r="AK410" s="114"/>
      <c r="AL410" s="115">
        <f t="shared" si="779"/>
        <v>0.28318081031524872</v>
      </c>
      <c r="AM410" s="115">
        <f t="shared" si="780"/>
        <v>0.41009870421610578</v>
      </c>
      <c r="AN410" s="115">
        <f t="shared" si="781"/>
        <v>0.3067204854686455</v>
      </c>
      <c r="AO410" s="115">
        <f t="shared" ref="AO410:AO426" si="783">+(((AL410+AL409)/2)*L410+((AM409+AM410)/2)*S410+((AN409+AN410)/2)*Z410)</f>
        <v>2.0088838028071319E-3</v>
      </c>
      <c r="AP410" s="166">
        <v>100</v>
      </c>
      <c r="AQ410" s="168"/>
      <c r="AR410" s="16"/>
      <c r="AS410" s="115"/>
      <c r="AT410" s="115"/>
      <c r="AU410" s="115"/>
      <c r="AV410" s="113">
        <f>IFERROR(INDEX('Total Customers'!$F$7:$AB$91,MATCH($C410,'Total Customers'!$D$7:$D$91,0),MATCH($G410,'Total Customers'!$F$5:$AB$5,0)),"NA")</f>
        <v>18025</v>
      </c>
      <c r="AW410" s="68">
        <f t="shared" si="751"/>
        <v>2.3884256084316527E-3</v>
      </c>
      <c r="AX410" s="114"/>
      <c r="AY410" s="114"/>
      <c r="AZ410" s="116"/>
      <c r="BA410" s="116"/>
      <c r="BB410" s="166"/>
      <c r="BC410" s="166"/>
      <c r="BD410" s="166"/>
      <c r="BE410" s="166"/>
      <c r="BF410" s="166"/>
      <c r="BG410" s="166"/>
      <c r="BH410" s="166"/>
      <c r="BI410" s="113"/>
      <c r="BJ410" s="113"/>
      <c r="BK410" s="113">
        <f>INDEX('Dist. Plant Gas Additions'!$F$7:$AE$91,MATCH($C410,'Dist. Plant Gas Additions'!$D$7:$D$91,0),MATCH(Calculation!$G410,'Dist. Plant Gas Additions'!$F$5:$AE$5,0))</f>
        <v>981</v>
      </c>
      <c r="BL410" s="113">
        <f>INDEX('Gen. Plant Additions'!$F$7:$AE$91,MATCH($C410,'Gen. Plant Additions'!$D$7:$D$91,0),MATCH(Calculation!$G410,'Gen. Plant Additions'!$F$5:$AE$5,0))</f>
        <v>92</v>
      </c>
      <c r="BM410" s="231">
        <f t="shared" si="758"/>
        <v>0.67776381909547734</v>
      </c>
      <c r="BN410" s="61">
        <f t="shared" si="770"/>
        <v>62.354271356783912</v>
      </c>
      <c r="BO410" s="113">
        <f>INDEX('Dist Plant Depreciation'!$E$7:$AD$94,MATCH($C410,'Dist Plant Depreciation'!$D$7:$D$94,0),MATCH(Calculation!$G410,'Dist Plant Depreciation'!$E$5:$AD$5,0))</f>
        <v>4323</v>
      </c>
      <c r="BP410" s="113">
        <f>INDEX('Gen. Plant Depreciation'!$E$7:$AD$94,MATCH($C410,'Gen. Plant Depreciation'!$D$7:$D$94,0),MATCH(Calculation!$G410,'Gen. Plant Depreciation'!$E$5:$AD$5,0))</f>
        <v>3128</v>
      </c>
      <c r="BQ410" s="113"/>
      <c r="BR410" s="113"/>
      <c r="BS410" s="113"/>
      <c r="BT410" s="113"/>
      <c r="BU410" s="113"/>
      <c r="BV410" s="113"/>
      <c r="BW410" s="113">
        <f>INDEX('Gross Dx Plant'!$E$7:$AD$91,MATCH($C410,'Gross Dx Plant'!$D$7:$D$91,0),MATCH(Calculation!$G410,'Gross Dx Plant'!$E$5:$AD$5,0))</f>
        <v>15106</v>
      </c>
      <c r="BX410" s="113">
        <f>INDEX('Gross Gen Plant'!$E$7:$AD$91,MATCH($C410,'Gross Gen Plant'!$D$7:$D$91,0),MATCH(Calculation!$G410,'Gross Gen Plant'!$E$5:$AD$5,0))</f>
        <v>7182</v>
      </c>
      <c r="BY410" s="113">
        <f t="shared" si="753"/>
        <v>14837</v>
      </c>
      <c r="BZ410" s="113"/>
      <c r="CA410" s="116">
        <v>2005</v>
      </c>
      <c r="CB410" s="113"/>
      <c r="CC410" s="113"/>
      <c r="CD410" s="113"/>
      <c r="CE410" s="175"/>
      <c r="CF410" s="113">
        <f t="shared" si="759"/>
        <v>1073</v>
      </c>
      <c r="CG410" s="113">
        <f t="shared" si="760"/>
        <v>2.2868462165633172</v>
      </c>
      <c r="CH410" s="178">
        <v>0.96174863387978138</v>
      </c>
      <c r="CI410" s="61">
        <f>+CI403*CH410+CG404*CH409+CG405*CH408+CG406*CH407+CG407*CH406+CG408*CH405+CG409*CH404+CG410</f>
        <v>74.898293585808588</v>
      </c>
      <c r="CJ410" s="114">
        <f t="shared" si="761"/>
        <v>2.4932983671165743E-2</v>
      </c>
      <c r="CK410" s="114"/>
      <c r="CL410" s="169">
        <f t="shared" si="762"/>
        <v>6.0571186062131329E-3</v>
      </c>
      <c r="CM410" s="169">
        <f t="shared" si="771"/>
        <v>5.8617617499410858E-3</v>
      </c>
      <c r="CN410" s="114">
        <f>VLOOKUP($H410,RoR!$E:$F,2,FALSE)</f>
        <v>5.2350000000000001E-2</v>
      </c>
      <c r="CO410" s="169">
        <v>3.1010403642454332E-2</v>
      </c>
      <c r="CP410" s="169">
        <f t="shared" si="768"/>
        <v>2.1339596357545669E-2</v>
      </c>
      <c r="CQ410" s="169">
        <f t="shared" si="772"/>
        <v>2.504017985859254E-2</v>
      </c>
      <c r="CR410" s="169">
        <f t="shared" si="773"/>
        <v>9.2129610649277341E-2</v>
      </c>
      <c r="CS410" s="179">
        <f t="shared" si="763"/>
        <v>0.85329623209999994</v>
      </c>
      <c r="CT410" s="180">
        <f t="shared" si="764"/>
        <v>0.97959983346802826</v>
      </c>
      <c r="CU410" s="180">
        <f t="shared" si="765"/>
        <v>0.49744508118433622</v>
      </c>
      <c r="CV410" s="180">
        <f t="shared" si="766"/>
        <v>0.87010519444335932</v>
      </c>
      <c r="CW410" s="180">
        <f t="shared" si="767"/>
        <v>0.42399975420741998</v>
      </c>
      <c r="CX410" s="181">
        <f>INDEX('State Tax Lookup'!$D$7:$Z$91,MATCH(Calculation!$C410,'State Tax Lookup'!$B$7:$B$91,0),MATCH($H410,'State Tax Lookup'!$D$6:$Z$6,0))</f>
        <v>0.39649667</v>
      </c>
      <c r="CY410" s="72">
        <v>0.37</v>
      </c>
      <c r="CZ410" s="70">
        <f t="shared" si="769"/>
        <v>16.481677836332803</v>
      </c>
      <c r="DA410" s="70"/>
      <c r="DB410" s="69">
        <f t="shared" si="774"/>
        <v>0.11508165792436872</v>
      </c>
      <c r="DC410" s="111">
        <f>VLOOKUP($H410,RoR!$E:$F,2,FALSE)</f>
        <v>5.2350000000000001E-2</v>
      </c>
      <c r="DD410" s="216">
        <f>HLOOKUP($H410,'GDP-PI'!$D$8:$CQ$11,3,FALSE)</f>
        <v>3.1010403642454332E-2</v>
      </c>
      <c r="DE410" s="111">
        <f>VLOOKUP(H410,'HW Dx Data'!$E:$F,2,FALSE)</f>
        <v>469.20514034936258</v>
      </c>
      <c r="DF410" s="72">
        <f t="shared" ref="DF410:DF428" si="784">VLOOKUP(G410,EG$8:EH$27,2,FALSE)</f>
        <v>99.224999999999994</v>
      </c>
      <c r="DG410" s="69">
        <f t="shared" ref="DG410:DG428" si="785">LN(DF410/DF409)</f>
        <v>5.0378726854569796E-2</v>
      </c>
      <c r="DH410" s="66">
        <f>HLOOKUP(H410,'GDP-PI'!$8:$9,2,FALSE)</f>
        <v>87.406999999999996</v>
      </c>
      <c r="DI410" s="69">
        <f t="shared" si="775"/>
        <v>3.0539295810733648E-2</v>
      </c>
      <c r="DJ410" s="160">
        <v>7.6836044830447241E-3</v>
      </c>
      <c r="EB410"/>
    </row>
    <row r="411" spans="1:132" s="160" customFormat="1" ht="21">
      <c r="A411" s="160" t="s">
        <v>185</v>
      </c>
      <c r="B411" s="161" t="s">
        <v>185</v>
      </c>
      <c r="C411" s="161">
        <v>4059459</v>
      </c>
      <c r="D411" s="161" t="s">
        <v>171</v>
      </c>
      <c r="E411" s="161" t="s">
        <v>3</v>
      </c>
      <c r="F411" s="161"/>
      <c r="G411" s="161" t="s">
        <v>117</v>
      </c>
      <c r="H411" s="162">
        <v>2006</v>
      </c>
      <c r="I411" s="163"/>
      <c r="J411" s="159">
        <f>IFERROR(INDEX('Labor Expenditures'!$F$7:$X$91,MATCH($C411,'Labor Expenditures'!$D$7:$D$91,0),MATCH($G411,'Labor Expenditures'!$F$5:$X$5,0)),"NA")</f>
        <v>1621.0375810447977</v>
      </c>
      <c r="K411" s="159">
        <f t="shared" si="776"/>
        <v>14.817528163115151</v>
      </c>
      <c r="L411" s="165">
        <f t="shared" si="782"/>
        <v>0.2796046229636443</v>
      </c>
      <c r="M411" s="76">
        <f t="shared" ref="M411:M427" si="786">+L411*$AR411</f>
        <v>1.8173066434306736E-4</v>
      </c>
      <c r="N411" s="62">
        <f>+N410*EXP(O411)</f>
        <v>106.97819659233083</v>
      </c>
      <c r="O411" s="96">
        <f t="shared" ref="O411:O427" si="787">+M411+M436+M461+M486+M511+M536+M561+M586+M611+M636+M661+M686+M711+M736+M761+M786+M811+M836+M861+M886+M911+M936+M961+M986+M1011+M1036+M1061+M1086+M1111+M1136+M1161+M1186+M1211+M1236+M1261+M1286+M1311+M1336+M1361+M1386+M1411+M1436+M1461+M1486+M1511+M1536+M1561+M1586+M1611+M1636+M1661+M1686+M1711+M1736</f>
        <v>6.7454857544721483E-2</v>
      </c>
      <c r="P411" s="96"/>
      <c r="Q411" s="159">
        <f>IFERROR(INDEX('Non-Labor Expenditures'!$F$7:$AB$91,MATCH($C411,'Non-Labor Expenditures'!$D$7:$D$91,0),MATCH($G411,'Non-Labor Expenditures'!$F$5:$AB$5,0)),"NA")</f>
        <v>2347.565185409333</v>
      </c>
      <c r="R411" s="159">
        <f t="shared" si="777"/>
        <v>26.06262834346574</v>
      </c>
      <c r="S411" s="165">
        <f t="shared" ref="S411:S426" si="788">LN(R411/R410)</f>
        <v>0.34716933055694171</v>
      </c>
      <c r="T411" s="165">
        <f t="shared" ref="T411:T427" si="789">+S411*AR411</f>
        <v>2.2564474225397356E-4</v>
      </c>
      <c r="U411" s="165"/>
      <c r="V411" s="165"/>
      <c r="W411" s="159">
        <f t="shared" si="757"/>
        <v>1204.8027831192614</v>
      </c>
      <c r="X411" s="163"/>
      <c r="Y411" s="167">
        <v>78.752205958722399</v>
      </c>
      <c r="Z411" s="168">
        <v>5.0175181789987665E-2</v>
      </c>
      <c r="AA411" s="76">
        <f t="shared" si="778"/>
        <v>3.2611653639983817E-5</v>
      </c>
      <c r="AB411" s="168"/>
      <c r="AC411" s="168"/>
      <c r="AD411" s="163">
        <f t="shared" si="705"/>
        <v>5173.4055495733919</v>
      </c>
      <c r="AE411" s="168">
        <f t="shared" ref="AE411:AE427" si="790">LN(AD411/AD410)</f>
        <v>0.27602059360244546</v>
      </c>
      <c r="AF411" s="163"/>
      <c r="AG411" s="163"/>
      <c r="AH411" s="163"/>
      <c r="AI411" s="163"/>
      <c r="AJ411" s="116">
        <f t="shared" ref="AJ411:AJ427" si="791">+(AD411*1000)/AV411</f>
        <v>359.53892206361746</v>
      </c>
      <c r="AK411" s="114">
        <f>+AV411/$AX$11</f>
        <v>4.1489039284373612E-4</v>
      </c>
      <c r="AL411" s="115">
        <f t="shared" si="779"/>
        <v>0.31334051922112915</v>
      </c>
      <c r="AM411" s="115">
        <f t="shared" si="780"/>
        <v>0.45377559576842325</v>
      </c>
      <c r="AN411" s="115">
        <f t="shared" si="781"/>
        <v>0.23288388501044763</v>
      </c>
      <c r="AO411" s="115">
        <f t="shared" si="783"/>
        <v>0.24688776561461331</v>
      </c>
      <c r="AP411" s="166">
        <f>+AP410*EXP(AO411)</f>
        <v>128.00354407249856</v>
      </c>
      <c r="AQ411" s="168">
        <f>LN(AP411/AP410)</f>
        <v>0.2468877656146134</v>
      </c>
      <c r="AR411" s="69">
        <f>+AD411/$AF$11</f>
        <v>6.4995586416572576E-4</v>
      </c>
      <c r="AS411" s="169">
        <f>+AR411*AQ411</f>
        <v>1.6046615105199121E-4</v>
      </c>
      <c r="AT411" s="115"/>
      <c r="AU411" s="115"/>
      <c r="AV411" s="113">
        <f>IFERROR(INDEX('Total Customers'!$F$7:$AB$91,MATCH($C411,'Total Customers'!$D$7:$D$91,0),MATCH($G411,'Total Customers'!$F$5:$AB$5,0)),"NA")</f>
        <v>14389</v>
      </c>
      <c r="AW411" s="68">
        <f t="shared" si="751"/>
        <v>-0.22529565738973223</v>
      </c>
      <c r="AX411" s="114"/>
      <c r="AY411" s="114"/>
      <c r="AZ411" s="116">
        <v>8247377</v>
      </c>
      <c r="BA411" s="116"/>
      <c r="BB411" s="166"/>
      <c r="BC411" s="166"/>
      <c r="BD411" s="166"/>
      <c r="BE411" s="166"/>
      <c r="BF411" s="166"/>
      <c r="BG411" s="166"/>
      <c r="BH411" s="166"/>
      <c r="BI411" s="113"/>
      <c r="BJ411" s="113"/>
      <c r="BK411" s="113">
        <f>INDEX('Dist. Plant Gas Additions'!$F$7:$AE$91,MATCH($C411,'Dist. Plant Gas Additions'!$D$7:$D$91,0),MATCH(Calculation!$G411,'Dist. Plant Gas Additions'!$F$5:$AE$5,0))</f>
        <v>1885</v>
      </c>
      <c r="BL411" s="113">
        <f>INDEX('Gen. Plant Additions'!$F$7:$AE$91,MATCH($C411,'Gen. Plant Additions'!$D$7:$D$91,0),MATCH(Calculation!$G411,'Gen. Plant Additions'!$F$5:$AE$5,0))</f>
        <v>108</v>
      </c>
      <c r="BM411" s="231">
        <f t="shared" si="758"/>
        <v>0.70039764725374865</v>
      </c>
      <c r="BN411" s="61">
        <f t="shared" si="770"/>
        <v>75.642945903404851</v>
      </c>
      <c r="BO411" s="113">
        <f>INDEX('Dist Plant Depreciation'!$E$7:$AD$94,MATCH($C411,'Dist Plant Depreciation'!$D$7:$D$94,0),MATCH(Calculation!$G411,'Dist Plant Depreciation'!$E$5:$AD$5,0))</f>
        <v>4561</v>
      </c>
      <c r="BP411" s="113">
        <f>INDEX('Gen. Plant Depreciation'!$E$7:$AD$94,MATCH($C411,'Gen. Plant Depreciation'!$D$7:$D$94,0),MATCH(Calculation!$G411,'Gen. Plant Depreciation'!$E$5:$AD$5,0))</f>
        <v>3321</v>
      </c>
      <c r="BQ411" s="113"/>
      <c r="BR411" s="113"/>
      <c r="BS411" s="113"/>
      <c r="BT411" s="113"/>
      <c r="BU411" s="113"/>
      <c r="BV411" s="113"/>
      <c r="BW411" s="113">
        <f>INDEX('Gross Dx Plant'!$E$7:$AD$91,MATCH($C411,'Gross Dx Plant'!$D$7:$D$91,0),MATCH(Calculation!$G411,'Gross Dx Plant'!$E$5:$AD$5,0))</f>
        <v>16909</v>
      </c>
      <c r="BX411" s="113">
        <f>INDEX('Gross Gen Plant'!$E$7:$AD$91,MATCH($C411,'Gross Gen Plant'!$D$7:$D$91,0),MATCH(Calculation!$G411,'Gross Gen Plant'!$E$5:$AD$5,0))</f>
        <v>7233</v>
      </c>
      <c r="BY411" s="113">
        <f t="shared" si="753"/>
        <v>16260</v>
      </c>
      <c r="BZ411" s="114"/>
      <c r="CA411" s="116">
        <v>2006</v>
      </c>
      <c r="CB411" s="113"/>
      <c r="CC411" s="113"/>
      <c r="CD411" s="113"/>
      <c r="CE411" s="175"/>
      <c r="CF411" s="113">
        <f t="shared" si="759"/>
        <v>1993</v>
      </c>
      <c r="CG411" s="113">
        <f t="shared" si="760"/>
        <v>4.32240713141453</v>
      </c>
      <c r="CH411" s="178">
        <v>0.9555555555555556</v>
      </c>
      <c r="CI411" s="61">
        <f>+CI403*CH411+CG404*CH410+CG405*CH409+CG406*CH408+CG407*CH407+CG408*CH406+CG409*CH405+CG410*CH404+CG411</f>
        <v>78.752205958722399</v>
      </c>
      <c r="CJ411" s="114">
        <f t="shared" si="761"/>
        <v>5.0175181789987665E-2</v>
      </c>
      <c r="CK411" s="114"/>
      <c r="CL411" s="169">
        <f t="shared" si="762"/>
        <v>6.2550792023583204E-3</v>
      </c>
      <c r="CM411" s="169">
        <f t="shared" si="771"/>
        <v>6.0562633448950909E-3</v>
      </c>
      <c r="CN411" s="114">
        <f>VLOOKUP($H411,RoR!$E:$F,2,FALSE)</f>
        <v>5.5874999999999994E-2</v>
      </c>
      <c r="CO411" s="169">
        <v>3.0512430354548314E-2</v>
      </c>
      <c r="CP411" s="169">
        <f t="shared" si="768"/>
        <v>2.536256964545168E-2</v>
      </c>
      <c r="CQ411" s="169">
        <f t="shared" si="772"/>
        <v>2.4845678263638534E-2</v>
      </c>
      <c r="CR411" s="169">
        <f t="shared" si="773"/>
        <v>7.9087823893859641E-2</v>
      </c>
      <c r="CS411" s="179">
        <f t="shared" si="763"/>
        <v>0.85329623209999994</v>
      </c>
      <c r="CT411" s="180">
        <f t="shared" si="764"/>
        <v>0.91779957551769631</v>
      </c>
      <c r="CU411" s="180">
        <f t="shared" si="765"/>
        <v>0.52757270693512304</v>
      </c>
      <c r="CV411" s="180">
        <f t="shared" si="766"/>
        <v>0.88636824549024895</v>
      </c>
      <c r="CW411" s="180">
        <f t="shared" si="767"/>
        <v>0.42918482841932087</v>
      </c>
      <c r="CX411" s="181">
        <f>INDEX('State Tax Lookup'!$D$7:$Z$91,MATCH(Calculation!$C411,'State Tax Lookup'!$B$7:$B$91,0),MATCH($H411,'State Tax Lookup'!$D$6:$Z$6,0))</f>
        <v>0.39649667</v>
      </c>
      <c r="CY411" s="72">
        <v>0.37</v>
      </c>
      <c r="CZ411" s="70">
        <f t="shared" si="769"/>
        <v>16.085850897777227</v>
      </c>
      <c r="DA411" s="70">
        <v>14.788696346247992</v>
      </c>
      <c r="DB411" s="69">
        <f t="shared" si="774"/>
        <v>-2.4309270384845681E-2</v>
      </c>
      <c r="DC411" s="111">
        <f>VLOOKUP($H411,RoR!$E:$F,2,FALSE)</f>
        <v>5.5874999999999994E-2</v>
      </c>
      <c r="DD411" s="216">
        <f>HLOOKUP($H411,'GDP-PI'!$D$8:$CQ$11,3,FALSE)</f>
        <v>3.0512430354548314E-2</v>
      </c>
      <c r="DE411" s="111">
        <f>VLOOKUP(H411,'HW Dx Data'!$E:$F,2,FALSE)</f>
        <v>461.08567272971823</v>
      </c>
      <c r="DF411" s="72">
        <f t="shared" si="784"/>
        <v>109.4</v>
      </c>
      <c r="DG411" s="69">
        <f t="shared" si="785"/>
        <v>9.7620891318751846E-2</v>
      </c>
      <c r="DH411" s="66">
        <f>HLOOKUP(H411,'GDP-PI'!$8:$9,2,FALSE)</f>
        <v>90.073999999999998</v>
      </c>
      <c r="DI411" s="69">
        <f t="shared" si="775"/>
        <v>3.005618372545445E-2</v>
      </c>
      <c r="DJ411" s="160">
        <v>0.11665754067445543</v>
      </c>
      <c r="EB411"/>
    </row>
    <row r="412" spans="1:132" s="160" customFormat="1" ht="21">
      <c r="A412" s="160" t="s">
        <v>185</v>
      </c>
      <c r="B412" s="161" t="s">
        <v>185</v>
      </c>
      <c r="C412" s="161">
        <v>4059459</v>
      </c>
      <c r="D412" s="161" t="s">
        <v>171</v>
      </c>
      <c r="E412" s="161" t="s">
        <v>3</v>
      </c>
      <c r="F412" s="161"/>
      <c r="G412" s="161" t="s">
        <v>118</v>
      </c>
      <c r="H412" s="162">
        <v>2007</v>
      </c>
      <c r="I412" s="163"/>
      <c r="J412" s="159">
        <f>IFERROR(INDEX('Labor Expenditures'!$F$7:$X$91,MATCH($C412,'Labor Expenditures'!$D$7:$D$91,0),MATCH($G412,'Labor Expenditures'!$F$5:$X$5,0)),"NA")</f>
        <v>1713.6087540880446</v>
      </c>
      <c r="K412" s="159">
        <f t="shared" si="776"/>
        <v>16.394247826721308</v>
      </c>
      <c r="L412" s="165">
        <f t="shared" si="782"/>
        <v>0.10111971568877715</v>
      </c>
      <c r="M412" s="76">
        <f t="shared" si="786"/>
        <v>6.6814528915623783E-5</v>
      </c>
      <c r="N412" s="62">
        <f t="shared" ref="N412:N425" si="792">+N411*EXP(O412)</f>
        <v>117.70522413355894</v>
      </c>
      <c r="O412" s="96">
        <f t="shared" si="787"/>
        <v>9.5558354910354137E-2</v>
      </c>
      <c r="P412" s="96"/>
      <c r="Q412" s="159">
        <f>IFERROR(INDEX('Non-Labor Expenditures'!$F$7:$AB$91,MATCH($C412,'Non-Labor Expenditures'!$D$7:$D$91,0),MATCH($G412,'Non-Labor Expenditures'!$F$5:$AB$5,0)),"NA")</f>
        <v>2481.6255338861183</v>
      </c>
      <c r="R412" s="159">
        <f t="shared" si="777"/>
        <v>26.828964235833404</v>
      </c>
      <c r="S412" s="165">
        <f t="shared" si="788"/>
        <v>2.8979634993487241E-2</v>
      </c>
      <c r="T412" s="165">
        <f t="shared" si="789"/>
        <v>1.9148201189528003E-5</v>
      </c>
      <c r="U412" s="165"/>
      <c r="V412" s="165"/>
      <c r="W412" s="159">
        <f t="shared" si="757"/>
        <v>1360.1572239378938</v>
      </c>
      <c r="X412" s="163"/>
      <c r="Y412" s="167">
        <v>81.720243627475568</v>
      </c>
      <c r="Z412" s="168">
        <v>3.6995461703957615E-2</v>
      </c>
      <c r="AA412" s="76">
        <f t="shared" si="778"/>
        <v>2.4444633066153558E-5</v>
      </c>
      <c r="AB412" s="168"/>
      <c r="AC412" s="168"/>
      <c r="AD412" s="163">
        <f t="shared" si="705"/>
        <v>5555.3915119120566</v>
      </c>
      <c r="AE412" s="168">
        <f t="shared" si="790"/>
        <v>7.1237714485855003E-2</v>
      </c>
      <c r="AF412" s="163"/>
      <c r="AG412" s="163"/>
      <c r="AH412" s="163"/>
      <c r="AI412" s="163"/>
      <c r="AJ412" s="116">
        <f t="shared" si="791"/>
        <v>382.05016930830453</v>
      </c>
      <c r="AK412" s="114">
        <f>+AV412/$AX$12</f>
        <v>4.1611640201737903E-4</v>
      </c>
      <c r="AL412" s="115">
        <f t="shared" si="779"/>
        <v>0.30845868385939451</v>
      </c>
      <c r="AM412" s="115">
        <f t="shared" si="780"/>
        <v>0.4467057863635594</v>
      </c>
      <c r="AN412" s="115">
        <f t="shared" si="781"/>
        <v>0.24483552977704617</v>
      </c>
      <c r="AO412" s="115">
        <f t="shared" si="783"/>
        <v>5.3322615359317149E-2</v>
      </c>
      <c r="AP412" s="166">
        <f>+AP411*EXP(AO412)</f>
        <v>135.01428220611839</v>
      </c>
      <c r="AQ412" s="168">
        <f>LN(AP412/AP411)</f>
        <v>5.3322615359317066E-2</v>
      </c>
      <c r="AR412" s="69">
        <f>+AD412/$AF$12</f>
        <v>6.6074680353397442E-4</v>
      </c>
      <c r="AS412" s="169">
        <f t="shared" ref="AS412:AS426" si="793">+AR412*AQ412</f>
        <v>3.5232747654740362E-5</v>
      </c>
      <c r="AT412" s="115"/>
      <c r="AU412" s="115"/>
      <c r="AV412" s="113">
        <f>IFERROR(INDEX('Total Customers'!$F$7:$AB$91,MATCH($C412,'Total Customers'!$D$7:$D$91,0),MATCH($G412,'Total Customers'!$F$5:$AB$5,0)),"NA")</f>
        <v>14541</v>
      </c>
      <c r="AW412" s="68">
        <f t="shared" si="751"/>
        <v>1.0508219750068106E-2</v>
      </c>
      <c r="AX412" s="114"/>
      <c r="AY412" s="114"/>
      <c r="AZ412" s="116">
        <v>8187757</v>
      </c>
      <c r="BA412" s="116"/>
      <c r="BB412" s="166"/>
      <c r="BC412" s="166"/>
      <c r="BD412" s="166"/>
      <c r="BE412" s="166"/>
      <c r="BF412" s="166"/>
      <c r="BG412" s="166"/>
      <c r="BH412" s="166"/>
      <c r="BI412" s="113"/>
      <c r="BJ412" s="113"/>
      <c r="BK412" s="113">
        <f>INDEX('Dist. Plant Gas Additions'!$F$7:$AE$91,MATCH($C412,'Dist. Plant Gas Additions'!$D$7:$D$91,0),MATCH(Calculation!$G412,'Dist. Plant Gas Additions'!$F$5:$AE$5,0))</f>
        <v>1429</v>
      </c>
      <c r="BL412" s="113">
        <f>INDEX('Gen. Plant Additions'!$F$7:$AE$91,MATCH($C412,'Gen. Plant Additions'!$D$7:$D$91,0),MATCH(Calculation!$G412,'Gen. Plant Additions'!$F$5:$AE$5,0))</f>
        <v>301</v>
      </c>
      <c r="BM412" s="231">
        <f t="shared" si="758"/>
        <v>0.70923828730995964</v>
      </c>
      <c r="BN412" s="61">
        <f t="shared" si="770"/>
        <v>213.48072448029785</v>
      </c>
      <c r="BO412" s="113">
        <f>INDEX('Dist Plant Depreciation'!$E$7:$AD$94,MATCH($C412,'Dist Plant Depreciation'!$D$7:$D$94,0),MATCH(Calculation!$G412,'Dist Plant Depreciation'!$E$5:$AD$5,0))</f>
        <v>4861</v>
      </c>
      <c r="BP412" s="113">
        <f>INDEX('Gen. Plant Depreciation'!$E$7:$AD$94,MATCH($C412,'Gen. Plant Depreciation'!$D$7:$D$94,0),MATCH(Calculation!$G412,'Gen. Plant Depreciation'!$E$5:$AD$5,0))</f>
        <v>3501</v>
      </c>
      <c r="BQ412" s="113"/>
      <c r="BR412" s="113"/>
      <c r="BS412" s="113"/>
      <c r="BT412" s="113"/>
      <c r="BU412" s="113"/>
      <c r="BV412" s="113"/>
      <c r="BW412" s="113">
        <f>INDEX('Gross Dx Plant'!$E$7:$AD$91,MATCH($C412,'Gross Dx Plant'!$D$7:$D$91,0),MATCH(Calculation!$G412,'Gross Dx Plant'!$E$5:$AD$5,0))</f>
        <v>18287</v>
      </c>
      <c r="BX412" s="113">
        <f>INDEX('Gross Gen Plant'!$E$7:$AD$91,MATCH($C412,'Gross Gen Plant'!$D$7:$D$91,0),MATCH(Calculation!$G412,'Gross Gen Plant'!$E$5:$AD$5,0))</f>
        <v>7497</v>
      </c>
      <c r="BY412" s="113">
        <f t="shared" si="753"/>
        <v>17422</v>
      </c>
      <c r="BZ412" s="113"/>
      <c r="CA412" s="116">
        <v>2007</v>
      </c>
      <c r="CB412" s="113"/>
      <c r="CC412" s="113"/>
      <c r="CD412" s="113"/>
      <c r="CE412" s="175"/>
      <c r="CF412" s="113">
        <f t="shared" si="759"/>
        <v>1730</v>
      </c>
      <c r="CG412" s="113">
        <f t="shared" si="760"/>
        <v>3.4737399233648998</v>
      </c>
      <c r="CH412" s="178">
        <v>0.94915254237288138</v>
      </c>
      <c r="CI412" s="61">
        <f>+CI403*CH412+CG404*CH411+CG405*CH410+CG406*CH409+CG407*CH408+CG408*CH407+CG409*CH406+CG410*CH405+CG411*CH404+CG412</f>
        <v>81.720243627475568</v>
      </c>
      <c r="CJ412" s="114">
        <f t="shared" si="761"/>
        <v>3.6995461703957615E-2</v>
      </c>
      <c r="CK412" s="114"/>
      <c r="CL412" s="169">
        <f t="shared" si="762"/>
        <v>6.421436053191858E-3</v>
      </c>
      <c r="CM412" s="169">
        <f t="shared" si="771"/>
        <v>6.2445446205877699E-3</v>
      </c>
      <c r="CN412" s="114">
        <f>VLOOKUP($H412,RoR!$E:$F,2,FALSE)</f>
        <v>5.5558333333333321E-2</v>
      </c>
      <c r="CO412" s="169">
        <v>2.691120634145272E-2</v>
      </c>
      <c r="CP412" s="169">
        <f t="shared" si="768"/>
        <v>2.86471269918806E-2</v>
      </c>
      <c r="CQ412" s="169">
        <f t="shared" si="772"/>
        <v>2.4657396987945855E-2</v>
      </c>
      <c r="CR412" s="169">
        <f t="shared" si="773"/>
        <v>6.4575155250632399E-2</v>
      </c>
      <c r="CS412" s="179">
        <f t="shared" si="763"/>
        <v>0.85329623209999994</v>
      </c>
      <c r="CT412" s="180">
        <f t="shared" si="764"/>
        <v>0.92303077153834634</v>
      </c>
      <c r="CU412" s="180">
        <f t="shared" si="765"/>
        <v>0.52502249887505614</v>
      </c>
      <c r="CV412" s="180">
        <f t="shared" si="766"/>
        <v>0.88499666072084604</v>
      </c>
      <c r="CW412" s="180">
        <f t="shared" si="767"/>
        <v>0.42887993290280618</v>
      </c>
      <c r="CX412" s="181">
        <f>INDEX('State Tax Lookup'!$D$7:$Z$91,MATCH(Calculation!$C412,'State Tax Lookup'!$B$7:$B$91,0),MATCH($H412,'State Tax Lookup'!$D$6:$Z$6,0))</f>
        <v>0.39649667</v>
      </c>
      <c r="CY412" s="72">
        <v>0.37</v>
      </c>
      <c r="CZ412" s="70">
        <f t="shared" si="769"/>
        <v>17.271353956114115</v>
      </c>
      <c r="DA412" s="70">
        <v>16.108943221861779</v>
      </c>
      <c r="DB412" s="69">
        <f t="shared" si="774"/>
        <v>7.1109229026048243E-2</v>
      </c>
      <c r="DC412" s="111">
        <f>VLOOKUP($H412,RoR!$E:$F,2,FALSE)</f>
        <v>5.5558333333333321E-2</v>
      </c>
      <c r="DD412" s="216">
        <f>HLOOKUP($H412,'GDP-PI'!$D$8:$CQ$11,3,FALSE)</f>
        <v>2.691120634145272E-2</v>
      </c>
      <c r="DE412" s="111">
        <f>VLOOKUP(H412,'HW Dx Data'!$E:$F,2,FALSE)</f>
        <v>498.0223154772637</v>
      </c>
      <c r="DF412" s="72">
        <f t="shared" si="784"/>
        <v>104.52499999999999</v>
      </c>
      <c r="DG412" s="69">
        <f t="shared" si="785"/>
        <v>-4.5584612745252218E-2</v>
      </c>
      <c r="DH412" s="66">
        <f>HLOOKUP(H412,'GDP-PI'!$8:$9,2,FALSE)</f>
        <v>92.498000000000005</v>
      </c>
      <c r="DI412" s="69">
        <f t="shared" si="775"/>
        <v>2.6555467950038037E-2</v>
      </c>
      <c r="DJ412" s="160">
        <v>3.7564126000317624E-2</v>
      </c>
      <c r="EB412"/>
    </row>
    <row r="413" spans="1:132" s="160" customFormat="1" ht="21">
      <c r="A413" s="160" t="s">
        <v>185</v>
      </c>
      <c r="B413" s="161" t="s">
        <v>185</v>
      </c>
      <c r="C413" s="161">
        <v>4059459</v>
      </c>
      <c r="D413" s="161" t="s">
        <v>171</v>
      </c>
      <c r="E413" s="161" t="s">
        <v>3</v>
      </c>
      <c r="F413" s="161"/>
      <c r="G413" s="161" t="s">
        <v>120</v>
      </c>
      <c r="H413" s="162">
        <v>2008</v>
      </c>
      <c r="I413" s="163"/>
      <c r="J413" s="159">
        <f>IFERROR(INDEX('Labor Expenditures'!$F$7:$X$91,MATCH($C413,'Labor Expenditures'!$D$7:$D$91,0),MATCH($G413,'Labor Expenditures'!$F$5:$X$5,0)),"NA")</f>
        <v>1841.0861245779301</v>
      </c>
      <c r="K413" s="159">
        <f t="shared" si="776"/>
        <v>17.062892720833457</v>
      </c>
      <c r="L413" s="165">
        <f t="shared" si="782"/>
        <v>3.9975558253320227E-2</v>
      </c>
      <c r="M413" s="76">
        <f t="shared" si="786"/>
        <v>2.7175901359026839E-5</v>
      </c>
      <c r="N413" s="62">
        <f t="shared" si="792"/>
        <v>108.88614166707882</v>
      </c>
      <c r="O413" s="96">
        <f t="shared" si="787"/>
        <v>-7.788063402109191E-2</v>
      </c>
      <c r="P413" s="96"/>
      <c r="Q413" s="159">
        <f>IFERROR(INDEX('Non-Labor Expenditures'!$F$7:$AB$91,MATCH($C413,'Non-Labor Expenditures'!$D$7:$D$91,0),MATCH($G413,'Non-Labor Expenditures'!$F$5:$AB$5,0)),"NA")</f>
        <v>2666.2365758440105</v>
      </c>
      <c r="R413" s="159">
        <f t="shared" si="777"/>
        <v>28.284780784223145</v>
      </c>
      <c r="S413" s="165">
        <f t="shared" si="788"/>
        <v>5.2841819526748067E-2</v>
      </c>
      <c r="T413" s="165">
        <f t="shared" si="789"/>
        <v>3.5922552125238493E-5</v>
      </c>
      <c r="U413" s="165"/>
      <c r="V413" s="165"/>
      <c r="W413" s="159">
        <f t="shared" si="757"/>
        <v>1603.5049881078689</v>
      </c>
      <c r="X413" s="163"/>
      <c r="Y413" s="167">
        <v>90.5732866552421</v>
      </c>
      <c r="Z413" s="168">
        <v>0.10285756910083078</v>
      </c>
      <c r="AA413" s="76">
        <f t="shared" si="778"/>
        <v>6.9923905357376743E-5</v>
      </c>
      <c r="AB413" s="168"/>
      <c r="AC413" s="168"/>
      <c r="AD413" s="163">
        <f t="shared" si="705"/>
        <v>6110.8276885298092</v>
      </c>
      <c r="AE413" s="168">
        <f t="shared" si="790"/>
        <v>9.5293328780029843E-2</v>
      </c>
      <c r="AF413" s="163"/>
      <c r="AG413" s="163"/>
      <c r="AH413" s="163"/>
      <c r="AI413" s="163"/>
      <c r="AJ413" s="116">
        <f t="shared" si="791"/>
        <v>418.865425219673</v>
      </c>
      <c r="AK413" s="114">
        <f>+AV413/$AX$13</f>
        <v>4.1525786448839925E-4</v>
      </c>
      <c r="AL413" s="115">
        <f t="shared" si="779"/>
        <v>0.30128261152473651</v>
      </c>
      <c r="AM413" s="115">
        <f t="shared" si="780"/>
        <v>0.43631349331754349</v>
      </c>
      <c r="AN413" s="115">
        <f t="shared" si="781"/>
        <v>0.26240389515772006</v>
      </c>
      <c r="AO413" s="115">
        <f t="shared" si="783"/>
        <v>6.1604254144762283E-2</v>
      </c>
      <c r="AP413" s="166">
        <f t="shared" ref="AP413:AP426" si="794">+AP412*EXP(AO413)</f>
        <v>143.59327457864151</v>
      </c>
      <c r="AQ413" s="168">
        <f t="shared" ref="AQ413:AQ426" si="795">LN(AP413/AP412)</f>
        <v>6.1604254144762359E-2</v>
      </c>
      <c r="AR413" s="69">
        <f>+AD413/$AF$13</f>
        <v>6.7981292936089783E-4</v>
      </c>
      <c r="AS413" s="169">
        <f t="shared" si="793"/>
        <v>4.1879368471244127E-5</v>
      </c>
      <c r="AT413" s="115"/>
      <c r="AU413" s="115"/>
      <c r="AV413" s="113">
        <f>IFERROR(INDEX('Total Customers'!$F$7:$AB$91,MATCH($C413,'Total Customers'!$D$7:$D$91,0),MATCH($G413,'Total Customers'!$F$5:$AB$5,0)),"NA")</f>
        <v>14589</v>
      </c>
      <c r="AW413" s="68">
        <f t="shared" si="751"/>
        <v>3.2955745584098647E-3</v>
      </c>
      <c r="AX413" s="114"/>
      <c r="AY413" s="114"/>
      <c r="AZ413" s="116">
        <v>8244107</v>
      </c>
      <c r="BA413" s="116"/>
      <c r="BB413" s="166"/>
      <c r="BC413" s="166"/>
      <c r="BD413" s="166"/>
      <c r="BE413" s="166"/>
      <c r="BF413" s="166"/>
      <c r="BG413" s="166"/>
      <c r="BH413" s="166"/>
      <c r="BI413" s="113"/>
      <c r="BJ413" s="113"/>
      <c r="BK413" s="113">
        <f>INDEX('Dist. Plant Gas Additions'!$F$7:$AE$91,MATCH($C413,'Dist. Plant Gas Additions'!$D$7:$D$91,0),MATCH(Calculation!$G413,'Dist. Plant Gas Additions'!$F$5:$AE$5,0))</f>
        <v>5152</v>
      </c>
      <c r="BL413" s="113">
        <f>INDEX('Gen. Plant Additions'!$F$7:$AE$91,MATCH($C413,'Gen. Plant Additions'!$D$7:$D$91,0),MATCH(Calculation!$G413,'Gen. Plant Additions'!$F$5:$AE$5,0))</f>
        <v>201</v>
      </c>
      <c r="BM413" s="231">
        <f t="shared" si="758"/>
        <v>0.75363815301216486</v>
      </c>
      <c r="BN413" s="61">
        <f t="shared" si="770"/>
        <v>151.48126875544514</v>
      </c>
      <c r="BO413" s="113">
        <f>INDEX('Dist Plant Depreciation'!$E$7:$AD$94,MATCH($C413,'Dist Plant Depreciation'!$D$7:$D$94,0),MATCH(Calculation!$G413,'Dist Plant Depreciation'!$E$5:$AD$5,0))</f>
        <v>5174</v>
      </c>
      <c r="BP413" s="113">
        <f>INDEX('Gen. Plant Depreciation'!$E$7:$AD$94,MATCH($C413,'Gen. Plant Depreciation'!$D$7:$D$94,0),MATCH(Calculation!$G413,'Gen. Plant Depreciation'!$E$5:$AD$5,0))</f>
        <v>3687</v>
      </c>
      <c r="BQ413" s="113"/>
      <c r="BR413" s="113"/>
      <c r="BS413" s="113"/>
      <c r="BT413" s="113"/>
      <c r="BU413" s="113"/>
      <c r="BV413" s="113"/>
      <c r="BW413" s="113">
        <f>INDEX('Gross Dx Plant'!$E$7:$AD$91,MATCH($C413,'Gross Dx Plant'!$D$7:$D$91,0),MATCH(Calculation!$G413,'Gross Dx Plant'!$E$5:$AD$5,0))</f>
        <v>23356</v>
      </c>
      <c r="BX413" s="113">
        <f>INDEX('Gross Gen Plant'!$E$7:$AD$91,MATCH($C413,'Gross Gen Plant'!$D$7:$D$91,0),MATCH(Calculation!$G413,'Gross Gen Plant'!$E$5:$AD$5,0))</f>
        <v>7635</v>
      </c>
      <c r="BY413" s="113">
        <f t="shared" si="753"/>
        <v>22130</v>
      </c>
      <c r="BZ413" s="113"/>
      <c r="CA413" s="116">
        <v>2008</v>
      </c>
      <c r="CB413" s="113"/>
      <c r="CC413" s="113"/>
      <c r="CD413" s="113"/>
      <c r="CE413" s="175"/>
      <c r="CF413" s="113">
        <f t="shared" si="759"/>
        <v>5353</v>
      </c>
      <c r="CG413" s="113">
        <f t="shared" si="760"/>
        <v>9.3931857528767573</v>
      </c>
      <c r="CH413" s="178">
        <v>0.94252873563218387</v>
      </c>
      <c r="CI413" s="61">
        <f>+CI403*CH413+CG404*CH412+CG405*CH411+CG406*CH410+CG407*CH409+CG408*CH408+CG409*CH407+CG410*CH406+CG411*CH405+CG412*CH404+CG413</f>
        <v>90.5732866552421</v>
      </c>
      <c r="CJ413" s="114">
        <f t="shared" si="761"/>
        <v>0.10285756910083078</v>
      </c>
      <c r="CK413" s="114"/>
      <c r="CL413" s="169">
        <f t="shared" si="762"/>
        <v>6.6096563242332464E-3</v>
      </c>
      <c r="CM413" s="169">
        <f t="shared" si="771"/>
        <v>6.4287238599278077E-3</v>
      </c>
      <c r="CN413" s="114">
        <f>VLOOKUP($H413,RoR!$E:$F,2,FALSE)</f>
        <v>5.6316666666666668E-2</v>
      </c>
      <c r="CO413" s="169">
        <v>1.9092304698479889E-2</v>
      </c>
      <c r="CP413" s="169">
        <f t="shared" si="768"/>
        <v>3.7224361968186778E-2</v>
      </c>
      <c r="CQ413" s="169">
        <f t="shared" si="772"/>
        <v>2.4473217748605818E-2</v>
      </c>
      <c r="CR413" s="169">
        <f t="shared" si="773"/>
        <v>6.9030581091053131E-2</v>
      </c>
      <c r="CS413" s="179">
        <f t="shared" si="763"/>
        <v>0.85329623209999994</v>
      </c>
      <c r="CT413" s="180">
        <f t="shared" si="764"/>
        <v>0.91060168006009956</v>
      </c>
      <c r="CU413" s="180">
        <f t="shared" si="765"/>
        <v>0.53108168097070152</v>
      </c>
      <c r="CV413" s="180">
        <f t="shared" si="766"/>
        <v>0.88825329850328805</v>
      </c>
      <c r="CW413" s="180">
        <f t="shared" si="767"/>
        <v>0.4295627335323573</v>
      </c>
      <c r="CX413" s="181">
        <f>INDEX('State Tax Lookup'!$D$7:$Z$91,MATCH(Calculation!$C413,'State Tax Lookup'!$B$7:$B$91,0),MATCH($H413,'State Tax Lookup'!$D$6:$Z$6,0))</f>
        <v>0.39649667</v>
      </c>
      <c r="CY413" s="72">
        <v>0.37</v>
      </c>
      <c r="CZ413" s="70">
        <f t="shared" si="769"/>
        <v>19.62188213017939</v>
      </c>
      <c r="DA413" s="70">
        <v>18.300102035478151</v>
      </c>
      <c r="DB413" s="69">
        <f t="shared" si="774"/>
        <v>0.12759609030209393</v>
      </c>
      <c r="DC413" s="111">
        <f>VLOOKUP($H413,RoR!$E:$F,2,FALSE)</f>
        <v>5.6316666666666668E-2</v>
      </c>
      <c r="DD413" s="216">
        <f>HLOOKUP($H413,'GDP-PI'!$D$8:$CQ$11,3,FALSE)</f>
        <v>1.9092304698479889E-2</v>
      </c>
      <c r="DE413" s="111">
        <f>VLOOKUP(H413,'HW Dx Data'!$E:$F,2,FALSE)</f>
        <v>569.88120333515076</v>
      </c>
      <c r="DF413" s="72">
        <f t="shared" si="784"/>
        <v>107.9</v>
      </c>
      <c r="DG413" s="69">
        <f t="shared" si="785"/>
        <v>3.1778595021460486E-2</v>
      </c>
      <c r="DH413" s="66">
        <f>HLOOKUP(H413,'GDP-PI'!$8:$9,2,FALSE)</f>
        <v>94.263999999999996</v>
      </c>
      <c r="DI413" s="69">
        <f t="shared" si="775"/>
        <v>1.8912333748032254E-2</v>
      </c>
      <c r="DJ413" s="160">
        <v>1.1105433028856712E-2</v>
      </c>
      <c r="EB413"/>
    </row>
    <row r="414" spans="1:132" s="160" customFormat="1" ht="21">
      <c r="A414" s="160" t="s">
        <v>185</v>
      </c>
      <c r="B414" s="161" t="s">
        <v>185</v>
      </c>
      <c r="C414" s="161">
        <v>4059459</v>
      </c>
      <c r="D414" s="161" t="s">
        <v>171</v>
      </c>
      <c r="E414" s="161" t="s">
        <v>3</v>
      </c>
      <c r="F414" s="161"/>
      <c r="G414" s="161" t="s">
        <v>125</v>
      </c>
      <c r="H414" s="162">
        <v>2009</v>
      </c>
      <c r="I414" s="163"/>
      <c r="J414" s="159">
        <f>IFERROR(INDEX('Labor Expenditures'!$F$7:$X$91,MATCH($C414,'Labor Expenditures'!$D$7:$D$91,0),MATCH($G414,'Labor Expenditures'!$F$5:$X$5,0)),"NA")</f>
        <v>2019.4924785226083</v>
      </c>
      <c r="K414" s="159">
        <f t="shared" si="776"/>
        <v>18.2059272348218</v>
      </c>
      <c r="L414" s="165">
        <f t="shared" si="782"/>
        <v>6.4841124020087501E-2</v>
      </c>
      <c r="M414" s="76">
        <f t="shared" si="786"/>
        <v>4.6008355837597388E-5</v>
      </c>
      <c r="N414" s="62">
        <f t="shared" si="792"/>
        <v>116.6610780801247</v>
      </c>
      <c r="O414" s="96">
        <f t="shared" si="787"/>
        <v>6.8970198075569145E-2</v>
      </c>
      <c r="P414" s="96"/>
      <c r="Q414" s="159">
        <f>IFERROR(INDEX('Non-Labor Expenditures'!$F$7:$AB$91,MATCH($C414,'Non-Labor Expenditures'!$D$7:$D$91,0),MATCH($G414,'Non-Labor Expenditures'!$F$5:$AB$5,0)),"NA")</f>
        <v>2924.6022980664411</v>
      </c>
      <c r="R414" s="159">
        <f t="shared" si="777"/>
        <v>30.785611407135246</v>
      </c>
      <c r="S414" s="165">
        <f t="shared" si="788"/>
        <v>8.4723540202661984E-2</v>
      </c>
      <c r="T414" s="165">
        <f t="shared" si="789"/>
        <v>6.0116027357229029E-5</v>
      </c>
      <c r="U414" s="165"/>
      <c r="V414" s="165"/>
      <c r="W414" s="159">
        <f t="shared" si="757"/>
        <v>1708.4354084173833</v>
      </c>
      <c r="X414" s="163"/>
      <c r="Y414" s="167">
        <v>98.662061962427686</v>
      </c>
      <c r="Z414" s="168">
        <v>8.5541174974735623E-2</v>
      </c>
      <c r="AA414" s="76">
        <f t="shared" si="778"/>
        <v>6.0696184350298776E-5</v>
      </c>
      <c r="AB414" s="168"/>
      <c r="AC414" s="168"/>
      <c r="AD414" s="163">
        <f t="shared" si="705"/>
        <v>6652.5301850064334</v>
      </c>
      <c r="AE414" s="168">
        <f t="shared" si="790"/>
        <v>8.4935032672167315E-2</v>
      </c>
      <c r="AF414" s="163"/>
      <c r="AG414" s="163"/>
      <c r="AH414" s="163"/>
      <c r="AI414" s="163"/>
      <c r="AJ414" s="116">
        <f t="shared" si="791"/>
        <v>455.93380748450642</v>
      </c>
      <c r="AK414" s="114">
        <f>+AV414/$AX$14</f>
        <v>4.1478535973412349E-4</v>
      </c>
      <c r="AL414" s="115">
        <f t="shared" si="779"/>
        <v>0.30356757840410392</v>
      </c>
      <c r="AM414" s="115">
        <f t="shared" si="780"/>
        <v>0.43962255213181162</v>
      </c>
      <c r="AN414" s="115">
        <f t="shared" si="781"/>
        <v>0.25680986946408441</v>
      </c>
      <c r="AO414" s="115">
        <f t="shared" si="783"/>
        <v>7.8922862214571801E-2</v>
      </c>
      <c r="AP414" s="166">
        <f t="shared" si="794"/>
        <v>155.38527583086798</v>
      </c>
      <c r="AQ414" s="168">
        <f t="shared" si="795"/>
        <v>7.8922862214571871E-2</v>
      </c>
      <c r="AR414" s="69">
        <f>+AD414/$AF$14</f>
        <v>7.0955518635587187E-4</v>
      </c>
      <c r="AS414" s="169">
        <f t="shared" si="793"/>
        <v>5.6000126206399341E-5</v>
      </c>
      <c r="AT414" s="115"/>
      <c r="AU414" s="115"/>
      <c r="AV414" s="113">
        <f>IFERROR(INDEX('Total Customers'!$F$7:$AB$91,MATCH($C414,'Total Customers'!$D$7:$D$91,0),MATCH($G414,'Total Customers'!$F$5:$AB$5,0)),"NA")</f>
        <v>14591</v>
      </c>
      <c r="AW414" s="68">
        <f t="shared" si="751"/>
        <v>1.3708019212683905E-4</v>
      </c>
      <c r="AX414" s="114"/>
      <c r="AY414" s="114"/>
      <c r="AZ414" s="116">
        <v>8336812</v>
      </c>
      <c r="BA414" s="116"/>
      <c r="BB414" s="166"/>
      <c r="BC414" s="166"/>
      <c r="BD414" s="166"/>
      <c r="BE414" s="166"/>
      <c r="BF414" s="166"/>
      <c r="BG414" s="166"/>
      <c r="BH414" s="166"/>
      <c r="BI414" s="113"/>
      <c r="BJ414" s="113"/>
      <c r="BK414" s="113">
        <f>INDEX('Dist. Plant Gas Additions'!$F$7:$AE$91,MATCH($C414,'Dist. Plant Gas Additions'!$D$7:$D$91,0),MATCH(Calculation!$G414,'Dist. Plant Gas Additions'!$F$5:$AE$5,0))</f>
        <v>4713</v>
      </c>
      <c r="BL414" s="113">
        <f>INDEX('Gen. Plant Additions'!$F$7:$AE$91,MATCH($C414,'Gen. Plant Additions'!$D$7:$D$91,0),MATCH(Calculation!$G414,'Gen. Plant Additions'!$F$5:$AE$5,0))</f>
        <v>77</v>
      </c>
      <c r="BM414" s="231">
        <f t="shared" si="758"/>
        <v>0.78180629016663827</v>
      </c>
      <c r="BN414" s="61">
        <f t="shared" si="770"/>
        <v>60.199084342831149</v>
      </c>
      <c r="BO414" s="113">
        <f>INDEX('Dist Plant Depreciation'!$E$7:$AD$94,MATCH($C414,'Dist Plant Depreciation'!$D$7:$D$94,0),MATCH(Calculation!$G414,'Dist Plant Depreciation'!$E$5:$AD$5,0))</f>
        <v>5815</v>
      </c>
      <c r="BP414" s="113">
        <f>INDEX('Gen. Plant Depreciation'!$E$7:$AD$94,MATCH($C414,'Gen. Plant Depreciation'!$D$7:$D$94,0),MATCH(Calculation!$G414,'Gen. Plant Depreciation'!$E$5:$AD$5,0))</f>
        <v>4916</v>
      </c>
      <c r="BQ414" s="113"/>
      <c r="BR414" s="113"/>
      <c r="BS414" s="113"/>
      <c r="BT414" s="113"/>
      <c r="BU414" s="113"/>
      <c r="BV414" s="113"/>
      <c r="BW414" s="113">
        <f>INDEX('Gross Dx Plant'!$E$7:$AD$91,MATCH($C414,'Gross Dx Plant'!$D$7:$D$91,0),MATCH(Calculation!$G414,'Gross Dx Plant'!$E$5:$AD$5,0))</f>
        <v>27493</v>
      </c>
      <c r="BX414" s="113">
        <f>INDEX('Gross Gen Plant'!$E$7:$AD$91,MATCH($C414,'Gross Gen Plant'!$D$7:$D$91,0),MATCH(Calculation!$G414,'Gross Gen Plant'!$E$5:$AD$5,0))</f>
        <v>7673</v>
      </c>
      <c r="BY414" s="113">
        <f t="shared" si="753"/>
        <v>24435</v>
      </c>
      <c r="BZ414" s="113"/>
      <c r="CA414" s="116">
        <v>2009</v>
      </c>
      <c r="CB414" s="113"/>
      <c r="CC414" s="113"/>
      <c r="CD414" s="113"/>
      <c r="CE414" s="175"/>
      <c r="CF414" s="113">
        <f t="shared" si="759"/>
        <v>4790</v>
      </c>
      <c r="CG414" s="113">
        <f t="shared" si="760"/>
        <v>8.6942216276661259</v>
      </c>
      <c r="CH414" s="178">
        <v>0.93567251461988299</v>
      </c>
      <c r="CI414" s="61">
        <f>+CI403*CH414+CG404*CH413+CG405*CH412+CG406*CH411+CG407*CH410+CG408*CH409+CG409*CH408+CG410*CH407+CG411*CH406+CG412*CH405+CG413*CH404+CG414</f>
        <v>98.662061962427686</v>
      </c>
      <c r="CJ414" s="114">
        <f t="shared" si="761"/>
        <v>8.5541174974735623E-2</v>
      </c>
      <c r="CK414" s="114"/>
      <c r="CL414" s="169">
        <f t="shared" si="762"/>
        <v>6.6846014187948114E-3</v>
      </c>
      <c r="CM414" s="169">
        <f t="shared" si="771"/>
        <v>6.571897932073305E-3</v>
      </c>
      <c r="CN414" s="114">
        <f>VLOOKUP($H414,RoR!$E:$F,2,FALSE)</f>
        <v>5.3133333333333324E-2</v>
      </c>
      <c r="CO414" s="169">
        <v>7.7972502758210105E-3</v>
      </c>
      <c r="CP414" s="169">
        <f t="shared" si="768"/>
        <v>4.5336083057512314E-2</v>
      </c>
      <c r="CQ414" s="169">
        <f t="shared" si="772"/>
        <v>2.4330043676460321E-2</v>
      </c>
      <c r="CR414" s="169">
        <f t="shared" si="773"/>
        <v>6.3720160300892073E-2</v>
      </c>
      <c r="CS414" s="179">
        <f t="shared" si="763"/>
        <v>0.85329623209999994</v>
      </c>
      <c r="CT414" s="180">
        <f t="shared" si="764"/>
        <v>0.96515780330083989</v>
      </c>
      <c r="CU414" s="180">
        <f t="shared" si="765"/>
        <v>0.50448557089084056</v>
      </c>
      <c r="CV414" s="180">
        <f t="shared" si="766"/>
        <v>0.87391435735465484</v>
      </c>
      <c r="CW414" s="180">
        <f t="shared" si="767"/>
        <v>0.42551605393279146</v>
      </c>
      <c r="CX414" s="181">
        <f>INDEX('State Tax Lookup'!$D$7:$Z$91,MATCH(Calculation!$C414,'State Tax Lookup'!$B$7:$B$91,0),MATCH($H414,'State Tax Lookup'!$D$6:$Z$6,0))</f>
        <v>0.39649667</v>
      </c>
      <c r="CY414" s="72">
        <v>0.37</v>
      </c>
      <c r="CZ414" s="70">
        <f t="shared" si="769"/>
        <v>18.862464546752808</v>
      </c>
      <c r="DA414" s="70">
        <v>17.478615056163342</v>
      </c>
      <c r="DB414" s="69">
        <f t="shared" si="774"/>
        <v>-3.9471434169651369E-2</v>
      </c>
      <c r="DC414" s="111">
        <f>VLOOKUP($H414,RoR!$E:$F,2,FALSE)</f>
        <v>5.3133333333333324E-2</v>
      </c>
      <c r="DD414" s="216">
        <f>HLOOKUP($H414,'GDP-PI'!$D$8:$CQ$11,3,FALSE)</f>
        <v>7.7972502758210105E-3</v>
      </c>
      <c r="DE414" s="111">
        <f>VLOOKUP(H414,'HW Dx Data'!$E:$F,2,FALSE)</f>
        <v>550.94063679692806</v>
      </c>
      <c r="DF414" s="72">
        <f t="shared" si="784"/>
        <v>110.925</v>
      </c>
      <c r="DG414" s="69">
        <f t="shared" si="785"/>
        <v>2.7649425000884052E-2</v>
      </c>
      <c r="DH414" s="66">
        <f>HLOOKUP(H414,'GDP-PI'!$8:$9,2,FALSE)</f>
        <v>94.998999999999995</v>
      </c>
      <c r="DI414" s="69">
        <f t="shared" si="775"/>
        <v>7.7670088183096342E-3</v>
      </c>
      <c r="DJ414" s="160">
        <v>1.1207959651333104E-2</v>
      </c>
      <c r="EB414"/>
    </row>
    <row r="415" spans="1:132" s="160" customFormat="1" ht="21">
      <c r="A415" s="160" t="s">
        <v>185</v>
      </c>
      <c r="B415" s="161" t="s">
        <v>185</v>
      </c>
      <c r="C415" s="161">
        <v>4059459</v>
      </c>
      <c r="D415" s="161" t="s">
        <v>171</v>
      </c>
      <c r="E415" s="161" t="s">
        <v>3</v>
      </c>
      <c r="F415" s="161"/>
      <c r="G415" s="161" t="s">
        <v>126</v>
      </c>
      <c r="H415" s="162">
        <v>2010</v>
      </c>
      <c r="I415" s="163"/>
      <c r="J415" s="159">
        <f>IFERROR(INDEX('Labor Expenditures'!$F$7:$X$91,MATCH($C415,'Labor Expenditures'!$D$7:$D$91,0),MATCH($G415,'Labor Expenditures'!$F$5:$X$5,0)),"NA")</f>
        <v>2127.5832288076867</v>
      </c>
      <c r="K415" s="159">
        <f t="shared" si="776"/>
        <v>18.196136230982997</v>
      </c>
      <c r="L415" s="165">
        <f t="shared" si="782"/>
        <v>-5.3793676196997858E-4</v>
      </c>
      <c r="M415" s="76">
        <f t="shared" si="786"/>
        <v>-3.9431651327401093E-7</v>
      </c>
      <c r="N415" s="62">
        <f t="shared" si="792"/>
        <v>96.575984045143741</v>
      </c>
      <c r="O415" s="96">
        <f t="shared" si="787"/>
        <v>-0.18894286455746256</v>
      </c>
      <c r="P415" s="96"/>
      <c r="Q415" s="159">
        <f>IFERROR(INDEX('Non-Labor Expenditures'!$F$7:$AB$91,MATCH($C415,'Non-Labor Expenditures'!$D$7:$D$91,0),MATCH($G415,'Non-Labor Expenditures'!$F$5:$AB$5,0)),"NA")</f>
        <v>3081.1378930465876</v>
      </c>
      <c r="R415" s="159">
        <f t="shared" si="777"/>
        <v>32.058786305617453</v>
      </c>
      <c r="S415" s="165">
        <f t="shared" si="788"/>
        <v>4.0523870777856463E-2</v>
      </c>
      <c r="T415" s="165">
        <f t="shared" si="789"/>
        <v>2.9704665230488037E-5</v>
      </c>
      <c r="U415" s="165"/>
      <c r="V415" s="165"/>
      <c r="W415" s="159">
        <f t="shared" si="757"/>
        <v>1914.785156077987</v>
      </c>
      <c r="X415" s="163"/>
      <c r="Y415" s="167">
        <v>107.58835621606292</v>
      </c>
      <c r="Z415" s="168">
        <v>8.6611932999620625E-2</v>
      </c>
      <c r="AA415" s="76">
        <f t="shared" si="778"/>
        <v>6.3487974503290506E-5</v>
      </c>
      <c r="AB415" s="168"/>
      <c r="AC415" s="168"/>
      <c r="AD415" s="163">
        <f t="shared" si="705"/>
        <v>7123.5062779322616</v>
      </c>
      <c r="AE415" s="168">
        <f t="shared" si="790"/>
        <v>6.8402797721259012E-2</v>
      </c>
      <c r="AF415" s="163"/>
      <c r="AG415" s="163"/>
      <c r="AH415" s="163"/>
      <c r="AI415" s="163"/>
      <c r="AJ415" s="116">
        <f t="shared" si="791"/>
        <v>484.49338760336406</v>
      </c>
      <c r="AK415" s="114">
        <f>+AV415/$AX$15</f>
        <v>4.1568235546436412E-4</v>
      </c>
      <c r="AL415" s="115">
        <f t="shared" si="779"/>
        <v>0.29867078736193098</v>
      </c>
      <c r="AM415" s="115">
        <f t="shared" si="780"/>
        <v>0.43253108410833729</v>
      </c>
      <c r="AN415" s="115">
        <f t="shared" si="781"/>
        <v>0.26879812852973173</v>
      </c>
      <c r="AO415" s="115">
        <f t="shared" si="783"/>
        <v>4.027149990166215E-2</v>
      </c>
      <c r="AP415" s="166">
        <f t="shared" si="794"/>
        <v>161.7705839715706</v>
      </c>
      <c r="AQ415" s="168">
        <f t="shared" si="795"/>
        <v>4.0271499901662046E-2</v>
      </c>
      <c r="AR415" s="69">
        <f>+AD415/$AF$15</f>
        <v>7.3301648288543093E-4</v>
      </c>
      <c r="AS415" s="169">
        <f t="shared" si="793"/>
        <v>2.9519673218437289E-5</v>
      </c>
      <c r="AT415" s="115"/>
      <c r="AU415" s="115"/>
      <c r="AV415" s="113">
        <f>IFERROR(INDEX('Total Customers'!$F$7:$AB$91,MATCH($C415,'Total Customers'!$D$7:$D$91,0),MATCH($G415,'Total Customers'!$F$5:$AB$5,0)),"NA")</f>
        <v>14703</v>
      </c>
      <c r="AW415" s="68">
        <f t="shared" si="751"/>
        <v>7.6466543136347025E-3</v>
      </c>
      <c r="AX415" s="114"/>
      <c r="AY415" s="114"/>
      <c r="AZ415" s="116">
        <v>8403441</v>
      </c>
      <c r="BA415" s="116"/>
      <c r="BB415" s="166"/>
      <c r="BC415" s="166"/>
      <c r="BD415" s="166"/>
      <c r="BE415" s="166"/>
      <c r="BF415" s="166"/>
      <c r="BG415" s="166"/>
      <c r="BH415" s="166"/>
      <c r="BI415" s="113"/>
      <c r="BJ415" s="113"/>
      <c r="BK415" s="113">
        <f>INDEX('Dist. Plant Gas Additions'!$F$7:$AE$91,MATCH($C415,'Dist. Plant Gas Additions'!$D$7:$D$91,0),MATCH(Calculation!$G415,'Dist. Plant Gas Additions'!$F$5:$AE$5,0))</f>
        <v>5193</v>
      </c>
      <c r="BL415" s="113">
        <f>INDEX('Gen. Plant Additions'!$F$7:$AE$91,MATCH($C415,'Gen. Plant Additions'!$D$7:$D$91,0),MATCH(Calculation!$G415,'Gen. Plant Additions'!$F$5:$AE$5,0))</f>
        <v>267</v>
      </c>
      <c r="BM415" s="231">
        <f t="shared" si="758"/>
        <v>0.80442859636436181</v>
      </c>
      <c r="BN415" s="61">
        <f t="shared" si="770"/>
        <v>214.7824352292846</v>
      </c>
      <c r="BO415" s="113">
        <f>INDEX('Dist Plant Depreciation'!$E$7:$AD$94,MATCH($C415,'Dist Plant Depreciation'!$D$7:$D$94,0),MATCH(Calculation!$G415,'Dist Plant Depreciation'!$E$5:$AD$5,0))</f>
        <v>6372</v>
      </c>
      <c r="BP415" s="113">
        <f>INDEX('Gen. Plant Depreciation'!$E$7:$AD$94,MATCH($C415,'Gen. Plant Depreciation'!$D$7:$D$94,0),MATCH(Calculation!$G415,'Gen. Plant Depreciation'!$E$5:$AD$5,0))</f>
        <v>4910</v>
      </c>
      <c r="BQ415" s="113"/>
      <c r="BR415" s="113"/>
      <c r="BS415" s="113"/>
      <c r="BT415" s="113"/>
      <c r="BU415" s="113"/>
      <c r="BV415" s="113"/>
      <c r="BW415" s="113">
        <f>INDEX('Gross Dx Plant'!$E$7:$AD$91,MATCH($C415,'Gross Dx Plant'!$D$7:$D$91,0),MATCH(Calculation!$G415,'Gross Dx Plant'!$E$5:$AD$5,0))</f>
        <v>32260</v>
      </c>
      <c r="BX415" s="113">
        <f>INDEX('Gross Gen Plant'!$E$7:$AD$91,MATCH($C415,'Gross Gen Plant'!$D$7:$D$91,0),MATCH(Calculation!$G415,'Gross Gen Plant'!$E$5:$AD$5,0))</f>
        <v>7843</v>
      </c>
      <c r="BY415" s="113">
        <f t="shared" si="753"/>
        <v>28821</v>
      </c>
      <c r="BZ415" s="113"/>
      <c r="CA415" s="116">
        <v>2010</v>
      </c>
      <c r="CB415" s="113"/>
      <c r="CC415" s="113"/>
      <c r="CD415" s="113"/>
      <c r="CE415" s="175"/>
      <c r="CF415" s="113">
        <f t="shared" si="759"/>
        <v>5460</v>
      </c>
      <c r="CG415" s="113">
        <f t="shared" si="760"/>
        <v>9.595959107796082</v>
      </c>
      <c r="CH415" s="178">
        <v>0.9285714285714286</v>
      </c>
      <c r="CI415" s="61">
        <f>+CI403*CH415+CG404*CH414+CG405*CH413+CG406*CH412+CG407*CH411+CG408*CH410+CG409*CH409+CG410*CH408+CG411*CH407+CG412*CH406+CG413*CH405+CG414*CH404+CG415</f>
        <v>107.58835621606292</v>
      </c>
      <c r="CJ415" s="114">
        <f t="shared" si="761"/>
        <v>8.6611932999620625E-2</v>
      </c>
      <c r="CK415" s="114"/>
      <c r="CL415" s="169">
        <f t="shared" si="762"/>
        <v>6.7874605582018801E-3</v>
      </c>
      <c r="CM415" s="169">
        <f t="shared" si="771"/>
        <v>6.6939061004099793E-3</v>
      </c>
      <c r="CN415" s="114">
        <f>VLOOKUP($H415,RoR!$E:$F,2,FALSE)</f>
        <v>4.9433333333333322E-2</v>
      </c>
      <c r="CO415" s="169">
        <v>1.1684333519300205E-2</v>
      </c>
      <c r="CP415" s="169">
        <f t="shared" si="768"/>
        <v>3.7748999814033117E-2</v>
      </c>
      <c r="CQ415" s="169">
        <f t="shared" si="772"/>
        <v>2.4208035508123647E-2</v>
      </c>
      <c r="CR415" s="169">
        <f t="shared" si="773"/>
        <v>4.7937530248493419E-2</v>
      </c>
      <c r="CS415" s="179">
        <f t="shared" si="763"/>
        <v>0.85329623209999994</v>
      </c>
      <c r="CT415" s="180">
        <f t="shared" si="764"/>
        <v>1.037398205301105</v>
      </c>
      <c r="CU415" s="180">
        <f t="shared" si="765"/>
        <v>0.46926837491571133</v>
      </c>
      <c r="CV415" s="180">
        <f t="shared" si="766"/>
        <v>0.8548537519972772</v>
      </c>
      <c r="CW415" s="180">
        <f t="shared" si="767"/>
        <v>0.41615833911547367</v>
      </c>
      <c r="CX415" s="181">
        <f>INDEX('State Tax Lookup'!$D$7:$Z$91,MATCH(Calculation!$C415,'State Tax Lookup'!$B$7:$B$91,0),MATCH($H415,'State Tax Lookup'!$D$6:$Z$6,0))</f>
        <v>0.39649667</v>
      </c>
      <c r="CY415" s="72">
        <v>0.37</v>
      </c>
      <c r="CZ415" s="70">
        <f t="shared" si="769"/>
        <v>19.407512046597731</v>
      </c>
      <c r="DA415" s="70">
        <v>17.956102603965455</v>
      </c>
      <c r="DB415" s="69">
        <f t="shared" si="774"/>
        <v>2.848626548645759E-2</v>
      </c>
      <c r="DC415" s="111">
        <f>VLOOKUP($H415,RoR!$E:$F,2,FALSE)</f>
        <v>4.9433333333333322E-2</v>
      </c>
      <c r="DD415" s="216">
        <f>HLOOKUP($H415,'GDP-PI'!$D$8:$CQ$11,3,FALSE)</f>
        <v>1.1684333519300205E-2</v>
      </c>
      <c r="DE415" s="111">
        <f>VLOOKUP(H415,'HW Dx Data'!$E:$F,2,FALSE)</f>
        <v>568.98950262971744</v>
      </c>
      <c r="DF415" s="72">
        <f t="shared" si="784"/>
        <v>116.925</v>
      </c>
      <c r="DG415" s="69">
        <f t="shared" si="785"/>
        <v>5.2678406346976722E-2</v>
      </c>
      <c r="DH415" s="66">
        <f>HLOOKUP(H415,'GDP-PI'!$8:$9,2,FALSE)</f>
        <v>96.108999999999995</v>
      </c>
      <c r="DI415" s="69">
        <f t="shared" si="775"/>
        <v>1.1616598807150427E-2</v>
      </c>
      <c r="DJ415" s="160">
        <v>5.8022112046579803E-2</v>
      </c>
      <c r="EB415"/>
    </row>
    <row r="416" spans="1:132" s="160" customFormat="1" ht="21">
      <c r="A416" s="160" t="s">
        <v>185</v>
      </c>
      <c r="B416" s="161" t="s">
        <v>185</v>
      </c>
      <c r="C416" s="161">
        <v>4059459</v>
      </c>
      <c r="D416" s="161" t="s">
        <v>171</v>
      </c>
      <c r="E416" s="161" t="s">
        <v>3</v>
      </c>
      <c r="F416" s="161"/>
      <c r="G416" s="161" t="s">
        <v>127</v>
      </c>
      <c r="H416" s="162">
        <v>2011</v>
      </c>
      <c r="I416" s="163"/>
      <c r="J416" s="159">
        <f>IFERROR(INDEX('Labor Expenditures'!$F$7:$X$91,MATCH($C416,'Labor Expenditures'!$D$7:$D$91,0),MATCH($G416,'Labor Expenditures'!$F$5:$X$5,0)),"NA")</f>
        <v>2118.6355273628774</v>
      </c>
      <c r="K416" s="159">
        <f t="shared" si="776"/>
        <v>17.527491436300952</v>
      </c>
      <c r="L416" s="165">
        <f t="shared" si="782"/>
        <v>-3.7438689031628218E-2</v>
      </c>
      <c r="M416" s="76">
        <f t="shared" si="786"/>
        <v>-2.7243547280560043E-5</v>
      </c>
      <c r="N416" s="62">
        <f t="shared" si="792"/>
        <v>115.93978953506172</v>
      </c>
      <c r="O416" s="96">
        <f t="shared" si="787"/>
        <v>0.18274090267789705</v>
      </c>
      <c r="P416" s="96"/>
      <c r="Q416" s="159">
        <f>IFERROR(INDEX('Non-Labor Expenditures'!$F$7:$AB$91,MATCH($C416,'Non-Labor Expenditures'!$D$7:$D$91,0),MATCH($G416,'Non-Labor Expenditures'!$F$5:$AB$5,0)),"NA")</f>
        <v>3068.1799501543978</v>
      </c>
      <c r="R416" s="159">
        <f t="shared" si="777"/>
        <v>31.272218996192088</v>
      </c>
      <c r="S416" s="165">
        <f t="shared" si="788"/>
        <v>-2.4841158082968995E-2</v>
      </c>
      <c r="T416" s="165">
        <f t="shared" si="789"/>
        <v>-1.8076521433897001E-5</v>
      </c>
      <c r="U416" s="165"/>
      <c r="V416" s="165"/>
      <c r="W416" s="159">
        <f t="shared" si="757"/>
        <v>2239.9428223317991</v>
      </c>
      <c r="X416" s="163"/>
      <c r="Y416" s="167">
        <v>114.74473968912166</v>
      </c>
      <c r="Z416" s="168">
        <v>6.4397578133959341E-2</v>
      </c>
      <c r="AA416" s="76">
        <f t="shared" si="778"/>
        <v>4.6861108388809969E-5</v>
      </c>
      <c r="AB416" s="168"/>
      <c r="AC416" s="168"/>
      <c r="AD416" s="163">
        <f t="shared" si="705"/>
        <v>7426.7582998490743</v>
      </c>
      <c r="AE416" s="168">
        <f t="shared" si="790"/>
        <v>4.1689405741044377E-2</v>
      </c>
      <c r="AF416" s="163"/>
      <c r="AG416" s="163"/>
      <c r="AH416" s="163"/>
      <c r="AI416" s="163"/>
      <c r="AJ416" s="116">
        <f t="shared" si="791"/>
        <v>502.41904342099002</v>
      </c>
      <c r="AK416" s="114">
        <f>+AV416/$AX$16</f>
        <v>4.1589939905040899E-4</v>
      </c>
      <c r="AL416" s="115">
        <f t="shared" si="779"/>
        <v>0.28527056379442589</v>
      </c>
      <c r="AM416" s="115">
        <f t="shared" si="780"/>
        <v>0.41312505756606471</v>
      </c>
      <c r="AN416" s="115">
        <f t="shared" si="781"/>
        <v>0.3016043786395094</v>
      </c>
      <c r="AO416" s="115">
        <f t="shared" si="783"/>
        <v>-3.0682682672907961E-3</v>
      </c>
      <c r="AP416" s="166">
        <f t="shared" si="794"/>
        <v>161.27498911997307</v>
      </c>
      <c r="AQ416" s="168">
        <f t="shared" si="795"/>
        <v>-3.0682682672909067E-3</v>
      </c>
      <c r="AR416" s="69">
        <f>+AD416/$AF$16</f>
        <v>7.2768432830392867E-4</v>
      </c>
      <c r="AS416" s="169">
        <f t="shared" si="793"/>
        <v>-2.2327307331398424E-6</v>
      </c>
      <c r="AT416" s="115"/>
      <c r="AU416" s="115"/>
      <c r="AV416" s="113">
        <f>IFERROR(INDEX('Total Customers'!$F$7:$AB$91,MATCH($C416,'Total Customers'!$D$7:$D$91,0),MATCH($G416,'Total Customers'!$F$5:$AB$5,0)),"NA")</f>
        <v>14782</v>
      </c>
      <c r="AW416" s="68">
        <f t="shared" si="751"/>
        <v>5.3586697671749598E-3</v>
      </c>
      <c r="AX416" s="114"/>
      <c r="AY416" s="114"/>
      <c r="AZ416" s="116">
        <v>8437841</v>
      </c>
      <c r="BA416" s="116"/>
      <c r="BB416" s="166"/>
      <c r="BC416" s="166"/>
      <c r="BD416" s="166"/>
      <c r="BE416" s="166"/>
      <c r="BF416" s="166"/>
      <c r="BG416" s="166"/>
      <c r="BH416" s="166"/>
      <c r="BI416" s="113"/>
      <c r="BJ416" s="113"/>
      <c r="BK416" s="113">
        <f>INDEX('Dist. Plant Gas Additions'!$F$7:$AE$91,MATCH($C416,'Dist. Plant Gas Additions'!$D$7:$D$91,0),MATCH(Calculation!$G416,'Dist. Plant Gas Additions'!$F$5:$AE$5,0))</f>
        <v>4544</v>
      </c>
      <c r="BL416" s="113">
        <f>INDEX('Gen. Plant Additions'!$F$7:$AE$91,MATCH($C416,'Gen. Plant Additions'!$D$7:$D$91,0),MATCH(Calculation!$G416,'Gen. Plant Additions'!$F$5:$AE$5,0))</f>
        <v>286</v>
      </c>
      <c r="BM416" s="231">
        <f t="shared" si="758"/>
        <v>0.81866212948867201</v>
      </c>
      <c r="BN416" s="61">
        <f t="shared" si="770"/>
        <v>234.13736903376019</v>
      </c>
      <c r="BO416" s="113">
        <f>INDEX('Dist Plant Depreciation'!$E$7:$AD$94,MATCH($C416,'Dist Plant Depreciation'!$D$7:$D$94,0),MATCH(Calculation!$G416,'Dist Plant Depreciation'!$E$5:$AD$5,0))</f>
        <v>7704</v>
      </c>
      <c r="BP416" s="113">
        <f>INDEX('Gen. Plant Depreciation'!$E$7:$AD$94,MATCH($C416,'Gen. Plant Depreciation'!$D$7:$D$94,0),MATCH(Calculation!$G416,'Gen. Plant Depreciation'!$E$5:$AD$5,0))</f>
        <v>4956</v>
      </c>
      <c r="BQ416" s="113"/>
      <c r="BR416" s="113"/>
      <c r="BS416" s="113"/>
      <c r="BT416" s="113"/>
      <c r="BU416" s="113"/>
      <c r="BV416" s="113"/>
      <c r="BW416" s="113">
        <f>INDEX('Gross Dx Plant'!$E$7:$AD$91,MATCH($C416,'Gross Dx Plant'!$D$7:$D$91,0),MATCH(Calculation!$G416,'Gross Dx Plant'!$E$5:$AD$5,0))</f>
        <v>36568</v>
      </c>
      <c r="BX416" s="113">
        <f>INDEX('Gross Gen Plant'!$E$7:$AD$91,MATCH($C416,'Gross Gen Plant'!$D$7:$D$91,0),MATCH(Calculation!$G416,'Gross Gen Plant'!$E$5:$AD$5,0))</f>
        <v>8100</v>
      </c>
      <c r="BY416" s="113">
        <f t="shared" si="753"/>
        <v>32008</v>
      </c>
      <c r="BZ416" s="113"/>
      <c r="CA416" s="116">
        <v>2011</v>
      </c>
      <c r="CB416" s="113"/>
      <c r="CC416" s="113"/>
      <c r="CD416" s="113"/>
      <c r="CE416" s="175"/>
      <c r="CF416" s="113">
        <f t="shared" si="759"/>
        <v>4830</v>
      </c>
      <c r="CG416" s="113">
        <f t="shared" si="760"/>
        <v>7.8971752321347255</v>
      </c>
      <c r="CH416" s="178">
        <v>0.92121212121212126</v>
      </c>
      <c r="CI416" s="61">
        <f>+CI403*CH416+CG404*CH415+CG405*CH414+CG406*CH413+CG407*CH412+CG408*CH411+CG409*CH410+CG410*CH409+CG411*CH408+CG412*CH407+CG413*CH406+CG414*CH405+CG415*CH404+CG416</f>
        <v>114.74473968912166</v>
      </c>
      <c r="CJ416" s="114">
        <f t="shared" si="761"/>
        <v>6.4397578133959341E-2</v>
      </c>
      <c r="CK416" s="114"/>
      <c r="CL416" s="169">
        <f t="shared" si="762"/>
        <v>6.8854268726654885E-3</v>
      </c>
      <c r="CM416" s="169">
        <f t="shared" si="771"/>
        <v>6.7858296165540606E-3</v>
      </c>
      <c r="CN416" s="114">
        <f>VLOOKUP($H416,RoR!$E:$F,2,FALSE)</f>
        <v>4.6391666666666664E-2</v>
      </c>
      <c r="CO416" s="169">
        <v>2.0840920205183799E-2</v>
      </c>
      <c r="CP416" s="169">
        <f t="shared" si="768"/>
        <v>2.5550746461482865E-2</v>
      </c>
      <c r="CQ416" s="169">
        <f t="shared" si="772"/>
        <v>2.4116111991979564E-2</v>
      </c>
      <c r="CR416" s="169">
        <f t="shared" si="773"/>
        <v>2.4810540821321614E-2</v>
      </c>
      <c r="CS416" s="179">
        <f t="shared" si="763"/>
        <v>0.85329623209999994</v>
      </c>
      <c r="CT416" s="180">
        <f t="shared" si="764"/>
        <v>1.1054151524782025</v>
      </c>
      <c r="CU416" s="180">
        <f t="shared" si="765"/>
        <v>0.43611011316687626</v>
      </c>
      <c r="CV416" s="180">
        <f t="shared" si="766"/>
        <v>0.83698442246886229</v>
      </c>
      <c r="CW416" s="180">
        <f t="shared" si="767"/>
        <v>0.40349573304423936</v>
      </c>
      <c r="CX416" s="181">
        <f>INDEX('State Tax Lookup'!$D$7:$Z$91,MATCH(Calculation!$C416,'State Tax Lookup'!$B$7:$B$91,0),MATCH($H416,'State Tax Lookup'!$D$6:$Z$6,0))</f>
        <v>0.39649667</v>
      </c>
      <c r="CY416" s="72">
        <v>0.37</v>
      </c>
      <c r="CZ416" s="70">
        <f t="shared" si="769"/>
        <v>20.819565435440456</v>
      </c>
      <c r="DA416" s="70">
        <v>19.146574949201604</v>
      </c>
      <c r="DB416" s="69">
        <f t="shared" si="774"/>
        <v>7.0232980495576205E-2</v>
      </c>
      <c r="DC416" s="111">
        <f>VLOOKUP($H416,RoR!$E:$F,2,FALSE)</f>
        <v>4.6391666666666664E-2</v>
      </c>
      <c r="DD416" s="216">
        <f>HLOOKUP($H416,'GDP-PI'!$D$8:$CQ$11,3,FALSE)</f>
        <v>2.0840920205183799E-2</v>
      </c>
      <c r="DE416" s="111">
        <f>VLOOKUP(H416,'HW Dx Data'!$E:$F,2,FALSE)</f>
        <v>611.61109612283201</v>
      </c>
      <c r="DF416" s="72">
        <f t="shared" si="784"/>
        <v>120.875</v>
      </c>
      <c r="DG416" s="69">
        <f t="shared" si="785"/>
        <v>3.3224250161508609E-2</v>
      </c>
      <c r="DH416" s="66">
        <f>HLOOKUP(H416,'GDP-PI'!$8:$9,2,FALSE)</f>
        <v>98.111999999999995</v>
      </c>
      <c r="DI416" s="69">
        <f t="shared" si="775"/>
        <v>2.0626719212849295E-2</v>
      </c>
      <c r="DJ416" s="160">
        <v>2.3553106210898688E-2</v>
      </c>
      <c r="EB416"/>
    </row>
    <row r="417" spans="1:132" s="160" customFormat="1" ht="21">
      <c r="A417" s="160" t="s">
        <v>185</v>
      </c>
      <c r="B417" s="161" t="s">
        <v>185</v>
      </c>
      <c r="C417" s="161">
        <v>4059459</v>
      </c>
      <c r="D417" s="161" t="s">
        <v>171</v>
      </c>
      <c r="E417" s="161" t="s">
        <v>3</v>
      </c>
      <c r="F417" s="161"/>
      <c r="G417" s="161" t="s">
        <v>128</v>
      </c>
      <c r="H417" s="162">
        <v>2012</v>
      </c>
      <c r="I417" s="163"/>
      <c r="J417" s="159">
        <f>IFERROR(INDEX('Labor Expenditures'!$F$7:$X$91,MATCH($C417,'Labor Expenditures'!$D$7:$D$91,0),MATCH($G417,'Labor Expenditures'!$F$5:$X$5,0)),"NA")</f>
        <v>2278.6274292024723</v>
      </c>
      <c r="K417" s="159">
        <f t="shared" si="776"/>
        <v>18.25823260578904</v>
      </c>
      <c r="L417" s="165">
        <f t="shared" si="782"/>
        <v>4.0845492487379641E-2</v>
      </c>
      <c r="M417" s="76">
        <f t="shared" si="786"/>
        <v>3.1214422914154132E-5</v>
      </c>
      <c r="N417" s="62">
        <f t="shared" si="792"/>
        <v>114.54037683736959</v>
      </c>
      <c r="O417" s="96">
        <f t="shared" si="787"/>
        <v>-1.2143603651060712E-2</v>
      </c>
      <c r="P417" s="96"/>
      <c r="Q417" s="159">
        <f>IFERROR(INDEX('Non-Labor Expenditures'!$F$7:$AB$91,MATCH($C417,'Non-Labor Expenditures'!$D$7:$D$91,0),MATCH($G417,'Non-Labor Expenditures'!$F$5:$AB$5,0)),"NA")</f>
        <v>3299.8781063834372</v>
      </c>
      <c r="R417" s="159">
        <f t="shared" si="777"/>
        <v>32.998781063834372</v>
      </c>
      <c r="S417" s="165">
        <f t="shared" si="788"/>
        <v>5.374049191050647E-2</v>
      </c>
      <c r="T417" s="165">
        <f t="shared" si="789"/>
        <v>4.1068875412079598E-5</v>
      </c>
      <c r="U417" s="165"/>
      <c r="V417" s="165"/>
      <c r="W417" s="159">
        <f t="shared" si="757"/>
        <v>2593.952143713133</v>
      </c>
      <c r="X417" s="163"/>
      <c r="Y417" s="167">
        <v>123.6527498908259</v>
      </c>
      <c r="Z417" s="168">
        <v>7.4767226630537781E-2</v>
      </c>
      <c r="AA417" s="76">
        <f t="shared" si="778"/>
        <v>5.7137659262772044E-5</v>
      </c>
      <c r="AB417" s="168"/>
      <c r="AC417" s="168"/>
      <c r="AD417" s="163">
        <f t="shared" si="705"/>
        <v>8172.4576792990429</v>
      </c>
      <c r="AE417" s="168">
        <f t="shared" si="790"/>
        <v>9.5680216460407988E-2</v>
      </c>
      <c r="AF417" s="163"/>
      <c r="AG417" s="163"/>
      <c r="AH417" s="163"/>
      <c r="AI417" s="163"/>
      <c r="AJ417" s="116">
        <f t="shared" si="791"/>
        <v>548.85545193411974</v>
      </c>
      <c r="AK417" s="114">
        <f>+AV417/$AX$17</f>
        <v>4.1693035154676818E-4</v>
      </c>
      <c r="AL417" s="115">
        <f t="shared" si="779"/>
        <v>0.27881789280772534</v>
      </c>
      <c r="AM417" s="115">
        <f t="shared" si="780"/>
        <v>0.40378038478462575</v>
      </c>
      <c r="AN417" s="115">
        <f t="shared" si="781"/>
        <v>0.31740172240764886</v>
      </c>
      <c r="AO417" s="115">
        <f t="shared" si="783"/>
        <v>5.6611370287667599E-2</v>
      </c>
      <c r="AP417" s="166">
        <f t="shared" si="794"/>
        <v>170.66836461593377</v>
      </c>
      <c r="AQ417" s="168">
        <f t="shared" si="795"/>
        <v>5.6611370287667613E-2</v>
      </c>
      <c r="AR417" s="69">
        <f>+AD417/$AF$17</f>
        <v>7.64207284899275E-4</v>
      </c>
      <c r="AS417" s="169">
        <f t="shared" si="793"/>
        <v>4.3262821581965953E-5</v>
      </c>
      <c r="AT417" s="115"/>
      <c r="AU417" s="115"/>
      <c r="AV417" s="113">
        <f>IFERROR(INDEX('Total Customers'!$F$7:$AB$91,MATCH($C417,'Total Customers'!$D$7:$D$91,0),MATCH($G417,'Total Customers'!$F$5:$AB$5,0)),"NA")</f>
        <v>14890</v>
      </c>
      <c r="AW417" s="68">
        <f t="shared" si="751"/>
        <v>7.2796223332225393E-3</v>
      </c>
      <c r="AX417" s="114"/>
      <c r="AY417" s="114"/>
      <c r="AZ417" s="116">
        <v>8485072</v>
      </c>
      <c r="BA417" s="116"/>
      <c r="BB417" s="166"/>
      <c r="BC417" s="166"/>
      <c r="BD417" s="166"/>
      <c r="BE417" s="166"/>
      <c r="BF417" s="166"/>
      <c r="BG417" s="166"/>
      <c r="BH417" s="166"/>
      <c r="BI417" s="113"/>
      <c r="BJ417" s="113"/>
      <c r="BK417" s="113">
        <f>INDEX('Dist. Plant Gas Additions'!$F$7:$AE$91,MATCH($C417,'Dist. Plant Gas Additions'!$D$7:$D$91,0),MATCH(Calculation!$G417,'Dist. Plant Gas Additions'!$F$5:$AE$5,0))</f>
        <v>5772</v>
      </c>
      <c r="BL417" s="113">
        <f>INDEX('Gen. Plant Additions'!$F$7:$AE$91,MATCH($C417,'Gen. Plant Additions'!$D$7:$D$91,0),MATCH(Calculation!$G417,'Gen. Plant Additions'!$F$5:$AE$5,0))</f>
        <v>726</v>
      </c>
      <c r="BM417" s="231">
        <f t="shared" si="758"/>
        <v>0.82747252747252742</v>
      </c>
      <c r="BN417" s="61">
        <f t="shared" si="770"/>
        <v>600.7450549450549</v>
      </c>
      <c r="BO417" s="113">
        <f>INDEX('Dist Plant Depreciation'!$E$7:$AD$94,MATCH($C417,'Dist Plant Depreciation'!$D$7:$D$94,0),MATCH(Calculation!$G417,'Dist Plant Depreciation'!$E$5:$AD$5,0))</f>
        <v>9146</v>
      </c>
      <c r="BP417" s="113">
        <f>INDEX('Gen. Plant Depreciation'!$E$7:$AD$94,MATCH($C417,'Gen. Plant Depreciation'!$D$7:$D$94,0),MATCH(Calculation!$G417,'Gen. Plant Depreciation'!$E$5:$AD$5,0))</f>
        <v>5004</v>
      </c>
      <c r="BQ417" s="113"/>
      <c r="BR417" s="113"/>
      <c r="BS417" s="113"/>
      <c r="BT417" s="113"/>
      <c r="BU417" s="113"/>
      <c r="BV417" s="113"/>
      <c r="BW417" s="113">
        <f>INDEX('Gross Dx Plant'!$E$7:$AD$91,MATCH($C417,'Gross Dx Plant'!$D$7:$D$91,0),MATCH(Calculation!$G417,'Gross Dx Plant'!$E$5:$AD$5,0))</f>
        <v>42168</v>
      </c>
      <c r="BX417" s="113">
        <f>INDEX('Gross Gen Plant'!$E$7:$AD$91,MATCH($C417,'Gross Gen Plant'!$D$7:$D$91,0),MATCH(Calculation!$G417,'Gross Gen Plant'!$E$5:$AD$5,0))</f>
        <v>8792</v>
      </c>
      <c r="BY417" s="113">
        <f t="shared" si="753"/>
        <v>36810</v>
      </c>
      <c r="BZ417" s="113"/>
      <c r="CA417" s="116">
        <v>2012</v>
      </c>
      <c r="CB417" s="113"/>
      <c r="CC417" s="113"/>
      <c r="CD417" s="113"/>
      <c r="CE417" s="175"/>
      <c r="CF417" s="113">
        <f t="shared" si="759"/>
        <v>6498</v>
      </c>
      <c r="CG417" s="113">
        <f t="shared" si="760"/>
        <v>9.7141759629212405</v>
      </c>
      <c r="CH417" s="178">
        <v>0.9135802469135802</v>
      </c>
      <c r="CI417" s="61">
        <f>+CI403*CH417+CG404*CH416+CG405*CH415+CG406*CH414+CG407*CH413+CG408*CH412+CG409*CH411+CG410*CH410+CG411*CH409+CG412*CH408+CG413*CH407+CG414*CH406+CG415*CH405+CG416*CH404+CG417</f>
        <v>123.6527498908259</v>
      </c>
      <c r="CJ417" s="114">
        <f t="shared" si="761"/>
        <v>7.4767226630537781E-2</v>
      </c>
      <c r="CK417" s="114"/>
      <c r="CL417" s="169">
        <f t="shared" si="762"/>
        <v>7.0257317538141165E-3</v>
      </c>
      <c r="CM417" s="169">
        <f t="shared" si="771"/>
        <v>6.8995397282271614E-3</v>
      </c>
      <c r="CN417" s="114">
        <f>VLOOKUP($H417,RoR!$E:$F,2,FALSE)</f>
        <v>3.6733333333333333E-2</v>
      </c>
      <c r="CO417" s="169">
        <v>1.924331376386168E-2</v>
      </c>
      <c r="CP417" s="169">
        <f t="shared" si="768"/>
        <v>1.7490019569471653E-2</v>
      </c>
      <c r="CQ417" s="169">
        <f t="shared" si="772"/>
        <v>2.4002401880306463E-2</v>
      </c>
      <c r="CR417" s="169">
        <f t="shared" si="773"/>
        <v>6.7122682943869583E-2</v>
      </c>
      <c r="CS417" s="179">
        <f t="shared" si="763"/>
        <v>0.85329623209999994</v>
      </c>
      <c r="CT417" s="180">
        <f t="shared" si="764"/>
        <v>1.3960631020522127</v>
      </c>
      <c r="CU417" s="180">
        <f t="shared" si="765"/>
        <v>0.29441923774954631</v>
      </c>
      <c r="CV417" s="180">
        <f t="shared" si="766"/>
        <v>0.76377954189366437</v>
      </c>
      <c r="CW417" s="180">
        <f t="shared" si="767"/>
        <v>0.31393465103033691</v>
      </c>
      <c r="CX417" s="181">
        <f>INDEX('State Tax Lookup'!$D$7:$Z$91,MATCH(Calculation!$C417,'State Tax Lookup'!$B$7:$B$91,0),MATCH($H417,'State Tax Lookup'!$D$6:$Z$6,0))</f>
        <v>0.39649667</v>
      </c>
      <c r="CY417" s="72">
        <v>0.37</v>
      </c>
      <c r="CZ417" s="70">
        <f t="shared" si="769"/>
        <v>22.606283745476585</v>
      </c>
      <c r="DA417" s="70">
        <v>20.759737328210988</v>
      </c>
      <c r="DB417" s="69">
        <f t="shared" si="774"/>
        <v>8.2334718955260303E-2</v>
      </c>
      <c r="DC417" s="111">
        <f>VLOOKUP($H417,RoR!$E:$F,2,FALSE)</f>
        <v>3.6733333333333333E-2</v>
      </c>
      <c r="DD417" s="216">
        <f>HLOOKUP($H417,'GDP-PI'!$D$8:$CQ$11,3,FALSE)</f>
        <v>1.924331376386168E-2</v>
      </c>
      <c r="DE417" s="111">
        <f>VLOOKUP(H417,'HW Dx Data'!$E:$F,2,FALSE)</f>
        <v>668.91932211262167</v>
      </c>
      <c r="DF417" s="72">
        <f t="shared" si="784"/>
        <v>124.80000000000001</v>
      </c>
      <c r="DG417" s="69">
        <f t="shared" si="785"/>
        <v>3.1955502161869064E-2</v>
      </c>
      <c r="DH417" s="66">
        <f>HLOOKUP(H417,'GDP-PI'!$8:$9,2,FALSE)</f>
        <v>100</v>
      </c>
      <c r="DI417" s="69">
        <f t="shared" si="775"/>
        <v>1.9060502738742411E-2</v>
      </c>
      <c r="DJ417" s="160">
        <v>1.5287085228645044E-2</v>
      </c>
      <c r="EB417"/>
    </row>
    <row r="418" spans="1:132" s="160" customFormat="1" ht="21">
      <c r="A418" s="160" t="s">
        <v>185</v>
      </c>
      <c r="B418" s="161" t="s">
        <v>185</v>
      </c>
      <c r="C418" s="161">
        <v>4059459</v>
      </c>
      <c r="D418" s="161" t="s">
        <v>171</v>
      </c>
      <c r="E418" s="161" t="s">
        <v>3</v>
      </c>
      <c r="F418" s="161"/>
      <c r="G418" s="161" t="s">
        <v>129</v>
      </c>
      <c r="H418" s="162">
        <v>2013</v>
      </c>
      <c r="I418" s="163"/>
      <c r="J418" s="159">
        <f>IFERROR(INDEX('Labor Expenditures'!$F$7:$X$91,MATCH($C418,'Labor Expenditures'!$D$7:$D$91,0),MATCH($G418,'Labor Expenditures'!$F$5:$X$5,0)),"NA")</f>
        <v>2219.9375483313474</v>
      </c>
      <c r="K418" s="159">
        <f t="shared" si="776"/>
        <v>17.507393914285075</v>
      </c>
      <c r="L418" s="165">
        <f t="shared" si="782"/>
        <v>-4.1992778914564564E-2</v>
      </c>
      <c r="M418" s="76">
        <f t="shared" si="786"/>
        <v>-3.1027419056159801E-5</v>
      </c>
      <c r="N418" s="62">
        <f t="shared" si="792"/>
        <v>107.43886780893928</v>
      </c>
      <c r="O418" s="96">
        <f t="shared" si="787"/>
        <v>-6.4005382699041075E-2</v>
      </c>
      <c r="P418" s="96"/>
      <c r="Q418" s="159">
        <f>IFERROR(INDEX('Non-Labor Expenditures'!$F$7:$AB$91,MATCH($C418,'Non-Labor Expenditures'!$D$7:$D$91,0),MATCH($G418,'Non-Labor Expenditures'!$F$5:$AB$5,0)),"NA")</f>
        <v>3214.8841971243605</v>
      </c>
      <c r="R418" s="159">
        <f t="shared" si="777"/>
        <v>31.588773025501464</v>
      </c>
      <c r="S418" s="165">
        <f t="shared" si="788"/>
        <v>-4.3668849863277015E-2</v>
      </c>
      <c r="T418" s="165">
        <f t="shared" si="789"/>
        <v>-3.2265826159422968E-5</v>
      </c>
      <c r="U418" s="165"/>
      <c r="V418" s="165"/>
      <c r="W418" s="159">
        <f t="shared" si="757"/>
        <v>2760.2146045843683</v>
      </c>
      <c r="X418" s="163"/>
      <c r="Y418" s="167">
        <v>133.34630058042816</v>
      </c>
      <c r="Z418" s="168">
        <v>7.5472275032882272E-2</v>
      </c>
      <c r="AA418" s="76">
        <f t="shared" si="778"/>
        <v>5.5764585366718798E-5</v>
      </c>
      <c r="AB418" s="168"/>
      <c r="AC418" s="168"/>
      <c r="AD418" s="163">
        <f t="shared" si="705"/>
        <v>8195.0363500400763</v>
      </c>
      <c r="AE418" s="168">
        <f t="shared" si="790"/>
        <v>2.7589666472788389E-3</v>
      </c>
      <c r="AF418" s="163"/>
      <c r="AG418" s="163"/>
      <c r="AH418" s="163"/>
      <c r="AI418" s="163"/>
      <c r="AJ418" s="116">
        <f t="shared" si="791"/>
        <v>550.11320064711526</v>
      </c>
      <c r="AK418" s="114">
        <f>+AV418/$AX$18</f>
        <v>4.1446787522015738E-4</v>
      </c>
      <c r="AL418" s="115">
        <f t="shared" si="779"/>
        <v>0.27088806608167043</v>
      </c>
      <c r="AM418" s="115">
        <f t="shared" si="780"/>
        <v>0.39229651459796622</v>
      </c>
      <c r="AN418" s="115">
        <f t="shared" si="781"/>
        <v>0.33681541932036335</v>
      </c>
      <c r="AO418" s="115">
        <f t="shared" si="783"/>
        <v>-4.2360936733499693E-3</v>
      </c>
      <c r="AP418" s="166">
        <f t="shared" si="794"/>
        <v>169.94692655476604</v>
      </c>
      <c r="AQ418" s="168">
        <f t="shared" si="795"/>
        <v>-4.2360936733499728E-3</v>
      </c>
      <c r="AR418" s="69">
        <f>+AD418/$AF$18</f>
        <v>7.3887510801049665E-4</v>
      </c>
      <c r="AS418" s="169">
        <f t="shared" si="793"/>
        <v>-3.1299441704390428E-6</v>
      </c>
      <c r="AT418" s="115"/>
      <c r="AU418" s="115"/>
      <c r="AV418" s="113">
        <f>IFERROR(INDEX('Total Customers'!$F$7:$AB$91,MATCH($C418,'Total Customers'!$D$7:$D$91,0),MATCH($G418,'Total Customers'!$F$5:$AB$5,0)),"NA")</f>
        <v>14897</v>
      </c>
      <c r="AW418" s="68">
        <f t="shared" si="751"/>
        <v>4.7000370153828491E-4</v>
      </c>
      <c r="AX418" s="114"/>
      <c r="AY418" s="114"/>
      <c r="AZ418" s="116">
        <v>8534921</v>
      </c>
      <c r="BA418" s="116"/>
      <c r="BB418" s="166"/>
      <c r="BC418" s="166"/>
      <c r="BD418" s="166"/>
      <c r="BE418" s="166"/>
      <c r="BF418" s="166"/>
      <c r="BG418" s="166"/>
      <c r="BH418" s="166"/>
      <c r="BI418" s="113"/>
      <c r="BJ418" s="113"/>
      <c r="BK418" s="113">
        <f>INDEX('Dist. Plant Gas Additions'!$F$7:$AE$91,MATCH($C418,'Dist. Plant Gas Additions'!$D$7:$D$91,0),MATCH(Calculation!$G418,'Dist. Plant Gas Additions'!$F$5:$AE$5,0))</f>
        <v>6217</v>
      </c>
      <c r="BL418" s="113">
        <f>INDEX('Gen. Plant Additions'!$F$7:$AE$91,MATCH($C418,'Gen. Plant Additions'!$D$7:$D$91,0),MATCH(Calculation!$G418,'Gen. Plant Additions'!$F$5:$AE$5,0))</f>
        <v>798</v>
      </c>
      <c r="BM418" s="231">
        <f t="shared" si="758"/>
        <v>0.83430101952652502</v>
      </c>
      <c r="BN418" s="61">
        <f t="shared" si="770"/>
        <v>665.77221358216696</v>
      </c>
      <c r="BO418" s="113">
        <f>INDEX('Dist Plant Depreciation'!$E$7:$AD$94,MATCH($C418,'Dist Plant Depreciation'!$D$7:$D$94,0),MATCH(Calculation!$G418,'Dist Plant Depreciation'!$E$5:$AD$5,0))</f>
        <v>11049</v>
      </c>
      <c r="BP418" s="113">
        <f>INDEX('Gen. Plant Depreciation'!$E$7:$AD$94,MATCH($C418,'Gen. Plant Depreciation'!$D$7:$D$94,0),MATCH(Calculation!$G418,'Gen. Plant Depreciation'!$E$5:$AD$5,0))</f>
        <v>5134</v>
      </c>
      <c r="BQ418" s="113"/>
      <c r="BR418" s="113"/>
      <c r="BS418" s="113"/>
      <c r="BT418" s="113"/>
      <c r="BU418" s="113"/>
      <c r="BV418" s="113"/>
      <c r="BW418" s="113">
        <f>INDEX('Gross Dx Plant'!$E$7:$AD$91,MATCH($C418,'Gross Dx Plant'!$D$7:$D$91,0),MATCH(Calculation!$G418,'Gross Dx Plant'!$E$5:$AD$5,0))</f>
        <v>48281</v>
      </c>
      <c r="BX418" s="113">
        <f>INDEX('Gross Gen Plant'!$E$7:$AD$91,MATCH($C418,'Gross Gen Plant'!$D$7:$D$91,0),MATCH(Calculation!$G418,'Gross Gen Plant'!$E$5:$AD$5,0))</f>
        <v>9589</v>
      </c>
      <c r="BY418" s="113">
        <f t="shared" si="753"/>
        <v>41687</v>
      </c>
      <c r="BZ418" s="113"/>
      <c r="CA418" s="116">
        <v>2013</v>
      </c>
      <c r="CB418" s="113"/>
      <c r="CC418" s="113"/>
      <c r="CD418" s="113"/>
      <c r="CE418" s="175"/>
      <c r="CF418" s="113">
        <f t="shared" si="759"/>
        <v>7015</v>
      </c>
      <c r="CG418" s="113">
        <f t="shared" si="760"/>
        <v>10.576731043682333</v>
      </c>
      <c r="CH418" s="178">
        <v>0.90566037735849059</v>
      </c>
      <c r="CI418" s="61">
        <f>+CI403*CH418+CG404*CH417+CG405*CH416+CG406*CH415+CG407*CH414+CG408*CH413+CG409*CH412+CG410*CH411+CG411*CH410+CG412*CH409+CG413*CH408+CG414*CH407+CG415*CH406+CG416*CH405+CG417*CH404+CG418</f>
        <v>133.34630058042816</v>
      </c>
      <c r="CJ418" s="114">
        <f t="shared" si="761"/>
        <v>7.5472275032882272E-2</v>
      </c>
      <c r="CK418" s="114"/>
      <c r="CL418" s="169">
        <f t="shared" si="762"/>
        <v>7.1424238834950212E-3</v>
      </c>
      <c r="CM418" s="169">
        <f t="shared" si="771"/>
        <v>7.0178608366582088E-3</v>
      </c>
      <c r="CN418" s="114">
        <f>VLOOKUP($H418,RoR!$E:$F,2,FALSE)</f>
        <v>4.2350000000000006E-2</v>
      </c>
      <c r="CO418" s="169">
        <v>1.7730000000000024E-2</v>
      </c>
      <c r="CP418" s="169">
        <f t="shared" si="768"/>
        <v>2.4619999999999982E-2</v>
      </c>
      <c r="CQ418" s="169">
        <f t="shared" si="772"/>
        <v>2.3884080771875416E-2</v>
      </c>
      <c r="CR418" s="169">
        <f t="shared" si="773"/>
        <v>5.3376742735721204E-2</v>
      </c>
      <c r="CS418" s="179">
        <f t="shared" si="763"/>
        <v>0.85329623209999994</v>
      </c>
      <c r="CT418" s="180">
        <f t="shared" si="764"/>
        <v>1.2109103018193925</v>
      </c>
      <c r="CU418" s="180">
        <f t="shared" si="765"/>
        <v>0.38468122786304604</v>
      </c>
      <c r="CV418" s="180">
        <f t="shared" si="766"/>
        <v>0.80969194503422559</v>
      </c>
      <c r="CW418" s="180">
        <f t="shared" si="767"/>
        <v>0.37716621754800816</v>
      </c>
      <c r="CX418" s="181">
        <f>INDEX('State Tax Lookup'!$D$7:$Z$91,MATCH(Calculation!$C418,'State Tax Lookup'!$B$7:$B$91,0),MATCH($H418,'State Tax Lookup'!$D$6:$Z$6,0))</f>
        <v>0.39649667</v>
      </c>
      <c r="CY418" s="72">
        <v>0.37</v>
      </c>
      <c r="CZ418" s="70">
        <f t="shared" si="769"/>
        <v>22.322306677541633</v>
      </c>
      <c r="DA418" s="70">
        <v>20.339519021246105</v>
      </c>
      <c r="DB418" s="69">
        <f t="shared" si="774"/>
        <v>-1.2641431525721159E-2</v>
      </c>
      <c r="DC418" s="111">
        <f>VLOOKUP($H418,RoR!$E:$F,2,FALSE)</f>
        <v>4.2350000000000006E-2</v>
      </c>
      <c r="DD418" s="216">
        <f>HLOOKUP($H418,'GDP-PI'!$D$8:$CQ$11,3,FALSE)</f>
        <v>1.7730000000000024E-2</v>
      </c>
      <c r="DE418" s="111">
        <f>VLOOKUP(H418,'HW Dx Data'!$E:$F,2,FALSE)</f>
        <v>663.24840548821396</v>
      </c>
      <c r="DF418" s="72">
        <f t="shared" si="784"/>
        <v>126.8</v>
      </c>
      <c r="DG418" s="69">
        <f t="shared" si="785"/>
        <v>1.5898586067798204E-2</v>
      </c>
      <c r="DH418" s="66">
        <f>HLOOKUP(H418,'GDP-PI'!$8:$9,2,FALSE)</f>
        <v>101.773</v>
      </c>
      <c r="DI418" s="69">
        <f t="shared" si="775"/>
        <v>1.7574657016510519E-2</v>
      </c>
      <c r="DJ418" s="160">
        <v>9.1881865913332732E-3</v>
      </c>
      <c r="EB418"/>
    </row>
    <row r="419" spans="1:132" s="160" customFormat="1" ht="21">
      <c r="A419" s="160" t="s">
        <v>185</v>
      </c>
      <c r="B419" s="161" t="s">
        <v>185</v>
      </c>
      <c r="C419" s="161">
        <v>4059459</v>
      </c>
      <c r="D419" s="161" t="s">
        <v>171</v>
      </c>
      <c r="E419" s="161" t="s">
        <v>3</v>
      </c>
      <c r="F419" s="161"/>
      <c r="G419" s="161" t="s">
        <v>130</v>
      </c>
      <c r="H419" s="162">
        <v>2014</v>
      </c>
      <c r="I419" s="163"/>
      <c r="J419" s="159">
        <f>IFERROR(INDEX('Labor Expenditures'!$F$7:$X$91,MATCH($C419,'Labor Expenditures'!$D$7:$D$91,0),MATCH($G419,'Labor Expenditures'!$F$5:$X$5,0)),"NA")</f>
        <v>2560.0428994144359</v>
      </c>
      <c r="K419" s="159">
        <f t="shared" si="776"/>
        <v>19.783948218040461</v>
      </c>
      <c r="L419" s="165">
        <f t="shared" si="782"/>
        <v>0.12224761176493629</v>
      </c>
      <c r="M419" s="76">
        <f t="shared" si="786"/>
        <v>1.0014533015250284E-4</v>
      </c>
      <c r="N419" s="62">
        <f t="shared" si="792"/>
        <v>119.52454901337015</v>
      </c>
      <c r="O419" s="96">
        <f t="shared" si="787"/>
        <v>0.10659976707974177</v>
      </c>
      <c r="P419" s="96"/>
      <c r="Q419" s="159">
        <f>IFERROR(INDEX('Non-Labor Expenditures'!$F$7:$AB$91,MATCH($C419,'Non-Labor Expenditures'!$D$7:$D$91,0),MATCH($G419,'Non-Labor Expenditures'!$F$5:$AB$5,0)),"NA")</f>
        <v>3707.4202684099355</v>
      </c>
      <c r="R419" s="159">
        <f t="shared" si="777"/>
        <v>35.769682368133523</v>
      </c>
      <c r="S419" s="165">
        <f t="shared" si="788"/>
        <v>0.12429889993035496</v>
      </c>
      <c r="T419" s="165">
        <f t="shared" si="789"/>
        <v>1.0182574687065338E-4</v>
      </c>
      <c r="U419" s="165"/>
      <c r="V419" s="165"/>
      <c r="W419" s="159">
        <f t="shared" si="757"/>
        <v>3058.9250157537394</v>
      </c>
      <c r="X419" s="163"/>
      <c r="Y419" s="167">
        <v>143.49834686168364</v>
      </c>
      <c r="Z419" s="168">
        <v>7.3374006941492931E-2</v>
      </c>
      <c r="AA419" s="76">
        <f t="shared" si="778"/>
        <v>6.0108038461291688E-5</v>
      </c>
      <c r="AB419" s="168"/>
      <c r="AC419" s="168"/>
      <c r="AD419" s="163">
        <f t="shared" si="705"/>
        <v>9326.3881835781103</v>
      </c>
      <c r="AE419" s="168">
        <f t="shared" si="790"/>
        <v>0.12931917349962468</v>
      </c>
      <c r="AF419" s="163"/>
      <c r="AG419" s="163"/>
      <c r="AH419" s="163"/>
      <c r="AI419" s="163"/>
      <c r="AJ419" s="116">
        <f t="shared" si="791"/>
        <v>627.91275725968569</v>
      </c>
      <c r="AK419" s="114">
        <f>+AV419/$AX$19</f>
        <v>4.110354423633002E-4</v>
      </c>
      <c r="AL419" s="115">
        <f t="shared" si="779"/>
        <v>0.2744945684249081</v>
      </c>
      <c r="AM419" s="115">
        <f t="shared" si="780"/>
        <v>0.39751940359269577</v>
      </c>
      <c r="AN419" s="115">
        <f t="shared" si="781"/>
        <v>0.32798602798239623</v>
      </c>
      <c r="AO419" s="115">
        <f t="shared" si="783"/>
        <v>0.10681206017709406</v>
      </c>
      <c r="AP419" s="166">
        <f t="shared" si="794"/>
        <v>189.104212454162</v>
      </c>
      <c r="AQ419" s="168">
        <f t="shared" si="795"/>
        <v>0.10681206017709398</v>
      </c>
      <c r="AR419" s="69">
        <f>+AD419/$AF$19</f>
        <v>8.1920070835467284E-4</v>
      </c>
      <c r="AS419" s="169">
        <f t="shared" si="793"/>
        <v>8.7500515357897334E-5</v>
      </c>
      <c r="AT419" s="115"/>
      <c r="AU419" s="115"/>
      <c r="AV419" s="113">
        <f>IFERROR(INDEX('Total Customers'!$F$7:$AB$91,MATCH($C419,'Total Customers'!$D$7:$D$91,0),MATCH($G419,'Total Customers'!$F$5:$AB$5,0)),"NA")</f>
        <v>14853</v>
      </c>
      <c r="AW419" s="68">
        <f t="shared" si="751"/>
        <v>-2.9579853500602592E-3</v>
      </c>
      <c r="AX419" s="114"/>
      <c r="AY419" s="114"/>
      <c r="AZ419" s="116">
        <v>8599754</v>
      </c>
      <c r="BA419" s="116"/>
      <c r="BB419" s="166"/>
      <c r="BC419" s="166"/>
      <c r="BD419" s="166"/>
      <c r="BE419" s="166"/>
      <c r="BF419" s="166"/>
      <c r="BG419" s="166"/>
      <c r="BH419" s="166"/>
      <c r="BI419" s="113"/>
      <c r="BJ419" s="113"/>
      <c r="BK419" s="113">
        <f>INDEX('Dist. Plant Gas Additions'!$F$7:$AE$91,MATCH($C419,'Dist. Plant Gas Additions'!$D$7:$D$91,0),MATCH(Calculation!$G419,'Dist. Plant Gas Additions'!$F$5:$AE$5,0))</f>
        <v>6646</v>
      </c>
      <c r="BL419" s="113">
        <f>INDEX('Gen. Plant Additions'!$F$7:$AE$91,MATCH($C419,'Gen. Plant Additions'!$D$7:$D$91,0),MATCH(Calculation!$G419,'Gen. Plant Additions'!$F$5:$AE$5,0))</f>
        <v>965</v>
      </c>
      <c r="BM419" s="231">
        <f t="shared" si="758"/>
        <v>0.83977942865895683</v>
      </c>
      <c r="BN419" s="61">
        <f t="shared" si="770"/>
        <v>810.38714865589338</v>
      </c>
      <c r="BO419" s="113">
        <f>INDEX('Dist Plant Depreciation'!$E$7:$AD$94,MATCH($C419,'Dist Plant Depreciation'!$D$7:$D$94,0),MATCH(Calculation!$G419,'Dist Plant Depreciation'!$E$5:$AD$5,0))</f>
        <v>11660</v>
      </c>
      <c r="BP419" s="113">
        <f>INDEX('Gen. Plant Depreciation'!$E$7:$AD$94,MATCH($C419,'Gen. Plant Depreciation'!$D$7:$D$94,0),MATCH(Calculation!$G419,'Gen. Plant Depreciation'!$E$5:$AD$5,0))</f>
        <v>5892</v>
      </c>
      <c r="BQ419" s="113"/>
      <c r="BR419" s="113"/>
      <c r="BS419" s="113"/>
      <c r="BT419" s="113"/>
      <c r="BU419" s="113"/>
      <c r="BV419" s="113"/>
      <c r="BW419" s="113">
        <f>INDEX('Gross Dx Plant'!$E$7:$AD$91,MATCH($C419,'Gross Dx Plant'!$D$7:$D$91,0),MATCH(Calculation!$G419,'Gross Dx Plant'!$E$5:$AD$5,0))</f>
        <v>54825</v>
      </c>
      <c r="BX419" s="113">
        <f>INDEX('Gross Gen Plant'!$E$7:$AD$91,MATCH($C419,'Gross Gen Plant'!$D$7:$D$91,0),MATCH(Calculation!$G419,'Gross Gen Plant'!$E$5:$AD$5,0))</f>
        <v>10460</v>
      </c>
      <c r="BY419" s="113">
        <f t="shared" si="753"/>
        <v>47733</v>
      </c>
      <c r="BZ419" s="113"/>
      <c r="CA419" s="116">
        <v>2014</v>
      </c>
      <c r="CB419" s="113"/>
      <c r="CC419" s="113"/>
      <c r="CD419" s="113"/>
      <c r="CE419" s="175"/>
      <c r="CF419" s="113">
        <f t="shared" si="759"/>
        <v>7611</v>
      </c>
      <c r="CG419" s="113">
        <f t="shared" si="760"/>
        <v>11.119566279210876</v>
      </c>
      <c r="CH419" s="178">
        <v>0.89743589743589747</v>
      </c>
      <c r="CI419" s="61">
        <f>+CI403*CH419+CG404*CH418+CG405*CH417+CG406*CH416+CG407*CH415+CG408*CH414+CG409*CH413+CG410*CH412+CG411*CH411+CG412*CH410+CG413*CH409+CG414*CH408+CG415*CH407+CG416*CH406+CG417*CH405+CG418*CH404+CG419</f>
        <v>143.49834686168364</v>
      </c>
      <c r="CJ419" s="114">
        <f t="shared" si="761"/>
        <v>7.3374006941492931E-2</v>
      </c>
      <c r="CK419" s="114"/>
      <c r="CL419" s="169">
        <f t="shared" si="762"/>
        <v>7.255694336805645E-3</v>
      </c>
      <c r="CM419" s="169">
        <f t="shared" si="771"/>
        <v>7.1412833247049279E-3</v>
      </c>
      <c r="CN419" s="114">
        <f>VLOOKUP($H419,RoR!$E:$F,2,FALSE)</f>
        <v>4.1625000000000002E-2</v>
      </c>
      <c r="CO419" s="169">
        <v>1.841352814597208E-2</v>
      </c>
      <c r="CP419" s="169">
        <f t="shared" si="768"/>
        <v>2.3211471854027922E-2</v>
      </c>
      <c r="CQ419" s="169">
        <f t="shared" si="772"/>
        <v>2.3760658283828697E-2</v>
      </c>
      <c r="CR419" s="169">
        <f t="shared" si="773"/>
        <v>3.9072621432650924E-2</v>
      </c>
      <c r="CS419" s="179">
        <f t="shared" si="763"/>
        <v>0.85329623209999994</v>
      </c>
      <c r="CT419" s="180">
        <f t="shared" si="764"/>
        <v>1.2320012320012319</v>
      </c>
      <c r="CU419" s="180">
        <f t="shared" si="765"/>
        <v>0.37439939939939942</v>
      </c>
      <c r="CV419" s="180">
        <f t="shared" si="766"/>
        <v>0.80432100613819935</v>
      </c>
      <c r="CW419" s="180">
        <f t="shared" si="767"/>
        <v>0.37100152660040037</v>
      </c>
      <c r="CX419" s="181">
        <f>INDEX('State Tax Lookup'!$D$7:$Z$91,MATCH(Calculation!$C419,'State Tax Lookup'!$B$7:$B$91,0),MATCH($H419,'State Tax Lookup'!$D$6:$Z$6,0))</f>
        <v>0.39649667</v>
      </c>
      <c r="CY419" s="72">
        <v>0.37</v>
      </c>
      <c r="CZ419" s="70">
        <f t="shared" si="769"/>
        <v>22.939706631821714</v>
      </c>
      <c r="DA419" s="70">
        <v>20.763592984765573</v>
      </c>
      <c r="DB419" s="69">
        <f t="shared" si="774"/>
        <v>2.7282845178663213E-2</v>
      </c>
      <c r="DC419" s="111">
        <f>VLOOKUP($H419,RoR!$E:$F,2,FALSE)</f>
        <v>4.1625000000000002E-2</v>
      </c>
      <c r="DD419" s="216">
        <f>HLOOKUP($H419,'GDP-PI'!$D$8:$CQ$11,3,FALSE)</f>
        <v>1.841352814597208E-2</v>
      </c>
      <c r="DE419" s="111">
        <f>VLOOKUP(H419,'HW Dx Data'!$E:$F,2,FALSE)</f>
        <v>684.46914285042885</v>
      </c>
      <c r="DF419" s="72">
        <f t="shared" si="784"/>
        <v>129.4</v>
      </c>
      <c r="DG419" s="69">
        <f t="shared" si="785"/>
        <v>2.0297340063674733E-2</v>
      </c>
      <c r="DH419" s="66">
        <f>HLOOKUP(H419,'GDP-PI'!$8:$9,2,FALSE)</f>
        <v>103.64700000000001</v>
      </c>
      <c r="DI419" s="69">
        <f t="shared" si="775"/>
        <v>1.8246051898256087E-2</v>
      </c>
      <c r="DJ419" s="160">
        <v>1.9939254211924117E-2</v>
      </c>
      <c r="EB419"/>
    </row>
    <row r="420" spans="1:132" s="160" customFormat="1" ht="21">
      <c r="A420" s="160" t="s">
        <v>185</v>
      </c>
      <c r="B420" s="161" t="s">
        <v>185</v>
      </c>
      <c r="C420" s="161">
        <v>4059459</v>
      </c>
      <c r="D420" s="161" t="s">
        <v>171</v>
      </c>
      <c r="E420" s="161" t="s">
        <v>3</v>
      </c>
      <c r="F420" s="161"/>
      <c r="G420" s="161" t="s">
        <v>132</v>
      </c>
      <c r="H420" s="162">
        <v>2015</v>
      </c>
      <c r="I420" s="163"/>
      <c r="J420" s="159">
        <f>IFERROR(INDEX('Labor Expenditures'!$F$7:$X$91,MATCH($C420,'Labor Expenditures'!$D$7:$D$91,0),MATCH($G420,'Labor Expenditures'!$F$5:$X$5,0)),"NA")</f>
        <v>2625.6756584550667</v>
      </c>
      <c r="K420" s="159">
        <f t="shared" si="776"/>
        <v>19.66798246033758</v>
      </c>
      <c r="L420" s="165">
        <f t="shared" si="782"/>
        <v>-5.8788550876514205E-3</v>
      </c>
      <c r="M420" s="76">
        <f t="shared" si="786"/>
        <v>-4.9438112370521535E-6</v>
      </c>
      <c r="N420" s="62">
        <f t="shared" si="792"/>
        <v>117.57295658669887</v>
      </c>
      <c r="O420" s="96">
        <f t="shared" si="787"/>
        <v>-1.6462733325735376E-2</v>
      </c>
      <c r="P420" s="96"/>
      <c r="Q420" s="159">
        <f>IFERROR(INDEX('Non-Labor Expenditures'!$F$7:$AB$91,MATCH($C420,'Non-Labor Expenditures'!$D$7:$D$91,0),MATCH($G420,'Non-Labor Expenditures'!$F$5:$AB$5,0)),"NA")</f>
        <v>3802.4687620092254</v>
      </c>
      <c r="R420" s="159">
        <f t="shared" si="777"/>
        <v>36.338924894248088</v>
      </c>
      <c r="S420" s="165">
        <f t="shared" si="788"/>
        <v>1.5788804500409721E-2</v>
      </c>
      <c r="T420" s="165">
        <f t="shared" si="789"/>
        <v>1.3277563053510919E-5</v>
      </c>
      <c r="U420" s="165"/>
      <c r="V420" s="165"/>
      <c r="W420" s="159">
        <f t="shared" si="757"/>
        <v>3240.5011401132692</v>
      </c>
      <c r="X420" s="163"/>
      <c r="Y420" s="167">
        <v>146.20589804020997</v>
      </c>
      <c r="Z420" s="168">
        <v>1.8692373768569977E-2</v>
      </c>
      <c r="AA420" s="76">
        <f t="shared" si="778"/>
        <v>1.5719313727998902E-5</v>
      </c>
      <c r="AB420" s="168"/>
      <c r="AC420" s="168"/>
      <c r="AD420" s="163">
        <f t="shared" si="705"/>
        <v>9668.6455605775609</v>
      </c>
      <c r="AE420" s="168">
        <f t="shared" si="790"/>
        <v>3.6040412208726683E-2</v>
      </c>
      <c r="AF420" s="163"/>
      <c r="AG420" s="163"/>
      <c r="AH420" s="163"/>
      <c r="AI420" s="163"/>
      <c r="AJ420" s="116">
        <f t="shared" si="791"/>
        <v>652.36121453191822</v>
      </c>
      <c r="AK420" s="114">
        <f>+AV420/$AX$20</f>
        <v>4.0681483609048447E-4</v>
      </c>
      <c r="AL420" s="115">
        <f t="shared" si="779"/>
        <v>0.27156602669983704</v>
      </c>
      <c r="AM420" s="115">
        <f t="shared" si="780"/>
        <v>0.39327832819864827</v>
      </c>
      <c r="AN420" s="115">
        <f t="shared" si="781"/>
        <v>0.33515564510151474</v>
      </c>
      <c r="AO420" s="115">
        <f t="shared" si="783"/>
        <v>1.0835615846802604E-2</v>
      </c>
      <c r="AP420" s="166">
        <f t="shared" si="794"/>
        <v>191.16441467783821</v>
      </c>
      <c r="AQ420" s="168">
        <f t="shared" si="795"/>
        <v>1.0835615846802611E-2</v>
      </c>
      <c r="AR420" s="69">
        <f>+AD420/$AF$20</f>
        <v>8.4094796747697807E-4</v>
      </c>
      <c r="AS420" s="169">
        <f t="shared" si="793"/>
        <v>9.1121891227299907E-6</v>
      </c>
      <c r="AT420" s="115"/>
      <c r="AU420" s="115"/>
      <c r="AV420" s="113">
        <f>IFERROR(INDEX('Total Customers'!$F$7:$AB$91,MATCH($C420,'Total Customers'!$D$7:$D$91,0),MATCH($G420,'Total Customers'!$F$5:$AB$5,0)),"NA")</f>
        <v>14821</v>
      </c>
      <c r="AW420" s="68">
        <f t="shared" si="751"/>
        <v>-2.1567710726177517E-3</v>
      </c>
      <c r="AX420" s="114"/>
      <c r="AY420" s="114"/>
      <c r="AZ420" s="116">
        <v>8659109</v>
      </c>
      <c r="BA420" s="116"/>
      <c r="BB420" s="166"/>
      <c r="BC420" s="166"/>
      <c r="BD420" s="166"/>
      <c r="BE420" s="166"/>
      <c r="BF420" s="166"/>
      <c r="BG420" s="166"/>
      <c r="BH420" s="166"/>
      <c r="BI420" s="113"/>
      <c r="BJ420" s="113"/>
      <c r="BK420" s="113">
        <f>INDEX('Dist. Plant Gas Additions'!$F$7:$AE$91,MATCH($C420,'Dist. Plant Gas Additions'!$D$7:$D$91,0),MATCH(Calculation!$G420,'Dist. Plant Gas Additions'!$F$5:$AE$5,0))</f>
        <v>2247</v>
      </c>
      <c r="BL420" s="113">
        <f>INDEX('Gen. Plant Additions'!$F$7:$AE$91,MATCH($C420,'Gen. Plant Additions'!$D$7:$D$91,0),MATCH(Calculation!$G420,'Gen. Plant Additions'!$F$5:$AE$5,0))</f>
        <v>297</v>
      </c>
      <c r="BM420" s="231">
        <f t="shared" si="758"/>
        <v>0.840889927663792</v>
      </c>
      <c r="BN420" s="61">
        <f t="shared" si="770"/>
        <v>249.74430851614622</v>
      </c>
      <c r="BO420" s="113">
        <f>INDEX('Dist Plant Depreciation'!$E$7:$AD$94,MATCH($C420,'Dist Plant Depreciation'!$D$7:$D$94,0),MATCH(Calculation!$G420,'Dist Plant Depreciation'!$E$5:$AD$5,0))</f>
        <v>12520</v>
      </c>
      <c r="BP420" s="113">
        <f>INDEX('Gen. Plant Depreciation'!$E$7:$AD$94,MATCH($C420,'Gen. Plant Depreciation'!$D$7:$D$94,0),MATCH(Calculation!$G420,'Gen. Plant Depreciation'!$E$5:$AD$5,0))</f>
        <v>6428</v>
      </c>
      <c r="BQ420" s="113"/>
      <c r="BR420" s="113"/>
      <c r="BS420" s="113"/>
      <c r="BT420" s="113"/>
      <c r="BU420" s="113"/>
      <c r="BV420" s="113"/>
      <c r="BW420" s="113">
        <f>INDEX('Gross Dx Plant'!$E$7:$AD$91,MATCH($C420,'Gross Dx Plant'!$D$7:$D$91,0),MATCH(Calculation!$G420,'Gross Dx Plant'!$E$5:$AD$5,0))</f>
        <v>56845</v>
      </c>
      <c r="BX420" s="113">
        <f>INDEX('Gross Gen Plant'!$E$7:$AD$91,MATCH($C420,'Gross Gen Plant'!$D$7:$D$91,0),MATCH(Calculation!$G420,'Gross Gen Plant'!$E$5:$AD$5,0))</f>
        <v>10756</v>
      </c>
      <c r="BY420" s="113">
        <f t="shared" si="753"/>
        <v>48653</v>
      </c>
      <c r="BZ420" s="113"/>
      <c r="CA420" s="116">
        <v>2015</v>
      </c>
      <c r="CB420" s="113"/>
      <c r="CC420" s="113"/>
      <c r="CD420" s="113"/>
      <c r="CE420" s="175"/>
      <c r="CF420" s="113">
        <f t="shared" si="759"/>
        <v>2544</v>
      </c>
      <c r="CG420" s="113">
        <f t="shared" si="760"/>
        <v>3.7654601830888605</v>
      </c>
      <c r="CH420" s="178">
        <v>0.88888888888888884</v>
      </c>
      <c r="CI420" s="61">
        <f>+CI403*CH420+CG404*CH419+CG405*CH418+CG406*CH417+CG407*CH416+CG408*CH415+CG409*CH414+CG410*CH413+CG411*CH412+CG412*CH411+CG413*CH410+CG414*CH409+CG415*CH408+CG416*CH407+CG417*CH406+CG418*CH405+CG419*CH404+CG420</f>
        <v>146.20589804020997</v>
      </c>
      <c r="CJ420" s="114">
        <f t="shared" si="761"/>
        <v>1.8692373768569977E-2</v>
      </c>
      <c r="CK420" s="114"/>
      <c r="CL420" s="169">
        <f t="shared" si="762"/>
        <v>7.3722731146320195E-3</v>
      </c>
      <c r="CM420" s="169">
        <f t="shared" si="771"/>
        <v>7.2567971116442283E-3</v>
      </c>
      <c r="CN420" s="114">
        <f>VLOOKUP($H420,RoR!$E:$F,2,FALSE)</f>
        <v>3.8866666666666674E-2</v>
      </c>
      <c r="CO420" s="169">
        <v>9.5709475431029478E-3</v>
      </c>
      <c r="CP420" s="169">
        <f t="shared" si="768"/>
        <v>2.9295719123563727E-2</v>
      </c>
      <c r="CQ420" s="169">
        <f t="shared" si="772"/>
        <v>2.3645144496889398E-2</v>
      </c>
      <c r="CR420" s="169">
        <f t="shared" si="773"/>
        <v>3.5270373279175926E-3</v>
      </c>
      <c r="CS420" s="179">
        <f t="shared" si="763"/>
        <v>0.85329623209999994</v>
      </c>
      <c r="CT420" s="180">
        <f t="shared" si="764"/>
        <v>1.3194352816994324</v>
      </c>
      <c r="CU420" s="180">
        <f t="shared" si="765"/>
        <v>0.33177530017152673</v>
      </c>
      <c r="CV420" s="180">
        <f t="shared" si="766"/>
        <v>0.78242572977668579</v>
      </c>
      <c r="CW420" s="180">
        <f t="shared" si="767"/>
        <v>0.34251158643433932</v>
      </c>
      <c r="CX420" s="181">
        <f>INDEX('State Tax Lookup'!$D$7:$Z$91,MATCH(Calculation!$C420,'State Tax Lookup'!$B$7:$B$91,0),MATCH($H420,'State Tax Lookup'!$D$6:$Z$6,0))</f>
        <v>0.39649667</v>
      </c>
      <c r="CY420" s="72">
        <v>0.37</v>
      </c>
      <c r="CZ420" s="70">
        <f t="shared" si="769"/>
        <v>22.582149627387345</v>
      </c>
      <c r="DA420" s="70">
        <v>20.279488671080099</v>
      </c>
      <c r="DB420" s="69">
        <f t="shared" si="774"/>
        <v>-1.570956842541512E-2</v>
      </c>
      <c r="DC420" s="111">
        <f>VLOOKUP($H420,RoR!$E:$F,2,FALSE)</f>
        <v>3.8866666666666674E-2</v>
      </c>
      <c r="DD420" s="216">
        <f>HLOOKUP($H420,'GDP-PI'!$D$8:$CQ$11,3,FALSE)</f>
        <v>9.5709475431029478E-3</v>
      </c>
      <c r="DE420" s="111">
        <f>VLOOKUP(H420,'HW Dx Data'!$E:$F,2,FALSE)</f>
        <v>675.61463308665782</v>
      </c>
      <c r="DF420" s="72">
        <f t="shared" si="784"/>
        <v>133.5</v>
      </c>
      <c r="DG420" s="69">
        <f t="shared" si="785"/>
        <v>3.1193095773504077E-2</v>
      </c>
      <c r="DH420" s="66">
        <f>HLOOKUP(H420,'GDP-PI'!$8:$9,2,FALSE)</f>
        <v>104.639</v>
      </c>
      <c r="DI420" s="69">
        <f t="shared" si="775"/>
        <v>9.5254361854427965E-3</v>
      </c>
      <c r="DJ420" s="160">
        <v>2.8874531128939519E-3</v>
      </c>
      <c r="EB420"/>
    </row>
    <row r="421" spans="1:132" s="160" customFormat="1" ht="21">
      <c r="A421" s="160" t="s">
        <v>185</v>
      </c>
      <c r="B421" s="161" t="s">
        <v>185</v>
      </c>
      <c r="C421" s="161">
        <v>4059459</v>
      </c>
      <c r="D421" s="161" t="s">
        <v>171</v>
      </c>
      <c r="E421" s="161" t="s">
        <v>3</v>
      </c>
      <c r="F421" s="161"/>
      <c r="G421" s="161" t="s">
        <v>133</v>
      </c>
      <c r="H421" s="162">
        <v>2016</v>
      </c>
      <c r="I421" s="163"/>
      <c r="J421" s="159">
        <f>IFERROR(INDEX('Labor Expenditures'!$F$7:$X$91,MATCH($C421,'Labor Expenditures'!$D$7:$D$91,0),MATCH($G421,'Labor Expenditures'!$F$5:$X$5,0)),"NA")</f>
        <v>2515.3910202612187</v>
      </c>
      <c r="K421" s="159">
        <f t="shared" si="776"/>
        <v>18.367221761673743</v>
      </c>
      <c r="L421" s="165">
        <f t="shared" si="782"/>
        <v>-6.8424407769815968E-2</v>
      </c>
      <c r="M421" s="76">
        <f t="shared" si="786"/>
        <v>-5.4156462114736018E-5</v>
      </c>
      <c r="N421" s="62">
        <f t="shared" si="792"/>
        <v>294.32791686819792</v>
      </c>
      <c r="O421" s="96">
        <f t="shared" si="787"/>
        <v>0.91763546125823525</v>
      </c>
      <c r="P421" s="96"/>
      <c r="Q421" s="159">
        <f>IFERROR(INDEX('Non-Labor Expenditures'!$F$7:$AB$91,MATCH($C421,'Non-Labor Expenditures'!$D$7:$D$91,0),MATCH($G421,'Non-Labor Expenditures'!$F$5:$AB$5,0)),"NA")</f>
        <v>3642.7560075754427</v>
      </c>
      <c r="R421" s="159">
        <f t="shared" si="777"/>
        <v>34.4514262651835</v>
      </c>
      <c r="S421" s="165">
        <f t="shared" si="788"/>
        <v>-5.3339080268238012E-2</v>
      </c>
      <c r="T421" s="165">
        <f t="shared" si="789"/>
        <v>-4.2216746537278282E-5</v>
      </c>
      <c r="U421" s="165"/>
      <c r="V421" s="165"/>
      <c r="W421" s="159">
        <f t="shared" si="757"/>
        <v>3258.663353899231</v>
      </c>
      <c r="X421" s="163"/>
      <c r="Y421" s="167">
        <v>160.66416069339874</v>
      </c>
      <c r="Z421" s="168">
        <v>9.430033914261092E-2</v>
      </c>
      <c r="AA421" s="76">
        <f t="shared" si="778"/>
        <v>7.463671094331932E-5</v>
      </c>
      <c r="AB421" s="168"/>
      <c r="AC421" s="168"/>
      <c r="AD421" s="163">
        <f t="shared" si="705"/>
        <v>9416.8103817358933</v>
      </c>
      <c r="AE421" s="168">
        <f t="shared" si="790"/>
        <v>-2.6391802945536346E-2</v>
      </c>
      <c r="AF421" s="163"/>
      <c r="AG421" s="163"/>
      <c r="AH421" s="163"/>
      <c r="AI421" s="163"/>
      <c r="AJ421" s="116">
        <f t="shared" si="791"/>
        <v>640.38152884977171</v>
      </c>
      <c r="AK421" s="114">
        <f>+AV421/$AX$21</f>
        <v>4.0014287046086824E-4</v>
      </c>
      <c r="AL421" s="115">
        <f t="shared" si="779"/>
        <v>0.26711709361164093</v>
      </c>
      <c r="AM421" s="115">
        <f t="shared" si="780"/>
        <v>0.38683544214085974</v>
      </c>
      <c r="AN421" s="115">
        <f t="shared" si="781"/>
        <v>0.34604746424749921</v>
      </c>
      <c r="AO421" s="115">
        <f t="shared" si="783"/>
        <v>-7.1159701303965608E-3</v>
      </c>
      <c r="AP421" s="166">
        <f t="shared" si="794"/>
        <v>189.80892295214684</v>
      </c>
      <c r="AQ421" s="168">
        <f t="shared" si="795"/>
        <v>-7.1159701303965955E-3</v>
      </c>
      <c r="AR421" s="69">
        <f>+AD421/$AF$21</f>
        <v>7.9147871176206278E-4</v>
      </c>
      <c r="AS421" s="169">
        <f t="shared" si="793"/>
        <v>-5.6321388717436152E-6</v>
      </c>
      <c r="AT421" s="115"/>
      <c r="AU421" s="115"/>
      <c r="AV421" s="113">
        <f>IFERROR(INDEX('Total Customers'!$F$7:$AB$91,MATCH($C421,'Total Customers'!$D$7:$D$91,0),MATCH($G421,'Total Customers'!$F$5:$AB$5,0)),"NA")</f>
        <v>14705</v>
      </c>
      <c r="AW421" s="68">
        <f t="shared" si="751"/>
        <v>-7.8575219688195811E-3</v>
      </c>
      <c r="AX421" s="114"/>
      <c r="AY421" s="114"/>
      <c r="AZ421" s="116">
        <v>8759079</v>
      </c>
      <c r="BA421" s="116"/>
      <c r="BB421" s="166"/>
      <c r="BC421" s="166"/>
      <c r="BD421" s="166"/>
      <c r="BE421" s="166"/>
      <c r="BF421" s="166"/>
      <c r="BG421" s="166"/>
      <c r="BH421" s="166"/>
      <c r="BI421" s="113"/>
      <c r="BJ421" s="113"/>
      <c r="BK421" s="113">
        <f>INDEX('Dist. Plant Gas Additions'!$F$7:$AE$91,MATCH($C421,'Dist. Plant Gas Additions'!$D$7:$D$91,0),MATCH(Calculation!$G421,'Dist. Plant Gas Additions'!$F$5:$AE$5,0))</f>
        <v>10186</v>
      </c>
      <c r="BL421" s="113">
        <f>INDEX('Gen. Plant Additions'!$F$7:$AE$91,MATCH($C421,'Gen. Plant Additions'!$D$7:$D$91,0),MATCH(Calculation!$G421,'Gen. Plant Additions'!$F$5:$AE$5,0))</f>
        <v>271</v>
      </c>
      <c r="BM421" s="231">
        <f t="shared" si="758"/>
        <v>0.85375366054439217</v>
      </c>
      <c r="BN421" s="61">
        <f t="shared" si="770"/>
        <v>231.36724200753028</v>
      </c>
      <c r="BO421" s="113">
        <f>INDEX('Dist Plant Depreciation'!$E$7:$AD$94,MATCH($C421,'Dist Plant Depreciation'!$D$7:$D$94,0),MATCH(Calculation!$G421,'Dist Plant Depreciation'!$E$5:$AD$5,0))</f>
        <v>9450</v>
      </c>
      <c r="BP421" s="113">
        <f>INDEX('Gen. Plant Depreciation'!$E$7:$AD$94,MATCH($C421,'Gen. Plant Depreciation'!$D$7:$D$94,0),MATCH(Calculation!$G421,'Gen. Plant Depreciation'!$E$5:$AD$5,0))</f>
        <v>10250</v>
      </c>
      <c r="BQ421" s="113"/>
      <c r="BR421" s="113"/>
      <c r="BS421" s="113"/>
      <c r="BT421" s="113"/>
      <c r="BU421" s="113"/>
      <c r="BV421" s="113"/>
      <c r="BW421" s="113">
        <f>INDEX('Gross Dx Plant'!$E$7:$AD$91,MATCH($C421,'Gross Dx Plant'!$D$7:$D$91,0),MATCH(Calculation!$G421,'Gross Dx Plant'!$E$5:$AD$5,0))</f>
        <v>63264</v>
      </c>
      <c r="BX421" s="113">
        <f>INDEX('Gross Gen Plant'!$E$7:$AD$91,MATCH($C421,'Gross Gen Plant'!$D$7:$D$91,0),MATCH(Calculation!$G421,'Gross Gen Plant'!$E$5:$AD$5,0))</f>
        <v>10837</v>
      </c>
      <c r="BY421" s="113">
        <f t="shared" si="753"/>
        <v>54401</v>
      </c>
      <c r="BZ421" s="113"/>
      <c r="CA421" s="116">
        <v>2016</v>
      </c>
      <c r="CB421" s="113"/>
      <c r="CC421" s="113"/>
      <c r="CD421" s="113"/>
      <c r="CE421" s="175"/>
      <c r="CF421" s="113">
        <f t="shared" si="759"/>
        <v>10457</v>
      </c>
      <c r="CG421" s="113">
        <f t="shared" si="760"/>
        <v>15.573609985140431</v>
      </c>
      <c r="CH421" s="178">
        <v>0.88</v>
      </c>
      <c r="CI421" s="61">
        <f>+CI403*CH421+CG404*CH420+CG405*CH419+CG406*CH418+CG407*CH417+CG408*CH416+CG409*CH415+CG410*CH414+CG411*CH413+CG412*CH412+CG413*CH411+CG414*CH410+CG415*CH409+CG416*CH408+CG417*CH407+CG418*CH406+CG419*CH405+CG420*CH404+CG421</f>
        <v>160.66416069339874</v>
      </c>
      <c r="CJ421" s="114">
        <f t="shared" si="761"/>
        <v>9.430033914261092E-2</v>
      </c>
      <c r="CK421" s="114"/>
      <c r="CL421" s="169">
        <f t="shared" si="762"/>
        <v>7.6286069638922252E-3</v>
      </c>
      <c r="CM421" s="169">
        <f t="shared" si="771"/>
        <v>7.4188581384432963E-3</v>
      </c>
      <c r="CN421" s="114">
        <f>VLOOKUP($H421,RoR!$E:$F,2,FALSE)</f>
        <v>3.6658333333333334E-2</v>
      </c>
      <c r="CO421" s="169">
        <v>1.0483662879041455E-2</v>
      </c>
      <c r="CP421" s="169">
        <f t="shared" si="768"/>
        <v>2.6174670454291879E-2</v>
      </c>
      <c r="CQ421" s="169">
        <f t="shared" si="772"/>
        <v>2.348308347009033E-2</v>
      </c>
      <c r="CR421" s="169">
        <f t="shared" si="773"/>
        <v>4.301363574220729E-3</v>
      </c>
      <c r="CS421" s="179">
        <f t="shared" si="763"/>
        <v>0.85329623209999994</v>
      </c>
      <c r="CT421" s="180">
        <f t="shared" si="764"/>
        <v>1.3989193348138562</v>
      </c>
      <c r="CU421" s="180">
        <f t="shared" si="765"/>
        <v>0.29302682427824522</v>
      </c>
      <c r="CV421" s="180">
        <f t="shared" si="766"/>
        <v>0.76309497491941802</v>
      </c>
      <c r="CW421" s="180">
        <f t="shared" si="767"/>
        <v>0.31280857135128509</v>
      </c>
      <c r="CX421" s="181">
        <f>INDEX('State Tax Lookup'!$D$7:$Z$91,MATCH(Calculation!$C421,'State Tax Lookup'!$B$7:$B$91,0),MATCH($H421,'State Tax Lookup'!$D$6:$Z$6,0))</f>
        <v>0.39649667</v>
      </c>
      <c r="CY421" s="72">
        <v>0.37</v>
      </c>
      <c r="CZ421" s="70">
        <f t="shared" si="769"/>
        <v>22.288179872217082</v>
      </c>
      <c r="DA421" s="70">
        <v>19.909765876209278</v>
      </c>
      <c r="DB421" s="69">
        <f t="shared" si="774"/>
        <v>-1.310326732816326E-2</v>
      </c>
      <c r="DC421" s="111">
        <f>VLOOKUP($H421,RoR!$E:$F,2,FALSE)</f>
        <v>3.6658333333333334E-2</v>
      </c>
      <c r="DD421" s="216">
        <f>HLOOKUP($H421,'GDP-PI'!$D$8:$CQ$11,3,FALSE)</f>
        <v>1.0483662879041455E-2</v>
      </c>
      <c r="DE421" s="111">
        <f>VLOOKUP(H421,'HW Dx Data'!$E:$F,2,FALSE)</f>
        <v>671.45639385971219</v>
      </c>
      <c r="DF421" s="72">
        <f t="shared" si="784"/>
        <v>136.94999999999999</v>
      </c>
      <c r="DG421" s="69">
        <f t="shared" si="785"/>
        <v>2.5514417868782811E-2</v>
      </c>
      <c r="DH421" s="66">
        <f>HLOOKUP(H421,'GDP-PI'!$8:$9,2,FALSE)</f>
        <v>105.736</v>
      </c>
      <c r="DI421" s="69">
        <f t="shared" si="775"/>
        <v>1.0429090367205095E-2</v>
      </c>
      <c r="DJ421" s="160">
        <v>1.2659506868757461E-2</v>
      </c>
      <c r="EB421"/>
    </row>
    <row r="422" spans="1:132" s="160" customFormat="1" ht="21">
      <c r="A422" s="160" t="s">
        <v>185</v>
      </c>
      <c r="B422" s="161" t="s">
        <v>185</v>
      </c>
      <c r="C422" s="161">
        <v>4059459</v>
      </c>
      <c r="D422" s="161" t="s">
        <v>171</v>
      </c>
      <c r="E422" s="161" t="s">
        <v>3</v>
      </c>
      <c r="F422" s="161"/>
      <c r="G422" s="161" t="s">
        <v>135</v>
      </c>
      <c r="H422" s="162">
        <v>2017</v>
      </c>
      <c r="I422" s="163"/>
      <c r="J422" s="159">
        <f>IFERROR(INDEX('Labor Expenditures'!$F$7:$X$91,MATCH($C422,'Labor Expenditures'!$D$7:$D$91,0),MATCH($G422,'Labor Expenditures'!$F$5:$X$5,0)),"NA")</f>
        <v>2819.7500745346247</v>
      </c>
      <c r="K422" s="159">
        <f t="shared" si="776"/>
        <v>20.07654022452563</v>
      </c>
      <c r="L422" s="165">
        <f t="shared" si="782"/>
        <v>8.8984330410136772E-2</v>
      </c>
      <c r="M422" s="76">
        <f t="shared" si="786"/>
        <v>7.6299312645368507E-5</v>
      </c>
      <c r="N422" s="62">
        <f t="shared" si="792"/>
        <v>163.94187772149269</v>
      </c>
      <c r="O422" s="96">
        <f t="shared" si="787"/>
        <v>-0.58518254840924833</v>
      </c>
      <c r="P422" s="96"/>
      <c r="Q422" s="159">
        <f>IFERROR(INDEX('Non-Labor Expenditures'!$F$7:$AB$91,MATCH($C422,'Non-Labor Expenditures'!$D$7:$D$91,0),MATCH($G422,'Non-Labor Expenditures'!$F$5:$AB$5,0)),"NA")</f>
        <v>4083.5247645933046</v>
      </c>
      <c r="R422" s="159">
        <f t="shared" si="777"/>
        <v>37.897789947130924</v>
      </c>
      <c r="S422" s="165">
        <f t="shared" si="788"/>
        <v>9.5342400023557261E-2</v>
      </c>
      <c r="T422" s="165">
        <f t="shared" si="789"/>
        <v>8.1751017895264111E-5</v>
      </c>
      <c r="U422" s="165"/>
      <c r="V422" s="165"/>
      <c r="W422" s="159">
        <f t="shared" si="757"/>
        <v>3249.5525200085744</v>
      </c>
      <c r="X422" s="163"/>
      <c r="Y422" s="167">
        <v>165.07956125380861</v>
      </c>
      <c r="Z422" s="168">
        <v>2.7111319184783132E-2</v>
      </c>
      <c r="AA422" s="76">
        <f t="shared" si="778"/>
        <v>2.3246508786141304E-5</v>
      </c>
      <c r="AB422" s="168"/>
      <c r="AC422" s="168"/>
      <c r="AD422" s="163">
        <f t="shared" si="705"/>
        <v>10152.827359136503</v>
      </c>
      <c r="AE422" s="168">
        <f t="shared" si="790"/>
        <v>7.5255793663096079E-2</v>
      </c>
      <c r="AF422" s="163"/>
      <c r="AG422" s="163"/>
      <c r="AH422" s="163"/>
      <c r="AI422" s="163"/>
      <c r="AJ422" s="116">
        <f t="shared" si="791"/>
        <v>680.89513507722506</v>
      </c>
      <c r="AK422" s="114">
        <f>+AV422/$AX$22</f>
        <v>4.0269995588152049E-4</v>
      </c>
      <c r="AL422" s="115">
        <f t="shared" si="779"/>
        <v>0.27773052518194735</v>
      </c>
      <c r="AM422" s="115">
        <f t="shared" si="780"/>
        <v>0.40220567337024116</v>
      </c>
      <c r="AN422" s="115">
        <f t="shared" si="781"/>
        <v>0.32006380144781155</v>
      </c>
      <c r="AO422" s="115">
        <f t="shared" si="783"/>
        <v>7.08855646704218E-2</v>
      </c>
      <c r="AP422" s="166">
        <f t="shared" si="794"/>
        <v>203.75197842475291</v>
      </c>
      <c r="AQ422" s="168">
        <f t="shared" si="795"/>
        <v>7.0885564670421869E-2</v>
      </c>
      <c r="AR422" s="69">
        <f>+AD422/$AF$22</f>
        <v>8.5744661215854661E-4</v>
      </c>
      <c r="AS422" s="169">
        <f t="shared" si="793"/>
        <v>6.0780587277598795E-5</v>
      </c>
      <c r="AT422" s="115"/>
      <c r="AU422" s="115"/>
      <c r="AV422" s="113">
        <f>IFERROR(INDEX('Total Customers'!$F$7:$AB$91,MATCH($C422,'Total Customers'!$D$7:$D$91,0),MATCH($G422,'Total Customers'!$F$5:$AB$5,0)),"NA")</f>
        <v>14911</v>
      </c>
      <c r="AW422" s="68">
        <f t="shared" si="751"/>
        <v>1.3911623602811922E-2</v>
      </c>
      <c r="AX422" s="114"/>
      <c r="AY422" s="114"/>
      <c r="AZ422" s="116">
        <v>8824403</v>
      </c>
      <c r="BA422" s="116"/>
      <c r="BB422" s="166"/>
      <c r="BC422" s="166"/>
      <c r="BD422" s="166"/>
      <c r="BE422" s="166"/>
      <c r="BF422" s="166"/>
      <c r="BG422" s="166"/>
      <c r="BH422" s="166"/>
      <c r="BI422" s="113"/>
      <c r="BJ422" s="113"/>
      <c r="BK422" s="113">
        <f>INDEX('Dist. Plant Gas Additions'!$F$7:$AE$91,MATCH($C422,'Dist. Plant Gas Additions'!$D$7:$D$91,0),MATCH(Calculation!$G422,'Dist. Plant Gas Additions'!$F$5:$AE$5,0))</f>
        <v>3554</v>
      </c>
      <c r="BL422" s="113">
        <f>INDEX('Gen. Plant Additions'!$F$7:$AE$91,MATCH($C422,'Gen. Plant Additions'!$D$7:$D$91,0),MATCH(Calculation!$G422,'Gen. Plant Additions'!$F$5:$AE$5,0))</f>
        <v>471</v>
      </c>
      <c r="BM422" s="231">
        <f t="shared" si="758"/>
        <v>0.85615976594797427</v>
      </c>
      <c r="BN422" s="61">
        <f t="shared" si="770"/>
        <v>403.2512497614959</v>
      </c>
      <c r="BO422" s="113">
        <f>INDEX('Dist Plant Depreciation'!$E$7:$AD$94,MATCH($C422,'Dist Plant Depreciation'!$D$7:$D$94,0),MATCH(Calculation!$G422,'Dist Plant Depreciation'!$E$5:$AD$5,0))</f>
        <v>6228</v>
      </c>
      <c r="BP422" s="113">
        <f>INDEX('Gen. Plant Depreciation'!$E$7:$AD$94,MATCH($C422,'Gen. Plant Depreciation'!$D$7:$D$94,0),MATCH(Calculation!$G422,'Gen. Plant Depreciation'!$E$5:$AD$5,0))</f>
        <v>8027</v>
      </c>
      <c r="BQ422" s="113"/>
      <c r="BR422" s="113"/>
      <c r="BS422" s="113"/>
      <c r="BT422" s="113"/>
      <c r="BU422" s="113"/>
      <c r="BV422" s="113"/>
      <c r="BW422" s="113">
        <f>INDEX('Gross Dx Plant'!$E$7:$AD$91,MATCH($C422,'Gross Dx Plant'!$D$7:$D$91,0),MATCH(Calculation!$G422,'Gross Dx Plant'!$E$5:$AD$5,0))</f>
        <v>67307</v>
      </c>
      <c r="BX422" s="113">
        <f>INDEX('Gross Gen Plant'!$E$7:$AD$91,MATCH($C422,'Gross Gen Plant'!$D$7:$D$91,0),MATCH(Calculation!$G422,'Gross Gen Plant'!$E$5:$AD$5,0))</f>
        <v>11308</v>
      </c>
      <c r="BY422" s="113">
        <f t="shared" si="753"/>
        <v>64360</v>
      </c>
      <c r="BZ422" s="113"/>
      <c r="CA422" s="116">
        <v>2017</v>
      </c>
      <c r="CB422" s="113"/>
      <c r="CC422" s="113"/>
      <c r="CD422" s="113"/>
      <c r="CE422" s="175"/>
      <c r="CF422" s="113">
        <f t="shared" si="759"/>
        <v>4025</v>
      </c>
      <c r="CG422" s="113">
        <f t="shared" si="760"/>
        <v>5.6496890945660425</v>
      </c>
      <c r="CH422" s="178">
        <v>0.87074829931972786</v>
      </c>
      <c r="CI422" s="61">
        <f>+CI403*CH422+CG404*CH421+CG405*CH420+CG406*CH419+CG407*CH418+CG408*CH417+CG409*CH416+CG410*CH415+CG411*CH414+CG412*CH413+CG413*CH412+CG414*CH411+CG415*CH410+CG416*CH409+CG417*CH408+CG418*CH407+CG419*CH406+CG420*CH405+CG421*CH404+CG422</f>
        <v>165.07956125380861</v>
      </c>
      <c r="CJ422" s="114">
        <f t="shared" si="761"/>
        <v>2.7111319184783132E-2</v>
      </c>
      <c r="CK422" s="114"/>
      <c r="CL422" s="169">
        <f t="shared" si="762"/>
        <v>7.6824136063027518E-3</v>
      </c>
      <c r="CM422" s="169">
        <f t="shared" si="771"/>
        <v>7.5610978949423313E-3</v>
      </c>
      <c r="CN422" s="114">
        <f>VLOOKUP($H422,RoR!$E:$F,2,FALSE)</f>
        <v>3.7433333333333339E-2</v>
      </c>
      <c r="CO422" s="169">
        <v>1.9056896421275615E-2</v>
      </c>
      <c r="CP422" s="169">
        <f t="shared" si="768"/>
        <v>1.8376436912057724E-2</v>
      </c>
      <c r="CQ422" s="169">
        <f t="shared" si="772"/>
        <v>2.3340843713591294E-2</v>
      </c>
      <c r="CR422" s="169">
        <f t="shared" si="773"/>
        <v>1.3976271617800498E-2</v>
      </c>
      <c r="CS422" s="179">
        <f t="shared" si="763"/>
        <v>0.90509623210000001</v>
      </c>
      <c r="CT422" s="180">
        <f t="shared" si="764"/>
        <v>1.3699568463593395</v>
      </c>
      <c r="CU422" s="180">
        <f t="shared" si="765"/>
        <v>0.30714603739982199</v>
      </c>
      <c r="CV422" s="180">
        <f t="shared" si="766"/>
        <v>0.77007188472689425</v>
      </c>
      <c r="CW422" s="180">
        <f t="shared" si="767"/>
        <v>0.32402839633793828</v>
      </c>
      <c r="CX422" s="181">
        <f>INDEX('State Tax Lookup'!$D$7:$Z$91,MATCH(Calculation!$C422,'State Tax Lookup'!$B$7:$B$91,0),MATCH($H422,'State Tax Lookup'!$D$6:$Z$6,0))</f>
        <v>0.25649666999999998</v>
      </c>
      <c r="CY422" s="72">
        <v>0.37</v>
      </c>
      <c r="CZ422" s="70">
        <f t="shared" si="769"/>
        <v>20.225746090379257</v>
      </c>
      <c r="DA422" s="70">
        <v>18.231812616449311</v>
      </c>
      <c r="DB422" s="69">
        <f t="shared" si="774"/>
        <v>-9.7100135590275943E-2</v>
      </c>
      <c r="DC422" s="111">
        <f>VLOOKUP($H422,RoR!$E:$F,2,FALSE)</f>
        <v>3.7433333333333339E-2</v>
      </c>
      <c r="DD422" s="216">
        <f>HLOOKUP($H422,'GDP-PI'!$D$8:$CQ$11,3,FALSE)</f>
        <v>1.9056896421275615E-2</v>
      </c>
      <c r="DE422" s="111">
        <f>VLOOKUP(H422,'HW Dx Data'!$E:$F,2,FALSE)</f>
        <v>712.42858370229726</v>
      </c>
      <c r="DF422" s="72">
        <f t="shared" si="784"/>
        <v>140.44999999999999</v>
      </c>
      <c r="DG422" s="69">
        <f t="shared" si="785"/>
        <v>2.5235657841165486E-2</v>
      </c>
      <c r="DH422" s="66">
        <f>HLOOKUP(H422,'GDP-PI'!$8:$9,2,FALSE)</f>
        <v>107.751</v>
      </c>
      <c r="DI422" s="69">
        <f t="shared" si="775"/>
        <v>1.8877588227745139E-2</v>
      </c>
      <c r="DJ422" s="160">
        <v>0.10771265695923289</v>
      </c>
      <c r="EB422"/>
    </row>
    <row r="423" spans="1:132" s="160" customFormat="1" ht="21">
      <c r="A423" s="160" t="s">
        <v>185</v>
      </c>
      <c r="B423" s="161" t="s">
        <v>185</v>
      </c>
      <c r="C423" s="161">
        <v>4059459</v>
      </c>
      <c r="D423" s="161" t="s">
        <v>171</v>
      </c>
      <c r="E423" s="161" t="s">
        <v>3</v>
      </c>
      <c r="F423" s="161"/>
      <c r="G423" s="161" t="s">
        <v>136</v>
      </c>
      <c r="H423" s="162">
        <v>2018</v>
      </c>
      <c r="I423" s="163"/>
      <c r="J423" s="159">
        <f>IFERROR(INDEX('Labor Expenditures'!$F$7:$X$91,MATCH($C423,'Labor Expenditures'!$D$7:$D$91,0),MATCH($G423,'Labor Expenditures'!$F$5:$X$5,0)),"NA")</f>
        <v>2843.0428550716942</v>
      </c>
      <c r="K423" s="159">
        <f t="shared" si="776"/>
        <v>19.681847387135303</v>
      </c>
      <c r="L423" s="165">
        <f t="shared" si="782"/>
        <v>-1.9855221886836166E-2</v>
      </c>
      <c r="M423" s="76">
        <f t="shared" si="786"/>
        <v>-1.6146564569140577E-5</v>
      </c>
      <c r="N423" s="62">
        <f t="shared" si="792"/>
        <v>113.13708055584199</v>
      </c>
      <c r="O423" s="96">
        <f t="shared" si="787"/>
        <v>-0.37091177510856005</v>
      </c>
      <c r="P423" s="96"/>
      <c r="Q423" s="159">
        <f>IFERROR(INDEX('Non-Labor Expenditures'!$F$7:$AB$91,MATCH($C423,'Non-Labor Expenditures'!$D$7:$D$91,0),MATCH($G423,'Non-Labor Expenditures'!$F$5:$AB$5,0)),"NA")</f>
        <v>4117.2570613022808</v>
      </c>
      <c r="R423" s="159">
        <f t="shared" si="777"/>
        <v>37.320362768099571</v>
      </c>
      <c r="S423" s="165">
        <f t="shared" si="788"/>
        <v>-1.5353701241353249E-2</v>
      </c>
      <c r="T423" s="165">
        <f t="shared" si="789"/>
        <v>-1.2485860388856488E-5</v>
      </c>
      <c r="U423" s="165"/>
      <c r="V423" s="165"/>
      <c r="W423" s="159">
        <f t="shared" si="757"/>
        <v>3506.2376335756198</v>
      </c>
      <c r="X423" s="163"/>
      <c r="Y423" s="167">
        <v>172.80509775052292</v>
      </c>
      <c r="Z423" s="168">
        <v>4.5736809704252014E-2</v>
      </c>
      <c r="AA423" s="76">
        <f t="shared" si="778"/>
        <v>3.719386040031183E-5</v>
      </c>
      <c r="AB423" s="168"/>
      <c r="AC423" s="168"/>
      <c r="AD423" s="163">
        <f t="shared" si="705"/>
        <v>10466.537549949595</v>
      </c>
      <c r="AE423" s="168">
        <f t="shared" si="790"/>
        <v>3.0431043929692533E-2</v>
      </c>
      <c r="AF423" s="163"/>
      <c r="AG423" s="163"/>
      <c r="AH423" s="163"/>
      <c r="AI423" s="163"/>
      <c r="AJ423" s="116">
        <f t="shared" si="791"/>
        <v>700.47768370697338</v>
      </c>
      <c r="AK423" s="114">
        <f>+AV423/$AX$23</f>
        <v>4.0000304111534405E-4</v>
      </c>
      <c r="AL423" s="115">
        <f t="shared" si="779"/>
        <v>0.27163164910112858</v>
      </c>
      <c r="AM423" s="115">
        <f t="shared" si="780"/>
        <v>0.39337336169229231</v>
      </c>
      <c r="AN423" s="115">
        <f t="shared" si="781"/>
        <v>0.33499498920657916</v>
      </c>
      <c r="AO423" s="115">
        <f t="shared" si="783"/>
        <v>3.4187542841989278E-3</v>
      </c>
      <c r="AP423" s="166">
        <f t="shared" si="794"/>
        <v>204.44974844641109</v>
      </c>
      <c r="AQ423" s="168">
        <f t="shared" si="795"/>
        <v>3.4187542841990354E-3</v>
      </c>
      <c r="AR423" s="69">
        <f>+AD423/$AF$23</f>
        <v>8.13215015232119E-4</v>
      </c>
      <c r="AS423" s="169">
        <f t="shared" si="793"/>
        <v>2.7801823172997906E-6</v>
      </c>
      <c r="AT423" s="115"/>
      <c r="AU423" s="115"/>
      <c r="AV423" s="113">
        <f>IFERROR(INDEX('Total Customers'!$F$7:$AB$91,MATCH($C423,'Total Customers'!$D$7:$D$91,0),MATCH($G423,'Total Customers'!$F$5:$AB$5,0)),"NA")</f>
        <v>14942</v>
      </c>
      <c r="AW423" s="68">
        <f t="shared" si="751"/>
        <v>2.0768439448390691E-3</v>
      </c>
      <c r="AX423" s="114"/>
      <c r="AY423" s="114"/>
      <c r="AZ423" s="116">
        <v>8911356</v>
      </c>
      <c r="BA423" s="116"/>
      <c r="BB423" s="166"/>
      <c r="BC423" s="166"/>
      <c r="BD423" s="166"/>
      <c r="BE423" s="166"/>
      <c r="BF423" s="166"/>
      <c r="BG423" s="166"/>
      <c r="BH423" s="166"/>
      <c r="BI423" s="113"/>
      <c r="BJ423" s="113"/>
      <c r="BK423" s="113">
        <f>INDEX('Dist. Plant Gas Additions'!$F$7:$AE$91,MATCH($C423,'Dist. Plant Gas Additions'!$D$7:$D$91,0),MATCH(Calculation!$G423,'Dist. Plant Gas Additions'!$F$5:$AE$5,0))</f>
        <v>6215</v>
      </c>
      <c r="BL423" s="113">
        <f>INDEX('Gen. Plant Additions'!$F$7:$AE$91,MATCH($C423,'Gen. Plant Additions'!$D$7:$D$91,0),MATCH(Calculation!$G423,'Gen. Plant Additions'!$F$5:$AE$5,0))</f>
        <v>607</v>
      </c>
      <c r="BM423" s="231">
        <f t="shared" si="758"/>
        <v>0.86027716342760341</v>
      </c>
      <c r="BN423" s="61">
        <f t="shared" si="770"/>
        <v>522.18823820055525</v>
      </c>
      <c r="BO423" s="113">
        <f>INDEX('Dist Plant Depreciation'!$E$7:$AD$94,MATCH($C423,'Dist Plant Depreciation'!$D$7:$D$94,0),MATCH(Calculation!$G423,'Dist Plant Depreciation'!$E$5:$AD$5,0))</f>
        <v>6688</v>
      </c>
      <c r="BP423" s="113">
        <f>INDEX('Gen. Plant Depreciation'!$E$7:$AD$94,MATCH($C423,'Gen. Plant Depreciation'!$D$7:$D$94,0),MATCH(Calculation!$G423,'Gen. Plant Depreciation'!$E$5:$AD$5,0))</f>
        <v>8501</v>
      </c>
      <c r="BQ423" s="113"/>
      <c r="BR423" s="113"/>
      <c r="BS423" s="113"/>
      <c r="BT423" s="113"/>
      <c r="BU423" s="113"/>
      <c r="BV423" s="113"/>
      <c r="BW423" s="113">
        <f>INDEX('Gross Dx Plant'!$E$7:$AD$91,MATCH($C423,'Gross Dx Plant'!$D$7:$D$91,0),MATCH(Calculation!$G423,'Gross Dx Plant'!$E$5:$AD$5,0))</f>
        <v>73127</v>
      </c>
      <c r="BX423" s="113">
        <f>INDEX('Gross Gen Plant'!$E$7:$AD$91,MATCH($C423,'Gross Gen Plant'!$D$7:$D$91,0),MATCH(Calculation!$G423,'Gross Gen Plant'!$E$5:$AD$5,0))</f>
        <v>11877</v>
      </c>
      <c r="BY423" s="113">
        <f t="shared" si="753"/>
        <v>69815</v>
      </c>
      <c r="BZ423" s="113"/>
      <c r="CA423" s="116">
        <v>2018</v>
      </c>
      <c r="CB423" s="113"/>
      <c r="CC423" s="113"/>
      <c r="CD423" s="113"/>
      <c r="CE423" s="175"/>
      <c r="CF423" s="113">
        <f t="shared" si="759"/>
        <v>6822</v>
      </c>
      <c r="CG423" s="113">
        <f t="shared" si="760"/>
        <v>9.0341257025845021</v>
      </c>
      <c r="CH423" s="178">
        <v>0.86111111111111116</v>
      </c>
      <c r="CI423" s="61">
        <f>+CI403*CH423++CG404*CH422+CG405*CH421+CG406*CH420+CG407*CH419+CG408*CH418+CG409*CH417+CG410*CH416+CG411*CH415+CG412*CH414+CG413*CH413+CG414*CH412+CG415*CH411+CG416*CH410+CG417*CH409+CG418*CH408+CG419*CH407+CG420*CH406+CG421*CH405+CG422*CH404+CG423</f>
        <v>172.80509775052292</v>
      </c>
      <c r="CJ423" s="114">
        <f t="shared" si="761"/>
        <v>4.5736809704252014E-2</v>
      </c>
      <c r="CK423" s="114"/>
      <c r="CL423" s="169">
        <f t="shared" si="762"/>
        <v>7.9270213461389294E-3</v>
      </c>
      <c r="CM423" s="169">
        <f t="shared" si="771"/>
        <v>7.7460139721113016E-3</v>
      </c>
      <c r="CN423" s="114">
        <f>VLOOKUP($H423,RoR!$E:$F,2,FALSE)</f>
        <v>3.9299999999999995E-2</v>
      </c>
      <c r="CO423" s="169">
        <v>2.386056741932796E-2</v>
      </c>
      <c r="CP423" s="169">
        <f t="shared" si="768"/>
        <v>1.5439432580672034E-2</v>
      </c>
      <c r="CQ423" s="169">
        <f t="shared" si="772"/>
        <v>2.3155927636422324E-2</v>
      </c>
      <c r="CR423" s="169">
        <f t="shared" si="773"/>
        <v>3.8270792163076606E-2</v>
      </c>
      <c r="CS423" s="179">
        <f t="shared" si="763"/>
        <v>0.90509623210000001</v>
      </c>
      <c r="CT423" s="180">
        <f t="shared" si="764"/>
        <v>1.3048868010700074</v>
      </c>
      <c r="CU423" s="180">
        <f t="shared" si="765"/>
        <v>0.33886768447837151</v>
      </c>
      <c r="CV423" s="180">
        <f t="shared" si="766"/>
        <v>0.78602506232557801</v>
      </c>
      <c r="CW423" s="180">
        <f t="shared" si="767"/>
        <v>0.34756768162358759</v>
      </c>
      <c r="CX423" s="181">
        <f>INDEX('State Tax Lookup'!$D$7:$Z$91,MATCH(Calculation!$C423,'State Tax Lookup'!$B$7:$B$91,0),MATCH($H423,'State Tax Lookup'!$D$6:$Z$6,0))</f>
        <v>0.25649666999999998</v>
      </c>
      <c r="CY423" s="72">
        <v>0.37</v>
      </c>
      <c r="CZ423" s="70">
        <f t="shared" si="769"/>
        <v>21.239683501368201</v>
      </c>
      <c r="DA423" s="70">
        <v>19.050901628905343</v>
      </c>
      <c r="DB423" s="69">
        <f t="shared" si="774"/>
        <v>4.8914943421081498E-2</v>
      </c>
      <c r="DC423" s="111">
        <f>VLOOKUP($H423,RoR!$E:$F,2,FALSE)</f>
        <v>3.9299999999999995E-2</v>
      </c>
      <c r="DD423" s="216">
        <f>HLOOKUP($H423,'GDP-PI'!$D$8:$CQ$11,3,FALSE)</f>
        <v>2.386056741932796E-2</v>
      </c>
      <c r="DE423" s="111">
        <f>VLOOKUP(H423,'HW Dx Data'!$E:$F,2,FALSE)</f>
        <v>755.13671434174842</v>
      </c>
      <c r="DF423" s="72">
        <f t="shared" si="784"/>
        <v>144.44999999999999</v>
      </c>
      <c r="DG423" s="69">
        <f t="shared" si="785"/>
        <v>2.80818733619915E-2</v>
      </c>
      <c r="DH423" s="66">
        <f>HLOOKUP(H423,'GDP-PI'!$8:$9,2,FALSE)</f>
        <v>110.322</v>
      </c>
      <c r="DI423" s="69">
        <f t="shared" si="775"/>
        <v>2.3580352716508712E-2</v>
      </c>
      <c r="EB423"/>
    </row>
    <row r="424" spans="1:132" s="160" customFormat="1" ht="21">
      <c r="A424" s="160" t="s">
        <v>185</v>
      </c>
      <c r="B424" s="161" t="s">
        <v>185</v>
      </c>
      <c r="C424" s="161">
        <v>4059459</v>
      </c>
      <c r="D424" s="161" t="s">
        <v>171</v>
      </c>
      <c r="E424" s="161" t="s">
        <v>3</v>
      </c>
      <c r="F424" s="161"/>
      <c r="G424" s="161" t="s">
        <v>140</v>
      </c>
      <c r="H424" s="162">
        <v>2019</v>
      </c>
      <c r="I424" s="163"/>
      <c r="J424" s="159">
        <f>IFERROR(INDEX('Labor Expenditures'!$F$7:$X$91,MATCH($C424,'Labor Expenditures'!$D$7:$D$91,0),MATCH($G424,'Labor Expenditures'!$F$5:$X$5,0)),"NA")</f>
        <v>2862.2052792562249</v>
      </c>
      <c r="K424" s="159">
        <f t="shared" si="776"/>
        <v>19.122801264447801</v>
      </c>
      <c r="L424" s="165">
        <f t="shared" si="782"/>
        <v>-2.8815351977381738E-2</v>
      </c>
      <c r="M424" s="76">
        <f t="shared" si="786"/>
        <v>-2.3319135973056722E-5</v>
      </c>
      <c r="N424" s="62">
        <f t="shared" si="792"/>
        <v>114.29673969198862</v>
      </c>
      <c r="O424" s="96">
        <f t="shared" si="787"/>
        <v>1.0197860501950198E-2</v>
      </c>
      <c r="P424" s="96"/>
      <c r="Q424" s="159">
        <f>IFERROR(INDEX('Non-Labor Expenditures'!$F$7:$AB$91,MATCH($C424,'Non-Labor Expenditures'!$D$7:$D$91,0),MATCH($G424,'Non-Labor Expenditures'!$F$5:$AB$5,0)),"NA")</f>
        <v>4145.0078305686275</v>
      </c>
      <c r="R424" s="159">
        <f t="shared" si="777"/>
        <v>36.904216871459852</v>
      </c>
      <c r="S424" s="165">
        <f t="shared" si="788"/>
        <v>-1.1213273529611791E-2</v>
      </c>
      <c r="T424" s="165">
        <f t="shared" si="789"/>
        <v>-9.074463166208889E-6</v>
      </c>
      <c r="U424" s="165"/>
      <c r="V424" s="165"/>
      <c r="W424" s="159">
        <f t="shared" si="757"/>
        <v>3731.1467605557459</v>
      </c>
      <c r="X424" s="163"/>
      <c r="Y424" s="167">
        <v>176.48367307227977</v>
      </c>
      <c r="Z424" s="168">
        <v>2.1064011448938019E-2</v>
      </c>
      <c r="AA424" s="76">
        <f t="shared" si="778"/>
        <v>1.704627961863407E-5</v>
      </c>
      <c r="AB424" s="168"/>
      <c r="AC424" s="168"/>
      <c r="AD424" s="163">
        <f t="shared" si="705"/>
        <v>10738.359870380598</v>
      </c>
      <c r="AE424" s="168">
        <f t="shared" si="790"/>
        <v>2.5639096986017438E-2</v>
      </c>
      <c r="AF424" s="163"/>
      <c r="AG424" s="163"/>
      <c r="AH424" s="163"/>
      <c r="AI424" s="163"/>
      <c r="AJ424" s="116">
        <f t="shared" si="791"/>
        <v>719.82570521387584</v>
      </c>
      <c r="AK424" s="114">
        <f>+AV424/$AX$24</f>
        <v>3.9606695267844192E-4</v>
      </c>
      <c r="AL424" s="115">
        <f t="shared" si="779"/>
        <v>0.26654026441700729</v>
      </c>
      <c r="AM424" s="115">
        <f t="shared" si="780"/>
        <v>0.38600008573019789</v>
      </c>
      <c r="AN424" s="115">
        <f t="shared" si="781"/>
        <v>0.34745964985279482</v>
      </c>
      <c r="AO424" s="115">
        <f t="shared" si="783"/>
        <v>-4.9358542147517545E-3</v>
      </c>
      <c r="AP424" s="166">
        <f t="shared" si="794"/>
        <v>203.44310067088676</v>
      </c>
      <c r="AQ424" s="168">
        <f t="shared" si="795"/>
        <v>-4.9358542147517675E-3</v>
      </c>
      <c r="AR424" s="69">
        <f>+AD424/$AF$24</f>
        <v>8.0926084093509588E-4</v>
      </c>
      <c r="AS424" s="169">
        <f t="shared" si="793"/>
        <v>-3.9943935325630525E-6</v>
      </c>
      <c r="AT424" s="115"/>
      <c r="AU424" s="115"/>
      <c r="AV424" s="113">
        <f>IFERROR(INDEX('Total Customers'!$F$7:$AB$91,MATCH($C424,'Total Customers'!$D$7:$D$91,0),MATCH($G424,'Total Customers'!$F$5:$AB$5,0)),"NA")</f>
        <v>14918</v>
      </c>
      <c r="AW424" s="68">
        <f t="shared" si="751"/>
        <v>-1.6075020206380328E-3</v>
      </c>
      <c r="AX424" s="114"/>
      <c r="AY424" s="114"/>
      <c r="AZ424" s="116">
        <v>8963640</v>
      </c>
      <c r="BA424" s="116"/>
      <c r="BB424" s="166"/>
      <c r="BC424" s="166"/>
      <c r="BD424" s="166"/>
      <c r="BE424" s="166"/>
      <c r="BF424" s="166"/>
      <c r="BG424" s="166"/>
      <c r="BH424" s="166"/>
      <c r="BI424" s="113"/>
      <c r="BJ424" s="113"/>
      <c r="BK424" s="113">
        <f>INDEX('Dist. Plant Gas Additions'!$F$7:$AE$91,MATCH($C424,'Dist. Plant Gas Additions'!$D$7:$D$91,0),MATCH(Calculation!$G424,'Dist. Plant Gas Additions'!$F$5:$AE$5,0))</f>
        <v>3761</v>
      </c>
      <c r="BL424" s="113">
        <f>INDEX('Gen. Plant Additions'!$F$7:$AE$91,MATCH($C424,'Gen. Plant Additions'!$D$7:$D$91,0),MATCH(Calculation!$G424,'Gen. Plant Additions'!$F$5:$AE$5,0))</f>
        <v>170</v>
      </c>
      <c r="BM424" s="231">
        <f t="shared" si="758"/>
        <v>0.86623850928867829</v>
      </c>
      <c r="BN424" s="61">
        <f>+BM424*BL424</f>
        <v>147.26054657907531</v>
      </c>
      <c r="BO424" s="113">
        <f>INDEX('Dist Plant Depreciation'!$E$7:$AD$94,MATCH($C424,'Dist Plant Depreciation'!$D$7:$D$94,0),MATCH(Calculation!$G424,'Dist Plant Depreciation'!$E$5:$AD$5,0))</f>
        <v>7145</v>
      </c>
      <c r="BP424" s="113">
        <f>INDEX('Gen. Plant Depreciation'!$E$7:$AD$94,MATCH($C424,'Gen. Plant Depreciation'!$D$7:$D$94,0),MATCH(Calculation!$G424,'Gen. Plant Depreciation'!$E$5:$AD$5,0))</f>
        <v>8862</v>
      </c>
      <c r="BQ424" s="113"/>
      <c r="BR424" s="113"/>
      <c r="BS424" s="113"/>
      <c r="BT424" s="113"/>
      <c r="BU424" s="113"/>
      <c r="BV424" s="113"/>
      <c r="BW424" s="113">
        <f>INDEX('Gross Dx Plant'!$E$7:$AD$91,MATCH($C424,'Gross Dx Plant'!$D$7:$D$91,0),MATCH(Calculation!$G424,'Gross Dx Plant'!$E$5:$AD$5,0))</f>
        <v>76611</v>
      </c>
      <c r="BX424" s="113">
        <f>INDEX('Gross Gen Plant'!$E$7:$AD$91,MATCH($C424,'Gross Gen Plant'!$D$7:$D$91,0),MATCH(Calculation!$G424,'Gross Gen Plant'!$E$5:$AD$5,0))</f>
        <v>11830</v>
      </c>
      <c r="BY424" s="113">
        <f t="shared" si="753"/>
        <v>72434</v>
      </c>
      <c r="BZ424" s="113"/>
      <c r="CA424" s="116">
        <v>2019</v>
      </c>
      <c r="CB424" s="113"/>
      <c r="CC424" s="113"/>
      <c r="CD424" s="113"/>
      <c r="CE424" s="175"/>
      <c r="CF424" s="113">
        <f t="shared" si="759"/>
        <v>3931</v>
      </c>
      <c r="CG424" s="113">
        <f t="shared" si="760"/>
        <v>5.0818361917380237</v>
      </c>
      <c r="CH424" s="178">
        <v>0.85106382978723405</v>
      </c>
      <c r="CI424" s="61">
        <f>CI403*CH424+CG404*CH423+CG405*CH422+CG406*CH421+CG407*CH420+CG408*CH419+CG409*CH418+CG410*CH417+CG411*CH416+CG412*CH415+CG413*CH414+CG414*CH413+CG415*CH412+CG416*CH411+CG417*CH410+CG418*CH409+CG419*CH408+CG420*CH407+CG421*CH406+CG422*CH405+CG423*CH404+CG424</f>
        <v>176.48367307227977</v>
      </c>
      <c r="CJ424" s="114">
        <f t="shared" si="761"/>
        <v>2.1064011448938019E-2</v>
      </c>
      <c r="CK424" s="114"/>
      <c r="CL424" s="169">
        <f t="shared" si="762"/>
        <v>8.120483065881803E-3</v>
      </c>
      <c r="CM424" s="169">
        <f t="shared" si="771"/>
        <v>7.9099726727744953E-3</v>
      </c>
      <c r="CN424" s="114">
        <f>VLOOKUP($H424,RoR!$E:$F,2,FALSE)</f>
        <v>3.3875000000000009E-2</v>
      </c>
      <c r="CO424" s="169">
        <v>1.8092492884465461E-2</v>
      </c>
      <c r="CP424" s="169">
        <f t="shared" si="768"/>
        <v>1.5782507115534548E-2</v>
      </c>
      <c r="CQ424" s="169">
        <f t="shared" si="772"/>
        <v>2.2991968935759131E-2</v>
      </c>
      <c r="CR424" s="169">
        <f t="shared" si="773"/>
        <v>4.8445665544254078E-2</v>
      </c>
      <c r="CS424" s="179">
        <f t="shared" si="763"/>
        <v>0.90509623210000001</v>
      </c>
      <c r="CT424" s="180">
        <f t="shared" si="764"/>
        <v>1.513861292459078</v>
      </c>
      <c r="CU424" s="180">
        <f t="shared" si="765"/>
        <v>0.23699261992619944</v>
      </c>
      <c r="CV424" s="180">
        <f t="shared" si="766"/>
        <v>0.73619765810468829</v>
      </c>
      <c r="CW424" s="180">
        <f t="shared" si="767"/>
        <v>0.26412854465362851</v>
      </c>
      <c r="CX424" s="181">
        <f>INDEX('State Tax Lookup'!$D$7:$Z$91,MATCH(Calculation!$C424,'State Tax Lookup'!$B$7:$B$91,0),MATCH($H424,'State Tax Lookup'!$D$6:$Z$6,0))</f>
        <v>0.25649666999999998</v>
      </c>
      <c r="CY424" s="72">
        <v>0.37</v>
      </c>
      <c r="CZ424" s="70">
        <f t="shared" si="769"/>
        <v>21.591647521546889</v>
      </c>
      <c r="DA424" s="70">
        <v>19.236104090735289</v>
      </c>
      <c r="DB424" s="69">
        <f t="shared" si="774"/>
        <v>1.6435255892256962E-2</v>
      </c>
      <c r="DC424" s="111">
        <f>VLOOKUP($H424,RoR!$E:$F,2,FALSE)</f>
        <v>3.3875000000000009E-2</v>
      </c>
      <c r="DD424" s="216">
        <f>HLOOKUP($H424,'GDP-PI'!$D$8:$CQ$11,3,FALSE)</f>
        <v>1.8092492884465461E-2</v>
      </c>
      <c r="DE424" s="111">
        <f>VLOOKUP(H424,'HW Dx Data'!$E:$F,2,FALSE)</f>
        <v>773.53929793938721</v>
      </c>
      <c r="DF424" s="72">
        <f t="shared" si="784"/>
        <v>149.67500000000001</v>
      </c>
      <c r="DG424" s="69">
        <f t="shared" si="785"/>
        <v>3.5532849899171604E-2</v>
      </c>
      <c r="DH424" s="66">
        <f>HLOOKUP(H424,'GDP-PI'!$8:$9,2,FALSE)</f>
        <v>112.318</v>
      </c>
      <c r="DI424" s="69">
        <f t="shared" si="775"/>
        <v>1.7930771451401852E-2</v>
      </c>
      <c r="DJ424" s="160">
        <v>7.0758479803815387E-3</v>
      </c>
      <c r="EB424"/>
    </row>
    <row r="425" spans="1:132" s="160" customFormat="1" ht="21">
      <c r="A425" s="160" t="s">
        <v>185</v>
      </c>
      <c r="B425" s="160" t="s">
        <v>185</v>
      </c>
      <c r="C425" s="160">
        <v>4059459</v>
      </c>
      <c r="D425" s="160" t="s">
        <v>171</v>
      </c>
      <c r="E425" s="160" t="s">
        <v>3</v>
      </c>
      <c r="G425" s="161" t="s">
        <v>141</v>
      </c>
      <c r="H425" s="162">
        <v>2020</v>
      </c>
      <c r="I425" s="163"/>
      <c r="J425" s="159">
        <f>IFERROR(INDEX('Labor Expenditures'!$F$7:$X$91,MATCH($C425,'Labor Expenditures'!$D$7:$D$91,0),MATCH($G425,'Labor Expenditures'!$F$5:$X$5,0)),"NA")</f>
        <v>2816.0264601751242</v>
      </c>
      <c r="K425" s="159">
        <f t="shared" si="776"/>
        <v>18.387374862390622</v>
      </c>
      <c r="L425" s="165">
        <f t="shared" si="782"/>
        <v>-3.9217126214606393E-2</v>
      </c>
      <c r="M425" s="76">
        <f t="shared" si="786"/>
        <v>-3.1136938995227725E-5</v>
      </c>
      <c r="N425" s="62">
        <f t="shared" si="792"/>
        <v>113.96586312783772</v>
      </c>
      <c r="O425" s="96">
        <f t="shared" si="787"/>
        <v>-2.8990889598826202E-3</v>
      </c>
      <c r="P425" s="96"/>
      <c r="Q425" s="159">
        <f>IFERROR(INDEX('Non-Labor Expenditures'!$F$7:$AB$91,MATCH($C425,'Non-Labor Expenditures'!$D$7:$D$91,0),MATCH($G425,'Non-Labor Expenditures'!$F$5:$AB$5,0)),"NA")</f>
        <v>4078.1322755255187</v>
      </c>
      <c r="R425" s="159">
        <f t="shared" si="777"/>
        <v>35.891784898528627</v>
      </c>
      <c r="S425" s="165">
        <f t="shared" si="788"/>
        <v>-2.781738647863103E-2</v>
      </c>
      <c r="T425" s="165">
        <f t="shared" si="789"/>
        <v>-2.208596981461662E-5</v>
      </c>
      <c r="U425" s="165"/>
      <c r="V425" s="165"/>
      <c r="W425" s="159">
        <f t="shared" si="757"/>
        <v>3964.7813521765484</v>
      </c>
      <c r="X425" s="163"/>
      <c r="Y425" s="167">
        <v>182.43456794715516</v>
      </c>
      <c r="Z425" s="168">
        <v>3.3163208683412132E-2</v>
      </c>
      <c r="AA425" s="76">
        <f t="shared" si="778"/>
        <v>2.6330353733997426E-5</v>
      </c>
      <c r="AB425" s="168"/>
      <c r="AC425" s="168"/>
      <c r="AD425" s="163">
        <f t="shared" si="705"/>
        <v>10858.940087877192</v>
      </c>
      <c r="AE425" s="168">
        <f t="shared" si="790"/>
        <v>1.1166346777500969E-2</v>
      </c>
      <c r="AF425" s="163"/>
      <c r="AG425" s="163"/>
      <c r="AH425" s="163"/>
      <c r="AI425" s="163"/>
      <c r="AJ425" s="116">
        <f t="shared" si="791"/>
        <v>724.12243850874847</v>
      </c>
      <c r="AK425" s="114">
        <f>+AV425/$AX$25</f>
        <v>3.9532634419063377E-4</v>
      </c>
      <c r="AL425" s="115">
        <f t="shared" si="779"/>
        <v>0.25932793047812347</v>
      </c>
      <c r="AM425" s="115">
        <f t="shared" si="780"/>
        <v>0.37555527910852948</v>
      </c>
      <c r="AN425" s="115">
        <f t="shared" si="781"/>
        <v>0.36511679041334699</v>
      </c>
      <c r="AO425" s="115">
        <f t="shared" si="783"/>
        <v>-9.0880990443071435E-3</v>
      </c>
      <c r="AP425" s="166">
        <f t="shared" si="794"/>
        <v>201.60256577184492</v>
      </c>
      <c r="AQ425" s="168">
        <f t="shared" si="795"/>
        <v>-9.088099044307088E-3</v>
      </c>
      <c r="AR425" s="69">
        <f>+AD425/$AF$25</f>
        <v>7.9396279127741875E-4</v>
      </c>
      <c r="AS425" s="169">
        <f t="shared" si="793"/>
        <v>-7.2156124846236974E-6</v>
      </c>
      <c r="AT425" s="115"/>
      <c r="AU425" s="115"/>
      <c r="AV425" s="113">
        <f>IFERROR(INDEX('Total Customers'!$F$7:$AB$91,MATCH($C425,'Total Customers'!$D$7:$D$91,0),MATCH($G425,'Total Customers'!$F$5:$AB$5,0)),"NA")</f>
        <v>14996</v>
      </c>
      <c r="AW425" s="68">
        <f t="shared" si="751"/>
        <v>5.2149613406941584E-3</v>
      </c>
      <c r="AX425" s="114"/>
      <c r="AY425" s="114"/>
      <c r="AZ425" s="116">
        <v>9060252</v>
      </c>
      <c r="BA425" s="116"/>
      <c r="BB425" s="166"/>
      <c r="BC425" s="166"/>
      <c r="BD425" s="166"/>
      <c r="BE425" s="166"/>
      <c r="BF425" s="166"/>
      <c r="BG425" s="166"/>
      <c r="BH425" s="166"/>
      <c r="BI425" s="113"/>
      <c r="BJ425" s="113"/>
      <c r="BK425" s="113">
        <f>INDEX('Dist. Plant Gas Additions'!$F$7:$AE$91,MATCH($C425,'Dist. Plant Gas Additions'!$D$7:$D$91,0),MATCH(Calculation!$G425,'Dist. Plant Gas Additions'!$F$5:$AE$5,0))</f>
        <v>4861</v>
      </c>
      <c r="BL425" s="113">
        <f>INDEX('Gen. Plant Additions'!$F$7:$AE$91,MATCH($C425,'Gen. Plant Additions'!$D$7:$D$91,0),MATCH(Calculation!$G425,'Gen. Plant Additions'!$F$5:$AE$5,0))</f>
        <v>1183</v>
      </c>
      <c r="BM425" s="231">
        <f t="shared" si="758"/>
        <v>0.86978565495517846</v>
      </c>
      <c r="BN425" s="61">
        <f t="shared" ref="BN425:BN441" si="796">+BM425*BL425</f>
        <v>1028.956429811976</v>
      </c>
      <c r="BO425" s="113">
        <f>INDEX('Dist Plant Depreciation'!$E$7:$AD$94,MATCH($C425,'Dist Plant Depreciation'!$D$7:$D$94,0),MATCH(Calculation!$G425,'Dist Plant Depreciation'!$E$5:$AD$5,0))</f>
        <v>7587</v>
      </c>
      <c r="BP425" s="113">
        <f>INDEX('Gen. Plant Depreciation'!$E$7:$AD$94,MATCH($C425,'Gen. Plant Depreciation'!$D$7:$D$94,0),MATCH(Calculation!$G425,'Gen. Plant Depreciation'!$E$5:$AD$5,0))</f>
        <v>8379</v>
      </c>
      <c r="BQ425" s="113"/>
      <c r="BR425" s="113"/>
      <c r="BS425" s="113"/>
      <c r="BT425" s="113"/>
      <c r="BU425" s="113"/>
      <c r="BV425" s="113"/>
      <c r="BW425" s="113">
        <f>INDEX('Gross Dx Plant'!$E$7:$AD$91,MATCH($C425,'Gross Dx Plant'!$D$7:$D$91,0),MATCH(Calculation!$G425,'Gross Dx Plant'!$E$5:$AD$5,0))</f>
        <v>80630</v>
      </c>
      <c r="BX425" s="113">
        <f>INDEX('Gross Gen Plant'!$E$7:$AD$91,MATCH($C425,'Gross Gen Plant'!$D$7:$D$91,0),MATCH(Calculation!$G425,'Gross Gen Plant'!$E$5:$AD$5,0))</f>
        <v>12071</v>
      </c>
      <c r="BY425" s="113">
        <f t="shared" si="753"/>
        <v>76735</v>
      </c>
      <c r="BZ425" s="113"/>
      <c r="CA425" s="116">
        <v>2020</v>
      </c>
      <c r="CB425" s="113"/>
      <c r="CC425" s="113"/>
      <c r="CD425" s="113"/>
      <c r="CE425" s="175"/>
      <c r="CF425" s="113">
        <f t="shared" si="759"/>
        <v>6044</v>
      </c>
      <c r="CG425" s="113">
        <f t="shared" si="760"/>
        <v>7.4334613966258383</v>
      </c>
      <c r="CH425" s="178">
        <v>0.84057971014492749</v>
      </c>
      <c r="CI425" s="61">
        <f>CI403*CH425+CG404*CH424+CG405*CH423+CG406*CH422+CG407*CH421+CG408*CH420+CG409*CH419+CG410*CH418+CG411*CH417+CG412*CH416+CG413*CH415+CG414*CH414+CG415*CH413+CG416*CH412+CG417*CH411+CG418*CH410+CG419*CH409+CG420*CH408+CG421*CH407+CG422*CH406+CG423*CH405+CG424*CH404+CG425</f>
        <v>182.43456794715516</v>
      </c>
      <c r="CJ425" s="114">
        <f t="shared" si="761"/>
        <v>3.3163208683412132E-2</v>
      </c>
      <c r="CK425" s="114"/>
      <c r="CL425" s="169">
        <f t="shared" si="762"/>
        <v>8.4005874081239107E-3</v>
      </c>
      <c r="CM425" s="169">
        <f t="shared" si="771"/>
        <v>8.1493639400482144E-3</v>
      </c>
      <c r="CN425" s="114">
        <f>VLOOKUP($H425,RoR!$E:$F,2,FALSE)</f>
        <v>2.4766666666666666E-2</v>
      </c>
      <c r="CO425" s="169">
        <v>1.1618796630994188E-2</v>
      </c>
      <c r="CP425" s="169">
        <f t="shared" si="768"/>
        <v>1.3147870035672478E-2</v>
      </c>
      <c r="CQ425" s="169">
        <f t="shared" si="772"/>
        <v>2.2752577668485409E-2</v>
      </c>
      <c r="CR425" s="169">
        <f t="shared" si="773"/>
        <v>4.5144642961987357E-2</v>
      </c>
      <c r="CS425" s="179">
        <f t="shared" si="763"/>
        <v>0.90509623210000001</v>
      </c>
      <c r="CT425" s="180">
        <f t="shared" si="764"/>
        <v>2.0706077233668081</v>
      </c>
      <c r="CU425" s="180">
        <f t="shared" si="765"/>
        <v>-3.4421265141318998E-2</v>
      </c>
      <c r="CV425" s="180">
        <f t="shared" si="766"/>
        <v>0.62416226176410472</v>
      </c>
      <c r="CW425" s="180">
        <f t="shared" si="767"/>
        <v>-4.4485877841158712E-2</v>
      </c>
      <c r="CX425" s="181">
        <f>INDEX('State Tax Lookup'!$D$7:$Z$91,MATCH(Calculation!$C425,'State Tax Lookup'!$B$7:$B$91,0),MATCH($H425,'State Tax Lookup'!$D$6:$Z$6,0))</f>
        <v>0.25649666999999998</v>
      </c>
      <c r="CY425" s="72">
        <v>0.37</v>
      </c>
      <c r="CZ425" s="70">
        <f t="shared" si="769"/>
        <v>22.46542857566633</v>
      </c>
      <c r="DA425" s="70">
        <v>19.952659173050833</v>
      </c>
      <c r="DB425" s="69">
        <f t="shared" si="774"/>
        <v>3.967106873418242E-2</v>
      </c>
      <c r="DC425" s="111">
        <f>VLOOKUP($H425,RoR!$E:$F,2,FALSE)</f>
        <v>2.4766666666666666E-2</v>
      </c>
      <c r="DD425" s="216">
        <f>HLOOKUP($H425,'GDP-PI'!$D$8:$CQ$11,3,FALSE)</f>
        <v>1.1618796630994188E-2</v>
      </c>
      <c r="DE425" s="111">
        <f>VLOOKUP(H425,'HW Dx Data'!$E:$F,2,FALSE)</f>
        <v>813.080162458833</v>
      </c>
      <c r="DF425" s="72">
        <f t="shared" si="784"/>
        <v>153.15</v>
      </c>
      <c r="DG425" s="69">
        <f t="shared" si="785"/>
        <v>2.2951556467368479E-2</v>
      </c>
      <c r="DH425" s="66">
        <f>HLOOKUP(H425,'GDP-PI'!$8:$9,2,FALSE)</f>
        <v>113.623</v>
      </c>
      <c r="DI425" s="69">
        <f t="shared" si="775"/>
        <v>1.1551816731392881E-2</v>
      </c>
      <c r="DJ425" s="160">
        <v>3.0316600823757176E-3</v>
      </c>
      <c r="EB425"/>
    </row>
    <row r="426" spans="1:132" s="160" customFormat="1" ht="21">
      <c r="A426" s="160" t="s">
        <v>185</v>
      </c>
      <c r="B426" s="160" t="s">
        <v>185</v>
      </c>
      <c r="C426" s="160">
        <v>4059459</v>
      </c>
      <c r="D426" s="160" t="s">
        <v>171</v>
      </c>
      <c r="E426" s="160" t="s">
        <v>3</v>
      </c>
      <c r="G426" s="161" t="s">
        <v>142</v>
      </c>
      <c r="H426" s="162">
        <v>2021</v>
      </c>
      <c r="I426" s="163"/>
      <c r="J426" s="159">
        <v>3382.7416396897574</v>
      </c>
      <c r="K426" s="159">
        <f t="shared" si="776"/>
        <v>21.511870522669362</v>
      </c>
      <c r="L426" s="164">
        <f t="shared" si="782"/>
        <v>0.15694061978236878</v>
      </c>
      <c r="M426" s="76">
        <f t="shared" si="786"/>
        <v>1.0077925676019472E-4</v>
      </c>
      <c r="N426" s="166">
        <f>+N425*EXP(O426)</f>
        <v>118.68866767929092</v>
      </c>
      <c r="O426" s="114">
        <f t="shared" si="787"/>
        <v>4.0604869486431827E-2</v>
      </c>
      <c r="P426" s="114"/>
      <c r="Q426" s="159">
        <v>4768.4430342614651</v>
      </c>
      <c r="R426" s="159">
        <f t="shared" si="777"/>
        <v>40.243421674921642</v>
      </c>
      <c r="S426" s="165">
        <f t="shared" si="788"/>
        <v>0.11443811746151664</v>
      </c>
      <c r="T426" s="165">
        <f t="shared" si="789"/>
        <v>7.3486318830653442E-5</v>
      </c>
      <c r="U426" s="165"/>
      <c r="V426" s="165"/>
      <c r="W426" s="159">
        <f t="shared" si="757"/>
        <v>1688.0511201282984</v>
      </c>
      <c r="X426" s="163"/>
      <c r="Y426" s="167">
        <v>182.56411372616364</v>
      </c>
      <c r="Z426" s="168"/>
      <c r="AA426" s="76">
        <f t="shared" si="778"/>
        <v>0</v>
      </c>
      <c r="AB426" s="168"/>
      <c r="AC426" s="168"/>
      <c r="AD426" s="163">
        <f t="shared" si="705"/>
        <v>9839.2357940795209</v>
      </c>
      <c r="AE426" s="168">
        <f t="shared" si="790"/>
        <v>-9.8610667096531962E-2</v>
      </c>
      <c r="AF426" s="113"/>
      <c r="AG426" s="114"/>
      <c r="AH426" s="114"/>
      <c r="AI426" s="114"/>
      <c r="AJ426" s="116">
        <f t="shared" si="791"/>
        <v>650.35599141248736</v>
      </c>
      <c r="AK426" s="114">
        <f>+AV426/$AX$26</f>
        <v>3.9187929342105599E-4</v>
      </c>
      <c r="AL426" s="115">
        <f t="shared" si="779"/>
        <v>0.34380125758600333</v>
      </c>
      <c r="AM426" s="115">
        <f t="shared" si="780"/>
        <v>0.48463550768147456</v>
      </c>
      <c r="AN426" s="115">
        <f t="shared" si="781"/>
        <v>0.17156323473252211</v>
      </c>
      <c r="AO426" s="115">
        <f t="shared" si="783"/>
        <v>9.6547041440804893E-2</v>
      </c>
      <c r="AP426" s="166">
        <f t="shared" si="794"/>
        <v>222.03728197569234</v>
      </c>
      <c r="AQ426" s="168">
        <f t="shared" si="795"/>
        <v>9.6547041440804934E-2</v>
      </c>
      <c r="AR426" s="69">
        <f>+AD426/$AF$26</f>
        <v>6.4214896627747735E-4</v>
      </c>
      <c r="AS426" s="169">
        <f t="shared" si="793"/>
        <v>6.1997582858361655E-5</v>
      </c>
      <c r="AT426" s="115"/>
      <c r="AU426" s="115"/>
      <c r="AV426" s="113">
        <f>INDEX('Total Customers'!$E$7:$E$91,MATCH(Calculation!$C426,'Total Customers'!$D$7:$D$91,0))</f>
        <v>15129</v>
      </c>
      <c r="AW426" s="68">
        <f t="shared" si="751"/>
        <v>8.8299328890324054E-3</v>
      </c>
      <c r="AX426" s="113"/>
      <c r="AY426" s="113"/>
      <c r="AZ426" s="116"/>
      <c r="BA426" s="116"/>
      <c r="BB426" s="166"/>
      <c r="BC426" s="166"/>
      <c r="BD426" s="166"/>
      <c r="BE426" s="166"/>
      <c r="BF426" s="166"/>
      <c r="BG426" s="166"/>
      <c r="BH426" s="166"/>
      <c r="BI426" s="113"/>
      <c r="BJ426" s="113"/>
      <c r="BK426" s="113">
        <f>INDEX('Dist. Plant Gas Additions'!$E$7:$AE$91,MATCH($C426,'Dist. Plant Gas Additions'!$D$7:$D$91,0),MATCH(Calculation!$G426,'Dist. Plant Gas Additions'!$E$5:$AE$5,0))</f>
        <v>8379</v>
      </c>
      <c r="BL426" s="113">
        <f>INDEX('Gen. Plant Additions'!$E$7:$AE$91,MATCH($C426,'Gen. Plant Additions'!$D$7:$D$91,0),MATCH(Calculation!$G426,'Gen. Plant Additions'!$E$5:$AE$5,0))</f>
        <v>509</v>
      </c>
      <c r="BM426" s="231">
        <v>0.86978565495517846</v>
      </c>
      <c r="BN426" s="61">
        <f t="shared" si="796"/>
        <v>442.72089837218584</v>
      </c>
      <c r="BO426" s="113"/>
      <c r="BP426" s="113"/>
      <c r="BQ426" s="175"/>
      <c r="BR426" s="175"/>
      <c r="BS426" s="170"/>
      <c r="BT426" s="176"/>
      <c r="BU426" s="177"/>
      <c r="BV426" s="177"/>
      <c r="BW426" s="113"/>
      <c r="BX426" s="113"/>
      <c r="BY426" s="113"/>
      <c r="BZ426" s="113"/>
      <c r="CA426" s="116">
        <v>2021</v>
      </c>
      <c r="CB426" s="113"/>
      <c r="CC426" s="113"/>
      <c r="CD426" s="113"/>
      <c r="CE426" s="175"/>
      <c r="CF426" s="113">
        <f t="shared" si="759"/>
        <v>8888</v>
      </c>
      <c r="CG426" s="113">
        <f t="shared" si="760"/>
        <v>9.5260296589443936</v>
      </c>
      <c r="CH426" s="178">
        <f>+(51-23)/(51-23*0.75)</f>
        <v>0.82962962962962961</v>
      </c>
      <c r="CI426" s="113">
        <f>CI403*CH426+CG404*CH425+CG405*CH424+CG406*CH423+CG407*CH422+CG408*CH421+CG409*CH420+CG410*CH419+CG411*CH418+CG412*CH417+CG413*CH416+CG414*CH415+CG415*CH414+CG416*CH413+CG417*CH412+CG408*CH411+CG419*CH410+CG420*CH409+CG421*CH408+CG422*CH407+CG423*CH406+CG424*CH405+CG426+CG425*CH404</f>
        <v>182.56411372616364</v>
      </c>
      <c r="CJ426" s="114"/>
      <c r="CK426" s="113"/>
      <c r="CL426" s="218">
        <f t="shared" si="762"/>
        <v>5.1506049460197378E-2</v>
      </c>
      <c r="CM426" s="169">
        <f t="shared" si="771"/>
        <v>2.2675706644734363E-2</v>
      </c>
      <c r="CN426" s="114">
        <f>VLOOKUP($H426,RoR!$E:$F,2,FALSE)</f>
        <v>2.7033333333333336E-2</v>
      </c>
      <c r="CO426" s="169"/>
      <c r="CP426" s="169"/>
      <c r="CQ426" s="169">
        <f t="shared" si="772"/>
        <v>8.2262349637992616E-3</v>
      </c>
      <c r="CR426" s="169">
        <f t="shared" si="773"/>
        <v>7.433422950153494E-2</v>
      </c>
      <c r="CS426" s="179">
        <f t="shared" si="763"/>
        <v>0.90509623210000001</v>
      </c>
      <c r="CT426" s="180">
        <f t="shared" si="764"/>
        <v>1.8969932656739068</v>
      </c>
      <c r="CU426" s="180">
        <f t="shared" si="765"/>
        <v>5.0215782983970621E-2</v>
      </c>
      <c r="CV426" s="180">
        <f t="shared" si="766"/>
        <v>0.655952481704143</v>
      </c>
      <c r="CW426" s="180">
        <f t="shared" si="767"/>
        <v>6.2485378865697057E-2</v>
      </c>
      <c r="CX426" s="181">
        <f>CX425</f>
        <v>0.25649666999999998</v>
      </c>
      <c r="CY426" s="72">
        <v>0.37</v>
      </c>
      <c r="CZ426" s="182">
        <f t="shared" si="769"/>
        <v>9.2529126421768222</v>
      </c>
      <c r="DA426" s="182"/>
      <c r="DB426" s="169">
        <f t="shared" si="774"/>
        <v>-0.88703923762833925</v>
      </c>
      <c r="DC426" s="181">
        <f>VLOOKUP($H426,RoR!$E:$F,2,FALSE)</f>
        <v>2.7033333333333336E-2</v>
      </c>
      <c r="DD426" s="183">
        <f>HLOOKUP($H426,'GDP-PI'!$D$8:$CR$11,3,FALSE)</f>
        <v>4.2834637353352578E-2</v>
      </c>
      <c r="DE426" s="181">
        <f>VLOOKUP(H426,'HW Dx Data'!$E:$F,2,FALSE)</f>
        <v>933.02249921662576</v>
      </c>
      <c r="DF426" s="72">
        <f t="shared" si="784"/>
        <v>157.25</v>
      </c>
      <c r="DG426" s="69">
        <f t="shared" si="785"/>
        <v>2.6419062301765574E-2</v>
      </c>
      <c r="DH426" s="175">
        <f>HLOOKUP(H426,'GDP-PI'!$8:$9,2,FALSE)</f>
        <v>118.49</v>
      </c>
      <c r="DI426" s="169">
        <f t="shared" si="775"/>
        <v>4.194261824609434E-2</v>
      </c>
      <c r="EB426"/>
    </row>
    <row r="427" spans="1:132" s="160" customFormat="1" ht="21">
      <c r="G427" s="161" t="s">
        <v>144</v>
      </c>
      <c r="H427" s="162"/>
      <c r="I427" s="163"/>
      <c r="J427" s="159">
        <v>3565.8048839232288</v>
      </c>
      <c r="K427" s="159">
        <f t="shared" si="776"/>
        <v>21.936664927242255</v>
      </c>
      <c r="L427" s="164">
        <f t="shared" ref="L427" si="797">LN(K427/K426)</f>
        <v>1.9554534400522305E-2</v>
      </c>
      <c r="M427" s="76">
        <f t="shared" si="786"/>
        <v>1.8837060601453068E-5</v>
      </c>
      <c r="N427" s="166">
        <f>+N426*EXP(O427)</f>
        <v>118.79210713523457</v>
      </c>
      <c r="O427" s="114">
        <f t="shared" si="787"/>
        <v>8.711396749146547E-4</v>
      </c>
      <c r="P427" s="114"/>
      <c r="Q427" s="163">
        <v>5026.496041192986</v>
      </c>
      <c r="R427" s="159">
        <f t="shared" si="777"/>
        <v>39.500951207803425</v>
      </c>
      <c r="S427" s="165">
        <f t="shared" ref="S427" si="798">LN(R427/R426)</f>
        <v>-1.8621801032096711E-2</v>
      </c>
      <c r="T427" s="165">
        <f t="shared" si="789"/>
        <v>-1.7938550075650875E-5</v>
      </c>
      <c r="U427" s="166"/>
      <c r="V427" s="114"/>
      <c r="W427" s="159">
        <f t="shared" si="757"/>
        <v>7056.8425140903764</v>
      </c>
      <c r="X427" s="168"/>
      <c r="Y427" s="167">
        <v>197.3177118486889</v>
      </c>
      <c r="Z427" s="168">
        <v>7.7713760736528387E-2</v>
      </c>
      <c r="AA427" s="76">
        <f t="shared" si="778"/>
        <v>7.4862371589972919E-5</v>
      </c>
      <c r="AB427" s="166"/>
      <c r="AC427" s="114"/>
      <c r="AD427" s="163">
        <f t="shared" si="705"/>
        <v>15649.143439206591</v>
      </c>
      <c r="AE427" s="168">
        <f t="shared" si="790"/>
        <v>0.46403813832430796</v>
      </c>
      <c r="AF427" s="113"/>
      <c r="AG427" s="114"/>
      <c r="AH427" s="114"/>
      <c r="AI427" s="114"/>
      <c r="AJ427" s="116">
        <f t="shared" si="791"/>
        <v>1013.6768648274771</v>
      </c>
      <c r="AK427" s="114"/>
      <c r="AL427" s="115">
        <f t="shared" si="779"/>
        <v>0.22785942871413889</v>
      </c>
      <c r="AM427" s="115">
        <f t="shared" si="780"/>
        <v>0.32119943565728021</v>
      </c>
      <c r="AN427" s="115">
        <f t="shared" si="781"/>
        <v>0.4509411356285809</v>
      </c>
      <c r="AO427" s="115"/>
      <c r="AP427" s="166"/>
      <c r="AQ427" s="168"/>
      <c r="AR427" s="69">
        <f>+AD427/$AF$27</f>
        <v>9.6330908297923609E-4</v>
      </c>
      <c r="AS427" s="169"/>
      <c r="AT427" s="166"/>
      <c r="AU427" s="168"/>
      <c r="AV427" s="113">
        <v>15438</v>
      </c>
      <c r="AW427" s="68">
        <f t="shared" si="751"/>
        <v>2.0218570764964191E-2</v>
      </c>
      <c r="AX427" s="113"/>
      <c r="AY427" s="113"/>
      <c r="AZ427" s="113"/>
      <c r="BA427" s="113"/>
      <c r="BB427" s="171"/>
      <c r="BC427" s="172"/>
      <c r="BD427" s="173"/>
      <c r="BE427" s="115"/>
      <c r="BF427" s="174"/>
      <c r="BG427" s="174"/>
      <c r="BH427" s="166"/>
      <c r="BI427" s="113"/>
      <c r="BJ427" s="113"/>
      <c r="BK427" s="113"/>
      <c r="BL427" s="113"/>
      <c r="BM427" s="231">
        <v>0.86978565495517846</v>
      </c>
      <c r="BN427" s="61">
        <f t="shared" si="796"/>
        <v>0</v>
      </c>
      <c r="BO427" s="113"/>
      <c r="BP427" s="113"/>
      <c r="BQ427" s="175"/>
      <c r="BR427" s="175"/>
      <c r="BS427" s="170"/>
      <c r="BT427" s="176"/>
      <c r="BU427" s="177"/>
      <c r="BV427" s="177"/>
      <c r="BW427" s="113"/>
      <c r="BX427" s="113"/>
      <c r="BY427" s="113"/>
      <c r="BZ427" s="113"/>
      <c r="CA427" s="116">
        <v>2022</v>
      </c>
      <c r="CB427" s="113"/>
      <c r="CC427" s="113"/>
      <c r="CD427" s="113"/>
      <c r="CE427" s="175"/>
      <c r="CF427" s="238">
        <v>7599</v>
      </c>
      <c r="CG427" s="113">
        <f>+CF427/DE427</f>
        <v>7.3718726050387566</v>
      </c>
      <c r="CH427" s="178">
        <f>+(51-24)/(51-24*0.75)</f>
        <v>0.81818181818181823</v>
      </c>
      <c r="CI427" s="113">
        <f>+CI403*CH427+CG404*CH426+CG405*CH425+CG406*CH424+CG407*CH423+CG408*CH422+CG409*CH421+CG410*CH420+CG411*CH419+CG412*CH418+CG413*CH417+CG414*CH416+CG415*CH415+CG416*CH414+CG417*CH413+CG418*CH412+CG419*CH411+CG420*CH410+CG421*CH409+CG422*CH408+CG423*CH407+CG424*CH406+CG425*CH405+CG426*CH404+CG427*CH403</f>
        <v>196.06723891963313</v>
      </c>
      <c r="CJ427" s="114">
        <f t="shared" ref="CJ427" si="799">LN(CI427/CI426)</f>
        <v>7.135623669589819E-2</v>
      </c>
      <c r="CK427" s="113"/>
      <c r="CL427" s="169"/>
      <c r="CM427" s="169"/>
      <c r="CN427" s="114"/>
      <c r="CO427" s="169"/>
      <c r="CP427" s="169"/>
      <c r="CQ427" s="69">
        <f t="shared" si="772"/>
        <v>3.0901941608533625E-2</v>
      </c>
      <c r="CR427" s="169">
        <f t="shared" si="773"/>
        <v>0.10114668178709289</v>
      </c>
      <c r="CS427" s="179">
        <f t="shared" si="763"/>
        <v>0.90509623210000001</v>
      </c>
      <c r="CT427" s="180"/>
      <c r="CU427" s="180"/>
      <c r="CV427" s="180"/>
      <c r="CW427" s="180"/>
      <c r="CX427" s="181">
        <f>CX426</f>
        <v>0.25649666999999998</v>
      </c>
      <c r="CY427" s="72">
        <v>0.37</v>
      </c>
      <c r="CZ427" s="182">
        <f t="shared" si="769"/>
        <v>38.654050733515248</v>
      </c>
      <c r="DA427" s="182"/>
      <c r="DB427" s="169">
        <f t="shared" si="774"/>
        <v>1.429713192870754</v>
      </c>
      <c r="DC427" s="181">
        <v>0.04</v>
      </c>
      <c r="DD427" s="183">
        <v>7.0000000000000001E-3</v>
      </c>
      <c r="DE427" s="181">
        <v>1030.81</v>
      </c>
      <c r="DF427" s="72">
        <f t="shared" si="784"/>
        <v>162.55000000000001</v>
      </c>
      <c r="DG427" s="169">
        <f t="shared" si="785"/>
        <v>3.3148751169364422E-2</v>
      </c>
      <c r="DH427" s="175">
        <v>127.25</v>
      </c>
      <c r="DI427" s="169">
        <f t="shared" si="775"/>
        <v>7.1325086601983473E-2</v>
      </c>
      <c r="EB427"/>
    </row>
    <row r="428" spans="1:132" s="160" customFormat="1" ht="21">
      <c r="A428" s="160" t="s">
        <v>186</v>
      </c>
      <c r="B428" s="161" t="s">
        <v>186</v>
      </c>
      <c r="C428" s="161">
        <v>4057118</v>
      </c>
      <c r="D428" s="161" t="s">
        <v>187</v>
      </c>
      <c r="E428" s="161"/>
      <c r="F428" s="161"/>
      <c r="G428" s="161" t="s">
        <v>100</v>
      </c>
      <c r="H428" s="162">
        <v>1998</v>
      </c>
      <c r="I428" s="163"/>
      <c r="J428" s="159"/>
      <c r="K428" s="159"/>
      <c r="L428" s="159"/>
      <c r="M428" s="60"/>
      <c r="N428" s="131"/>
      <c r="O428" s="76"/>
      <c r="P428" s="76"/>
      <c r="Q428" s="165"/>
      <c r="R428" s="165"/>
      <c r="S428" s="165"/>
      <c r="T428" s="159"/>
      <c r="U428" s="165"/>
      <c r="V428" s="165"/>
      <c r="W428" s="159"/>
      <c r="X428" s="163"/>
      <c r="Y428" s="167">
        <v>286.7795011539211</v>
      </c>
      <c r="Z428" s="168"/>
      <c r="AA428" s="78"/>
      <c r="AB428" s="168"/>
      <c r="AC428" s="168"/>
      <c r="AD428" s="163">
        <f t="shared" si="705"/>
        <v>0</v>
      </c>
      <c r="AE428" s="163"/>
      <c r="AF428" s="163"/>
      <c r="AG428" s="114"/>
      <c r="AH428" s="114"/>
      <c r="AI428" s="114"/>
      <c r="AJ428" s="166">
        <f>+(AJ425+AJ426+AJ427)/3</f>
        <v>796.05176491623763</v>
      </c>
      <c r="AK428" s="168"/>
      <c r="AL428" s="115"/>
      <c r="AM428" s="115"/>
      <c r="AN428" s="115"/>
      <c r="AO428" s="115"/>
      <c r="AP428" s="115"/>
      <c r="AQ428" s="168">
        <f>AVERAGE(AQ437:AQ451)</f>
        <v>-3.975277170336221E-3</v>
      </c>
      <c r="AR428" s="79"/>
      <c r="AS428" s="115"/>
      <c r="AT428" s="115"/>
      <c r="AU428" s="115"/>
      <c r="AV428" s="113">
        <f>IFERROR(INDEX('Total Customers'!$F$7:$AB$91,MATCH($C428,'Total Customers'!$D$7:$D$91,0),MATCH($G428,'Total Customers'!$F$5:$AB$5,0)),"NA")</f>
        <v>37165</v>
      </c>
      <c r="AW428" s="68"/>
      <c r="AX428" s="114"/>
      <c r="AY428" s="114"/>
      <c r="AZ428" s="116"/>
      <c r="BA428" s="116"/>
      <c r="BB428" s="166"/>
      <c r="BC428" s="166"/>
      <c r="BD428" s="166"/>
      <c r="BE428" s="166"/>
      <c r="BF428" s="166"/>
      <c r="BG428" s="166"/>
      <c r="BH428" s="166"/>
      <c r="BI428" s="113">
        <f>INDEX('Gross Dx Plant'!$E$7:$AD$91,MATCH($C428,'Gross Dx Plant'!$D$7:$D$91,0),MATCH(Calculation!$G428,'Gross Dx Plant'!$E$5:$AD$5,0))</f>
        <v>67055</v>
      </c>
      <c r="BJ428" s="113">
        <f>INDEX('Gross Gen Plant'!$E$7:$AD$91,MATCH($C428,'Gross Gen Plant'!$D$7:$D$91,0),MATCH(Calculation!$G428,'Gross Gen Plant'!$E$5:$AD$5,0))</f>
        <v>14554</v>
      </c>
      <c r="BK428" s="113">
        <f>INDEX('Dist. Plant Gas Additions'!$F$7:$AE$91,MATCH($C428,'Dist. Plant Gas Additions'!$D$7:$D$91,0),MATCH(Calculation!$G428,'Dist. Plant Gas Additions'!$F$5:$AE$5,0))</f>
        <v>6817</v>
      </c>
      <c r="BL428" s="113">
        <f>INDEX('Gen. Plant Additions'!$F$7:$AE$91,MATCH($C428,'Gen. Plant Additions'!$D$7:$D$91,0),MATCH(Calculation!$G428,'Gen. Plant Additions'!$F$5:$AE$5,0))</f>
        <v>1171</v>
      </c>
      <c r="BM428" s="231">
        <f>+(BW428/(BW428+BX428))</f>
        <v>0.82166182651423247</v>
      </c>
      <c r="BN428" s="61">
        <f t="shared" si="796"/>
        <v>962.16599884816628</v>
      </c>
      <c r="BO428" s="113">
        <f>INDEX('Dist Plant Depreciation'!$E$7:$AD$94,MATCH($C428,'Dist Plant Depreciation'!$D$7:$D$94,0),MATCH(Calculation!$G428,'Dist Plant Depreciation'!$E$5:$AD$5,0))</f>
        <v>16184</v>
      </c>
      <c r="BP428" s="113">
        <f>INDEX('Gen. Plant Depreciation'!$E$7:$AD$94,MATCH($C428,'Gen. Plant Depreciation'!$D$7:$D$94,0),MATCH(Calculation!$G428,'Gen. Plant Depreciation'!$E$5:$AD$5,0))</f>
        <v>7576</v>
      </c>
      <c r="BQ428" s="113"/>
      <c r="BR428" s="113"/>
      <c r="BS428" s="113"/>
      <c r="BT428" s="113"/>
      <c r="BU428" s="113"/>
      <c r="BV428" s="113"/>
      <c r="BW428" s="113">
        <f>INDEX('Gross Dx Plant'!$E$7:$AD$91,MATCH($C428,'Gross Dx Plant'!$D$7:$D$91,0),MATCH(Calculation!$G428,'Gross Dx Plant'!$E$5:$AD$5,0))</f>
        <v>67055</v>
      </c>
      <c r="BX428" s="113">
        <f>INDEX('Gross Gen Plant'!$E$7:$AD$91,MATCH($C428,'Gross Gen Plant'!$D$7:$D$91,0),MATCH(Calculation!$G428,'Gross Gen Plant'!$E$5:$AD$5,0))</f>
        <v>14554</v>
      </c>
      <c r="BY428" s="113">
        <f t="shared" si="753"/>
        <v>57849</v>
      </c>
      <c r="BZ428" s="113"/>
      <c r="CA428" s="116">
        <v>1998</v>
      </c>
      <c r="CB428" s="113">
        <f>BI428+BJ428</f>
        <v>81609</v>
      </c>
      <c r="CC428" s="113">
        <f>16184+7576</f>
        <v>23760</v>
      </c>
      <c r="CD428" s="113">
        <f>+CB428-CC428</f>
        <v>57849</v>
      </c>
      <c r="CE428" s="113">
        <f>CD428/$BV$3</f>
        <v>286.7795011539211</v>
      </c>
      <c r="CF428" s="175"/>
      <c r="CG428" s="175"/>
      <c r="CH428" s="178">
        <v>1</v>
      </c>
      <c r="CI428" s="113">
        <f>+CE428</f>
        <v>286.7795011539211</v>
      </c>
      <c r="CJ428" s="114"/>
      <c r="CK428" s="114"/>
      <c r="CL428" s="169"/>
      <c r="CM428" s="169"/>
      <c r="CN428" s="114" t="e">
        <f>VLOOKUP($H428,RoR!$E:$F,2,FALSE)</f>
        <v>#N/A</v>
      </c>
      <c r="CO428" s="169">
        <v>1.1028127770464469E-2</v>
      </c>
      <c r="CP428" s="169"/>
      <c r="CQ428" s="169"/>
      <c r="CR428" s="169"/>
      <c r="CS428" s="179"/>
      <c r="CT428" s="182" t="e">
        <f>2/(DC428*39)</f>
        <v>#N/A</v>
      </c>
      <c r="CU428" s="180" t="e">
        <f>+(DC428*40-(1+DC428))/(DC428*40)</f>
        <v>#N/A</v>
      </c>
      <c r="CV428" s="180" t="e">
        <f>+(1-(1/(1+DC428)^40))</f>
        <v>#N/A</v>
      </c>
      <c r="CW428" s="180" t="e">
        <f>+CV428*CU428*CT428</f>
        <v>#N/A</v>
      </c>
      <c r="CX428" s="181">
        <f>INDEX('State Tax Lookup'!$D$7:$Z$91,MATCH(Calculation!$C428,'State Tax Lookup'!$B$7:$B$91,0),MATCH($H428,'State Tax Lookup'!$D$6:$Z$6,0))</f>
        <v>0.39279166999999998</v>
      </c>
      <c r="CY428" s="72">
        <v>0.37</v>
      </c>
      <c r="CZ428" s="66"/>
      <c r="DA428" s="66"/>
      <c r="DB428" s="69"/>
      <c r="DC428" s="111" t="e">
        <f>VLOOKUP($H428,RoR!$E:$F,2,FALSE)</f>
        <v>#N/A</v>
      </c>
      <c r="DD428" s="216">
        <f>HLOOKUP($H428,'GDP-PI'!$D$8:$CQ$11,3,FALSE)</f>
        <v>1.1028127770464469E-2</v>
      </c>
      <c r="DE428" s="111">
        <f>VLOOKUP(H428,'HW Dx Data'!$E:$F,2,FALSE)</f>
        <v>329.24564746449528</v>
      </c>
      <c r="DF428" s="72" t="e">
        <f t="shared" si="784"/>
        <v>#N/A</v>
      </c>
      <c r="DG428" s="169" t="e">
        <f t="shared" si="785"/>
        <v>#N/A</v>
      </c>
      <c r="DH428" s="66">
        <f>HLOOKUP(H428,'GDP-PI'!$8:$9,2,FALSE)</f>
        <v>75.266999999999996</v>
      </c>
      <c r="DI428"/>
      <c r="DJ428" s="160">
        <v>1.8092988214810892E-2</v>
      </c>
      <c r="EB428"/>
    </row>
    <row r="429" spans="1:132" s="160" customFormat="1" ht="21">
      <c r="A429" s="160" t="s">
        <v>186</v>
      </c>
      <c r="B429" s="161" t="s">
        <v>186</v>
      </c>
      <c r="C429" s="161">
        <v>4057118</v>
      </c>
      <c r="D429" s="161" t="s">
        <v>187</v>
      </c>
      <c r="E429" s="161"/>
      <c r="F429" s="161"/>
      <c r="G429" s="161" t="s">
        <v>106</v>
      </c>
      <c r="H429" s="162">
        <v>1999</v>
      </c>
      <c r="I429" s="163"/>
      <c r="J429" s="159"/>
      <c r="K429" s="163"/>
      <c r="L429" s="163"/>
      <c r="M429" s="60"/>
      <c r="N429" s="152"/>
      <c r="O429" s="60"/>
      <c r="P429" s="59"/>
      <c r="Q429" s="169"/>
      <c r="R429" s="169"/>
      <c r="S429" s="169"/>
      <c r="T429" s="187"/>
      <c r="U429" s="169"/>
      <c r="V429" s="169"/>
      <c r="W429" s="159">
        <f t="shared" ref="W429:W452" si="800">+CI428*CZ429</f>
        <v>0</v>
      </c>
      <c r="X429" s="163"/>
      <c r="Y429" s="167">
        <v>304.30450116365392</v>
      </c>
      <c r="Z429" s="168">
        <v>5.9315216843343815E-2</v>
      </c>
      <c r="AA429" s="78"/>
      <c r="AB429" s="168"/>
      <c r="AC429" s="168"/>
      <c r="AD429" s="163">
        <f t="shared" si="705"/>
        <v>0</v>
      </c>
      <c r="AE429" s="168"/>
      <c r="AF429" s="163"/>
      <c r="AG429" s="114"/>
      <c r="AH429" s="114"/>
      <c r="AI429" s="114"/>
      <c r="AJ429" s="167"/>
      <c r="AK429" s="168"/>
      <c r="AL429" s="115"/>
      <c r="AM429" s="115"/>
      <c r="AN429" s="115"/>
      <c r="AO429" s="115"/>
      <c r="AP429" s="115"/>
      <c r="AQ429" s="168"/>
      <c r="AR429" s="79"/>
      <c r="AS429" s="115"/>
      <c r="AT429" s="115"/>
      <c r="AU429" s="115"/>
      <c r="AV429" s="113">
        <f>IFERROR(INDEX('Total Customers'!$F$7:$AB$91,MATCH($C429,'Total Customers'!$D$7:$D$91,0),MATCH($G429,'Total Customers'!$F$5:$AB$5,0)),"NA")</f>
        <v>37963</v>
      </c>
      <c r="AW429" s="68">
        <f t="shared" si="751"/>
        <v>2.1244543000202783E-2</v>
      </c>
      <c r="AX429" s="114"/>
      <c r="AY429" s="114"/>
      <c r="AZ429" s="116"/>
      <c r="BA429" s="116"/>
      <c r="BB429" s="166"/>
      <c r="BC429" s="166"/>
      <c r="BD429" s="166"/>
      <c r="BE429" s="166"/>
      <c r="BF429" s="166"/>
      <c r="BG429" s="166"/>
      <c r="BH429" s="166"/>
      <c r="BI429" s="113"/>
      <c r="BJ429" s="113"/>
      <c r="BK429" s="113">
        <f>INDEX('Dist. Plant Gas Additions'!$F$7:$AE$91,MATCH($C429,'Dist. Plant Gas Additions'!$D$7:$D$91,0),MATCH(Calculation!$G429,'Dist. Plant Gas Additions'!$F$5:$AE$5,0))</f>
        <v>4714</v>
      </c>
      <c r="BL429" s="113">
        <f>INDEX('Gen. Plant Additions'!$F$7:$AE$91,MATCH($C429,'Gen. Plant Additions'!$D$7:$D$91,0),MATCH(Calculation!$G429,'Gen. Plant Additions'!$F$5:$AE$5,0))</f>
        <v>1641</v>
      </c>
      <c r="BM429" s="231">
        <f t="shared" ref="BM429:BM450" si="801">+(BW429/(BW429+BX429))</f>
        <v>0.82463953234139997</v>
      </c>
      <c r="BN429" s="61">
        <f t="shared" si="796"/>
        <v>1353.2334725722374</v>
      </c>
      <c r="BO429" s="113">
        <f>INDEX('Dist Plant Depreciation'!$E$7:$AD$94,MATCH($C429,'Dist Plant Depreciation'!$D$7:$D$94,0),MATCH(Calculation!$G429,'Dist Plant Depreciation'!$E$5:$AD$5,0))</f>
        <v>17844</v>
      </c>
      <c r="BP429" s="113">
        <f>INDEX('Gen. Plant Depreciation'!$E$7:$AD$94,MATCH($C429,'Gen. Plant Depreciation'!$D$7:$D$94,0),MATCH(Calculation!$G429,'Gen. Plant Depreciation'!$E$5:$AD$5,0))</f>
        <v>8098</v>
      </c>
      <c r="BQ429" s="113"/>
      <c r="BR429" s="113"/>
      <c r="BS429" s="113"/>
      <c r="BT429" s="113"/>
      <c r="BU429" s="113"/>
      <c r="BV429" s="113"/>
      <c r="BW429" s="113">
        <f>INDEX('Gross Dx Plant'!$E$7:$AD$91,MATCH($C429,'Gross Dx Plant'!$D$7:$D$91,0),MATCH(Calculation!$G429,'Gross Dx Plant'!$E$5:$AD$5,0))</f>
        <v>71662</v>
      </c>
      <c r="BX429" s="113">
        <f>INDEX('Gross Gen Plant'!$E$7:$AD$91,MATCH($C429,'Gross Gen Plant'!$D$7:$D$91,0),MATCH(Calculation!$G429,'Gross Gen Plant'!$E$5:$AD$5,0))</f>
        <v>15239</v>
      </c>
      <c r="BY429" s="113">
        <f t="shared" si="753"/>
        <v>60959</v>
      </c>
      <c r="BZ429" s="113"/>
      <c r="CA429" s="116">
        <v>1999</v>
      </c>
      <c r="CB429" s="113"/>
      <c r="CC429" s="113"/>
      <c r="CD429" s="113"/>
      <c r="CE429" s="175"/>
      <c r="CF429" s="113">
        <f t="shared" ref="CF429:CF451" si="802">+BL429+BK429</f>
        <v>6355</v>
      </c>
      <c r="CG429" s="113">
        <f t="shared" ref="CG429:CG451" si="803">+CF429/$DE429</f>
        <v>18.951763697065761</v>
      </c>
      <c r="CH429" s="178">
        <v>0.99502487562189057</v>
      </c>
      <c r="CI429" s="61">
        <f>+CI428*CH429+CG429</f>
        <v>304.30450116365392</v>
      </c>
      <c r="CJ429" s="114">
        <f t="shared" ref="CJ429:CJ450" si="804">LN(CI429/CI428)</f>
        <v>5.9315216843343815E-2</v>
      </c>
      <c r="CK429" s="114"/>
      <c r="CL429" s="169">
        <f t="shared" ref="CL429:CL450" si="805">+(CI428-CI429+CG429)/CI428</f>
        <v>4.97512437810945E-3</v>
      </c>
      <c r="CM429" s="169"/>
      <c r="CN429" s="114">
        <f>VLOOKUP($H429,RoR!$E:$F,2,FALSE)</f>
        <v>7.0416666666666669E-2</v>
      </c>
      <c r="CO429" s="169">
        <v>1.4335631817396832E-2</v>
      </c>
      <c r="CP429" s="169">
        <f>+CN429-CO429</f>
        <v>5.6081034849269837E-2</v>
      </c>
      <c r="CQ429" s="169"/>
      <c r="CR429" s="169"/>
      <c r="CS429" s="179">
        <f t="shared" ref="CS429:CS452" si="806">1-CX429*CY429</f>
        <v>0.85466708209999998</v>
      </c>
      <c r="CT429" s="180">
        <f t="shared" ref="CT429:CT451" si="807">2/(DC429*39)</f>
        <v>0.72826581702321336</v>
      </c>
      <c r="CU429" s="180">
        <f t="shared" ref="CU429:CU451" si="808">+(DC429*40-(1+DC429))/(DC429*40)</f>
        <v>0.61997041420118348</v>
      </c>
      <c r="CV429" s="180">
        <f t="shared" ref="CV429:CV451" si="809">+(1-(1/(1+DC429)^40))</f>
        <v>0.93425155319585029</v>
      </c>
      <c r="CW429" s="180">
        <f t="shared" ref="CW429:CW451" si="810">+CV429*CU429*CT429</f>
        <v>0.42181762214141483</v>
      </c>
      <c r="CX429" s="181">
        <f>INDEX('State Tax Lookup'!$D$7:$Z$91,MATCH(Calculation!$C429,'State Tax Lookup'!$B$7:$B$91,0),MATCH($H429,'State Tax Lookup'!$D$6:$Z$6,0))</f>
        <v>0.39279166999999998</v>
      </c>
      <c r="CY429" s="72">
        <v>0.37</v>
      </c>
      <c r="CZ429" s="70"/>
      <c r="DA429" s="70"/>
      <c r="DB429" s="69"/>
      <c r="DC429" s="111">
        <f>VLOOKUP($H429,RoR!$E:$F,2,FALSE)</f>
        <v>7.0416666666666669E-2</v>
      </c>
      <c r="DD429" s="216">
        <f>HLOOKUP($H429,'GDP-PI'!$D$8:$CQ$11,3,FALSE)</f>
        <v>1.4335631817396832E-2</v>
      </c>
      <c r="DE429" s="111">
        <f>VLOOKUP(H429,'HW Dx Data'!$E:$F,2,FALSE)</f>
        <v>335.32499146683239</v>
      </c>
      <c r="DF429" s="66"/>
      <c r="DG429" s="69"/>
      <c r="DH429" s="66">
        <f>HLOOKUP(H429,'GDP-PI'!$8:$9,2,FALSE)</f>
        <v>76.346000000000004</v>
      </c>
      <c r="DI429"/>
      <c r="DJ429" s="160">
        <v>1.1123327319345001E-4</v>
      </c>
      <c r="EB429"/>
    </row>
    <row r="430" spans="1:132" s="160" customFormat="1" ht="21">
      <c r="A430" s="160" t="s">
        <v>186</v>
      </c>
      <c r="B430" s="161" t="s">
        <v>186</v>
      </c>
      <c r="C430" s="161">
        <v>4057118</v>
      </c>
      <c r="D430" s="161" t="s">
        <v>187</v>
      </c>
      <c r="E430" s="161"/>
      <c r="F430" s="161"/>
      <c r="G430" s="161" t="s">
        <v>107</v>
      </c>
      <c r="H430" s="162">
        <v>2000</v>
      </c>
      <c r="I430" s="163"/>
      <c r="J430" s="159"/>
      <c r="K430" s="159"/>
      <c r="L430" s="159"/>
      <c r="M430" s="60"/>
      <c r="N430" s="152"/>
      <c r="O430" s="60"/>
      <c r="P430" s="60"/>
      <c r="Q430" s="159"/>
      <c r="R430" s="159"/>
      <c r="S430" s="159"/>
      <c r="T430" s="159"/>
      <c r="U430" s="159"/>
      <c r="V430" s="159"/>
      <c r="W430" s="159">
        <f t="shared" si="800"/>
        <v>0</v>
      </c>
      <c r="X430" s="163"/>
      <c r="Y430" s="167">
        <v>317.3679400406466</v>
      </c>
      <c r="Z430" s="168">
        <v>4.2032946271473116E-2</v>
      </c>
      <c r="AA430" s="78"/>
      <c r="AB430" s="168"/>
      <c r="AC430" s="168"/>
      <c r="AD430" s="163">
        <f t="shared" ref="AD430:AD495" si="811">+J430+Q430+W430</f>
        <v>0</v>
      </c>
      <c r="AE430" s="168"/>
      <c r="AF430" s="163"/>
      <c r="AG430" s="163"/>
      <c r="AH430" s="163"/>
      <c r="AI430" s="163"/>
      <c r="AJ430" s="167"/>
      <c r="AK430" s="168"/>
      <c r="AL430" s="115"/>
      <c r="AM430" s="115"/>
      <c r="AN430" s="115"/>
      <c r="AO430" s="115"/>
      <c r="AP430" s="115"/>
      <c r="AQ430" s="168"/>
      <c r="AR430" s="79"/>
      <c r="AS430" s="115"/>
      <c r="AT430" s="115"/>
      <c r="AU430" s="115"/>
      <c r="AV430" s="113">
        <f>IFERROR(INDEX('Total Customers'!$F$7:$AB$91,MATCH($C430,'Total Customers'!$D$7:$D$91,0),MATCH($G430,'Total Customers'!$F$5:$AB$5,0)),"NA")</f>
        <v>38960</v>
      </c>
      <c r="AW430" s="68">
        <f t="shared" si="751"/>
        <v>2.5923477596874724E-2</v>
      </c>
      <c r="AX430" s="114"/>
      <c r="AY430" s="114"/>
      <c r="AZ430" s="116"/>
      <c r="BA430" s="116"/>
      <c r="BB430" s="166"/>
      <c r="BC430" s="166"/>
      <c r="BD430" s="166"/>
      <c r="BE430" s="166"/>
      <c r="BF430" s="166"/>
      <c r="BG430" s="166"/>
      <c r="BH430" s="166"/>
      <c r="BI430" s="113"/>
      <c r="BJ430" s="113"/>
      <c r="BK430" s="113">
        <f>INDEX('Dist. Plant Gas Additions'!$F$7:$AE$91,MATCH($C430,'Dist. Plant Gas Additions'!$D$7:$D$91,0),MATCH(Calculation!$G430,'Dist. Plant Gas Additions'!$F$5:$AE$5,0))</f>
        <v>4328</v>
      </c>
      <c r="BL430" s="113">
        <f>INDEX('Gen. Plant Additions'!$F$7:$AE$91,MATCH($C430,'Gen. Plant Additions'!$D$7:$D$91,0),MATCH(Calculation!$G430,'Gen. Plant Additions'!$F$5:$AE$5,0))</f>
        <v>741</v>
      </c>
      <c r="BM430" s="231">
        <f t="shared" si="801"/>
        <v>0.83104289892038086</v>
      </c>
      <c r="BN430" s="61">
        <f t="shared" si="796"/>
        <v>615.8027881000022</v>
      </c>
      <c r="BO430" s="113">
        <f>INDEX('Dist Plant Depreciation'!$E$7:$AD$94,MATCH($C430,'Dist Plant Depreciation'!$D$7:$D$94,0),MATCH(Calculation!$G430,'Dist Plant Depreciation'!$E$5:$AD$5,0))</f>
        <v>19340</v>
      </c>
      <c r="BP430" s="113">
        <f>INDEX('Gen. Plant Depreciation'!$E$7:$AD$94,MATCH($C430,'Gen. Plant Depreciation'!$D$7:$D$94,0),MATCH(Calculation!$G430,'Gen. Plant Depreciation'!$E$5:$AD$5,0))</f>
        <v>8847</v>
      </c>
      <c r="BQ430" s="113"/>
      <c r="BR430" s="113"/>
      <c r="BS430" s="113"/>
      <c r="BT430" s="113"/>
      <c r="BU430" s="113"/>
      <c r="BV430" s="113"/>
      <c r="BW430" s="113">
        <f>INDEX('Gross Dx Plant'!$E$7:$AD$91,MATCH($C430,'Gross Dx Plant'!$D$7:$D$91,0),MATCH(Calculation!$G430,'Gross Dx Plant'!$E$5:$AD$5,0))</f>
        <v>75590</v>
      </c>
      <c r="BX430" s="113">
        <f>INDEX('Gross Gen Plant'!$E$7:$AD$91,MATCH($C430,'Gross Gen Plant'!$D$7:$D$91,0),MATCH(Calculation!$G430,'Gross Gen Plant'!$E$5:$AD$5,0))</f>
        <v>15368</v>
      </c>
      <c r="BY430" s="113">
        <f t="shared" si="753"/>
        <v>62771</v>
      </c>
      <c r="BZ430" s="113"/>
      <c r="CA430" s="116">
        <v>2000</v>
      </c>
      <c r="CB430" s="113"/>
      <c r="CC430" s="113"/>
      <c r="CD430" s="113"/>
      <c r="CE430" s="175"/>
      <c r="CF430" s="113">
        <f t="shared" si="802"/>
        <v>5069</v>
      </c>
      <c r="CG430" s="113">
        <f t="shared" si="803"/>
        <v>14.627725209155548</v>
      </c>
      <c r="CH430" s="178">
        <v>0.98989898989898994</v>
      </c>
      <c r="CI430" s="61">
        <f>+CI428*CH430+CG429*CH429+CG430</f>
        <v>317.3679400406466</v>
      </c>
      <c r="CJ430" s="114">
        <f t="shared" si="804"/>
        <v>4.2032946271473116E-2</v>
      </c>
      <c r="CK430" s="114"/>
      <c r="CL430" s="169">
        <f t="shared" si="805"/>
        <v>5.1405297200043804E-3</v>
      </c>
      <c r="CM430" s="169">
        <f>+(CL430+CL429+CL428)/3</f>
        <v>3.3718846993712769E-3</v>
      </c>
      <c r="CN430" s="114">
        <f>VLOOKUP($H430,RoR!$E:$F,2,FALSE)</f>
        <v>7.6225000000000001E-2</v>
      </c>
      <c r="CO430" s="169">
        <v>2.2568307442433211E-2</v>
      </c>
      <c r="CP430" s="169">
        <f t="shared" ref="CP430:CP450" si="812">+CN430-CO430</f>
        <v>5.365669255756679E-2</v>
      </c>
      <c r="CQ430" s="169"/>
      <c r="CR430" s="169"/>
      <c r="CS430" s="179">
        <f t="shared" si="806"/>
        <v>0.85466708209999998</v>
      </c>
      <c r="CT430" s="180">
        <f t="shared" si="807"/>
        <v>0.67277207323124022</v>
      </c>
      <c r="CU430" s="180">
        <f t="shared" si="808"/>
        <v>0.6470236142997704</v>
      </c>
      <c r="CV430" s="180">
        <f t="shared" si="809"/>
        <v>0.94704866037543145</v>
      </c>
      <c r="CW430" s="180">
        <f t="shared" si="810"/>
        <v>0.41224973107878493</v>
      </c>
      <c r="CX430" s="181">
        <f>INDEX('State Tax Lookup'!$D$7:$Z$91,MATCH(Calculation!$C430,'State Tax Lookup'!$B$7:$B$91,0),MATCH($H430,'State Tax Lookup'!$D$6:$Z$6,0))</f>
        <v>0.39279166999999998</v>
      </c>
      <c r="CY430" s="72">
        <v>0.37</v>
      </c>
      <c r="CZ430" s="70"/>
      <c r="DA430" s="70"/>
      <c r="DB430" s="69"/>
      <c r="DC430" s="111">
        <f>VLOOKUP($H430,RoR!$E:$F,2,FALSE)</f>
        <v>7.6225000000000001E-2</v>
      </c>
      <c r="DD430" s="216">
        <f>HLOOKUP($H430,'GDP-PI'!$D$8:$CQ$11,3,FALSE)</f>
        <v>2.2568307442433211E-2</v>
      </c>
      <c r="DE430" s="111">
        <f>VLOOKUP(H430,'HW Dx Data'!$E:$F,2,FALSE)</f>
        <v>346.53371782150339</v>
      </c>
      <c r="DF430" s="66"/>
      <c r="DG430" s="69"/>
      <c r="DH430" s="66">
        <f>HLOOKUP(H430,'GDP-PI'!$8:$9,2,FALSE)</f>
        <v>78.069000000000003</v>
      </c>
      <c r="DI430"/>
      <c r="DJ430" s="160">
        <v>9.3262927145344623E-4</v>
      </c>
      <c r="EB430"/>
    </row>
    <row r="431" spans="1:132" s="160" customFormat="1" ht="21">
      <c r="A431" s="160" t="s">
        <v>186</v>
      </c>
      <c r="B431" s="161" t="s">
        <v>186</v>
      </c>
      <c r="C431" s="161">
        <v>4057118</v>
      </c>
      <c r="D431" s="161" t="s">
        <v>187</v>
      </c>
      <c r="E431" s="161"/>
      <c r="F431" s="161"/>
      <c r="G431" s="161" t="s">
        <v>111</v>
      </c>
      <c r="H431" s="162">
        <v>2001</v>
      </c>
      <c r="I431" s="163"/>
      <c r="J431" s="159"/>
      <c r="K431" s="159"/>
      <c r="L431" s="159"/>
      <c r="M431" s="60"/>
      <c r="N431" s="152"/>
      <c r="O431" s="60"/>
      <c r="P431" s="60"/>
      <c r="Q431" s="159"/>
      <c r="R431" s="159"/>
      <c r="S431" s="159"/>
      <c r="T431" s="159"/>
      <c r="U431" s="159"/>
      <c r="V431" s="159"/>
      <c r="W431" s="159">
        <f t="shared" si="800"/>
        <v>4068.5679119250772</v>
      </c>
      <c r="X431" s="163"/>
      <c r="Y431" s="167">
        <v>328.04876766255722</v>
      </c>
      <c r="Z431" s="168">
        <v>3.3100484302970655E-2</v>
      </c>
      <c r="AA431" s="78"/>
      <c r="AB431" s="168"/>
      <c r="AC431" s="168"/>
      <c r="AD431" s="163">
        <f t="shared" si="811"/>
        <v>4068.5679119250772</v>
      </c>
      <c r="AE431" s="168"/>
      <c r="AF431" s="163"/>
      <c r="AG431" s="163"/>
      <c r="AH431" s="163"/>
      <c r="AI431" s="163"/>
      <c r="AJ431" s="167"/>
      <c r="AK431" s="168"/>
      <c r="AL431" s="115"/>
      <c r="AM431" s="115"/>
      <c r="AN431" s="115"/>
      <c r="AO431" s="115"/>
      <c r="AP431" s="115"/>
      <c r="AQ431" s="168"/>
      <c r="AR431" s="79"/>
      <c r="AS431" s="115"/>
      <c r="AT431" s="115"/>
      <c r="AU431" s="115"/>
      <c r="AV431" s="113">
        <f>IFERROR(INDEX('Total Customers'!$F$7:$AB$91,MATCH($C431,'Total Customers'!$D$7:$D$91,0),MATCH($G431,'Total Customers'!$F$5:$AB$5,0)),"NA")</f>
        <v>39001</v>
      </c>
      <c r="AW431" s="68">
        <f t="shared" si="751"/>
        <v>1.0518080522275467E-3</v>
      </c>
      <c r="AX431" s="114"/>
      <c r="AY431" s="114"/>
      <c r="AZ431" s="116"/>
      <c r="BA431" s="116"/>
      <c r="BB431" s="166"/>
      <c r="BC431" s="166"/>
      <c r="BD431" s="166"/>
      <c r="BE431" s="166"/>
      <c r="BF431" s="166"/>
      <c r="BG431" s="166"/>
      <c r="BH431" s="166"/>
      <c r="BI431" s="113"/>
      <c r="BJ431" s="113"/>
      <c r="BK431" s="113">
        <f>INDEX('Dist. Plant Gas Additions'!$F$7:$AE$91,MATCH($C431,'Dist. Plant Gas Additions'!$D$7:$D$91,0),MATCH(Calculation!$G431,'Dist. Plant Gas Additions'!$F$5:$AE$5,0))</f>
        <v>3102</v>
      </c>
      <c r="BL431" s="113">
        <f>INDEX('Gen. Plant Additions'!$F$7:$AE$91,MATCH($C431,'Gen. Plant Additions'!$D$7:$D$91,0),MATCH(Calculation!$G431,'Gen. Plant Additions'!$F$5:$AE$5,0))</f>
        <v>1243</v>
      </c>
      <c r="BM431" s="231">
        <f t="shared" si="801"/>
        <v>0.83158675496688739</v>
      </c>
      <c r="BN431" s="61">
        <f t="shared" si="796"/>
        <v>1033.662336423841</v>
      </c>
      <c r="BO431" s="113">
        <f>INDEX('Dist Plant Depreciation'!$E$7:$AD$94,MATCH($C431,'Dist Plant Depreciation'!$D$7:$D$94,0),MATCH(Calculation!$G431,'Dist Plant Depreciation'!$E$5:$AD$5,0))</f>
        <v>21050</v>
      </c>
      <c r="BP431" s="113">
        <f>INDEX('Gen. Plant Depreciation'!$E$7:$AD$94,MATCH($C431,'Gen. Plant Depreciation'!$D$7:$D$94,0),MATCH(Calculation!$G431,'Gen. Plant Depreciation'!$E$5:$AD$5,0))</f>
        <v>9281</v>
      </c>
      <c r="BQ431" s="113"/>
      <c r="BR431" s="113"/>
      <c r="BS431" s="113"/>
      <c r="BT431" s="113"/>
      <c r="BU431" s="113"/>
      <c r="BV431" s="113"/>
      <c r="BW431" s="113">
        <f>INDEX('Gross Dx Plant'!$E$7:$AD$91,MATCH($C431,'Gross Dx Plant'!$D$7:$D$91,0),MATCH(Calculation!$G431,'Gross Dx Plant'!$E$5:$AD$5,0))</f>
        <v>78481</v>
      </c>
      <c r="BX431" s="113">
        <f>INDEX('Gross Gen Plant'!$E$7:$AD$91,MATCH($C431,'Gross Gen Plant'!$D$7:$D$91,0),MATCH(Calculation!$G431,'Gross Gen Plant'!$E$5:$AD$5,0))</f>
        <v>15894</v>
      </c>
      <c r="BY431" s="113">
        <f t="shared" si="753"/>
        <v>64044</v>
      </c>
      <c r="BZ431" s="113"/>
      <c r="CA431" s="116">
        <v>2001</v>
      </c>
      <c r="CB431" s="113"/>
      <c r="CC431" s="113"/>
      <c r="CD431" s="113"/>
      <c r="CE431" s="175"/>
      <c r="CF431" s="113">
        <f t="shared" si="802"/>
        <v>4345</v>
      </c>
      <c r="CG431" s="113">
        <f t="shared" si="803"/>
        <v>12.293201884395812</v>
      </c>
      <c r="CH431" s="178">
        <v>0.98461538461538467</v>
      </c>
      <c r="CI431" s="61">
        <f>+CI428*CH431+CG429*CH430+CG430*CH428+CG431</f>
        <v>328.04876766255722</v>
      </c>
      <c r="CJ431" s="114">
        <f t="shared" si="804"/>
        <v>3.3100484302970655E-2</v>
      </c>
      <c r="CK431" s="114"/>
      <c r="CL431" s="169">
        <f t="shared" si="805"/>
        <v>5.0804572833622859E-3</v>
      </c>
      <c r="CM431" s="169">
        <f t="shared" ref="CM431:CM450" si="813">+(CL431+CL430+CL429)/3</f>
        <v>5.0653704604920391E-3</v>
      </c>
      <c r="CN431" s="114">
        <f>VLOOKUP($H431,RoR!$E:$F,2,FALSE)</f>
        <v>7.0824999999999999E-2</v>
      </c>
      <c r="CO431" s="169">
        <v>2.2454495382290052E-2</v>
      </c>
      <c r="CP431" s="169">
        <f t="shared" si="812"/>
        <v>4.8370504617709947E-2</v>
      </c>
      <c r="CQ431" s="169">
        <f>+$CP$2-CM431</f>
        <v>2.5836571148041585E-2</v>
      </c>
      <c r="CR431" s="169">
        <f>+((DE429/DE428-1)+(DE430/DE429-1)+(DE431/DE430-1))/3</f>
        <v>2.3947275901631187E-2</v>
      </c>
      <c r="CS431" s="179">
        <f t="shared" si="806"/>
        <v>0.85466708209999998</v>
      </c>
      <c r="CT431" s="180">
        <f t="shared" si="807"/>
        <v>0.72406708481540816</v>
      </c>
      <c r="CU431" s="180">
        <f t="shared" si="808"/>
        <v>0.62201729615248857</v>
      </c>
      <c r="CV431" s="180">
        <f t="shared" si="809"/>
        <v>0.9352469954311422</v>
      </c>
      <c r="CW431" s="180">
        <f t="shared" si="810"/>
        <v>0.42121864641655071</v>
      </c>
      <c r="CX431" s="181">
        <f>INDEX('State Tax Lookup'!$D$7:$Z$91,MATCH(Calculation!$C431,'State Tax Lookup'!$B$7:$B$91,0),MATCH($H431,'State Tax Lookup'!$D$6:$Z$6,0))</f>
        <v>0.39279166999999998</v>
      </c>
      <c r="CY431" s="72">
        <v>0.37</v>
      </c>
      <c r="CZ431" s="70">
        <f t="shared" ref="CZ431:CZ452" si="814">+(DE431*CQ431-CR431)*CS431/(1-CX431)</f>
        <v>12.819719318227289</v>
      </c>
      <c r="DA431" s="70"/>
      <c r="DB431" s="69"/>
      <c r="DC431" s="111">
        <f>VLOOKUP($H431,RoR!$E:$F,2,FALSE)</f>
        <v>7.0824999999999999E-2</v>
      </c>
      <c r="DD431" s="216">
        <f>HLOOKUP($H431,'GDP-PI'!$D$8:$CQ$11,3,FALSE)</f>
        <v>2.2454495382290052E-2</v>
      </c>
      <c r="DE431" s="111">
        <f>VLOOKUP(H431,'HW Dx Data'!$E:$F,2,FALSE)</f>
        <v>353.44738017483138</v>
      </c>
      <c r="DF431" s="66"/>
      <c r="DG431" s="69"/>
      <c r="DH431" s="66">
        <f>HLOOKUP(H431,'GDP-PI'!$8:$9,2,FALSE)</f>
        <v>79.822000000000003</v>
      </c>
      <c r="DI431"/>
      <c r="DJ431" s="160">
        <v>2.2420051132432027E-2</v>
      </c>
      <c r="EB431"/>
    </row>
    <row r="432" spans="1:132" s="160" customFormat="1" ht="21">
      <c r="A432" s="160" t="s">
        <v>186</v>
      </c>
      <c r="B432" s="161" t="s">
        <v>186</v>
      </c>
      <c r="C432" s="161">
        <v>4057118</v>
      </c>
      <c r="D432" s="161" t="s">
        <v>187</v>
      </c>
      <c r="E432" s="161"/>
      <c r="F432" s="161"/>
      <c r="G432" s="161" t="s">
        <v>113</v>
      </c>
      <c r="H432" s="162">
        <v>2002</v>
      </c>
      <c r="I432" s="163"/>
      <c r="J432" s="159"/>
      <c r="K432" s="159"/>
      <c r="L432" s="159"/>
      <c r="M432" s="60"/>
      <c r="N432" s="152"/>
      <c r="O432" s="60"/>
      <c r="P432" s="60"/>
      <c r="Q432" s="159"/>
      <c r="R432" s="159"/>
      <c r="S432" s="159"/>
      <c r="T432" s="159"/>
      <c r="U432" s="159"/>
      <c r="V432" s="159"/>
      <c r="W432" s="159">
        <f t="shared" si="800"/>
        <v>4258.5373829079963</v>
      </c>
      <c r="X432" s="163"/>
      <c r="Y432" s="167">
        <v>341.8573065516652</v>
      </c>
      <c r="Z432" s="168">
        <v>4.1231138461789739E-2</v>
      </c>
      <c r="AA432" s="78"/>
      <c r="AB432" s="168"/>
      <c r="AC432" s="168"/>
      <c r="AD432" s="163">
        <f t="shared" si="811"/>
        <v>4258.5373829079963</v>
      </c>
      <c r="AE432" s="168"/>
      <c r="AF432" s="163"/>
      <c r="AG432" s="163"/>
      <c r="AH432" s="163"/>
      <c r="AI432" s="163"/>
      <c r="AJ432" s="167"/>
      <c r="AK432" s="168"/>
      <c r="AL432" s="115"/>
      <c r="AM432" s="115"/>
      <c r="AN432" s="115"/>
      <c r="AO432" s="115"/>
      <c r="AP432" s="115"/>
      <c r="AQ432" s="168"/>
      <c r="AR432" s="79"/>
      <c r="AS432" s="115"/>
      <c r="AT432" s="115"/>
      <c r="AU432" s="115"/>
      <c r="AV432" s="113">
        <f>IFERROR(INDEX('Total Customers'!$F$7:$AB$91,MATCH($C432,'Total Customers'!$D$7:$D$91,0),MATCH($G432,'Total Customers'!$F$5:$AB$5,0)),"NA")</f>
        <v>39123</v>
      </c>
      <c r="AW432" s="68">
        <f t="shared" si="751"/>
        <v>3.1232425163123753E-3</v>
      </c>
      <c r="AX432" s="114"/>
      <c r="AY432" s="114"/>
      <c r="AZ432" s="116"/>
      <c r="BA432" s="116"/>
      <c r="BB432" s="166"/>
      <c r="BC432" s="166"/>
      <c r="BD432" s="166"/>
      <c r="BE432" s="166"/>
      <c r="BF432" s="166"/>
      <c r="BG432" s="166"/>
      <c r="BH432" s="166"/>
      <c r="BI432" s="113"/>
      <c r="BJ432" s="113"/>
      <c r="BK432" s="113">
        <f>INDEX('Dist. Plant Gas Additions'!$F$7:$AE$91,MATCH($C432,'Dist. Plant Gas Additions'!$D$7:$D$91,0),MATCH(Calculation!$G432,'Dist. Plant Gas Additions'!$F$5:$AE$5,0))</f>
        <v>2590</v>
      </c>
      <c r="BL432" s="113">
        <f>INDEX('Gen. Plant Additions'!$F$7:$AE$91,MATCH($C432,'Gen. Plant Additions'!$D$7:$D$91,0),MATCH(Calculation!$G432,'Gen. Plant Additions'!$F$5:$AE$5,0))</f>
        <v>3076</v>
      </c>
      <c r="BM432" s="231">
        <f t="shared" si="801"/>
        <v>0.81917811001868857</v>
      </c>
      <c r="BN432" s="61">
        <f t="shared" si="796"/>
        <v>2519.7918664174858</v>
      </c>
      <c r="BO432" s="113">
        <f>INDEX('Dist Plant Depreciation'!$E$7:$AD$94,MATCH($C432,'Dist Plant Depreciation'!$D$7:$D$94,0),MATCH(Calculation!$G432,'Dist Plant Depreciation'!$E$5:$AD$5,0))</f>
        <v>22667</v>
      </c>
      <c r="BP432" s="113">
        <f>INDEX('Gen. Plant Depreciation'!$E$7:$AD$94,MATCH($C432,'Gen. Plant Depreciation'!$D$7:$D$94,0),MATCH(Calculation!$G432,'Gen. Plant Depreciation'!$E$5:$AD$5,0))</f>
        <v>9247</v>
      </c>
      <c r="BQ432" s="113"/>
      <c r="BR432" s="113"/>
      <c r="BS432" s="113"/>
      <c r="BT432" s="113"/>
      <c r="BU432" s="113"/>
      <c r="BV432" s="113"/>
      <c r="BW432" s="113">
        <f>INDEX('Gross Dx Plant'!$E$7:$AD$91,MATCH($C432,'Gross Dx Plant'!$D$7:$D$91,0),MATCH(Calculation!$G432,'Gross Dx Plant'!$E$5:$AD$5,0))</f>
        <v>80653</v>
      </c>
      <c r="BX432" s="113">
        <f>INDEX('Gross Gen Plant'!$E$7:$AD$91,MATCH($C432,'Gross Gen Plant'!$D$7:$D$91,0),MATCH(Calculation!$G432,'Gross Gen Plant'!$E$5:$AD$5,0))</f>
        <v>17803</v>
      </c>
      <c r="BY432" s="113">
        <f t="shared" si="753"/>
        <v>66542</v>
      </c>
      <c r="BZ432" s="113"/>
      <c r="CA432" s="116">
        <v>2002</v>
      </c>
      <c r="CB432" s="113"/>
      <c r="CC432" s="113"/>
      <c r="CD432" s="113"/>
      <c r="CE432" s="175"/>
      <c r="CF432" s="113">
        <f t="shared" si="802"/>
        <v>5666</v>
      </c>
      <c r="CG432" s="113">
        <f t="shared" si="803"/>
        <v>15.680168151645724</v>
      </c>
      <c r="CH432" s="178">
        <v>0.97916666666666663</v>
      </c>
      <c r="CI432" s="61">
        <f>+CI428*CH432+CG429*CH431+CG430*CH430+CG431*CH429+CG432</f>
        <v>341.8573065516652</v>
      </c>
      <c r="CJ432" s="114">
        <f t="shared" si="804"/>
        <v>4.1231138461789739E-2</v>
      </c>
      <c r="CK432" s="114"/>
      <c r="CL432" s="169">
        <f t="shared" si="805"/>
        <v>5.7053384954732405E-3</v>
      </c>
      <c r="CM432" s="169">
        <f t="shared" si="813"/>
        <v>5.308775166279968E-3</v>
      </c>
      <c r="CN432" s="114">
        <f>VLOOKUP($H432,RoR!$E:$F,2,FALSE)</f>
        <v>6.4916666666666664E-2</v>
      </c>
      <c r="CO432" s="169">
        <v>1.5246423291824351E-2</v>
      </c>
      <c r="CP432" s="169">
        <f t="shared" si="812"/>
        <v>4.9670243374842313E-2</v>
      </c>
      <c r="CQ432" s="169">
        <f t="shared" ref="CQ432:CQ452" si="815">+$CP$2-CM432</f>
        <v>2.5593166442253658E-2</v>
      </c>
      <c r="CR432" s="169">
        <f t="shared" ref="CR432:CR452" si="816">+((DE430/DE429-1)+(DE431/DE430-1)+(DE432/DE431-1))/3</f>
        <v>2.5243621214759093E-2</v>
      </c>
      <c r="CS432" s="179">
        <f t="shared" si="806"/>
        <v>0.85466708209999998</v>
      </c>
      <c r="CT432" s="180">
        <f t="shared" si="807"/>
        <v>0.78996741384417901</v>
      </c>
      <c r="CU432" s="180">
        <f t="shared" si="808"/>
        <v>0.58989088575096271</v>
      </c>
      <c r="CV432" s="180">
        <f t="shared" si="809"/>
        <v>0.91920675783645744</v>
      </c>
      <c r="CW432" s="180">
        <f t="shared" si="810"/>
        <v>0.42834536472275586</v>
      </c>
      <c r="CX432" s="181">
        <f>INDEX('State Tax Lookup'!$D$7:$Z$91,MATCH(Calculation!$C432,'State Tax Lookup'!$B$7:$B$91,0),MATCH($H432,'State Tax Lookup'!$D$6:$Z$6,0))</f>
        <v>0.39279166999999998</v>
      </c>
      <c r="CY432" s="72">
        <v>0.37</v>
      </c>
      <c r="CZ432" s="70">
        <f t="shared" si="814"/>
        <v>12.98141557809015</v>
      </c>
      <c r="DA432" s="70"/>
      <c r="DB432" s="69">
        <f>LN(CZ432/CZ431)</f>
        <v>1.2534206535176336E-2</v>
      </c>
      <c r="DC432" s="111">
        <f>VLOOKUP($H432,RoR!$E:$F,2,FALSE)</f>
        <v>6.4916666666666664E-2</v>
      </c>
      <c r="DD432" s="216">
        <f>HLOOKUP($H432,'GDP-PI'!$D$8:$CQ$11,3,FALSE)</f>
        <v>1.5246423291824351E-2</v>
      </c>
      <c r="DE432" s="111">
        <f>VLOOKUP(H432,'HW Dx Data'!$E:$F,2,FALSE)</f>
        <v>361.34816573413599</v>
      </c>
      <c r="DF432" s="66"/>
      <c r="DG432" s="69"/>
      <c r="DH432" s="66">
        <f>HLOOKUP(H432,'GDP-PI'!$8:$9,2,FALSE)</f>
        <v>81.039000000000001</v>
      </c>
      <c r="DI432" s="69">
        <f>LN(DH432/DH431)</f>
        <v>1.513136459537477E-2</v>
      </c>
      <c r="DJ432" s="160">
        <v>7.3593382416691673E-3</v>
      </c>
      <c r="EB432"/>
    </row>
    <row r="433" spans="1:132" s="160" customFormat="1" ht="21">
      <c r="A433" s="160" t="s">
        <v>186</v>
      </c>
      <c r="B433" s="161" t="s">
        <v>186</v>
      </c>
      <c r="C433" s="161">
        <v>4057118</v>
      </c>
      <c r="D433" s="161" t="s">
        <v>187</v>
      </c>
      <c r="E433" s="161"/>
      <c r="F433" s="161"/>
      <c r="G433" s="161" t="s">
        <v>114</v>
      </c>
      <c r="H433" s="162">
        <v>2003</v>
      </c>
      <c r="I433" s="163"/>
      <c r="J433" s="159"/>
      <c r="K433" s="159"/>
      <c r="L433" s="159"/>
      <c r="M433" s="76"/>
      <c r="N433" s="152"/>
      <c r="O433" s="76"/>
      <c r="P433" s="76"/>
      <c r="Q433" s="159"/>
      <c r="R433" s="159"/>
      <c r="S433" s="159"/>
      <c r="T433" s="159"/>
      <c r="U433" s="159"/>
      <c r="V433" s="159"/>
      <c r="W433" s="159">
        <f t="shared" si="800"/>
        <v>4506.189143195832</v>
      </c>
      <c r="X433" s="163"/>
      <c r="Y433" s="167">
        <v>357.39218986847186</v>
      </c>
      <c r="Z433" s="168">
        <v>4.4440332160257522E-2</v>
      </c>
      <c r="AA433" s="78"/>
      <c r="AB433" s="168"/>
      <c r="AC433" s="168"/>
      <c r="AD433" s="163">
        <f t="shared" si="811"/>
        <v>4506.189143195832</v>
      </c>
      <c r="AE433" s="168"/>
      <c r="AF433" s="163"/>
      <c r="AG433" s="163"/>
      <c r="AH433" s="163"/>
      <c r="AI433" s="163"/>
      <c r="AJ433" s="167"/>
      <c r="AK433" s="168"/>
      <c r="AL433" s="115"/>
      <c r="AM433" s="115"/>
      <c r="AN433" s="115"/>
      <c r="AO433" s="115"/>
      <c r="AP433" s="115"/>
      <c r="AQ433" s="168"/>
      <c r="AR433" s="79"/>
      <c r="AS433" s="115"/>
      <c r="AT433" s="115"/>
      <c r="AU433" s="115"/>
      <c r="AV433" s="113">
        <f>IFERROR(INDEX('Total Customers'!$F$7:$AB$91,MATCH($C433,'Total Customers'!$D$7:$D$91,0),MATCH($G433,'Total Customers'!$F$5:$AB$5,0)),"NA")</f>
        <v>39190</v>
      </c>
      <c r="AW433" s="68">
        <f t="shared" si="751"/>
        <v>1.7110828686656564E-3</v>
      </c>
      <c r="AX433" s="114"/>
      <c r="AY433" s="114"/>
      <c r="AZ433" s="116"/>
      <c r="BA433" s="116"/>
      <c r="BB433" s="166"/>
      <c r="BC433" s="166"/>
      <c r="BD433" s="166"/>
      <c r="BE433" s="166"/>
      <c r="BF433" s="166"/>
      <c r="BG433" s="166"/>
      <c r="BH433" s="166"/>
      <c r="BI433" s="113"/>
      <c r="BJ433" s="113"/>
      <c r="BK433" s="113">
        <f>INDEX('Dist. Plant Gas Additions'!$F$7:$AE$91,MATCH($C433,'Dist. Plant Gas Additions'!$D$7:$D$91,0),MATCH(Calculation!$G433,'Dist. Plant Gas Additions'!$F$5:$AE$5,0))</f>
        <v>4452</v>
      </c>
      <c r="BL433" s="113">
        <f>INDEX('Gen. Plant Additions'!$F$7:$AE$91,MATCH($C433,'Gen. Plant Additions'!$D$7:$D$91,0),MATCH(Calculation!$G433,'Gen. Plant Additions'!$F$5:$AE$5,0))</f>
        <v>1998</v>
      </c>
      <c r="BM433" s="231">
        <f t="shared" si="801"/>
        <v>0.81772076372315039</v>
      </c>
      <c r="BN433" s="61">
        <f t="shared" si="796"/>
        <v>1633.8060859188545</v>
      </c>
      <c r="BO433" s="113">
        <f>INDEX('Dist Plant Depreciation'!$E$7:$AD$94,MATCH($C433,'Dist Plant Depreciation'!$D$7:$D$94,0),MATCH(Calculation!$G433,'Dist Plant Depreciation'!$E$5:$AD$5,0))</f>
        <v>24640</v>
      </c>
      <c r="BP433" s="113">
        <f>INDEX('Gen. Plant Depreciation'!$E$7:$AD$94,MATCH($C433,'Gen. Plant Depreciation'!$D$7:$D$94,0),MATCH(Calculation!$G433,'Gen. Plant Depreciation'!$E$5:$AD$5,0))</f>
        <v>9655</v>
      </c>
      <c r="BQ433" s="113"/>
      <c r="BR433" s="113"/>
      <c r="BS433" s="113"/>
      <c r="BT433" s="113"/>
      <c r="BU433" s="113"/>
      <c r="BV433" s="113"/>
      <c r="BW433" s="113">
        <f>INDEX('Gross Dx Plant'!$E$7:$AD$91,MATCH($C433,'Gross Dx Plant'!$D$7:$D$91,0),MATCH(Calculation!$G433,'Gross Dx Plant'!$E$5:$AD$5,0))</f>
        <v>84971</v>
      </c>
      <c r="BX433" s="113">
        <f>INDEX('Gross Gen Plant'!$E$7:$AD$91,MATCH($C433,'Gross Gen Plant'!$D$7:$D$91,0),MATCH(Calculation!$G433,'Gross Gen Plant'!$E$5:$AD$5,0))</f>
        <v>18941</v>
      </c>
      <c r="BY433" s="113">
        <f t="shared" si="753"/>
        <v>69617</v>
      </c>
      <c r="BZ433" s="113"/>
      <c r="CA433" s="116">
        <v>2003</v>
      </c>
      <c r="CB433" s="113"/>
      <c r="CC433" s="113"/>
      <c r="CD433" s="113"/>
      <c r="CE433" s="175"/>
      <c r="CF433" s="113">
        <f t="shared" si="802"/>
        <v>6450</v>
      </c>
      <c r="CG433" s="113">
        <f t="shared" si="803"/>
        <v>17.468643941956682</v>
      </c>
      <c r="CH433" s="178">
        <v>0.97354497354497349</v>
      </c>
      <c r="CI433" s="61">
        <f>+CI428*CH433+CG429*CH432+CG430*CH431+CG431*CH430+CG432*CH429+CG433</f>
        <v>357.39218986847186</v>
      </c>
      <c r="CJ433" s="114">
        <f t="shared" si="804"/>
        <v>4.4440332160257522E-2</v>
      </c>
      <c r="CK433" s="114"/>
      <c r="CL433" s="169">
        <f t="shared" si="805"/>
        <v>5.6566309629476194E-3</v>
      </c>
      <c r="CM433" s="169">
        <f t="shared" si="813"/>
        <v>5.480808913927715E-3</v>
      </c>
      <c r="CN433" s="114">
        <f>VLOOKUP($H433,RoR!$E:$F,2,FALSE)</f>
        <v>5.6666666666666671E-2</v>
      </c>
      <c r="CO433" s="169">
        <v>1.8855119140166909E-2</v>
      </c>
      <c r="CP433" s="169">
        <f t="shared" si="812"/>
        <v>3.7811547526499761E-2</v>
      </c>
      <c r="CQ433" s="169">
        <f t="shared" si="815"/>
        <v>2.542113269460591E-2</v>
      </c>
      <c r="CR433" s="169">
        <f t="shared" si="816"/>
        <v>2.1375012817671957E-2</v>
      </c>
      <c r="CS433" s="179">
        <f t="shared" si="806"/>
        <v>0.85466708209999998</v>
      </c>
      <c r="CT433" s="180">
        <f t="shared" si="807"/>
        <v>0.90497737556561086</v>
      </c>
      <c r="CU433" s="180">
        <f t="shared" si="808"/>
        <v>0.5338235294117647</v>
      </c>
      <c r="CV433" s="180">
        <f t="shared" si="809"/>
        <v>0.88972433127405692</v>
      </c>
      <c r="CW433" s="180">
        <f t="shared" si="810"/>
        <v>0.42982423775949252</v>
      </c>
      <c r="CX433" s="181">
        <f>INDEX('State Tax Lookup'!$D$7:$Z$91,MATCH(Calculation!$C433,'State Tax Lookup'!$B$7:$B$91,0),MATCH($H433,'State Tax Lookup'!$D$6:$Z$6,0))</f>
        <v>0.39279166999999998</v>
      </c>
      <c r="CY433" s="72">
        <v>0.37</v>
      </c>
      <c r="CZ433" s="70">
        <f t="shared" si="814"/>
        <v>13.181491390808718</v>
      </c>
      <c r="DA433" s="70"/>
      <c r="DB433" s="69">
        <f t="shared" ref="DB433:DB452" si="817">LN(CZ433/CZ432)</f>
        <v>1.5294914538815157E-2</v>
      </c>
      <c r="DC433" s="111">
        <f>VLOOKUP($H433,RoR!$E:$F,2,FALSE)</f>
        <v>5.6666666666666671E-2</v>
      </c>
      <c r="DD433" s="216">
        <f>HLOOKUP($H433,'GDP-PI'!$D$8:$CQ$11,3,FALSE)</f>
        <v>1.8855119140166909E-2</v>
      </c>
      <c r="DE433" s="111">
        <f>VLOOKUP(H433,'HW Dx Data'!$E:$F,2,FALSE)</f>
        <v>369.23301095560191</v>
      </c>
      <c r="DF433" s="66"/>
      <c r="DG433" s="69"/>
      <c r="DH433" s="66">
        <f>HLOOKUP(H433,'GDP-PI'!$8:$9,2,FALSE)</f>
        <v>82.566999999999993</v>
      </c>
      <c r="DI433" s="69">
        <f t="shared" ref="DI433:DI452" si="818">LN(DH433/DH432)</f>
        <v>1.8679564681853753E-2</v>
      </c>
      <c r="DJ433" s="160">
        <v>3.740588547769981E-2</v>
      </c>
      <c r="EB433"/>
    </row>
    <row r="434" spans="1:132" s="160" customFormat="1" ht="21">
      <c r="A434" s="160" t="s">
        <v>186</v>
      </c>
      <c r="B434" s="161" t="s">
        <v>186</v>
      </c>
      <c r="C434" s="161">
        <v>4057118</v>
      </c>
      <c r="D434" s="161" t="s">
        <v>187</v>
      </c>
      <c r="E434" s="161"/>
      <c r="F434" s="161"/>
      <c r="G434" s="161" t="s">
        <v>115</v>
      </c>
      <c r="H434" s="162">
        <v>2004</v>
      </c>
      <c r="I434" s="163"/>
      <c r="J434" s="159">
        <f>IFERROR(INDEX('Labor Expenditures'!$F$7:$X$91,MATCH($C434,'Labor Expenditures'!$D$7:$D$91,0),MATCH($G434,'Labor Expenditures'!$F$5:$X$5,0)),"NA")</f>
        <v>3050.8507059750482</v>
      </c>
      <c r="K434" s="159">
        <f t="shared" ref="K434:K452" si="819">+J434/DF434</f>
        <v>32.335460582671416</v>
      </c>
      <c r="L434" s="165"/>
      <c r="M434" s="76"/>
      <c r="N434" s="152"/>
      <c r="O434" s="76"/>
      <c r="P434" s="76"/>
      <c r="Q434" s="159">
        <f>IFERROR(INDEX('Non-Labor Expenditures'!$F$7:$AB$91,MATCH($C434,'Non-Labor Expenditures'!$D$7:$D$91,0),MATCH($G434,'Non-Labor Expenditures'!$F$5:$AB$5,0)),"NA")</f>
        <v>4418.20164256302</v>
      </c>
      <c r="R434" s="159">
        <f t="shared" ref="R434:R452" si="820">+Q434/DH434</f>
        <v>52.114954853417395</v>
      </c>
      <c r="S434" s="159"/>
      <c r="T434" s="159"/>
      <c r="U434" s="159"/>
      <c r="V434" s="159"/>
      <c r="W434" s="159">
        <f t="shared" si="800"/>
        <v>5225.4309001623542</v>
      </c>
      <c r="X434" s="163"/>
      <c r="Y434" s="167">
        <v>365.74609019971837</v>
      </c>
      <c r="Z434" s="168">
        <v>2.3105600174706149E-2</v>
      </c>
      <c r="AA434" s="76">
        <f t="shared" ref="AA434:AA452" si="821">+Z434*$AR434</f>
        <v>0</v>
      </c>
      <c r="AB434" s="168"/>
      <c r="AC434" s="168"/>
      <c r="AD434" s="163">
        <f t="shared" si="811"/>
        <v>12694.483248700422</v>
      </c>
      <c r="AE434" s="168"/>
      <c r="AF434" s="163"/>
      <c r="AG434" s="163"/>
      <c r="AH434" s="163"/>
      <c r="AI434" s="163"/>
      <c r="AJ434" s="167"/>
      <c r="AK434" s="168"/>
      <c r="AL434" s="115">
        <f t="shared" ref="AL434:AL452" si="822">+J434/AD434</f>
        <v>0.2403288614593567</v>
      </c>
      <c r="AM434" s="115">
        <f t="shared" ref="AM434:AM452" si="823">+Q434/AD434</f>
        <v>0.34804107863274597</v>
      </c>
      <c r="AN434" s="115">
        <f t="shared" ref="AN434:AN452" si="824">+W434/AD434</f>
        <v>0.41163005990789736</v>
      </c>
      <c r="AO434" s="115"/>
      <c r="AP434" s="115"/>
      <c r="AQ434" s="168"/>
      <c r="AR434" s="79"/>
      <c r="AS434" s="115"/>
      <c r="AT434" s="115"/>
      <c r="AU434" s="115"/>
      <c r="AV434" s="113">
        <f>IFERROR(INDEX('Total Customers'!$F$7:$AB$91,MATCH($C434,'Total Customers'!$D$7:$D$91,0),MATCH($G434,'Total Customers'!$F$5:$AB$5,0)),"NA")</f>
        <v>38862</v>
      </c>
      <c r="AW434" s="68">
        <f t="shared" si="751"/>
        <v>-8.4047027827050449E-3</v>
      </c>
      <c r="AX434" s="114"/>
      <c r="AY434" s="114"/>
      <c r="AZ434" s="116"/>
      <c r="BA434" s="116"/>
      <c r="BB434" s="166"/>
      <c r="BC434" s="166"/>
      <c r="BD434" s="166"/>
      <c r="BE434" s="166"/>
      <c r="BF434" s="166"/>
      <c r="BG434" s="166"/>
      <c r="BH434" s="166"/>
      <c r="BI434" s="113"/>
      <c r="BJ434" s="113"/>
      <c r="BK434" s="113">
        <f>INDEX('Dist. Plant Gas Additions'!$F$7:$AE$91,MATCH($C434,'Dist. Plant Gas Additions'!$D$7:$D$91,0),MATCH(Calculation!$G434,'Dist. Plant Gas Additions'!$F$5:$AE$5,0))</f>
        <v>3082</v>
      </c>
      <c r="BL434" s="113">
        <f>INDEX('Gen. Plant Additions'!$F$7:$AE$91,MATCH($C434,'Gen. Plant Additions'!$D$7:$D$91,0),MATCH(Calculation!$G434,'Gen. Plant Additions'!$F$5:$AE$5,0))</f>
        <v>1248</v>
      </c>
      <c r="BM434" s="231">
        <f t="shared" si="801"/>
        <v>0.8218834751706724</v>
      </c>
      <c r="BN434" s="61">
        <f t="shared" si="796"/>
        <v>1025.7105770129992</v>
      </c>
      <c r="BO434" s="113">
        <f>INDEX('Dist Plant Depreciation'!$E$7:$AD$94,MATCH($C434,'Dist Plant Depreciation'!$D$7:$D$94,0),MATCH(Calculation!$G434,'Dist Plant Depreciation'!$E$5:$AD$5,0))</f>
        <v>25847</v>
      </c>
      <c r="BP434" s="113">
        <f>INDEX('Gen. Plant Depreciation'!$E$7:$AD$94,MATCH($C434,'Gen. Plant Depreciation'!$D$7:$D$94,0),MATCH(Calculation!$G434,'Gen. Plant Depreciation'!$E$5:$AD$5,0))</f>
        <v>9640</v>
      </c>
      <c r="BQ434" s="113"/>
      <c r="BR434" s="113"/>
      <c r="BS434" s="113"/>
      <c r="BT434" s="113"/>
      <c r="BU434" s="113"/>
      <c r="BV434" s="113"/>
      <c r="BW434" s="113">
        <f>INDEX('Gross Dx Plant'!$E$7:$AD$91,MATCH($C434,'Gross Dx Plant'!$D$7:$D$91,0),MATCH(Calculation!$G434,'Gross Dx Plant'!$E$5:$AD$5,0))</f>
        <v>87884</v>
      </c>
      <c r="BX434" s="113">
        <f>INDEX('Gross Gen Plant'!$E$7:$AD$91,MATCH($C434,'Gross Gen Plant'!$D$7:$D$91,0),MATCH(Calculation!$G434,'Gross Gen Plant'!$E$5:$AD$5,0))</f>
        <v>19046</v>
      </c>
      <c r="BY434" s="113">
        <f t="shared" si="753"/>
        <v>71443</v>
      </c>
      <c r="BZ434" s="113"/>
      <c r="CA434" s="116">
        <v>2004</v>
      </c>
      <c r="CB434" s="113"/>
      <c r="CC434" s="113"/>
      <c r="CD434" s="113"/>
      <c r="CE434" s="175"/>
      <c r="CF434" s="113">
        <f t="shared" si="802"/>
        <v>4330</v>
      </c>
      <c r="CG434" s="113">
        <f t="shared" si="803"/>
        <v>10.436571892920567</v>
      </c>
      <c r="CH434" s="178">
        <v>0.967741935483871</v>
      </c>
      <c r="CI434" s="61">
        <f>+CI428*CH434+CG429*CH433+CG430*CH432+CG431*CH431+CG432*CH430+CG433*CH429+CG434</f>
        <v>365.74609019971837</v>
      </c>
      <c r="CJ434" s="114">
        <f t="shared" si="804"/>
        <v>2.3105600174706149E-2</v>
      </c>
      <c r="CK434" s="114"/>
      <c r="CL434" s="169">
        <f t="shared" si="805"/>
        <v>5.8274120719888373E-3</v>
      </c>
      <c r="CM434" s="169">
        <f t="shared" si="813"/>
        <v>5.7297938434698985E-3</v>
      </c>
      <c r="CN434" s="114">
        <f>VLOOKUP($H434,RoR!$E:$F,2,FALSE)</f>
        <v>5.6283333333333331E-2</v>
      </c>
      <c r="CO434" s="169">
        <v>2.6778252812867276E-2</v>
      </c>
      <c r="CP434" s="169">
        <f t="shared" si="812"/>
        <v>2.9505080520466055E-2</v>
      </c>
      <c r="CQ434" s="169">
        <f t="shared" si="815"/>
        <v>2.5172147765063727E-2</v>
      </c>
      <c r="CR434" s="169">
        <f t="shared" si="816"/>
        <v>5.5940039414565046E-2</v>
      </c>
      <c r="CS434" s="179">
        <f t="shared" si="806"/>
        <v>0.85466708209999998</v>
      </c>
      <c r="CT434" s="180">
        <f t="shared" si="807"/>
        <v>0.91114097628755619</v>
      </c>
      <c r="CU434" s="180">
        <f t="shared" si="808"/>
        <v>0.53081877405981637</v>
      </c>
      <c r="CV434" s="180">
        <f t="shared" si="809"/>
        <v>0.88811215519385678</v>
      </c>
      <c r="CW434" s="180">
        <f t="shared" si="810"/>
        <v>0.42953609753547711</v>
      </c>
      <c r="CX434" s="181">
        <f>INDEX('State Tax Lookup'!$D$7:$Z$91,MATCH(Calculation!$C434,'State Tax Lookup'!$B$7:$B$91,0),MATCH($H434,'State Tax Lookup'!$D$6:$Z$6,0))</f>
        <v>0.39279166999999998</v>
      </c>
      <c r="CY434" s="72">
        <v>0.37</v>
      </c>
      <c r="CZ434" s="70">
        <f t="shared" si="814"/>
        <v>14.620999138468658</v>
      </c>
      <c r="DA434" s="70"/>
      <c r="DB434" s="69">
        <f t="shared" si="817"/>
        <v>0.10364511423825364</v>
      </c>
      <c r="DC434" s="111">
        <f>VLOOKUP($H434,RoR!$E:$F,2,FALSE)</f>
        <v>5.6283333333333331E-2</v>
      </c>
      <c r="DD434" s="216">
        <f>HLOOKUP($H434,'GDP-PI'!$D$8:$CQ$11,3,FALSE)</f>
        <v>2.6778252812867276E-2</v>
      </c>
      <c r="DE434" s="111">
        <f>VLOOKUP(H434,'HW Dx Data'!$E:$F,2,FALSE)</f>
        <v>414.88719135228365</v>
      </c>
      <c r="DF434" s="72">
        <f>VLOOKUP(G434,EG$8:EH$27,2,FALSE)</f>
        <v>94.35</v>
      </c>
      <c r="DG434" s="69"/>
      <c r="DH434" s="66">
        <f>HLOOKUP(H434,'GDP-PI'!$8:$9,2,FALSE)</f>
        <v>84.778000000000006</v>
      </c>
      <c r="DI434" s="69">
        <f t="shared" si="818"/>
        <v>2.6425990216022755E-2</v>
      </c>
      <c r="DJ434" s="160">
        <v>1.1866993807196297E-2</v>
      </c>
      <c r="EB434"/>
    </row>
    <row r="435" spans="1:132" s="160" customFormat="1" ht="21">
      <c r="A435" s="160" t="s">
        <v>186</v>
      </c>
      <c r="B435" s="161" t="s">
        <v>186</v>
      </c>
      <c r="C435" s="161">
        <v>4057118</v>
      </c>
      <c r="D435" s="161" t="s">
        <v>187</v>
      </c>
      <c r="E435" s="161"/>
      <c r="F435" s="161"/>
      <c r="G435" s="161" t="s">
        <v>116</v>
      </c>
      <c r="H435" s="162">
        <v>2005</v>
      </c>
      <c r="I435" s="163"/>
      <c r="J435" s="159">
        <f>IFERROR(INDEX('Labor Expenditures'!$F$7:$X$91,MATCH($C435,'Labor Expenditures'!$D$7:$D$91,0),MATCH($G435,'Labor Expenditures'!$F$5:$X$5,0)),"NA")</f>
        <v>3189.0305908644023</v>
      </c>
      <c r="K435" s="159">
        <f t="shared" si="819"/>
        <v>32.139386151316728</v>
      </c>
      <c r="L435" s="165">
        <f t="shared" ref="L435:L451" si="825">LN(K435/K434)</f>
        <v>-6.0822179730918736E-3</v>
      </c>
      <c r="M435" s="76"/>
      <c r="N435" s="62">
        <v>100</v>
      </c>
      <c r="O435" s="77"/>
      <c r="P435" s="77"/>
      <c r="Q435" s="159">
        <f>IFERROR(INDEX('Non-Labor Expenditures'!$F$7:$AB$91,MATCH($C435,'Non-Labor Expenditures'!$D$7:$D$91,0),MATCH($G435,'Non-Labor Expenditures'!$F$5:$AB$5,0)),"NA")</f>
        <v>4618.3119243252986</v>
      </c>
      <c r="R435" s="159">
        <f t="shared" si="820"/>
        <v>52.836865746739953</v>
      </c>
      <c r="S435" s="165">
        <f>LN(R435/R434)</f>
        <v>1.3757213070744241E-2</v>
      </c>
      <c r="T435" s="165"/>
      <c r="U435" s="165"/>
      <c r="V435" s="165"/>
      <c r="W435" s="159">
        <f t="shared" si="800"/>
        <v>6007.3905174539841</v>
      </c>
      <c r="X435" s="163"/>
      <c r="Y435" s="167">
        <v>371.36982946058737</v>
      </c>
      <c r="Z435" s="168">
        <v>1.5259060967856158E-2</v>
      </c>
      <c r="AA435" s="76">
        <f t="shared" si="821"/>
        <v>0</v>
      </c>
      <c r="AB435" s="168"/>
      <c r="AC435" s="168"/>
      <c r="AD435" s="163">
        <f t="shared" si="811"/>
        <v>13814.733032643686</v>
      </c>
      <c r="AE435" s="168">
        <f>LN(AD435/AD434)</f>
        <v>8.4568124509072987E-2</v>
      </c>
      <c r="AF435" s="163"/>
      <c r="AG435" s="163"/>
      <c r="AH435" s="163"/>
      <c r="AI435" s="163"/>
      <c r="AJ435" s="116"/>
      <c r="AK435" s="114"/>
      <c r="AL435" s="115">
        <f t="shared" si="822"/>
        <v>0.2308427230065789</v>
      </c>
      <c r="AM435" s="115">
        <f t="shared" si="823"/>
        <v>0.33430337838685731</v>
      </c>
      <c r="AN435" s="115">
        <f t="shared" si="824"/>
        <v>0.43485389860656376</v>
      </c>
      <c r="AO435" s="115">
        <f t="shared" ref="AO435:AO451" si="826">+(((AL435+AL434)/2)*L435+((AM434+AM435)/2)*S435+((AN434+AN435)/2)*Z435)</f>
        <v>9.7189700673477319E-3</v>
      </c>
      <c r="AP435" s="166">
        <v>100</v>
      </c>
      <c r="AQ435" s="168"/>
      <c r="AR435" s="16"/>
      <c r="AS435" s="115"/>
      <c r="AT435" s="115"/>
      <c r="AU435" s="115"/>
      <c r="AV435" s="113">
        <f>IFERROR(INDEX('Total Customers'!$F$7:$AB$91,MATCH($C435,'Total Customers'!$D$7:$D$91,0),MATCH($G435,'Total Customers'!$F$5:$AB$5,0)),"NA")</f>
        <v>38408</v>
      </c>
      <c r="AW435" s="68">
        <f t="shared" si="751"/>
        <v>-1.1751138200195761E-2</v>
      </c>
      <c r="AX435" s="114"/>
      <c r="AY435" s="114"/>
      <c r="AZ435" s="116"/>
      <c r="BA435" s="116"/>
      <c r="BB435" s="166"/>
      <c r="BC435" s="166"/>
      <c r="BD435" s="166"/>
      <c r="BE435" s="166"/>
      <c r="BF435" s="166"/>
      <c r="BG435" s="166"/>
      <c r="BH435" s="166"/>
      <c r="BI435" s="113"/>
      <c r="BJ435" s="113"/>
      <c r="BK435" s="113">
        <f>INDEX('Dist. Plant Gas Additions'!$F$7:$AE$91,MATCH($C435,'Dist. Plant Gas Additions'!$D$7:$D$91,0),MATCH(Calculation!$G435,'Dist. Plant Gas Additions'!$F$5:$AE$5,0))</f>
        <v>2909</v>
      </c>
      <c r="BL435" s="113">
        <f>INDEX('Gen. Plant Additions'!$F$7:$AE$91,MATCH($C435,'Gen. Plant Additions'!$D$7:$D$91,0),MATCH(Calculation!$G435,'Gen. Plant Additions'!$F$5:$AE$5,0))</f>
        <v>763</v>
      </c>
      <c r="BM435" s="231">
        <f t="shared" si="801"/>
        <v>0.82622201169633258</v>
      </c>
      <c r="BN435" s="61">
        <f t="shared" si="796"/>
        <v>630.4073949243018</v>
      </c>
      <c r="BO435" s="113">
        <f>INDEX('Dist Plant Depreciation'!$E$7:$AD$94,MATCH($C435,'Dist Plant Depreciation'!$D$7:$D$94,0),MATCH(Calculation!$G435,'Dist Plant Depreciation'!$E$5:$AD$5,0))</f>
        <v>27911</v>
      </c>
      <c r="BP435" s="113">
        <f>INDEX('Gen. Plant Depreciation'!$E$7:$AD$94,MATCH($C435,'Gen. Plant Depreciation'!$D$7:$D$94,0),MATCH(Calculation!$G435,'Gen. Plant Depreciation'!$E$5:$AD$5,0))</f>
        <v>9689</v>
      </c>
      <c r="BQ435" s="113"/>
      <c r="BR435" s="113"/>
      <c r="BS435" s="113"/>
      <c r="BT435" s="113"/>
      <c r="BU435" s="113"/>
      <c r="BV435" s="113"/>
      <c r="BW435" s="113">
        <f>INDEX('Gross Dx Plant'!$E$7:$AD$91,MATCH($C435,'Gross Dx Plant'!$D$7:$D$91,0),MATCH(Calculation!$G435,'Gross Dx Plant'!$E$5:$AD$5,0))</f>
        <v>90701</v>
      </c>
      <c r="BX435" s="113">
        <f>INDEX('Gross Gen Plant'!$E$7:$AD$91,MATCH($C435,'Gross Gen Plant'!$D$7:$D$91,0),MATCH(Calculation!$G435,'Gross Gen Plant'!$E$5:$AD$5,0))</f>
        <v>19077</v>
      </c>
      <c r="BY435" s="113">
        <f t="shared" si="753"/>
        <v>72178</v>
      </c>
      <c r="BZ435" s="113"/>
      <c r="CA435" s="116">
        <v>2005</v>
      </c>
      <c r="CB435" s="113"/>
      <c r="CC435" s="113"/>
      <c r="CD435" s="113"/>
      <c r="CE435" s="175"/>
      <c r="CF435" s="113">
        <f t="shared" si="802"/>
        <v>3672</v>
      </c>
      <c r="CG435" s="113">
        <f t="shared" si="803"/>
        <v>7.826001218285648</v>
      </c>
      <c r="CH435" s="178">
        <v>0.96174863387978138</v>
      </c>
      <c r="CI435" s="61">
        <f>+CI428*CH435+CG429*CH434+CG430*CH433+CG431*CH432+CG432*CH431+CG433*CH430+CG434*CH429+CG435</f>
        <v>371.36982946058737</v>
      </c>
      <c r="CJ435" s="114">
        <f t="shared" si="804"/>
        <v>1.5259060967856158E-2</v>
      </c>
      <c r="CK435" s="114"/>
      <c r="CL435" s="169">
        <f t="shared" si="805"/>
        <v>6.021286396292261E-3</v>
      </c>
      <c r="CM435" s="169">
        <f t="shared" si="813"/>
        <v>5.8351098104095734E-3</v>
      </c>
      <c r="CN435" s="114">
        <f>VLOOKUP($H435,RoR!$E:$F,2,FALSE)</f>
        <v>5.2350000000000001E-2</v>
      </c>
      <c r="CO435" s="169">
        <v>3.1010403642454332E-2</v>
      </c>
      <c r="CP435" s="169">
        <f t="shared" si="812"/>
        <v>2.1339596357545669E-2</v>
      </c>
      <c r="CQ435" s="169">
        <f t="shared" si="815"/>
        <v>2.5066831798124051E-2</v>
      </c>
      <c r="CR435" s="169">
        <f t="shared" si="816"/>
        <v>9.2129610649277341E-2</v>
      </c>
      <c r="CS435" s="179">
        <f t="shared" si="806"/>
        <v>0.85466708209999998</v>
      </c>
      <c r="CT435" s="180">
        <f t="shared" si="807"/>
        <v>0.97959983346802826</v>
      </c>
      <c r="CU435" s="180">
        <f t="shared" si="808"/>
        <v>0.49744508118433622</v>
      </c>
      <c r="CV435" s="180">
        <f t="shared" si="809"/>
        <v>0.87010519444335932</v>
      </c>
      <c r="CW435" s="180">
        <f t="shared" si="810"/>
        <v>0.42399975420741998</v>
      </c>
      <c r="CX435" s="181">
        <f>INDEX('State Tax Lookup'!$D$7:$Z$91,MATCH(Calculation!$C435,'State Tax Lookup'!$B$7:$B$91,0),MATCH($H435,'State Tax Lookup'!$D$6:$Z$6,0))</f>
        <v>0.39279166999999998</v>
      </c>
      <c r="CY435" s="72">
        <v>0.37</v>
      </c>
      <c r="CZ435" s="70">
        <f t="shared" si="814"/>
        <v>16.42503003702269</v>
      </c>
      <c r="DA435" s="70"/>
      <c r="DB435" s="69">
        <f t="shared" si="817"/>
        <v>0.11634760059600822</v>
      </c>
      <c r="DC435" s="111">
        <f>VLOOKUP($H435,RoR!$E:$F,2,FALSE)</f>
        <v>5.2350000000000001E-2</v>
      </c>
      <c r="DD435" s="216">
        <f>HLOOKUP($H435,'GDP-PI'!$D$8:$CQ$11,3,FALSE)</f>
        <v>3.1010403642454332E-2</v>
      </c>
      <c r="DE435" s="111">
        <f>VLOOKUP(H435,'HW Dx Data'!$E:$F,2,FALSE)</f>
        <v>469.20514034936258</v>
      </c>
      <c r="DF435" s="72">
        <f t="shared" ref="DF435:DF453" si="827">VLOOKUP(G435,EG$8:EH$27,2,FALSE)</f>
        <v>99.224999999999994</v>
      </c>
      <c r="DG435" s="69">
        <f t="shared" ref="DG435:DG453" si="828">LN(DF435/DF434)</f>
        <v>5.0378726854569796E-2</v>
      </c>
      <c r="DH435" s="66">
        <f>HLOOKUP(H435,'GDP-PI'!$8:$9,2,FALSE)</f>
        <v>87.406999999999996</v>
      </c>
      <c r="DI435" s="69">
        <f t="shared" si="818"/>
        <v>3.0539295810733648E-2</v>
      </c>
      <c r="EB435"/>
    </row>
    <row r="436" spans="1:132" s="160" customFormat="1" ht="21">
      <c r="A436" s="160" t="s">
        <v>186</v>
      </c>
      <c r="B436" s="161" t="s">
        <v>186</v>
      </c>
      <c r="C436" s="161">
        <v>4057118</v>
      </c>
      <c r="D436" s="161" t="s">
        <v>187</v>
      </c>
      <c r="E436" s="161"/>
      <c r="F436" s="161"/>
      <c r="G436" s="161" t="s">
        <v>117</v>
      </c>
      <c r="H436" s="162">
        <v>2006</v>
      </c>
      <c r="I436" s="163"/>
      <c r="J436" s="159">
        <f>IFERROR(INDEX('Labor Expenditures'!$F$7:$X$91,MATCH($C436,'Labor Expenditures'!$D$7:$D$91,0),MATCH($G436,'Labor Expenditures'!$F$5:$X$5,0)),"NA")</f>
        <v>3241.831597828033</v>
      </c>
      <c r="K436" s="159">
        <f t="shared" si="819"/>
        <v>29.632829961865017</v>
      </c>
      <c r="L436" s="165">
        <f t="shared" si="825"/>
        <v>-8.1199393870924341E-2</v>
      </c>
      <c r="M436" s="76">
        <f t="shared" ref="M436:M452" si="829">+L436*$AR436</f>
        <v>-1.4170471190181518E-4</v>
      </c>
      <c r="N436" s="62">
        <f>+N435*EXP(O436)</f>
        <v>106.95875714001969</v>
      </c>
      <c r="O436" s="96">
        <f t="shared" ref="O436:O452" si="830">+M436+M461+M486+M511+M536+M561+M586+M611+M636+M661+M686+M711+M736+M761+M786+M811+M836+M861+M886+M911+M936+M961+M986+M1011+M1036+M1061+M1086+M1111+M1136+M1161+M1186+M1211+M1236+M1261+M1286+M1311+M1336+M1361+M1386+M1411+M1436+M1461+M1486+M1511+M1536+M1561+M1586+M1611+M1636+M1661+M1686+M1711+M1736+M1761</f>
        <v>6.7273126880378412E-2</v>
      </c>
      <c r="P436" s="96"/>
      <c r="Q436" s="159">
        <f>IFERROR(INDEX('Non-Labor Expenditures'!$F$7:$AB$91,MATCH($C436,'Non-Labor Expenditures'!$D$7:$D$91,0),MATCH($G436,'Non-Labor Expenditures'!$F$5:$AB$5,0)),"NA")</f>
        <v>4694.7776442763952</v>
      </c>
      <c r="R436" s="159">
        <f t="shared" si="820"/>
        <v>52.121340722921104</v>
      </c>
      <c r="S436" s="165">
        <f t="shared" ref="S436:S451" si="831">LN(R436/R435)</f>
        <v>-1.3634686277627046E-2</v>
      </c>
      <c r="T436" s="165">
        <f t="shared" ref="T436:T452" si="832">+S436*AR436</f>
        <v>-2.3794503859401518E-5</v>
      </c>
      <c r="U436" s="165"/>
      <c r="V436" s="165"/>
      <c r="W436" s="159">
        <f t="shared" si="800"/>
        <v>5954.0917279934174</v>
      </c>
      <c r="X436" s="163"/>
      <c r="Y436" s="167">
        <v>379.02164783989065</v>
      </c>
      <c r="Z436" s="168">
        <v>2.0394910767559112E-2</v>
      </c>
      <c r="AA436" s="76">
        <f t="shared" si="821"/>
        <v>3.5592075467635417E-5</v>
      </c>
      <c r="AB436" s="168"/>
      <c r="AC436" s="168"/>
      <c r="AD436" s="163">
        <f t="shared" si="811"/>
        <v>13890.700970097845</v>
      </c>
      <c r="AE436" s="168">
        <f t="shared" ref="AE436:AE452" si="833">LN(AD436/AD435)</f>
        <v>5.4839875697755298E-3</v>
      </c>
      <c r="AF436" s="163"/>
      <c r="AG436" s="163"/>
      <c r="AH436" s="163"/>
      <c r="AI436" s="163"/>
      <c r="AJ436" s="116">
        <f t="shared" ref="AJ436:AJ452" si="834">+(AD436*1000)/AV436</f>
        <v>371.53826116291344</v>
      </c>
      <c r="AK436" s="114">
        <f>+AV436/$AX$11</f>
        <v>1.0780114752414179E-3</v>
      </c>
      <c r="AL436" s="115">
        <f t="shared" si="822"/>
        <v>0.23338142580469051</v>
      </c>
      <c r="AM436" s="115">
        <f t="shared" si="823"/>
        <v>0.33797989420279956</v>
      </c>
      <c r="AN436" s="115">
        <f t="shared" si="824"/>
        <v>0.42863867999250993</v>
      </c>
      <c r="AO436" s="115">
        <f t="shared" si="826"/>
        <v>-1.4625118463099813E-2</v>
      </c>
      <c r="AP436" s="166">
        <f>+AP435*EXP(AO436)</f>
        <v>98.548130911157855</v>
      </c>
      <c r="AQ436" s="168">
        <f>LN(AP436/AP435)</f>
        <v>-1.462511846309969E-2</v>
      </c>
      <c r="AR436" s="69">
        <f>+AD436/$AF$11</f>
        <v>1.7451449468584815E-3</v>
      </c>
      <c r="AS436" s="169">
        <f>+AR436*AQ436</f>
        <v>-2.5522951583085106E-5</v>
      </c>
      <c r="AT436" s="115"/>
      <c r="AU436" s="115"/>
      <c r="AV436" s="113">
        <f>IFERROR(INDEX('Total Customers'!$F$7:$AB$91,MATCH($C436,'Total Customers'!$D$7:$D$91,0),MATCH($G436,'Total Customers'!$F$5:$AB$5,0)),"NA")</f>
        <v>37387</v>
      </c>
      <c r="AW436" s="68">
        <f t="shared" si="751"/>
        <v>-2.6942720815692711E-2</v>
      </c>
      <c r="AX436" s="114"/>
      <c r="AY436" s="114"/>
      <c r="AZ436" s="116"/>
      <c r="BA436" s="116"/>
      <c r="BB436" s="166"/>
      <c r="BC436" s="166"/>
      <c r="BD436" s="166"/>
      <c r="BE436" s="166"/>
      <c r="BF436" s="166"/>
      <c r="BG436" s="166"/>
      <c r="BH436" s="166"/>
      <c r="BI436" s="113"/>
      <c r="BJ436" s="113"/>
      <c r="BK436" s="113">
        <f>INDEX('Dist. Plant Gas Additions'!$F$7:$AE$91,MATCH($C436,'Dist. Plant Gas Additions'!$D$7:$D$91,0),MATCH(Calculation!$G436,'Dist. Plant Gas Additions'!$F$5:$AE$5,0))</f>
        <v>2836</v>
      </c>
      <c r="BL436" s="113">
        <f>INDEX('Gen. Plant Additions'!$F$7:$AE$91,MATCH($C436,'Gen. Plant Additions'!$D$7:$D$91,0),MATCH(Calculation!$G436,'Gen. Plant Additions'!$F$5:$AE$5,0))</f>
        <v>1759</v>
      </c>
      <c r="BM436" s="231">
        <f t="shared" si="801"/>
        <v>0.82877934063983671</v>
      </c>
      <c r="BN436" s="61">
        <f t="shared" si="796"/>
        <v>1457.8228601854728</v>
      </c>
      <c r="BO436" s="113">
        <f>INDEX('Dist Plant Depreciation'!$E$7:$AD$94,MATCH($C436,'Dist Plant Depreciation'!$D$7:$D$94,0),MATCH(Calculation!$G436,'Dist Plant Depreciation'!$E$5:$AD$5,0))</f>
        <v>30164</v>
      </c>
      <c r="BP436" s="113">
        <f>INDEX('Gen. Plant Depreciation'!$E$7:$AD$94,MATCH($C436,'Gen. Plant Depreciation'!$D$7:$D$94,0),MATCH(Calculation!$G436,'Gen. Plant Depreciation'!$E$5:$AD$5,0))</f>
        <v>9156</v>
      </c>
      <c r="BQ436" s="113"/>
      <c r="BR436" s="113"/>
      <c r="BS436" s="113"/>
      <c r="BT436" s="113"/>
      <c r="BU436" s="113"/>
      <c r="BV436" s="113"/>
      <c r="BW436" s="113">
        <f>INDEX('Gross Dx Plant'!$E$7:$AD$91,MATCH($C436,'Gross Dx Plant'!$D$7:$D$91,0),MATCH(Calculation!$G436,'Gross Dx Plant'!$E$5:$AD$5,0))</f>
        <v>93391</v>
      </c>
      <c r="BX436" s="113">
        <f>INDEX('Gross Gen Plant'!$E$7:$AD$91,MATCH($C436,'Gross Gen Plant'!$D$7:$D$91,0),MATCH(Calculation!$G436,'Gross Gen Plant'!$E$5:$AD$5,0))</f>
        <v>19294</v>
      </c>
      <c r="BY436" s="113">
        <f t="shared" si="753"/>
        <v>73365</v>
      </c>
      <c r="BZ436" s="114"/>
      <c r="CA436" s="116">
        <v>2006</v>
      </c>
      <c r="CB436" s="113"/>
      <c r="CC436" s="113"/>
      <c r="CD436" s="113"/>
      <c r="CE436" s="175"/>
      <c r="CF436" s="113">
        <f t="shared" si="802"/>
        <v>4595</v>
      </c>
      <c r="CG436" s="113">
        <f t="shared" si="803"/>
        <v>9.9656100194931074</v>
      </c>
      <c r="CH436" s="178">
        <v>0.9555555555555556</v>
      </c>
      <c r="CI436" s="61">
        <f>+CI428*CH436+CG429*CH435+CG430*CH434+CG431*CH433+CG432*CH432+CG433*CH431+CG434*CH430+CG435*CH429+CG436</f>
        <v>379.02164783989065</v>
      </c>
      <c r="CJ436" s="114">
        <f t="shared" si="804"/>
        <v>2.0394910767559112E-2</v>
      </c>
      <c r="CK436" s="114"/>
      <c r="CL436" s="169">
        <f t="shared" si="805"/>
        <v>6.2304243819445377E-3</v>
      </c>
      <c r="CM436" s="169">
        <f t="shared" si="813"/>
        <v>6.026374283408545E-3</v>
      </c>
      <c r="CN436" s="114">
        <f>VLOOKUP($H436,RoR!$E:$F,2,FALSE)</f>
        <v>5.5874999999999994E-2</v>
      </c>
      <c r="CO436" s="169">
        <v>3.0512430354548314E-2</v>
      </c>
      <c r="CP436" s="169">
        <f t="shared" si="812"/>
        <v>2.536256964545168E-2</v>
      </c>
      <c r="CQ436" s="169">
        <f t="shared" si="815"/>
        <v>2.4875567325125081E-2</v>
      </c>
      <c r="CR436" s="169">
        <f t="shared" si="816"/>
        <v>7.9087823893859641E-2</v>
      </c>
      <c r="CS436" s="179">
        <f t="shared" si="806"/>
        <v>0.85466708209999998</v>
      </c>
      <c r="CT436" s="180">
        <f t="shared" si="807"/>
        <v>0.91779957551769631</v>
      </c>
      <c r="CU436" s="180">
        <f t="shared" si="808"/>
        <v>0.52757270693512304</v>
      </c>
      <c r="CV436" s="180">
        <f t="shared" si="809"/>
        <v>0.88636824549024895</v>
      </c>
      <c r="CW436" s="180">
        <f t="shared" si="810"/>
        <v>0.42918482841932087</v>
      </c>
      <c r="CX436" s="181">
        <f>INDEX('State Tax Lookup'!$D$7:$Z$91,MATCH(Calculation!$C436,'State Tax Lookup'!$B$7:$B$91,0),MATCH($H436,'State Tax Lookup'!$D$6:$Z$6,0))</f>
        <v>0.39279166999999998</v>
      </c>
      <c r="CY436" s="72">
        <v>0.37</v>
      </c>
      <c r="CZ436" s="70">
        <f t="shared" si="814"/>
        <v>16.032782567829226</v>
      </c>
      <c r="DA436" s="70">
        <v>14.788696346247992</v>
      </c>
      <c r="DB436" s="69">
        <f t="shared" si="817"/>
        <v>-2.417085653232073E-2</v>
      </c>
      <c r="DC436" s="111">
        <f>VLOOKUP($H436,RoR!$E:$F,2,FALSE)</f>
        <v>5.5874999999999994E-2</v>
      </c>
      <c r="DD436" s="216">
        <f>HLOOKUP($H436,'GDP-PI'!$D$8:$CQ$11,3,FALSE)</f>
        <v>3.0512430354548314E-2</v>
      </c>
      <c r="DE436" s="111">
        <f>VLOOKUP(H436,'HW Dx Data'!$E:$F,2,FALSE)</f>
        <v>461.08567272971823</v>
      </c>
      <c r="DF436" s="72">
        <f t="shared" si="827"/>
        <v>109.4</v>
      </c>
      <c r="DG436" s="69">
        <f t="shared" si="828"/>
        <v>9.7620891318751846E-2</v>
      </c>
      <c r="DH436" s="66">
        <f>HLOOKUP(H436,'GDP-PI'!$8:$9,2,FALSE)</f>
        <v>90.073999999999998</v>
      </c>
      <c r="DI436" s="69">
        <f t="shared" si="818"/>
        <v>3.005618372545445E-2</v>
      </c>
      <c r="EB436"/>
    </row>
    <row r="437" spans="1:132" s="160" customFormat="1" ht="21">
      <c r="A437" s="160" t="s">
        <v>186</v>
      </c>
      <c r="B437" s="161" t="s">
        <v>186</v>
      </c>
      <c r="C437" s="161">
        <v>4057118</v>
      </c>
      <c r="D437" s="161" t="s">
        <v>187</v>
      </c>
      <c r="E437" s="161"/>
      <c r="F437" s="161"/>
      <c r="G437" s="161" t="s">
        <v>118</v>
      </c>
      <c r="H437" s="162">
        <v>2007</v>
      </c>
      <c r="I437" s="163"/>
      <c r="J437" s="159">
        <f>IFERROR(INDEX('Labor Expenditures'!$F$7:$X$91,MATCH($C437,'Labor Expenditures'!$D$7:$D$91,0),MATCH($G437,'Labor Expenditures'!$F$5:$X$5,0)),"NA")</f>
        <v>3421.642050850312</v>
      </c>
      <c r="K437" s="159">
        <f t="shared" si="819"/>
        <v>32.735154755803038</v>
      </c>
      <c r="L437" s="165">
        <f t="shared" si="825"/>
        <v>9.9566702371442495E-2</v>
      </c>
      <c r="M437" s="76">
        <f t="shared" si="829"/>
        <v>1.7641745827827644E-4</v>
      </c>
      <c r="N437" s="62">
        <f t="shared" ref="N437:N450" si="835">+N436*EXP(O437)</f>
        <v>117.67597270118115</v>
      </c>
      <c r="O437" s="96">
        <f t="shared" si="830"/>
        <v>9.5491540381438506E-2</v>
      </c>
      <c r="P437" s="96"/>
      <c r="Q437" s="159">
        <f>IFERROR(INDEX('Non-Labor Expenditures'!$F$7:$AB$91,MATCH($C437,'Non-Labor Expenditures'!$D$7:$D$91,0),MATCH($G437,'Non-Labor Expenditures'!$F$5:$AB$5,0)),"NA")</f>
        <v>4955.1767642127252</v>
      </c>
      <c r="R437" s="159">
        <f t="shared" si="820"/>
        <v>53.570636816068728</v>
      </c>
      <c r="S437" s="165">
        <f t="shared" si="831"/>
        <v>2.7426621676152264E-2</v>
      </c>
      <c r="T437" s="165">
        <f t="shared" si="832"/>
        <v>4.8595913794714997E-5</v>
      </c>
      <c r="U437" s="165"/>
      <c r="V437" s="165"/>
      <c r="W437" s="159">
        <f t="shared" si="800"/>
        <v>6520.4631266861106</v>
      </c>
      <c r="X437" s="163"/>
      <c r="Y437" s="167">
        <v>384.51021355741671</v>
      </c>
      <c r="Z437" s="168">
        <v>1.4377030048856675E-2</v>
      </c>
      <c r="AA437" s="76">
        <f t="shared" si="821"/>
        <v>2.5473969092072416E-5</v>
      </c>
      <c r="AB437" s="168"/>
      <c r="AC437" s="168"/>
      <c r="AD437" s="163">
        <f t="shared" si="811"/>
        <v>14897.281941749148</v>
      </c>
      <c r="AE437" s="168">
        <f t="shared" si="833"/>
        <v>6.9959154991346514E-2</v>
      </c>
      <c r="AF437" s="163"/>
      <c r="AG437" s="163"/>
      <c r="AH437" s="163"/>
      <c r="AI437" s="163"/>
      <c r="AJ437" s="116">
        <f t="shared" si="834"/>
        <v>402.05332744309902</v>
      </c>
      <c r="AK437" s="114">
        <f>+AV437/$AX$12</f>
        <v>1.0603370499931192E-3</v>
      </c>
      <c r="AL437" s="115">
        <f t="shared" si="822"/>
        <v>0.22968230474723522</v>
      </c>
      <c r="AM437" s="115">
        <f t="shared" si="823"/>
        <v>0.33262287601109325</v>
      </c>
      <c r="AN437" s="115">
        <f t="shared" si="824"/>
        <v>0.43769481924167153</v>
      </c>
      <c r="AO437" s="115">
        <f t="shared" si="826"/>
        <v>3.8476699931665255E-2</v>
      </c>
      <c r="AP437" s="166">
        <f>+AP436*EXP(AO437)</f>
        <v>102.41383055068842</v>
      </c>
      <c r="AQ437" s="168">
        <f>LN(AP437/AP436)</f>
        <v>3.8476699931665331E-2</v>
      </c>
      <c r="AR437" s="69">
        <f>+AD437/$AF$12</f>
        <v>1.7718519753736077E-3</v>
      </c>
      <c r="AS437" s="169">
        <f t="shared" ref="AS437:AS451" si="836">+AR437*AQ437</f>
        <v>6.8175016779778769E-5</v>
      </c>
      <c r="AT437" s="115"/>
      <c r="AU437" s="115"/>
      <c r="AV437" s="113">
        <f>IFERROR(INDEX('Total Customers'!$F$7:$AB$91,MATCH($C437,'Total Customers'!$D$7:$D$91,0),MATCH($G437,'Total Customers'!$F$5:$AB$5,0)),"NA")</f>
        <v>37053</v>
      </c>
      <c r="AW437" s="68">
        <f t="shared" si="751"/>
        <v>-8.9737302889595916E-3</v>
      </c>
      <c r="AX437" s="114"/>
      <c r="AY437" s="114"/>
      <c r="AZ437" s="116"/>
      <c r="BA437" s="116"/>
      <c r="BB437" s="166"/>
      <c r="BC437" s="166"/>
      <c r="BD437" s="166"/>
      <c r="BE437" s="166"/>
      <c r="BF437" s="166"/>
      <c r="BG437" s="166"/>
      <c r="BH437" s="166"/>
      <c r="BI437" s="113"/>
      <c r="BJ437" s="113"/>
      <c r="BK437" s="113">
        <f>INDEX('Dist. Plant Gas Additions'!$F$7:$AE$91,MATCH($C437,'Dist. Plant Gas Additions'!$D$7:$D$91,0),MATCH(Calculation!$G437,'Dist. Plant Gas Additions'!$F$5:$AE$5,0))</f>
        <v>2565</v>
      </c>
      <c r="BL437" s="113">
        <f>INDEX('Gen. Plant Additions'!$F$7:$AE$91,MATCH($C437,'Gen. Plant Additions'!$D$7:$D$91,0),MATCH(Calculation!$G437,'Gen. Plant Additions'!$F$5:$AE$5,0))</f>
        <v>1384</v>
      </c>
      <c r="BM437" s="231">
        <f t="shared" si="801"/>
        <v>0.82502010915161006</v>
      </c>
      <c r="BN437" s="61">
        <f t="shared" si="796"/>
        <v>1141.8278310658284</v>
      </c>
      <c r="BO437" s="113">
        <f>INDEX('Dist Plant Depreciation'!$E$7:$AD$94,MATCH($C437,'Dist Plant Depreciation'!$D$7:$D$94,0),MATCH(Calculation!$G437,'Dist Plant Depreciation'!$E$5:$AD$5,0))</f>
        <v>32424</v>
      </c>
      <c r="BP437" s="113">
        <f>INDEX('Gen. Plant Depreciation'!$E$7:$AD$94,MATCH($C437,'Gen. Plant Depreciation'!$D$7:$D$94,0),MATCH(Calculation!$G437,'Gen. Plant Depreciation'!$E$5:$AD$5,0))</f>
        <v>10252</v>
      </c>
      <c r="BQ437" s="113"/>
      <c r="BR437" s="113"/>
      <c r="BS437" s="113"/>
      <c r="BT437" s="113"/>
      <c r="BU437" s="113"/>
      <c r="BV437" s="113"/>
      <c r="BW437" s="113">
        <f>INDEX('Gross Dx Plant'!$E$7:$AD$91,MATCH($C437,'Gross Dx Plant'!$D$7:$D$91,0),MATCH(Calculation!$G437,'Gross Dx Plant'!$E$5:$AD$5,0))</f>
        <v>95388</v>
      </c>
      <c r="BX437" s="113">
        <f>INDEX('Gross Gen Plant'!$E$7:$AD$91,MATCH($C437,'Gross Gen Plant'!$D$7:$D$91,0),MATCH(Calculation!$G437,'Gross Gen Plant'!$E$5:$AD$5,0))</f>
        <v>20231</v>
      </c>
      <c r="BY437" s="113">
        <f t="shared" si="753"/>
        <v>72943</v>
      </c>
      <c r="BZ437" s="113"/>
      <c r="CA437" s="116">
        <v>2007</v>
      </c>
      <c r="CB437" s="113"/>
      <c r="CC437" s="113"/>
      <c r="CD437" s="113"/>
      <c r="CE437" s="175"/>
      <c r="CF437" s="113">
        <f t="shared" si="802"/>
        <v>3949</v>
      </c>
      <c r="CG437" s="113">
        <f t="shared" si="803"/>
        <v>7.9293635591722484</v>
      </c>
      <c r="CH437" s="178">
        <v>0.94915254237288138</v>
      </c>
      <c r="CI437" s="61">
        <f>+CI428*CH437+CG429*CH436+CG430*CH435+CG431*CH434+CG432*CH433+CG433*CH432+CG434*CH431+CG435*CH430+CG436*CH429+CG437</f>
        <v>384.51021355741671</v>
      </c>
      <c r="CJ437" s="114">
        <f t="shared" si="804"/>
        <v>1.4377030048856675E-2</v>
      </c>
      <c r="CK437" s="114"/>
      <c r="CL437" s="169">
        <f t="shared" si="805"/>
        <v>6.4397320194155561E-3</v>
      </c>
      <c r="CM437" s="169">
        <f t="shared" si="813"/>
        <v>6.230480932550784E-3</v>
      </c>
      <c r="CN437" s="114">
        <f>VLOOKUP($H437,RoR!$E:$F,2,FALSE)</f>
        <v>5.5558333333333321E-2</v>
      </c>
      <c r="CO437" s="169">
        <v>2.691120634145272E-2</v>
      </c>
      <c r="CP437" s="169">
        <f t="shared" si="812"/>
        <v>2.86471269918806E-2</v>
      </c>
      <c r="CQ437" s="169">
        <f t="shared" si="815"/>
        <v>2.4671460675982842E-2</v>
      </c>
      <c r="CR437" s="169">
        <f t="shared" si="816"/>
        <v>6.4575155250632399E-2</v>
      </c>
      <c r="CS437" s="179">
        <f t="shared" si="806"/>
        <v>0.85466708209999998</v>
      </c>
      <c r="CT437" s="180">
        <f t="shared" si="807"/>
        <v>0.92303077153834634</v>
      </c>
      <c r="CU437" s="180">
        <f t="shared" si="808"/>
        <v>0.52502249887505614</v>
      </c>
      <c r="CV437" s="180">
        <f t="shared" si="809"/>
        <v>0.88499666072084604</v>
      </c>
      <c r="CW437" s="180">
        <f t="shared" si="810"/>
        <v>0.42887993290280618</v>
      </c>
      <c r="CX437" s="181">
        <f>INDEX('State Tax Lookup'!$D$7:$Z$91,MATCH(Calculation!$C437,'State Tax Lookup'!$B$7:$B$91,0),MATCH($H437,'State Tax Lookup'!$D$6:$Z$6,0))</f>
        <v>0.39279166999999998</v>
      </c>
      <c r="CY437" s="72">
        <v>0.37</v>
      </c>
      <c r="CZ437" s="70">
        <f t="shared" si="814"/>
        <v>17.203405567590526</v>
      </c>
      <c r="DA437" s="70">
        <v>16.108943221861779</v>
      </c>
      <c r="DB437" s="69">
        <f t="shared" si="817"/>
        <v>7.0471825761351012E-2</v>
      </c>
      <c r="DC437" s="111">
        <f>VLOOKUP($H437,RoR!$E:$F,2,FALSE)</f>
        <v>5.5558333333333321E-2</v>
      </c>
      <c r="DD437" s="216">
        <f>HLOOKUP($H437,'GDP-PI'!$D$8:$CQ$11,3,FALSE)</f>
        <v>2.691120634145272E-2</v>
      </c>
      <c r="DE437" s="111">
        <f>VLOOKUP(H437,'HW Dx Data'!$E:$F,2,FALSE)</f>
        <v>498.0223154772637</v>
      </c>
      <c r="DF437" s="72">
        <f t="shared" si="827"/>
        <v>104.52499999999999</v>
      </c>
      <c r="DG437" s="69">
        <f t="shared" si="828"/>
        <v>-4.5584612745252218E-2</v>
      </c>
      <c r="DH437" s="66">
        <f>HLOOKUP(H437,'GDP-PI'!$8:$9,2,FALSE)</f>
        <v>92.498000000000005</v>
      </c>
      <c r="DI437" s="69">
        <f t="shared" si="818"/>
        <v>2.6555467950038037E-2</v>
      </c>
      <c r="EB437"/>
    </row>
    <row r="438" spans="1:132" s="160" customFormat="1" ht="21">
      <c r="A438" s="160" t="s">
        <v>186</v>
      </c>
      <c r="B438" s="161" t="s">
        <v>186</v>
      </c>
      <c r="C438" s="161">
        <v>4057118</v>
      </c>
      <c r="D438" s="161" t="s">
        <v>187</v>
      </c>
      <c r="E438" s="161"/>
      <c r="F438" s="161"/>
      <c r="G438" s="161" t="s">
        <v>120</v>
      </c>
      <c r="H438" s="162">
        <v>2008</v>
      </c>
      <c r="I438" s="163"/>
      <c r="J438" s="159">
        <f>IFERROR(INDEX('Labor Expenditures'!$F$7:$X$91,MATCH($C438,'Labor Expenditures'!$D$7:$D$91,0),MATCH($G438,'Labor Expenditures'!$F$5:$X$5,0)),"NA")</f>
        <v>3716.8762775798655</v>
      </c>
      <c r="K438" s="159">
        <f t="shared" si="819"/>
        <v>34.447416845040458</v>
      </c>
      <c r="L438" s="165">
        <f t="shared" si="825"/>
        <v>5.0984442505710603E-2</v>
      </c>
      <c r="M438" s="76">
        <f t="shared" si="829"/>
        <v>9.4183257522796371E-5</v>
      </c>
      <c r="N438" s="62">
        <f t="shared" si="835"/>
        <v>108.85612359940707</v>
      </c>
      <c r="O438" s="96">
        <f t="shared" si="830"/>
        <v>-7.790780992245093E-2</v>
      </c>
      <c r="P438" s="96"/>
      <c r="Q438" s="159">
        <f>IFERROR(INDEX('Non-Labor Expenditures'!$F$7:$AB$91,MATCH($C438,'Non-Labor Expenditures'!$D$7:$D$91,0),MATCH($G438,'Non-Labor Expenditures'!$F$5:$AB$5,0)),"NA")</f>
        <v>5382.7310666643916</v>
      </c>
      <c r="R438" s="159">
        <f t="shared" si="820"/>
        <v>57.102722849278535</v>
      </c>
      <c r="S438" s="165">
        <f t="shared" si="831"/>
        <v>6.3850703779138582E-2</v>
      </c>
      <c r="T438" s="165">
        <f t="shared" si="832"/>
        <v>1.1795102547936705E-4</v>
      </c>
      <c r="U438" s="165"/>
      <c r="V438" s="165"/>
      <c r="W438" s="159">
        <f t="shared" si="800"/>
        <v>7505.6897466865566</v>
      </c>
      <c r="X438" s="163"/>
      <c r="Y438" s="167">
        <v>391.39641990985939</v>
      </c>
      <c r="Z438" s="168">
        <v>1.7750556225647817E-2</v>
      </c>
      <c r="AA438" s="76">
        <f t="shared" si="821"/>
        <v>3.2790496983188763E-5</v>
      </c>
      <c r="AB438" s="168"/>
      <c r="AC438" s="168"/>
      <c r="AD438" s="163">
        <f t="shared" si="811"/>
        <v>16605.297090930813</v>
      </c>
      <c r="AE438" s="168">
        <f t="shared" si="833"/>
        <v>0.10854297002960549</v>
      </c>
      <c r="AF438" s="163"/>
      <c r="AG438" s="163"/>
      <c r="AH438" s="163"/>
      <c r="AI438" s="163"/>
      <c r="AJ438" s="116">
        <f t="shared" si="834"/>
        <v>456.77927793939466</v>
      </c>
      <c r="AK438" s="114">
        <f>+AV438/$AX$13</f>
        <v>1.0347432413288628E-3</v>
      </c>
      <c r="AL438" s="115">
        <f t="shared" si="822"/>
        <v>0.22383678275830929</v>
      </c>
      <c r="AM438" s="115">
        <f t="shared" si="823"/>
        <v>0.32415746837822229</v>
      </c>
      <c r="AN438" s="115">
        <f t="shared" si="824"/>
        <v>0.45200574886346845</v>
      </c>
      <c r="AO438" s="115">
        <f t="shared" si="826"/>
        <v>4.0425492508936331E-2</v>
      </c>
      <c r="AP438" s="166">
        <f t="shared" ref="AP438:AP451" si="837">+AP437*EXP(AO438)</f>
        <v>106.63878261485453</v>
      </c>
      <c r="AQ438" s="168">
        <f t="shared" ref="AQ438:AQ451" si="838">LN(AP438/AP437)</f>
        <v>4.04254925089364E-2</v>
      </c>
      <c r="AR438" s="69">
        <f>+AD438/$AF$13</f>
        <v>1.84729405469614E-3</v>
      </c>
      <c r="AS438" s="169">
        <f t="shared" si="836"/>
        <v>7.4677771969921557E-5</v>
      </c>
      <c r="AT438" s="115"/>
      <c r="AU438" s="115"/>
      <c r="AV438" s="113">
        <f>IFERROR(INDEX('Total Customers'!$F$7:$AB$91,MATCH($C438,'Total Customers'!$D$7:$D$91,0),MATCH($G438,'Total Customers'!$F$5:$AB$5,0)),"NA")</f>
        <v>36353</v>
      </c>
      <c r="AW438" s="68">
        <f t="shared" si="751"/>
        <v>-1.9072588600844178E-2</v>
      </c>
      <c r="AX438" s="114"/>
      <c r="AY438" s="114"/>
      <c r="AZ438" s="116"/>
      <c r="BA438" s="116"/>
      <c r="BB438" s="166"/>
      <c r="BC438" s="166"/>
      <c r="BD438" s="166"/>
      <c r="BE438" s="166"/>
      <c r="BF438" s="166"/>
      <c r="BG438" s="166"/>
      <c r="BH438" s="166"/>
      <c r="BI438" s="113"/>
      <c r="BJ438" s="113"/>
      <c r="BK438" s="113">
        <f>INDEX('Dist. Plant Gas Additions'!$F$7:$AE$91,MATCH($C438,'Dist. Plant Gas Additions'!$D$7:$D$91,0),MATCH(Calculation!$G438,'Dist. Plant Gas Additions'!$F$5:$AE$5,0))</f>
        <v>3723</v>
      </c>
      <c r="BL438" s="113">
        <f>INDEX('Gen. Plant Additions'!$F$7:$AE$91,MATCH($C438,'Gen. Plant Additions'!$D$7:$D$91,0),MATCH(Calculation!$G438,'Gen. Plant Additions'!$F$5:$AE$5,0))</f>
        <v>1662</v>
      </c>
      <c r="BM438" s="231">
        <f t="shared" si="801"/>
        <v>0.82544006705783735</v>
      </c>
      <c r="BN438" s="61">
        <f t="shared" si="796"/>
        <v>1371.8813914501256</v>
      </c>
      <c r="BO438" s="113">
        <f>INDEX('Dist Plant Depreciation'!$E$7:$AD$94,MATCH($C438,'Dist Plant Depreciation'!$D$7:$D$94,0),MATCH(Calculation!$G438,'Dist Plant Depreciation'!$E$5:$AD$5,0))</f>
        <v>32965</v>
      </c>
      <c r="BP438" s="113">
        <f>INDEX('Gen. Plant Depreciation'!$E$7:$AD$94,MATCH($C438,'Gen. Plant Depreciation'!$D$7:$D$94,0),MATCH(Calculation!$G438,'Gen. Plant Depreciation'!$E$5:$AD$5,0))</f>
        <v>10536</v>
      </c>
      <c r="BQ438" s="113"/>
      <c r="BR438" s="113"/>
      <c r="BS438" s="113"/>
      <c r="BT438" s="113"/>
      <c r="BU438" s="113"/>
      <c r="BV438" s="113"/>
      <c r="BW438" s="113">
        <f>INDEX('Gross Dx Plant'!$E$7:$AD$91,MATCH($C438,'Gross Dx Plant'!$D$7:$D$91,0),MATCH(Calculation!$G438,'Gross Dx Plant'!$E$5:$AD$5,0))</f>
        <v>98475</v>
      </c>
      <c r="BX438" s="113">
        <f>INDEX('Gross Gen Plant'!$E$7:$AD$91,MATCH($C438,'Gross Gen Plant'!$D$7:$D$91,0),MATCH(Calculation!$G438,'Gross Gen Plant'!$E$5:$AD$5,0))</f>
        <v>20825</v>
      </c>
      <c r="BY438" s="113">
        <f t="shared" si="753"/>
        <v>75799</v>
      </c>
      <c r="BZ438" s="113"/>
      <c r="CA438" s="116">
        <v>2008</v>
      </c>
      <c r="CB438" s="113"/>
      <c r="CC438" s="113"/>
      <c r="CD438" s="113"/>
      <c r="CE438" s="175"/>
      <c r="CF438" s="113">
        <f t="shared" si="802"/>
        <v>5385</v>
      </c>
      <c r="CG438" s="113">
        <f t="shared" si="803"/>
        <v>9.44933780669556</v>
      </c>
      <c r="CH438" s="178">
        <v>0.94252873563218387</v>
      </c>
      <c r="CI438" s="61">
        <f>+CI428*CH438+CG429*CH437+CG430*CH436+CG431*CH435+CG432*CH434+CG433*CH433+CG434*CH432+CG435*CH431+CG436*CH430+CG437*CH429+CG438</f>
        <v>391.39641990985939</v>
      </c>
      <c r="CJ438" s="114">
        <f t="shared" si="804"/>
        <v>1.7750556225647817E-2</v>
      </c>
      <c r="CK438" s="114"/>
      <c r="CL438" s="169">
        <f t="shared" si="805"/>
        <v>6.6659645540732507E-3</v>
      </c>
      <c r="CM438" s="169">
        <f t="shared" si="813"/>
        <v>6.4453736518111154E-3</v>
      </c>
      <c r="CN438" s="114">
        <f>VLOOKUP($H438,RoR!$E:$F,2,FALSE)</f>
        <v>5.6316666666666668E-2</v>
      </c>
      <c r="CO438" s="169">
        <v>1.9092304698479889E-2</v>
      </c>
      <c r="CP438" s="169">
        <f t="shared" si="812"/>
        <v>3.7224361968186778E-2</v>
      </c>
      <c r="CQ438" s="169">
        <f t="shared" si="815"/>
        <v>2.4456567956722509E-2</v>
      </c>
      <c r="CR438" s="169">
        <f t="shared" si="816"/>
        <v>6.9030581091053131E-2</v>
      </c>
      <c r="CS438" s="179">
        <f t="shared" si="806"/>
        <v>0.85466708209999998</v>
      </c>
      <c r="CT438" s="180">
        <f t="shared" si="807"/>
        <v>0.91060168006009956</v>
      </c>
      <c r="CU438" s="180">
        <f t="shared" si="808"/>
        <v>0.53108168097070152</v>
      </c>
      <c r="CV438" s="180">
        <f t="shared" si="809"/>
        <v>0.88825329850328805</v>
      </c>
      <c r="CW438" s="180">
        <f t="shared" si="810"/>
        <v>0.4295627335323573</v>
      </c>
      <c r="CX438" s="181">
        <f>INDEX('State Tax Lookup'!$D$7:$Z$91,MATCH(Calculation!$C438,'State Tax Lookup'!$B$7:$B$91,0),MATCH($H438,'State Tax Lookup'!$D$6:$Z$6,0))</f>
        <v>0.39279166999999998</v>
      </c>
      <c r="CY438" s="72">
        <v>0.37</v>
      </c>
      <c r="CZ438" s="70">
        <f t="shared" si="814"/>
        <v>19.520131018745424</v>
      </c>
      <c r="DA438" s="70">
        <v>18.300102035478151</v>
      </c>
      <c r="DB438" s="69">
        <f t="shared" si="817"/>
        <v>0.12633893065221774</v>
      </c>
      <c r="DC438" s="111">
        <f>VLOOKUP($H438,RoR!$E:$F,2,FALSE)</f>
        <v>5.6316666666666668E-2</v>
      </c>
      <c r="DD438" s="216">
        <f>HLOOKUP($H438,'GDP-PI'!$D$8:$CQ$11,3,FALSE)</f>
        <v>1.9092304698479889E-2</v>
      </c>
      <c r="DE438" s="111">
        <f>VLOOKUP(H438,'HW Dx Data'!$E:$F,2,FALSE)</f>
        <v>569.88120333515076</v>
      </c>
      <c r="DF438" s="72">
        <f t="shared" si="827"/>
        <v>107.9</v>
      </c>
      <c r="DG438" s="69">
        <f t="shared" si="828"/>
        <v>3.1778595021460486E-2</v>
      </c>
      <c r="DH438" s="66">
        <f>HLOOKUP(H438,'GDP-PI'!$8:$9,2,FALSE)</f>
        <v>94.263999999999996</v>
      </c>
      <c r="DI438" s="69">
        <f t="shared" si="818"/>
        <v>1.8912333748032254E-2</v>
      </c>
      <c r="EB438"/>
    </row>
    <row r="439" spans="1:132" s="160" customFormat="1" ht="21">
      <c r="A439" s="160" t="s">
        <v>186</v>
      </c>
      <c r="B439" s="161" t="s">
        <v>186</v>
      </c>
      <c r="C439" s="161">
        <v>4057118</v>
      </c>
      <c r="D439" s="161" t="s">
        <v>187</v>
      </c>
      <c r="E439" s="161"/>
      <c r="F439" s="161"/>
      <c r="G439" s="161" t="s">
        <v>125</v>
      </c>
      <c r="H439" s="162">
        <v>2009</v>
      </c>
      <c r="I439" s="163"/>
      <c r="J439" s="159">
        <f>IFERROR(INDEX('Labor Expenditures'!$F$7:$X$91,MATCH($C439,'Labor Expenditures'!$D$7:$D$91,0),MATCH($G439,'Labor Expenditures'!$F$5:$X$5,0)),"NA")</f>
        <v>3948.8017119965525</v>
      </c>
      <c r="K439" s="159">
        <f t="shared" si="819"/>
        <v>35.598843470782533</v>
      </c>
      <c r="L439" s="165">
        <f t="shared" si="825"/>
        <v>3.2879138633601854E-2</v>
      </c>
      <c r="M439" s="76">
        <f t="shared" si="829"/>
        <v>5.9574904406481193E-5</v>
      </c>
      <c r="N439" s="62">
        <f t="shared" si="835"/>
        <v>116.62355081272172</v>
      </c>
      <c r="O439" s="96">
        <f t="shared" si="830"/>
        <v>6.8924189719731549E-2</v>
      </c>
      <c r="P439" s="96"/>
      <c r="Q439" s="159">
        <f>IFERROR(INDEX('Non-Labor Expenditures'!$F$7:$AB$91,MATCH($C439,'Non-Labor Expenditures'!$D$7:$D$91,0),MATCH($G439,'Non-Labor Expenditures'!$F$5:$AB$5,0)),"NA")</f>
        <v>5718.6024133956826</v>
      </c>
      <c r="R439" s="159">
        <f t="shared" si="820"/>
        <v>60.196448524675866</v>
      </c>
      <c r="S439" s="165">
        <f t="shared" si="831"/>
        <v>5.2761554816176379E-2</v>
      </c>
      <c r="T439" s="165">
        <f t="shared" si="832"/>
        <v>9.560057577964249E-5</v>
      </c>
      <c r="U439" s="165"/>
      <c r="V439" s="165"/>
      <c r="W439" s="159">
        <f t="shared" si="800"/>
        <v>7320.6485033901899</v>
      </c>
      <c r="X439" s="163"/>
      <c r="Y439" s="167">
        <v>395.79848162498354</v>
      </c>
      <c r="Z439" s="168">
        <v>1.1184288906479285E-2</v>
      </c>
      <c r="AA439" s="76">
        <f t="shared" si="821"/>
        <v>2.0265218924470925E-5</v>
      </c>
      <c r="AB439" s="168"/>
      <c r="AC439" s="168"/>
      <c r="AD439" s="163">
        <f t="shared" si="811"/>
        <v>16988.052628782425</v>
      </c>
      <c r="AE439" s="168">
        <f t="shared" si="833"/>
        <v>2.2788564120150331E-2</v>
      </c>
      <c r="AF439" s="163"/>
      <c r="AG439" s="163"/>
      <c r="AH439" s="163"/>
      <c r="AI439" s="163"/>
      <c r="AJ439" s="116">
        <f t="shared" si="834"/>
        <v>472.77022872519478</v>
      </c>
      <c r="AK439" s="114">
        <f>+AV439/$AX$14</f>
        <v>1.0214846365106064E-3</v>
      </c>
      <c r="AL439" s="115">
        <f t="shared" si="822"/>
        <v>0.23244581343633222</v>
      </c>
      <c r="AM439" s="115">
        <f t="shared" si="823"/>
        <v>0.33662495274513099</v>
      </c>
      <c r="AN439" s="115">
        <f t="shared" si="824"/>
        <v>0.43092923381853676</v>
      </c>
      <c r="AO439" s="115">
        <f t="shared" si="826"/>
        <v>2.9870543301000883E-2</v>
      </c>
      <c r="AP439" s="166">
        <f t="shared" si="837"/>
        <v>109.87219242870091</v>
      </c>
      <c r="AQ439" s="168">
        <f t="shared" si="838"/>
        <v>2.9870543301000817E-2</v>
      </c>
      <c r="AR439" s="69">
        <f>+AD439/$AF$14</f>
        <v>1.8119362879414601E-3</v>
      </c>
      <c r="AS439" s="169">
        <f t="shared" si="836"/>
        <v>5.4123521347610065E-5</v>
      </c>
      <c r="AT439" s="115"/>
      <c r="AU439" s="115"/>
      <c r="AV439" s="113">
        <f>IFERROR(INDEX('Total Customers'!$F$7:$AB$91,MATCH($C439,'Total Customers'!$D$7:$D$91,0),MATCH($G439,'Total Customers'!$F$5:$AB$5,0)),"NA")</f>
        <v>35933</v>
      </c>
      <c r="AW439" s="68">
        <f t="shared" si="751"/>
        <v>-1.1620638197230047E-2</v>
      </c>
      <c r="AX439" s="114"/>
      <c r="AY439" s="114"/>
      <c r="AZ439" s="116"/>
      <c r="BA439" s="116"/>
      <c r="BB439" s="166"/>
      <c r="BC439" s="166"/>
      <c r="BD439" s="166"/>
      <c r="BE439" s="166"/>
      <c r="BF439" s="166"/>
      <c r="BG439" s="166"/>
      <c r="BH439" s="166"/>
      <c r="BI439" s="113"/>
      <c r="BJ439" s="113"/>
      <c r="BK439" s="113">
        <f>INDEX('Dist. Plant Gas Additions'!$F$7:$AE$91,MATCH($C439,'Dist. Plant Gas Additions'!$D$7:$D$91,0),MATCH(Calculation!$G439,'Dist. Plant Gas Additions'!$F$5:$AE$5,0))</f>
        <v>2541</v>
      </c>
      <c r="BL439" s="113">
        <f>INDEX('Gen. Plant Additions'!$F$7:$AE$91,MATCH($C439,'Gen. Plant Additions'!$D$7:$D$91,0),MATCH(Calculation!$G439,'Gen. Plant Additions'!$F$5:$AE$5,0))</f>
        <v>1371</v>
      </c>
      <c r="BM439" s="231">
        <f t="shared" si="801"/>
        <v>0.82566661468891311</v>
      </c>
      <c r="BN439" s="61">
        <f t="shared" si="796"/>
        <v>1131.9889287384999</v>
      </c>
      <c r="BO439" s="113">
        <f>INDEX('Dist Plant Depreciation'!$E$7:$AD$94,MATCH($C439,'Dist Plant Depreciation'!$D$7:$D$94,0),MATCH(Calculation!$G439,'Dist Plant Depreciation'!$E$5:$AD$5,0))</f>
        <v>33818</v>
      </c>
      <c r="BP439" s="113">
        <f>INDEX('Gen. Plant Depreciation'!$E$7:$AD$94,MATCH($C439,'Gen. Plant Depreciation'!$D$7:$D$94,0),MATCH(Calculation!$G439,'Gen. Plant Depreciation'!$E$5:$AD$5,0))</f>
        <v>10824</v>
      </c>
      <c r="BQ439" s="113"/>
      <c r="BR439" s="113"/>
      <c r="BS439" s="113"/>
      <c r="BT439" s="113"/>
      <c r="BU439" s="113"/>
      <c r="BV439" s="113"/>
      <c r="BW439" s="113">
        <f>INDEX('Gross Dx Plant'!$E$7:$AD$91,MATCH($C439,'Gross Dx Plant'!$D$7:$D$91,0),MATCH(Calculation!$G439,'Gross Dx Plant'!$E$5:$AD$5,0))</f>
        <v>100605</v>
      </c>
      <c r="BX439" s="113">
        <f>INDEX('Gross Gen Plant'!$E$7:$AD$91,MATCH($C439,'Gross Gen Plant'!$D$7:$D$91,0),MATCH(Calculation!$G439,'Gross Gen Plant'!$E$5:$AD$5,0))</f>
        <v>21242</v>
      </c>
      <c r="BY439" s="113">
        <f t="shared" si="753"/>
        <v>77205</v>
      </c>
      <c r="BZ439" s="113"/>
      <c r="CA439" s="116">
        <v>2009</v>
      </c>
      <c r="CB439" s="113"/>
      <c r="CC439" s="113"/>
      <c r="CD439" s="113"/>
      <c r="CE439" s="175"/>
      <c r="CF439" s="113">
        <f t="shared" si="802"/>
        <v>3912</v>
      </c>
      <c r="CG439" s="113">
        <f t="shared" si="803"/>
        <v>7.1005835088580138</v>
      </c>
      <c r="CH439" s="178">
        <v>0.93567251461988299</v>
      </c>
      <c r="CI439" s="61">
        <f>+CI428*CH439+CG429*CH438+CG430*CH437+CG431*CH436+CG432*CH435+CG433*CH434+CG434*CH433+CG435*CH432+CG436*CH431+CG437*CH430+CG438*CH429+CG439</f>
        <v>395.79848162498354</v>
      </c>
      <c r="CJ439" s="114">
        <f t="shared" si="804"/>
        <v>1.1184288906479285E-2</v>
      </c>
      <c r="CK439" s="114"/>
      <c r="CL439" s="169">
        <f t="shared" si="805"/>
        <v>6.8946000945929687E-3</v>
      </c>
      <c r="CM439" s="169">
        <f t="shared" si="813"/>
        <v>6.6667655560272579E-3</v>
      </c>
      <c r="CN439" s="114">
        <f>VLOOKUP($H439,RoR!$E:$F,2,FALSE)</f>
        <v>5.3133333333333324E-2</v>
      </c>
      <c r="CO439" s="169">
        <v>7.7972502758210105E-3</v>
      </c>
      <c r="CP439" s="169">
        <f t="shared" si="812"/>
        <v>4.5336083057512314E-2</v>
      </c>
      <c r="CQ439" s="169">
        <f t="shared" si="815"/>
        <v>2.4235176052506368E-2</v>
      </c>
      <c r="CR439" s="169">
        <f t="shared" si="816"/>
        <v>6.3720160300892073E-2</v>
      </c>
      <c r="CS439" s="179">
        <f t="shared" si="806"/>
        <v>0.85466708209999998</v>
      </c>
      <c r="CT439" s="180">
        <f t="shared" si="807"/>
        <v>0.96515780330083989</v>
      </c>
      <c r="CU439" s="180">
        <f t="shared" si="808"/>
        <v>0.50448557089084056</v>
      </c>
      <c r="CV439" s="180">
        <f t="shared" si="809"/>
        <v>0.87391435735465484</v>
      </c>
      <c r="CW439" s="180">
        <f t="shared" si="810"/>
        <v>0.42551605393279146</v>
      </c>
      <c r="CX439" s="181">
        <f>INDEX('State Tax Lookup'!$D$7:$Z$91,MATCH(Calculation!$C439,'State Tax Lookup'!$B$7:$B$91,0),MATCH($H439,'State Tax Lookup'!$D$6:$Z$6,0))</f>
        <v>0.39279166999999998</v>
      </c>
      <c r="CY439" s="72">
        <v>0.37</v>
      </c>
      <c r="CZ439" s="70">
        <f t="shared" si="814"/>
        <v>18.703923007461778</v>
      </c>
      <c r="DA439" s="70">
        <v>17.478615056163342</v>
      </c>
      <c r="DB439" s="69">
        <f t="shared" si="817"/>
        <v>-4.2713004634599962E-2</v>
      </c>
      <c r="DC439" s="111">
        <f>VLOOKUP($H439,RoR!$E:$F,2,FALSE)</f>
        <v>5.3133333333333324E-2</v>
      </c>
      <c r="DD439" s="216">
        <f>HLOOKUP($H439,'GDP-PI'!$D$8:$CQ$11,3,FALSE)</f>
        <v>7.7972502758210105E-3</v>
      </c>
      <c r="DE439" s="111">
        <f>VLOOKUP(H439,'HW Dx Data'!$E:$F,2,FALSE)</f>
        <v>550.94063679692806</v>
      </c>
      <c r="DF439" s="72">
        <f t="shared" si="827"/>
        <v>110.925</v>
      </c>
      <c r="DG439" s="69">
        <f t="shared" si="828"/>
        <v>2.7649425000884052E-2</v>
      </c>
      <c r="DH439" s="66">
        <f>HLOOKUP(H439,'GDP-PI'!$8:$9,2,FALSE)</f>
        <v>94.998999999999995</v>
      </c>
      <c r="DI439" s="69">
        <f t="shared" si="818"/>
        <v>7.7670088183096342E-3</v>
      </c>
      <c r="EB439"/>
    </row>
    <row r="440" spans="1:132" s="160" customFormat="1" ht="21">
      <c r="A440" s="160" t="s">
        <v>186</v>
      </c>
      <c r="B440" s="161" t="s">
        <v>186</v>
      </c>
      <c r="C440" s="161">
        <v>4057118</v>
      </c>
      <c r="D440" s="161" t="s">
        <v>187</v>
      </c>
      <c r="E440" s="161"/>
      <c r="F440" s="161"/>
      <c r="G440" s="161" t="s">
        <v>126</v>
      </c>
      <c r="H440" s="162">
        <v>2010</v>
      </c>
      <c r="I440" s="163"/>
      <c r="J440" s="159">
        <f>IFERROR(INDEX('Labor Expenditures'!$F$7:$X$91,MATCH($C440,'Labor Expenditures'!$D$7:$D$91,0),MATCH($G440,'Labor Expenditures'!$F$5:$X$5,0)),"NA")</f>
        <v>3706.0702635766138</v>
      </c>
      <c r="K440" s="159">
        <f t="shared" si="819"/>
        <v>31.696132252098472</v>
      </c>
      <c r="L440" s="165">
        <f t="shared" si="825"/>
        <v>-0.11611848809002766</v>
      </c>
      <c r="M440" s="76">
        <f t="shared" si="829"/>
        <v>-1.9899403006048952E-4</v>
      </c>
      <c r="N440" s="62">
        <f t="shared" si="835"/>
        <v>96.54495577387884</v>
      </c>
      <c r="O440" s="96">
        <f t="shared" si="830"/>
        <v>-0.18894247024094929</v>
      </c>
      <c r="P440" s="96"/>
      <c r="Q440" s="159">
        <f>IFERROR(INDEX('Non-Labor Expenditures'!$F$7:$AB$91,MATCH($C440,'Non-Labor Expenditures'!$D$7:$D$91,0),MATCH($G440,'Non-Labor Expenditures'!$F$5:$AB$5,0)),"NA")</f>
        <v>5367.0819401026693</v>
      </c>
      <c r="R440" s="159">
        <f t="shared" si="820"/>
        <v>55.843697677664629</v>
      </c>
      <c r="S440" s="165">
        <f t="shared" si="831"/>
        <v>-7.5056680550201205E-2</v>
      </c>
      <c r="T440" s="165">
        <f t="shared" si="832"/>
        <v>-1.2862578208964811E-4</v>
      </c>
      <c r="U440" s="165"/>
      <c r="V440" s="165"/>
      <c r="W440" s="159">
        <f t="shared" si="800"/>
        <v>7580.854913729916</v>
      </c>
      <c r="X440" s="163"/>
      <c r="Y440" s="167">
        <v>400.28137991093752</v>
      </c>
      <c r="Z440" s="168">
        <v>1.1262552637223438E-2</v>
      </c>
      <c r="AA440" s="76">
        <f t="shared" si="821"/>
        <v>1.9300808811012765E-5</v>
      </c>
      <c r="AB440" s="168"/>
      <c r="AC440" s="168"/>
      <c r="AD440" s="163">
        <f t="shared" si="811"/>
        <v>16654.007117409201</v>
      </c>
      <c r="AE440" s="168">
        <f t="shared" si="833"/>
        <v>-1.9859455260889579E-2</v>
      </c>
      <c r="AF440" s="163"/>
      <c r="AG440" s="163"/>
      <c r="AH440" s="163"/>
      <c r="AI440" s="163"/>
      <c r="AJ440" s="116">
        <f t="shared" si="834"/>
        <v>464.6635729306995</v>
      </c>
      <c r="AK440" s="114">
        <f>+AV440/$AX$15</f>
        <v>1.0132946543017257E-3</v>
      </c>
      <c r="AL440" s="115">
        <f t="shared" si="822"/>
        <v>0.22253324604998445</v>
      </c>
      <c r="AM440" s="115">
        <f t="shared" si="823"/>
        <v>0.32226970375749459</v>
      </c>
      <c r="AN440" s="115">
        <f t="shared" si="824"/>
        <v>0.45519705019252088</v>
      </c>
      <c r="AO440" s="115">
        <f t="shared" si="826"/>
        <v>-4.6152941166312113E-2</v>
      </c>
      <c r="AP440" s="166">
        <f t="shared" si="837"/>
        <v>104.91650696724776</v>
      </c>
      <c r="AQ440" s="168">
        <f t="shared" si="838"/>
        <v>-4.615294116631212E-2</v>
      </c>
      <c r="AR440" s="69">
        <f>+AD440/$AF$15</f>
        <v>1.713715303511425E-3</v>
      </c>
      <c r="AS440" s="169">
        <f t="shared" si="836"/>
        <v>-7.909300157877152E-5</v>
      </c>
      <c r="AT440" s="115"/>
      <c r="AU440" s="115"/>
      <c r="AV440" s="113">
        <f>IFERROR(INDEX('Total Customers'!$F$7:$AB$91,MATCH($C440,'Total Customers'!$D$7:$D$91,0),MATCH($G440,'Total Customers'!$F$5:$AB$5,0)),"NA")</f>
        <v>35841</v>
      </c>
      <c r="AW440" s="68">
        <f t="shared" si="751"/>
        <v>-2.5636038227163632E-3</v>
      </c>
      <c r="AX440" s="114"/>
      <c r="AY440" s="114"/>
      <c r="AZ440" s="116"/>
      <c r="BA440" s="116"/>
      <c r="BB440" s="166"/>
      <c r="BC440" s="166"/>
      <c r="BD440" s="166"/>
      <c r="BE440" s="166"/>
      <c r="BF440" s="166"/>
      <c r="BG440" s="166"/>
      <c r="BH440" s="166"/>
      <c r="BI440" s="113"/>
      <c r="BJ440" s="113"/>
      <c r="BK440" s="113">
        <f>INDEX('Dist. Plant Gas Additions'!$F$7:$AE$91,MATCH($C440,'Dist. Plant Gas Additions'!$D$7:$D$91,0),MATCH(Calculation!$G440,'Dist. Plant Gas Additions'!$F$5:$AE$5,0))</f>
        <v>2936</v>
      </c>
      <c r="BL440" s="113">
        <f>INDEX('Gen. Plant Additions'!$F$7:$AE$91,MATCH($C440,'Gen. Plant Additions'!$D$7:$D$91,0),MATCH(Calculation!$G440,'Gen. Plant Additions'!$F$5:$AE$5,0))</f>
        <v>1224</v>
      </c>
      <c r="BM440" s="231">
        <f t="shared" si="801"/>
        <v>0.82451206749167139</v>
      </c>
      <c r="BN440" s="61">
        <f t="shared" si="796"/>
        <v>1009.2027706098057</v>
      </c>
      <c r="BO440" s="113">
        <f>INDEX('Dist Plant Depreciation'!$E$7:$AD$94,MATCH($C440,'Dist Plant Depreciation'!$D$7:$D$94,0),MATCH(Calculation!$G440,'Dist Plant Depreciation'!$E$5:$AD$5,0))</f>
        <v>34617</v>
      </c>
      <c r="BP440" s="113">
        <f>INDEX('Gen. Plant Depreciation'!$E$7:$AD$94,MATCH($C440,'Gen. Plant Depreciation'!$D$7:$D$94,0),MATCH(Calculation!$G440,'Gen. Plant Depreciation'!$E$5:$AD$5,0))</f>
        <v>11570</v>
      </c>
      <c r="BQ440" s="113"/>
      <c r="BR440" s="113"/>
      <c r="BS440" s="113"/>
      <c r="BT440" s="113"/>
      <c r="BU440" s="113"/>
      <c r="BV440" s="113"/>
      <c r="BW440" s="113">
        <f>INDEX('Gross Dx Plant'!$E$7:$AD$91,MATCH($C440,'Gross Dx Plant'!$D$7:$D$91,0),MATCH(Calculation!$G440,'Gross Dx Plant'!$E$5:$AD$5,0))</f>
        <v>103205</v>
      </c>
      <c r="BX440" s="113">
        <f>INDEX('Gross Gen Plant'!$E$7:$AD$91,MATCH($C440,'Gross Gen Plant'!$D$7:$D$91,0),MATCH(Calculation!$G440,'Gross Gen Plant'!$E$5:$AD$5,0))</f>
        <v>21966</v>
      </c>
      <c r="BY440" s="113">
        <f t="shared" si="753"/>
        <v>78984</v>
      </c>
      <c r="BZ440" s="113"/>
      <c r="CA440" s="116">
        <v>2010</v>
      </c>
      <c r="CB440" s="113"/>
      <c r="CC440" s="113"/>
      <c r="CD440" s="113"/>
      <c r="CE440" s="175"/>
      <c r="CF440" s="113">
        <f t="shared" si="802"/>
        <v>4160</v>
      </c>
      <c r="CG440" s="113">
        <f t="shared" si="803"/>
        <v>7.3112069392732053</v>
      </c>
      <c r="CH440" s="178">
        <v>0.9285714285714286</v>
      </c>
      <c r="CI440" s="61">
        <f>+CI428*CH440+CG429*CH439+CG430*CH438+CG431*CH437+CG432*CH436+CG433*CH435+CG434*CH434+CG435*CH433+CG436*CH432+CG437*CH431+CG438*CH430+CG439*CH429+CG440</f>
        <v>400.28137991093752</v>
      </c>
      <c r="CJ440" s="114">
        <f t="shared" si="804"/>
        <v>1.1262552637223438E-2</v>
      </c>
      <c r="CK440" s="114"/>
      <c r="CL440" s="169">
        <f t="shared" si="805"/>
        <v>7.145829973140296E-3</v>
      </c>
      <c r="CM440" s="169">
        <f t="shared" si="813"/>
        <v>6.9021315406021721E-3</v>
      </c>
      <c r="CN440" s="114">
        <f>VLOOKUP($H440,RoR!$E:$F,2,FALSE)</f>
        <v>4.9433333333333322E-2</v>
      </c>
      <c r="CO440" s="169">
        <v>1.1684333519300205E-2</v>
      </c>
      <c r="CP440" s="169">
        <f t="shared" si="812"/>
        <v>3.7748999814033117E-2</v>
      </c>
      <c r="CQ440" s="169">
        <f t="shared" si="815"/>
        <v>2.3999810067931452E-2</v>
      </c>
      <c r="CR440" s="169">
        <f t="shared" si="816"/>
        <v>4.7937530248493419E-2</v>
      </c>
      <c r="CS440" s="179">
        <f t="shared" si="806"/>
        <v>0.85466708209999998</v>
      </c>
      <c r="CT440" s="180">
        <f t="shared" si="807"/>
        <v>1.037398205301105</v>
      </c>
      <c r="CU440" s="180">
        <f t="shared" si="808"/>
        <v>0.46926837491571133</v>
      </c>
      <c r="CV440" s="180">
        <f t="shared" si="809"/>
        <v>0.8548537519972772</v>
      </c>
      <c r="CW440" s="180">
        <f t="shared" si="810"/>
        <v>0.41615833911547367</v>
      </c>
      <c r="CX440" s="181">
        <f>INDEX('State Tax Lookup'!$D$7:$Z$91,MATCH(Calculation!$C440,'State Tax Lookup'!$B$7:$B$91,0),MATCH($H440,'State Tax Lookup'!$D$6:$Z$6,0))</f>
        <v>0.39279166999999998</v>
      </c>
      <c r="CY440" s="72">
        <v>0.37</v>
      </c>
      <c r="CZ440" s="70">
        <f t="shared" si="814"/>
        <v>19.153319847529698</v>
      </c>
      <c r="DA440" s="70">
        <v>17.956102603965455</v>
      </c>
      <c r="DB440" s="69">
        <f t="shared" si="817"/>
        <v>2.3742772432119613E-2</v>
      </c>
      <c r="DC440" s="111">
        <f>VLOOKUP($H440,RoR!$E:$F,2,FALSE)</f>
        <v>4.9433333333333322E-2</v>
      </c>
      <c r="DD440" s="216">
        <f>HLOOKUP($H440,'GDP-PI'!$D$8:$CQ$11,3,FALSE)</f>
        <v>1.1684333519300205E-2</v>
      </c>
      <c r="DE440" s="111">
        <f>VLOOKUP(H440,'HW Dx Data'!$E:$F,2,FALSE)</f>
        <v>568.98950262971744</v>
      </c>
      <c r="DF440" s="72">
        <f t="shared" si="827"/>
        <v>116.925</v>
      </c>
      <c r="DG440" s="69">
        <f t="shared" si="828"/>
        <v>5.2678406346976722E-2</v>
      </c>
      <c r="DH440" s="66">
        <f>HLOOKUP(H440,'GDP-PI'!$8:$9,2,FALSE)</f>
        <v>96.108999999999995</v>
      </c>
      <c r="DI440" s="69">
        <f t="shared" si="818"/>
        <v>1.1616598807150427E-2</v>
      </c>
      <c r="EB440"/>
    </row>
    <row r="441" spans="1:132" s="160" customFormat="1" ht="21">
      <c r="A441" s="160" t="s">
        <v>186</v>
      </c>
      <c r="B441" s="161" t="s">
        <v>186</v>
      </c>
      <c r="C441" s="161">
        <v>4057118</v>
      </c>
      <c r="D441" s="161" t="s">
        <v>187</v>
      </c>
      <c r="E441" s="161"/>
      <c r="F441" s="161"/>
      <c r="G441" s="161" t="s">
        <v>127</v>
      </c>
      <c r="H441" s="162">
        <v>2011</v>
      </c>
      <c r="I441" s="163"/>
      <c r="J441" s="159">
        <f>IFERROR(INDEX('Labor Expenditures'!$F$7:$X$91,MATCH($C441,'Labor Expenditures'!$D$7:$D$91,0),MATCH($G441,'Labor Expenditures'!$F$5:$X$5,0)),"NA")</f>
        <v>3452.4116378390017</v>
      </c>
      <c r="K441" s="159">
        <f t="shared" si="819"/>
        <v>28.561833611904873</v>
      </c>
      <c r="L441" s="165">
        <f t="shared" si="825"/>
        <v>-0.1041233249564521</v>
      </c>
      <c r="M441" s="76">
        <f t="shared" si="829"/>
        <v>-1.6959021416305831E-4</v>
      </c>
      <c r="N441" s="62">
        <f t="shared" si="835"/>
        <v>115.90569763171683</v>
      </c>
      <c r="O441" s="96">
        <f t="shared" si="830"/>
        <v>0.18276814622517762</v>
      </c>
      <c r="P441" s="96"/>
      <c r="Q441" s="159">
        <f>IFERROR(INDEX('Non-Labor Expenditures'!$F$7:$AB$91,MATCH($C441,'Non-Labor Expenditures'!$D$7:$D$91,0),MATCH($G441,'Non-Labor Expenditures'!$F$5:$AB$5,0)),"NA")</f>
        <v>4999.736873138464</v>
      </c>
      <c r="R441" s="159">
        <f t="shared" si="820"/>
        <v>50.959483785250164</v>
      </c>
      <c r="S441" s="165">
        <f t="shared" si="831"/>
        <v>-9.152579400779294E-2</v>
      </c>
      <c r="T441" s="165">
        <f t="shared" si="832"/>
        <v>-1.490720644362571E-4</v>
      </c>
      <c r="U441" s="165"/>
      <c r="V441" s="165"/>
      <c r="W441" s="159">
        <f t="shared" si="800"/>
        <v>8170.8371039848798</v>
      </c>
      <c r="X441" s="163"/>
      <c r="Y441" s="167">
        <v>404.82578359851698</v>
      </c>
      <c r="Z441" s="168">
        <v>1.1289061024703118E-2</v>
      </c>
      <c r="AA441" s="76">
        <f t="shared" si="821"/>
        <v>1.8386987523496305E-5</v>
      </c>
      <c r="AB441" s="168"/>
      <c r="AC441" s="168"/>
      <c r="AD441" s="163">
        <f t="shared" si="811"/>
        <v>16622.985614962345</v>
      </c>
      <c r="AE441" s="168">
        <f t="shared" si="833"/>
        <v>-1.8644419994686442E-3</v>
      </c>
      <c r="AF441" s="163"/>
      <c r="AG441" s="163"/>
      <c r="AH441" s="163"/>
      <c r="AI441" s="163"/>
      <c r="AJ441" s="116">
        <f t="shared" si="834"/>
        <v>468.42465170237961</v>
      </c>
      <c r="AK441" s="114">
        <f>+AV441/$AX$16</f>
        <v>9.9844554012324879E-4</v>
      </c>
      <c r="AL441" s="115">
        <f t="shared" si="822"/>
        <v>0.20768902276685405</v>
      </c>
      <c r="AM441" s="115">
        <f t="shared" si="823"/>
        <v>0.30077249592505223</v>
      </c>
      <c r="AN441" s="115">
        <f t="shared" si="824"/>
        <v>0.49153848130809374</v>
      </c>
      <c r="AO441" s="115">
        <f t="shared" si="826"/>
        <v>-4.5566424968229782E-2</v>
      </c>
      <c r="AP441" s="166">
        <f t="shared" si="837"/>
        <v>100.24312017335443</v>
      </c>
      <c r="AQ441" s="168">
        <f t="shared" si="838"/>
        <v>-4.5566424968229755E-2</v>
      </c>
      <c r="AR441" s="69">
        <f>+AD441/$AF$16</f>
        <v>1.6287437443434185E-3</v>
      </c>
      <c r="AS441" s="169">
        <f t="shared" si="836"/>
        <v>-7.4216029619097968E-5</v>
      </c>
      <c r="AT441" s="115"/>
      <c r="AU441" s="115"/>
      <c r="AV441" s="113">
        <f>IFERROR(INDEX('Total Customers'!$F$7:$AB$91,MATCH($C441,'Total Customers'!$D$7:$D$91,0),MATCH($G441,'Total Customers'!$F$5:$AB$5,0)),"NA")</f>
        <v>35487</v>
      </c>
      <c r="AW441" s="68">
        <f t="shared" si="751"/>
        <v>-9.926057271486868E-3</v>
      </c>
      <c r="AX441" s="114"/>
      <c r="AY441" s="114"/>
      <c r="AZ441" s="116"/>
      <c r="BA441" s="116"/>
      <c r="BB441" s="166"/>
      <c r="BC441" s="166"/>
      <c r="BD441" s="166"/>
      <c r="BE441" s="166"/>
      <c r="BF441" s="166"/>
      <c r="BG441" s="166"/>
      <c r="BH441" s="166"/>
      <c r="BI441" s="113"/>
      <c r="BJ441" s="113"/>
      <c r="BK441" s="113">
        <f>INDEX('Dist. Plant Gas Additions'!$F$7:$AE$91,MATCH($C441,'Dist. Plant Gas Additions'!$D$7:$D$91,0),MATCH(Calculation!$G441,'Dist. Plant Gas Additions'!$F$5:$AE$5,0))</f>
        <v>3005</v>
      </c>
      <c r="BL441" s="113">
        <f>INDEX('Gen. Plant Additions'!$F$7:$AE$91,MATCH($C441,'Gen. Plant Additions'!$D$7:$D$91,0),MATCH(Calculation!$G441,'Gen. Plant Additions'!$F$5:$AE$5,0))</f>
        <v>1588</v>
      </c>
      <c r="BM441" s="231">
        <f t="shared" si="801"/>
        <v>0.82385889364756182</v>
      </c>
      <c r="BN441" s="61">
        <f t="shared" si="796"/>
        <v>1308.2879231123281</v>
      </c>
      <c r="BO441" s="113">
        <f>INDEX('Dist Plant Depreciation'!$E$7:$AD$94,MATCH($C441,'Dist Plant Depreciation'!$D$7:$D$94,0),MATCH(Calculation!$G441,'Dist Plant Depreciation'!$E$5:$AD$5,0))</f>
        <v>36923</v>
      </c>
      <c r="BP441" s="113">
        <f>INDEX('Gen. Plant Depreciation'!$E$7:$AD$94,MATCH($C441,'Gen. Plant Depreciation'!$D$7:$D$94,0),MATCH(Calculation!$G441,'Gen. Plant Depreciation'!$E$5:$AD$5,0))</f>
        <v>11912</v>
      </c>
      <c r="BQ441" s="113"/>
      <c r="BR441" s="113"/>
      <c r="BS441" s="113"/>
      <c r="BT441" s="113"/>
      <c r="BU441" s="113"/>
      <c r="BV441" s="113"/>
      <c r="BW441" s="113">
        <f>INDEX('Gross Dx Plant'!$E$7:$AD$91,MATCH($C441,'Gross Dx Plant'!$D$7:$D$91,0),MATCH(Calculation!$G441,'Gross Dx Plant'!$E$5:$AD$5,0))</f>
        <v>105608</v>
      </c>
      <c r="BX441" s="113">
        <f>INDEX('Gross Gen Plant'!$E$7:$AD$91,MATCH($C441,'Gross Gen Plant'!$D$7:$D$91,0),MATCH(Calculation!$G441,'Gross Gen Plant'!$E$5:$AD$5,0))</f>
        <v>22579</v>
      </c>
      <c r="BY441" s="113">
        <f t="shared" si="753"/>
        <v>79352</v>
      </c>
      <c r="BZ441" s="113"/>
      <c r="CA441" s="116">
        <v>2011</v>
      </c>
      <c r="CB441" s="113"/>
      <c r="CC441" s="113"/>
      <c r="CD441" s="113"/>
      <c r="CE441" s="175"/>
      <c r="CF441" s="113">
        <f t="shared" si="802"/>
        <v>4593</v>
      </c>
      <c r="CG441" s="113">
        <f t="shared" si="803"/>
        <v>7.5096740872038916</v>
      </c>
      <c r="CH441" s="178">
        <v>0.92121212121212126</v>
      </c>
      <c r="CI441" s="61">
        <f>+CI428*CH441+CG429*CH440+CG430*CH439+CG431*CH438+CG432*CH437+CG433*CH436+CG434*CH435+CG435*CH434+CG436*CH433+CG437*CH432+CG438*CH431+CG439*CH430+CG440*CH429+CG441</f>
        <v>404.82578359851698</v>
      </c>
      <c r="CJ441" s="114">
        <f t="shared" si="804"/>
        <v>1.1289061024703118E-2</v>
      </c>
      <c r="CK441" s="114"/>
      <c r="CL441" s="169">
        <f t="shared" si="805"/>
        <v>7.4079648678242356E-3</v>
      </c>
      <c r="CM441" s="169">
        <f t="shared" si="813"/>
        <v>7.1494649785191671E-3</v>
      </c>
      <c r="CN441" s="114">
        <f>VLOOKUP($H441,RoR!$E:$F,2,FALSE)</f>
        <v>4.6391666666666664E-2</v>
      </c>
      <c r="CO441" s="169">
        <v>2.0840920205183799E-2</v>
      </c>
      <c r="CP441" s="169">
        <f t="shared" si="812"/>
        <v>2.5550746461482865E-2</v>
      </c>
      <c r="CQ441" s="169">
        <f t="shared" si="815"/>
        <v>2.3752476630014459E-2</v>
      </c>
      <c r="CR441" s="169">
        <f t="shared" si="816"/>
        <v>2.4810540821321614E-2</v>
      </c>
      <c r="CS441" s="179">
        <f t="shared" si="806"/>
        <v>0.85466708209999998</v>
      </c>
      <c r="CT441" s="180">
        <f t="shared" si="807"/>
        <v>1.1054151524782025</v>
      </c>
      <c r="CU441" s="180">
        <f t="shared" si="808"/>
        <v>0.43611011316687626</v>
      </c>
      <c r="CV441" s="180">
        <f t="shared" si="809"/>
        <v>0.83698442246886229</v>
      </c>
      <c r="CW441" s="180">
        <f t="shared" si="810"/>
        <v>0.40349573304423936</v>
      </c>
      <c r="CX441" s="181">
        <f>INDEX('State Tax Lookup'!$D$7:$Z$91,MATCH(Calculation!$C441,'State Tax Lookup'!$B$7:$B$91,0),MATCH($H441,'State Tax Lookup'!$D$6:$Z$6,0))</f>
        <v>0.39279166999999998</v>
      </c>
      <c r="CY441" s="72">
        <v>0.37</v>
      </c>
      <c r="CZ441" s="70">
        <f t="shared" si="814"/>
        <v>20.412733427177873</v>
      </c>
      <c r="DA441" s="70">
        <v>19.146574949201604</v>
      </c>
      <c r="DB441" s="69">
        <f t="shared" si="817"/>
        <v>6.3682832947037124E-2</v>
      </c>
      <c r="DC441" s="111">
        <f>VLOOKUP($H441,RoR!$E:$F,2,FALSE)</f>
        <v>4.6391666666666664E-2</v>
      </c>
      <c r="DD441" s="216">
        <f>HLOOKUP($H441,'GDP-PI'!$D$8:$CQ$11,3,FALSE)</f>
        <v>2.0840920205183799E-2</v>
      </c>
      <c r="DE441" s="111">
        <f>VLOOKUP(H441,'HW Dx Data'!$E:$F,2,FALSE)</f>
        <v>611.61109612283201</v>
      </c>
      <c r="DF441" s="72">
        <f t="shared" si="827"/>
        <v>120.875</v>
      </c>
      <c r="DG441" s="69">
        <f t="shared" si="828"/>
        <v>3.3224250161508609E-2</v>
      </c>
      <c r="DH441" s="66">
        <f>HLOOKUP(H441,'GDP-PI'!$8:$9,2,FALSE)</f>
        <v>98.111999999999995</v>
      </c>
      <c r="DI441" s="69">
        <f t="shared" si="818"/>
        <v>2.0626719212849295E-2</v>
      </c>
      <c r="EB441"/>
    </row>
    <row r="442" spans="1:132" s="160" customFormat="1" ht="21">
      <c r="A442" s="160" t="s">
        <v>186</v>
      </c>
      <c r="B442" s="161" t="s">
        <v>186</v>
      </c>
      <c r="C442" s="161">
        <v>4057118</v>
      </c>
      <c r="D442" s="161" t="s">
        <v>187</v>
      </c>
      <c r="E442" s="161"/>
      <c r="F442" s="161"/>
      <c r="G442" s="161" t="s">
        <v>128</v>
      </c>
      <c r="H442" s="162">
        <v>2012</v>
      </c>
      <c r="I442" s="163"/>
      <c r="J442" s="159">
        <f>IFERROR(INDEX('Labor Expenditures'!$F$7:$X$91,MATCH($C442,'Labor Expenditures'!$D$7:$D$91,0),MATCH($G442,'Labor Expenditures'!$F$5:$X$5,0)),"NA")</f>
        <v>3593.3008416124089</v>
      </c>
      <c r="K442" s="159">
        <f t="shared" si="819"/>
        <v>28.792474692407119</v>
      </c>
      <c r="L442" s="165">
        <f t="shared" si="825"/>
        <v>8.0427200877512608E-3</v>
      </c>
      <c r="M442" s="76">
        <f t="shared" si="829"/>
        <v>1.3320892141484556E-5</v>
      </c>
      <c r="N442" s="62">
        <f t="shared" si="835"/>
        <v>114.50312222434862</v>
      </c>
      <c r="O442" s="96">
        <f t="shared" si="830"/>
        <v>-1.2174818073974865E-2</v>
      </c>
      <c r="P442" s="96"/>
      <c r="Q442" s="159">
        <f>IFERROR(INDEX('Non-Labor Expenditures'!$F$7:$AB$91,MATCH($C442,'Non-Labor Expenditures'!$D$7:$D$91,0),MATCH($G442,'Non-Labor Expenditures'!$F$5:$AB$5,0)),"NA")</f>
        <v>5203.7707546758174</v>
      </c>
      <c r="R442" s="159">
        <f t="shared" si="820"/>
        <v>52.037707546758178</v>
      </c>
      <c r="S442" s="165">
        <f t="shared" si="831"/>
        <v>2.0937719510877872E-2</v>
      </c>
      <c r="T442" s="165">
        <f t="shared" si="832"/>
        <v>3.4678454583770517E-5</v>
      </c>
      <c r="U442" s="165"/>
      <c r="V442" s="165"/>
      <c r="W442" s="159">
        <f t="shared" si="800"/>
        <v>8915.1021880306962</v>
      </c>
      <c r="X442" s="163"/>
      <c r="Y442" s="167">
        <v>410.92487118645147</v>
      </c>
      <c r="Z442" s="168">
        <v>1.4953592015172101E-2</v>
      </c>
      <c r="AA442" s="76">
        <f t="shared" si="821"/>
        <v>2.4767141488019521E-5</v>
      </c>
      <c r="AB442" s="168"/>
      <c r="AC442" s="168"/>
      <c r="AD442" s="163">
        <f t="shared" si="811"/>
        <v>17712.173784318922</v>
      </c>
      <c r="AE442" s="168">
        <f t="shared" si="833"/>
        <v>6.3465774405849107E-2</v>
      </c>
      <c r="AF442" s="163"/>
      <c r="AG442" s="163"/>
      <c r="AH442" s="163"/>
      <c r="AI442" s="163"/>
      <c r="AJ442" s="116">
        <f t="shared" si="834"/>
        <v>505.77309492629706</v>
      </c>
      <c r="AK442" s="114">
        <f>+AV442/$AX$17</f>
        <v>9.8058434594814128E-4</v>
      </c>
      <c r="AL442" s="115">
        <f t="shared" si="822"/>
        <v>0.20287181490922687</v>
      </c>
      <c r="AM442" s="115">
        <f t="shared" si="823"/>
        <v>0.29379627921688867</v>
      </c>
      <c r="AN442" s="115">
        <f t="shared" si="824"/>
        <v>0.50333190587388454</v>
      </c>
      <c r="AO442" s="115">
        <f t="shared" si="826"/>
        <v>1.5313913009082591E-2</v>
      </c>
      <c r="AP442" s="166">
        <f t="shared" si="837"/>
        <v>101.79004913169213</v>
      </c>
      <c r="AQ442" s="168">
        <f t="shared" si="838"/>
        <v>1.5313913009082494E-2</v>
      </c>
      <c r="AR442" s="69">
        <f>+AD442/$AF$17</f>
        <v>1.6562670335589248E-3</v>
      </c>
      <c r="AS442" s="169">
        <f t="shared" si="836"/>
        <v>2.5363929271732492E-5</v>
      </c>
      <c r="AT442" s="115"/>
      <c r="AU442" s="115"/>
      <c r="AV442" s="113">
        <f>IFERROR(INDEX('Total Customers'!$F$7:$AB$91,MATCH($C442,'Total Customers'!$D$7:$D$91,0),MATCH($G442,'Total Customers'!$F$5:$AB$5,0)),"NA")</f>
        <v>35020</v>
      </c>
      <c r="AW442" s="68">
        <f t="shared" si="751"/>
        <v>-1.3247105374003738E-2</v>
      </c>
      <c r="AX442" s="114"/>
      <c r="AY442" s="114"/>
      <c r="AZ442" s="116"/>
      <c r="BA442" s="116"/>
      <c r="BB442" s="166"/>
      <c r="BC442" s="166"/>
      <c r="BD442" s="166"/>
      <c r="BE442" s="166"/>
      <c r="BF442" s="166"/>
      <c r="BG442" s="166"/>
      <c r="BH442" s="166"/>
      <c r="BI442" s="113"/>
      <c r="BJ442" s="113"/>
      <c r="BK442" s="113">
        <f>INDEX('Dist. Plant Gas Additions'!$F$7:$AE$91,MATCH($C442,'Dist. Plant Gas Additions'!$D$7:$D$91,0),MATCH(Calculation!$G442,'Dist. Plant Gas Additions'!$F$5:$AE$5,0))</f>
        <v>5470</v>
      </c>
      <c r="BL442" s="113">
        <f>INDEX('Gen. Plant Additions'!$F$7:$AE$91,MATCH($C442,'Gen. Plant Additions'!$D$7:$D$91,0),MATCH(Calculation!$G442,'Gen. Plant Additions'!$F$5:$AE$5,0))</f>
        <v>690</v>
      </c>
      <c r="BM442" s="231">
        <f t="shared" si="801"/>
        <v>0.83025713834989745</v>
      </c>
      <c r="BN442" s="61">
        <f>+BM442*BL442</f>
        <v>572.8774254614292</v>
      </c>
      <c r="BO442" s="113">
        <f>INDEX('Dist Plant Depreciation'!$E$7:$AD$94,MATCH($C442,'Dist Plant Depreciation'!$D$7:$D$94,0),MATCH(Calculation!$G442,'Dist Plant Depreciation'!$E$5:$AD$5,0))</f>
        <v>39126</v>
      </c>
      <c r="BP442" s="113">
        <f>INDEX('Gen. Plant Depreciation'!$E$7:$AD$94,MATCH($C442,'Gen. Plant Depreciation'!$D$7:$D$94,0),MATCH(Calculation!$G442,'Gen. Plant Depreciation'!$E$5:$AD$5,0))</f>
        <v>12517</v>
      </c>
      <c r="BQ442" s="113"/>
      <c r="BR442" s="113"/>
      <c r="BS442" s="113"/>
      <c r="BT442" s="113"/>
      <c r="BU442" s="113"/>
      <c r="BV442" s="113"/>
      <c r="BW442" s="113">
        <f>INDEX('Gross Dx Plant'!$E$7:$AD$91,MATCH($C442,'Gross Dx Plant'!$D$7:$D$91,0),MATCH(Calculation!$G442,'Gross Dx Plant'!$E$5:$AD$5,0))</f>
        <v>110523</v>
      </c>
      <c r="BX442" s="113">
        <f>INDEX('Gross Gen Plant'!$E$7:$AD$91,MATCH($C442,'Gross Gen Plant'!$D$7:$D$91,0),MATCH(Calculation!$G442,'Gross Gen Plant'!$E$5:$AD$5,0))</f>
        <v>22596</v>
      </c>
      <c r="BY442" s="113">
        <f t="shared" si="753"/>
        <v>81476</v>
      </c>
      <c r="BZ442" s="113"/>
      <c r="CA442" s="116">
        <v>2012</v>
      </c>
      <c r="CB442" s="113"/>
      <c r="CC442" s="113"/>
      <c r="CD442" s="113"/>
      <c r="CE442" s="175"/>
      <c r="CF442" s="113">
        <f t="shared" si="802"/>
        <v>6160</v>
      </c>
      <c r="CG442" s="113">
        <f t="shared" si="803"/>
        <v>9.2088833381955748</v>
      </c>
      <c r="CH442" s="178">
        <v>0.9135802469135802</v>
      </c>
      <c r="CI442" s="61">
        <f>+CI428*CH442+CG429*CH441+CG430*CH440+CG431*CH439+CG432*CH438+CG433*CH437+CG434*CH436+CG435*CH435+CG436*CH434+CG437*CH433+CG438*CH432+CG439*CH431+CG440*CH430+CG441*CH429+CG442</f>
        <v>410.92487118645147</v>
      </c>
      <c r="CJ442" s="114">
        <f t="shared" si="804"/>
        <v>1.4953592015172101E-2</v>
      </c>
      <c r="CK442" s="114"/>
      <c r="CL442" s="169">
        <f t="shared" si="805"/>
        <v>7.6818124641616229E-3</v>
      </c>
      <c r="CM442" s="169">
        <f t="shared" si="813"/>
        <v>7.4118691017087185E-3</v>
      </c>
      <c r="CN442" s="114">
        <f>VLOOKUP($H442,RoR!$E:$F,2,FALSE)</f>
        <v>3.6733333333333333E-2</v>
      </c>
      <c r="CO442" s="169">
        <v>1.924331376386168E-2</v>
      </c>
      <c r="CP442" s="169">
        <f t="shared" si="812"/>
        <v>1.7490019569471653E-2</v>
      </c>
      <c r="CQ442" s="169">
        <f t="shared" si="815"/>
        <v>2.3490072506824906E-2</v>
      </c>
      <c r="CR442" s="169">
        <f t="shared" si="816"/>
        <v>6.7122682943869583E-2</v>
      </c>
      <c r="CS442" s="179">
        <f t="shared" si="806"/>
        <v>0.85466708209999998</v>
      </c>
      <c r="CT442" s="180">
        <f t="shared" si="807"/>
        <v>1.3960631020522127</v>
      </c>
      <c r="CU442" s="180">
        <f t="shared" si="808"/>
        <v>0.29441923774954631</v>
      </c>
      <c r="CV442" s="180">
        <f t="shared" si="809"/>
        <v>0.76377954189366437</v>
      </c>
      <c r="CW442" s="180">
        <f t="shared" si="810"/>
        <v>0.31393465103033691</v>
      </c>
      <c r="CX442" s="181">
        <f>INDEX('State Tax Lookup'!$D$7:$Z$91,MATCH(Calculation!$C442,'State Tax Lookup'!$B$7:$B$91,0),MATCH($H442,'State Tax Lookup'!$D$6:$Z$6,0))</f>
        <v>0.39279166999999998</v>
      </c>
      <c r="CY442" s="72">
        <v>0.37</v>
      </c>
      <c r="CZ442" s="70">
        <f t="shared" si="814"/>
        <v>22.022071096321731</v>
      </c>
      <c r="DA442" s="70">
        <v>20.759737328210988</v>
      </c>
      <c r="DB442" s="69">
        <f t="shared" si="817"/>
        <v>7.5886288375882932E-2</v>
      </c>
      <c r="DC442" s="111">
        <f>VLOOKUP($H442,RoR!$E:$F,2,FALSE)</f>
        <v>3.6733333333333333E-2</v>
      </c>
      <c r="DD442" s="216">
        <f>HLOOKUP($H442,'GDP-PI'!$D$8:$CQ$11,3,FALSE)</f>
        <v>1.924331376386168E-2</v>
      </c>
      <c r="DE442" s="111">
        <f>VLOOKUP(H442,'HW Dx Data'!$E:$F,2,FALSE)</f>
        <v>668.91932211262167</v>
      </c>
      <c r="DF442" s="72">
        <f t="shared" si="827"/>
        <v>124.80000000000001</v>
      </c>
      <c r="DG442" s="69">
        <f t="shared" si="828"/>
        <v>3.1955502161869064E-2</v>
      </c>
      <c r="DH442" s="66">
        <f>HLOOKUP(H442,'GDP-PI'!$8:$9,2,FALSE)</f>
        <v>100</v>
      </c>
      <c r="DI442" s="69">
        <f t="shared" si="818"/>
        <v>1.9060502738742411E-2</v>
      </c>
      <c r="EB442"/>
    </row>
    <row r="443" spans="1:132" s="160" customFormat="1" ht="21">
      <c r="A443" s="160" t="s">
        <v>186</v>
      </c>
      <c r="B443" s="161" t="s">
        <v>186</v>
      </c>
      <c r="C443" s="161">
        <v>4057118</v>
      </c>
      <c r="D443" s="161" t="s">
        <v>187</v>
      </c>
      <c r="E443" s="161"/>
      <c r="F443" s="161"/>
      <c r="G443" s="161" t="s">
        <v>129</v>
      </c>
      <c r="H443" s="162">
        <v>2013</v>
      </c>
      <c r="I443" s="163"/>
      <c r="J443" s="159">
        <f>IFERROR(INDEX('Labor Expenditures'!$F$7:$X$91,MATCH($C443,'Labor Expenditures'!$D$7:$D$91,0),MATCH($G443,'Labor Expenditures'!$F$5:$X$5,0)),"NA")</f>
        <v>3639.1716092944903</v>
      </c>
      <c r="K443" s="159">
        <f t="shared" si="819"/>
        <v>28.700091555950241</v>
      </c>
      <c r="L443" s="165">
        <f t="shared" si="825"/>
        <v>-3.2137447324951884E-3</v>
      </c>
      <c r="M443" s="76">
        <f t="shared" si="829"/>
        <v>-5.1535696234197714E-6</v>
      </c>
      <c r="N443" s="62">
        <f t="shared" si="835"/>
        <v>107.40725550199414</v>
      </c>
      <c r="O443" s="96">
        <f t="shared" si="830"/>
        <v>-6.3974355279984907E-2</v>
      </c>
      <c r="P443" s="96"/>
      <c r="Q443" s="159">
        <f>IFERROR(INDEX('Non-Labor Expenditures'!$F$7:$AB$91,MATCH($C443,'Non-Labor Expenditures'!$D$7:$D$91,0),MATCH($G443,'Non-Labor Expenditures'!$F$5:$AB$5,0)),"NA")</f>
        <v>5270.2001937570803</v>
      </c>
      <c r="R443" s="159">
        <f t="shared" si="820"/>
        <v>51.783873854136957</v>
      </c>
      <c r="S443" s="165">
        <f t="shared" si="831"/>
        <v>-4.8898156812077704E-3</v>
      </c>
      <c r="T443" s="165">
        <f t="shared" si="832"/>
        <v>-7.8413214665087758E-6</v>
      </c>
      <c r="U443" s="165"/>
      <c r="V443" s="165"/>
      <c r="W443" s="159">
        <f t="shared" si="800"/>
        <v>8876.5598150418627</v>
      </c>
      <c r="X443" s="163"/>
      <c r="Y443" s="167">
        <v>415.13036297008205</v>
      </c>
      <c r="Z443" s="168">
        <v>1.0182195921316251E-2</v>
      </c>
      <c r="AA443" s="76">
        <f t="shared" si="821"/>
        <v>1.6328196533226891E-5</v>
      </c>
      <c r="AB443" s="168"/>
      <c r="AC443" s="168"/>
      <c r="AD443" s="163">
        <f t="shared" si="811"/>
        <v>17785.931618093433</v>
      </c>
      <c r="AE443" s="168">
        <f t="shared" si="833"/>
        <v>4.1555986767191216E-3</v>
      </c>
      <c r="AF443" s="163"/>
      <c r="AG443" s="163"/>
      <c r="AH443" s="163"/>
      <c r="AI443" s="163"/>
      <c r="AJ443" s="116">
        <f t="shared" si="834"/>
        <v>509.5379481491272</v>
      </c>
      <c r="AK443" s="114">
        <f>+AV443/$AX$18</f>
        <v>9.7116302963246384E-4</v>
      </c>
      <c r="AL443" s="115">
        <f t="shared" si="822"/>
        <v>0.20460955812921269</v>
      </c>
      <c r="AM443" s="115">
        <f t="shared" si="823"/>
        <v>0.29631285596509116</v>
      </c>
      <c r="AN443" s="115">
        <f t="shared" si="824"/>
        <v>0.49907758590569617</v>
      </c>
      <c r="AO443" s="115">
        <f t="shared" si="826"/>
        <v>3.005831909828875E-3</v>
      </c>
      <c r="AP443" s="166">
        <f t="shared" si="837"/>
        <v>102.09647320839665</v>
      </c>
      <c r="AQ443" s="168">
        <f t="shared" si="838"/>
        <v>3.0058319098288191E-3</v>
      </c>
      <c r="AR443" s="69">
        <f>+AD443/$AF$18</f>
        <v>1.6036026667925428E-3</v>
      </c>
      <c r="AS443" s="169">
        <f t="shared" si="836"/>
        <v>4.8201600665316163E-6</v>
      </c>
      <c r="AT443" s="115"/>
      <c r="AU443" s="115"/>
      <c r="AV443" s="113">
        <f>IFERROR(INDEX('Total Customers'!$F$7:$AB$91,MATCH($C443,'Total Customers'!$D$7:$D$91,0),MATCH($G443,'Total Customers'!$F$5:$AB$5,0)),"NA")</f>
        <v>34906</v>
      </c>
      <c r="AW443" s="68">
        <f t="shared" si="751"/>
        <v>-3.2605926550608845E-3</v>
      </c>
      <c r="AX443" s="114"/>
      <c r="AY443" s="114"/>
      <c r="AZ443" s="116"/>
      <c r="BA443" s="116"/>
      <c r="BB443" s="166"/>
      <c r="BC443" s="166"/>
      <c r="BD443" s="166"/>
      <c r="BE443" s="166"/>
      <c r="BF443" s="166"/>
      <c r="BG443" s="166"/>
      <c r="BH443" s="166"/>
      <c r="BI443" s="113"/>
      <c r="BJ443" s="113"/>
      <c r="BK443" s="113">
        <f>INDEX('Dist. Plant Gas Additions'!$F$7:$AE$91,MATCH($C443,'Dist. Plant Gas Additions'!$D$7:$D$91,0),MATCH(Calculation!$G443,'Dist. Plant Gas Additions'!$F$5:$AE$5,0))</f>
        <v>3694</v>
      </c>
      <c r="BL443" s="113">
        <f>INDEX('Gen. Plant Additions'!$F$7:$AE$91,MATCH($C443,'Gen. Plant Additions'!$D$7:$D$91,0),MATCH(Calculation!$G443,'Gen. Plant Additions'!$F$5:$AE$5,0))</f>
        <v>1264</v>
      </c>
      <c r="BM443" s="231">
        <f t="shared" si="801"/>
        <v>0.83287606919115598</v>
      </c>
      <c r="BN443" s="61">
        <f t="shared" ref="BN443:BN459" si="839">+BM443*BL443</f>
        <v>1052.7553514576211</v>
      </c>
      <c r="BO443" s="113">
        <f>INDEX('Dist Plant Depreciation'!$E$7:$AD$94,MATCH($C443,'Dist Plant Depreciation'!$D$7:$D$94,0),MATCH(Calculation!$G443,'Dist Plant Depreciation'!$E$5:$AD$5,0))</f>
        <v>41612</v>
      </c>
      <c r="BP443" s="113">
        <f>INDEX('Gen. Plant Depreciation'!$E$7:$AD$94,MATCH($C443,'Gen. Plant Depreciation'!$D$7:$D$94,0),MATCH(Calculation!$G443,'Gen. Plant Depreciation'!$E$5:$AD$5,0))</f>
        <v>12810</v>
      </c>
      <c r="BQ443" s="113"/>
      <c r="BR443" s="113"/>
      <c r="BS443" s="113"/>
      <c r="BT443" s="113"/>
      <c r="BU443" s="113"/>
      <c r="BV443" s="113"/>
      <c r="BW443" s="113">
        <f>INDEX('Gross Dx Plant'!$E$7:$AD$91,MATCH($C443,'Gross Dx Plant'!$D$7:$D$91,0),MATCH(Calculation!$G443,'Gross Dx Plant'!$E$5:$AD$5,0))</f>
        <v>113536</v>
      </c>
      <c r="BX443" s="113">
        <f>INDEX('Gross Gen Plant'!$E$7:$AD$91,MATCH($C443,'Gross Gen Plant'!$D$7:$D$91,0),MATCH(Calculation!$G443,'Gross Gen Plant'!$E$5:$AD$5,0))</f>
        <v>22782</v>
      </c>
      <c r="BY443" s="113">
        <f t="shared" si="753"/>
        <v>81896</v>
      </c>
      <c r="BZ443" s="113"/>
      <c r="CA443" s="116">
        <v>2013</v>
      </c>
      <c r="CB443" s="113"/>
      <c r="CC443" s="113"/>
      <c r="CD443" s="113"/>
      <c r="CE443" s="175"/>
      <c r="CF443" s="113">
        <f t="shared" si="802"/>
        <v>4958</v>
      </c>
      <c r="CG443" s="113">
        <f t="shared" si="803"/>
        <v>7.4753289400679979</v>
      </c>
      <c r="CH443" s="178">
        <v>0.90566037735849059</v>
      </c>
      <c r="CI443" s="61">
        <f>+CI428*CH443+CG429*CH442+CG430*CH441+CG431*CH440+CG432*CH439+CG433*CH438+CG434*CH437+CG435*CH436+CG436*CH435+CG437*CH434+CG438*CH433+CG439*CH432+CG440*CH431+CG441*CH430+CG442*CH429+CG443</f>
        <v>415.13036297008205</v>
      </c>
      <c r="CJ443" s="114">
        <f t="shared" si="804"/>
        <v>1.0182195921316251E-2</v>
      </c>
      <c r="CK443" s="114"/>
      <c r="CL443" s="169">
        <f t="shared" si="805"/>
        <v>7.957262715679668E-3</v>
      </c>
      <c r="CM443" s="169">
        <f t="shared" si="813"/>
        <v>7.6823466825551752E-3</v>
      </c>
      <c r="CN443" s="114">
        <f>VLOOKUP($H443,RoR!$E:$F,2,FALSE)</f>
        <v>4.2350000000000006E-2</v>
      </c>
      <c r="CO443" s="169">
        <v>1.7730000000000024E-2</v>
      </c>
      <c r="CP443" s="169">
        <f t="shared" si="812"/>
        <v>2.4619999999999982E-2</v>
      </c>
      <c r="CQ443" s="169">
        <f t="shared" si="815"/>
        <v>2.321959492597845E-2</v>
      </c>
      <c r="CR443" s="169">
        <f t="shared" si="816"/>
        <v>5.3376742735721204E-2</v>
      </c>
      <c r="CS443" s="179">
        <f t="shared" si="806"/>
        <v>0.85466708209999998</v>
      </c>
      <c r="CT443" s="180">
        <f t="shared" si="807"/>
        <v>1.2109103018193925</v>
      </c>
      <c r="CU443" s="180">
        <f t="shared" si="808"/>
        <v>0.38468122786304604</v>
      </c>
      <c r="CV443" s="180">
        <f t="shared" si="809"/>
        <v>0.80969194503422559</v>
      </c>
      <c r="CW443" s="180">
        <f t="shared" si="810"/>
        <v>0.37716621754800816</v>
      </c>
      <c r="CX443" s="181">
        <f>INDEX('State Tax Lookup'!$D$7:$Z$91,MATCH(Calculation!$C443,'State Tax Lookup'!$B$7:$B$91,0),MATCH($H443,'State Tax Lookup'!$D$6:$Z$6,0))</f>
        <v>0.39279166999999998</v>
      </c>
      <c r="CY443" s="72">
        <v>0.37</v>
      </c>
      <c r="CZ443" s="70">
        <f t="shared" si="814"/>
        <v>21.601417771119156</v>
      </c>
      <c r="DA443" s="70">
        <v>20.339519021246105</v>
      </c>
      <c r="DB443" s="69">
        <f t="shared" si="817"/>
        <v>-1.9286232020870989E-2</v>
      </c>
      <c r="DC443" s="111">
        <f>VLOOKUP($H443,RoR!$E:$F,2,FALSE)</f>
        <v>4.2350000000000006E-2</v>
      </c>
      <c r="DD443" s="216">
        <f>HLOOKUP($H443,'GDP-PI'!$D$8:$CQ$11,3,FALSE)</f>
        <v>1.7730000000000024E-2</v>
      </c>
      <c r="DE443" s="111">
        <f>VLOOKUP(H443,'HW Dx Data'!$E:$F,2,FALSE)</f>
        <v>663.24840548821396</v>
      </c>
      <c r="DF443" s="72">
        <f t="shared" si="827"/>
        <v>126.8</v>
      </c>
      <c r="DG443" s="69">
        <f t="shared" si="828"/>
        <v>1.5898586067798204E-2</v>
      </c>
      <c r="DH443" s="66">
        <f>HLOOKUP(H443,'GDP-PI'!$8:$9,2,FALSE)</f>
        <v>101.773</v>
      </c>
      <c r="DI443" s="69">
        <f t="shared" si="818"/>
        <v>1.7574657016510519E-2</v>
      </c>
      <c r="EB443"/>
    </row>
    <row r="444" spans="1:132" s="160" customFormat="1" ht="21">
      <c r="A444" s="160" t="s">
        <v>186</v>
      </c>
      <c r="B444" s="161" t="s">
        <v>186</v>
      </c>
      <c r="C444" s="161">
        <v>4057118</v>
      </c>
      <c r="D444" s="161" t="s">
        <v>187</v>
      </c>
      <c r="E444" s="161"/>
      <c r="F444" s="161"/>
      <c r="G444" s="161" t="s">
        <v>130</v>
      </c>
      <c r="H444" s="162">
        <v>2014</v>
      </c>
      <c r="I444" s="163"/>
      <c r="J444" s="159">
        <f>IFERROR(INDEX('Labor Expenditures'!$F$7:$X$91,MATCH($C444,'Labor Expenditures'!$D$7:$D$91,0),MATCH($G444,'Labor Expenditures'!$F$5:$X$5,0)),"NA")</f>
        <v>3699.6541205845365</v>
      </c>
      <c r="K444" s="159">
        <f t="shared" si="819"/>
        <v>28.590835553203526</v>
      </c>
      <c r="L444" s="165">
        <f t="shared" si="825"/>
        <v>-3.814081590479385E-3</v>
      </c>
      <c r="M444" s="76">
        <f t="shared" si="829"/>
        <v>-6.0998213391814142E-6</v>
      </c>
      <c r="N444" s="62">
        <f t="shared" si="835"/>
        <v>119.47741496814025</v>
      </c>
      <c r="O444" s="96">
        <f t="shared" si="830"/>
        <v>0.10649962174958927</v>
      </c>
      <c r="P444" s="96"/>
      <c r="Q444" s="159">
        <f>IFERROR(INDEX('Non-Labor Expenditures'!$F$7:$AB$91,MATCH($C444,'Non-Labor Expenditures'!$D$7:$D$91,0),MATCH($G444,'Non-Labor Expenditures'!$F$5:$AB$5,0)),"NA")</f>
        <v>5357.7901666799316</v>
      </c>
      <c r="R444" s="159">
        <f t="shared" si="820"/>
        <v>51.692669992184349</v>
      </c>
      <c r="S444" s="165">
        <f t="shared" si="831"/>
        <v>-1.7627934250608061E-3</v>
      </c>
      <c r="T444" s="165">
        <f t="shared" si="832"/>
        <v>-2.8192173386105007E-6</v>
      </c>
      <c r="U444" s="165"/>
      <c r="V444" s="165"/>
      <c r="W444" s="159">
        <f t="shared" si="800"/>
        <v>9150.0551118126768</v>
      </c>
      <c r="X444" s="163"/>
      <c r="Y444" s="167">
        <v>419.8448289163556</v>
      </c>
      <c r="Z444" s="168">
        <v>1.1292589509363829E-2</v>
      </c>
      <c r="AA444" s="76">
        <f t="shared" si="821"/>
        <v>1.8060121900846886E-5</v>
      </c>
      <c r="AB444" s="168"/>
      <c r="AC444" s="168"/>
      <c r="AD444" s="163">
        <f t="shared" si="811"/>
        <v>18207.499399077147</v>
      </c>
      <c r="AE444" s="168">
        <f t="shared" si="833"/>
        <v>2.3425777839805415E-2</v>
      </c>
      <c r="AF444" s="163"/>
      <c r="AG444" s="163"/>
      <c r="AH444" s="163"/>
      <c r="AI444" s="163"/>
      <c r="AJ444" s="116">
        <f t="shared" si="834"/>
        <v>525.16583210490762</v>
      </c>
      <c r="AK444" s="114">
        <f>+AV444/$AX$19</f>
        <v>9.5944245517643693E-4</v>
      </c>
      <c r="AL444" s="115">
        <f t="shared" si="822"/>
        <v>0.20319397186260815</v>
      </c>
      <c r="AM444" s="115">
        <f t="shared" si="823"/>
        <v>0.29426282265600368</v>
      </c>
      <c r="AN444" s="115">
        <f t="shared" si="824"/>
        <v>0.50254320548138809</v>
      </c>
      <c r="AO444" s="115">
        <f t="shared" si="826"/>
        <v>4.3572167908150407E-3</v>
      </c>
      <c r="AP444" s="166">
        <f t="shared" si="837"/>
        <v>102.54230025293752</v>
      </c>
      <c r="AQ444" s="168">
        <f t="shared" si="838"/>
        <v>4.357216790815046E-3</v>
      </c>
      <c r="AR444" s="69">
        <f>+AD444/$AF$19</f>
        <v>1.5992896833690279E-3</v>
      </c>
      <c r="AS444" s="169">
        <f t="shared" si="836"/>
        <v>6.9684518617528065E-6</v>
      </c>
      <c r="AT444" s="115"/>
      <c r="AU444" s="115"/>
      <c r="AV444" s="113">
        <f>IFERROR(INDEX('Total Customers'!$F$7:$AB$91,MATCH($C444,'Total Customers'!$D$7:$D$91,0),MATCH($G444,'Total Customers'!$F$5:$AB$5,0)),"NA")</f>
        <v>34670</v>
      </c>
      <c r="AW444" s="68">
        <f t="shared" si="751"/>
        <v>-6.7839745057127676E-3</v>
      </c>
      <c r="AX444" s="114"/>
      <c r="AY444" s="114"/>
      <c r="AZ444" s="116"/>
      <c r="BA444" s="116"/>
      <c r="BB444" s="166"/>
      <c r="BC444" s="166"/>
      <c r="BD444" s="166"/>
      <c r="BE444" s="166"/>
      <c r="BF444" s="166"/>
      <c r="BG444" s="166"/>
      <c r="BH444" s="166"/>
      <c r="BI444" s="113"/>
      <c r="BJ444" s="113"/>
      <c r="BK444" s="113">
        <f>INDEX('Dist. Plant Gas Additions'!$F$7:$AE$91,MATCH($C444,'Dist. Plant Gas Additions'!$D$7:$D$91,0),MATCH(Calculation!$G444,'Dist. Plant Gas Additions'!$F$5:$AE$5,0))</f>
        <v>4318</v>
      </c>
      <c r="BL444" s="113">
        <f>INDEX('Gen. Plant Additions'!$F$7:$AE$91,MATCH($C444,'Gen. Plant Additions'!$D$7:$D$91,0),MATCH(Calculation!$G444,'Gen. Plant Additions'!$F$5:$AE$5,0))</f>
        <v>1256</v>
      </c>
      <c r="BM444" s="231">
        <f t="shared" si="801"/>
        <v>0.83578237403660371</v>
      </c>
      <c r="BN444" s="61">
        <f t="shared" si="839"/>
        <v>1049.7426617899744</v>
      </c>
      <c r="BO444" s="113">
        <f>INDEX('Dist Plant Depreciation'!$E$7:$AD$94,MATCH($C444,'Dist Plant Depreciation'!$D$7:$D$94,0),MATCH(Calculation!$G444,'Dist Plant Depreciation'!$E$5:$AD$5,0))</f>
        <v>44842</v>
      </c>
      <c r="BP444" s="113">
        <f>INDEX('Gen. Plant Depreciation'!$E$7:$AD$94,MATCH($C444,'Gen. Plant Depreciation'!$D$7:$D$94,0),MATCH(Calculation!$G444,'Gen. Plant Depreciation'!$E$5:$AD$5,0))</f>
        <v>12909</v>
      </c>
      <c r="BQ444" s="113"/>
      <c r="BR444" s="113"/>
      <c r="BS444" s="113"/>
      <c r="BT444" s="113"/>
      <c r="BU444" s="113"/>
      <c r="BV444" s="113"/>
      <c r="BW444" s="113">
        <f>INDEX('Gross Dx Plant'!$E$7:$AD$91,MATCH($C444,'Gross Dx Plant'!$D$7:$D$91,0),MATCH(Calculation!$G444,'Gross Dx Plant'!$E$5:$AD$5,0))</f>
        <v>117226</v>
      </c>
      <c r="BX444" s="113">
        <f>INDEX('Gross Gen Plant'!$E$7:$AD$91,MATCH($C444,'Gross Gen Plant'!$D$7:$D$91,0),MATCH(Calculation!$G444,'Gross Gen Plant'!$E$5:$AD$5,0))</f>
        <v>23033</v>
      </c>
      <c r="BY444" s="113">
        <f t="shared" si="753"/>
        <v>82508</v>
      </c>
      <c r="BZ444" s="113"/>
      <c r="CA444" s="116">
        <v>2014</v>
      </c>
      <c r="CB444" s="113"/>
      <c r="CC444" s="113"/>
      <c r="CD444" s="113"/>
      <c r="CE444" s="175"/>
      <c r="CF444" s="113">
        <f t="shared" si="802"/>
        <v>5574</v>
      </c>
      <c r="CG444" s="113">
        <f t="shared" si="803"/>
        <v>8.1435373065722523</v>
      </c>
      <c r="CH444" s="178">
        <v>0.89743589743589747</v>
      </c>
      <c r="CI444" s="61">
        <f>+CI428*CH444+CG429*CH443+CG430*CH442+CG431*CH441+CG432*CH440+CG433*CH439+CG434*CH438+CG435*CH437+CG436*CH436+CG437*CH435+CG438*CH434+CG439*CH433+CG440*CH432+CG441*CH431+CG442*CH430+CG443*CH429+CG444</f>
        <v>419.8448289163556</v>
      </c>
      <c r="CJ444" s="114">
        <f t="shared" si="804"/>
        <v>1.1292589509363829E-2</v>
      </c>
      <c r="CK444" s="114"/>
      <c r="CL444" s="169">
        <f t="shared" si="805"/>
        <v>8.2602277890856963E-3</v>
      </c>
      <c r="CM444" s="169">
        <f t="shared" si="813"/>
        <v>7.9664343229756615E-3</v>
      </c>
      <c r="CN444" s="114">
        <f>VLOOKUP($H444,RoR!$E:$F,2,FALSE)</f>
        <v>4.1625000000000002E-2</v>
      </c>
      <c r="CO444" s="169">
        <v>1.841352814597208E-2</v>
      </c>
      <c r="CP444" s="169">
        <f t="shared" si="812"/>
        <v>2.3211471854027922E-2</v>
      </c>
      <c r="CQ444" s="169">
        <f t="shared" si="815"/>
        <v>2.2935507285557964E-2</v>
      </c>
      <c r="CR444" s="169">
        <f t="shared" si="816"/>
        <v>3.9072621432650924E-2</v>
      </c>
      <c r="CS444" s="179">
        <f t="shared" si="806"/>
        <v>0.85466708209999998</v>
      </c>
      <c r="CT444" s="180">
        <f t="shared" si="807"/>
        <v>1.2320012320012319</v>
      </c>
      <c r="CU444" s="180">
        <f t="shared" si="808"/>
        <v>0.37439939939939942</v>
      </c>
      <c r="CV444" s="180">
        <f t="shared" si="809"/>
        <v>0.80432100613819935</v>
      </c>
      <c r="CW444" s="180">
        <f t="shared" si="810"/>
        <v>0.37100152660040037</v>
      </c>
      <c r="CX444" s="181">
        <f>INDEX('State Tax Lookup'!$D$7:$Z$91,MATCH(Calculation!$C444,'State Tax Lookup'!$B$7:$B$91,0),MATCH($H444,'State Tax Lookup'!$D$6:$Z$6,0))</f>
        <v>0.39279166999999998</v>
      </c>
      <c r="CY444" s="72">
        <v>0.37</v>
      </c>
      <c r="CZ444" s="70">
        <f t="shared" si="814"/>
        <v>22.041401757144204</v>
      </c>
      <c r="DA444" s="70">
        <v>20.763592984765573</v>
      </c>
      <c r="DB444" s="69">
        <f t="shared" si="817"/>
        <v>2.0163632770778844E-2</v>
      </c>
      <c r="DC444" s="111">
        <f>VLOOKUP($H444,RoR!$E:$F,2,FALSE)</f>
        <v>4.1625000000000002E-2</v>
      </c>
      <c r="DD444" s="216">
        <f>HLOOKUP($H444,'GDP-PI'!$D$8:$CQ$11,3,FALSE)</f>
        <v>1.841352814597208E-2</v>
      </c>
      <c r="DE444" s="111">
        <f>VLOOKUP(H444,'HW Dx Data'!$E:$F,2,FALSE)</f>
        <v>684.46914285042885</v>
      </c>
      <c r="DF444" s="72">
        <f t="shared" si="827"/>
        <v>129.4</v>
      </c>
      <c r="DG444" s="69">
        <f t="shared" si="828"/>
        <v>2.0297340063674733E-2</v>
      </c>
      <c r="DH444" s="66">
        <f>HLOOKUP(H444,'GDP-PI'!$8:$9,2,FALSE)</f>
        <v>103.64700000000001</v>
      </c>
      <c r="DI444" s="69">
        <f t="shared" si="818"/>
        <v>1.8246051898256087E-2</v>
      </c>
      <c r="EB444"/>
    </row>
    <row r="445" spans="1:132" s="160" customFormat="1" ht="21">
      <c r="A445" s="160" t="s">
        <v>186</v>
      </c>
      <c r="B445" s="161" t="s">
        <v>186</v>
      </c>
      <c r="C445" s="161">
        <v>4057118</v>
      </c>
      <c r="D445" s="161" t="s">
        <v>187</v>
      </c>
      <c r="E445" s="161"/>
      <c r="F445" s="161"/>
      <c r="G445" s="161" t="s">
        <v>132</v>
      </c>
      <c r="H445" s="162">
        <v>2015</v>
      </c>
      <c r="I445" s="163"/>
      <c r="J445" s="159">
        <f>IFERROR(INDEX('Labor Expenditures'!$F$7:$X$91,MATCH($C445,'Labor Expenditures'!$D$7:$D$91,0),MATCH($G445,'Labor Expenditures'!$F$5:$X$5,0)),"NA")</f>
        <v>3850.7580208572981</v>
      </c>
      <c r="K445" s="159">
        <f t="shared" si="819"/>
        <v>28.844629369717588</v>
      </c>
      <c r="L445" s="165">
        <f t="shared" si="825"/>
        <v>8.8375873230816474E-3</v>
      </c>
      <c r="M445" s="76">
        <f t="shared" si="829"/>
        <v>1.4192329429360297E-5</v>
      </c>
      <c r="N445" s="62">
        <f t="shared" si="835"/>
        <v>117.52717317514372</v>
      </c>
      <c r="O445" s="96">
        <f t="shared" si="830"/>
        <v>-1.6457789514498323E-2</v>
      </c>
      <c r="P445" s="96"/>
      <c r="Q445" s="159">
        <f>IFERROR(INDEX('Non-Labor Expenditures'!$F$7:$AB$91,MATCH($C445,'Non-Labor Expenditures'!$D$7:$D$91,0),MATCH($G445,'Non-Labor Expenditures'!$F$5:$AB$5,0)),"NA")</f>
        <v>5576.6168365904905</v>
      </c>
      <c r="R445" s="159">
        <f t="shared" si="820"/>
        <v>53.293865925615599</v>
      </c>
      <c r="S445" s="165">
        <f t="shared" si="831"/>
        <v>3.0505246911143067E-2</v>
      </c>
      <c r="T445" s="165">
        <f t="shared" si="832"/>
        <v>4.8988541517002246E-5</v>
      </c>
      <c r="U445" s="165"/>
      <c r="V445" s="165"/>
      <c r="W445" s="159">
        <f t="shared" si="800"/>
        <v>9036.2292681932722</v>
      </c>
      <c r="X445" s="163"/>
      <c r="Y445" s="167">
        <v>424.26593042046261</v>
      </c>
      <c r="Z445" s="168">
        <v>1.0475264964585668E-2</v>
      </c>
      <c r="AA445" s="76">
        <f t="shared" si="821"/>
        <v>1.6822284838866597E-5</v>
      </c>
      <c r="AB445" s="168"/>
      <c r="AC445" s="168"/>
      <c r="AD445" s="163">
        <f t="shared" si="811"/>
        <v>18463.604125641061</v>
      </c>
      <c r="AE445" s="168">
        <f t="shared" si="833"/>
        <v>1.3967885654316595E-2</v>
      </c>
      <c r="AF445" s="163"/>
      <c r="AG445" s="163"/>
      <c r="AH445" s="163"/>
      <c r="AI445" s="163"/>
      <c r="AJ445" s="116">
        <f t="shared" si="834"/>
        <v>530.80738631672773</v>
      </c>
      <c r="AK445" s="114">
        <f>+AV445/$AX$20</f>
        <v>9.5477007344790571E-4</v>
      </c>
      <c r="AL445" s="115">
        <f t="shared" si="822"/>
        <v>0.20855939039061253</v>
      </c>
      <c r="AM445" s="115">
        <f t="shared" si="823"/>
        <v>0.30203295080650289</v>
      </c>
      <c r="AN445" s="115">
        <f t="shared" si="824"/>
        <v>0.48940765880288456</v>
      </c>
      <c r="AO445" s="115">
        <f t="shared" si="826"/>
        <v>1.6110002115628807E-2</v>
      </c>
      <c r="AP445" s="166">
        <f t="shared" si="837"/>
        <v>104.20763518441211</v>
      </c>
      <c r="AQ445" s="168">
        <f t="shared" si="838"/>
        <v>1.6110002115628869E-2</v>
      </c>
      <c r="AR445" s="69">
        <f>+AD445/$AF$20</f>
        <v>1.6059054253747913E-3</v>
      </c>
      <c r="AS445" s="169">
        <f t="shared" si="836"/>
        <v>2.5871139800287767E-5</v>
      </c>
      <c r="AT445" s="115"/>
      <c r="AU445" s="115"/>
      <c r="AV445" s="113">
        <f>IFERROR(INDEX('Total Customers'!$F$7:$AB$91,MATCH($C445,'Total Customers'!$D$7:$D$91,0),MATCH($G445,'Total Customers'!$F$5:$AB$5,0)),"NA")</f>
        <v>34784</v>
      </c>
      <c r="AW445" s="68">
        <f t="shared" si="751"/>
        <v>3.2827512418669197E-3</v>
      </c>
      <c r="AX445" s="114"/>
      <c r="AY445" s="114"/>
      <c r="AZ445" s="116"/>
      <c r="BA445" s="116"/>
      <c r="BB445" s="166"/>
      <c r="BC445" s="166"/>
      <c r="BD445" s="166"/>
      <c r="BE445" s="166"/>
      <c r="BF445" s="166"/>
      <c r="BG445" s="166"/>
      <c r="BH445" s="166"/>
      <c r="BI445" s="113"/>
      <c r="BJ445" s="113"/>
      <c r="BK445" s="113">
        <f>INDEX('Dist. Plant Gas Additions'!$F$7:$AE$91,MATCH($C445,'Dist. Plant Gas Additions'!$D$7:$D$91,0),MATCH(Calculation!$G445,'Dist. Plant Gas Additions'!$F$5:$AE$5,0))</f>
        <v>3777</v>
      </c>
      <c r="BL445" s="113">
        <f>INDEX('Gen. Plant Additions'!$F$7:$AE$91,MATCH($C445,'Gen. Plant Additions'!$D$7:$D$91,0),MATCH(Calculation!$G445,'Gen. Plant Additions'!$F$5:$AE$5,0))</f>
        <v>1642</v>
      </c>
      <c r="BM445" s="231">
        <f t="shared" si="801"/>
        <v>0.83486635796649</v>
      </c>
      <c r="BN445" s="61">
        <f t="shared" si="839"/>
        <v>1370.8505597809765</v>
      </c>
      <c r="BO445" s="113">
        <f>INDEX('Dist Plant Depreciation'!$E$7:$AD$94,MATCH($C445,'Dist Plant Depreciation'!$D$7:$D$94,0),MATCH(Calculation!$G445,'Dist Plant Depreciation'!$E$5:$AD$5,0))</f>
        <v>47346</v>
      </c>
      <c r="BP445" s="113">
        <f>INDEX('Gen. Plant Depreciation'!$E$7:$AD$94,MATCH($C445,'Gen. Plant Depreciation'!$D$7:$D$94,0),MATCH(Calculation!$G445,'Gen. Plant Depreciation'!$E$5:$AD$5,0))</f>
        <v>13240</v>
      </c>
      <c r="BQ445" s="113"/>
      <c r="BR445" s="113"/>
      <c r="BS445" s="113"/>
      <c r="BT445" s="113"/>
      <c r="BU445" s="113"/>
      <c r="BV445" s="113"/>
      <c r="BW445" s="113">
        <f>INDEX('Gross Dx Plant'!$E$7:$AD$91,MATCH($C445,'Gross Dx Plant'!$D$7:$D$91,0),MATCH(Calculation!$G445,'Gross Dx Plant'!$E$5:$AD$5,0))</f>
        <v>119537</v>
      </c>
      <c r="BX445" s="113">
        <f>INDEX('Gross Gen Plant'!$E$7:$AD$91,MATCH($C445,'Gross Gen Plant'!$D$7:$D$91,0),MATCH(Calculation!$G445,'Gross Gen Plant'!$E$5:$AD$5,0))</f>
        <v>23644</v>
      </c>
      <c r="BY445" s="113">
        <f t="shared" si="753"/>
        <v>82595</v>
      </c>
      <c r="BZ445" s="113"/>
      <c r="CA445" s="116">
        <v>2015</v>
      </c>
      <c r="CB445" s="113"/>
      <c r="CC445" s="113"/>
      <c r="CD445" s="113"/>
      <c r="CE445" s="175"/>
      <c r="CF445" s="113">
        <f t="shared" si="802"/>
        <v>5419</v>
      </c>
      <c r="CG445" s="113">
        <f t="shared" si="803"/>
        <v>8.0208446274208089</v>
      </c>
      <c r="CH445" s="178">
        <v>0.88888888888888884</v>
      </c>
      <c r="CI445" s="61">
        <f>+CI428*CH445+CG429*CH444+CG430*CH443+CG431*CH442+CG432*CH441+CG433*CH440+CG434*CH439+CG435*CH438+CG436*CH437+CG437*CH436+CG438*CH435+CG439*CH434+CG440*CH433+CG441*CH432+CG442*CH431+CG443*CH430+CG444*CH429+CG445</f>
        <v>424.26593042046261</v>
      </c>
      <c r="CJ445" s="114">
        <f t="shared" si="804"/>
        <v>1.0475264964585668E-2</v>
      </c>
      <c r="CK445" s="114"/>
      <c r="CL445" s="169">
        <f t="shared" si="805"/>
        <v>8.5739846614401455E-3</v>
      </c>
      <c r="CM445" s="169">
        <f t="shared" si="813"/>
        <v>8.2638250554018366E-3</v>
      </c>
      <c r="CN445" s="114">
        <f>VLOOKUP($H445,RoR!$E:$F,2,FALSE)</f>
        <v>3.8866666666666674E-2</v>
      </c>
      <c r="CO445" s="169">
        <v>9.5709475431029478E-3</v>
      </c>
      <c r="CP445" s="169">
        <f t="shared" si="812"/>
        <v>2.9295719123563727E-2</v>
      </c>
      <c r="CQ445" s="169">
        <f t="shared" si="815"/>
        <v>2.263811655313179E-2</v>
      </c>
      <c r="CR445" s="169">
        <f t="shared" si="816"/>
        <v>3.5270373279175926E-3</v>
      </c>
      <c r="CS445" s="179">
        <f t="shared" si="806"/>
        <v>0.85466708209999998</v>
      </c>
      <c r="CT445" s="180">
        <f t="shared" si="807"/>
        <v>1.3194352816994324</v>
      </c>
      <c r="CU445" s="180">
        <f t="shared" si="808"/>
        <v>0.33177530017152673</v>
      </c>
      <c r="CV445" s="180">
        <f t="shared" si="809"/>
        <v>0.78242572977668579</v>
      </c>
      <c r="CW445" s="180">
        <f t="shared" si="810"/>
        <v>0.34251158643433932</v>
      </c>
      <c r="CX445" s="181">
        <f>INDEX('State Tax Lookup'!$D$7:$Z$91,MATCH(Calculation!$C445,'State Tax Lookup'!$B$7:$B$91,0),MATCH($H445,'State Tax Lookup'!$D$6:$Z$6,0))</f>
        <v>0.39279166999999998</v>
      </c>
      <c r="CY445" s="72">
        <v>0.37</v>
      </c>
      <c r="CZ445" s="70">
        <f t="shared" si="814"/>
        <v>21.522783289998632</v>
      </c>
      <c r="DA445" s="70">
        <v>20.279488671080099</v>
      </c>
      <c r="DB445" s="69">
        <f t="shared" si="817"/>
        <v>-2.381052089102104E-2</v>
      </c>
      <c r="DC445" s="111">
        <f>VLOOKUP($H445,RoR!$E:$F,2,FALSE)</f>
        <v>3.8866666666666674E-2</v>
      </c>
      <c r="DD445" s="216">
        <f>HLOOKUP($H445,'GDP-PI'!$D$8:$CQ$11,3,FALSE)</f>
        <v>9.5709475431029478E-3</v>
      </c>
      <c r="DE445" s="111">
        <f>VLOOKUP(H445,'HW Dx Data'!$E:$F,2,FALSE)</f>
        <v>675.61463308665782</v>
      </c>
      <c r="DF445" s="72">
        <f t="shared" si="827"/>
        <v>133.5</v>
      </c>
      <c r="DG445" s="69">
        <f t="shared" si="828"/>
        <v>3.1193095773504077E-2</v>
      </c>
      <c r="DH445" s="66">
        <f>HLOOKUP(H445,'GDP-PI'!$8:$9,2,FALSE)</f>
        <v>104.639</v>
      </c>
      <c r="DI445" s="69">
        <f t="shared" si="818"/>
        <v>9.5254361854427965E-3</v>
      </c>
      <c r="EB445"/>
    </row>
    <row r="446" spans="1:132" s="160" customFormat="1" ht="21">
      <c r="A446" s="160" t="s">
        <v>186</v>
      </c>
      <c r="B446" s="161" t="s">
        <v>186</v>
      </c>
      <c r="C446" s="161">
        <v>4057118</v>
      </c>
      <c r="D446" s="161" t="s">
        <v>187</v>
      </c>
      <c r="E446" s="161"/>
      <c r="F446" s="161"/>
      <c r="G446" s="161" t="s">
        <v>133</v>
      </c>
      <c r="H446" s="162">
        <v>2016</v>
      </c>
      <c r="I446" s="163"/>
      <c r="J446" s="159">
        <f>IFERROR(INDEX('Labor Expenditures'!$F$7:$X$91,MATCH($C446,'Labor Expenditures'!$D$7:$D$91,0),MATCH($G446,'Labor Expenditures'!$F$5:$X$5,0)),"NA")</f>
        <v>3835.420392129357</v>
      </c>
      <c r="K446" s="159">
        <f t="shared" si="819"/>
        <v>28.005990450013563</v>
      </c>
      <c r="L446" s="165">
        <f t="shared" si="825"/>
        <v>-2.9505386660231135E-2</v>
      </c>
      <c r="M446" s="76">
        <f t="shared" si="829"/>
        <v>-4.5475914423458368E-5</v>
      </c>
      <c r="N446" s="62">
        <f t="shared" si="835"/>
        <v>294.2292383031583</v>
      </c>
      <c r="O446" s="96">
        <f t="shared" si="830"/>
        <v>0.91768961772034996</v>
      </c>
      <c r="P446" s="96"/>
      <c r="Q446" s="159">
        <f>IFERROR(INDEX('Non-Labor Expenditures'!$F$7:$AB$91,MATCH($C446,'Non-Labor Expenditures'!$D$7:$D$91,0),MATCH($G446,'Non-Labor Expenditures'!$F$5:$AB$5,0)),"NA")</f>
        <v>5554.405085518536</v>
      </c>
      <c r="R446" s="159">
        <f t="shared" si="820"/>
        <v>52.53087960125724</v>
      </c>
      <c r="S446" s="165">
        <f t="shared" si="831"/>
        <v>-1.4420059158653466E-2</v>
      </c>
      <c r="T446" s="165">
        <f t="shared" si="832"/>
        <v>-2.2225276483632939E-5</v>
      </c>
      <c r="U446" s="165"/>
      <c r="V446" s="165"/>
      <c r="W446" s="159">
        <f t="shared" si="800"/>
        <v>8947.8683571288566</v>
      </c>
      <c r="X446" s="163"/>
      <c r="Y446" s="167">
        <v>428.59655323018495</v>
      </c>
      <c r="Z446" s="168">
        <v>1.0155588064724034E-2</v>
      </c>
      <c r="AA446" s="76">
        <f t="shared" si="821"/>
        <v>1.5652553856335989E-5</v>
      </c>
      <c r="AB446" s="168"/>
      <c r="AC446" s="168"/>
      <c r="AD446" s="163">
        <f t="shared" si="811"/>
        <v>18337.69383477675</v>
      </c>
      <c r="AE446" s="168">
        <f t="shared" si="833"/>
        <v>-6.8427359432368506E-3</v>
      </c>
      <c r="AF446" s="163"/>
      <c r="AG446" s="163"/>
      <c r="AH446" s="163"/>
      <c r="AI446" s="163"/>
      <c r="AJ446" s="116">
        <f t="shared" si="834"/>
        <v>539.53436020880167</v>
      </c>
      <c r="AK446" s="114">
        <f>+AV446/$AX$21</f>
        <v>9.2485929148072019E-4</v>
      </c>
      <c r="AL446" s="115">
        <f t="shared" si="822"/>
        <v>0.2091550020785943</v>
      </c>
      <c r="AM446" s="115">
        <f t="shared" si="823"/>
        <v>0.30289550777561869</v>
      </c>
      <c r="AN446" s="115">
        <f t="shared" si="824"/>
        <v>0.48794949014578698</v>
      </c>
      <c r="AO446" s="115">
        <f t="shared" si="826"/>
        <v>-5.5611461130094476E-3</v>
      </c>
      <c r="AP446" s="166">
        <f t="shared" si="837"/>
        <v>103.62972969686295</v>
      </c>
      <c r="AQ446" s="168">
        <f t="shared" si="838"/>
        <v>-5.5611461130094832E-3</v>
      </c>
      <c r="AR446" s="69">
        <f>+AD446/$AF$21</f>
        <v>1.5412749863994537E-3</v>
      </c>
      <c r="AS446" s="169">
        <f t="shared" si="836"/>
        <v>-8.5712553996940657E-6</v>
      </c>
      <c r="AT446" s="115"/>
      <c r="AU446" s="115"/>
      <c r="AV446" s="113">
        <f>IFERROR(INDEX('Total Customers'!$F$7:$AB$91,MATCH($C446,'Total Customers'!$D$7:$D$91,0),MATCH($G446,'Total Customers'!$F$5:$AB$5,0)),"NA")</f>
        <v>33988</v>
      </c>
      <c r="AW446" s="68">
        <f t="shared" si="751"/>
        <v>-2.3149989797504014E-2</v>
      </c>
      <c r="AX446" s="114"/>
      <c r="AY446" s="114"/>
      <c r="AZ446" s="116"/>
      <c r="BA446" s="116"/>
      <c r="BB446" s="166"/>
      <c r="BC446" s="166"/>
      <c r="BD446" s="166"/>
      <c r="BE446" s="166"/>
      <c r="BF446" s="166"/>
      <c r="BG446" s="166"/>
      <c r="BH446" s="166"/>
      <c r="BI446" s="113"/>
      <c r="BJ446" s="113"/>
      <c r="BK446" s="113">
        <f>INDEX('Dist. Plant Gas Additions'!$F$7:$AE$91,MATCH($C446,'Dist. Plant Gas Additions'!$D$7:$D$91,0),MATCH(Calculation!$G446,'Dist. Plant Gas Additions'!$F$5:$AE$5,0))</f>
        <v>4339</v>
      </c>
      <c r="BL446" s="113">
        <f>INDEX('Gen. Plant Additions'!$F$7:$AE$91,MATCH($C446,'Gen. Plant Additions'!$D$7:$D$91,0),MATCH(Calculation!$G446,'Gen. Plant Additions'!$F$5:$AE$5,0))</f>
        <v>1106</v>
      </c>
      <c r="BM446" s="231">
        <f t="shared" si="801"/>
        <v>0.83775817219856419</v>
      </c>
      <c r="BN446" s="61">
        <f t="shared" si="839"/>
        <v>926.56053845161205</v>
      </c>
      <c r="BO446" s="113">
        <f>INDEX('Dist Plant Depreciation'!$E$7:$AD$94,MATCH($C446,'Dist Plant Depreciation'!$D$7:$D$94,0),MATCH(Calculation!$G446,'Dist Plant Depreciation'!$E$5:$AD$5,0))</f>
        <v>50268</v>
      </c>
      <c r="BP446" s="113">
        <f>INDEX('Gen. Plant Depreciation'!$E$7:$AD$94,MATCH($C446,'Gen. Plant Depreciation'!$D$7:$D$94,0),MATCH(Calculation!$G446,'Gen. Plant Depreciation'!$E$5:$AD$5,0))</f>
        <v>13451</v>
      </c>
      <c r="BQ446" s="113"/>
      <c r="BR446" s="113"/>
      <c r="BS446" s="113"/>
      <c r="BT446" s="113"/>
      <c r="BU446" s="113"/>
      <c r="BV446" s="113"/>
      <c r="BW446" s="113">
        <f>INDEX('Gross Dx Plant'!$E$7:$AD$91,MATCH($C446,'Gross Dx Plant'!$D$7:$D$91,0),MATCH(Calculation!$G446,'Gross Dx Plant'!$E$5:$AD$5,0))</f>
        <v>123349</v>
      </c>
      <c r="BX446" s="113">
        <f>INDEX('Gross Gen Plant'!$E$7:$AD$91,MATCH($C446,'Gross Gen Plant'!$D$7:$D$91,0),MATCH(Calculation!$G446,'Gross Gen Plant'!$E$5:$AD$5,0))</f>
        <v>23888</v>
      </c>
      <c r="BY446" s="113">
        <f t="shared" si="753"/>
        <v>83518</v>
      </c>
      <c r="BZ446" s="113"/>
      <c r="CA446" s="116">
        <v>2016</v>
      </c>
      <c r="CB446" s="113"/>
      <c r="CC446" s="113"/>
      <c r="CD446" s="113"/>
      <c r="CE446" s="175"/>
      <c r="CF446" s="113">
        <f t="shared" si="802"/>
        <v>5445</v>
      </c>
      <c r="CG446" s="113">
        <f t="shared" si="803"/>
        <v>8.1092384401921827</v>
      </c>
      <c r="CH446" s="178">
        <v>0.88</v>
      </c>
      <c r="CI446" s="61">
        <f>+CI428*CH446+CG429*CH445+CG430*CH444+CG431*CH443+CG432*CH442+CG433*CH441+CG434*CH440+CG435*CH439+CG436*CH438+CG437*CH437+CG438*CH436+CG439*CH435+CG440*CH434+CG441*CH433+CG442*CH432+CG443*CH431+CG444*CH430+CG445*CH429+CG446</f>
        <v>428.59655323018495</v>
      </c>
      <c r="CJ446" s="114">
        <f t="shared" si="804"/>
        <v>1.0155588064724034E-2</v>
      </c>
      <c r="CK446" s="114"/>
      <c r="CL446" s="169">
        <f t="shared" si="805"/>
        <v>8.9062433712862547E-3</v>
      </c>
      <c r="CM446" s="169">
        <f t="shared" si="813"/>
        <v>8.5801519406040316E-3</v>
      </c>
      <c r="CN446" s="114">
        <f>VLOOKUP($H446,RoR!$E:$F,2,FALSE)</f>
        <v>3.6658333333333334E-2</v>
      </c>
      <c r="CO446" s="169">
        <v>1.0483662879041455E-2</v>
      </c>
      <c r="CP446" s="169">
        <f t="shared" si="812"/>
        <v>2.6174670454291879E-2</v>
      </c>
      <c r="CQ446" s="169">
        <f t="shared" si="815"/>
        <v>2.2321789667929595E-2</v>
      </c>
      <c r="CR446" s="169">
        <f t="shared" si="816"/>
        <v>4.301363574220729E-3</v>
      </c>
      <c r="CS446" s="179">
        <f t="shared" si="806"/>
        <v>0.85466708209999998</v>
      </c>
      <c r="CT446" s="180">
        <f t="shared" si="807"/>
        <v>1.3989193348138562</v>
      </c>
      <c r="CU446" s="180">
        <f t="shared" si="808"/>
        <v>0.29302682427824522</v>
      </c>
      <c r="CV446" s="180">
        <f t="shared" si="809"/>
        <v>0.76309497491941802</v>
      </c>
      <c r="CW446" s="180">
        <f t="shared" si="810"/>
        <v>0.31280857135128509</v>
      </c>
      <c r="CX446" s="181">
        <f>INDEX('State Tax Lookup'!$D$7:$Z$91,MATCH(Calculation!$C446,'State Tax Lookup'!$B$7:$B$91,0),MATCH($H446,'State Tax Lookup'!$D$6:$Z$6,0))</f>
        <v>0.39279166999999998</v>
      </c>
      <c r="CY446" s="72">
        <v>0.37</v>
      </c>
      <c r="CZ446" s="70">
        <f t="shared" si="814"/>
        <v>21.090235429135689</v>
      </c>
      <c r="DA446" s="70">
        <v>19.909765876209278</v>
      </c>
      <c r="DB446" s="69">
        <f t="shared" si="817"/>
        <v>-2.0301904469766492E-2</v>
      </c>
      <c r="DC446" s="111">
        <f>VLOOKUP($H446,RoR!$E:$F,2,FALSE)</f>
        <v>3.6658333333333334E-2</v>
      </c>
      <c r="DD446" s="216">
        <f>HLOOKUP($H446,'GDP-PI'!$D$8:$CQ$11,3,FALSE)</f>
        <v>1.0483662879041455E-2</v>
      </c>
      <c r="DE446" s="111">
        <f>VLOOKUP(H446,'HW Dx Data'!$E:$F,2,FALSE)</f>
        <v>671.45639385971219</v>
      </c>
      <c r="DF446" s="72">
        <f t="shared" si="827"/>
        <v>136.94999999999999</v>
      </c>
      <c r="DG446" s="69">
        <f t="shared" si="828"/>
        <v>2.5514417868782811E-2</v>
      </c>
      <c r="DH446" s="66">
        <f>HLOOKUP(H446,'GDP-PI'!$8:$9,2,FALSE)</f>
        <v>105.736</v>
      </c>
      <c r="DI446" s="69">
        <f t="shared" si="818"/>
        <v>1.0429090367205095E-2</v>
      </c>
      <c r="EB446"/>
    </row>
    <row r="447" spans="1:132" s="160" customFormat="1" ht="21">
      <c r="A447" s="160" t="s">
        <v>186</v>
      </c>
      <c r="B447" s="161" t="s">
        <v>186</v>
      </c>
      <c r="C447" s="161">
        <v>4057118</v>
      </c>
      <c r="D447" s="161" t="s">
        <v>187</v>
      </c>
      <c r="E447" s="161"/>
      <c r="F447" s="161"/>
      <c r="G447" s="161" t="s">
        <v>135</v>
      </c>
      <c r="H447" s="162">
        <v>2017</v>
      </c>
      <c r="I447" s="163"/>
      <c r="J447" s="159">
        <f>IFERROR(INDEX('Labor Expenditures'!$F$7:$X$91,MATCH($C447,'Labor Expenditures'!$D$7:$D$91,0),MATCH($G447,'Labor Expenditures'!$F$5:$X$5,0)),"NA")</f>
        <v>3761.7955584156584</v>
      </c>
      <c r="K447" s="159">
        <f t="shared" si="819"/>
        <v>26.783877240410529</v>
      </c>
      <c r="L447" s="165">
        <f t="shared" si="825"/>
        <v>-4.4618320957098521E-2</v>
      </c>
      <c r="M447" s="76">
        <f t="shared" si="829"/>
        <v>-6.5369976727867928E-5</v>
      </c>
      <c r="N447" s="62">
        <f t="shared" si="835"/>
        <v>163.87440936723709</v>
      </c>
      <c r="O447" s="96">
        <f t="shared" si="830"/>
        <v>-0.58525884772189363</v>
      </c>
      <c r="P447" s="96"/>
      <c r="Q447" s="159">
        <f>IFERROR(INDEX('Non-Labor Expenditures'!$F$7:$AB$91,MATCH($C447,'Non-Labor Expenditures'!$D$7:$D$91,0),MATCH($G447,'Non-Labor Expenditures'!$F$5:$AB$5,0)),"NA")</f>
        <v>5447.7825750789998</v>
      </c>
      <c r="R447" s="159">
        <f t="shared" si="820"/>
        <v>50.558997829059585</v>
      </c>
      <c r="S447" s="165">
        <f t="shared" si="831"/>
        <v>-3.8260251343678095E-2</v>
      </c>
      <c r="T447" s="165">
        <f t="shared" si="832"/>
        <v>-5.6054815293104576E-5</v>
      </c>
      <c r="U447" s="165"/>
      <c r="V447" s="165"/>
      <c r="W447" s="159">
        <f t="shared" si="800"/>
        <v>8138.2463607680593</v>
      </c>
      <c r="X447" s="163"/>
      <c r="Y447" s="167">
        <v>432.52750861678521</v>
      </c>
      <c r="Z447" s="168">
        <v>9.129887007166838E-3</v>
      </c>
      <c r="AA447" s="76">
        <f t="shared" si="821"/>
        <v>1.3376130889380974E-5</v>
      </c>
      <c r="AB447" s="168"/>
      <c r="AC447" s="168"/>
      <c r="AD447" s="163">
        <f t="shared" si="811"/>
        <v>17347.824494262717</v>
      </c>
      <c r="AE447" s="168">
        <f t="shared" si="833"/>
        <v>-5.5491604665581618E-2</v>
      </c>
      <c r="AF447" s="163"/>
      <c r="AG447" s="163"/>
      <c r="AH447" s="163"/>
      <c r="AI447" s="163"/>
      <c r="AJ447" s="116">
        <f t="shared" si="834"/>
        <v>497.18630328621799</v>
      </c>
      <c r="AK447" s="114">
        <f>+AV447/$AX$22</f>
        <v>9.4232491855797819E-4</v>
      </c>
      <c r="AL447" s="115">
        <f t="shared" si="822"/>
        <v>0.21684537791235792</v>
      </c>
      <c r="AM447" s="115">
        <f t="shared" si="823"/>
        <v>0.31403260834698288</v>
      </c>
      <c r="AN447" s="115">
        <f t="shared" si="824"/>
        <v>0.46912201374065926</v>
      </c>
      <c r="AO447" s="115">
        <f t="shared" si="826"/>
        <v>-1.6936645888926155E-2</v>
      </c>
      <c r="AP447" s="166">
        <f t="shared" si="837"/>
        <v>101.88936919783239</v>
      </c>
      <c r="AQ447" s="168">
        <f t="shared" si="838"/>
        <v>-1.6936645888926138E-2</v>
      </c>
      <c r="AR447" s="69">
        <f>+AD447/$AF$22</f>
        <v>1.4650927091300135E-3</v>
      </c>
      <c r="AS447" s="169">
        <f t="shared" si="836"/>
        <v>-2.4813756408982502E-5</v>
      </c>
      <c r="AT447" s="115"/>
      <c r="AU447" s="115"/>
      <c r="AV447" s="113">
        <f>IFERROR(INDEX('Total Customers'!$F$7:$AB$91,MATCH($C447,'Total Customers'!$D$7:$D$91,0),MATCH($G447,'Total Customers'!$F$5:$AB$5,0)),"NA")</f>
        <v>34892</v>
      </c>
      <c r="AW447" s="68">
        <f t="shared" si="751"/>
        <v>2.6250055429677149E-2</v>
      </c>
      <c r="AX447" s="114"/>
      <c r="AY447" s="114"/>
      <c r="AZ447" s="116"/>
      <c r="BA447" s="116"/>
      <c r="BB447" s="166"/>
      <c r="BC447" s="166"/>
      <c r="BD447" s="166"/>
      <c r="BE447" s="166"/>
      <c r="BF447" s="166"/>
      <c r="BG447" s="166"/>
      <c r="BH447" s="166"/>
      <c r="BI447" s="113"/>
      <c r="BJ447" s="113"/>
      <c r="BK447" s="113">
        <f>INDEX('Dist. Plant Gas Additions'!$F$7:$AE$91,MATCH($C447,'Dist. Plant Gas Additions'!$D$7:$D$91,0),MATCH(Calculation!$G447,'Dist. Plant Gas Additions'!$F$5:$AE$5,0))</f>
        <v>4393</v>
      </c>
      <c r="BL447" s="113">
        <f>INDEX('Gen. Plant Additions'!$F$7:$AE$91,MATCH($C447,'Gen. Plant Additions'!$D$7:$D$91,0),MATCH(Calculation!$G447,'Gen. Plant Additions'!$F$5:$AE$5,0))</f>
        <v>1234</v>
      </c>
      <c r="BM447" s="231">
        <f t="shared" si="801"/>
        <v>0.83874140279762099</v>
      </c>
      <c r="BN447" s="61">
        <f t="shared" si="839"/>
        <v>1035.0068910522643</v>
      </c>
      <c r="BO447" s="113">
        <f>INDEX('Dist Plant Depreciation'!$E$7:$AD$94,MATCH($C447,'Dist Plant Depreciation'!$D$7:$D$94,0),MATCH(Calculation!$G447,'Dist Plant Depreciation'!$E$5:$AD$5,0))</f>
        <v>52414</v>
      </c>
      <c r="BP447" s="113">
        <f>INDEX('Gen. Plant Depreciation'!$E$7:$AD$94,MATCH($C447,'Gen. Plant Depreciation'!$D$7:$D$94,0),MATCH(Calculation!$G447,'Gen. Plant Depreciation'!$E$5:$AD$5,0))</f>
        <v>13647</v>
      </c>
      <c r="BQ447" s="113"/>
      <c r="BR447" s="113"/>
      <c r="BS447" s="113"/>
      <c r="BT447" s="113"/>
      <c r="BU447" s="113"/>
      <c r="BV447" s="113"/>
      <c r="BW447" s="113">
        <f>INDEX('Gross Dx Plant'!$E$7:$AD$91,MATCH($C447,'Gross Dx Plant'!$D$7:$D$91,0),MATCH(Calculation!$G447,'Gross Dx Plant'!$E$5:$AD$5,0))</f>
        <v>126218</v>
      </c>
      <c r="BX447" s="113">
        <f>INDEX('Gross Gen Plant'!$E$7:$AD$91,MATCH($C447,'Gross Gen Plant'!$D$7:$D$91,0),MATCH(Calculation!$G447,'Gross Gen Plant'!$E$5:$AD$5,0))</f>
        <v>24267</v>
      </c>
      <c r="BY447" s="113">
        <f t="shared" si="753"/>
        <v>84424</v>
      </c>
      <c r="BZ447" s="113"/>
      <c r="CA447" s="116">
        <v>2017</v>
      </c>
      <c r="CB447" s="113"/>
      <c r="CC447" s="113"/>
      <c r="CD447" s="113"/>
      <c r="CE447" s="175"/>
      <c r="CF447" s="113">
        <f t="shared" si="802"/>
        <v>5627</v>
      </c>
      <c r="CG447" s="113">
        <f t="shared" si="803"/>
        <v>7.8983355366765524</v>
      </c>
      <c r="CH447" s="178">
        <v>0.87074829931972786</v>
      </c>
      <c r="CI447" s="61">
        <f>+CI428*CH447+CG429*CH446+CG430*CH445+CG431*CH444+CG432*CH443+CG433*CH442+CG434*CH441+CG435*CH440+CG436*CH439+CG437*CH438+CG438*CH437+CG439*CH436+CG440*CH435+CG441*CH434+CG442*CH433+CG443*CH432+CG444*CH431+CG445*CH430+CG446*CH429+CG447</f>
        <v>432.52750861678521</v>
      </c>
      <c r="CJ447" s="114">
        <f t="shared" si="804"/>
        <v>9.129887007166838E-3</v>
      </c>
      <c r="CK447" s="114"/>
      <c r="CL447" s="169">
        <f t="shared" si="805"/>
        <v>9.2566776848192339E-3</v>
      </c>
      <c r="CM447" s="169">
        <f t="shared" si="813"/>
        <v>8.9123019058485447E-3</v>
      </c>
      <c r="CN447" s="114">
        <f>VLOOKUP($H447,RoR!$E:$F,2,FALSE)</f>
        <v>3.7433333333333339E-2</v>
      </c>
      <c r="CO447" s="169">
        <v>1.9056896421275615E-2</v>
      </c>
      <c r="CP447" s="169">
        <f t="shared" si="812"/>
        <v>1.8376436912057724E-2</v>
      </c>
      <c r="CQ447" s="169">
        <f t="shared" si="815"/>
        <v>2.1989639702685082E-2</v>
      </c>
      <c r="CR447" s="169">
        <f t="shared" si="816"/>
        <v>1.3976271617800498E-2</v>
      </c>
      <c r="CS447" s="179">
        <f t="shared" si="806"/>
        <v>0.90646708210000004</v>
      </c>
      <c r="CT447" s="180">
        <f t="shared" si="807"/>
        <v>1.3699568463593395</v>
      </c>
      <c r="CU447" s="180">
        <f t="shared" si="808"/>
        <v>0.30714603739982199</v>
      </c>
      <c r="CV447" s="180">
        <f t="shared" si="809"/>
        <v>0.77007188472689425</v>
      </c>
      <c r="CW447" s="180">
        <f t="shared" si="810"/>
        <v>0.32402839633793828</v>
      </c>
      <c r="CX447" s="181">
        <f>INDEX('State Tax Lookup'!$D$7:$Z$91,MATCH(Calculation!$C447,'State Tax Lookup'!$B$7:$B$91,0),MATCH($H447,'State Tax Lookup'!$D$6:$Z$6,0))</f>
        <v>0.25279166999999997</v>
      </c>
      <c r="CY447" s="72">
        <v>0.37</v>
      </c>
      <c r="CZ447" s="70">
        <f t="shared" si="814"/>
        <v>18.988128344553619</v>
      </c>
      <c r="DA447" s="70">
        <v>18.231812616449311</v>
      </c>
      <c r="DB447" s="69">
        <f t="shared" si="817"/>
        <v>-0.10499619758614211</v>
      </c>
      <c r="DC447" s="111">
        <f>VLOOKUP($H447,RoR!$E:$F,2,FALSE)</f>
        <v>3.7433333333333339E-2</v>
      </c>
      <c r="DD447" s="216">
        <f>HLOOKUP($H447,'GDP-PI'!$D$8:$CQ$11,3,FALSE)</f>
        <v>1.9056896421275615E-2</v>
      </c>
      <c r="DE447" s="111">
        <f>VLOOKUP(H447,'HW Dx Data'!$E:$F,2,FALSE)</f>
        <v>712.42858370229726</v>
      </c>
      <c r="DF447" s="72">
        <f t="shared" si="827"/>
        <v>140.44999999999999</v>
      </c>
      <c r="DG447" s="69">
        <f t="shared" si="828"/>
        <v>2.5235657841165486E-2</v>
      </c>
      <c r="DH447" s="66">
        <f>HLOOKUP(H447,'GDP-PI'!$8:$9,2,FALSE)</f>
        <v>107.751</v>
      </c>
      <c r="DI447" s="69">
        <f t="shared" si="818"/>
        <v>1.8877588227745139E-2</v>
      </c>
      <c r="EB447"/>
    </row>
    <row r="448" spans="1:132" s="160" customFormat="1" ht="21">
      <c r="A448" s="160" t="s">
        <v>186</v>
      </c>
      <c r="B448" s="161" t="s">
        <v>186</v>
      </c>
      <c r="C448" s="161">
        <v>4057118</v>
      </c>
      <c r="D448" s="161" t="s">
        <v>187</v>
      </c>
      <c r="E448" s="161"/>
      <c r="F448" s="161"/>
      <c r="G448" s="161" t="s">
        <v>136</v>
      </c>
      <c r="H448" s="162">
        <v>2018</v>
      </c>
      <c r="I448" s="163"/>
      <c r="J448" s="159">
        <f>IFERROR(INDEX('Labor Expenditures'!$F$7:$X$91,MATCH($C448,'Labor Expenditures'!$D$7:$D$91,0),MATCH($G448,'Labor Expenditures'!$F$5:$X$5,0)),"NA")</f>
        <v>3803.3084572968282</v>
      </c>
      <c r="K448" s="159">
        <f t="shared" si="819"/>
        <v>26.32958433573436</v>
      </c>
      <c r="L448" s="165">
        <f t="shared" si="825"/>
        <v>-1.7106924312215947E-2</v>
      </c>
      <c r="M448" s="76">
        <f t="shared" si="829"/>
        <v>-2.3744801989476628E-5</v>
      </c>
      <c r="N448" s="62">
        <f t="shared" si="835"/>
        <v>113.0923463572809</v>
      </c>
      <c r="O448" s="96">
        <f t="shared" si="830"/>
        <v>-0.37089562854399094</v>
      </c>
      <c r="P448" s="96"/>
      <c r="Q448" s="159">
        <f>IFERROR(INDEX('Non-Labor Expenditures'!$F$7:$AB$91,MATCH($C448,'Non-Labor Expenditures'!$D$7:$D$91,0),MATCH($G448,'Non-Labor Expenditures'!$F$5:$AB$5,0)),"NA")</f>
        <v>5507.9010061989256</v>
      </c>
      <c r="R448" s="159">
        <f t="shared" si="820"/>
        <v>49.92568124398511</v>
      </c>
      <c r="S448" s="165">
        <f t="shared" si="831"/>
        <v>-1.2605403666732868E-2</v>
      </c>
      <c r="T448" s="165">
        <f t="shared" si="832"/>
        <v>-1.7496588434091404E-5</v>
      </c>
      <c r="U448" s="165"/>
      <c r="V448" s="165"/>
      <c r="W448" s="159">
        <f t="shared" si="800"/>
        <v>8553.4303917973357</v>
      </c>
      <c r="X448" s="163"/>
      <c r="Y448" s="167">
        <v>439.65686756840228</v>
      </c>
      <c r="Z448" s="168">
        <v>1.6348648150909188E-2</v>
      </c>
      <c r="AA448" s="76">
        <f t="shared" si="821"/>
        <v>2.2692297344283797E-5</v>
      </c>
      <c r="AB448" s="168"/>
      <c r="AC448" s="168"/>
      <c r="AD448" s="163">
        <f t="shared" si="811"/>
        <v>17864.639855293091</v>
      </c>
      <c r="AE448" s="168">
        <f t="shared" si="833"/>
        <v>2.935622288735663E-2</v>
      </c>
      <c r="AF448" s="163"/>
      <c r="AG448" s="163"/>
      <c r="AH448" s="163"/>
      <c r="AI448" s="163"/>
      <c r="AJ448" s="116">
        <f t="shared" si="834"/>
        <v>509.35591068038354</v>
      </c>
      <c r="AK448" s="114">
        <f>+AV448/$AX$23</f>
        <v>9.3891759209198649E-4</v>
      </c>
      <c r="AL448" s="115">
        <f t="shared" si="822"/>
        <v>0.21289589312207438</v>
      </c>
      <c r="AM448" s="115">
        <f t="shared" si="823"/>
        <v>0.30831301670864619</v>
      </c>
      <c r="AN448" s="115">
        <f t="shared" si="824"/>
        <v>0.47879109016927934</v>
      </c>
      <c r="AO448" s="115">
        <f t="shared" si="826"/>
        <v>1.5031429599345492E-4</v>
      </c>
      <c r="AP448" s="166">
        <f t="shared" si="837"/>
        <v>101.90468577775421</v>
      </c>
      <c r="AQ448" s="168">
        <f t="shared" si="838"/>
        <v>1.5031429599353196E-4</v>
      </c>
      <c r="AR448" s="69">
        <f>+AD448/$AF$23</f>
        <v>1.3880228588210104E-3</v>
      </c>
      <c r="AS448" s="169">
        <f t="shared" si="836"/>
        <v>2.0863967884660979E-7</v>
      </c>
      <c r="AT448" s="115"/>
      <c r="AU448" s="115"/>
      <c r="AV448" s="113">
        <f>IFERROR(INDEX('Total Customers'!$F$7:$AB$91,MATCH($C448,'Total Customers'!$D$7:$D$91,0),MATCH($G448,'Total Customers'!$F$5:$AB$5,0)),"NA")</f>
        <v>35073</v>
      </c>
      <c r="AW448" s="68">
        <f t="shared" si="751"/>
        <v>5.1740271218194142E-3</v>
      </c>
      <c r="AX448" s="114"/>
      <c r="AY448" s="114"/>
      <c r="AZ448" s="116"/>
      <c r="BA448" s="116"/>
      <c r="BB448" s="166"/>
      <c r="BC448" s="166"/>
      <c r="BD448" s="166"/>
      <c r="BE448" s="166"/>
      <c r="BF448" s="166"/>
      <c r="BG448" s="166"/>
      <c r="BH448" s="166"/>
      <c r="BI448" s="113"/>
      <c r="BJ448" s="113"/>
      <c r="BK448" s="113">
        <f>INDEX('Dist. Plant Gas Additions'!$F$7:$AE$91,MATCH($C448,'Dist. Plant Gas Additions'!$D$7:$D$91,0),MATCH(Calculation!$G448,'Dist. Plant Gas Additions'!$F$5:$AE$5,0))</f>
        <v>4739</v>
      </c>
      <c r="BL448" s="113">
        <f>INDEX('Gen. Plant Additions'!$F$7:$AE$91,MATCH($C448,'Gen. Plant Additions'!$D$7:$D$91,0),MATCH(Calculation!$G448,'Gen. Plant Additions'!$F$5:$AE$5,0))</f>
        <v>3790</v>
      </c>
      <c r="BM448" s="231">
        <f t="shared" si="801"/>
        <v>0.84884979525833959</v>
      </c>
      <c r="BN448" s="61">
        <f t="shared" si="839"/>
        <v>3217.1407240291069</v>
      </c>
      <c r="BO448" s="113">
        <f>INDEX('Dist Plant Depreciation'!$E$7:$AD$94,MATCH($C448,'Dist Plant Depreciation'!$D$7:$D$94,0),MATCH(Calculation!$G448,'Dist Plant Depreciation'!$E$5:$AD$5,0))</f>
        <v>58542</v>
      </c>
      <c r="BP448" s="113">
        <f>INDEX('Gen. Plant Depreciation'!$E$7:$AD$94,MATCH($C448,'Gen. Plant Depreciation'!$D$7:$D$94,0),MATCH(Calculation!$G448,'Gen. Plant Depreciation'!$E$5:$AD$5,0))</f>
        <v>9902</v>
      </c>
      <c r="BQ448" s="113"/>
      <c r="BR448" s="113"/>
      <c r="BS448" s="113"/>
      <c r="BT448" s="113"/>
      <c r="BU448" s="113"/>
      <c r="BV448" s="113"/>
      <c r="BW448" s="113">
        <f>INDEX('Gross Dx Plant'!$E$7:$AD$91,MATCH($C448,'Gross Dx Plant'!$D$7:$D$91,0),MATCH(Calculation!$G448,'Gross Dx Plant'!$E$5:$AD$5,0))</f>
        <v>130183</v>
      </c>
      <c r="BX448" s="113">
        <f>INDEX('Gross Gen Plant'!$E$7:$AD$91,MATCH($C448,'Gross Gen Plant'!$D$7:$D$91,0),MATCH(Calculation!$G448,'Gross Gen Plant'!$E$5:$AD$5,0))</f>
        <v>23181</v>
      </c>
      <c r="BY448" s="113">
        <f t="shared" si="753"/>
        <v>84920</v>
      </c>
      <c r="BZ448" s="113"/>
      <c r="CA448" s="116">
        <v>2018</v>
      </c>
      <c r="CB448" s="113"/>
      <c r="CC448" s="113"/>
      <c r="CD448" s="113"/>
      <c r="CE448" s="175"/>
      <c r="CF448" s="113">
        <f t="shared" si="802"/>
        <v>8529</v>
      </c>
      <c r="CG448" s="113">
        <f t="shared" si="803"/>
        <v>11.294643523503842</v>
      </c>
      <c r="CH448" s="178">
        <v>0.86111111111111116</v>
      </c>
      <c r="CI448" s="61">
        <f>+CI428*CH448++CG429*CH447+CG430*CH446+CG431*CH445+CG432*CH444+CG433*CH443+CG434*CH442+CG435*CH441+CG436*CH440+CG437*CH439+CG438*CH438+CG439*CH437+CG440*CH436+CG441*CH435+CG442*CH434+CG443*CH433+CG444*CH432+CG445*CH431+CG446*CH430+CG447*CH429+CG448</f>
        <v>439.65686756840228</v>
      </c>
      <c r="CJ448" s="114">
        <f t="shared" si="804"/>
        <v>1.6348648150909188E-2</v>
      </c>
      <c r="CK448" s="114"/>
      <c r="CL448" s="169">
        <f t="shared" si="805"/>
        <v>9.6301032625815616E-3</v>
      </c>
      <c r="CM448" s="169">
        <f t="shared" si="813"/>
        <v>9.2643414395623489E-3</v>
      </c>
      <c r="CN448" s="114">
        <f>VLOOKUP($H448,RoR!$E:$F,2,FALSE)</f>
        <v>3.9299999999999995E-2</v>
      </c>
      <c r="CO448" s="169">
        <v>2.386056741932796E-2</v>
      </c>
      <c r="CP448" s="169">
        <f t="shared" si="812"/>
        <v>1.5439432580672034E-2</v>
      </c>
      <c r="CQ448" s="169">
        <f t="shared" si="815"/>
        <v>2.1637600168971274E-2</v>
      </c>
      <c r="CR448" s="169">
        <f t="shared" si="816"/>
        <v>3.8270792163076606E-2</v>
      </c>
      <c r="CS448" s="179">
        <f t="shared" si="806"/>
        <v>0.90646708210000004</v>
      </c>
      <c r="CT448" s="180">
        <f t="shared" si="807"/>
        <v>1.3048868010700074</v>
      </c>
      <c r="CU448" s="180">
        <f t="shared" si="808"/>
        <v>0.33886768447837151</v>
      </c>
      <c r="CV448" s="180">
        <f t="shared" si="809"/>
        <v>0.78602506232557801</v>
      </c>
      <c r="CW448" s="180">
        <f t="shared" si="810"/>
        <v>0.34756768162358759</v>
      </c>
      <c r="CX448" s="181">
        <f>INDEX('State Tax Lookup'!$D$7:$Z$91,MATCH(Calculation!$C448,'State Tax Lookup'!$B$7:$B$91,0),MATCH($H448,'State Tax Lookup'!$D$6:$Z$6,0))</f>
        <v>0.25279166999999997</v>
      </c>
      <c r="CY448" s="72">
        <v>0.37</v>
      </c>
      <c r="CZ448" s="70">
        <f t="shared" si="814"/>
        <v>19.775459875722227</v>
      </c>
      <c r="DA448" s="70">
        <v>19.050901628905343</v>
      </c>
      <c r="DB448" s="69">
        <f t="shared" si="817"/>
        <v>4.0627808881051129E-2</v>
      </c>
      <c r="DC448" s="111">
        <f>VLOOKUP($H448,RoR!$E:$F,2,FALSE)</f>
        <v>3.9299999999999995E-2</v>
      </c>
      <c r="DD448" s="216">
        <f>HLOOKUP($H448,'GDP-PI'!$D$8:$CQ$11,3,FALSE)</f>
        <v>2.386056741932796E-2</v>
      </c>
      <c r="DE448" s="111">
        <f>VLOOKUP(H448,'HW Dx Data'!$E:$F,2,FALSE)</f>
        <v>755.13671434174842</v>
      </c>
      <c r="DF448" s="72">
        <f t="shared" si="827"/>
        <v>144.44999999999999</v>
      </c>
      <c r="DG448" s="69">
        <f t="shared" si="828"/>
        <v>2.80818733619915E-2</v>
      </c>
      <c r="DH448" s="66">
        <f>HLOOKUP(H448,'GDP-PI'!$8:$9,2,FALSE)</f>
        <v>110.322</v>
      </c>
      <c r="DI448" s="69">
        <f t="shared" si="818"/>
        <v>2.3580352716508712E-2</v>
      </c>
      <c r="EB448"/>
    </row>
    <row r="449" spans="1:132" s="160" customFormat="1" ht="21">
      <c r="A449" s="160" t="s">
        <v>186</v>
      </c>
      <c r="B449" s="161" t="s">
        <v>186</v>
      </c>
      <c r="C449" s="161">
        <v>4057118</v>
      </c>
      <c r="D449" s="161" t="s">
        <v>187</v>
      </c>
      <c r="E449" s="161"/>
      <c r="F449" s="161"/>
      <c r="G449" s="161" t="s">
        <v>140</v>
      </c>
      <c r="H449" s="162">
        <v>2019</v>
      </c>
      <c r="I449" s="163"/>
      <c r="J449" s="159">
        <f>IFERROR(INDEX('Labor Expenditures'!$F$7:$X$91,MATCH($C449,'Labor Expenditures'!$D$7:$D$91,0),MATCH($G449,'Labor Expenditures'!$F$5:$X$5,0)),"NA")</f>
        <v>2530.9203422545406</v>
      </c>
      <c r="K449" s="159">
        <f t="shared" si="819"/>
        <v>16.909439400397797</v>
      </c>
      <c r="L449" s="165">
        <f t="shared" si="825"/>
        <v>-0.44282117626294082</v>
      </c>
      <c r="M449" s="76">
        <f t="shared" si="829"/>
        <v>-4.9886904860688532E-4</v>
      </c>
      <c r="N449" s="62">
        <f t="shared" si="835"/>
        <v>114.25421124470981</v>
      </c>
      <c r="O449" s="96">
        <f t="shared" si="830"/>
        <v>1.0221179637923255E-2</v>
      </c>
      <c r="P449" s="96"/>
      <c r="Q449" s="159">
        <f>IFERROR(INDEX('Non-Labor Expenditures'!$F$7:$AB$91,MATCH($C449,'Non-Labor Expenditures'!$D$7:$D$91,0),MATCH($G449,'Non-Labor Expenditures'!$F$5:$AB$5,0)),"NA")</f>
        <v>3665.2453662990301</v>
      </c>
      <c r="R449" s="159">
        <f t="shared" si="820"/>
        <v>32.63275135151116</v>
      </c>
      <c r="S449" s="165">
        <f t="shared" si="831"/>
        <v>-0.42521909781517087</v>
      </c>
      <c r="T449" s="165">
        <f t="shared" si="832"/>
        <v>-4.7903907524642281E-4</v>
      </c>
      <c r="U449" s="165"/>
      <c r="V449" s="165"/>
      <c r="W449" s="159">
        <f t="shared" si="800"/>
        <v>8752.678189239492</v>
      </c>
      <c r="X449" s="163"/>
      <c r="Y449" s="167">
        <v>448.82945609586699</v>
      </c>
      <c r="Z449" s="168">
        <v>2.0648408828473033E-2</v>
      </c>
      <c r="AA449" s="76">
        <f t="shared" si="821"/>
        <v>2.3261877750376271E-5</v>
      </c>
      <c r="AB449" s="168"/>
      <c r="AC449" s="168"/>
      <c r="AD449" s="163">
        <f t="shared" si="811"/>
        <v>14948.843897793064</v>
      </c>
      <c r="AE449" s="168">
        <f t="shared" si="833"/>
        <v>-0.17818936644346897</v>
      </c>
      <c r="AF449" s="163"/>
      <c r="AG449" s="163"/>
      <c r="AH449" s="163"/>
      <c r="AI449" s="163"/>
      <c r="AJ449" s="116">
        <f t="shared" si="834"/>
        <v>422.77337870960901</v>
      </c>
      <c r="AK449" s="114">
        <f>+AV449/$AX$24</f>
        <v>9.3876735351635797E-4</v>
      </c>
      <c r="AL449" s="115">
        <f t="shared" si="822"/>
        <v>0.16930542318581485</v>
      </c>
      <c r="AM449" s="115">
        <f t="shared" si="823"/>
        <v>0.24518587466420327</v>
      </c>
      <c r="AN449" s="115">
        <f t="shared" si="824"/>
        <v>0.58550870214998185</v>
      </c>
      <c r="AO449" s="115">
        <f t="shared" si="826"/>
        <v>-0.19131451923004855</v>
      </c>
      <c r="AP449" s="166">
        <f t="shared" si="837"/>
        <v>84.160307608056726</v>
      </c>
      <c r="AQ449" s="168">
        <f t="shared" si="838"/>
        <v>-0.1913145192300485</v>
      </c>
      <c r="AR449" s="69">
        <f>+AD449/$AF$24</f>
        <v>1.1265699911123131E-3</v>
      </c>
      <c r="AS449" s="169">
        <f t="shared" si="836"/>
        <v>-2.155291962286522E-4</v>
      </c>
      <c r="AT449" s="115"/>
      <c r="AU449" s="115"/>
      <c r="AV449" s="113">
        <f>IFERROR(INDEX('Total Customers'!$F$7:$AB$91,MATCH($C449,'Total Customers'!$D$7:$D$91,0),MATCH($G449,'Total Customers'!$F$5:$AB$5,0)),"NA")</f>
        <v>35359</v>
      </c>
      <c r="AW449" s="68">
        <f t="shared" si="751"/>
        <v>8.1213531337625995E-3</v>
      </c>
      <c r="AX449" s="114"/>
      <c r="AY449" s="114"/>
      <c r="AZ449" s="116"/>
      <c r="BA449" s="116"/>
      <c r="BB449" s="166"/>
      <c r="BC449" s="166"/>
      <c r="BD449" s="166"/>
      <c r="BE449" s="166"/>
      <c r="BF449" s="166"/>
      <c r="BG449" s="166"/>
      <c r="BH449" s="166"/>
      <c r="BI449" s="113"/>
      <c r="BJ449" s="113"/>
      <c r="BK449" s="113">
        <f>INDEX('Dist. Plant Gas Additions'!$F$7:$AE$91,MATCH($C449,'Dist. Plant Gas Additions'!$D$7:$D$91,0),MATCH(Calculation!$G449,'Dist. Plant Gas Additions'!$F$5:$AE$5,0))</f>
        <v>9438</v>
      </c>
      <c r="BL449" s="113">
        <f>INDEX('Gen. Plant Additions'!$F$7:$AE$91,MATCH($C449,'Gen. Plant Additions'!$D$7:$D$91,0),MATCH(Calculation!$G449,'Gen. Plant Additions'!$F$5:$AE$5,0))</f>
        <v>1054</v>
      </c>
      <c r="BM449" s="231">
        <f t="shared" si="801"/>
        <v>0.87422238157240895</v>
      </c>
      <c r="BN449" s="61">
        <f t="shared" si="839"/>
        <v>921.43039017731905</v>
      </c>
      <c r="BO449" s="113">
        <f>INDEX('Dist Plant Depreciation'!$E$7:$AD$94,MATCH($C449,'Dist Plant Depreciation'!$D$7:$D$94,0),MATCH(Calculation!$G449,'Dist Plant Depreciation'!$E$5:$AD$5,0))</f>
        <v>58547</v>
      </c>
      <c r="BP449" s="113">
        <f>INDEX('Gen. Plant Depreciation'!$E$7:$AD$94,MATCH($C449,'Gen. Plant Depreciation'!$D$7:$D$94,0),MATCH(Calculation!$G449,'Gen. Plant Depreciation'!$E$5:$AD$5,0))</f>
        <v>10595</v>
      </c>
      <c r="BQ449" s="113"/>
      <c r="BR449" s="113"/>
      <c r="BS449" s="113"/>
      <c r="BT449" s="113"/>
      <c r="BU449" s="113"/>
      <c r="BV449" s="113"/>
      <c r="BW449" s="113">
        <f>INDEX('Gross Dx Plant'!$E$7:$AD$91,MATCH($C449,'Gross Dx Plant'!$D$7:$D$91,0),MATCH(Calculation!$G449,'Gross Dx Plant'!$E$5:$AD$5,0))</f>
        <v>138983</v>
      </c>
      <c r="BX449" s="113">
        <f>INDEX('Gross Gen Plant'!$E$7:$AD$91,MATCH($C449,'Gross Gen Plant'!$D$7:$D$91,0),MATCH(Calculation!$G449,'Gross Gen Plant'!$E$5:$AD$5,0))</f>
        <v>19996</v>
      </c>
      <c r="BY449" s="113">
        <f t="shared" si="753"/>
        <v>89837</v>
      </c>
      <c r="BZ449" s="113"/>
      <c r="CA449" s="116">
        <v>2019</v>
      </c>
      <c r="CB449" s="113"/>
      <c r="CC449" s="113"/>
      <c r="CD449" s="113"/>
      <c r="CE449" s="175"/>
      <c r="CF449" s="113">
        <f t="shared" si="802"/>
        <v>10492</v>
      </c>
      <c r="CG449" s="113">
        <f t="shared" si="803"/>
        <v>13.563628929970832</v>
      </c>
      <c r="CH449" s="178">
        <v>0.85106382978723405</v>
      </c>
      <c r="CI449" s="61">
        <f>CI428*CH449+CG429*CH448+CG430*CH447+CG431*CH446+CG432*CH445+CG433*CH444+CG434*CH443+CG435*CH442+CG436*CH441+CG437*CH440+CG438*CH439+CG439*CH438+CG440*CH437+CG441*CH436+CG442*CH435+CG443*CH434+CG444*CH433+CG445*CH432+CG446*CH431+CG447*CH430+CG448*CH429+CG449</f>
        <v>448.82945609586699</v>
      </c>
      <c r="CJ449" s="114">
        <f t="shared" si="804"/>
        <v>2.0648408828473033E-2</v>
      </c>
      <c r="CK449" s="114"/>
      <c r="CL449" s="169">
        <f t="shared" si="805"/>
        <v>9.9874259369392392E-3</v>
      </c>
      <c r="CM449" s="169">
        <f t="shared" si="813"/>
        <v>9.6247356281133449E-3</v>
      </c>
      <c r="CN449" s="114">
        <f>VLOOKUP($H449,RoR!$E:$F,2,FALSE)</f>
        <v>3.3875000000000009E-2</v>
      </c>
      <c r="CO449" s="169">
        <v>1.8092492884465461E-2</v>
      </c>
      <c r="CP449" s="169">
        <f t="shared" si="812"/>
        <v>1.5782507115534548E-2</v>
      </c>
      <c r="CQ449" s="169">
        <f t="shared" si="815"/>
        <v>2.127720598042028E-2</v>
      </c>
      <c r="CR449" s="169">
        <f t="shared" si="816"/>
        <v>4.8445665544254078E-2</v>
      </c>
      <c r="CS449" s="179">
        <f t="shared" si="806"/>
        <v>0.90646708210000004</v>
      </c>
      <c r="CT449" s="180">
        <f t="shared" si="807"/>
        <v>1.513861292459078</v>
      </c>
      <c r="CU449" s="180">
        <f t="shared" si="808"/>
        <v>0.23699261992619944</v>
      </c>
      <c r="CV449" s="180">
        <f t="shared" si="809"/>
        <v>0.73619765810468829</v>
      </c>
      <c r="CW449" s="180">
        <f t="shared" si="810"/>
        <v>0.26412854465362851</v>
      </c>
      <c r="CX449" s="181">
        <f>INDEX('State Tax Lookup'!$D$7:$Z$91,MATCH(Calculation!$C449,'State Tax Lookup'!$B$7:$B$91,0),MATCH($H449,'State Tax Lookup'!$D$6:$Z$6,0))</f>
        <v>0.25279166999999997</v>
      </c>
      <c r="CY449" s="72">
        <v>0.37</v>
      </c>
      <c r="CZ449" s="70">
        <f t="shared" si="814"/>
        <v>19.907975593893667</v>
      </c>
      <c r="DA449" s="70">
        <v>19.236104090735289</v>
      </c>
      <c r="DB449" s="69">
        <f t="shared" si="817"/>
        <v>6.6786662581116516E-3</v>
      </c>
      <c r="DC449" s="111">
        <f>VLOOKUP($H449,RoR!$E:$F,2,FALSE)</f>
        <v>3.3875000000000009E-2</v>
      </c>
      <c r="DD449" s="216">
        <f>HLOOKUP($H449,'GDP-PI'!$D$8:$CQ$11,3,FALSE)</f>
        <v>1.8092492884465461E-2</v>
      </c>
      <c r="DE449" s="111">
        <f>VLOOKUP(H449,'HW Dx Data'!$E:$F,2,FALSE)</f>
        <v>773.53929793938721</v>
      </c>
      <c r="DF449" s="72">
        <f t="shared" si="827"/>
        <v>149.67500000000001</v>
      </c>
      <c r="DG449" s="69">
        <f t="shared" si="828"/>
        <v>3.5532849899171604E-2</v>
      </c>
      <c r="DH449" s="66">
        <f>HLOOKUP(H449,'GDP-PI'!$8:$9,2,FALSE)</f>
        <v>112.318</v>
      </c>
      <c r="DI449" s="69">
        <f t="shared" si="818"/>
        <v>1.7930771451401852E-2</v>
      </c>
      <c r="EB449"/>
    </row>
    <row r="450" spans="1:132" s="160" customFormat="1" ht="21">
      <c r="A450" s="160" t="s">
        <v>186</v>
      </c>
      <c r="B450" s="160" t="s">
        <v>186</v>
      </c>
      <c r="C450" s="160">
        <v>4057118</v>
      </c>
      <c r="D450" s="160" t="s">
        <v>187</v>
      </c>
      <c r="G450" s="161" t="s">
        <v>141</v>
      </c>
      <c r="H450" s="162">
        <v>2020</v>
      </c>
      <c r="I450" s="163"/>
      <c r="J450" s="159">
        <f>IFERROR(INDEX('Labor Expenditures'!$F$7:$X$91,MATCH($C450,'Labor Expenditures'!$D$7:$D$91,0),MATCH($G450,'Labor Expenditures'!$F$5:$X$5,0)),"NA")</f>
        <v>2504.2658081777927</v>
      </c>
      <c r="K450" s="159">
        <f t="shared" si="819"/>
        <v>16.351719282910825</v>
      </c>
      <c r="L450" s="165">
        <f t="shared" si="825"/>
        <v>-3.3538963670433922E-2</v>
      </c>
      <c r="M450" s="76">
        <f t="shared" si="829"/>
        <v>-3.768197654742972E-5</v>
      </c>
      <c r="N450" s="62">
        <f t="shared" si="835"/>
        <v>113.9270050787447</v>
      </c>
      <c r="O450" s="96">
        <f t="shared" si="830"/>
        <v>-2.8679520208873903E-3</v>
      </c>
      <c r="P450" s="96"/>
      <c r="Q450" s="159">
        <f>IFERROR(INDEX('Non-Labor Expenditures'!$F$7:$AB$91,MATCH($C450,'Non-Labor Expenditures'!$D$7:$D$91,0),MATCH($G450,'Non-Labor Expenditures'!$F$5:$AB$5,0)),"NA")</f>
        <v>3626.644622575649</v>
      </c>
      <c r="R450" s="159">
        <f t="shared" si="820"/>
        <v>31.918226262074128</v>
      </c>
      <c r="S450" s="165">
        <f t="shared" si="831"/>
        <v>-2.2139223934458534E-2</v>
      </c>
      <c r="T450" s="165">
        <f t="shared" si="832"/>
        <v>-2.487404575985719E-5</v>
      </c>
      <c r="U450" s="165"/>
      <c r="V450" s="165"/>
      <c r="W450" s="159">
        <f t="shared" si="800"/>
        <v>9235.4608712132595</v>
      </c>
      <c r="X450" s="163"/>
      <c r="Y450" s="167">
        <v>455.7930494522505</v>
      </c>
      <c r="Z450" s="168">
        <v>1.5395882510914302E-2</v>
      </c>
      <c r="AA450" s="76">
        <f t="shared" si="821"/>
        <v>1.7297710489924337E-5</v>
      </c>
      <c r="AB450" s="168"/>
      <c r="AC450" s="168"/>
      <c r="AD450" s="163">
        <f t="shared" si="811"/>
        <v>15366.371301966701</v>
      </c>
      <c r="AE450" s="168">
        <f t="shared" si="833"/>
        <v>2.754747442443518E-2</v>
      </c>
      <c r="AF450" s="163"/>
      <c r="AG450" s="163"/>
      <c r="AH450" s="163"/>
      <c r="AI450" s="163"/>
      <c r="AJ450" s="116">
        <f t="shared" si="834"/>
        <v>434.58161435466786</v>
      </c>
      <c r="AK450" s="114">
        <f>+AV450/$AX$25</f>
        <v>9.3213818379812082E-4</v>
      </c>
      <c r="AL450" s="115">
        <f t="shared" si="822"/>
        <v>0.16297053865002456</v>
      </c>
      <c r="AM450" s="115">
        <f t="shared" si="823"/>
        <v>0.23601177866315676</v>
      </c>
      <c r="AN450" s="115">
        <f t="shared" si="824"/>
        <v>0.60101768268681866</v>
      </c>
      <c r="AO450" s="115">
        <f t="shared" si="826"/>
        <v>-1.7649565996369042E-3</v>
      </c>
      <c r="AP450" s="166">
        <f t="shared" si="837"/>
        <v>84.011899323332401</v>
      </c>
      <c r="AQ450" s="168">
        <f t="shared" si="838"/>
        <v>-1.7649565996368517E-3</v>
      </c>
      <c r="AR450" s="69">
        <f>+AD450/$AF$25</f>
        <v>1.1235283510160467E-3</v>
      </c>
      <c r="AS450" s="169">
        <f t="shared" si="836"/>
        <v>-1.9829787780048808E-6</v>
      </c>
      <c r="AT450" s="115"/>
      <c r="AU450" s="115"/>
      <c r="AV450" s="113">
        <v>35359</v>
      </c>
      <c r="AW450" s="68">
        <f t="shared" si="751"/>
        <v>0</v>
      </c>
      <c r="AX450" s="114"/>
      <c r="AY450" s="114"/>
      <c r="AZ450" s="116"/>
      <c r="BA450" s="116"/>
      <c r="BB450" s="166"/>
      <c r="BC450" s="166"/>
      <c r="BD450" s="166"/>
      <c r="BE450" s="166"/>
      <c r="BF450" s="166"/>
      <c r="BG450" s="166"/>
      <c r="BH450" s="166"/>
      <c r="BI450" s="113"/>
      <c r="BJ450" s="113"/>
      <c r="BK450" s="113">
        <f>INDEX('Dist. Plant Gas Additions'!$F$7:$AE$91,MATCH($C450,'Dist. Plant Gas Additions'!$D$7:$D$91,0),MATCH(Calculation!$G450,'Dist. Plant Gas Additions'!$F$5:$AE$5,0))</f>
        <v>8636</v>
      </c>
      <c r="BL450" s="113">
        <f>INDEX('Gen. Plant Additions'!$F$7:$AE$91,MATCH($C450,'Gen. Plant Additions'!$D$7:$D$91,0),MATCH(Calculation!$G450,'Gen. Plant Additions'!$F$5:$AE$5,0))</f>
        <v>799</v>
      </c>
      <c r="BM450" s="231">
        <f t="shared" si="801"/>
        <v>0.87894623985296372</v>
      </c>
      <c r="BN450" s="61">
        <f t="shared" si="839"/>
        <v>702.27804564251801</v>
      </c>
      <c r="BO450" s="113">
        <f>INDEX('Dist Plant Depreciation'!$E$7:$AD$94,MATCH($C450,'Dist Plant Depreciation'!$D$7:$D$94,0),MATCH(Calculation!$G450,'Dist Plant Depreciation'!$E$5:$AD$5,0))</f>
        <v>58500</v>
      </c>
      <c r="BP450" s="113">
        <f>INDEX('Gen. Plant Depreciation'!$E$7:$AD$94,MATCH($C450,'Gen. Plant Depreciation'!$D$7:$D$94,0),MATCH(Calculation!$G450,'Gen. Plant Depreciation'!$E$5:$AD$5,0))</f>
        <v>10855</v>
      </c>
      <c r="BQ450" s="113"/>
      <c r="BR450" s="113"/>
      <c r="BS450" s="113"/>
      <c r="BT450" s="113"/>
      <c r="BU450" s="113"/>
      <c r="BV450" s="113"/>
      <c r="BW450" s="113">
        <f>INDEX('Gross Dx Plant'!$E$7:$AD$91,MATCH($C450,'Gross Dx Plant'!$D$7:$D$91,0),MATCH(Calculation!$G450,'Gross Dx Plant'!$E$5:$AD$5,0))</f>
        <v>143466</v>
      </c>
      <c r="BX450" s="113">
        <f>INDEX('Gross Gen Plant'!$E$7:$AD$91,MATCH($C450,'Gross Gen Plant'!$D$7:$D$91,0),MATCH(Calculation!$G450,'Gross Gen Plant'!$E$5:$AD$5,0))</f>
        <v>19759</v>
      </c>
      <c r="BY450" s="113">
        <f t="shared" si="753"/>
        <v>93870</v>
      </c>
      <c r="BZ450" s="113"/>
      <c r="CA450" s="116">
        <v>2020</v>
      </c>
      <c r="CB450" s="113"/>
      <c r="CC450" s="113"/>
      <c r="CD450" s="113"/>
      <c r="CE450" s="175"/>
      <c r="CF450" s="113">
        <f t="shared" si="802"/>
        <v>9435</v>
      </c>
      <c r="CG450" s="113">
        <f t="shared" si="803"/>
        <v>11.604021885699003</v>
      </c>
      <c r="CH450" s="178">
        <v>0.84057971014492749</v>
      </c>
      <c r="CI450" s="61">
        <f>CI428*CH450+CG429*CH449+CG430*CH448+CG431*CH447+CG432*CH446+CG433*CH445+CG434*CH444+CG435*CH443+CG436*CH442+CG437*CH441+CG438*CH440+CG439*CH439+CG440*CH438+CG441*CH437+CG442*CH436+CG443*CH435+CG444*CH434+CG445*CH433+CG446*CH432+CG447*CH431+CG448*CH430+CG449*CH429+CG450</f>
        <v>455.7930494522505</v>
      </c>
      <c r="CJ450" s="114">
        <f t="shared" si="804"/>
        <v>1.5395882510914302E-2</v>
      </c>
      <c r="CK450" s="114"/>
      <c r="CL450" s="169">
        <f t="shared" si="805"/>
        <v>1.0338957183604114E-2</v>
      </c>
      <c r="CM450" s="169">
        <f t="shared" si="813"/>
        <v>9.9854954610416376E-3</v>
      </c>
      <c r="CN450" s="114">
        <f>VLOOKUP($H450,RoR!$E:$F,2,FALSE)</f>
        <v>2.4766666666666666E-2</v>
      </c>
      <c r="CO450" s="169">
        <v>1.1618796630994188E-2</v>
      </c>
      <c r="CP450" s="169">
        <f t="shared" si="812"/>
        <v>1.3147870035672478E-2</v>
      </c>
      <c r="CQ450" s="169">
        <f t="shared" si="815"/>
        <v>2.0916446147491989E-2</v>
      </c>
      <c r="CR450" s="169">
        <f t="shared" si="816"/>
        <v>4.5144642961987357E-2</v>
      </c>
      <c r="CS450" s="179">
        <f t="shared" si="806"/>
        <v>0.90646708210000004</v>
      </c>
      <c r="CT450" s="180">
        <f t="shared" si="807"/>
        <v>2.0706077233668081</v>
      </c>
      <c r="CU450" s="180">
        <f t="shared" si="808"/>
        <v>-3.4421265141318998E-2</v>
      </c>
      <c r="CV450" s="180">
        <f t="shared" si="809"/>
        <v>0.62416226176410472</v>
      </c>
      <c r="CW450" s="180">
        <f t="shared" si="810"/>
        <v>-4.4485877841158712E-2</v>
      </c>
      <c r="CX450" s="181">
        <f>INDEX('State Tax Lookup'!$D$7:$Z$91,MATCH(Calculation!$C450,'State Tax Lookup'!$B$7:$B$91,0),MATCH($H450,'State Tax Lookup'!$D$6:$Z$6,0))</f>
        <v>0.25279166999999997</v>
      </c>
      <c r="CY450" s="72">
        <v>0.37</v>
      </c>
      <c r="CZ450" s="70">
        <f t="shared" si="814"/>
        <v>20.576770855343831</v>
      </c>
      <c r="DA450" s="70">
        <v>19.952659173050833</v>
      </c>
      <c r="DB450" s="69">
        <f t="shared" si="817"/>
        <v>3.3042376112042207E-2</v>
      </c>
      <c r="DC450" s="111">
        <f>VLOOKUP($H450,RoR!$E:$F,2,FALSE)</f>
        <v>2.4766666666666666E-2</v>
      </c>
      <c r="DD450" s="216">
        <f>HLOOKUP($H450,'GDP-PI'!$D$8:$CQ$11,3,FALSE)</f>
        <v>1.1618796630994188E-2</v>
      </c>
      <c r="DE450" s="111">
        <f>VLOOKUP(H450,'HW Dx Data'!$E:$F,2,FALSE)</f>
        <v>813.080162458833</v>
      </c>
      <c r="DF450" s="72">
        <f t="shared" si="827"/>
        <v>153.15</v>
      </c>
      <c r="DG450" s="69">
        <f t="shared" si="828"/>
        <v>2.2951556467368479E-2</v>
      </c>
      <c r="DH450" s="66">
        <f>HLOOKUP(H450,'GDP-PI'!$8:$9,2,FALSE)</f>
        <v>113.623</v>
      </c>
      <c r="DI450" s="69">
        <f t="shared" si="818"/>
        <v>1.1551816731392881E-2</v>
      </c>
      <c r="EB450"/>
    </row>
    <row r="451" spans="1:132" s="160" customFormat="1" ht="21">
      <c r="A451" s="160" t="s">
        <v>186</v>
      </c>
      <c r="B451" s="160" t="s">
        <v>186</v>
      </c>
      <c r="C451" s="160">
        <v>4057118</v>
      </c>
      <c r="D451" s="160" t="s">
        <v>187</v>
      </c>
      <c r="G451" s="161" t="s">
        <v>142</v>
      </c>
      <c r="H451" s="162">
        <v>2021</v>
      </c>
      <c r="I451" s="163"/>
      <c r="J451" s="159">
        <v>3421.5415484297696</v>
      </c>
      <c r="K451" s="159">
        <f t="shared" si="819"/>
        <v>21.758610800825245</v>
      </c>
      <c r="L451" s="164">
        <f t="shared" si="825"/>
        <v>0.28567653134295806</v>
      </c>
      <c r="M451" s="76">
        <f t="shared" si="829"/>
        <v>4.1776613247672075E-4</v>
      </c>
      <c r="N451" s="166">
        <f>+N450*EXP(O451)</f>
        <v>118.63624265762203</v>
      </c>
      <c r="O451" s="114">
        <f t="shared" si="830"/>
        <v>4.0504090229671635E-2</v>
      </c>
      <c r="P451" s="114"/>
      <c r="Q451" s="159">
        <v>4823.1368815214828</v>
      </c>
      <c r="R451" s="159">
        <f t="shared" si="820"/>
        <v>40.705012081369595</v>
      </c>
      <c r="S451" s="165">
        <f t="shared" si="831"/>
        <v>0.24317402902210628</v>
      </c>
      <c r="T451" s="165">
        <f t="shared" si="832"/>
        <v>3.5561154829826512E-4</v>
      </c>
      <c r="U451" s="165"/>
      <c r="V451" s="165"/>
      <c r="W451" s="159">
        <f t="shared" si="800"/>
        <v>14162.34902138303</v>
      </c>
      <c r="X451" s="163"/>
      <c r="Y451" s="167">
        <v>469.40859740555044</v>
      </c>
      <c r="Z451" s="168"/>
      <c r="AA451" s="76">
        <f t="shared" si="821"/>
        <v>0</v>
      </c>
      <c r="AB451" s="168"/>
      <c r="AC451" s="168"/>
      <c r="AD451" s="163">
        <f t="shared" si="811"/>
        <v>22407.027451334281</v>
      </c>
      <c r="AE451" s="168">
        <f t="shared" si="833"/>
        <v>0.37719319514581734</v>
      </c>
      <c r="AF451" s="113"/>
      <c r="AG451" s="114"/>
      <c r="AH451" s="114"/>
      <c r="AI451" s="114"/>
      <c r="AJ451" s="116">
        <f t="shared" si="834"/>
        <v>566.57801788546283</v>
      </c>
      <c r="AK451" s="114">
        <f>+AV451/$AX$26</f>
        <v>1.0243930396071071E-3</v>
      </c>
      <c r="AL451" s="115">
        <f t="shared" si="822"/>
        <v>0.15269948483175647</v>
      </c>
      <c r="AM451" s="115">
        <f t="shared" si="823"/>
        <v>0.21525108102789767</v>
      </c>
      <c r="AN451" s="115">
        <f t="shared" si="824"/>
        <v>0.63204943414034598</v>
      </c>
      <c r="AO451" s="115">
        <f t="shared" si="826"/>
        <v>9.995746254816823E-2</v>
      </c>
      <c r="AP451" s="166">
        <f t="shared" si="837"/>
        <v>92.843558492050533</v>
      </c>
      <c r="AQ451" s="168">
        <f t="shared" si="838"/>
        <v>9.9957462548168216E-2</v>
      </c>
      <c r="AR451" s="69">
        <f>+AD451/$AF$26</f>
        <v>1.4623747022998804E-3</v>
      </c>
      <c r="AS451" s="169">
        <f t="shared" si="836"/>
        <v>1.4617526453652893E-4</v>
      </c>
      <c r="AT451" s="115"/>
      <c r="AU451" s="115"/>
      <c r="AV451" s="113">
        <f>INDEX('Total Customers'!$E$7:$E$91,MATCH(Calculation!$C451,'Total Customers'!$D$7:$D$91,0))</f>
        <v>39548</v>
      </c>
      <c r="AW451" s="68">
        <f t="shared" si="751"/>
        <v>0.11196216720833242</v>
      </c>
      <c r="AX451" s="113"/>
      <c r="AY451" s="113"/>
      <c r="AZ451" s="116"/>
      <c r="BA451" s="116"/>
      <c r="BB451" s="166"/>
      <c r="BC451" s="166"/>
      <c r="BD451" s="166"/>
      <c r="BE451" s="166"/>
      <c r="BF451" s="166"/>
      <c r="BG451" s="166"/>
      <c r="BH451" s="166"/>
      <c r="BI451" s="113"/>
      <c r="BJ451" s="113"/>
      <c r="BK451" s="113">
        <f>INDEX('Dist. Plant Gas Additions'!$E$7:$AE$91,MATCH($C451,'Dist. Plant Gas Additions'!$D$7:$D$91,0),MATCH(Calculation!$G451,'Dist. Plant Gas Additions'!$E$5:$AE$5,0))</f>
        <v>4193</v>
      </c>
      <c r="BL451" s="113">
        <f>INDEX('Gen. Plant Additions'!$E$7:$AE$91,MATCH($C451,'Gen. Plant Additions'!$D$7:$D$91,0),MATCH(Calculation!$G451,'Gen. Plant Additions'!$E$5:$AE$5,0))</f>
        <v>4167</v>
      </c>
      <c r="BM451" s="232">
        <v>0.87894623985296372</v>
      </c>
      <c r="BN451" s="61">
        <f t="shared" si="839"/>
        <v>3662.5689814672996</v>
      </c>
      <c r="BO451" s="113"/>
      <c r="BP451" s="113"/>
      <c r="BQ451" s="175"/>
      <c r="BR451" s="175"/>
      <c r="BS451" s="170"/>
      <c r="BT451" s="176"/>
      <c r="BU451" s="177"/>
      <c r="BV451" s="177"/>
      <c r="BW451" s="113"/>
      <c r="BX451" s="113"/>
      <c r="BY451" s="113"/>
      <c r="BZ451" s="113"/>
      <c r="CA451" s="116">
        <v>2021</v>
      </c>
      <c r="CB451" s="113"/>
      <c r="CC451" s="113"/>
      <c r="CD451" s="113"/>
      <c r="CE451" s="175"/>
      <c r="CF451" s="113">
        <f t="shared" si="802"/>
        <v>8360</v>
      </c>
      <c r="CG451" s="113">
        <f t="shared" si="803"/>
        <v>8.9601269069278953</v>
      </c>
      <c r="CH451" s="178">
        <f>+(51-23)/(51-23*0.75)</f>
        <v>0.82962962962962961</v>
      </c>
      <c r="CI451" s="113">
        <f>CI428*CH451+CG429*CH450+CG430*CH449+CG431*CH448+CG432*CH447+CG433*CH446+CG434*CH445+CG435*CH444+CG436*CH443+CG437*CH442+CG438*CH441+CG439*CH440+CG440*CH439+CG441*CH438+CG442*CH437+CG433*CH436+CG444*CH435+CG445*CH434+CG446*CH433+CG447*CH432+CG448*CH431+CG449*CH430+CG451+CG450*CH429</f>
        <v>469.40859740555044</v>
      </c>
      <c r="CJ451" s="114"/>
      <c r="CK451" s="113"/>
      <c r="CL451" s="169">
        <f t="shared" ref="CL451:CL452" si="840">+(CI450-CI451+CG451)/CI450</f>
        <v>-1.02138921424245E-2</v>
      </c>
      <c r="CM451" s="169">
        <f t="shared" ref="CM451:CM452" si="841">+(CL451+CL450+CL449)/3</f>
        <v>3.3708303260396176E-3</v>
      </c>
      <c r="CN451" s="114">
        <f>VLOOKUP($H451,RoR!$E:$F,2,FALSE)</f>
        <v>2.7033333333333336E-2</v>
      </c>
      <c r="CO451" s="169"/>
      <c r="CP451" s="169"/>
      <c r="CQ451" s="169">
        <f t="shared" si="815"/>
        <v>2.7531111282494008E-2</v>
      </c>
      <c r="CR451" s="169">
        <f t="shared" si="816"/>
        <v>7.433422950153494E-2</v>
      </c>
      <c r="CS451" s="179">
        <f t="shared" si="806"/>
        <v>0.90646708210000004</v>
      </c>
      <c r="CT451" s="180">
        <f t="shared" si="807"/>
        <v>1.8969932656739068</v>
      </c>
      <c r="CU451" s="180">
        <f t="shared" si="808"/>
        <v>5.0215782983970621E-2</v>
      </c>
      <c r="CV451" s="180">
        <f t="shared" si="809"/>
        <v>0.655952481704143</v>
      </c>
      <c r="CW451" s="180">
        <f t="shared" si="810"/>
        <v>6.2485378865697057E-2</v>
      </c>
      <c r="CX451" s="181">
        <f>CX450</f>
        <v>0.25279166999999997</v>
      </c>
      <c r="CY451" s="72">
        <v>0.37</v>
      </c>
      <c r="CZ451" s="182">
        <f t="shared" si="814"/>
        <v>31.071884572181695</v>
      </c>
      <c r="DA451" s="182"/>
      <c r="DB451" s="169">
        <f t="shared" si="817"/>
        <v>0.41214056608910671</v>
      </c>
      <c r="DC451" s="181">
        <f>VLOOKUP($H451,RoR!$E:$F,2,FALSE)</f>
        <v>2.7033333333333336E-2</v>
      </c>
      <c r="DD451" s="183">
        <f>HLOOKUP($H451,'GDP-PI'!$D$8:$CR$11,3,FALSE)</f>
        <v>4.2834637353352578E-2</v>
      </c>
      <c r="DE451" s="181">
        <f>VLOOKUP(H451,'HW Dx Data'!$E:$F,2,FALSE)</f>
        <v>933.02249921662576</v>
      </c>
      <c r="DF451" s="72">
        <f t="shared" si="827"/>
        <v>157.25</v>
      </c>
      <c r="DG451" s="69">
        <f t="shared" si="828"/>
        <v>2.6419062301765574E-2</v>
      </c>
      <c r="DH451" s="175">
        <f>HLOOKUP(H451,'GDP-PI'!$8:$9,2,FALSE)</f>
        <v>118.49</v>
      </c>
      <c r="DI451" s="169">
        <f t="shared" si="818"/>
        <v>4.194261824609434E-2</v>
      </c>
      <c r="EB451"/>
    </row>
    <row r="452" spans="1:132" s="160" customFormat="1" ht="21">
      <c r="G452" s="161" t="s">
        <v>144</v>
      </c>
      <c r="H452" s="162"/>
      <c r="I452" s="163"/>
      <c r="J452" s="159">
        <v>3439.1258220018417</v>
      </c>
      <c r="K452" s="159">
        <f t="shared" si="819"/>
        <v>21.157341261161744</v>
      </c>
      <c r="L452" s="164">
        <f t="shared" ref="L452" si="842">LN(K452/K451)</f>
        <v>-2.8022628263828286E-2</v>
      </c>
      <c r="M452" s="76">
        <f t="shared" si="829"/>
        <v>-3.4875609995125382E-5</v>
      </c>
      <c r="N452" s="166">
        <f>+N451*EXP(O452)</f>
        <v>118.73739973949054</v>
      </c>
      <c r="O452" s="114">
        <f t="shared" si="830"/>
        <v>8.5230261431319958E-4</v>
      </c>
      <c r="P452" s="114"/>
      <c r="Q452" s="215">
        <v>4847.9243514965719</v>
      </c>
      <c r="R452" s="159">
        <f t="shared" si="820"/>
        <v>38.097637339855183</v>
      </c>
      <c r="S452" s="165">
        <f t="shared" ref="S452" si="843">LN(R452/R451)</f>
        <v>-6.6198963696447385E-2</v>
      </c>
      <c r="T452" s="165">
        <f t="shared" si="832"/>
        <v>-8.2388033635620071E-5</v>
      </c>
      <c r="U452" s="166"/>
      <c r="V452" s="114"/>
      <c r="W452" s="159">
        <f t="shared" si="800"/>
        <v>11930.934490923819</v>
      </c>
      <c r="X452" s="168"/>
      <c r="Y452" s="167">
        <v>462.82114685206915</v>
      </c>
      <c r="Z452" s="168">
        <v>-1.4132911423094497E-2</v>
      </c>
      <c r="AA452" s="76">
        <f t="shared" si="821"/>
        <v>-1.7589139114539282E-5</v>
      </c>
      <c r="AB452" s="166"/>
      <c r="AC452" s="114"/>
      <c r="AD452" s="163">
        <f t="shared" si="811"/>
        <v>20217.984664422234</v>
      </c>
      <c r="AE452" s="168">
        <f t="shared" si="833"/>
        <v>-0.10280209694497142</v>
      </c>
      <c r="AF452" s="113"/>
      <c r="AG452" s="114"/>
      <c r="AH452" s="114"/>
      <c r="AI452" s="114"/>
      <c r="AJ452" s="116">
        <f t="shared" si="834"/>
        <v>513.472626398025</v>
      </c>
      <c r="AK452" s="114"/>
      <c r="AL452" s="115">
        <f t="shared" si="822"/>
        <v>0.17010230639128449</v>
      </c>
      <c r="AM452" s="115">
        <f t="shared" si="823"/>
        <v>0.23978276925036485</v>
      </c>
      <c r="AN452" s="115">
        <f t="shared" si="824"/>
        <v>0.59011492435835056</v>
      </c>
      <c r="AO452" s="115"/>
      <c r="AP452" s="166"/>
      <c r="AQ452" s="168"/>
      <c r="AR452" s="69">
        <f>+AD452/$AF$27</f>
        <v>1.2445517125223742E-3</v>
      </c>
      <c r="AS452" s="169"/>
      <c r="AT452" s="166"/>
      <c r="AU452" s="168"/>
      <c r="AV452" s="113">
        <v>39375</v>
      </c>
      <c r="AW452" s="68">
        <f t="shared" ref="AW452:AW515" si="844">LN(AV452/AV451)</f>
        <v>-4.3840268890893864E-3</v>
      </c>
      <c r="AX452" s="113"/>
      <c r="AY452" s="113"/>
      <c r="AZ452" s="113"/>
      <c r="BA452" s="113"/>
      <c r="BB452" s="171"/>
      <c r="BC452" s="172"/>
      <c r="BD452" s="173"/>
      <c r="BE452" s="115"/>
      <c r="BF452" s="174"/>
      <c r="BG452" s="174"/>
      <c r="BH452" s="166"/>
      <c r="BI452" s="113"/>
      <c r="BJ452" s="113"/>
      <c r="BK452" s="113"/>
      <c r="BL452" s="113"/>
      <c r="BM452" s="232">
        <v>0.87894623985296372</v>
      </c>
      <c r="BN452" s="61">
        <f t="shared" si="839"/>
        <v>0</v>
      </c>
      <c r="BO452" s="113"/>
      <c r="BP452" s="113"/>
      <c r="BQ452" s="175"/>
      <c r="BR452" s="175"/>
      <c r="BS452" s="170"/>
      <c r="BT452" s="176"/>
      <c r="BU452" s="177"/>
      <c r="BV452" s="177"/>
      <c r="BW452" s="113"/>
      <c r="BX452" s="113"/>
      <c r="BY452" s="113"/>
      <c r="BZ452" s="113"/>
      <c r="CA452" s="116">
        <v>2022</v>
      </c>
      <c r="CB452" s="113"/>
      <c r="CC452" s="113"/>
      <c r="CD452" s="113"/>
      <c r="CE452" s="175"/>
      <c r="CF452" s="238">
        <v>17135</v>
      </c>
      <c r="CG452" s="113">
        <f>+CF452/DE452</f>
        <v>16.622849991754059</v>
      </c>
      <c r="CH452" s="178">
        <f>+(51-24)/(51-24*0.75)</f>
        <v>0.81818181818181823</v>
      </c>
      <c r="CI452" s="113">
        <f>+CI428*CH452+CG429*CH451+CG430*CH450+CG431*CH449+CG432*CH448+CG433*CH447+CG434*CH446+CG435*CH445+CG436*CH444+CG437*CH443+CG438*CH442+CG439*CH441+CG440*CH440+CG441*CH439+CG442*CH438+CG443*CH437+CG444*CH436+CG445*CH435+CG446*CH434+CG447*CH433+CG448*CH432+CG449*CH431+CG450*CH430+CG451*CH429+CG452*CH428</f>
        <v>471.33386985630852</v>
      </c>
      <c r="CJ452" s="114">
        <f t="shared" ref="CJ452" si="845">LN(CI452/CI451)</f>
        <v>4.0930971135449143E-3</v>
      </c>
      <c r="CK452" s="113"/>
      <c r="CL452" s="169">
        <f t="shared" si="840"/>
        <v>3.1310840112921595E-2</v>
      </c>
      <c r="CM452" s="169">
        <f t="shared" si="841"/>
        <v>1.047863505136707E-2</v>
      </c>
      <c r="CN452" s="114"/>
      <c r="CO452" s="169"/>
      <c r="CP452" s="169"/>
      <c r="CQ452" s="69">
        <f t="shared" si="815"/>
        <v>2.0423306557166555E-2</v>
      </c>
      <c r="CR452" s="169">
        <f t="shared" si="816"/>
        <v>0.10114668178709289</v>
      </c>
      <c r="CS452" s="179">
        <f t="shared" si="806"/>
        <v>0.90646708210000004</v>
      </c>
      <c r="CT452" s="180"/>
      <c r="CU452" s="180"/>
      <c r="CV452" s="180"/>
      <c r="CW452" s="180"/>
      <c r="CX452" s="181">
        <f>CX451</f>
        <v>0.25279166999999997</v>
      </c>
      <c r="CY452" s="72">
        <v>0.37</v>
      </c>
      <c r="CZ452" s="182">
        <f t="shared" si="814"/>
        <v>25.416949235414119</v>
      </c>
      <c r="DA452" s="182"/>
      <c r="DB452" s="169">
        <f t="shared" si="817"/>
        <v>-0.2008871330355142</v>
      </c>
      <c r="DC452" s="181">
        <v>0.04</v>
      </c>
      <c r="DD452" s="183">
        <v>7.0000000000000001E-3</v>
      </c>
      <c r="DE452" s="181">
        <v>1030.81</v>
      </c>
      <c r="DF452" s="72">
        <f t="shared" si="827"/>
        <v>162.55000000000001</v>
      </c>
      <c r="DG452" s="169">
        <f t="shared" si="828"/>
        <v>3.3148751169364422E-2</v>
      </c>
      <c r="DH452" s="175">
        <v>127.25</v>
      </c>
      <c r="DI452" s="169">
        <f t="shared" si="818"/>
        <v>7.1325086601983473E-2</v>
      </c>
      <c r="EB452"/>
    </row>
    <row r="453" spans="1:132" s="160" customFormat="1" ht="21">
      <c r="A453" s="160" t="s">
        <v>188</v>
      </c>
      <c r="B453" s="161" t="s">
        <v>188</v>
      </c>
      <c r="C453" s="161">
        <v>4057126</v>
      </c>
      <c r="D453" s="161" t="s">
        <v>184</v>
      </c>
      <c r="E453" s="161"/>
      <c r="F453" s="161"/>
      <c r="G453" s="161" t="s">
        <v>100</v>
      </c>
      <c r="H453" s="162">
        <v>1998</v>
      </c>
      <c r="I453" s="163"/>
      <c r="J453" s="159"/>
      <c r="K453" s="159"/>
      <c r="L453" s="159"/>
      <c r="M453" s="60"/>
      <c r="N453" s="131"/>
      <c r="O453" s="76"/>
      <c r="P453" s="76"/>
      <c r="Q453" s="165"/>
      <c r="R453" s="165"/>
      <c r="S453" s="165"/>
      <c r="T453" s="159"/>
      <c r="U453" s="165"/>
      <c r="V453" s="165"/>
      <c r="W453" s="159"/>
      <c r="X453" s="163"/>
      <c r="Y453" s="167">
        <v>5128.4695551823752</v>
      </c>
      <c r="Z453" s="168"/>
      <c r="AA453" s="78"/>
      <c r="AB453" s="168"/>
      <c r="AC453" s="168"/>
      <c r="AD453" s="163">
        <f t="shared" si="811"/>
        <v>0</v>
      </c>
      <c r="AE453" s="163"/>
      <c r="AF453" s="163"/>
      <c r="AG453" s="114"/>
      <c r="AH453" s="114"/>
      <c r="AI453" s="114"/>
      <c r="AJ453" s="166">
        <f>+(AJ450+AJ451+AJ452)/3</f>
        <v>504.8774195460519</v>
      </c>
      <c r="AK453" s="168"/>
      <c r="AL453" s="115"/>
      <c r="AM453" s="115"/>
      <c r="AN453" s="115"/>
      <c r="AO453" s="115"/>
      <c r="AP453" s="115"/>
      <c r="AQ453" s="168">
        <f>AVERAGE(AQ462:AQ476)</f>
        <v>1.3578856112906601E-2</v>
      </c>
      <c r="AR453" s="79"/>
      <c r="AS453" s="115"/>
      <c r="AT453" s="115"/>
      <c r="AU453" s="115"/>
      <c r="AV453" s="113">
        <f>IFERROR(INDEX('Total Customers'!$F$7:$AB$91,MATCH($C453,'Total Customers'!$D$7:$D$91,0),MATCH($G453,'Total Customers'!$F$5:$AB$5,0)),"NA")</f>
        <v>1177240</v>
      </c>
      <c r="AW453" s="68"/>
      <c r="AX453" s="114"/>
      <c r="AY453" s="114"/>
      <c r="AZ453" s="116"/>
      <c r="BA453" s="116"/>
      <c r="BB453" s="166"/>
      <c r="BC453" s="166"/>
      <c r="BD453" s="166"/>
      <c r="BE453" s="166"/>
      <c r="BF453" s="166"/>
      <c r="BG453" s="166"/>
      <c r="BH453" s="166"/>
      <c r="BI453" s="113">
        <f>INDEX('Gross Dx Plant'!$E$7:$AD$91,MATCH($C453,'Gross Dx Plant'!$D$7:$D$91,0),MATCH(Calculation!$G453,'Gross Dx Plant'!$E$5:$AD$5,0))</f>
        <v>1661191</v>
      </c>
      <c r="BJ453" s="113">
        <f>INDEX('Gross Gen Plant'!$E$7:$AD$91,MATCH($C453,'Gross Gen Plant'!$D$7:$D$91,0),MATCH(Calculation!$G453,'Gross Gen Plant'!$E$5:$AD$5,0))</f>
        <v>292000</v>
      </c>
      <c r="BK453" s="113">
        <f>INDEX('Dist. Plant Gas Additions'!$F$7:$AE$91,MATCH($C453,'Dist. Plant Gas Additions'!$D$7:$D$91,0),MATCH(Calculation!$G453,'Dist. Plant Gas Additions'!$F$5:$AE$5,0))</f>
        <v>59234</v>
      </c>
      <c r="BL453" s="113">
        <f>INDEX('Gen. Plant Additions'!$F$7:$AE$91,MATCH($C453,'Gen. Plant Additions'!$D$7:$D$91,0),MATCH(Calculation!$G453,'Gen. Plant Additions'!$F$5:$AE$5,0))</f>
        <v>54246</v>
      </c>
      <c r="BM453" s="231">
        <f>+(BW453/(BW453+BX453))</f>
        <v>0.85050105186845526</v>
      </c>
      <c r="BN453" s="61">
        <f t="shared" si="839"/>
        <v>46136.280059656223</v>
      </c>
      <c r="BO453" s="113">
        <f>INDEX('Dist Plant Depreciation'!$E$7:$AD$94,MATCH($C453,'Dist Plant Depreciation'!$D$7:$D$94,0),MATCH(Calculation!$G453,'Dist Plant Depreciation'!$E$5:$AD$5,0))</f>
        <v>918679</v>
      </c>
      <c r="BP453" s="113">
        <f>INDEX('Gen. Plant Depreciation'!$E$7:$AD$94,MATCH($C453,'Gen. Plant Depreciation'!$D$7:$D$94,0),MATCH(Calculation!$G453,'Gen. Plant Depreciation'!$E$5:$AD$5,0))</f>
        <v>97435</v>
      </c>
      <c r="BQ453" s="113"/>
      <c r="BR453" s="113"/>
      <c r="BS453" s="113"/>
      <c r="BT453" s="113"/>
      <c r="BU453" s="113"/>
      <c r="BV453" s="113"/>
      <c r="BW453" s="113">
        <f>INDEX('Gross Dx Plant'!$E$7:$AD$91,MATCH($C453,'Gross Dx Plant'!$D$7:$D$91,0),MATCH(Calculation!$G453,'Gross Dx Plant'!$E$5:$AD$5,0))</f>
        <v>1661191</v>
      </c>
      <c r="BX453" s="113">
        <f>INDEX('Gross Gen Plant'!$E$7:$AD$91,MATCH($C453,'Gross Gen Plant'!$D$7:$D$91,0),MATCH(Calculation!$G453,'Gross Gen Plant'!$E$5:$AD$5,0))</f>
        <v>292000</v>
      </c>
      <c r="BY453" s="113">
        <f t="shared" si="753"/>
        <v>937077</v>
      </c>
      <c r="BZ453" s="113"/>
      <c r="CA453" s="116">
        <v>1998</v>
      </c>
      <c r="CB453" s="113">
        <f>BI453+BJ453</f>
        <v>1953191</v>
      </c>
      <c r="CC453" s="113">
        <v>918679</v>
      </c>
      <c r="CD453" s="113">
        <f>+CB453-CC453</f>
        <v>1034512</v>
      </c>
      <c r="CE453" s="113">
        <f>CD453/$BV$3</f>
        <v>5128.4695551823752</v>
      </c>
      <c r="CF453" s="175"/>
      <c r="CG453" s="175"/>
      <c r="CH453" s="178">
        <v>1</v>
      </c>
      <c r="CI453" s="113">
        <f>+CE453</f>
        <v>5128.4695551823752</v>
      </c>
      <c r="CJ453" s="114"/>
      <c r="CK453" s="114"/>
      <c r="CL453" s="169"/>
      <c r="CM453" s="169"/>
      <c r="CN453" s="114" t="e">
        <f>VLOOKUP($H453,RoR!$E:$F,2,FALSE)</f>
        <v>#N/A</v>
      </c>
      <c r="CO453" s="169">
        <v>1.1028127770464469E-2</v>
      </c>
      <c r="CP453" s="169"/>
      <c r="CQ453" s="169"/>
      <c r="CR453" s="169"/>
      <c r="CS453" s="179"/>
      <c r="CT453" s="182" t="e">
        <f>2/(DC453*39)</f>
        <v>#N/A</v>
      </c>
      <c r="CU453" s="180" t="e">
        <f>+(DC453*40-(1+DC453))/(DC453*40)</f>
        <v>#N/A</v>
      </c>
      <c r="CV453" s="180" t="e">
        <f>+(1-(1/(1+DC453)^40))</f>
        <v>#N/A</v>
      </c>
      <c r="CW453" s="180" t="e">
        <f>+CV453*CU453*CT453</f>
        <v>#N/A</v>
      </c>
      <c r="CX453" s="181">
        <f>INDEX('State Tax Lookup'!$D$7:$Z$91,MATCH(Calculation!$C453,'State Tax Lookup'!$B$7:$B$91,0),MATCH($H453,'State Tax Lookup'!$D$6:$Z$6,0))</f>
        <v>0.35</v>
      </c>
      <c r="CY453" s="72">
        <v>0.37</v>
      </c>
      <c r="CZ453" s="66"/>
      <c r="DA453" s="66"/>
      <c r="DB453" s="69"/>
      <c r="DC453" s="111" t="e">
        <f>VLOOKUP($H453,RoR!$E:$F,2,FALSE)</f>
        <v>#N/A</v>
      </c>
      <c r="DD453" s="216">
        <f>HLOOKUP($H453,'GDP-PI'!$D$8:$CQ$11,3,FALSE)</f>
        <v>1.1028127770464469E-2</v>
      </c>
      <c r="DE453" s="111">
        <f>VLOOKUP(H453,'HW Dx Data'!$E:$F,2,FALSE)</f>
        <v>329.24564746449528</v>
      </c>
      <c r="DF453" s="72" t="e">
        <f t="shared" si="827"/>
        <v>#N/A</v>
      </c>
      <c r="DG453" s="169" t="e">
        <f t="shared" si="828"/>
        <v>#N/A</v>
      </c>
      <c r="DH453" s="66">
        <f>HLOOKUP(H453,'GDP-PI'!$8:$9,2,FALSE)</f>
        <v>75.266999999999996</v>
      </c>
      <c r="DI453"/>
      <c r="EB453"/>
    </row>
    <row r="454" spans="1:132" s="160" customFormat="1" ht="21">
      <c r="A454" s="160" t="s">
        <v>188</v>
      </c>
      <c r="B454" s="161" t="s">
        <v>188</v>
      </c>
      <c r="C454" s="161">
        <v>4057126</v>
      </c>
      <c r="D454" s="161" t="s">
        <v>184</v>
      </c>
      <c r="E454" s="161"/>
      <c r="F454" s="161"/>
      <c r="G454" s="161" t="s">
        <v>106</v>
      </c>
      <c r="H454" s="162">
        <v>1999</v>
      </c>
      <c r="I454" s="163"/>
      <c r="J454" s="159"/>
      <c r="K454" s="163"/>
      <c r="L454" s="163"/>
      <c r="M454" s="60"/>
      <c r="N454" s="152"/>
      <c r="O454" s="60"/>
      <c r="P454" s="59"/>
      <c r="Q454" s="169"/>
      <c r="R454" s="169"/>
      <c r="S454" s="169"/>
      <c r="T454" s="187"/>
      <c r="U454" s="169"/>
      <c r="V454" s="169"/>
      <c r="W454" s="159">
        <f t="shared" ref="W454:W477" si="846">+CI453*CZ454</f>
        <v>0</v>
      </c>
      <c r="X454" s="163"/>
      <c r="Y454" s="167">
        <v>5386.7719807745707</v>
      </c>
      <c r="Z454" s="168">
        <v>4.9139032770477646E-2</v>
      </c>
      <c r="AA454" s="78"/>
      <c r="AB454" s="168"/>
      <c r="AC454" s="168"/>
      <c r="AD454" s="163">
        <f t="shared" si="811"/>
        <v>0</v>
      </c>
      <c r="AE454" s="168"/>
      <c r="AF454" s="163"/>
      <c r="AG454" s="114"/>
      <c r="AH454" s="114"/>
      <c r="AI454" s="114"/>
      <c r="AJ454" s="167"/>
      <c r="AK454" s="168"/>
      <c r="AL454" s="115"/>
      <c r="AM454" s="115"/>
      <c r="AN454" s="115"/>
      <c r="AO454" s="115"/>
      <c r="AP454" s="115"/>
      <c r="AQ454" s="168"/>
      <c r="AR454" s="79"/>
      <c r="AS454" s="115"/>
      <c r="AT454" s="115"/>
      <c r="AU454" s="115"/>
      <c r="AV454" s="113">
        <f>IFERROR(INDEX('Total Customers'!$F$7:$AB$91,MATCH($C454,'Total Customers'!$D$7:$D$91,0),MATCH($G454,'Total Customers'!$F$5:$AB$5,0)),"NA")</f>
        <v>1195781</v>
      </c>
      <c r="AW454" s="68">
        <f t="shared" si="844"/>
        <v>1.5626812660825499E-2</v>
      </c>
      <c r="AX454" s="114"/>
      <c r="AY454" s="114"/>
      <c r="AZ454" s="116"/>
      <c r="BA454" s="116"/>
      <c r="BB454" s="166"/>
      <c r="BC454" s="166"/>
      <c r="BD454" s="166"/>
      <c r="BE454" s="166"/>
      <c r="BF454" s="166"/>
      <c r="BG454" s="166"/>
      <c r="BH454" s="166"/>
      <c r="BI454" s="113"/>
      <c r="BJ454" s="113"/>
      <c r="BK454" s="113">
        <f>INDEX('Dist. Plant Gas Additions'!$F$7:$AE$91,MATCH($C454,'Dist. Plant Gas Additions'!$D$7:$D$91,0),MATCH(Calculation!$G454,'Dist. Plant Gas Additions'!$F$5:$AE$5,0))</f>
        <v>67599</v>
      </c>
      <c r="BL454" s="113">
        <f>INDEX('Gen. Plant Additions'!$F$7:$AE$91,MATCH($C454,'Gen. Plant Additions'!$D$7:$D$91,0),MATCH(Calculation!$G454,'Gen. Plant Additions'!$F$5:$AE$5,0))</f>
        <v>27572</v>
      </c>
      <c r="BM454" s="231">
        <f t="shared" ref="BM454:BM475" si="847">+(BW454/(BW454+BX454))</f>
        <v>0.84637713180292773</v>
      </c>
      <c r="BN454" s="61">
        <f t="shared" si="839"/>
        <v>23336.310278070323</v>
      </c>
      <c r="BO454" s="113">
        <f>INDEX('Dist Plant Depreciation'!$E$7:$AD$94,MATCH($C454,'Dist Plant Depreciation'!$D$7:$D$94,0),MATCH(Calculation!$G454,'Dist Plant Depreciation'!$E$5:$AD$5,0))</f>
        <v>966931</v>
      </c>
      <c r="BP454" s="113">
        <f>INDEX('Gen. Plant Depreciation'!$E$7:$AD$94,MATCH($C454,'Gen. Plant Depreciation'!$D$7:$D$94,0),MATCH(Calculation!$G454,'Gen. Plant Depreciation'!$E$5:$AD$5,0))</f>
        <v>113171</v>
      </c>
      <c r="BQ454" s="113"/>
      <c r="BR454" s="113"/>
      <c r="BS454" s="113"/>
      <c r="BT454" s="113"/>
      <c r="BU454" s="113"/>
      <c r="BV454" s="113"/>
      <c r="BW454" s="113">
        <f>INDEX('Gross Dx Plant'!$E$7:$AD$91,MATCH($C454,'Gross Dx Plant'!$D$7:$D$91,0),MATCH(Calculation!$G454,'Gross Dx Plant'!$E$5:$AD$5,0))</f>
        <v>1723829</v>
      </c>
      <c r="BX454" s="113">
        <f>INDEX('Gross Gen Plant'!$E$7:$AD$91,MATCH($C454,'Gross Gen Plant'!$D$7:$D$91,0),MATCH(Calculation!$G454,'Gross Gen Plant'!$E$5:$AD$5,0))</f>
        <v>312886</v>
      </c>
      <c r="BY454" s="113">
        <f t="shared" si="753"/>
        <v>956613</v>
      </c>
      <c r="BZ454" s="113"/>
      <c r="CA454" s="116">
        <v>1999</v>
      </c>
      <c r="CB454" s="113"/>
      <c r="CC454" s="113"/>
      <c r="CD454" s="113"/>
      <c r="CE454" s="175"/>
      <c r="CF454" s="113">
        <f t="shared" ref="CF454:CF476" si="848">+BL454+BK454</f>
        <v>95171</v>
      </c>
      <c r="CG454" s="113">
        <f t="shared" ref="CG454:CG476" si="849">+CF454/$DE454</f>
        <v>283.81719949857523</v>
      </c>
      <c r="CH454" s="178">
        <v>0.99502487562189057</v>
      </c>
      <c r="CI454" s="61">
        <f>+CI453*CH454+CG454</f>
        <v>5386.7719807745707</v>
      </c>
      <c r="CJ454" s="114">
        <f t="shared" ref="CJ454:CJ475" si="850">LN(CI454/CI453)</f>
        <v>4.9139032770477646E-2</v>
      </c>
      <c r="CK454" s="114"/>
      <c r="CL454" s="169">
        <f t="shared" ref="CL454:CL477" si="851">+(CI453-CI454+CG454)/CI453</f>
        <v>4.9751243781094049E-3</v>
      </c>
      <c r="CM454" s="169"/>
      <c r="CN454" s="114">
        <f>VLOOKUP($H454,RoR!$E:$F,2,FALSE)</f>
        <v>7.0416666666666669E-2</v>
      </c>
      <c r="CO454" s="169">
        <v>1.4335631817396832E-2</v>
      </c>
      <c r="CP454" s="169">
        <f>+CN454-CO454</f>
        <v>5.6081034849269837E-2</v>
      </c>
      <c r="CQ454" s="169"/>
      <c r="CR454" s="169"/>
      <c r="CS454" s="179">
        <f t="shared" ref="CS454:CS477" si="852">1-CX454*CY454</f>
        <v>0.87050000000000005</v>
      </c>
      <c r="CT454" s="180">
        <f t="shared" ref="CT454:CT476" si="853">2/(DC454*39)</f>
        <v>0.72826581702321336</v>
      </c>
      <c r="CU454" s="180">
        <f t="shared" ref="CU454:CU476" si="854">+(DC454*40-(1+DC454))/(DC454*40)</f>
        <v>0.61997041420118348</v>
      </c>
      <c r="CV454" s="180">
        <f t="shared" ref="CV454:CV476" si="855">+(1-(1/(1+DC454)^40))</f>
        <v>0.93425155319585029</v>
      </c>
      <c r="CW454" s="180">
        <f t="shared" ref="CW454:CW476" si="856">+CV454*CU454*CT454</f>
        <v>0.42181762214141483</v>
      </c>
      <c r="CX454" s="181">
        <f>INDEX('State Tax Lookup'!$D$7:$Z$91,MATCH(Calculation!$C454,'State Tax Lookup'!$B$7:$B$91,0),MATCH($H454,'State Tax Lookup'!$D$6:$Z$6,0))</f>
        <v>0.35</v>
      </c>
      <c r="CY454" s="72">
        <v>0.37</v>
      </c>
      <c r="CZ454" s="70"/>
      <c r="DA454" s="70"/>
      <c r="DB454" s="69"/>
      <c r="DC454" s="111">
        <f>VLOOKUP($H454,RoR!$E:$F,2,FALSE)</f>
        <v>7.0416666666666669E-2</v>
      </c>
      <c r="DD454" s="216">
        <f>HLOOKUP($H454,'GDP-PI'!$D$8:$CQ$11,3,FALSE)</f>
        <v>1.4335631817396832E-2</v>
      </c>
      <c r="DE454" s="111">
        <f>VLOOKUP(H454,'HW Dx Data'!$E:$F,2,FALSE)</f>
        <v>335.32499146683239</v>
      </c>
      <c r="DF454" s="66"/>
      <c r="DG454" s="69"/>
      <c r="DH454" s="66">
        <f>HLOOKUP(H454,'GDP-PI'!$8:$9,2,FALSE)</f>
        <v>76.346000000000004</v>
      </c>
      <c r="DI454"/>
      <c r="EB454"/>
    </row>
    <row r="455" spans="1:132" s="160" customFormat="1" ht="21">
      <c r="A455" s="160" t="s">
        <v>188</v>
      </c>
      <c r="B455" s="161" t="s">
        <v>188</v>
      </c>
      <c r="C455" s="161">
        <v>4057126</v>
      </c>
      <c r="D455" s="161" t="s">
        <v>184</v>
      </c>
      <c r="E455" s="161"/>
      <c r="F455" s="161"/>
      <c r="G455" s="161" t="s">
        <v>107</v>
      </c>
      <c r="H455" s="162">
        <v>2000</v>
      </c>
      <c r="I455" s="163"/>
      <c r="J455" s="159"/>
      <c r="K455" s="159"/>
      <c r="L455" s="159"/>
      <c r="M455" s="60"/>
      <c r="N455" s="152"/>
      <c r="O455" s="60"/>
      <c r="P455" s="60"/>
      <c r="Q455" s="159"/>
      <c r="R455" s="159"/>
      <c r="S455" s="159"/>
      <c r="T455" s="159"/>
      <c r="U455" s="159"/>
      <c r="V455" s="159"/>
      <c r="W455" s="159">
        <f t="shared" si="846"/>
        <v>0</v>
      </c>
      <c r="X455" s="163"/>
      <c r="Y455" s="167">
        <v>5654.1313169792693</v>
      </c>
      <c r="Z455" s="168">
        <v>4.844016938200027E-2</v>
      </c>
      <c r="AA455" s="78"/>
      <c r="AB455" s="168"/>
      <c r="AC455" s="168"/>
      <c r="AD455" s="163">
        <f t="shared" si="811"/>
        <v>0</v>
      </c>
      <c r="AE455" s="168"/>
      <c r="AF455" s="163"/>
      <c r="AG455" s="163"/>
      <c r="AH455" s="163"/>
      <c r="AI455" s="163"/>
      <c r="AJ455" s="167"/>
      <c r="AK455" s="168"/>
      <c r="AL455" s="115"/>
      <c r="AM455" s="115"/>
      <c r="AN455" s="115"/>
      <c r="AO455" s="115"/>
      <c r="AP455" s="115"/>
      <c r="AQ455" s="168"/>
      <c r="AR455" s="79"/>
      <c r="AS455" s="115"/>
      <c r="AT455" s="115"/>
      <c r="AU455" s="115"/>
      <c r="AV455" s="113">
        <f>IFERROR(INDEX('Total Customers'!$F$7:$AB$91,MATCH($C455,'Total Customers'!$D$7:$D$91,0),MATCH($G455,'Total Customers'!$F$5:$AB$5,0)),"NA")</f>
        <v>1206421</v>
      </c>
      <c r="AW455" s="68">
        <f t="shared" si="844"/>
        <v>8.8585968880585276E-3</v>
      </c>
      <c r="AX455" s="114"/>
      <c r="AY455" s="114"/>
      <c r="AZ455" s="116"/>
      <c r="BA455" s="116"/>
      <c r="BB455" s="166"/>
      <c r="BC455" s="166"/>
      <c r="BD455" s="166"/>
      <c r="BE455" s="166"/>
      <c r="BF455" s="166"/>
      <c r="BG455" s="166"/>
      <c r="BH455" s="166"/>
      <c r="BI455" s="113"/>
      <c r="BJ455" s="113"/>
      <c r="BK455" s="113">
        <f>INDEX('Dist. Plant Gas Additions'!$F$7:$AE$91,MATCH($C455,'Dist. Plant Gas Additions'!$D$7:$D$91,0),MATCH(Calculation!$G455,'Dist. Plant Gas Additions'!$F$5:$AE$5,0))</f>
        <v>75957</v>
      </c>
      <c r="BL455" s="113">
        <f>INDEX('Gen. Plant Additions'!$F$7:$AE$91,MATCH($C455,'Gen. Plant Additions'!$D$7:$D$91,0),MATCH(Calculation!$G455,'Gen. Plant Additions'!$F$5:$AE$5,0))</f>
        <v>26291</v>
      </c>
      <c r="BM455" s="231">
        <f t="shared" si="847"/>
        <v>0.84729427561864146</v>
      </c>
      <c r="BN455" s="61">
        <f t="shared" si="839"/>
        <v>22276.213800289701</v>
      </c>
      <c r="BO455" s="113">
        <f>INDEX('Dist Plant Depreciation'!$E$7:$AD$94,MATCH($C455,'Dist Plant Depreciation'!$D$7:$D$94,0),MATCH(Calculation!$G455,'Dist Plant Depreciation'!$E$5:$AD$5,0))</f>
        <v>1019549</v>
      </c>
      <c r="BP455" s="113">
        <f>INDEX('Gen. Plant Depreciation'!$E$7:$AD$94,MATCH($C455,'Gen. Plant Depreciation'!$D$7:$D$94,0),MATCH(Calculation!$G455,'Gen. Plant Depreciation'!$E$5:$AD$5,0))</f>
        <v>118070</v>
      </c>
      <c r="BQ455" s="113"/>
      <c r="BR455" s="113"/>
      <c r="BS455" s="113"/>
      <c r="BT455" s="113"/>
      <c r="BU455" s="113"/>
      <c r="BV455" s="113"/>
      <c r="BW455" s="113">
        <f>INDEX('Gross Dx Plant'!$E$7:$AD$91,MATCH($C455,'Gross Dx Plant'!$D$7:$D$91,0),MATCH(Calculation!$G455,'Gross Dx Plant'!$E$5:$AD$5,0))</f>
        <v>1794593</v>
      </c>
      <c r="BX455" s="113">
        <f>INDEX('Gross Gen Plant'!$E$7:$AD$91,MATCH($C455,'Gross Gen Plant'!$D$7:$D$91,0),MATCH(Calculation!$G455,'Gross Gen Plant'!$E$5:$AD$5,0))</f>
        <v>323435</v>
      </c>
      <c r="BY455" s="113">
        <f t="shared" si="753"/>
        <v>980409</v>
      </c>
      <c r="BZ455" s="113"/>
      <c r="CA455" s="116">
        <v>2000</v>
      </c>
      <c r="CB455" s="113"/>
      <c r="CC455" s="113"/>
      <c r="CD455" s="113"/>
      <c r="CE455" s="175"/>
      <c r="CF455" s="113">
        <f t="shared" si="848"/>
        <v>102248</v>
      </c>
      <c r="CG455" s="113">
        <f t="shared" si="849"/>
        <v>295.05931094609122</v>
      </c>
      <c r="CH455" s="178">
        <v>0.98989898989898994</v>
      </c>
      <c r="CI455" s="61">
        <f>+CI453*CH455+CG454*CH454+CG455</f>
        <v>5654.1313169792693</v>
      </c>
      <c r="CJ455" s="114">
        <f t="shared" si="850"/>
        <v>4.844016938200027E-2</v>
      </c>
      <c r="CK455" s="114"/>
      <c r="CL455" s="169">
        <f t="shared" si="851"/>
        <v>5.1422215085869683E-3</v>
      </c>
      <c r="CM455" s="169"/>
      <c r="CN455" s="114">
        <f>VLOOKUP($H455,RoR!$E:$F,2,FALSE)</f>
        <v>7.6225000000000001E-2</v>
      </c>
      <c r="CO455" s="169">
        <v>2.2568307442433211E-2</v>
      </c>
      <c r="CP455" s="169">
        <f t="shared" ref="CP455:CP475" si="857">+CN455-CO455</f>
        <v>5.365669255756679E-2</v>
      </c>
      <c r="CQ455" s="169"/>
      <c r="CR455" s="169"/>
      <c r="CS455" s="179">
        <f t="shared" si="852"/>
        <v>0.87050000000000005</v>
      </c>
      <c r="CT455" s="180">
        <f t="shared" si="853"/>
        <v>0.67277207323124022</v>
      </c>
      <c r="CU455" s="180">
        <f t="shared" si="854"/>
        <v>0.6470236142997704</v>
      </c>
      <c r="CV455" s="180">
        <f t="shared" si="855"/>
        <v>0.94704866037543145</v>
      </c>
      <c r="CW455" s="180">
        <f t="shared" si="856"/>
        <v>0.41224973107878493</v>
      </c>
      <c r="CX455" s="181">
        <f>INDEX('State Tax Lookup'!$D$7:$Z$91,MATCH(Calculation!$C455,'State Tax Lookup'!$B$7:$B$91,0),MATCH($H455,'State Tax Lookup'!$D$6:$Z$6,0))</f>
        <v>0.35</v>
      </c>
      <c r="CY455" s="72">
        <v>0.37</v>
      </c>
      <c r="CZ455" s="70"/>
      <c r="DA455" s="70"/>
      <c r="DB455" s="69"/>
      <c r="DC455" s="111">
        <f>VLOOKUP($H455,RoR!$E:$F,2,FALSE)</f>
        <v>7.6225000000000001E-2</v>
      </c>
      <c r="DD455" s="216">
        <f>HLOOKUP($H455,'GDP-PI'!$D$8:$CQ$11,3,FALSE)</f>
        <v>2.2568307442433211E-2</v>
      </c>
      <c r="DE455" s="111">
        <f>VLOOKUP(H455,'HW Dx Data'!$E:$F,2,FALSE)</f>
        <v>346.53371782150339</v>
      </c>
      <c r="DF455" s="66"/>
      <c r="DG455" s="69"/>
      <c r="DH455" s="66">
        <f>HLOOKUP(H455,'GDP-PI'!$8:$9,2,FALSE)</f>
        <v>78.069000000000003</v>
      </c>
      <c r="DI455"/>
      <c r="EB455"/>
    </row>
    <row r="456" spans="1:132" s="160" customFormat="1" ht="21">
      <c r="A456" s="160" t="s">
        <v>188</v>
      </c>
      <c r="B456" s="161" t="s">
        <v>188</v>
      </c>
      <c r="C456" s="161">
        <v>4057126</v>
      </c>
      <c r="D456" s="161" t="s">
        <v>184</v>
      </c>
      <c r="E456" s="161"/>
      <c r="F456" s="161"/>
      <c r="G456" s="161" t="s">
        <v>111</v>
      </c>
      <c r="H456" s="162">
        <v>2001</v>
      </c>
      <c r="I456" s="163"/>
      <c r="J456" s="159"/>
      <c r="K456" s="159"/>
      <c r="L456" s="159"/>
      <c r="M456" s="60"/>
      <c r="N456" s="152"/>
      <c r="O456" s="60"/>
      <c r="P456" s="60"/>
      <c r="Q456" s="159"/>
      <c r="R456" s="159"/>
      <c r="S456" s="159"/>
      <c r="T456" s="159"/>
      <c r="U456" s="159"/>
      <c r="V456" s="159"/>
      <c r="W456" s="159">
        <f t="shared" si="846"/>
        <v>68992.815347948796</v>
      </c>
      <c r="X456" s="163"/>
      <c r="Y456" s="167">
        <v>5865.39474035905</v>
      </c>
      <c r="Z456" s="168">
        <v>3.6683299747551565E-2</v>
      </c>
      <c r="AA456" s="78"/>
      <c r="AB456" s="168"/>
      <c r="AC456" s="168"/>
      <c r="AD456" s="163">
        <f t="shared" si="811"/>
        <v>68992.815347948796</v>
      </c>
      <c r="AE456" s="168"/>
      <c r="AF456" s="163"/>
      <c r="AG456" s="163"/>
      <c r="AH456" s="163"/>
      <c r="AI456" s="163"/>
      <c r="AJ456" s="167"/>
      <c r="AK456" s="168"/>
      <c r="AL456" s="115"/>
      <c r="AM456" s="115"/>
      <c r="AN456" s="115"/>
      <c r="AO456" s="115"/>
      <c r="AP456" s="115"/>
      <c r="AQ456" s="168"/>
      <c r="AR456" s="79"/>
      <c r="AS456" s="115"/>
      <c r="AT456" s="115"/>
      <c r="AU456" s="115"/>
      <c r="AV456" s="113">
        <f>IFERROR(INDEX('Total Customers'!$F$7:$AB$91,MATCH($C456,'Total Customers'!$D$7:$D$91,0),MATCH($G456,'Total Customers'!$F$5:$AB$5,0)),"NA")</f>
        <v>1209335</v>
      </c>
      <c r="AW456" s="68">
        <f t="shared" si="844"/>
        <v>2.4124964717658522E-3</v>
      </c>
      <c r="AX456" s="114"/>
      <c r="AY456" s="114"/>
      <c r="AZ456" s="116"/>
      <c r="BA456" s="116"/>
      <c r="BB456" s="166"/>
      <c r="BC456" s="166"/>
      <c r="BD456" s="166"/>
      <c r="BE456" s="166"/>
      <c r="BF456" s="166"/>
      <c r="BG456" s="166"/>
      <c r="BH456" s="166"/>
      <c r="BI456" s="113"/>
      <c r="BJ456" s="113"/>
      <c r="BK456" s="113">
        <f>INDEX('Dist. Plant Gas Additions'!$F$7:$AE$91,MATCH($C456,'Dist. Plant Gas Additions'!$D$7:$D$91,0),MATCH(Calculation!$G456,'Dist. Plant Gas Additions'!$F$5:$AE$5,0))</f>
        <v>64405</v>
      </c>
      <c r="BL456" s="113">
        <f>INDEX('Gen. Plant Additions'!$F$7:$AE$91,MATCH($C456,'Gen. Plant Additions'!$D$7:$D$91,0),MATCH(Calculation!$G456,'Gen. Plant Additions'!$F$5:$AE$5,0))</f>
        <v>20357</v>
      </c>
      <c r="BM456" s="231">
        <f t="shared" si="847"/>
        <v>0.84986399951546387</v>
      </c>
      <c r="BN456" s="61">
        <f t="shared" si="839"/>
        <v>17300.681438136296</v>
      </c>
      <c r="BO456" s="113">
        <f>INDEX('Dist Plant Depreciation'!$E$7:$AD$94,MATCH($C456,'Dist Plant Depreciation'!$D$7:$D$94,0),MATCH(Calculation!$G456,'Dist Plant Depreciation'!$E$5:$AD$5,0))</f>
        <v>1070361</v>
      </c>
      <c r="BP456" s="113">
        <f>INDEX('Gen. Plant Depreciation'!$E$7:$AD$94,MATCH($C456,'Gen. Plant Depreciation'!$D$7:$D$94,0),MATCH(Calculation!$G456,'Gen. Plant Depreciation'!$E$5:$AD$5,0))</f>
        <v>127549</v>
      </c>
      <c r="BQ456" s="113"/>
      <c r="BR456" s="113"/>
      <c r="BS456" s="113"/>
      <c r="BT456" s="113"/>
      <c r="BU456" s="113"/>
      <c r="BV456" s="113"/>
      <c r="BW456" s="113">
        <f>INDEX('Gross Dx Plant'!$E$7:$AD$91,MATCH($C456,'Gross Dx Plant'!$D$7:$D$91,0),MATCH(Calculation!$G456,'Gross Dx Plant'!$E$5:$AD$5,0))</f>
        <v>1852197</v>
      </c>
      <c r="BX456" s="113">
        <f>INDEX('Gross Gen Plant'!$E$7:$AD$91,MATCH($C456,'Gross Gen Plant'!$D$7:$D$91,0),MATCH(Calculation!$G456,'Gross Gen Plant'!$E$5:$AD$5,0))</f>
        <v>327207</v>
      </c>
      <c r="BY456" s="113">
        <f t="shared" si="753"/>
        <v>981494</v>
      </c>
      <c r="BZ456" s="113"/>
      <c r="CA456" s="116">
        <v>2001</v>
      </c>
      <c r="CB456" s="113"/>
      <c r="CC456" s="113"/>
      <c r="CD456" s="113"/>
      <c r="CE456" s="175"/>
      <c r="CF456" s="113">
        <f t="shared" si="848"/>
        <v>84762</v>
      </c>
      <c r="CG456" s="113">
        <f t="shared" si="849"/>
        <v>239.81504674917326</v>
      </c>
      <c r="CH456" s="178">
        <v>0.98461538461538467</v>
      </c>
      <c r="CI456" s="61">
        <f>+CI453*CH456+CG454*CH455+CG455*CH453+CG456</f>
        <v>5865.39474035905</v>
      </c>
      <c r="CJ456" s="114">
        <f t="shared" si="850"/>
        <v>3.6683299747551565E-2</v>
      </c>
      <c r="CK456" s="114"/>
      <c r="CL456" s="169">
        <f t="shared" si="851"/>
        <v>5.0496922990897674E-3</v>
      </c>
      <c r="CM456" s="169">
        <f>+(CL456+CL455+CL454)/3</f>
        <v>5.0556793952620466E-3</v>
      </c>
      <c r="CN456" s="114">
        <f>VLOOKUP($H456,RoR!$E:$F,2,FALSE)</f>
        <v>7.0824999999999999E-2</v>
      </c>
      <c r="CO456" s="169">
        <v>2.2454495382290052E-2</v>
      </c>
      <c r="CP456" s="169">
        <f t="shared" si="857"/>
        <v>4.8370504617709947E-2</v>
      </c>
      <c r="CQ456" s="169">
        <f>+$CP$2-CM456</f>
        <v>2.5846262213271579E-2</v>
      </c>
      <c r="CR456" s="169">
        <f>+((DE454/DE453-1)+(DE455/DE454-1)+(DE456/DE455-1))/3</f>
        <v>2.3947275901631187E-2</v>
      </c>
      <c r="CS456" s="179">
        <f t="shared" si="852"/>
        <v>0.87050000000000005</v>
      </c>
      <c r="CT456" s="180">
        <f t="shared" si="853"/>
        <v>0.72406708481540816</v>
      </c>
      <c r="CU456" s="180">
        <f t="shared" si="854"/>
        <v>0.62201729615248857</v>
      </c>
      <c r="CV456" s="180">
        <f t="shared" si="855"/>
        <v>0.9352469954311422</v>
      </c>
      <c r="CW456" s="180">
        <f t="shared" si="856"/>
        <v>0.42121864641655071</v>
      </c>
      <c r="CX456" s="181">
        <f>INDEX('State Tax Lookup'!$D$7:$Z$91,MATCH(Calculation!$C456,'State Tax Lookup'!$B$7:$B$91,0),MATCH($H456,'State Tax Lookup'!$D$6:$Z$6,0))</f>
        <v>0.35</v>
      </c>
      <c r="CY456" s="72">
        <v>0.37</v>
      </c>
      <c r="CZ456" s="70">
        <f t="shared" ref="CZ456:CZ477" si="858">+(DE456*CQ456-CR456)*CS456/(1-CX456)</f>
        <v>12.20219543553303</v>
      </c>
      <c r="DA456" s="70"/>
      <c r="DB456" s="69"/>
      <c r="DC456" s="111">
        <f>VLOOKUP($H456,RoR!$E:$F,2,FALSE)</f>
        <v>7.0824999999999999E-2</v>
      </c>
      <c r="DD456" s="216">
        <f>HLOOKUP($H456,'GDP-PI'!$D$8:$CQ$11,3,FALSE)</f>
        <v>2.2454495382290052E-2</v>
      </c>
      <c r="DE456" s="111">
        <f>VLOOKUP(H456,'HW Dx Data'!$E:$F,2,FALSE)</f>
        <v>353.44738017483138</v>
      </c>
      <c r="DF456" s="66"/>
      <c r="DG456" s="69"/>
      <c r="DH456" s="66">
        <f>HLOOKUP(H456,'GDP-PI'!$8:$9,2,FALSE)</f>
        <v>79.822000000000003</v>
      </c>
      <c r="DI456"/>
      <c r="EB456"/>
    </row>
    <row r="457" spans="1:132" s="160" customFormat="1" ht="21">
      <c r="A457" s="160" t="s">
        <v>188</v>
      </c>
      <c r="B457" s="161" t="s">
        <v>188</v>
      </c>
      <c r="C457" s="161">
        <v>4057126</v>
      </c>
      <c r="D457" s="161" t="s">
        <v>184</v>
      </c>
      <c r="E457" s="161"/>
      <c r="F457" s="161"/>
      <c r="G457" s="161" t="s">
        <v>113</v>
      </c>
      <c r="H457" s="162">
        <v>2002</v>
      </c>
      <c r="I457" s="163"/>
      <c r="J457" s="159"/>
      <c r="K457" s="159"/>
      <c r="L457" s="159"/>
      <c r="M457" s="60"/>
      <c r="N457" s="152"/>
      <c r="O457" s="60"/>
      <c r="P457" s="60"/>
      <c r="Q457" s="159"/>
      <c r="R457" s="159"/>
      <c r="S457" s="159"/>
      <c r="T457" s="159"/>
      <c r="U457" s="159"/>
      <c r="V457" s="159"/>
      <c r="W457" s="159">
        <f t="shared" si="846"/>
        <v>72449.065631170204</v>
      </c>
      <c r="X457" s="163"/>
      <c r="Y457" s="167">
        <v>6022.9870121406893</v>
      </c>
      <c r="Z457" s="168">
        <v>2.6513533432509073E-2</v>
      </c>
      <c r="AA457" s="78"/>
      <c r="AB457" s="168"/>
      <c r="AC457" s="168"/>
      <c r="AD457" s="163">
        <f t="shared" si="811"/>
        <v>72449.065631170204</v>
      </c>
      <c r="AE457" s="168"/>
      <c r="AF457" s="163"/>
      <c r="AG457" s="163"/>
      <c r="AH457" s="163"/>
      <c r="AI457" s="163"/>
      <c r="AJ457" s="167"/>
      <c r="AK457" s="168"/>
      <c r="AL457" s="115"/>
      <c r="AM457" s="115"/>
      <c r="AN457" s="115"/>
      <c r="AO457" s="115"/>
      <c r="AP457" s="115"/>
      <c r="AQ457" s="168"/>
      <c r="AR457" s="79"/>
      <c r="AS457" s="115"/>
      <c r="AT457" s="115"/>
      <c r="AU457" s="115"/>
      <c r="AV457" s="113">
        <f>IFERROR(INDEX('Total Customers'!$F$7:$AB$91,MATCH($C457,'Total Customers'!$D$7:$D$91,0),MATCH($G457,'Total Customers'!$F$5:$AB$5,0)),"NA")</f>
        <v>1252052</v>
      </c>
      <c r="AW457" s="68">
        <f t="shared" si="844"/>
        <v>3.4713183608117468E-2</v>
      </c>
      <c r="AX457" s="114"/>
      <c r="AY457" s="114"/>
      <c r="AZ457" s="116"/>
      <c r="BA457" s="116"/>
      <c r="BB457" s="166"/>
      <c r="BC457" s="166"/>
      <c r="BD457" s="166"/>
      <c r="BE457" s="166"/>
      <c r="BF457" s="166"/>
      <c r="BG457" s="166"/>
      <c r="BH457" s="166"/>
      <c r="BI457" s="113"/>
      <c r="BJ457" s="113"/>
      <c r="BK457" s="113">
        <f>INDEX('Dist. Plant Gas Additions'!$F$7:$AE$91,MATCH($C457,'Dist. Plant Gas Additions'!$D$7:$D$91,0),MATCH(Calculation!$G457,'Dist. Plant Gas Additions'!$F$5:$AE$5,0))</f>
        <v>56512</v>
      </c>
      <c r="BL457" s="113">
        <f>INDEX('Gen. Plant Additions'!$F$7:$AE$91,MATCH($C457,'Gen. Plant Additions'!$D$7:$D$91,0),MATCH(Calculation!$G457,'Gen. Plant Additions'!$F$5:$AE$5,0))</f>
        <v>12581</v>
      </c>
      <c r="BM457" s="231">
        <f t="shared" si="847"/>
        <v>0.85160268084470414</v>
      </c>
      <c r="BN457" s="61">
        <f t="shared" si="839"/>
        <v>10714.013327707224</v>
      </c>
      <c r="BO457" s="113">
        <f>INDEX('Dist Plant Depreciation'!$E$7:$AD$94,MATCH($C457,'Dist Plant Depreciation'!$D$7:$D$94,0),MATCH(Calculation!$G457,'Dist Plant Depreciation'!$E$5:$AD$5,0))</f>
        <v>1126677</v>
      </c>
      <c r="BP457" s="113">
        <f>INDEX('Gen. Plant Depreciation'!$E$7:$AD$94,MATCH($C457,'Gen. Plant Depreciation'!$D$7:$D$94,0),MATCH(Calculation!$G457,'Gen. Plant Depreciation'!$E$5:$AD$5,0))</f>
        <v>145195</v>
      </c>
      <c r="BQ457" s="113"/>
      <c r="BR457" s="113"/>
      <c r="BS457" s="113"/>
      <c r="BT457" s="113"/>
      <c r="BU457" s="113"/>
      <c r="BV457" s="113"/>
      <c r="BW457" s="113">
        <f>INDEX('Gross Dx Plant'!$E$7:$AD$91,MATCH($C457,'Gross Dx Plant'!$D$7:$D$91,0),MATCH(Calculation!$G457,'Gross Dx Plant'!$E$5:$AD$5,0))</f>
        <v>1903177</v>
      </c>
      <c r="BX457" s="113">
        <f>INDEX('Gross Gen Plant'!$E$7:$AD$91,MATCH($C457,'Gross Gen Plant'!$D$7:$D$91,0),MATCH(Calculation!$G457,'Gross Gen Plant'!$E$5:$AD$5,0))</f>
        <v>331641</v>
      </c>
      <c r="BY457" s="113">
        <f t="shared" si="753"/>
        <v>962946</v>
      </c>
      <c r="BZ457" s="113"/>
      <c r="CA457" s="116">
        <v>2002</v>
      </c>
      <c r="CB457" s="113"/>
      <c r="CC457" s="113"/>
      <c r="CD457" s="113"/>
      <c r="CE457" s="175"/>
      <c r="CF457" s="113">
        <f t="shared" si="848"/>
        <v>69093</v>
      </c>
      <c r="CG457" s="113">
        <f t="shared" si="849"/>
        <v>191.20894071684751</v>
      </c>
      <c r="CH457" s="178">
        <v>0.97916666666666663</v>
      </c>
      <c r="CI457" s="61">
        <f>+CI453*CH457+CG454*CH456+CG455*CH455+CG456*CH454+CG457</f>
        <v>6022.9870121406893</v>
      </c>
      <c r="CJ457" s="114">
        <f t="shared" si="850"/>
        <v>2.6513533432509073E-2</v>
      </c>
      <c r="CK457" s="114"/>
      <c r="CL457" s="169">
        <f t="shared" si="851"/>
        <v>5.7313566133743938E-3</v>
      </c>
      <c r="CM457" s="169">
        <f t="shared" ref="CM457:CM477" si="859">+(CL457+CL456+CL455)/3</f>
        <v>5.3077568070170429E-3</v>
      </c>
      <c r="CN457" s="114">
        <f>VLOOKUP($H457,RoR!$E:$F,2,FALSE)</f>
        <v>6.4916666666666664E-2</v>
      </c>
      <c r="CO457" s="169">
        <v>1.5246423291824351E-2</v>
      </c>
      <c r="CP457" s="169">
        <f t="shared" si="857"/>
        <v>4.9670243374842313E-2</v>
      </c>
      <c r="CQ457" s="169">
        <f t="shared" ref="CQ457:CQ477" si="860">+$CP$2-CM457</f>
        <v>2.5594184801516581E-2</v>
      </c>
      <c r="CR457" s="169">
        <f t="shared" ref="CR457:CR477" si="861">+((DE455/DE454-1)+(DE456/DE455-1)+(DE457/DE456-1))/3</f>
        <v>2.5243621214759093E-2</v>
      </c>
      <c r="CS457" s="179">
        <f t="shared" si="852"/>
        <v>0.87050000000000005</v>
      </c>
      <c r="CT457" s="180">
        <f t="shared" si="853"/>
        <v>0.78996741384417901</v>
      </c>
      <c r="CU457" s="180">
        <f t="shared" si="854"/>
        <v>0.58989088575096271</v>
      </c>
      <c r="CV457" s="180">
        <f t="shared" si="855"/>
        <v>0.91920675783645744</v>
      </c>
      <c r="CW457" s="180">
        <f t="shared" si="856"/>
        <v>0.42834536472275586</v>
      </c>
      <c r="CX457" s="181">
        <f>INDEX('State Tax Lookup'!$D$7:$Z$91,MATCH(Calculation!$C457,'State Tax Lookup'!$B$7:$B$91,0),MATCH($H457,'State Tax Lookup'!$D$6:$Z$6,0))</f>
        <v>0.35</v>
      </c>
      <c r="CY457" s="72">
        <v>0.37</v>
      </c>
      <c r="CZ457" s="70">
        <f t="shared" si="858"/>
        <v>12.351950523066625</v>
      </c>
      <c r="DA457" s="70"/>
      <c r="DB457" s="69">
        <f>LN(CZ457/CZ456)</f>
        <v>1.2198098411956142E-2</v>
      </c>
      <c r="DC457" s="111">
        <f>VLOOKUP($H457,RoR!$E:$F,2,FALSE)</f>
        <v>6.4916666666666664E-2</v>
      </c>
      <c r="DD457" s="216">
        <f>HLOOKUP($H457,'GDP-PI'!$D$8:$CQ$11,3,FALSE)</f>
        <v>1.5246423291824351E-2</v>
      </c>
      <c r="DE457" s="111">
        <f>VLOOKUP(H457,'HW Dx Data'!$E:$F,2,FALSE)</f>
        <v>361.34816573413599</v>
      </c>
      <c r="DF457" s="66"/>
      <c r="DG457" s="69"/>
      <c r="DH457" s="66">
        <f>HLOOKUP(H457,'GDP-PI'!$8:$9,2,FALSE)</f>
        <v>81.039000000000001</v>
      </c>
      <c r="DI457" s="69">
        <f>LN(DH457/DH456)</f>
        <v>1.513136459537477E-2</v>
      </c>
      <c r="EB457"/>
    </row>
    <row r="458" spans="1:132" s="160" customFormat="1" ht="21">
      <c r="A458" s="160" t="s">
        <v>188</v>
      </c>
      <c r="B458" s="161" t="s">
        <v>188</v>
      </c>
      <c r="C458" s="161">
        <v>4057126</v>
      </c>
      <c r="D458" s="161" t="s">
        <v>184</v>
      </c>
      <c r="E458" s="161"/>
      <c r="F458" s="161"/>
      <c r="G458" s="161" t="s">
        <v>114</v>
      </c>
      <c r="H458" s="162">
        <v>2003</v>
      </c>
      <c r="I458" s="163"/>
      <c r="J458" s="159"/>
      <c r="K458" s="159"/>
      <c r="L458" s="159"/>
      <c r="M458" s="76"/>
      <c r="N458" s="152"/>
      <c r="O458" s="76"/>
      <c r="P458" s="76"/>
      <c r="Q458" s="159"/>
      <c r="R458" s="159"/>
      <c r="S458" s="159"/>
      <c r="T458" s="159"/>
      <c r="U458" s="159"/>
      <c r="V458" s="159"/>
      <c r="W458" s="159">
        <f t="shared" si="846"/>
        <v>75536.237368013084</v>
      </c>
      <c r="X458" s="163"/>
      <c r="Y458" s="167">
        <v>6175.9798495226451</v>
      </c>
      <c r="Z458" s="168">
        <v>2.5084232328173889E-2</v>
      </c>
      <c r="AA458" s="78"/>
      <c r="AB458" s="168"/>
      <c r="AC458" s="168"/>
      <c r="AD458" s="163">
        <f t="shared" si="811"/>
        <v>75536.237368013084</v>
      </c>
      <c r="AE458" s="168"/>
      <c r="AF458" s="163"/>
      <c r="AG458" s="163"/>
      <c r="AH458" s="163"/>
      <c r="AI458" s="163"/>
      <c r="AJ458" s="167"/>
      <c r="AK458" s="168"/>
      <c r="AL458" s="115"/>
      <c r="AM458" s="115"/>
      <c r="AN458" s="115"/>
      <c r="AO458" s="115"/>
      <c r="AP458" s="115"/>
      <c r="AQ458" s="168"/>
      <c r="AR458" s="79"/>
      <c r="AS458" s="115"/>
      <c r="AT458" s="115"/>
      <c r="AU458" s="115"/>
      <c r="AV458" s="113">
        <f>IFERROR(INDEX('Total Customers'!$F$7:$AB$91,MATCH($C458,'Total Customers'!$D$7:$D$91,0),MATCH($G458,'Total Customers'!$F$5:$AB$5,0)),"NA")</f>
        <v>1254062</v>
      </c>
      <c r="AW458" s="68">
        <f t="shared" si="844"/>
        <v>1.604077413069185E-3</v>
      </c>
      <c r="AX458" s="114"/>
      <c r="AY458" s="114"/>
      <c r="AZ458" s="116"/>
      <c r="BA458" s="116"/>
      <c r="BB458" s="166"/>
      <c r="BC458" s="166"/>
      <c r="BD458" s="166"/>
      <c r="BE458" s="166"/>
      <c r="BF458" s="166"/>
      <c r="BG458" s="166"/>
      <c r="BH458" s="166"/>
      <c r="BI458" s="113"/>
      <c r="BJ458" s="113"/>
      <c r="BK458" s="113">
        <f>INDEX('Dist. Plant Gas Additions'!$F$7:$AE$91,MATCH($C458,'Dist. Plant Gas Additions'!$D$7:$D$91,0),MATCH(Calculation!$G458,'Dist. Plant Gas Additions'!$F$5:$AE$5,0))</f>
        <v>62464</v>
      </c>
      <c r="BL458" s="113">
        <f>INDEX('Gen. Plant Additions'!$F$7:$AE$91,MATCH($C458,'Gen. Plant Additions'!$D$7:$D$91,0),MATCH(Calculation!$G458,'Gen. Plant Additions'!$F$5:$AE$5,0))</f>
        <v>6623</v>
      </c>
      <c r="BM458" s="231">
        <f t="shared" si="847"/>
        <v>0.88813823402857983</v>
      </c>
      <c r="BN458" s="61">
        <f t="shared" si="839"/>
        <v>5882.1395239712838</v>
      </c>
      <c r="BO458" s="113">
        <f>INDEX('Dist Plant Depreciation'!$E$7:$AD$94,MATCH($C458,'Dist Plant Depreciation'!$D$7:$D$94,0),MATCH(Calculation!$G458,'Dist Plant Depreciation'!$E$5:$AD$5,0))</f>
        <v>1184337</v>
      </c>
      <c r="BP458" s="113">
        <f>INDEX('Gen. Plant Depreciation'!$E$7:$AD$94,MATCH($C458,'Gen. Plant Depreciation'!$D$7:$D$94,0),MATCH(Calculation!$G458,'Gen. Plant Depreciation'!$E$5:$AD$5,0))</f>
        <v>137328</v>
      </c>
      <c r="BQ458" s="113"/>
      <c r="BR458" s="113"/>
      <c r="BS458" s="113"/>
      <c r="BT458" s="113"/>
      <c r="BU458" s="113"/>
      <c r="BV458" s="113"/>
      <c r="BW458" s="113">
        <f>INDEX('Gross Dx Plant'!$E$7:$AD$91,MATCH($C458,'Gross Dx Plant'!$D$7:$D$91,0),MATCH(Calculation!$G458,'Gross Dx Plant'!$E$5:$AD$5,0))</f>
        <v>1960876</v>
      </c>
      <c r="BX458" s="113">
        <f>INDEX('Gross Gen Plant'!$E$7:$AD$91,MATCH($C458,'Gross Gen Plant'!$D$7:$D$91,0),MATCH(Calculation!$G458,'Gross Gen Plant'!$E$5:$AD$5,0))</f>
        <v>246974</v>
      </c>
      <c r="BY458" s="113">
        <f t="shared" si="753"/>
        <v>886185</v>
      </c>
      <c r="BZ458" s="113"/>
      <c r="CA458" s="116">
        <v>2003</v>
      </c>
      <c r="CB458" s="113"/>
      <c r="CC458" s="113"/>
      <c r="CD458" s="113"/>
      <c r="CE458" s="175"/>
      <c r="CF458" s="113">
        <f t="shared" si="848"/>
        <v>69087</v>
      </c>
      <c r="CG458" s="113">
        <f t="shared" si="849"/>
        <v>187.10948899503273</v>
      </c>
      <c r="CH458" s="178">
        <v>0.97354497354497349</v>
      </c>
      <c r="CI458" s="61">
        <f>+CI453*CH458+CG454*CH457+CG455*CH456+CG456*CH455+CG457*CH454+CG458</f>
        <v>6175.9798495226451</v>
      </c>
      <c r="CJ458" s="114">
        <f t="shared" si="850"/>
        <v>2.5084232328173889E-2</v>
      </c>
      <c r="CK458" s="114"/>
      <c r="CL458" s="169">
        <f t="shared" si="851"/>
        <v>5.6644073022749679E-3</v>
      </c>
      <c r="CM458" s="169">
        <f t="shared" si="859"/>
        <v>5.4818187382463766E-3</v>
      </c>
      <c r="CN458" s="114">
        <f>VLOOKUP($H458,RoR!$E:$F,2,FALSE)</f>
        <v>5.6666666666666671E-2</v>
      </c>
      <c r="CO458" s="169">
        <v>1.8855119140166909E-2</v>
      </c>
      <c r="CP458" s="169">
        <f t="shared" si="857"/>
        <v>3.7811547526499761E-2</v>
      </c>
      <c r="CQ458" s="169">
        <f t="shared" si="860"/>
        <v>2.5420122870287248E-2</v>
      </c>
      <c r="CR458" s="169">
        <f t="shared" si="861"/>
        <v>2.1375012817671957E-2</v>
      </c>
      <c r="CS458" s="179">
        <f t="shared" si="852"/>
        <v>0.87050000000000005</v>
      </c>
      <c r="CT458" s="180">
        <f t="shared" si="853"/>
        <v>0.90497737556561086</v>
      </c>
      <c r="CU458" s="180">
        <f t="shared" si="854"/>
        <v>0.5338235294117647</v>
      </c>
      <c r="CV458" s="180">
        <f t="shared" si="855"/>
        <v>0.88972433127405692</v>
      </c>
      <c r="CW458" s="180">
        <f t="shared" si="856"/>
        <v>0.42982423775949252</v>
      </c>
      <c r="CX458" s="181">
        <f>INDEX('State Tax Lookup'!$D$7:$Z$91,MATCH(Calculation!$C458,'State Tax Lookup'!$B$7:$B$91,0),MATCH($H458,'State Tax Lookup'!$D$6:$Z$6,0))</f>
        <v>0.35</v>
      </c>
      <c r="CY458" s="72">
        <v>0.37</v>
      </c>
      <c r="CZ458" s="70">
        <f t="shared" si="858"/>
        <v>12.541324963137519</v>
      </c>
      <c r="DA458" s="70"/>
      <c r="DB458" s="69">
        <f t="shared" ref="DB458:DB477" si="862">LN(CZ458/CZ457)</f>
        <v>1.5215200871995719E-2</v>
      </c>
      <c r="DC458" s="111">
        <f>VLOOKUP($H458,RoR!$E:$F,2,FALSE)</f>
        <v>5.6666666666666671E-2</v>
      </c>
      <c r="DD458" s="216">
        <f>HLOOKUP($H458,'GDP-PI'!$D$8:$CQ$11,3,FALSE)</f>
        <v>1.8855119140166909E-2</v>
      </c>
      <c r="DE458" s="111">
        <f>VLOOKUP(H458,'HW Dx Data'!$E:$F,2,FALSE)</f>
        <v>369.23301095560191</v>
      </c>
      <c r="DF458" s="66"/>
      <c r="DG458" s="69"/>
      <c r="DH458" s="66">
        <f>HLOOKUP(H458,'GDP-PI'!$8:$9,2,FALSE)</f>
        <v>82.566999999999993</v>
      </c>
      <c r="DI458" s="69">
        <f t="shared" ref="DI458:DI477" si="863">LN(DH458/DH457)</f>
        <v>1.8679564681853753E-2</v>
      </c>
      <c r="EB458"/>
    </row>
    <row r="459" spans="1:132" s="160" customFormat="1" ht="21">
      <c r="A459" s="160" t="s">
        <v>188</v>
      </c>
      <c r="B459" s="161" t="s">
        <v>188</v>
      </c>
      <c r="C459" s="161">
        <v>4057126</v>
      </c>
      <c r="D459" s="161" t="s">
        <v>184</v>
      </c>
      <c r="E459" s="161"/>
      <c r="F459" s="161"/>
      <c r="G459" s="161" t="s">
        <v>115</v>
      </c>
      <c r="H459" s="162">
        <v>2004</v>
      </c>
      <c r="I459" s="163"/>
      <c r="J459" s="159">
        <f>IFERROR(INDEX('Labor Expenditures'!$F$7:$X$91,MATCH($C459,'Labor Expenditures'!$D$7:$D$91,0),MATCH($G459,'Labor Expenditures'!$F$5:$X$5,0)),"NA")</f>
        <v>98067.10555946338</v>
      </c>
      <c r="K459" s="159">
        <f t="shared" ref="K459:K477" si="864">+J459/DF459</f>
        <v>1039.396985261933</v>
      </c>
      <c r="L459" s="165"/>
      <c r="M459" s="76"/>
      <c r="N459" s="152"/>
      <c r="O459" s="76"/>
      <c r="P459" s="76"/>
      <c r="Q459" s="159">
        <f>IFERROR(INDEX('Non-Labor Expenditures'!$F$7:$AB$91,MATCH($C459,'Non-Labor Expenditures'!$D$7:$D$91,0),MATCH($G459,'Non-Labor Expenditures'!$F$5:$AB$5,0)),"NA")</f>
        <v>142019.48525886529</v>
      </c>
      <c r="R459" s="159">
        <f t="shared" ref="R459:R477" si="865">+Q459/DH459</f>
        <v>1675.1926827580892</v>
      </c>
      <c r="S459" s="159"/>
      <c r="T459" s="159"/>
      <c r="U459" s="159"/>
      <c r="V459" s="159"/>
      <c r="W459" s="159">
        <f t="shared" si="846"/>
        <v>85850.17922796034</v>
      </c>
      <c r="X459" s="163"/>
      <c r="Y459" s="167">
        <v>6305.5623877903745</v>
      </c>
      <c r="Z459" s="168">
        <v>2.0764612540605694E-2</v>
      </c>
      <c r="AA459" s="76">
        <f t="shared" ref="AA459:AA477" si="866">+Z459*$AR459</f>
        <v>0</v>
      </c>
      <c r="AB459" s="168"/>
      <c r="AC459" s="168"/>
      <c r="AD459" s="163">
        <f t="shared" si="811"/>
        <v>325936.77004628902</v>
      </c>
      <c r="AE459" s="168"/>
      <c r="AF459" s="163"/>
      <c r="AG459" s="163"/>
      <c r="AH459" s="163"/>
      <c r="AI459" s="163"/>
      <c r="AJ459" s="167"/>
      <c r="AK459" s="168"/>
      <c r="AL459" s="115">
        <f t="shared" ref="AL459:AL477" si="867">+J459/AD459</f>
        <v>0.30087769951679905</v>
      </c>
      <c r="AM459" s="115">
        <f t="shared" ref="AM459:AM477" si="868">+Q459/AD459</f>
        <v>0.4357271051029189</v>
      </c>
      <c r="AN459" s="115">
        <f t="shared" ref="AN459:AN477" si="869">+W459/AD459</f>
        <v>0.263395195380282</v>
      </c>
      <c r="AO459" s="115"/>
      <c r="AP459" s="115"/>
      <c r="AQ459" s="168"/>
      <c r="AR459" s="79"/>
      <c r="AS459" s="115"/>
      <c r="AT459" s="115"/>
      <c r="AU459" s="115"/>
      <c r="AV459" s="113">
        <f>IFERROR(INDEX('Total Customers'!$F$7:$AB$91,MATCH($C459,'Total Customers'!$D$7:$D$91,0),MATCH($G459,'Total Customers'!$F$5:$AB$5,0)),"NA")</f>
        <v>1250238</v>
      </c>
      <c r="AW459" s="68">
        <f t="shared" si="844"/>
        <v>-3.0539495843777457E-3</v>
      </c>
      <c r="AX459" s="114"/>
      <c r="AY459" s="114"/>
      <c r="AZ459" s="116"/>
      <c r="BA459" s="116"/>
      <c r="BB459" s="166"/>
      <c r="BC459" s="166"/>
      <c r="BD459" s="166"/>
      <c r="BE459" s="166"/>
      <c r="BF459" s="166"/>
      <c r="BG459" s="166"/>
      <c r="BH459" s="166"/>
      <c r="BI459" s="113"/>
      <c r="BJ459" s="113"/>
      <c r="BK459" s="113">
        <f>INDEX('Dist. Plant Gas Additions'!$F$7:$AE$91,MATCH($C459,'Dist. Plant Gas Additions'!$D$7:$D$91,0),MATCH(Calculation!$G459,'Dist. Plant Gas Additions'!$F$5:$AE$5,0))</f>
        <v>63639</v>
      </c>
      <c r="BL459" s="113">
        <f>INDEX('Gen. Plant Additions'!$F$7:$AE$91,MATCH($C459,'Gen. Plant Additions'!$D$7:$D$91,0),MATCH(Calculation!$G459,'Gen. Plant Additions'!$F$5:$AE$5,0))</f>
        <v>5118</v>
      </c>
      <c r="BM459" s="231">
        <f t="shared" si="847"/>
        <v>0.8950288239670765</v>
      </c>
      <c r="BN459" s="61">
        <f t="shared" si="839"/>
        <v>4580.7575210634977</v>
      </c>
      <c r="BO459" s="113">
        <f>INDEX('Dist Plant Depreciation'!$E$7:$AD$94,MATCH($C459,'Dist Plant Depreciation'!$D$7:$D$94,0),MATCH(Calculation!$G459,'Dist Plant Depreciation'!$E$5:$AD$5,0))</f>
        <v>1247606</v>
      </c>
      <c r="BP459" s="113">
        <f>INDEX('Gen. Plant Depreciation'!$E$7:$AD$94,MATCH($C459,'Gen. Plant Depreciation'!$D$7:$D$94,0),MATCH(Calculation!$G459,'Gen. Plant Depreciation'!$E$5:$AD$5,0))</f>
        <v>141319</v>
      </c>
      <c r="BQ459" s="113"/>
      <c r="BR459" s="113"/>
      <c r="BS459" s="113"/>
      <c r="BT459" s="113"/>
      <c r="BU459" s="113"/>
      <c r="BV459" s="113"/>
      <c r="BW459" s="113">
        <f>INDEX('Gross Dx Plant'!$E$7:$AD$91,MATCH($C459,'Gross Dx Plant'!$D$7:$D$91,0),MATCH(Calculation!$G459,'Gross Dx Plant'!$E$5:$AD$5,0))</f>
        <v>2019748</v>
      </c>
      <c r="BX459" s="113">
        <f>INDEX('Gross Gen Plant'!$E$7:$AD$91,MATCH($C459,'Gross Gen Plant'!$D$7:$D$91,0),MATCH(Calculation!$G459,'Gross Gen Plant'!$E$5:$AD$5,0))</f>
        <v>236881</v>
      </c>
      <c r="BY459" s="113">
        <f t="shared" si="753"/>
        <v>867704</v>
      </c>
      <c r="BZ459" s="113"/>
      <c r="CA459" s="116">
        <v>2004</v>
      </c>
      <c r="CB459" s="113"/>
      <c r="CC459" s="113"/>
      <c r="CD459" s="113"/>
      <c r="CE459" s="175"/>
      <c r="CF459" s="113">
        <f t="shared" si="848"/>
        <v>68757</v>
      </c>
      <c r="CG459" s="113">
        <f t="shared" si="849"/>
        <v>165.72456666086359</v>
      </c>
      <c r="CH459" s="178">
        <v>0.967741935483871</v>
      </c>
      <c r="CI459" s="61">
        <f>+CI453*CH459+CG454*CH458+CG455*CH457+CG456*CH456+CG457*CH455+CG458*CH454+CG459</f>
        <v>6305.5623877903745</v>
      </c>
      <c r="CJ459" s="114">
        <f t="shared" si="850"/>
        <v>2.0764612540605694E-2</v>
      </c>
      <c r="CK459" s="114"/>
      <c r="CL459" s="169">
        <f t="shared" si="851"/>
        <v>5.8520314628176208E-3</v>
      </c>
      <c r="CM459" s="169">
        <f t="shared" si="859"/>
        <v>5.7492651261556614E-3</v>
      </c>
      <c r="CN459" s="114">
        <f>VLOOKUP($H459,RoR!$E:$F,2,FALSE)</f>
        <v>5.6283333333333331E-2</v>
      </c>
      <c r="CO459" s="169">
        <v>2.6778252812867276E-2</v>
      </c>
      <c r="CP459" s="169">
        <f t="shared" si="857"/>
        <v>2.9505080520466055E-2</v>
      </c>
      <c r="CQ459" s="169">
        <f t="shared" si="860"/>
        <v>2.5152676482377963E-2</v>
      </c>
      <c r="CR459" s="169">
        <f t="shared" si="861"/>
        <v>5.5940039414565046E-2</v>
      </c>
      <c r="CS459" s="179">
        <f t="shared" si="852"/>
        <v>0.87050000000000005</v>
      </c>
      <c r="CT459" s="180">
        <f t="shared" si="853"/>
        <v>0.91114097628755619</v>
      </c>
      <c r="CU459" s="180">
        <f t="shared" si="854"/>
        <v>0.53081877405981637</v>
      </c>
      <c r="CV459" s="180">
        <f t="shared" si="855"/>
        <v>0.88811215519385678</v>
      </c>
      <c r="CW459" s="180">
        <f t="shared" si="856"/>
        <v>0.42953609753547711</v>
      </c>
      <c r="CX459" s="181">
        <f>INDEX('State Tax Lookup'!$D$7:$Z$91,MATCH(Calculation!$C459,'State Tax Lookup'!$B$7:$B$91,0),MATCH($H459,'State Tax Lookup'!$D$6:$Z$6,0))</f>
        <v>0.35</v>
      </c>
      <c r="CY459" s="72">
        <v>0.37</v>
      </c>
      <c r="CZ459" s="70">
        <f t="shared" si="858"/>
        <v>13.900657275395076</v>
      </c>
      <c r="DA459" s="70"/>
      <c r="DB459" s="69">
        <f t="shared" si="862"/>
        <v>0.1029069364526965</v>
      </c>
      <c r="DC459" s="111">
        <f>VLOOKUP($H459,RoR!$E:$F,2,FALSE)</f>
        <v>5.6283333333333331E-2</v>
      </c>
      <c r="DD459" s="216">
        <f>HLOOKUP($H459,'GDP-PI'!$D$8:$CQ$11,3,FALSE)</f>
        <v>2.6778252812867276E-2</v>
      </c>
      <c r="DE459" s="111">
        <f>VLOOKUP(H459,'HW Dx Data'!$E:$F,2,FALSE)</f>
        <v>414.88719135228365</v>
      </c>
      <c r="DF459" s="72">
        <f>VLOOKUP(G459,EG$8:EH$27,2,FALSE)</f>
        <v>94.35</v>
      </c>
      <c r="DG459" s="69"/>
      <c r="DH459" s="66">
        <f>HLOOKUP(H459,'GDP-PI'!$8:$9,2,FALSE)</f>
        <v>84.778000000000006</v>
      </c>
      <c r="DI459" s="69">
        <f t="shared" si="863"/>
        <v>2.6425990216022755E-2</v>
      </c>
      <c r="EB459"/>
    </row>
    <row r="460" spans="1:132" s="160" customFormat="1" ht="21">
      <c r="A460" s="160" t="s">
        <v>188</v>
      </c>
      <c r="B460" s="161" t="s">
        <v>188</v>
      </c>
      <c r="C460" s="161">
        <v>4057126</v>
      </c>
      <c r="D460" s="161" t="s">
        <v>184</v>
      </c>
      <c r="E460" s="161"/>
      <c r="F460" s="161"/>
      <c r="G460" s="161" t="s">
        <v>116</v>
      </c>
      <c r="H460" s="162">
        <v>2005</v>
      </c>
      <c r="I460" s="163"/>
      <c r="J460" s="159">
        <f>IFERROR(INDEX('Labor Expenditures'!$F$7:$X$91,MATCH($C460,'Labor Expenditures'!$D$7:$D$91,0),MATCH($G460,'Labor Expenditures'!$F$5:$X$5,0)),"NA")</f>
        <v>108802.75649349975</v>
      </c>
      <c r="K460" s="159">
        <f t="shared" si="864"/>
        <v>1096.5256386344142</v>
      </c>
      <c r="L460" s="165">
        <f t="shared" ref="L460:L476" si="870">LN(K460/K459)</f>
        <v>5.3505947721920168E-2</v>
      </c>
      <c r="M460" s="76"/>
      <c r="N460" s="62">
        <v>100</v>
      </c>
      <c r="O460" s="77"/>
      <c r="P460" s="77"/>
      <c r="Q460" s="159">
        <f>IFERROR(INDEX('Non-Labor Expenditures'!$F$7:$AB$91,MATCH($C460,'Non-Labor Expenditures'!$D$7:$D$91,0),MATCH($G460,'Non-Labor Expenditures'!$F$5:$AB$5,0)),"NA")</f>
        <v>157566.71295435604</v>
      </c>
      <c r="R460" s="159">
        <f t="shared" si="865"/>
        <v>1802.678423402657</v>
      </c>
      <c r="S460" s="165">
        <f>LN(R460/R459)</f>
        <v>7.3345378765756489E-2</v>
      </c>
      <c r="T460" s="165"/>
      <c r="U460" s="165"/>
      <c r="V460" s="165"/>
      <c r="W460" s="159">
        <f t="shared" si="846"/>
        <v>98463.610971506205</v>
      </c>
      <c r="X460" s="163"/>
      <c r="Y460" s="167">
        <v>6438.9245699463636</v>
      </c>
      <c r="Z460" s="168">
        <v>2.0929371376219013E-2</v>
      </c>
      <c r="AA460" s="76">
        <f t="shared" si="866"/>
        <v>0</v>
      </c>
      <c r="AB460" s="168"/>
      <c r="AC460" s="168"/>
      <c r="AD460" s="163">
        <f t="shared" si="811"/>
        <v>364833.080419362</v>
      </c>
      <c r="AE460" s="168">
        <f>LN(AD460/AD459)</f>
        <v>0.11273652942162449</v>
      </c>
      <c r="AF460" s="163"/>
      <c r="AG460" s="163"/>
      <c r="AH460" s="163"/>
      <c r="AI460" s="163"/>
      <c r="AJ460" s="116"/>
      <c r="AK460" s="114"/>
      <c r="AL460" s="115">
        <f t="shared" si="867"/>
        <v>0.29822612677675786</v>
      </c>
      <c r="AM460" s="115">
        <f t="shared" si="868"/>
        <v>0.43188713252986544</v>
      </c>
      <c r="AN460" s="115">
        <f t="shared" si="869"/>
        <v>0.2698867406933767</v>
      </c>
      <c r="AO460" s="115">
        <f t="shared" ref="AO460:AO476" si="871">+(((AL460+AL459)/2)*L460+((AM459+AM460)/2)*S460+((AN459+AN460)/2)*Z460)</f>
        <v>5.342618428985986E-2</v>
      </c>
      <c r="AP460" s="166">
        <v>100</v>
      </c>
      <c r="AQ460" s="168"/>
      <c r="AR460" s="16"/>
      <c r="AS460" s="115"/>
      <c r="AT460" s="115"/>
      <c r="AU460" s="115"/>
      <c r="AV460" s="113">
        <f>IFERROR(INDEX('Total Customers'!$F$7:$AB$91,MATCH($C460,'Total Customers'!$D$7:$D$91,0),MATCH($G460,'Total Customers'!$F$5:$AB$5,0)),"NA")</f>
        <v>1260591</v>
      </c>
      <c r="AW460" s="68">
        <f t="shared" si="844"/>
        <v>8.2467254235551301E-3</v>
      </c>
      <c r="AX460" s="114"/>
      <c r="AY460" s="114"/>
      <c r="AZ460" s="116"/>
      <c r="BA460" s="116"/>
      <c r="BB460" s="166"/>
      <c r="BC460" s="166"/>
      <c r="BD460" s="166"/>
      <c r="BE460" s="166"/>
      <c r="BF460" s="166"/>
      <c r="BG460" s="166"/>
      <c r="BH460" s="166"/>
      <c r="BI460" s="113"/>
      <c r="BJ460" s="113"/>
      <c r="BK460" s="113">
        <f>INDEX('Dist. Plant Gas Additions'!$F$7:$AE$91,MATCH($C460,'Dist. Plant Gas Additions'!$D$7:$D$91,0),MATCH(Calculation!$G460,'Dist. Plant Gas Additions'!$F$5:$AE$5,0))</f>
        <v>76034</v>
      </c>
      <c r="BL460" s="113">
        <f>INDEX('Gen. Plant Additions'!$F$7:$AE$91,MATCH($C460,'Gen. Plant Additions'!$D$7:$D$91,0),MATCH(Calculation!$G460,'Gen. Plant Additions'!$F$5:$AE$5,0))</f>
        <v>4437</v>
      </c>
      <c r="BM460" s="231">
        <f t="shared" si="847"/>
        <v>0.899152034948006</v>
      </c>
      <c r="BN460" s="61">
        <f>+BM460*BL460</f>
        <v>3989.5375790643025</v>
      </c>
      <c r="BO460" s="113">
        <f>INDEX('Dist Plant Depreciation'!$E$7:$AD$94,MATCH($C460,'Dist Plant Depreciation'!$D$7:$D$94,0),MATCH(Calculation!$G460,'Dist Plant Depreciation'!$E$5:$AD$5,0))</f>
        <v>1294393</v>
      </c>
      <c r="BP460" s="113">
        <f>INDEX('Gen. Plant Depreciation'!$E$7:$AD$94,MATCH($C460,'Gen. Plant Depreciation'!$D$7:$D$94,0),MATCH(Calculation!$G460,'Gen. Plant Depreciation'!$E$5:$AD$5,0))</f>
        <v>166820</v>
      </c>
      <c r="BQ460" s="113"/>
      <c r="BR460" s="113"/>
      <c r="BS460" s="113"/>
      <c r="BT460" s="113"/>
      <c r="BU460" s="113"/>
      <c r="BV460" s="113"/>
      <c r="BW460" s="113">
        <f>INDEX('Gross Dx Plant'!$E$7:$AD$91,MATCH($C460,'Gross Dx Plant'!$D$7:$D$91,0),MATCH(Calculation!$G460,'Gross Dx Plant'!$E$5:$AD$5,0))</f>
        <v>2085843</v>
      </c>
      <c r="BX460" s="113">
        <f>INDEX('Gross Gen Plant'!$E$7:$AD$91,MATCH($C460,'Gross Gen Plant'!$D$7:$D$91,0),MATCH(Calculation!$G460,'Gross Gen Plant'!$E$5:$AD$5,0))</f>
        <v>233946</v>
      </c>
      <c r="BY460" s="113">
        <f t="shared" si="753"/>
        <v>858576</v>
      </c>
      <c r="BZ460" s="113"/>
      <c r="CA460" s="116">
        <v>2005</v>
      </c>
      <c r="CB460" s="113"/>
      <c r="CC460" s="113"/>
      <c r="CD460" s="113"/>
      <c r="CE460" s="175"/>
      <c r="CF460" s="113">
        <f t="shared" si="848"/>
        <v>80471</v>
      </c>
      <c r="CG460" s="113">
        <f t="shared" si="849"/>
        <v>171.50494118645545</v>
      </c>
      <c r="CH460" s="178">
        <v>0.96174863387978138</v>
      </c>
      <c r="CI460" s="61">
        <f>+CI453*CH460+CG454*CH459+CG455*CH458+CG456*CH457+CG457*CH456+CG458*CH455+CG459*CH454+CG460</f>
        <v>6438.9245699463636</v>
      </c>
      <c r="CJ460" s="114">
        <f t="shared" si="850"/>
        <v>2.0929371376219013E-2</v>
      </c>
      <c r="CK460" s="114"/>
      <c r="CL460" s="169">
        <f t="shared" si="851"/>
        <v>6.0490653624049734E-3</v>
      </c>
      <c r="CM460" s="169">
        <f t="shared" si="859"/>
        <v>5.8551680424991882E-3</v>
      </c>
      <c r="CN460" s="114">
        <f>VLOOKUP($H460,RoR!$E:$F,2,FALSE)</f>
        <v>5.2350000000000001E-2</v>
      </c>
      <c r="CO460" s="169">
        <v>3.1010403642454332E-2</v>
      </c>
      <c r="CP460" s="169">
        <f t="shared" si="857"/>
        <v>2.1339596357545669E-2</v>
      </c>
      <c r="CQ460" s="169">
        <f t="shared" si="860"/>
        <v>2.5046773566034436E-2</v>
      </c>
      <c r="CR460" s="169">
        <f t="shared" si="861"/>
        <v>9.2129610649277341E-2</v>
      </c>
      <c r="CS460" s="179">
        <f t="shared" si="852"/>
        <v>0.87050000000000005</v>
      </c>
      <c r="CT460" s="180">
        <f t="shared" si="853"/>
        <v>0.97959983346802826</v>
      </c>
      <c r="CU460" s="180">
        <f t="shared" si="854"/>
        <v>0.49744508118433622</v>
      </c>
      <c r="CV460" s="180">
        <f t="shared" si="855"/>
        <v>0.87010519444335932</v>
      </c>
      <c r="CW460" s="180">
        <f t="shared" si="856"/>
        <v>0.42399975420741998</v>
      </c>
      <c r="CX460" s="181">
        <f>INDEX('State Tax Lookup'!$D$7:$Z$91,MATCH(Calculation!$C460,'State Tax Lookup'!$B$7:$B$91,0),MATCH($H460,'State Tax Lookup'!$D$6:$Z$6,0))</f>
        <v>0.35</v>
      </c>
      <c r="CY460" s="72">
        <v>0.37</v>
      </c>
      <c r="CZ460" s="70">
        <f t="shared" si="858"/>
        <v>15.615357507549822</v>
      </c>
      <c r="DA460" s="70"/>
      <c r="DB460" s="69">
        <f t="shared" si="862"/>
        <v>0.11631876059068384</v>
      </c>
      <c r="DC460" s="111">
        <f>VLOOKUP($H460,RoR!$E:$F,2,FALSE)</f>
        <v>5.2350000000000001E-2</v>
      </c>
      <c r="DD460" s="216">
        <f>HLOOKUP($H460,'GDP-PI'!$D$8:$CQ$11,3,FALSE)</f>
        <v>3.1010403642454332E-2</v>
      </c>
      <c r="DE460" s="111">
        <f>VLOOKUP(H460,'HW Dx Data'!$E:$F,2,FALSE)</f>
        <v>469.20514034936258</v>
      </c>
      <c r="DF460" s="72">
        <f t="shared" ref="DF460:DF478" si="872">VLOOKUP(G460,EG$8:EH$27,2,FALSE)</f>
        <v>99.224999999999994</v>
      </c>
      <c r="DG460" s="69">
        <f t="shared" ref="DG460:DG478" si="873">LN(DF460/DF459)</f>
        <v>5.0378726854569796E-2</v>
      </c>
      <c r="DH460" s="66">
        <f>HLOOKUP(H460,'GDP-PI'!$8:$9,2,FALSE)</f>
        <v>87.406999999999996</v>
      </c>
      <c r="DI460" s="69">
        <f t="shared" si="863"/>
        <v>3.0539295810733648E-2</v>
      </c>
      <c r="EB460"/>
    </row>
    <row r="461" spans="1:132" s="160" customFormat="1" ht="21">
      <c r="A461" s="160" t="s">
        <v>188</v>
      </c>
      <c r="B461" s="161" t="s">
        <v>188</v>
      </c>
      <c r="C461" s="161">
        <v>4057126</v>
      </c>
      <c r="D461" s="161" t="s">
        <v>184</v>
      </c>
      <c r="E461" s="161"/>
      <c r="F461" s="161"/>
      <c r="G461" s="161" t="s">
        <v>117</v>
      </c>
      <c r="H461" s="162">
        <v>2006</v>
      </c>
      <c r="I461" s="163"/>
      <c r="J461" s="159">
        <f>IFERROR(INDEX('Labor Expenditures'!$F$7:$X$91,MATCH($C461,'Labor Expenditures'!$D$7:$D$91,0),MATCH($G461,'Labor Expenditures'!$F$5:$X$5,0)),"NA")</f>
        <v>100515.0921945108</v>
      </c>
      <c r="K461" s="159">
        <f t="shared" si="864"/>
        <v>918.7851206079597</v>
      </c>
      <c r="L461" s="165">
        <f t="shared" si="870"/>
        <v>-0.17684967352361328</v>
      </c>
      <c r="M461" s="76">
        <f t="shared" ref="M461:M477" si="874">+L461*$AR461</f>
        <v>-7.6476851119079417E-3</v>
      </c>
      <c r="N461" s="62">
        <f>+N460*EXP(O461)</f>
        <v>106.97391477381429</v>
      </c>
      <c r="O461" s="96">
        <f t="shared" ref="O461:O477" si="875">+M461+M486+M511+M536+M561+M586+M611+M636+M661+M686+M711+M736+M761+M786+M811+M836+M861+M886+M911+M936+M961+M986+M1011+M1036+M1061+M1086+M1111+M1136+M1161+M1186+M1211+M1236+M1261+M1286+M1311+M1336+M1361+M1386+M1411+M1436+M1461+M1486+M1511+M1536+M1561+M1586+M1611+M1636+M1661+M1686+M1711+M1736+M1761+M1786</f>
        <v>6.7414831592280233E-2</v>
      </c>
      <c r="P461" s="96"/>
      <c r="Q461" s="159">
        <f>IFERROR(INDEX('Non-Labor Expenditures'!$F$7:$AB$91,MATCH($C461,'Non-Labor Expenditures'!$D$7:$D$91,0),MATCH($G461,'Non-Labor Expenditures'!$F$5:$AB$5,0)),"NA")</f>
        <v>145564.62712724859</v>
      </c>
      <c r="R461" s="159">
        <f t="shared" si="865"/>
        <v>1616.0559887120432</v>
      </c>
      <c r="S461" s="165">
        <f t="shared" ref="S461:S476" si="876">LN(R461/R460)</f>
        <v>-0.10928496593031591</v>
      </c>
      <c r="T461" s="165">
        <f t="shared" ref="T461:T477" si="877">+S461*AR461</f>
        <v>-4.7259177257630005E-3</v>
      </c>
      <c r="U461" s="165"/>
      <c r="V461" s="165"/>
      <c r="W461" s="159">
        <f t="shared" si="846"/>
        <v>98126.24671745504</v>
      </c>
      <c r="X461" s="163"/>
      <c r="Y461" s="167">
        <v>6614.3338571023314</v>
      </c>
      <c r="Z461" s="168">
        <v>2.6877556694818141E-2</v>
      </c>
      <c r="AA461" s="76">
        <f t="shared" si="866"/>
        <v>1.1622927319228371E-3</v>
      </c>
      <c r="AB461" s="168"/>
      <c r="AC461" s="168"/>
      <c r="AD461" s="163">
        <f t="shared" si="811"/>
        <v>344205.9660392144</v>
      </c>
      <c r="AE461" s="168">
        <f t="shared" ref="AE461:AE477" si="878">LN(AD461/AD460)</f>
        <v>-5.8199718375919543E-2</v>
      </c>
      <c r="AF461" s="163"/>
      <c r="AG461" s="163"/>
      <c r="AH461" s="163"/>
      <c r="AI461" s="163"/>
      <c r="AJ461" s="116">
        <f t="shared" ref="AJ461:AJ477" si="879">+(AD461*1000)/AV461</f>
        <v>273.14465309104747</v>
      </c>
      <c r="AK461" s="114">
        <f>+AV461/$AX$11</f>
        <v>3.6335275380218399E-2</v>
      </c>
      <c r="AL461" s="115">
        <f t="shared" si="867"/>
        <v>0.29202019172166066</v>
      </c>
      <c r="AM461" s="115">
        <f t="shared" si="868"/>
        <v>0.42289977946130319</v>
      </c>
      <c r="AN461" s="115">
        <f t="shared" si="869"/>
        <v>0.28508002881703626</v>
      </c>
      <c r="AO461" s="115">
        <f t="shared" si="871"/>
        <v>-9.1442038234169298E-2</v>
      </c>
      <c r="AP461" s="166">
        <f>+AP460*EXP(AO461)</f>
        <v>91.261421135025884</v>
      </c>
      <c r="AQ461" s="168">
        <f>LN(AP461/AP460)</f>
        <v>-9.1442038234169326E-2</v>
      </c>
      <c r="AR461" s="69">
        <f>+AD461/$AF$11</f>
        <v>4.3243987729990406E-2</v>
      </c>
      <c r="AS461" s="169">
        <f>+AR461*AQ461</f>
        <v>-3.9543183794037316E-3</v>
      </c>
      <c r="AT461" s="115"/>
      <c r="AU461" s="115"/>
      <c r="AV461" s="113">
        <f>IFERROR(INDEX('Total Customers'!$F$7:$AB$91,MATCH($C461,'Total Customers'!$D$7:$D$91,0),MATCH($G461,'Total Customers'!$F$5:$AB$5,0)),"NA")</f>
        <v>1260160</v>
      </c>
      <c r="AW461" s="68">
        <f t="shared" si="844"/>
        <v>-3.4196158541639781E-4</v>
      </c>
      <c r="AX461" s="114"/>
      <c r="AY461" s="114"/>
      <c r="AZ461" s="116"/>
      <c r="BA461" s="116"/>
      <c r="BB461" s="166"/>
      <c r="BC461" s="166"/>
      <c r="BD461" s="166"/>
      <c r="BE461" s="166"/>
      <c r="BF461" s="166"/>
      <c r="BG461" s="166"/>
      <c r="BH461" s="166"/>
      <c r="BI461" s="113"/>
      <c r="BJ461" s="113"/>
      <c r="BK461" s="113">
        <f>INDEX('Dist. Plant Gas Additions'!$F$7:$AE$91,MATCH($C461,'Dist. Plant Gas Additions'!$D$7:$D$91,0),MATCH(Calculation!$G461,'Dist. Plant Gas Additions'!$F$5:$AE$5,0))</f>
        <v>95326</v>
      </c>
      <c r="BL461" s="113">
        <f>INDEX('Gen. Plant Additions'!$F$7:$AE$91,MATCH($C461,'Gen. Plant Additions'!$D$7:$D$91,0),MATCH(Calculation!$G461,'Gen. Plant Additions'!$F$5:$AE$5,0))</f>
        <v>4114</v>
      </c>
      <c r="BM461" s="231">
        <f t="shared" si="847"/>
        <v>0.90397215856716695</v>
      </c>
      <c r="BN461" s="61">
        <f t="shared" ref="BN461:BN477" si="880">+BM461*BL461</f>
        <v>3718.9414603453247</v>
      </c>
      <c r="BO461" s="113">
        <f>INDEX('Dist Plant Depreciation'!$E$7:$AD$94,MATCH($C461,'Dist Plant Depreciation'!$D$7:$D$94,0),MATCH(Calculation!$G461,'Dist Plant Depreciation'!$E$5:$AD$5,0))</f>
        <v>1253416</v>
      </c>
      <c r="BP461" s="113">
        <f>INDEX('Gen. Plant Depreciation'!$E$7:$AD$94,MATCH($C461,'Gen. Plant Depreciation'!$D$7:$D$94,0),MATCH(Calculation!$G461,'Gen. Plant Depreciation'!$E$5:$AD$5,0))</f>
        <v>182394</v>
      </c>
      <c r="BQ461" s="113"/>
      <c r="BR461" s="113"/>
      <c r="BS461" s="113"/>
      <c r="BT461" s="113"/>
      <c r="BU461" s="113"/>
      <c r="BV461" s="113"/>
      <c r="BW461" s="113">
        <f>INDEX('Gross Dx Plant'!$E$7:$AD$91,MATCH($C461,'Gross Dx Plant'!$D$7:$D$91,0),MATCH(Calculation!$G461,'Gross Dx Plant'!$E$5:$AD$5,0))</f>
        <v>2175136</v>
      </c>
      <c r="BX461" s="113">
        <f>INDEX('Gross Gen Plant'!$E$7:$AD$91,MATCH($C461,'Gross Gen Plant'!$D$7:$D$91,0),MATCH(Calculation!$G461,'Gross Gen Plant'!$E$5:$AD$5,0))</f>
        <v>231062</v>
      </c>
      <c r="BY461" s="113">
        <f t="shared" si="753"/>
        <v>970388</v>
      </c>
      <c r="BZ461" s="114"/>
      <c r="CA461" s="116">
        <v>2006</v>
      </c>
      <c r="CB461" s="113"/>
      <c r="CC461" s="113"/>
      <c r="CD461" s="113"/>
      <c r="CE461" s="175"/>
      <c r="CF461" s="113">
        <f t="shared" si="848"/>
        <v>99440</v>
      </c>
      <c r="CG461" s="113">
        <f t="shared" si="849"/>
        <v>215.66490975808372</v>
      </c>
      <c r="CH461" s="178">
        <v>0.9555555555555556</v>
      </c>
      <c r="CI461" s="61">
        <f>+CI453*CH461+CG454*CH460+CG455*CH459+CG456*CH458+CG457*CH457+CG458*CH456+CG459*CH455+CG460*CH454+CG461</f>
        <v>6614.3338571023314</v>
      </c>
      <c r="CJ461" s="114">
        <f t="shared" si="850"/>
        <v>2.6877556694818141E-2</v>
      </c>
      <c r="CK461" s="114"/>
      <c r="CL461" s="169">
        <f t="shared" si="851"/>
        <v>6.251917096530178E-3</v>
      </c>
      <c r="CM461" s="169">
        <f t="shared" si="859"/>
        <v>6.051004640584258E-3</v>
      </c>
      <c r="CN461" s="114">
        <f>VLOOKUP($H461,RoR!$E:$F,2,FALSE)</f>
        <v>5.5874999999999994E-2</v>
      </c>
      <c r="CO461" s="169">
        <v>3.0512430354548314E-2</v>
      </c>
      <c r="CP461" s="169">
        <f t="shared" si="857"/>
        <v>2.536256964545168E-2</v>
      </c>
      <c r="CQ461" s="169">
        <f t="shared" si="860"/>
        <v>2.4850936967949367E-2</v>
      </c>
      <c r="CR461" s="169">
        <f t="shared" si="861"/>
        <v>7.9087823893859641E-2</v>
      </c>
      <c r="CS461" s="179">
        <f t="shared" si="852"/>
        <v>0.87050000000000005</v>
      </c>
      <c r="CT461" s="180">
        <f t="shared" si="853"/>
        <v>0.91779957551769631</v>
      </c>
      <c r="CU461" s="180">
        <f t="shared" si="854"/>
        <v>0.52757270693512304</v>
      </c>
      <c r="CV461" s="180">
        <f t="shared" si="855"/>
        <v>0.88636824549024895</v>
      </c>
      <c r="CW461" s="180">
        <f t="shared" si="856"/>
        <v>0.42918482841932087</v>
      </c>
      <c r="CX461" s="181">
        <f>INDEX('State Tax Lookup'!$D$7:$Z$91,MATCH(Calculation!$C461,'State Tax Lookup'!$B$7:$B$91,0),MATCH($H461,'State Tax Lookup'!$D$6:$Z$6,0))</f>
        <v>0.35</v>
      </c>
      <c r="CY461" s="72">
        <v>0.37</v>
      </c>
      <c r="CZ461" s="70">
        <f t="shared" si="858"/>
        <v>15.239539716843186</v>
      </c>
      <c r="DA461" s="70">
        <v>14.788696346247992</v>
      </c>
      <c r="DB461" s="69">
        <f t="shared" si="862"/>
        <v>-2.4361538113504159E-2</v>
      </c>
      <c r="DC461" s="111">
        <f>VLOOKUP($H461,RoR!$E:$F,2,FALSE)</f>
        <v>5.5874999999999994E-2</v>
      </c>
      <c r="DD461" s="216">
        <f>HLOOKUP($H461,'GDP-PI'!$D$8:$CQ$11,3,FALSE)</f>
        <v>3.0512430354548314E-2</v>
      </c>
      <c r="DE461" s="111">
        <f>VLOOKUP(H461,'HW Dx Data'!$E:$F,2,FALSE)</f>
        <v>461.08567272971823</v>
      </c>
      <c r="DF461" s="72">
        <f t="shared" si="872"/>
        <v>109.4</v>
      </c>
      <c r="DG461" s="69">
        <f t="shared" si="873"/>
        <v>9.7620891318751846E-2</v>
      </c>
      <c r="DH461" s="66">
        <f>HLOOKUP(H461,'GDP-PI'!$8:$9,2,FALSE)</f>
        <v>90.073999999999998</v>
      </c>
      <c r="DI461" s="69">
        <f t="shared" si="863"/>
        <v>3.005618372545445E-2</v>
      </c>
      <c r="EB461"/>
    </row>
    <row r="462" spans="1:132" s="160" customFormat="1" ht="21">
      <c r="A462" s="160" t="s">
        <v>188</v>
      </c>
      <c r="B462" s="161" t="s">
        <v>188</v>
      </c>
      <c r="C462" s="161">
        <v>4057126</v>
      </c>
      <c r="D462" s="161" t="s">
        <v>184</v>
      </c>
      <c r="E462" s="161"/>
      <c r="F462" s="161"/>
      <c r="G462" s="161" t="s">
        <v>118</v>
      </c>
      <c r="H462" s="162">
        <v>2007</v>
      </c>
      <c r="I462" s="163"/>
      <c r="J462" s="159">
        <f>IFERROR(INDEX('Labor Expenditures'!$F$7:$X$91,MATCH($C462,'Labor Expenditures'!$D$7:$D$91,0),MATCH($G462,'Labor Expenditures'!$F$5:$X$5,0)),"NA")</f>
        <v>105347.80068459222</v>
      </c>
      <c r="K462" s="159">
        <f t="shared" si="864"/>
        <v>1007.8718075540993</v>
      </c>
      <c r="L462" s="165">
        <f t="shared" si="870"/>
        <v>9.2543989189848908E-2</v>
      </c>
      <c r="M462" s="76">
        <f t="shared" si="874"/>
        <v>4.0295200857916732E-3</v>
      </c>
      <c r="N462" s="62">
        <f t="shared" ref="N462:N475" si="881">+N461*EXP(O462)</f>
        <v>117.67188791588364</v>
      </c>
      <c r="O462" s="96">
        <f t="shared" si="875"/>
        <v>9.5315122923160245E-2</v>
      </c>
      <c r="P462" s="96"/>
      <c r="Q462" s="159">
        <f>IFERROR(INDEX('Non-Labor Expenditures'!$F$7:$AB$91,MATCH($C462,'Non-Labor Expenditures'!$D$7:$D$91,0),MATCH($G462,'Non-Labor Expenditures'!$F$5:$AB$5,0)),"NA")</f>
        <v>152563.29164632474</v>
      </c>
      <c r="R462" s="159">
        <f t="shared" si="865"/>
        <v>1649.3685446855579</v>
      </c>
      <c r="S462" s="165">
        <f t="shared" si="876"/>
        <v>2.0403908494558681E-2</v>
      </c>
      <c r="T462" s="165">
        <f t="shared" si="877"/>
        <v>8.8842030505961777E-4</v>
      </c>
      <c r="U462" s="165"/>
      <c r="V462" s="165"/>
      <c r="W462" s="159">
        <f t="shared" si="846"/>
        <v>108176.24630822615</v>
      </c>
      <c r="X462" s="163"/>
      <c r="Y462" s="167">
        <v>6609.608453627764</v>
      </c>
      <c r="Z462" s="168">
        <v>-7.1467397008554139E-4</v>
      </c>
      <c r="AA462" s="76">
        <f t="shared" si="866"/>
        <v>-3.11181000782712E-5</v>
      </c>
      <c r="AB462" s="168"/>
      <c r="AC462" s="168"/>
      <c r="AD462" s="163">
        <f t="shared" si="811"/>
        <v>366087.3386391431</v>
      </c>
      <c r="AE462" s="168">
        <f t="shared" si="878"/>
        <v>6.1631718408196978E-2</v>
      </c>
      <c r="AF462" s="163"/>
      <c r="AG462" s="163"/>
      <c r="AH462" s="163"/>
      <c r="AI462" s="163"/>
      <c r="AJ462" s="116">
        <f t="shared" si="879"/>
        <v>292.36863412497064</v>
      </c>
      <c r="AK462" s="114">
        <f>+AV462/$AX$12</f>
        <v>3.5832283884963005E-2</v>
      </c>
      <c r="AL462" s="115">
        <f t="shared" si="867"/>
        <v>0.28776685114596351</v>
      </c>
      <c r="AM462" s="115">
        <f t="shared" si="868"/>
        <v>0.41674014789325531</v>
      </c>
      <c r="AN462" s="115">
        <f t="shared" si="869"/>
        <v>0.29549300096078124</v>
      </c>
      <c r="AO462" s="115">
        <f t="shared" si="871"/>
        <v>3.5186410820780147E-2</v>
      </c>
      <c r="AP462" s="166">
        <f>+AP461*EXP(AO462)</f>
        <v>94.529746105750263</v>
      </c>
      <c r="AQ462" s="168">
        <f>LN(AP462/AP461)</f>
        <v>3.5186410820780202E-2</v>
      </c>
      <c r="AR462" s="69">
        <f>+AD462/$AF$12</f>
        <v>4.3541672679846703E-2</v>
      </c>
      <c r="AS462" s="169">
        <f t="shared" ref="AS462:AS476" si="882">+AR462*AQ462</f>
        <v>1.5320751827370277E-3</v>
      </c>
      <c r="AT462" s="115"/>
      <c r="AU462" s="115"/>
      <c r="AV462" s="113">
        <f>IFERROR(INDEX('Total Customers'!$F$7:$AB$91,MATCH($C462,'Total Customers'!$D$7:$D$91,0),MATCH($G462,'Total Customers'!$F$5:$AB$5,0)),"NA")</f>
        <v>1252143</v>
      </c>
      <c r="AW462" s="68">
        <f t="shared" si="844"/>
        <v>-6.3822136205597636E-3</v>
      </c>
      <c r="AX462" s="114"/>
      <c r="AY462" s="114"/>
      <c r="AZ462" s="116"/>
      <c r="BA462" s="116"/>
      <c r="BB462" s="166"/>
      <c r="BC462" s="166"/>
      <c r="BD462" s="166"/>
      <c r="BE462" s="166"/>
      <c r="BF462" s="166"/>
      <c r="BG462" s="166"/>
      <c r="BH462" s="166"/>
      <c r="BI462" s="113"/>
      <c r="BJ462" s="113"/>
      <c r="BK462" s="113">
        <f>INDEX('Dist. Plant Gas Additions'!$F$7:$AE$91,MATCH($C462,'Dist. Plant Gas Additions'!$D$7:$D$91,0),MATCH(Calculation!$G462,'Dist. Plant Gas Additions'!$F$5:$AE$5,0))</f>
        <v>17300</v>
      </c>
      <c r="BL462" s="113">
        <f>INDEX('Gen. Plant Additions'!$F$7:$AE$91,MATCH($C462,'Gen. Plant Additions'!$D$7:$D$91,0),MATCH(Calculation!$G462,'Gen. Plant Additions'!$F$5:$AE$5,0))</f>
        <v>1601</v>
      </c>
      <c r="BM462" s="231">
        <f t="shared" si="847"/>
        <v>0.90793999277300952</v>
      </c>
      <c r="BN462" s="61">
        <f t="shared" si="880"/>
        <v>1453.6119284295883</v>
      </c>
      <c r="BO462" s="113">
        <f>INDEX('Dist Plant Depreciation'!$E$7:$AD$94,MATCH($C462,'Dist Plant Depreciation'!$D$7:$D$94,0),MATCH(Calculation!$G462,'Dist Plant Depreciation'!$E$5:$AD$5,0))</f>
        <v>1303573</v>
      </c>
      <c r="BP462" s="113">
        <f>INDEX('Gen. Plant Depreciation'!$E$7:$AD$94,MATCH($C462,'Gen. Plant Depreciation'!$D$7:$D$94,0),MATCH(Calculation!$G462,'Gen. Plant Depreciation'!$E$5:$AD$5,0))</f>
        <v>194922</v>
      </c>
      <c r="BQ462" s="113"/>
      <c r="BR462" s="113"/>
      <c r="BS462" s="113"/>
      <c r="BT462" s="113"/>
      <c r="BU462" s="113"/>
      <c r="BV462" s="113"/>
      <c r="BW462" s="113">
        <f>INDEX('Gross Dx Plant'!$E$7:$AD$91,MATCH($C462,'Gross Dx Plant'!$D$7:$D$91,0),MATCH(Calculation!$G462,'Gross Dx Plant'!$E$5:$AD$5,0))</f>
        <v>2191019</v>
      </c>
      <c r="BX462" s="113">
        <f>INDEX('Gross Gen Plant'!$E$7:$AD$91,MATCH($C462,'Gross Gen Plant'!$D$7:$D$91,0),MATCH(Calculation!$G462,'Gross Gen Plant'!$E$5:$AD$5,0))</f>
        <v>222157</v>
      </c>
      <c r="BY462" s="113">
        <f t="shared" si="753"/>
        <v>914681</v>
      </c>
      <c r="BZ462" s="113"/>
      <c r="CA462" s="116">
        <v>2007</v>
      </c>
      <c r="CB462" s="113"/>
      <c r="CC462" s="113"/>
      <c r="CD462" s="113"/>
      <c r="CE462" s="175"/>
      <c r="CF462" s="113">
        <f t="shared" si="848"/>
        <v>18901</v>
      </c>
      <c r="CG462" s="113">
        <f t="shared" si="849"/>
        <v>37.952114619375706</v>
      </c>
      <c r="CH462" s="178">
        <v>0.94915254237288138</v>
      </c>
      <c r="CI462" s="61">
        <f>+CI453*CH462+CG454*CH461+CG455*CH460+CG456*CH459+CG457*CH458+CG458*CH457+CG459*CH456+CG460*CH455+CG461*CH454+CG462</f>
        <v>6609.608453627764</v>
      </c>
      <c r="CJ462" s="114">
        <f t="shared" si="850"/>
        <v>-7.1467397008554139E-4</v>
      </c>
      <c r="CK462" s="114"/>
      <c r="CL462" s="169">
        <f t="shared" si="851"/>
        <v>6.4522775862178349E-3</v>
      </c>
      <c r="CM462" s="169">
        <f t="shared" si="859"/>
        <v>6.2510866817176618E-3</v>
      </c>
      <c r="CN462" s="114">
        <f>VLOOKUP($H462,RoR!$E:$F,2,FALSE)</f>
        <v>5.5558333333333321E-2</v>
      </c>
      <c r="CO462" s="169">
        <v>2.691120634145272E-2</v>
      </c>
      <c r="CP462" s="169">
        <f t="shared" si="857"/>
        <v>2.86471269918806E-2</v>
      </c>
      <c r="CQ462" s="169">
        <f t="shared" si="860"/>
        <v>2.4650854926815964E-2</v>
      </c>
      <c r="CR462" s="169">
        <f t="shared" si="861"/>
        <v>6.4575155250632399E-2</v>
      </c>
      <c r="CS462" s="179">
        <f t="shared" si="852"/>
        <v>0.87050000000000005</v>
      </c>
      <c r="CT462" s="180">
        <f t="shared" si="853"/>
        <v>0.92303077153834634</v>
      </c>
      <c r="CU462" s="180">
        <f t="shared" si="854"/>
        <v>0.52502249887505614</v>
      </c>
      <c r="CV462" s="180">
        <f t="shared" si="855"/>
        <v>0.88499666072084604</v>
      </c>
      <c r="CW462" s="180">
        <f t="shared" si="856"/>
        <v>0.42887993290280618</v>
      </c>
      <c r="CX462" s="181">
        <f>INDEX('State Tax Lookup'!$D$7:$Z$91,MATCH(Calculation!$C462,'State Tax Lookup'!$B$7:$B$91,0),MATCH($H462,'State Tax Lookup'!$D$6:$Z$6,0))</f>
        <v>0.35</v>
      </c>
      <c r="CY462" s="72">
        <v>0.37</v>
      </c>
      <c r="CZ462" s="70">
        <f t="shared" si="858"/>
        <v>16.354821006210443</v>
      </c>
      <c r="DA462" s="70">
        <v>16.108943221861779</v>
      </c>
      <c r="DB462" s="69">
        <f t="shared" si="862"/>
        <v>7.0629369149421861E-2</v>
      </c>
      <c r="DC462" s="111">
        <f>VLOOKUP($H462,RoR!$E:$F,2,FALSE)</f>
        <v>5.5558333333333321E-2</v>
      </c>
      <c r="DD462" s="216">
        <f>HLOOKUP($H462,'GDP-PI'!$D$8:$CQ$11,3,FALSE)</f>
        <v>2.691120634145272E-2</v>
      </c>
      <c r="DE462" s="111">
        <f>VLOOKUP(H462,'HW Dx Data'!$E:$F,2,FALSE)</f>
        <v>498.0223154772637</v>
      </c>
      <c r="DF462" s="72">
        <f t="shared" si="872"/>
        <v>104.52499999999999</v>
      </c>
      <c r="DG462" s="69">
        <f t="shared" si="873"/>
        <v>-4.5584612745252218E-2</v>
      </c>
      <c r="DH462" s="66">
        <f>HLOOKUP(H462,'GDP-PI'!$8:$9,2,FALSE)</f>
        <v>92.498000000000005</v>
      </c>
      <c r="DI462" s="69">
        <f t="shared" si="863"/>
        <v>2.6555467950038037E-2</v>
      </c>
      <c r="EB462"/>
    </row>
    <row r="463" spans="1:132" s="160" customFormat="1" ht="21">
      <c r="A463" s="160" t="s">
        <v>188</v>
      </c>
      <c r="B463" s="161" t="s">
        <v>188</v>
      </c>
      <c r="C463" s="161">
        <v>4057126</v>
      </c>
      <c r="D463" s="161" t="s">
        <v>184</v>
      </c>
      <c r="E463" s="161"/>
      <c r="F463" s="161"/>
      <c r="G463" s="161" t="s">
        <v>120</v>
      </c>
      <c r="H463" s="162">
        <v>2008</v>
      </c>
      <c r="I463" s="163"/>
      <c r="J463" s="159">
        <f>IFERROR(INDEX('Labor Expenditures'!$F$7:$X$91,MATCH($C463,'Labor Expenditures'!$D$7:$D$91,0),MATCH($G463,'Labor Expenditures'!$F$5:$X$5,0)),"NA")</f>
        <v>101662.61973125041</v>
      </c>
      <c r="K463" s="159">
        <f t="shared" si="864"/>
        <v>942.19295395042082</v>
      </c>
      <c r="L463" s="165">
        <f t="shared" si="870"/>
        <v>-6.7386177555399634E-2</v>
      </c>
      <c r="M463" s="76">
        <f t="shared" si="874"/>
        <v>-2.785153286932616E-3</v>
      </c>
      <c r="N463" s="62">
        <f t="shared" si="881"/>
        <v>108.84209338431391</v>
      </c>
      <c r="O463" s="96">
        <f t="shared" si="875"/>
        <v>-7.8001993179973722E-2</v>
      </c>
      <c r="P463" s="96"/>
      <c r="Q463" s="159">
        <f>IFERROR(INDEX('Non-Labor Expenditures'!$F$7:$AB$91,MATCH($C463,'Non-Labor Expenditures'!$D$7:$D$91,0),MATCH($G463,'Non-Labor Expenditures'!$F$5:$AB$5,0)),"NA")</f>
        <v>147226.46132902702</v>
      </c>
      <c r="R463" s="159">
        <f t="shared" si="865"/>
        <v>1561.852471028463</v>
      </c>
      <c r="S463" s="165">
        <f t="shared" si="876"/>
        <v>-5.4519916281971538E-2</v>
      </c>
      <c r="T463" s="165">
        <f t="shared" si="877"/>
        <v>-2.2533749434175566E-3</v>
      </c>
      <c r="U463" s="165"/>
      <c r="V463" s="165"/>
      <c r="W463" s="159">
        <f t="shared" si="846"/>
        <v>122636.65062498838</v>
      </c>
      <c r="X463" s="163"/>
      <c r="Y463" s="167">
        <v>6893.8794428609435</v>
      </c>
      <c r="Z463" s="168">
        <v>4.2109564034437864E-2</v>
      </c>
      <c r="AA463" s="76">
        <f t="shared" si="866"/>
        <v>1.7404398785699688E-3</v>
      </c>
      <c r="AB463" s="168"/>
      <c r="AC463" s="168"/>
      <c r="AD463" s="163">
        <f t="shared" si="811"/>
        <v>371525.73168526578</v>
      </c>
      <c r="AE463" s="168">
        <f t="shared" si="878"/>
        <v>1.4746190957962851E-2</v>
      </c>
      <c r="AF463" s="163"/>
      <c r="AG463" s="163"/>
      <c r="AH463" s="163"/>
      <c r="AI463" s="163"/>
      <c r="AJ463" s="116">
        <f t="shared" si="879"/>
        <v>299.17190417601023</v>
      </c>
      <c r="AK463" s="114">
        <f>+AV463/$AX$13</f>
        <v>3.5347640910365699E-2</v>
      </c>
      <c r="AL463" s="115">
        <f t="shared" si="867"/>
        <v>0.27363547410323885</v>
      </c>
      <c r="AM463" s="115">
        <f t="shared" si="868"/>
        <v>0.3962752745582328</v>
      </c>
      <c r="AN463" s="115">
        <f t="shared" si="869"/>
        <v>0.33008925133852846</v>
      </c>
      <c r="AO463" s="115">
        <f t="shared" si="871"/>
        <v>-2.7906646812629089E-2</v>
      </c>
      <c r="AP463" s="166">
        <f t="shared" ref="AP463:AP476" si="883">+AP462*EXP(AO463)</f>
        <v>91.928206820466698</v>
      </c>
      <c r="AQ463" s="168">
        <f t="shared" ref="AQ463:AQ476" si="884">LN(AP463/AP462)</f>
        <v>-2.7906646812629127E-2</v>
      </c>
      <c r="AR463" s="69">
        <f>+AD463/$AF$13</f>
        <v>4.1331225304223278E-2</v>
      </c>
      <c r="AS463" s="169">
        <f t="shared" si="882"/>
        <v>-1.1534159068981589E-3</v>
      </c>
      <c r="AT463" s="115"/>
      <c r="AU463" s="115"/>
      <c r="AV463" s="113">
        <f>IFERROR(INDEX('Total Customers'!$F$7:$AB$91,MATCH($C463,'Total Customers'!$D$7:$D$91,0),MATCH($G463,'Total Customers'!$F$5:$AB$5,0)),"NA")</f>
        <v>1241847</v>
      </c>
      <c r="AW463" s="68">
        <f t="shared" si="844"/>
        <v>-8.2566958908341145E-3</v>
      </c>
      <c r="AX463" s="114"/>
      <c r="AY463" s="114"/>
      <c r="AZ463" s="116"/>
      <c r="BA463" s="116"/>
      <c r="BB463" s="166"/>
      <c r="BC463" s="166"/>
      <c r="BD463" s="166"/>
      <c r="BE463" s="166"/>
      <c r="BF463" s="166"/>
      <c r="BG463" s="166"/>
      <c r="BH463" s="166"/>
      <c r="BI463" s="113"/>
      <c r="BJ463" s="113"/>
      <c r="BK463" s="113">
        <f>INDEX('Dist. Plant Gas Additions'!$F$7:$AE$91,MATCH($C463,'Dist. Plant Gas Additions'!$D$7:$D$91,0),MATCH(Calculation!$G463,'Dist. Plant Gas Additions'!$F$5:$AE$5,0))</f>
        <v>155119</v>
      </c>
      <c r="BL463" s="113">
        <f>INDEX('Gen. Plant Additions'!$F$7:$AE$91,MATCH($C463,'Gen. Plant Additions'!$D$7:$D$91,0),MATCH(Calculation!$G463,'Gen. Plant Additions'!$F$5:$AE$5,0))</f>
        <v>32137</v>
      </c>
      <c r="BM463" s="231">
        <f t="shared" si="847"/>
        <v>0.9013170244617299</v>
      </c>
      <c r="BN463" s="61">
        <f t="shared" si="880"/>
        <v>28965.625215126613</v>
      </c>
      <c r="BO463" s="113">
        <f>INDEX('Dist Plant Depreciation'!$E$7:$AD$94,MATCH($C463,'Dist Plant Depreciation'!$D$7:$D$94,0),MATCH(Calculation!$G463,'Dist Plant Depreciation'!$E$5:$AD$5,0))</f>
        <v>1298639</v>
      </c>
      <c r="BP463" s="113">
        <f>INDEX('Gen. Plant Depreciation'!$E$7:$AD$94,MATCH($C463,'Gen. Plant Depreciation'!$D$7:$D$94,0),MATCH(Calculation!$G463,'Gen. Plant Depreciation'!$E$5:$AD$5,0))</f>
        <v>207680</v>
      </c>
      <c r="BQ463" s="113"/>
      <c r="BR463" s="113"/>
      <c r="BS463" s="113"/>
      <c r="BT463" s="113"/>
      <c r="BU463" s="113"/>
      <c r="BV463" s="113"/>
      <c r="BW463" s="113">
        <f>INDEX('Gross Dx Plant'!$E$7:$AD$91,MATCH($C463,'Gross Dx Plant'!$D$7:$D$91,0),MATCH(Calculation!$G463,'Gross Dx Plant'!$E$5:$AD$5,0))</f>
        <v>2285484</v>
      </c>
      <c r="BX463" s="113">
        <f>INDEX('Gross Gen Plant'!$E$7:$AD$91,MATCH($C463,'Gross Gen Plant'!$D$7:$D$91,0),MATCH(Calculation!$G463,'Gross Gen Plant'!$E$5:$AD$5,0))</f>
        <v>250232</v>
      </c>
      <c r="BY463" s="113">
        <f t="shared" si="753"/>
        <v>1029397</v>
      </c>
      <c r="BZ463" s="113"/>
      <c r="CA463" s="116">
        <v>2008</v>
      </c>
      <c r="CB463" s="113"/>
      <c r="CC463" s="113"/>
      <c r="CD463" s="113"/>
      <c r="CE463" s="175"/>
      <c r="CF463" s="113">
        <f t="shared" si="848"/>
        <v>187256</v>
      </c>
      <c r="CG463" s="113">
        <f t="shared" si="849"/>
        <v>328.58778093418454</v>
      </c>
      <c r="CH463" s="178">
        <v>0.94252873563218387</v>
      </c>
      <c r="CI463" s="61">
        <f>+CI453*CH463+CG454*CH462+CG455*CH461+CG456*CH460+CG457*CH459+CG458*CH458+CG459*CH457+CG460*CH456+CG461*CH455+CG462*CH454+CG463</f>
        <v>6893.8794428609435</v>
      </c>
      <c r="CJ463" s="114">
        <f t="shared" si="850"/>
        <v>4.2109564034437864E-2</v>
      </c>
      <c r="CK463" s="114"/>
      <c r="CL463" s="169">
        <f t="shared" si="851"/>
        <v>6.7049042332728787E-3</v>
      </c>
      <c r="CM463" s="169">
        <f t="shared" si="859"/>
        <v>6.4696996386736302E-3</v>
      </c>
      <c r="CN463" s="114">
        <f>VLOOKUP($H463,RoR!$E:$F,2,FALSE)</f>
        <v>5.6316666666666668E-2</v>
      </c>
      <c r="CO463" s="169">
        <v>1.9092304698479889E-2</v>
      </c>
      <c r="CP463" s="169">
        <f t="shared" si="857"/>
        <v>3.7224361968186778E-2</v>
      </c>
      <c r="CQ463" s="169">
        <f t="shared" si="860"/>
        <v>2.4432241969859995E-2</v>
      </c>
      <c r="CR463" s="169">
        <f t="shared" si="861"/>
        <v>6.9030581091053131E-2</v>
      </c>
      <c r="CS463" s="179">
        <f t="shared" si="852"/>
        <v>0.87050000000000005</v>
      </c>
      <c r="CT463" s="180">
        <f t="shared" si="853"/>
        <v>0.91060168006009956</v>
      </c>
      <c r="CU463" s="180">
        <f t="shared" si="854"/>
        <v>0.53108168097070152</v>
      </c>
      <c r="CV463" s="180">
        <f t="shared" si="855"/>
        <v>0.88825329850328805</v>
      </c>
      <c r="CW463" s="180">
        <f t="shared" si="856"/>
        <v>0.4295627335323573</v>
      </c>
      <c r="CX463" s="181">
        <f>INDEX('State Tax Lookup'!$D$7:$Z$91,MATCH(Calculation!$C463,'State Tax Lookup'!$B$7:$B$91,0),MATCH($H463,'State Tax Lookup'!$D$6:$Z$6,0))</f>
        <v>0.35</v>
      </c>
      <c r="CY463" s="72">
        <v>0.37</v>
      </c>
      <c r="CZ463" s="70">
        <f t="shared" si="858"/>
        <v>18.554298864356749</v>
      </c>
      <c r="DA463" s="70">
        <v>18.300102035478151</v>
      </c>
      <c r="DB463" s="69">
        <f t="shared" si="862"/>
        <v>0.12617879026910014</v>
      </c>
      <c r="DC463" s="111">
        <f>VLOOKUP($H463,RoR!$E:$F,2,FALSE)</f>
        <v>5.6316666666666668E-2</v>
      </c>
      <c r="DD463" s="216">
        <f>HLOOKUP($H463,'GDP-PI'!$D$8:$CQ$11,3,FALSE)</f>
        <v>1.9092304698479889E-2</v>
      </c>
      <c r="DE463" s="111">
        <f>VLOOKUP(H463,'HW Dx Data'!$E:$F,2,FALSE)</f>
        <v>569.88120333515076</v>
      </c>
      <c r="DF463" s="72">
        <f t="shared" si="872"/>
        <v>107.9</v>
      </c>
      <c r="DG463" s="69">
        <f t="shared" si="873"/>
        <v>3.1778595021460486E-2</v>
      </c>
      <c r="DH463" s="66">
        <f>HLOOKUP(H463,'GDP-PI'!$8:$9,2,FALSE)</f>
        <v>94.263999999999996</v>
      </c>
      <c r="DI463" s="69">
        <f t="shared" si="863"/>
        <v>1.8912333748032254E-2</v>
      </c>
      <c r="EB463"/>
    </row>
    <row r="464" spans="1:132" s="160" customFormat="1" ht="21">
      <c r="A464" s="160" t="s">
        <v>188</v>
      </c>
      <c r="B464" s="161" t="s">
        <v>188</v>
      </c>
      <c r="C464" s="161">
        <v>4057126</v>
      </c>
      <c r="D464" s="161" t="s">
        <v>184</v>
      </c>
      <c r="E464" s="161"/>
      <c r="F464" s="161"/>
      <c r="G464" s="161" t="s">
        <v>125</v>
      </c>
      <c r="H464" s="162">
        <v>2009</v>
      </c>
      <c r="I464" s="163"/>
      <c r="J464" s="159">
        <f>IFERROR(INDEX('Labor Expenditures'!$F$7:$X$91,MATCH($C464,'Labor Expenditures'!$D$7:$D$91,0),MATCH($G464,'Labor Expenditures'!$F$5:$X$5,0)),"NA")</f>
        <v>97983.402139575235</v>
      </c>
      <c r="K464" s="159">
        <f t="shared" si="864"/>
        <v>883.33019733671608</v>
      </c>
      <c r="L464" s="165">
        <f t="shared" si="870"/>
        <v>-6.4511007821939581E-2</v>
      </c>
      <c r="M464" s="76">
        <f t="shared" si="874"/>
        <v>-2.4941973763682409E-3</v>
      </c>
      <c r="N464" s="62">
        <f t="shared" si="881"/>
        <v>116.60157273734917</v>
      </c>
      <c r="O464" s="96">
        <f t="shared" si="875"/>
        <v>6.8864614815325076E-2</v>
      </c>
      <c r="P464" s="96"/>
      <c r="Q464" s="159">
        <f>IFERROR(INDEX('Non-Labor Expenditures'!$F$7:$AB$91,MATCH($C464,'Non-Labor Expenditures'!$D$7:$D$91,0),MATCH($G464,'Non-Labor Expenditures'!$F$5:$AB$5,0)),"NA")</f>
        <v>141898.26707322494</v>
      </c>
      <c r="R464" s="159">
        <f t="shared" si="865"/>
        <v>1493.6816921570221</v>
      </c>
      <c r="S464" s="165">
        <f t="shared" si="876"/>
        <v>-4.4628591639365063E-2</v>
      </c>
      <c r="T464" s="165">
        <f t="shared" si="877"/>
        <v>-1.7254809672971444E-3</v>
      </c>
      <c r="U464" s="165"/>
      <c r="V464" s="165"/>
      <c r="W464" s="159">
        <f t="shared" si="846"/>
        <v>122609.69642035311</v>
      </c>
      <c r="X464" s="163"/>
      <c r="Y464" s="167">
        <v>7028.5285523427792</v>
      </c>
      <c r="Z464" s="168">
        <v>1.9343393461586356E-2</v>
      </c>
      <c r="AA464" s="76">
        <f t="shared" si="866"/>
        <v>7.478761044179377E-4</v>
      </c>
      <c r="AB464" s="168"/>
      <c r="AC464" s="168"/>
      <c r="AD464" s="163">
        <f t="shared" si="811"/>
        <v>362491.36563315324</v>
      </c>
      <c r="AE464" s="168">
        <f t="shared" si="878"/>
        <v>-2.4617470985245513E-2</v>
      </c>
      <c r="AF464" s="163"/>
      <c r="AG464" s="163"/>
      <c r="AH464" s="163"/>
      <c r="AI464" s="163"/>
      <c r="AJ464" s="116">
        <f t="shared" si="879"/>
        <v>295.33222663247517</v>
      </c>
      <c r="AK464" s="114">
        <f>+AV464/$AX$14</f>
        <v>3.4891945727392404E-2</v>
      </c>
      <c r="AL464" s="115">
        <f t="shared" si="867"/>
        <v>0.27030547877583361</v>
      </c>
      <c r="AM464" s="115">
        <f t="shared" si="868"/>
        <v>0.39145281936681531</v>
      </c>
      <c r="AN464" s="115">
        <f t="shared" si="869"/>
        <v>0.3382417018573512</v>
      </c>
      <c r="AO464" s="115">
        <f t="shared" si="871"/>
        <v>-2.8658792951133268E-2</v>
      </c>
      <c r="AP464" s="166">
        <f t="shared" si="883"/>
        <v>89.331048838369426</v>
      </c>
      <c r="AQ464" s="168">
        <f t="shared" si="884"/>
        <v>-2.865879295113323E-2</v>
      </c>
      <c r="AR464" s="69">
        <f>+AD464/$AF$14</f>
        <v>3.8663128364892607E-2</v>
      </c>
      <c r="AS464" s="169">
        <f t="shared" si="882"/>
        <v>-1.1080385906525436E-3</v>
      </c>
      <c r="AT464" s="115"/>
      <c r="AU464" s="115"/>
      <c r="AV464" s="113">
        <f>IFERROR(INDEX('Total Customers'!$F$7:$AB$91,MATCH($C464,'Total Customers'!$D$7:$D$91,0),MATCH($G464,'Total Customers'!$F$5:$AB$5,0)),"NA")</f>
        <v>1227402</v>
      </c>
      <c r="AW464" s="68">
        <f t="shared" si="844"/>
        <v>-1.1700047084994574E-2</v>
      </c>
      <c r="AX464" s="114"/>
      <c r="AY464" s="114"/>
      <c r="AZ464" s="116"/>
      <c r="BA464" s="116"/>
      <c r="BB464" s="166"/>
      <c r="BC464" s="166"/>
      <c r="BD464" s="166"/>
      <c r="BE464" s="166"/>
      <c r="BF464" s="166"/>
      <c r="BG464" s="166"/>
      <c r="BH464" s="166"/>
      <c r="BI464" s="113"/>
      <c r="BJ464" s="113"/>
      <c r="BK464" s="113">
        <f>INDEX('Dist. Plant Gas Additions'!$F$7:$AE$91,MATCH($C464,'Dist. Plant Gas Additions'!$D$7:$D$91,0),MATCH(Calculation!$G464,'Dist. Plant Gas Additions'!$F$5:$AE$5,0))</f>
        <v>84063</v>
      </c>
      <c r="BL464" s="113">
        <f>INDEX('Gen. Plant Additions'!$F$7:$AE$91,MATCH($C464,'Gen. Plant Additions'!$D$7:$D$91,0),MATCH(Calculation!$G464,'Gen. Plant Additions'!$F$5:$AE$5,0))</f>
        <v>16281</v>
      </c>
      <c r="BM464" s="231">
        <f t="shared" si="847"/>
        <v>0.92078850651520217</v>
      </c>
      <c r="BN464" s="61">
        <f t="shared" si="880"/>
        <v>14991.357674574007</v>
      </c>
      <c r="BO464" s="113">
        <f>INDEX('Dist Plant Depreciation'!$E$7:$AD$94,MATCH($C464,'Dist Plant Depreciation'!$D$7:$D$94,0),MATCH(Calculation!$G464,'Dist Plant Depreciation'!$E$5:$AD$5,0))</f>
        <v>1324505</v>
      </c>
      <c r="BP464" s="113">
        <f>INDEX('Gen. Plant Depreciation'!$E$7:$AD$94,MATCH($C464,'Gen. Plant Depreciation'!$D$7:$D$94,0),MATCH(Calculation!$G464,'Gen. Plant Depreciation'!$E$5:$AD$5,0))</f>
        <v>160857</v>
      </c>
      <c r="BQ464" s="113"/>
      <c r="BR464" s="113"/>
      <c r="BS464" s="113"/>
      <c r="BT464" s="113"/>
      <c r="BU464" s="113"/>
      <c r="BV464" s="113"/>
      <c r="BW464" s="113">
        <f>INDEX('Gross Dx Plant'!$E$7:$AD$91,MATCH($C464,'Gross Dx Plant'!$D$7:$D$91,0),MATCH(Calculation!$G464,'Gross Dx Plant'!$E$5:$AD$5,0))</f>
        <v>2342532</v>
      </c>
      <c r="BX464" s="113">
        <f>INDEX('Gross Gen Plant'!$E$7:$AD$91,MATCH($C464,'Gross Gen Plant'!$D$7:$D$91,0),MATCH(Calculation!$G464,'Gross Gen Plant'!$E$5:$AD$5,0))</f>
        <v>201518</v>
      </c>
      <c r="BY464" s="113">
        <f t="shared" si="753"/>
        <v>1058688</v>
      </c>
      <c r="BZ464" s="113"/>
      <c r="CA464" s="116">
        <v>2009</v>
      </c>
      <c r="CB464" s="113"/>
      <c r="CC464" s="113"/>
      <c r="CD464" s="113"/>
      <c r="CE464" s="175"/>
      <c r="CF464" s="113">
        <f t="shared" si="848"/>
        <v>100344</v>
      </c>
      <c r="CG464" s="113">
        <f t="shared" si="849"/>
        <v>182.13214509530894</v>
      </c>
      <c r="CH464" s="178">
        <v>0.93567251461988299</v>
      </c>
      <c r="CI464" s="61">
        <f>+CI453*CH464+CG454*CH463+CG455*CH462+CG456*CH461+CG457*CH460+CG458*CH459+CG459*CH458+CG460*CH457+CG461*CH456+CG462*CH455+CG463*CH454+CG464</f>
        <v>7028.5285523427792</v>
      </c>
      <c r="CJ464" s="114">
        <f t="shared" si="850"/>
        <v>1.9343393461586356E-2</v>
      </c>
      <c r="CK464" s="114"/>
      <c r="CL464" s="169">
        <f t="shared" si="851"/>
        <v>6.8877090188522215E-3</v>
      </c>
      <c r="CM464" s="169">
        <f t="shared" si="859"/>
        <v>6.6816302794476456E-3</v>
      </c>
      <c r="CN464" s="114">
        <f>VLOOKUP($H464,RoR!$E:$F,2,FALSE)</f>
        <v>5.3133333333333324E-2</v>
      </c>
      <c r="CO464" s="169">
        <v>7.7972502758210105E-3</v>
      </c>
      <c r="CP464" s="169">
        <f t="shared" si="857"/>
        <v>4.5336083057512314E-2</v>
      </c>
      <c r="CQ464" s="169">
        <f t="shared" si="860"/>
        <v>2.4220311329085979E-2</v>
      </c>
      <c r="CR464" s="169">
        <f t="shared" si="861"/>
        <v>6.3720160300892073E-2</v>
      </c>
      <c r="CS464" s="179">
        <f t="shared" si="852"/>
        <v>0.87050000000000005</v>
      </c>
      <c r="CT464" s="180">
        <f t="shared" si="853"/>
        <v>0.96515780330083989</v>
      </c>
      <c r="CU464" s="180">
        <f t="shared" si="854"/>
        <v>0.50448557089084056</v>
      </c>
      <c r="CV464" s="180">
        <f t="shared" si="855"/>
        <v>0.87391435735465484</v>
      </c>
      <c r="CW464" s="180">
        <f t="shared" si="856"/>
        <v>0.42551605393279146</v>
      </c>
      <c r="CX464" s="181">
        <f>INDEX('State Tax Lookup'!$D$7:$Z$91,MATCH(Calculation!$C464,'State Tax Lookup'!$B$7:$B$91,0),MATCH($H464,'State Tax Lookup'!$D$6:$Z$6,0))</f>
        <v>0.35</v>
      </c>
      <c r="CY464" s="72">
        <v>0.37</v>
      </c>
      <c r="CZ464" s="70">
        <f t="shared" si="858"/>
        <v>17.785297441968375</v>
      </c>
      <c r="DA464" s="70">
        <v>17.478615056163342</v>
      </c>
      <c r="DB464" s="69">
        <f t="shared" si="862"/>
        <v>-4.2329377337009415E-2</v>
      </c>
      <c r="DC464" s="111">
        <f>VLOOKUP($H464,RoR!$E:$F,2,FALSE)</f>
        <v>5.3133333333333324E-2</v>
      </c>
      <c r="DD464" s="216">
        <f>HLOOKUP($H464,'GDP-PI'!$D$8:$CQ$11,3,FALSE)</f>
        <v>7.7972502758210105E-3</v>
      </c>
      <c r="DE464" s="111">
        <f>VLOOKUP(H464,'HW Dx Data'!$E:$F,2,FALSE)</f>
        <v>550.94063679692806</v>
      </c>
      <c r="DF464" s="72">
        <f t="shared" si="872"/>
        <v>110.925</v>
      </c>
      <c r="DG464" s="69">
        <f t="shared" si="873"/>
        <v>2.7649425000884052E-2</v>
      </c>
      <c r="DH464" s="66">
        <f>HLOOKUP(H464,'GDP-PI'!$8:$9,2,FALSE)</f>
        <v>94.998999999999995</v>
      </c>
      <c r="DI464" s="69">
        <f t="shared" si="863"/>
        <v>7.7670088183096342E-3</v>
      </c>
      <c r="EB464"/>
    </row>
    <row r="465" spans="1:132" s="160" customFormat="1" ht="21">
      <c r="A465" s="160" t="s">
        <v>188</v>
      </c>
      <c r="B465" s="161" t="s">
        <v>188</v>
      </c>
      <c r="C465" s="161">
        <v>4057126</v>
      </c>
      <c r="D465" s="161" t="s">
        <v>184</v>
      </c>
      <c r="E465" s="161"/>
      <c r="F465" s="161"/>
      <c r="G465" s="161" t="s">
        <v>126</v>
      </c>
      <c r="H465" s="162">
        <v>2010</v>
      </c>
      <c r="I465" s="163"/>
      <c r="J465" s="159">
        <f>IFERROR(INDEX('Labor Expenditures'!$F$7:$X$91,MATCH($C465,'Labor Expenditures'!$D$7:$D$91,0),MATCH($G465,'Labor Expenditures'!$F$5:$X$5,0)),"NA")</f>
        <v>104694.38790479938</v>
      </c>
      <c r="K465" s="159">
        <f t="shared" si="864"/>
        <v>895.39780119563295</v>
      </c>
      <c r="L465" s="165">
        <f t="shared" si="870"/>
        <v>1.3569010015692445E-2</v>
      </c>
      <c r="M465" s="76">
        <f t="shared" si="874"/>
        <v>5.3670386472804408E-4</v>
      </c>
      <c r="N465" s="62">
        <f t="shared" si="881"/>
        <v>96.545971733548797</v>
      </c>
      <c r="O465" s="96">
        <f t="shared" si="875"/>
        <v>-0.18874347621088877</v>
      </c>
      <c r="P465" s="96"/>
      <c r="Q465" s="159">
        <f>IFERROR(INDEX('Non-Labor Expenditures'!$F$7:$AB$91,MATCH($C465,'Non-Labor Expenditures'!$D$7:$D$91,0),MATCH($G465,'Non-Labor Expenditures'!$F$5:$AB$5,0)),"NA")</f>
        <v>151617.02790051163</v>
      </c>
      <c r="R465" s="159">
        <f t="shared" si="865"/>
        <v>1577.5528608196073</v>
      </c>
      <c r="S465" s="165">
        <f t="shared" si="876"/>
        <v>5.4630817555518393E-2</v>
      </c>
      <c r="T465" s="165">
        <f t="shared" si="877"/>
        <v>2.1608482034717645E-3</v>
      </c>
      <c r="U465" s="165"/>
      <c r="V465" s="165"/>
      <c r="W465" s="159">
        <f t="shared" si="846"/>
        <v>128073.76013862103</v>
      </c>
      <c r="X465" s="163"/>
      <c r="Y465" s="167">
        <v>7141.3961432488741</v>
      </c>
      <c r="Z465" s="168">
        <v>1.593092135861909E-2</v>
      </c>
      <c r="AA465" s="76">
        <f t="shared" si="866"/>
        <v>6.3012607787607121E-4</v>
      </c>
      <c r="AB465" s="168"/>
      <c r="AC465" s="168"/>
      <c r="AD465" s="163">
        <f t="shared" si="811"/>
        <v>384385.17594393203</v>
      </c>
      <c r="AE465" s="168">
        <f t="shared" si="878"/>
        <v>5.8644457142797257E-2</v>
      </c>
      <c r="AF465" s="163"/>
      <c r="AG465" s="163"/>
      <c r="AH465" s="163"/>
      <c r="AI465" s="163"/>
      <c r="AJ465" s="116">
        <f t="shared" si="879"/>
        <v>315.7370048708928</v>
      </c>
      <c r="AK465" s="114">
        <f>+AV465/$AX$15</f>
        <v>3.4418883530853366E-2</v>
      </c>
      <c r="AL465" s="115">
        <f t="shared" si="867"/>
        <v>0.27236843264754446</v>
      </c>
      <c r="AM465" s="115">
        <f t="shared" si="868"/>
        <v>0.39444036187968678</v>
      </c>
      <c r="AN465" s="115">
        <f t="shared" si="869"/>
        <v>0.33319120547276876</v>
      </c>
      <c r="AO465" s="115">
        <f t="shared" si="871"/>
        <v>3.0497039793213769E-2</v>
      </c>
      <c r="AP465" s="166">
        <f t="shared" si="883"/>
        <v>92.097348971235064</v>
      </c>
      <c r="AQ465" s="168">
        <f t="shared" si="884"/>
        <v>3.0497039793213707E-2</v>
      </c>
      <c r="AR465" s="69">
        <f>+AD465/$AF$15</f>
        <v>3.9553649389848677E-2</v>
      </c>
      <c r="AS465" s="169">
        <f t="shared" si="882"/>
        <v>1.2062692194090381E-3</v>
      </c>
      <c r="AT465" s="115"/>
      <c r="AU465" s="115"/>
      <c r="AV465" s="113">
        <f>IFERROR(INDEX('Total Customers'!$F$7:$AB$91,MATCH($C465,'Total Customers'!$D$7:$D$91,0),MATCH($G465,'Total Customers'!$F$5:$AB$5,0)),"NA")</f>
        <v>1217422</v>
      </c>
      <c r="AW465" s="68">
        <f t="shared" si="844"/>
        <v>-8.1642322182868075E-3</v>
      </c>
      <c r="AX465" s="114"/>
      <c r="AY465" s="114"/>
      <c r="AZ465" s="116"/>
      <c r="BA465" s="116"/>
      <c r="BB465" s="166"/>
      <c r="BC465" s="166"/>
      <c r="BD465" s="166"/>
      <c r="BE465" s="166"/>
      <c r="BF465" s="166"/>
      <c r="BG465" s="166"/>
      <c r="BH465" s="166"/>
      <c r="BI465" s="113"/>
      <c r="BJ465" s="113"/>
      <c r="BK465" s="113">
        <f>INDEX('Dist. Plant Gas Additions'!$F$7:$AE$91,MATCH($C465,'Dist. Plant Gas Additions'!$D$7:$D$91,0),MATCH(Calculation!$G465,'Dist. Plant Gas Additions'!$F$5:$AE$5,0))</f>
        <v>88996</v>
      </c>
      <c r="BL465" s="113">
        <f>INDEX('Gen. Plant Additions'!$F$7:$AE$91,MATCH($C465,'Gen. Plant Additions'!$D$7:$D$91,0),MATCH(Calculation!$G465,'Gen. Plant Additions'!$F$5:$AE$5,0))</f>
        <v>3703</v>
      </c>
      <c r="BM465" s="231">
        <f t="shared" si="847"/>
        <v>0.93112008144692449</v>
      </c>
      <c r="BN465" s="61">
        <f t="shared" si="880"/>
        <v>3447.9376615979613</v>
      </c>
      <c r="BO465" s="113">
        <f>INDEX('Dist Plant Depreciation'!$E$7:$AD$94,MATCH($C465,'Dist Plant Depreciation'!$D$7:$D$94,0),MATCH(Calculation!$G465,'Dist Plant Depreciation'!$E$5:$AD$5,0))</f>
        <v>1337175</v>
      </c>
      <c r="BP465" s="113">
        <f>INDEX('Gen. Plant Depreciation'!$E$7:$AD$94,MATCH($C465,'Gen. Plant Depreciation'!$D$7:$D$94,0),MATCH(Calculation!$G465,'Gen. Plant Depreciation'!$E$5:$AD$5,0))</f>
        <v>147062</v>
      </c>
      <c r="BQ465" s="113"/>
      <c r="BR465" s="113"/>
      <c r="BS465" s="113"/>
      <c r="BT465" s="113"/>
      <c r="BU465" s="113"/>
      <c r="BV465" s="113"/>
      <c r="BW465" s="113">
        <f>INDEX('Gross Dx Plant'!$E$7:$AD$91,MATCH($C465,'Gross Dx Plant'!$D$7:$D$91,0),MATCH(Calculation!$G465,'Gross Dx Plant'!$E$5:$AD$5,0))</f>
        <v>2399854</v>
      </c>
      <c r="BX465" s="113">
        <f>INDEX('Gross Gen Plant'!$E$7:$AD$91,MATCH($C465,'Gross Gen Plant'!$D$7:$D$91,0),MATCH(Calculation!$G465,'Gross Gen Plant'!$E$5:$AD$5,0))</f>
        <v>177530</v>
      </c>
      <c r="BY465" s="113">
        <f t="shared" ref="BY465:BY509" si="885">IF(OR(BO465="NA",BP465="NA"),"NA",(SUM(BW465:BX465)-SUM(BO465:BP465)))</f>
        <v>1093147</v>
      </c>
      <c r="BZ465" s="113"/>
      <c r="CA465" s="116">
        <v>2010</v>
      </c>
      <c r="CB465" s="113"/>
      <c r="CC465" s="113"/>
      <c r="CD465" s="113"/>
      <c r="CE465" s="175"/>
      <c r="CF465" s="113">
        <f t="shared" si="848"/>
        <v>92699</v>
      </c>
      <c r="CG465" s="113">
        <f t="shared" si="849"/>
        <v>162.91864713069396</v>
      </c>
      <c r="CH465" s="178">
        <v>0.9285714285714286</v>
      </c>
      <c r="CI465" s="61">
        <f>+CI453*CH465+CG454*CH464+CG455*CH463+CG456*CH462+CG457*CH461+CG458*CH460+CG459*CH459+CG460*CH458+CG461*CH457+CG462*CH456+CG463*CH455+CG464*CH454+CG465</f>
        <v>7141.3961432488741</v>
      </c>
      <c r="CJ465" s="114">
        <f t="shared" si="850"/>
        <v>1.593092135861909E-2</v>
      </c>
      <c r="CK465" s="114"/>
      <c r="CL465" s="169">
        <f t="shared" si="851"/>
        <v>7.1211286760606354E-3</v>
      </c>
      <c r="CM465" s="169">
        <f t="shared" si="859"/>
        <v>6.9045806427285783E-3</v>
      </c>
      <c r="CN465" s="114">
        <f>VLOOKUP($H465,RoR!$E:$F,2,FALSE)</f>
        <v>4.9433333333333322E-2</v>
      </c>
      <c r="CO465" s="169">
        <v>1.1684333519300205E-2</v>
      </c>
      <c r="CP465" s="169">
        <f t="shared" si="857"/>
        <v>3.7748999814033117E-2</v>
      </c>
      <c r="CQ465" s="169">
        <f t="shared" si="860"/>
        <v>2.3997360965805046E-2</v>
      </c>
      <c r="CR465" s="169">
        <f t="shared" si="861"/>
        <v>4.7937530248493419E-2</v>
      </c>
      <c r="CS465" s="179">
        <f t="shared" si="852"/>
        <v>0.87050000000000005</v>
      </c>
      <c r="CT465" s="180">
        <f t="shared" si="853"/>
        <v>1.037398205301105</v>
      </c>
      <c r="CU465" s="180">
        <f t="shared" si="854"/>
        <v>0.46926837491571133</v>
      </c>
      <c r="CV465" s="180">
        <f t="shared" si="855"/>
        <v>0.8548537519972772</v>
      </c>
      <c r="CW465" s="180">
        <f t="shared" si="856"/>
        <v>0.41615833911547367</v>
      </c>
      <c r="CX465" s="181">
        <f>INDEX('State Tax Lookup'!$D$7:$Z$91,MATCH(Calculation!$C465,'State Tax Lookup'!$B$7:$B$91,0),MATCH($H465,'State Tax Lookup'!$D$6:$Z$6,0))</f>
        <v>0.35</v>
      </c>
      <c r="CY465" s="72">
        <v>0.37</v>
      </c>
      <c r="CZ465" s="70">
        <f t="shared" si="858"/>
        <v>18.221987601648276</v>
      </c>
      <c r="DA465" s="70">
        <v>17.956102603965455</v>
      </c>
      <c r="DB465" s="69">
        <f t="shared" si="862"/>
        <v>2.4256845308750642E-2</v>
      </c>
      <c r="DC465" s="111">
        <f>VLOOKUP($H465,RoR!$E:$F,2,FALSE)</f>
        <v>4.9433333333333322E-2</v>
      </c>
      <c r="DD465" s="216">
        <f>HLOOKUP($H465,'GDP-PI'!$D$8:$CQ$11,3,FALSE)</f>
        <v>1.1684333519300205E-2</v>
      </c>
      <c r="DE465" s="111">
        <f>VLOOKUP(H465,'HW Dx Data'!$E:$F,2,FALSE)</f>
        <v>568.98950262971744</v>
      </c>
      <c r="DF465" s="72">
        <f t="shared" si="872"/>
        <v>116.925</v>
      </c>
      <c r="DG465" s="69">
        <f t="shared" si="873"/>
        <v>5.2678406346976722E-2</v>
      </c>
      <c r="DH465" s="66">
        <f>HLOOKUP(H465,'GDP-PI'!$8:$9,2,FALSE)</f>
        <v>96.108999999999995</v>
      </c>
      <c r="DI465" s="69">
        <f t="shared" si="863"/>
        <v>1.1616598807150427E-2</v>
      </c>
      <c r="EB465"/>
    </row>
    <row r="466" spans="1:132" s="160" customFormat="1" ht="21">
      <c r="A466" s="160" t="s">
        <v>188</v>
      </c>
      <c r="B466" s="161" t="s">
        <v>188</v>
      </c>
      <c r="C466" s="161">
        <v>4057126</v>
      </c>
      <c r="D466" s="161" t="s">
        <v>184</v>
      </c>
      <c r="E466" s="161"/>
      <c r="F466" s="161"/>
      <c r="G466" s="161" t="s">
        <v>127</v>
      </c>
      <c r="H466" s="162">
        <v>2011</v>
      </c>
      <c r="I466" s="163"/>
      <c r="J466" s="159">
        <f>IFERROR(INDEX('Labor Expenditures'!$F$7:$X$91,MATCH($C466,'Labor Expenditures'!$D$7:$D$91,0),MATCH($G466,'Labor Expenditures'!$F$5:$X$5,0)),"NA")</f>
        <v>106893.42240257739</v>
      </c>
      <c r="K466" s="159">
        <f t="shared" si="864"/>
        <v>884.33027840808597</v>
      </c>
      <c r="L466" s="165">
        <f t="shared" si="870"/>
        <v>-1.2437479168226925E-2</v>
      </c>
      <c r="M466" s="76">
        <f t="shared" si="874"/>
        <v>-4.881024190763657E-4</v>
      </c>
      <c r="N466" s="62">
        <f t="shared" si="881"/>
        <v>115.92657567371964</v>
      </c>
      <c r="O466" s="96">
        <f t="shared" si="875"/>
        <v>0.18293773643934066</v>
      </c>
      <c r="P466" s="96"/>
      <c r="Q466" s="159">
        <f>IFERROR(INDEX('Non-Labor Expenditures'!$F$7:$AB$91,MATCH($C466,'Non-Labor Expenditures'!$D$7:$D$91,0),MATCH($G466,'Non-Labor Expenditures'!$F$5:$AB$5,0)),"NA")</f>
        <v>154801.64057628348</v>
      </c>
      <c r="R466" s="159">
        <f t="shared" si="865"/>
        <v>1577.8053711705345</v>
      </c>
      <c r="S466" s="165">
        <f t="shared" si="876"/>
        <v>1.6005178043264218E-4</v>
      </c>
      <c r="T466" s="165">
        <f t="shared" si="877"/>
        <v>6.281149109879388E-6</v>
      </c>
      <c r="U466" s="165"/>
      <c r="V466" s="165"/>
      <c r="W466" s="159">
        <f t="shared" si="846"/>
        <v>138834.76313400519</v>
      </c>
      <c r="X466" s="163"/>
      <c r="Y466" s="167">
        <v>7342.8131039362015</v>
      </c>
      <c r="Z466" s="168">
        <v>2.7813730362877195E-2</v>
      </c>
      <c r="AA466" s="76">
        <f t="shared" si="866"/>
        <v>1.0915354220925699E-3</v>
      </c>
      <c r="AB466" s="168"/>
      <c r="AC466" s="168"/>
      <c r="AD466" s="163">
        <f t="shared" si="811"/>
        <v>400529.82611286605</v>
      </c>
      <c r="AE466" s="168">
        <f t="shared" si="878"/>
        <v>4.1143123716597327E-2</v>
      </c>
      <c r="AF466" s="163"/>
      <c r="AG466" s="163"/>
      <c r="AH466" s="163"/>
      <c r="AI466" s="163"/>
      <c r="AJ466" s="116">
        <f t="shared" si="879"/>
        <v>329.29317498254261</v>
      </c>
      <c r="AK466" s="114">
        <f>+AV466/$AX$16</f>
        <v>3.4222145030833588E-2</v>
      </c>
      <c r="AL466" s="115">
        <f t="shared" si="867"/>
        <v>0.26688005594983005</v>
      </c>
      <c r="AM466" s="115">
        <f t="shared" si="868"/>
        <v>0.3864921673340293</v>
      </c>
      <c r="AN466" s="115">
        <f t="shared" si="869"/>
        <v>0.3466277767161407</v>
      </c>
      <c r="AO466" s="115">
        <f t="shared" si="871"/>
        <v>6.1631998322193319E-3</v>
      </c>
      <c r="AP466" s="166">
        <f t="shared" si="883"/>
        <v>92.66671609636289</v>
      </c>
      <c r="AQ466" s="168">
        <f t="shared" si="884"/>
        <v>6.1631998322194273E-3</v>
      </c>
      <c r="AR466" s="69">
        <f>+AD466/$AF$16</f>
        <v>3.9244481335356407E-2</v>
      </c>
      <c r="AS466" s="169">
        <f t="shared" si="882"/>
        <v>2.4187158078160705E-4</v>
      </c>
      <c r="AT466" s="115"/>
      <c r="AU466" s="115"/>
      <c r="AV466" s="113">
        <f>IFERROR(INDEX('Total Customers'!$F$7:$AB$91,MATCH($C466,'Total Customers'!$D$7:$D$91,0),MATCH($G466,'Total Customers'!$F$5:$AB$5,0)),"NA")</f>
        <v>1216332</v>
      </c>
      <c r="AW466" s="68">
        <f t="shared" si="844"/>
        <v>-8.9573561903089766E-4</v>
      </c>
      <c r="AX466" s="114"/>
      <c r="AY466" s="114"/>
      <c r="AZ466" s="116"/>
      <c r="BA466" s="116"/>
      <c r="BB466" s="166"/>
      <c r="BC466" s="166"/>
      <c r="BD466" s="166"/>
      <c r="BE466" s="166"/>
      <c r="BF466" s="166"/>
      <c r="BG466" s="166"/>
      <c r="BH466" s="166"/>
      <c r="BI466" s="113"/>
      <c r="BJ466" s="113"/>
      <c r="BK466" s="113">
        <f>INDEX('Dist. Plant Gas Additions'!$F$7:$AE$91,MATCH($C466,'Dist. Plant Gas Additions'!$D$7:$D$91,0),MATCH(Calculation!$G466,'Dist. Plant Gas Additions'!$F$5:$AE$5,0))</f>
        <v>140740</v>
      </c>
      <c r="BL466" s="113">
        <f>INDEX('Gen. Plant Additions'!$F$7:$AE$91,MATCH($C466,'Gen. Plant Additions'!$D$7:$D$91,0),MATCH(Calculation!$G466,'Gen. Plant Additions'!$F$5:$AE$5,0))</f>
        <v>14644</v>
      </c>
      <c r="BM466" s="231">
        <f t="shared" si="847"/>
        <v>0.93226449089495933</v>
      </c>
      <c r="BN466" s="61">
        <f t="shared" si="880"/>
        <v>13652.081204665785</v>
      </c>
      <c r="BO466" s="113">
        <f>INDEX('Dist Plant Depreciation'!$E$7:$AD$94,MATCH($C466,'Dist Plant Depreciation'!$D$7:$D$94,0),MATCH(Calculation!$G466,'Dist Plant Depreciation'!$E$5:$AD$5,0))</f>
        <v>1363076</v>
      </c>
      <c r="BP466" s="113">
        <f>INDEX('Gen. Plant Depreciation'!$E$7:$AD$94,MATCH($C466,'Gen. Plant Depreciation'!$D$7:$D$94,0),MATCH(Calculation!$G466,'Gen. Plant Depreciation'!$E$5:$AD$5,0))</f>
        <v>147981</v>
      </c>
      <c r="BQ466" s="113"/>
      <c r="BR466" s="113"/>
      <c r="BS466" s="113"/>
      <c r="BT466" s="113"/>
      <c r="BU466" s="113"/>
      <c r="BV466" s="113"/>
      <c r="BW466" s="113">
        <f>INDEX('Gross Dx Plant'!$E$7:$AD$91,MATCH($C466,'Gross Dx Plant'!$D$7:$D$91,0),MATCH(Calculation!$G466,'Gross Dx Plant'!$E$5:$AD$5,0))</f>
        <v>2526062</v>
      </c>
      <c r="BX466" s="113">
        <f>INDEX('Gross Gen Plant'!$E$7:$AD$91,MATCH($C466,'Gross Gen Plant'!$D$7:$D$91,0),MATCH(Calculation!$G466,'Gross Gen Plant'!$E$5:$AD$5,0))</f>
        <v>183536</v>
      </c>
      <c r="BY466" s="113">
        <f t="shared" si="885"/>
        <v>1198541</v>
      </c>
      <c r="BZ466" s="113"/>
      <c r="CA466" s="116">
        <v>2011</v>
      </c>
      <c r="CB466" s="113"/>
      <c r="CC466" s="113"/>
      <c r="CD466" s="113"/>
      <c r="CE466" s="175"/>
      <c r="CF466" s="113">
        <f t="shared" si="848"/>
        <v>155384</v>
      </c>
      <c r="CG466" s="113">
        <f t="shared" si="849"/>
        <v>254.05686879296528</v>
      </c>
      <c r="CH466" s="178">
        <v>0.92121212121212126</v>
      </c>
      <c r="CI466" s="61">
        <f>+CI453*CH466+CG454*CH465+CG455*CH464+CG456*CH463+CG457*CH462+CG458*CH461+CG459*CH460+CG460*CH459+CG461*CH458+CG462*CH457+CG463*CH456+CG464*CH455+CG465*CH454+CG466</f>
        <v>7342.8131039362015</v>
      </c>
      <c r="CJ466" s="114">
        <f t="shared" si="850"/>
        <v>2.7813730362877195E-2</v>
      </c>
      <c r="CK466" s="114"/>
      <c r="CL466" s="169">
        <f t="shared" si="851"/>
        <v>7.3710948181191461E-3</v>
      </c>
      <c r="CM466" s="169">
        <f t="shared" si="859"/>
        <v>7.126644171010668E-3</v>
      </c>
      <c r="CN466" s="114">
        <f>VLOOKUP($H466,RoR!$E:$F,2,FALSE)</f>
        <v>4.6391666666666664E-2</v>
      </c>
      <c r="CO466" s="169">
        <v>2.0840920205183799E-2</v>
      </c>
      <c r="CP466" s="169">
        <f t="shared" si="857"/>
        <v>2.5550746461482865E-2</v>
      </c>
      <c r="CQ466" s="169">
        <f t="shared" si="860"/>
        <v>2.3775297437522956E-2</v>
      </c>
      <c r="CR466" s="169">
        <f t="shared" si="861"/>
        <v>2.4810540821321614E-2</v>
      </c>
      <c r="CS466" s="179">
        <f t="shared" si="852"/>
        <v>0.87050000000000005</v>
      </c>
      <c r="CT466" s="180">
        <f t="shared" si="853"/>
        <v>1.1054151524782025</v>
      </c>
      <c r="CU466" s="180">
        <f t="shared" si="854"/>
        <v>0.43611011316687626</v>
      </c>
      <c r="CV466" s="180">
        <f t="shared" si="855"/>
        <v>0.83698442246886229</v>
      </c>
      <c r="CW466" s="180">
        <f t="shared" si="856"/>
        <v>0.40349573304423936</v>
      </c>
      <c r="CX466" s="181">
        <f>INDEX('State Tax Lookup'!$D$7:$Z$91,MATCH(Calculation!$C466,'State Tax Lookup'!$B$7:$B$91,0),MATCH($H466,'State Tax Lookup'!$D$6:$Z$6,0))</f>
        <v>0.35</v>
      </c>
      <c r="CY466" s="72">
        <v>0.37</v>
      </c>
      <c r="CZ466" s="70">
        <f t="shared" si="858"/>
        <v>19.440843267776536</v>
      </c>
      <c r="DA466" s="70">
        <v>19.146574949201604</v>
      </c>
      <c r="DB466" s="69">
        <f t="shared" si="862"/>
        <v>6.4747201177753164E-2</v>
      </c>
      <c r="DC466" s="111">
        <f>VLOOKUP($H466,RoR!$E:$F,2,FALSE)</f>
        <v>4.6391666666666664E-2</v>
      </c>
      <c r="DD466" s="216">
        <f>HLOOKUP($H466,'GDP-PI'!$D$8:$CQ$11,3,FALSE)</f>
        <v>2.0840920205183799E-2</v>
      </c>
      <c r="DE466" s="111">
        <f>VLOOKUP(H466,'HW Dx Data'!$E:$F,2,FALSE)</f>
        <v>611.61109612283201</v>
      </c>
      <c r="DF466" s="72">
        <f t="shared" si="872"/>
        <v>120.875</v>
      </c>
      <c r="DG466" s="69">
        <f t="shared" si="873"/>
        <v>3.3224250161508609E-2</v>
      </c>
      <c r="DH466" s="66">
        <f>HLOOKUP(H466,'GDP-PI'!$8:$9,2,FALSE)</f>
        <v>98.111999999999995</v>
      </c>
      <c r="DI466" s="69">
        <f t="shared" si="863"/>
        <v>2.0626719212849295E-2</v>
      </c>
      <c r="EB466"/>
    </row>
    <row r="467" spans="1:132" s="160" customFormat="1" ht="21">
      <c r="A467" s="160" t="s">
        <v>188</v>
      </c>
      <c r="B467" s="161" t="s">
        <v>188</v>
      </c>
      <c r="C467" s="161">
        <v>4057126</v>
      </c>
      <c r="D467" s="161" t="s">
        <v>184</v>
      </c>
      <c r="E467" s="161"/>
      <c r="F467" s="161"/>
      <c r="G467" s="161" t="s">
        <v>128</v>
      </c>
      <c r="H467" s="162">
        <v>2012</v>
      </c>
      <c r="I467" s="163"/>
      <c r="J467" s="159">
        <f>IFERROR(INDEX('Labor Expenditures'!$F$7:$X$91,MATCH($C467,'Labor Expenditures'!$D$7:$D$91,0),MATCH($G467,'Labor Expenditures'!$F$5:$X$5,0)),"NA")</f>
        <v>108349.33947576159</v>
      </c>
      <c r="K467" s="159">
        <f t="shared" si="864"/>
        <v>868.18380990193577</v>
      </c>
      <c r="L467" s="165">
        <f t="shared" si="870"/>
        <v>-1.8427156166814049E-2</v>
      </c>
      <c r="M467" s="76">
        <f t="shared" si="874"/>
        <v>-7.2273246936931503E-4</v>
      </c>
      <c r="N467" s="62">
        <f t="shared" si="881"/>
        <v>114.52222207273536</v>
      </c>
      <c r="O467" s="96">
        <f t="shared" si="875"/>
        <v>-1.2188138966116351E-2</v>
      </c>
      <c r="P467" s="96"/>
      <c r="Q467" s="159">
        <f>IFERROR(INDEX('Non-Labor Expenditures'!$F$7:$AB$91,MATCH($C467,'Non-Labor Expenditures'!$D$7:$D$91,0),MATCH($G467,'Non-Labor Expenditures'!$F$5:$AB$5,0)),"NA")</f>
        <v>156910.0804260539</v>
      </c>
      <c r="R467" s="159">
        <f t="shared" si="865"/>
        <v>1569.100804260539</v>
      </c>
      <c r="S467" s="165">
        <f t="shared" si="876"/>
        <v>-5.5321567436873911E-3</v>
      </c>
      <c r="T467" s="165">
        <f t="shared" si="877"/>
        <v>-2.1697701306205269E-4</v>
      </c>
      <c r="U467" s="165"/>
      <c r="V467" s="165"/>
      <c r="W467" s="159">
        <f t="shared" si="846"/>
        <v>154171.80305205786</v>
      </c>
      <c r="X467" s="163"/>
      <c r="Y467" s="167">
        <v>7465.9131406781898</v>
      </c>
      <c r="Z467" s="168">
        <v>1.6625720571678129E-2</v>
      </c>
      <c r="AA467" s="76">
        <f t="shared" si="866"/>
        <v>6.520782683468538E-4</v>
      </c>
      <c r="AB467" s="168"/>
      <c r="AC467" s="168"/>
      <c r="AD467" s="163">
        <f t="shared" si="811"/>
        <v>419431.22295387334</v>
      </c>
      <c r="AE467" s="168">
        <f t="shared" si="878"/>
        <v>4.6111326488197518E-2</v>
      </c>
      <c r="AF467" s="163"/>
      <c r="AG467" s="163"/>
      <c r="AH467" s="163"/>
      <c r="AI467" s="163"/>
      <c r="AJ467" s="116">
        <f t="shared" si="879"/>
        <v>343.98442996154728</v>
      </c>
      <c r="AK467" s="114">
        <f>+AV467/$AX$17</f>
        <v>3.4142143681143315E-2</v>
      </c>
      <c r="AL467" s="115">
        <f t="shared" si="867"/>
        <v>0.25832444879211397</v>
      </c>
      <c r="AM467" s="115">
        <f t="shared" si="868"/>
        <v>0.37410205020266213</v>
      </c>
      <c r="AN467" s="115">
        <f t="shared" si="869"/>
        <v>0.3675735010052239</v>
      </c>
      <c r="AO467" s="115">
        <f t="shared" si="871"/>
        <v>-1.0058204914091887E-3</v>
      </c>
      <c r="AP467" s="166">
        <f t="shared" si="883"/>
        <v>92.573556873023378</v>
      </c>
      <c r="AQ467" s="168">
        <f t="shared" si="884"/>
        <v>-1.0058204914091674E-3</v>
      </c>
      <c r="AR467" s="69">
        <f>+AD467/$AF$17</f>
        <v>3.9221053038607387E-2</v>
      </c>
      <c r="AS467" s="169">
        <f t="shared" si="882"/>
        <v>-3.9449338840877104E-5</v>
      </c>
      <c r="AT467" s="115"/>
      <c r="AU467" s="115"/>
      <c r="AV467" s="113">
        <f>IFERROR(INDEX('Total Customers'!$F$7:$AB$91,MATCH($C467,'Total Customers'!$D$7:$D$91,0),MATCH($G467,'Total Customers'!$F$5:$AB$5,0)),"NA")</f>
        <v>1219332</v>
      </c>
      <c r="AW467" s="68">
        <f t="shared" si="844"/>
        <v>2.4633952113910142E-3</v>
      </c>
      <c r="AX467" s="114"/>
      <c r="AY467" s="114"/>
      <c r="AZ467" s="116"/>
      <c r="BA467" s="116"/>
      <c r="BB467" s="166"/>
      <c r="BC467" s="166"/>
      <c r="BD467" s="166"/>
      <c r="BE467" s="166"/>
      <c r="BF467" s="166"/>
      <c r="BG467" s="166"/>
      <c r="BH467" s="166"/>
      <c r="BI467" s="113"/>
      <c r="BJ467" s="113"/>
      <c r="BK467" s="113">
        <f>INDEX('Dist. Plant Gas Additions'!$F$7:$AE$91,MATCH($C467,'Dist. Plant Gas Additions'!$D$7:$D$91,0),MATCH(Calculation!$G467,'Dist. Plant Gas Additions'!$F$5:$AE$5,0))</f>
        <v>104107</v>
      </c>
      <c r="BL467" s="113">
        <f>INDEX('Gen. Plant Additions'!$F$7:$AE$91,MATCH($C467,'Gen. Plant Additions'!$D$7:$D$91,0),MATCH(Calculation!$G467,'Gen. Plant Additions'!$F$5:$AE$5,0))</f>
        <v>15565</v>
      </c>
      <c r="BM467" s="231">
        <f t="shared" si="847"/>
        <v>0.93431481955317797</v>
      </c>
      <c r="BN467" s="61">
        <f t="shared" si="880"/>
        <v>14542.610166345215</v>
      </c>
      <c r="BO467" s="113">
        <f>INDEX('Dist Plant Depreciation'!$E$7:$AD$94,MATCH($C467,'Dist Plant Depreciation'!$D$7:$D$94,0),MATCH(Calculation!$G467,'Dist Plant Depreciation'!$E$5:$AD$5,0))</f>
        <v>1379765</v>
      </c>
      <c r="BP467" s="113">
        <f>INDEX('Gen. Plant Depreciation'!$E$7:$AD$94,MATCH($C467,'Gen. Plant Depreciation'!$D$7:$D$94,0),MATCH(Calculation!$G467,'Gen. Plant Depreciation'!$E$5:$AD$5,0))</f>
        <v>131682</v>
      </c>
      <c r="BQ467" s="113"/>
      <c r="BR467" s="113"/>
      <c r="BS467" s="113"/>
      <c r="BT467" s="113"/>
      <c r="BU467" s="113"/>
      <c r="BV467" s="113"/>
      <c r="BW467" s="113">
        <f>INDEX('Gross Dx Plant'!$E$7:$AD$91,MATCH($C467,'Gross Dx Plant'!$D$7:$D$91,0),MATCH(Calculation!$G467,'Gross Dx Plant'!$E$5:$AD$5,0))</f>
        <v>2607170</v>
      </c>
      <c r="BX467" s="113">
        <f>INDEX('Gross Gen Plant'!$E$7:$AD$91,MATCH($C467,'Gross Gen Plant'!$D$7:$D$91,0),MATCH(Calculation!$G467,'Gross Gen Plant'!$E$5:$AD$5,0))</f>
        <v>183292</v>
      </c>
      <c r="BY467" s="113">
        <f t="shared" si="885"/>
        <v>1279015</v>
      </c>
      <c r="BZ467" s="113"/>
      <c r="CA467" s="116">
        <v>2012</v>
      </c>
      <c r="CB467" s="113"/>
      <c r="CC467" s="113"/>
      <c r="CD467" s="113"/>
      <c r="CE467" s="175"/>
      <c r="CF467" s="113">
        <f t="shared" si="848"/>
        <v>119672</v>
      </c>
      <c r="CG467" s="113">
        <f t="shared" si="849"/>
        <v>178.9034881247631</v>
      </c>
      <c r="CH467" s="178">
        <v>0.9135802469135802</v>
      </c>
      <c r="CI467" s="61">
        <f>+CI453*CH467+CG454*CH466+CG455*CH465+CG456*CH464+CG457*CH463+CG458*CH462+CG459*CH461+CG460*CH460+CG461*CH459+CG462*CH458+CG463*CH457+CG464*CH456+CG465*CH455+CG466*CH454+CG467</f>
        <v>7465.9131406781898</v>
      </c>
      <c r="CJ467" s="114">
        <f t="shared" si="850"/>
        <v>1.6625720571678129E-2</v>
      </c>
      <c r="CK467" s="114"/>
      <c r="CL467" s="169">
        <f t="shared" si="851"/>
        <v>7.5997374021219023E-3</v>
      </c>
      <c r="CM467" s="169">
        <f t="shared" si="859"/>
        <v>7.3639869654338946E-3</v>
      </c>
      <c r="CN467" s="114">
        <f>VLOOKUP($H467,RoR!$E:$F,2,FALSE)</f>
        <v>3.6733333333333333E-2</v>
      </c>
      <c r="CO467" s="169">
        <v>1.924331376386168E-2</v>
      </c>
      <c r="CP467" s="169">
        <f t="shared" si="857"/>
        <v>1.7490019569471653E-2</v>
      </c>
      <c r="CQ467" s="169">
        <f t="shared" si="860"/>
        <v>2.353795464309973E-2</v>
      </c>
      <c r="CR467" s="169">
        <f t="shared" si="861"/>
        <v>6.7122682943869583E-2</v>
      </c>
      <c r="CS467" s="179">
        <f t="shared" si="852"/>
        <v>0.87050000000000005</v>
      </c>
      <c r="CT467" s="180">
        <f t="shared" si="853"/>
        <v>1.3960631020522127</v>
      </c>
      <c r="CU467" s="180">
        <f t="shared" si="854"/>
        <v>0.29441923774954631</v>
      </c>
      <c r="CV467" s="180">
        <f t="shared" si="855"/>
        <v>0.76377954189366437</v>
      </c>
      <c r="CW467" s="180">
        <f t="shared" si="856"/>
        <v>0.31393465103033691</v>
      </c>
      <c r="CX467" s="181">
        <f>INDEX('State Tax Lookup'!$D$7:$Z$91,MATCH(Calculation!$C467,'State Tax Lookup'!$B$7:$B$91,0),MATCH($H467,'State Tax Lookup'!$D$6:$Z$6,0))</f>
        <v>0.35</v>
      </c>
      <c r="CY467" s="72">
        <v>0.37</v>
      </c>
      <c r="CZ467" s="70">
        <f t="shared" si="858"/>
        <v>20.996285874335033</v>
      </c>
      <c r="DA467" s="70">
        <v>20.759737328210988</v>
      </c>
      <c r="DB467" s="69">
        <f t="shared" si="862"/>
        <v>7.6969382890852617E-2</v>
      </c>
      <c r="DC467" s="111">
        <f>VLOOKUP($H467,RoR!$E:$F,2,FALSE)</f>
        <v>3.6733333333333333E-2</v>
      </c>
      <c r="DD467" s="216">
        <f>HLOOKUP($H467,'GDP-PI'!$D$8:$CQ$11,3,FALSE)</f>
        <v>1.924331376386168E-2</v>
      </c>
      <c r="DE467" s="111">
        <f>VLOOKUP(H467,'HW Dx Data'!$E:$F,2,FALSE)</f>
        <v>668.91932211262167</v>
      </c>
      <c r="DF467" s="72">
        <f t="shared" si="872"/>
        <v>124.80000000000001</v>
      </c>
      <c r="DG467" s="69">
        <f t="shared" si="873"/>
        <v>3.1955502161869064E-2</v>
      </c>
      <c r="DH467" s="66">
        <f>HLOOKUP(H467,'GDP-PI'!$8:$9,2,FALSE)</f>
        <v>100</v>
      </c>
      <c r="DI467" s="69">
        <f t="shared" si="863"/>
        <v>1.9060502738742411E-2</v>
      </c>
      <c r="EB467"/>
    </row>
    <row r="468" spans="1:132" s="160" customFormat="1" ht="21">
      <c r="A468" s="160" t="s">
        <v>188</v>
      </c>
      <c r="B468" s="161" t="s">
        <v>188</v>
      </c>
      <c r="C468" s="161">
        <v>4057126</v>
      </c>
      <c r="D468" s="161" t="s">
        <v>184</v>
      </c>
      <c r="E468" s="161"/>
      <c r="F468" s="161"/>
      <c r="G468" s="161" t="s">
        <v>129</v>
      </c>
      <c r="H468" s="162">
        <v>2013</v>
      </c>
      <c r="I468" s="163"/>
      <c r="J468" s="159">
        <f>IFERROR(INDEX('Labor Expenditures'!$F$7:$X$91,MATCH($C468,'Labor Expenditures'!$D$7:$D$91,0),MATCH($G468,'Labor Expenditures'!$F$5:$X$5,0)),"NA")</f>
        <v>118720.24703085063</v>
      </c>
      <c r="K468" s="159">
        <f t="shared" si="864"/>
        <v>936.27955071648762</v>
      </c>
      <c r="L468" s="165">
        <f t="shared" si="870"/>
        <v>7.5510642379725976E-2</v>
      </c>
      <c r="M468" s="76">
        <f t="shared" si="874"/>
        <v>3.0266203439804052E-3</v>
      </c>
      <c r="N468" s="62">
        <f t="shared" si="881"/>
        <v>107.42572533924987</v>
      </c>
      <c r="O468" s="96">
        <f t="shared" si="875"/>
        <v>-6.3969201710361495E-2</v>
      </c>
      <c r="P468" s="96"/>
      <c r="Q468" s="159">
        <f>IFERROR(INDEX('Non-Labor Expenditures'!$F$7:$AB$91,MATCH($C468,'Non-Labor Expenditures'!$D$7:$D$91,0),MATCH($G468,'Non-Labor Expenditures'!$F$5:$AB$5,0)),"NA")</f>
        <v>171929.09158416279</v>
      </c>
      <c r="R468" s="159">
        <f t="shared" si="865"/>
        <v>1689.3389364975267</v>
      </c>
      <c r="S468" s="165">
        <f t="shared" si="876"/>
        <v>7.3834571431013574E-2</v>
      </c>
      <c r="T468" s="165">
        <f t="shared" si="877"/>
        <v>2.9594400065940888E-3</v>
      </c>
      <c r="U468" s="165"/>
      <c r="V468" s="165"/>
      <c r="W468" s="159">
        <f t="shared" si="846"/>
        <v>153909.89028327563</v>
      </c>
      <c r="X468" s="163"/>
      <c r="Y468" s="167">
        <v>7702.4597777907711</v>
      </c>
      <c r="Z468" s="168">
        <v>3.1191983065876405E-2</v>
      </c>
      <c r="AA468" s="76">
        <f t="shared" si="866"/>
        <v>1.2502382120062746E-3</v>
      </c>
      <c r="AB468" s="168"/>
      <c r="AC468" s="168"/>
      <c r="AD468" s="163">
        <f t="shared" si="811"/>
        <v>444559.22889828903</v>
      </c>
      <c r="AE468" s="168">
        <f t="shared" si="878"/>
        <v>5.8183732026668454E-2</v>
      </c>
      <c r="AF468" s="163"/>
      <c r="AG468" s="163"/>
      <c r="AH468" s="163"/>
      <c r="AI468" s="163"/>
      <c r="AJ468" s="116">
        <f t="shared" si="879"/>
        <v>362.96327080497633</v>
      </c>
      <c r="AK468" s="114">
        <f>+AV468/$AX$18</f>
        <v>3.407681586285996E-2</v>
      </c>
      <c r="AL468" s="115">
        <f t="shared" si="867"/>
        <v>0.26705158573597559</v>
      </c>
      <c r="AM468" s="115">
        <f t="shared" si="868"/>
        <v>0.3867405745017129</v>
      </c>
      <c r="AN468" s="115">
        <f t="shared" si="869"/>
        <v>0.34620783976231156</v>
      </c>
      <c r="AO468" s="115">
        <f t="shared" si="871"/>
        <v>5.9056113236791843E-2</v>
      </c>
      <c r="AP468" s="166">
        <f t="shared" si="883"/>
        <v>98.205247537857161</v>
      </c>
      <c r="AQ468" s="168">
        <f t="shared" si="884"/>
        <v>5.905611323679192E-2</v>
      </c>
      <c r="AR468" s="69">
        <f>+AD468/$AF$18</f>
        <v>4.008203676456909E-2</v>
      </c>
      <c r="AS468" s="169">
        <f t="shared" si="882"/>
        <v>2.367089301929649E-3</v>
      </c>
      <c r="AT468" s="115"/>
      <c r="AU468" s="115"/>
      <c r="AV468" s="113">
        <f>IFERROR(INDEX('Total Customers'!$F$7:$AB$91,MATCH($C468,'Total Customers'!$D$7:$D$91,0),MATCH($G468,'Total Customers'!$F$5:$AB$5,0)),"NA")</f>
        <v>1224805</v>
      </c>
      <c r="AW468" s="68">
        <f t="shared" si="844"/>
        <v>4.4784798459012506E-3</v>
      </c>
      <c r="AX468" s="114"/>
      <c r="AY468" s="114"/>
      <c r="AZ468" s="116"/>
      <c r="BA468" s="116"/>
      <c r="BB468" s="166"/>
      <c r="BC468" s="166"/>
      <c r="BD468" s="166"/>
      <c r="BE468" s="166"/>
      <c r="BF468" s="166"/>
      <c r="BG468" s="166"/>
      <c r="BH468" s="166"/>
      <c r="BI468" s="113"/>
      <c r="BJ468" s="113"/>
      <c r="BK468" s="113">
        <f>INDEX('Dist. Plant Gas Additions'!$F$7:$AE$91,MATCH($C468,'Dist. Plant Gas Additions'!$D$7:$D$91,0),MATCH(Calculation!$G468,'Dist. Plant Gas Additions'!$F$5:$AE$5,0))</f>
        <v>174586</v>
      </c>
      <c r="BL468" s="113">
        <f>INDEX('Gen. Plant Additions'!$F$7:$AE$91,MATCH($C468,'Gen. Plant Additions'!$D$7:$D$91,0),MATCH(Calculation!$G468,'Gen. Plant Additions'!$F$5:$AE$5,0))</f>
        <v>21260</v>
      </c>
      <c r="BM468" s="231">
        <f t="shared" si="847"/>
        <v>0.93647980266150177</v>
      </c>
      <c r="BN468" s="61">
        <f t="shared" si="880"/>
        <v>19909.560604583527</v>
      </c>
      <c r="BO468" s="113">
        <f>INDEX('Dist Plant Depreciation'!$E$7:$AD$94,MATCH($C468,'Dist Plant Depreciation'!$D$7:$D$94,0),MATCH(Calculation!$G468,'Dist Plant Depreciation'!$E$5:$AD$5,0))</f>
        <v>1404631</v>
      </c>
      <c r="BP468" s="113">
        <f>INDEX('Gen. Plant Depreciation'!$E$7:$AD$94,MATCH($C468,'Gen. Plant Depreciation'!$D$7:$D$94,0),MATCH(Calculation!$G468,'Gen. Plant Depreciation'!$E$5:$AD$5,0))</f>
        <v>123573</v>
      </c>
      <c r="BQ468" s="113"/>
      <c r="BR468" s="113"/>
      <c r="BS468" s="113"/>
      <c r="BT468" s="113"/>
      <c r="BU468" s="113"/>
      <c r="BV468" s="113"/>
      <c r="BW468" s="113">
        <f>INDEX('Gross Dx Plant'!$E$7:$AD$91,MATCH($C468,'Gross Dx Plant'!$D$7:$D$91,0),MATCH(Calculation!$G468,'Gross Dx Plant'!$E$5:$AD$5,0))</f>
        <v>2756975</v>
      </c>
      <c r="BX468" s="113">
        <f>INDEX('Gross Gen Plant'!$E$7:$AD$91,MATCH($C468,'Gross Gen Plant'!$D$7:$D$91,0),MATCH(Calculation!$G468,'Gross Gen Plant'!$E$5:$AD$5,0))</f>
        <v>187002</v>
      </c>
      <c r="BY468" s="113">
        <f t="shared" si="885"/>
        <v>1415773</v>
      </c>
      <c r="BZ468" s="113"/>
      <c r="CA468" s="116">
        <v>2013</v>
      </c>
      <c r="CB468" s="113"/>
      <c r="CC468" s="113"/>
      <c r="CD468" s="113"/>
      <c r="CE468" s="175"/>
      <c r="CF468" s="113">
        <f t="shared" si="848"/>
        <v>195846</v>
      </c>
      <c r="CG468" s="113">
        <f t="shared" si="849"/>
        <v>295.28303178631649</v>
      </c>
      <c r="CH468" s="178">
        <v>0.90566037735849059</v>
      </c>
      <c r="CI468" s="61">
        <f>+CI453*CH468+CG454*CH467+CG455*CH466+CG456*CH465+CG457*CH464+CG458*CH463+CG459*CH462+CG460*CH461+CG461*CH460+CG462*CH459+CG463*CH458+CG464*CH457+CG465*CH456+CG466*CH455+CG467*CH454+CG468</f>
        <v>7702.4597777907711</v>
      </c>
      <c r="CJ468" s="114">
        <f t="shared" si="850"/>
        <v>3.1191983065876405E-2</v>
      </c>
      <c r="CK468" s="114"/>
      <c r="CL468" s="169">
        <f t="shared" si="851"/>
        <v>7.867275384401233E-3</v>
      </c>
      <c r="CM468" s="169">
        <f t="shared" si="859"/>
        <v>7.6127025348807602E-3</v>
      </c>
      <c r="CN468" s="114">
        <f>VLOOKUP($H468,RoR!$E:$F,2,FALSE)</f>
        <v>4.2350000000000006E-2</v>
      </c>
      <c r="CO468" s="169">
        <v>1.7730000000000024E-2</v>
      </c>
      <c r="CP468" s="169">
        <f t="shared" si="857"/>
        <v>2.4619999999999982E-2</v>
      </c>
      <c r="CQ468" s="169">
        <f t="shared" si="860"/>
        <v>2.3289239073652865E-2</v>
      </c>
      <c r="CR468" s="169">
        <f t="shared" si="861"/>
        <v>5.3376742735721204E-2</v>
      </c>
      <c r="CS468" s="179">
        <f t="shared" si="852"/>
        <v>0.87050000000000005</v>
      </c>
      <c r="CT468" s="180">
        <f t="shared" si="853"/>
        <v>1.2109103018193925</v>
      </c>
      <c r="CU468" s="180">
        <f t="shared" si="854"/>
        <v>0.38468122786304604</v>
      </c>
      <c r="CV468" s="180">
        <f t="shared" si="855"/>
        <v>0.80969194503422559</v>
      </c>
      <c r="CW468" s="180">
        <f t="shared" si="856"/>
        <v>0.37716621754800816</v>
      </c>
      <c r="CX468" s="181">
        <f>INDEX('State Tax Lookup'!$D$7:$Z$91,MATCH(Calculation!$C468,'State Tax Lookup'!$B$7:$B$91,0),MATCH($H468,'State Tax Lookup'!$D$6:$Z$6,0))</f>
        <v>0.35</v>
      </c>
      <c r="CY468" s="72">
        <v>0.37</v>
      </c>
      <c r="CZ468" s="70">
        <f t="shared" si="858"/>
        <v>20.615012173754639</v>
      </c>
      <c r="DA468" s="70">
        <v>20.339519021246105</v>
      </c>
      <c r="DB468" s="69">
        <f t="shared" si="862"/>
        <v>-1.8326002266737421E-2</v>
      </c>
      <c r="DC468" s="111">
        <f>VLOOKUP($H468,RoR!$E:$F,2,FALSE)</f>
        <v>4.2350000000000006E-2</v>
      </c>
      <c r="DD468" s="216">
        <f>HLOOKUP($H468,'GDP-PI'!$D$8:$CQ$11,3,FALSE)</f>
        <v>1.7730000000000024E-2</v>
      </c>
      <c r="DE468" s="111">
        <f>VLOOKUP(H468,'HW Dx Data'!$E:$F,2,FALSE)</f>
        <v>663.24840548821396</v>
      </c>
      <c r="DF468" s="72">
        <f t="shared" si="872"/>
        <v>126.8</v>
      </c>
      <c r="DG468" s="69">
        <f t="shared" si="873"/>
        <v>1.5898586067798204E-2</v>
      </c>
      <c r="DH468" s="66">
        <f>HLOOKUP(H468,'GDP-PI'!$8:$9,2,FALSE)</f>
        <v>101.773</v>
      </c>
      <c r="DI468" s="69">
        <f t="shared" si="863"/>
        <v>1.7574657016510519E-2</v>
      </c>
      <c r="EB468"/>
    </row>
    <row r="469" spans="1:132" s="160" customFormat="1" ht="21">
      <c r="A469" s="160" t="s">
        <v>188</v>
      </c>
      <c r="B469" s="161" t="s">
        <v>188</v>
      </c>
      <c r="C469" s="161">
        <v>4057126</v>
      </c>
      <c r="D469" s="161" t="s">
        <v>184</v>
      </c>
      <c r="E469" s="161"/>
      <c r="F469" s="161"/>
      <c r="G469" s="161" t="s">
        <v>130</v>
      </c>
      <c r="H469" s="162">
        <v>2014</v>
      </c>
      <c r="I469" s="163"/>
      <c r="J469" s="159">
        <f>IFERROR(INDEX('Labor Expenditures'!$F$7:$X$91,MATCH($C469,'Labor Expenditures'!$D$7:$D$91,0),MATCH($G469,'Labor Expenditures'!$F$5:$X$5,0)),"NA")</f>
        <v>125970.19649661025</v>
      </c>
      <c r="K469" s="159">
        <f t="shared" si="864"/>
        <v>973.49456334320132</v>
      </c>
      <c r="L469" s="165">
        <f t="shared" si="870"/>
        <v>3.8978142965251879E-2</v>
      </c>
      <c r="M469" s="76">
        <f t="shared" si="874"/>
        <v>1.6115951222372032E-3</v>
      </c>
      <c r="N469" s="62">
        <f t="shared" si="881"/>
        <v>119.49868931806922</v>
      </c>
      <c r="O469" s="96">
        <f t="shared" si="875"/>
        <v>0.10650572157092844</v>
      </c>
      <c r="P469" s="96"/>
      <c r="Q469" s="159">
        <f>IFERROR(INDEX('Non-Labor Expenditures'!$F$7:$AB$91,MATCH($C469,'Non-Labor Expenditures'!$D$7:$D$91,0),MATCH($G469,'Non-Labor Expenditures'!$F$5:$AB$5,0)),"NA")</f>
        <v>182428.37251435855</v>
      </c>
      <c r="R469" s="159">
        <f t="shared" si="865"/>
        <v>1760.0931287384926</v>
      </c>
      <c r="S469" s="165">
        <f t="shared" si="876"/>
        <v>4.1029431130670861E-2</v>
      </c>
      <c r="T469" s="165">
        <f t="shared" si="877"/>
        <v>1.6964079365531448E-3</v>
      </c>
      <c r="U469" s="165"/>
      <c r="V469" s="165"/>
      <c r="W469" s="159">
        <f t="shared" si="846"/>
        <v>162316.35586948233</v>
      </c>
      <c r="X469" s="163"/>
      <c r="Y469" s="167">
        <v>7921.7318756399154</v>
      </c>
      <c r="Z469" s="168">
        <v>2.807012358097636E-2</v>
      </c>
      <c r="AA469" s="76">
        <f t="shared" si="866"/>
        <v>1.1605908030052983E-3</v>
      </c>
      <c r="AB469" s="168"/>
      <c r="AC469" s="168"/>
      <c r="AD469" s="163">
        <f t="shared" si="811"/>
        <v>470714.92488045112</v>
      </c>
      <c r="AE469" s="168">
        <f t="shared" si="878"/>
        <v>5.7169361302471147E-2</v>
      </c>
      <c r="AF469" s="163"/>
      <c r="AG469" s="163"/>
      <c r="AH469" s="163"/>
      <c r="AI469" s="163"/>
      <c r="AJ469" s="116">
        <f t="shared" si="879"/>
        <v>382.41151672942595</v>
      </c>
      <c r="AK469" s="114">
        <f>+AV469/$AX$19</f>
        <v>3.4063721701359628E-2</v>
      </c>
      <c r="AL469" s="115">
        <f t="shared" si="867"/>
        <v>0.26761462158567267</v>
      </c>
      <c r="AM469" s="115">
        <f t="shared" si="868"/>
        <v>0.3875559555726652</v>
      </c>
      <c r="AN469" s="115">
        <f t="shared" si="869"/>
        <v>0.34482942284166218</v>
      </c>
      <c r="AO469" s="115">
        <f t="shared" si="871"/>
        <v>3.600337169171474E-2</v>
      </c>
      <c r="AP469" s="166">
        <f t="shared" si="883"/>
        <v>101.80538727201011</v>
      </c>
      <c r="AQ469" s="168">
        <f t="shared" si="884"/>
        <v>3.6003371691714664E-2</v>
      </c>
      <c r="AR469" s="69">
        <f>+AD469/$AF$19</f>
        <v>4.134612374103875E-2</v>
      </c>
      <c r="AS469" s="169">
        <f t="shared" si="882"/>
        <v>1.4885998610602461E-3</v>
      </c>
      <c r="AT469" s="115"/>
      <c r="AU469" s="115"/>
      <c r="AV469" s="113">
        <f>IFERROR(INDEX('Total Customers'!$F$7:$AB$91,MATCH($C469,'Total Customers'!$D$7:$D$91,0),MATCH($G469,'Total Customers'!$F$5:$AB$5,0)),"NA")</f>
        <v>1230912</v>
      </c>
      <c r="AW469" s="68">
        <f t="shared" si="844"/>
        <v>4.9737103986094945E-3</v>
      </c>
      <c r="AX469" s="114"/>
      <c r="AY469" s="114"/>
      <c r="AZ469" s="116"/>
      <c r="BA469" s="116"/>
      <c r="BB469" s="166"/>
      <c r="BC469" s="166"/>
      <c r="BD469" s="166"/>
      <c r="BE469" s="166"/>
      <c r="BF469" s="166"/>
      <c r="BG469" s="166"/>
      <c r="BH469" s="166"/>
      <c r="BI469" s="113"/>
      <c r="BJ469" s="113"/>
      <c r="BK469" s="113">
        <f>INDEX('Dist. Plant Gas Additions'!$F$7:$AE$91,MATCH($C469,'Dist. Plant Gas Additions'!$D$7:$D$91,0),MATCH(Calculation!$G469,'Dist. Plant Gas Additions'!$F$5:$AE$5,0))</f>
        <v>172353</v>
      </c>
      <c r="BL469" s="113">
        <f>INDEX('Gen. Plant Additions'!$F$7:$AE$91,MATCH($C469,'Gen. Plant Additions'!$D$7:$D$91,0),MATCH(Calculation!$G469,'Gen. Plant Additions'!$F$5:$AE$5,0))</f>
        <v>20436</v>
      </c>
      <c r="BM469" s="231">
        <f t="shared" si="847"/>
        <v>0.9348613228851016</v>
      </c>
      <c r="BN469" s="61">
        <f t="shared" si="880"/>
        <v>19104.825994479936</v>
      </c>
      <c r="BO469" s="113">
        <f>INDEX('Dist Plant Depreciation'!$E$7:$AD$94,MATCH($C469,'Dist Plant Depreciation'!$D$7:$D$94,0),MATCH(Calculation!$G469,'Dist Plant Depreciation'!$E$5:$AD$5,0))</f>
        <v>1411153</v>
      </c>
      <c r="BP469" s="113">
        <f>INDEX('Gen. Plant Depreciation'!$E$7:$AD$94,MATCH($C469,'Gen. Plant Depreciation'!$D$7:$D$94,0),MATCH(Calculation!$G469,'Gen. Plant Depreciation'!$E$5:$AD$5,0))</f>
        <v>117870</v>
      </c>
      <c r="BQ469" s="113"/>
      <c r="BR469" s="113"/>
      <c r="BS469" s="113"/>
      <c r="BT469" s="113"/>
      <c r="BU469" s="113"/>
      <c r="BV469" s="113"/>
      <c r="BW469" s="113">
        <f>INDEX('Gross Dx Plant'!$E$7:$AD$91,MATCH($C469,'Gross Dx Plant'!$D$7:$D$91,0),MATCH(Calculation!$G469,'Gross Dx Plant'!$E$5:$AD$5,0))</f>
        <v>2906166</v>
      </c>
      <c r="BX469" s="113">
        <f>INDEX('Gross Gen Plant'!$E$7:$AD$91,MATCH($C469,'Gross Gen Plant'!$D$7:$D$91,0),MATCH(Calculation!$G469,'Gross Gen Plant'!$E$5:$AD$5,0))</f>
        <v>202494</v>
      </c>
      <c r="BY469" s="113">
        <f t="shared" si="885"/>
        <v>1579637</v>
      </c>
      <c r="BZ469" s="113"/>
      <c r="CA469" s="116">
        <v>2014</v>
      </c>
      <c r="CB469" s="113"/>
      <c r="CC469" s="113"/>
      <c r="CD469" s="113"/>
      <c r="CE469" s="175"/>
      <c r="CF469" s="113">
        <f t="shared" si="848"/>
        <v>192789</v>
      </c>
      <c r="CG469" s="113">
        <f t="shared" si="849"/>
        <v>281.66207638980228</v>
      </c>
      <c r="CH469" s="178">
        <v>0.89743589743589747</v>
      </c>
      <c r="CI469" s="61">
        <f>+CI453*CH469+CG454*CH468+CG455*CH467+CG456*CH466+CG457*CH465+CG458*CH464+CG459*CH463+CG460*CH462+CG461*CH461+CG462*CH460+CG463*CH459+CG464*CH458+CG465*CH457+CG466*CH456+CG467*CH455+CG468*CH454+CG469</f>
        <v>7921.7318756399154</v>
      </c>
      <c r="CJ469" s="114">
        <f t="shared" si="850"/>
        <v>2.807012358097636E-2</v>
      </c>
      <c r="CK469" s="114"/>
      <c r="CL469" s="169">
        <f t="shared" si="851"/>
        <v>8.1000070549609223E-3</v>
      </c>
      <c r="CM469" s="169">
        <f t="shared" si="859"/>
        <v>7.8556732804946853E-3</v>
      </c>
      <c r="CN469" s="114">
        <f>VLOOKUP($H469,RoR!$E:$F,2,FALSE)</f>
        <v>4.1625000000000002E-2</v>
      </c>
      <c r="CO469" s="169">
        <v>1.841352814597208E-2</v>
      </c>
      <c r="CP469" s="169">
        <f t="shared" si="857"/>
        <v>2.3211471854027922E-2</v>
      </c>
      <c r="CQ469" s="169">
        <f t="shared" si="860"/>
        <v>2.3046268328038938E-2</v>
      </c>
      <c r="CR469" s="169">
        <f t="shared" si="861"/>
        <v>3.9072621432650924E-2</v>
      </c>
      <c r="CS469" s="179">
        <f t="shared" si="852"/>
        <v>0.87050000000000005</v>
      </c>
      <c r="CT469" s="180">
        <f t="shared" si="853"/>
        <v>1.2320012320012319</v>
      </c>
      <c r="CU469" s="180">
        <f t="shared" si="854"/>
        <v>0.37439939939939942</v>
      </c>
      <c r="CV469" s="180">
        <f t="shared" si="855"/>
        <v>0.80432100613819935</v>
      </c>
      <c r="CW469" s="180">
        <f t="shared" si="856"/>
        <v>0.37100152660040037</v>
      </c>
      <c r="CX469" s="181">
        <f>INDEX('State Tax Lookup'!$D$7:$Z$91,MATCH(Calculation!$C469,'State Tax Lookup'!$B$7:$B$91,0),MATCH($H469,'State Tax Lookup'!$D$6:$Z$6,0))</f>
        <v>0.35</v>
      </c>
      <c r="CY469" s="72">
        <v>0.37</v>
      </c>
      <c r="CZ469" s="70">
        <f t="shared" si="858"/>
        <v>21.073314311553354</v>
      </c>
      <c r="DA469" s="70">
        <v>20.763592984765573</v>
      </c>
      <c r="DB469" s="69">
        <f t="shared" si="862"/>
        <v>2.1987958784353126E-2</v>
      </c>
      <c r="DC469" s="111">
        <f>VLOOKUP($H469,RoR!$E:$F,2,FALSE)</f>
        <v>4.1625000000000002E-2</v>
      </c>
      <c r="DD469" s="216">
        <f>HLOOKUP($H469,'GDP-PI'!$D$8:$CQ$11,3,FALSE)</f>
        <v>1.841352814597208E-2</v>
      </c>
      <c r="DE469" s="111">
        <f>VLOOKUP(H469,'HW Dx Data'!$E:$F,2,FALSE)</f>
        <v>684.46914285042885</v>
      </c>
      <c r="DF469" s="72">
        <f t="shared" si="872"/>
        <v>129.4</v>
      </c>
      <c r="DG469" s="69">
        <f t="shared" si="873"/>
        <v>2.0297340063674733E-2</v>
      </c>
      <c r="DH469" s="66">
        <f>HLOOKUP(H469,'GDP-PI'!$8:$9,2,FALSE)</f>
        <v>103.64700000000001</v>
      </c>
      <c r="DI469" s="69">
        <f t="shared" si="863"/>
        <v>1.8246051898256087E-2</v>
      </c>
      <c r="EB469"/>
    </row>
    <row r="470" spans="1:132" s="160" customFormat="1" ht="21">
      <c r="A470" s="160" t="s">
        <v>188</v>
      </c>
      <c r="B470" s="161" t="s">
        <v>188</v>
      </c>
      <c r="C470" s="161">
        <v>4057126</v>
      </c>
      <c r="D470" s="161" t="s">
        <v>184</v>
      </c>
      <c r="E470" s="161"/>
      <c r="F470" s="161"/>
      <c r="G470" s="161" t="s">
        <v>132</v>
      </c>
      <c r="H470" s="162">
        <v>2015</v>
      </c>
      <c r="I470" s="163"/>
      <c r="J470" s="159">
        <f>IFERROR(INDEX('Labor Expenditures'!$F$7:$X$91,MATCH($C470,'Labor Expenditures'!$D$7:$D$91,0),MATCH($G470,'Labor Expenditures'!$F$5:$X$5,0)),"NA")</f>
        <v>119838.09021499062</v>
      </c>
      <c r="K470" s="159">
        <f t="shared" si="864"/>
        <v>897.66359711603457</v>
      </c>
      <c r="L470" s="165">
        <f t="shared" si="870"/>
        <v>-8.1096855486117558E-2</v>
      </c>
      <c r="M470" s="76">
        <f t="shared" si="874"/>
        <v>-3.2216596700975803E-3</v>
      </c>
      <c r="N470" s="62">
        <f t="shared" si="881"/>
        <v>117.54643199220686</v>
      </c>
      <c r="O470" s="96">
        <f t="shared" si="875"/>
        <v>-1.6471981843927685E-2</v>
      </c>
      <c r="P470" s="96"/>
      <c r="Q470" s="159">
        <f>IFERROR(INDEX('Non-Labor Expenditures'!$F$7:$AB$91,MATCH($C470,'Non-Labor Expenditures'!$D$7:$D$91,0),MATCH($G470,'Non-Labor Expenditures'!$F$5:$AB$5,0)),"NA")</f>
        <v>173547.9372991047</v>
      </c>
      <c r="R470" s="159">
        <f t="shared" si="865"/>
        <v>1658.5397155850562</v>
      </c>
      <c r="S470" s="165">
        <f t="shared" si="876"/>
        <v>-5.9429195898056328E-2</v>
      </c>
      <c r="T470" s="165">
        <f t="shared" si="877"/>
        <v>-2.3608886251313597E-3</v>
      </c>
      <c r="U470" s="165"/>
      <c r="V470" s="165"/>
      <c r="W470" s="159">
        <f t="shared" si="846"/>
        <v>163357.24606525156</v>
      </c>
      <c r="X470" s="163"/>
      <c r="Y470" s="167">
        <v>8111.0076334747755</v>
      </c>
      <c r="Z470" s="168">
        <v>2.3612253126049709E-2</v>
      </c>
      <c r="AA470" s="76">
        <f t="shared" si="866"/>
        <v>9.3802211146586198E-4</v>
      </c>
      <c r="AB470" s="168"/>
      <c r="AC470" s="168"/>
      <c r="AD470" s="163">
        <f t="shared" si="811"/>
        <v>456743.27357934683</v>
      </c>
      <c r="AE470" s="168">
        <f t="shared" si="878"/>
        <v>-3.013118729602041E-2</v>
      </c>
      <c r="AF470" s="163"/>
      <c r="AG470" s="163"/>
      <c r="AH470" s="163"/>
      <c r="AI470" s="163"/>
      <c r="AJ470" s="116">
        <f t="shared" si="879"/>
        <v>369.04670505671874</v>
      </c>
      <c r="AK470" s="114">
        <f>+AV470/$AX$20</f>
        <v>3.3971138626993205E-2</v>
      </c>
      <c r="AL470" s="115">
        <f t="shared" si="867"/>
        <v>0.26237516159977337</v>
      </c>
      <c r="AM470" s="115">
        <f t="shared" si="868"/>
        <v>0.3799682389169447</v>
      </c>
      <c r="AN470" s="115">
        <f t="shared" si="869"/>
        <v>0.35765659948328204</v>
      </c>
      <c r="AO470" s="115">
        <f t="shared" si="871"/>
        <v>-3.6003286395140707E-2</v>
      </c>
      <c r="AP470" s="166">
        <f t="shared" si="883"/>
        <v>98.205255914428662</v>
      </c>
      <c r="AQ470" s="168">
        <f t="shared" si="884"/>
        <v>-3.6003286395140763E-2</v>
      </c>
      <c r="AR470" s="69">
        <f>+AD470/$AF$20</f>
        <v>3.9726073850657198E-2</v>
      </c>
      <c r="AS470" s="169">
        <f t="shared" si="882"/>
        <v>-1.4302692141997236E-3</v>
      </c>
      <c r="AT470" s="115"/>
      <c r="AU470" s="115"/>
      <c r="AV470" s="113">
        <f>IFERROR(INDEX('Total Customers'!$F$7:$AB$91,MATCH($C470,'Total Customers'!$D$7:$D$91,0),MATCH($G470,'Total Customers'!$F$5:$AB$5,0)),"NA")</f>
        <v>1237630</v>
      </c>
      <c r="AW470" s="68">
        <f t="shared" si="844"/>
        <v>5.4429023975762682E-3</v>
      </c>
      <c r="AX470" s="114"/>
      <c r="AY470" s="114"/>
      <c r="AZ470" s="116"/>
      <c r="BA470" s="116"/>
      <c r="BB470" s="166"/>
      <c r="BC470" s="166"/>
      <c r="BD470" s="166"/>
      <c r="BE470" s="166"/>
      <c r="BF470" s="166"/>
      <c r="BG470" s="166"/>
      <c r="BH470" s="166"/>
      <c r="BI470" s="113"/>
      <c r="BJ470" s="113"/>
      <c r="BK470" s="113">
        <f>INDEX('Dist. Plant Gas Additions'!$F$7:$AE$91,MATCH($C470,'Dist. Plant Gas Additions'!$D$7:$D$91,0),MATCH(Calculation!$G470,'Dist. Plant Gas Additions'!$F$5:$AE$5,0))</f>
        <v>158781</v>
      </c>
      <c r="BL470" s="113">
        <f>INDEX('Gen. Plant Additions'!$F$7:$AE$91,MATCH($C470,'Gen. Plant Additions'!$D$7:$D$91,0),MATCH(Calculation!$G470,'Gen. Plant Additions'!$F$5:$AE$5,0))</f>
        <v>13785</v>
      </c>
      <c r="BM470" s="231">
        <f t="shared" si="847"/>
        <v>0.93640521244871011</v>
      </c>
      <c r="BN470" s="61">
        <f t="shared" si="880"/>
        <v>12908.34585360547</v>
      </c>
      <c r="BO470" s="113">
        <f>INDEX('Dist Plant Depreciation'!$E$7:$AD$94,MATCH($C470,'Dist Plant Depreciation'!$D$7:$D$94,0),MATCH(Calculation!$G470,'Dist Plant Depreciation'!$E$5:$AD$5,0))</f>
        <v>1431410</v>
      </c>
      <c r="BP470" s="113">
        <f>INDEX('Gen. Plant Depreciation'!$E$7:$AD$94,MATCH($C470,'Gen. Plant Depreciation'!$D$7:$D$94,0),MATCH(Calculation!$G470,'Gen. Plant Depreciation'!$E$5:$AD$5,0))</f>
        <v>114292</v>
      </c>
      <c r="BQ470" s="113"/>
      <c r="BR470" s="113"/>
      <c r="BS470" s="113"/>
      <c r="BT470" s="113"/>
      <c r="BU470" s="113"/>
      <c r="BV470" s="113"/>
      <c r="BW470" s="113">
        <f>INDEX('Gross Dx Plant'!$E$7:$AD$91,MATCH($C470,'Gross Dx Plant'!$D$7:$D$91,0),MATCH(Calculation!$G470,'Gross Dx Plant'!$E$5:$AD$5,0))</f>
        <v>3047115</v>
      </c>
      <c r="BX470" s="113">
        <f>INDEX('Gross Gen Plant'!$E$7:$AD$91,MATCH($C470,'Gross Gen Plant'!$D$7:$D$91,0),MATCH(Calculation!$G470,'Gross Gen Plant'!$E$5:$AD$5,0))</f>
        <v>206941</v>
      </c>
      <c r="BY470" s="113">
        <f t="shared" si="885"/>
        <v>1708354</v>
      </c>
      <c r="BZ470" s="113"/>
      <c r="CA470" s="116">
        <v>2015</v>
      </c>
      <c r="CB470" s="113"/>
      <c r="CC470" s="113"/>
      <c r="CD470" s="113"/>
      <c r="CE470" s="175"/>
      <c r="CF470" s="113">
        <f t="shared" si="848"/>
        <v>172566</v>
      </c>
      <c r="CG470" s="113">
        <f t="shared" si="849"/>
        <v>255.42075548542152</v>
      </c>
      <c r="CH470" s="178">
        <v>0.88888888888888884</v>
      </c>
      <c r="CI470" s="61">
        <f>+CI453*CH470+CG454*CH469+CG455*CH468+CG456*CH467+CG457*CH466+CG458*CH465+CG459*CH464+CG460*CH463+CG461*CH462+CG462*CH461+CG463*CH460+CG464*CH459+CG465*CH458+CG466*CH457+CG467*CH456+CG468*CH455+CG469*CH454+CG470</f>
        <v>8111.0076334747755</v>
      </c>
      <c r="CJ470" s="114">
        <f t="shared" si="850"/>
        <v>2.3612253126049709E-2</v>
      </c>
      <c r="CK470" s="114"/>
      <c r="CL470" s="169">
        <f t="shared" si="851"/>
        <v>8.349815253652252E-3</v>
      </c>
      <c r="CM470" s="169">
        <f t="shared" si="859"/>
        <v>8.1056992310048013E-3</v>
      </c>
      <c r="CN470" s="114">
        <f>VLOOKUP($H470,RoR!$E:$F,2,FALSE)</f>
        <v>3.8866666666666674E-2</v>
      </c>
      <c r="CO470" s="169">
        <v>9.5709475431029478E-3</v>
      </c>
      <c r="CP470" s="169">
        <f t="shared" si="857"/>
        <v>2.9295719123563727E-2</v>
      </c>
      <c r="CQ470" s="169">
        <f t="shared" si="860"/>
        <v>2.2796242377528822E-2</v>
      </c>
      <c r="CR470" s="169">
        <f t="shared" si="861"/>
        <v>3.5270373279175926E-3</v>
      </c>
      <c r="CS470" s="179">
        <f t="shared" si="852"/>
        <v>0.87050000000000005</v>
      </c>
      <c r="CT470" s="180">
        <f t="shared" si="853"/>
        <v>1.3194352816994324</v>
      </c>
      <c r="CU470" s="180">
        <f t="shared" si="854"/>
        <v>0.33177530017152673</v>
      </c>
      <c r="CV470" s="180">
        <f t="shared" si="855"/>
        <v>0.78242572977668579</v>
      </c>
      <c r="CW470" s="180">
        <f t="shared" si="856"/>
        <v>0.34251158643433932</v>
      </c>
      <c r="CX470" s="181">
        <f>INDEX('State Tax Lookup'!$D$7:$Z$91,MATCH(Calculation!$C470,'State Tax Lookup'!$B$7:$B$91,0),MATCH($H470,'State Tax Lookup'!$D$6:$Z$6,0))</f>
        <v>0.35</v>
      </c>
      <c r="CY470" s="72">
        <v>0.37</v>
      </c>
      <c r="CZ470" s="70">
        <f t="shared" si="858"/>
        <v>20.621405600408004</v>
      </c>
      <c r="DA470" s="70">
        <v>20.279488671080099</v>
      </c>
      <c r="DB470" s="69">
        <f t="shared" si="862"/>
        <v>-2.1677872358339768E-2</v>
      </c>
      <c r="DC470" s="111">
        <f>VLOOKUP($H470,RoR!$E:$F,2,FALSE)</f>
        <v>3.8866666666666674E-2</v>
      </c>
      <c r="DD470" s="216">
        <f>HLOOKUP($H470,'GDP-PI'!$D$8:$CQ$11,3,FALSE)</f>
        <v>9.5709475431029478E-3</v>
      </c>
      <c r="DE470" s="111">
        <f>VLOOKUP(H470,'HW Dx Data'!$E:$F,2,FALSE)</f>
        <v>675.61463308665782</v>
      </c>
      <c r="DF470" s="72">
        <f t="shared" si="872"/>
        <v>133.5</v>
      </c>
      <c r="DG470" s="69">
        <f t="shared" si="873"/>
        <v>3.1193095773504077E-2</v>
      </c>
      <c r="DH470" s="66">
        <f>HLOOKUP(H470,'GDP-PI'!$8:$9,2,FALSE)</f>
        <v>104.639</v>
      </c>
      <c r="DI470" s="69">
        <f t="shared" si="863"/>
        <v>9.5254361854427965E-3</v>
      </c>
      <c r="EB470"/>
    </row>
    <row r="471" spans="1:132" s="160" customFormat="1" ht="21">
      <c r="A471" s="160" t="s">
        <v>188</v>
      </c>
      <c r="B471" s="161" t="s">
        <v>188</v>
      </c>
      <c r="C471" s="161">
        <v>4057126</v>
      </c>
      <c r="D471" s="161" t="s">
        <v>184</v>
      </c>
      <c r="E471" s="161"/>
      <c r="F471" s="161"/>
      <c r="G471" s="161" t="s">
        <v>133</v>
      </c>
      <c r="H471" s="162">
        <v>2016</v>
      </c>
      <c r="I471" s="163"/>
      <c r="J471" s="159">
        <f>IFERROR(INDEX('Labor Expenditures'!$F$7:$X$91,MATCH($C471,'Labor Expenditures'!$D$7:$D$91,0),MATCH($G471,'Labor Expenditures'!$F$5:$X$5,0)),"NA")</f>
        <v>119612.89137064264</v>
      </c>
      <c r="K471" s="159">
        <f t="shared" si="864"/>
        <v>873.40555947895325</v>
      </c>
      <c r="L471" s="165">
        <f t="shared" si="870"/>
        <v>-2.7395378299624067E-2</v>
      </c>
      <c r="M471" s="76">
        <f t="shared" si="874"/>
        <v>-1.052774981139109E-3</v>
      </c>
      <c r="N471" s="62">
        <f t="shared" si="881"/>
        <v>294.29083558571756</v>
      </c>
      <c r="O471" s="96">
        <f t="shared" si="875"/>
        <v>0.91773509363477335</v>
      </c>
      <c r="P471" s="96"/>
      <c r="Q471" s="159">
        <f>IFERROR(INDEX('Non-Labor Expenditures'!$F$7:$AB$91,MATCH($C471,'Non-Labor Expenditures'!$D$7:$D$91,0),MATCH($G471,'Non-Labor Expenditures'!$F$5:$AB$5,0)),"NA")</f>
        <v>173221.80731114658</v>
      </c>
      <c r="R471" s="159">
        <f t="shared" si="865"/>
        <v>1638.2481587268912</v>
      </c>
      <c r="S471" s="165">
        <f t="shared" si="876"/>
        <v>-1.231005079804641E-2</v>
      </c>
      <c r="T471" s="165">
        <f t="shared" si="877"/>
        <v>-4.7306203823849452E-4</v>
      </c>
      <c r="U471" s="165"/>
      <c r="V471" s="165"/>
      <c r="W471" s="159">
        <f t="shared" si="846"/>
        <v>164382.79730613856</v>
      </c>
      <c r="X471" s="163"/>
      <c r="Y471" s="167">
        <v>8401.2777372929813</v>
      </c>
      <c r="Z471" s="168">
        <v>3.5161699649986507E-2</v>
      </c>
      <c r="AA471" s="76">
        <f t="shared" si="866"/>
        <v>1.3512263740611142E-3</v>
      </c>
      <c r="AB471" s="168"/>
      <c r="AC471" s="168"/>
      <c r="AD471" s="163">
        <f t="shared" si="811"/>
        <v>457217.49598792777</v>
      </c>
      <c r="AE471" s="168">
        <f t="shared" si="878"/>
        <v>1.0377304298572986E-3</v>
      </c>
      <c r="AF471" s="163"/>
      <c r="AG471" s="163"/>
      <c r="AH471" s="163"/>
      <c r="AI471" s="163"/>
      <c r="AJ471" s="116">
        <f t="shared" si="879"/>
        <v>366.22958639581861</v>
      </c>
      <c r="AK471" s="114">
        <f>+AV471/$AX$21</f>
        <v>3.3971871194322927E-2</v>
      </c>
      <c r="AL471" s="115">
        <f t="shared" si="867"/>
        <v>0.26161048608210052</v>
      </c>
      <c r="AM471" s="115">
        <f t="shared" si="868"/>
        <v>0.37886084594566843</v>
      </c>
      <c r="AN471" s="115">
        <f t="shared" si="869"/>
        <v>0.35952866797223104</v>
      </c>
      <c r="AO471" s="115">
        <f t="shared" si="871"/>
        <v>7.6072167207684276E-4</v>
      </c>
      <c r="AP471" s="166">
        <f t="shared" si="883"/>
        <v>98.279991203687644</v>
      </c>
      <c r="AQ471" s="168">
        <f t="shared" si="884"/>
        <v>7.6072167207693025E-4</v>
      </c>
      <c r="AR471" s="69">
        <f>+AD471/$AF$21</f>
        <v>3.8428926573850442E-2</v>
      </c>
      <c r="AS471" s="169">
        <f t="shared" si="882"/>
        <v>2.9233717279381086E-5</v>
      </c>
      <c r="AT471" s="115"/>
      <c r="AU471" s="115"/>
      <c r="AV471" s="113">
        <f>IFERROR(INDEX('Total Customers'!$F$7:$AB$91,MATCH($C471,'Total Customers'!$D$7:$D$91,0),MATCH($G471,'Total Customers'!$F$5:$AB$5,0)),"NA")</f>
        <v>1248445</v>
      </c>
      <c r="AW471" s="68">
        <f t="shared" si="844"/>
        <v>8.7005164555578433E-3</v>
      </c>
      <c r="AX471" s="114"/>
      <c r="AY471" s="114"/>
      <c r="AZ471" s="116"/>
      <c r="BA471" s="116"/>
      <c r="BB471" s="166"/>
      <c r="BC471" s="166"/>
      <c r="BD471" s="166"/>
      <c r="BE471" s="166"/>
      <c r="BF471" s="166"/>
      <c r="BG471" s="166"/>
      <c r="BH471" s="166"/>
      <c r="BI471" s="113"/>
      <c r="BJ471" s="113"/>
      <c r="BK471" s="113">
        <f>INDEX('Dist. Plant Gas Additions'!$F$7:$AE$91,MATCH($C471,'Dist. Plant Gas Additions'!$D$7:$D$91,0),MATCH(Calculation!$G471,'Dist. Plant Gas Additions'!$F$5:$AE$5,0))</f>
        <v>221966</v>
      </c>
      <c r="BL471" s="113">
        <f>INDEX('Gen. Plant Additions'!$F$7:$AE$91,MATCH($C471,'Gen. Plant Additions'!$D$7:$D$91,0),MATCH(Calculation!$G471,'Gen. Plant Additions'!$F$5:$AE$5,0))</f>
        <v>19905</v>
      </c>
      <c r="BM471" s="231">
        <f t="shared" si="847"/>
        <v>0.93822700544556914</v>
      </c>
      <c r="BN471" s="61">
        <f t="shared" si="880"/>
        <v>18675.408543394053</v>
      </c>
      <c r="BO471" s="113">
        <f>INDEX('Dist Plant Depreciation'!$E$7:$AD$94,MATCH($C471,'Dist Plant Depreciation'!$D$7:$D$94,0),MATCH(Calculation!$G471,'Dist Plant Depreciation'!$E$5:$AD$5,0))</f>
        <v>1445931</v>
      </c>
      <c r="BP471" s="113">
        <f>INDEX('Gen. Plant Depreciation'!$E$7:$AD$94,MATCH($C471,'Gen. Plant Depreciation'!$D$7:$D$94,0),MATCH(Calculation!$G471,'Gen. Plant Depreciation'!$E$5:$AD$5,0))</f>
        <v>108012</v>
      </c>
      <c r="BQ471" s="113"/>
      <c r="BR471" s="113"/>
      <c r="BS471" s="113"/>
      <c r="BT471" s="113"/>
      <c r="BU471" s="113"/>
      <c r="BV471" s="113"/>
      <c r="BW471" s="113">
        <f>INDEX('Gross Dx Plant'!$E$7:$AD$91,MATCH($C471,'Gross Dx Plant'!$D$7:$D$91,0),MATCH(Calculation!$G471,'Gross Dx Plant'!$E$5:$AD$5,0))</f>
        <v>3246667</v>
      </c>
      <c r="BX471" s="113">
        <f>INDEX('Gross Gen Plant'!$E$7:$AD$91,MATCH($C471,'Gross Gen Plant'!$D$7:$D$91,0),MATCH(Calculation!$G471,'Gross Gen Plant'!$E$5:$AD$5,0))</f>
        <v>213761</v>
      </c>
      <c r="BY471" s="113">
        <f t="shared" si="885"/>
        <v>1906485</v>
      </c>
      <c r="BZ471" s="113"/>
      <c r="CA471" s="116">
        <v>2016</v>
      </c>
      <c r="CB471" s="113"/>
      <c r="CC471" s="113"/>
      <c r="CD471" s="113"/>
      <c r="CE471" s="175"/>
      <c r="CF471" s="113">
        <f t="shared" si="848"/>
        <v>241871</v>
      </c>
      <c r="CG471" s="113">
        <f t="shared" si="849"/>
        <v>360.21847764329169</v>
      </c>
      <c r="CH471" s="178">
        <v>0.88</v>
      </c>
      <c r="CI471" s="61">
        <f>+CI453*CH471+CG454*CH470+CG455*CH469+CG456*CH468+CG457*CH467+CG458*CH466+CG459*CH465+CG460*CH464+CG461*CH463+CG462*CH462+CG463*CH461+CG464*CH460+CG465*CH459+CG466*CH458+CG467*CH457+CG468*CH456+CG469*CH455+CG470*CH454+CG471</f>
        <v>8401.2777372929813</v>
      </c>
      <c r="CJ471" s="114">
        <f t="shared" si="850"/>
        <v>3.5161699649986507E-2</v>
      </c>
      <c r="CK471" s="114"/>
      <c r="CL471" s="169">
        <f t="shared" si="851"/>
        <v>8.6238821347428343E-3</v>
      </c>
      <c r="CM471" s="169">
        <f t="shared" si="859"/>
        <v>8.3579014811186684E-3</v>
      </c>
      <c r="CN471" s="114">
        <f>VLOOKUP($H471,RoR!$E:$F,2,FALSE)</f>
        <v>3.6658333333333334E-2</v>
      </c>
      <c r="CO471" s="169">
        <v>1.0483662879041455E-2</v>
      </c>
      <c r="CP471" s="169">
        <f t="shared" si="857"/>
        <v>2.6174670454291879E-2</v>
      </c>
      <c r="CQ471" s="169">
        <f t="shared" si="860"/>
        <v>2.2544040127414955E-2</v>
      </c>
      <c r="CR471" s="169">
        <f t="shared" si="861"/>
        <v>4.301363574220729E-3</v>
      </c>
      <c r="CS471" s="179">
        <f t="shared" si="852"/>
        <v>0.87050000000000005</v>
      </c>
      <c r="CT471" s="180">
        <f t="shared" si="853"/>
        <v>1.3989193348138562</v>
      </c>
      <c r="CU471" s="180">
        <f t="shared" si="854"/>
        <v>0.29302682427824522</v>
      </c>
      <c r="CV471" s="180">
        <f t="shared" si="855"/>
        <v>0.76309497491941802</v>
      </c>
      <c r="CW471" s="180">
        <f t="shared" si="856"/>
        <v>0.31280857135128509</v>
      </c>
      <c r="CX471" s="181">
        <f>INDEX('State Tax Lookup'!$D$7:$Z$91,MATCH(Calculation!$C471,'State Tax Lookup'!$B$7:$B$91,0),MATCH($H471,'State Tax Lookup'!$D$6:$Z$6,0))</f>
        <v>0.35</v>
      </c>
      <c r="CY471" s="72">
        <v>0.37</v>
      </c>
      <c r="CZ471" s="70">
        <f t="shared" si="858"/>
        <v>20.266630822503192</v>
      </c>
      <c r="DA471" s="70">
        <v>19.909765876209278</v>
      </c>
      <c r="DB471" s="69">
        <f t="shared" si="862"/>
        <v>-1.7353911437708262E-2</v>
      </c>
      <c r="DC471" s="111">
        <f>VLOOKUP($H471,RoR!$E:$F,2,FALSE)</f>
        <v>3.6658333333333334E-2</v>
      </c>
      <c r="DD471" s="216">
        <f>HLOOKUP($H471,'GDP-PI'!$D$8:$CQ$11,3,FALSE)</f>
        <v>1.0483662879041455E-2</v>
      </c>
      <c r="DE471" s="111">
        <f>VLOOKUP(H471,'HW Dx Data'!$E:$F,2,FALSE)</f>
        <v>671.45639385971219</v>
      </c>
      <c r="DF471" s="72">
        <f t="shared" si="872"/>
        <v>136.94999999999999</v>
      </c>
      <c r="DG471" s="69">
        <f t="shared" si="873"/>
        <v>2.5514417868782811E-2</v>
      </c>
      <c r="DH471" s="66">
        <f>HLOOKUP(H471,'GDP-PI'!$8:$9,2,FALSE)</f>
        <v>105.736</v>
      </c>
      <c r="DI471" s="69">
        <f t="shared" si="863"/>
        <v>1.0429090367205095E-2</v>
      </c>
      <c r="EB471"/>
    </row>
    <row r="472" spans="1:132" s="160" customFormat="1" ht="21">
      <c r="A472" s="160" t="s">
        <v>188</v>
      </c>
      <c r="B472" s="161" t="s">
        <v>188</v>
      </c>
      <c r="C472" s="161">
        <v>4057126</v>
      </c>
      <c r="D472" s="161" t="s">
        <v>184</v>
      </c>
      <c r="E472" s="161"/>
      <c r="F472" s="161"/>
      <c r="G472" s="161" t="s">
        <v>135</v>
      </c>
      <c r="H472" s="162">
        <v>2017</v>
      </c>
      <c r="I472" s="163"/>
      <c r="J472" s="159">
        <f>IFERROR(INDEX('Labor Expenditures'!$F$7:$X$91,MATCH($C472,'Labor Expenditures'!$D$7:$D$91,0),MATCH($G472,'Labor Expenditures'!$F$5:$X$5,0)),"NA")</f>
        <v>134306.38591823226</v>
      </c>
      <c r="K472" s="159">
        <f t="shared" si="864"/>
        <v>956.25764270724301</v>
      </c>
      <c r="L472" s="165">
        <f t="shared" si="870"/>
        <v>9.062737112150003E-2</v>
      </c>
      <c r="M472" s="76">
        <f t="shared" si="874"/>
        <v>3.7076958713395071E-3</v>
      </c>
      <c r="N472" s="62">
        <f t="shared" si="881"/>
        <v>163.9194317521135</v>
      </c>
      <c r="O472" s="96">
        <f t="shared" si="875"/>
        <v>-0.58519347774516584</v>
      </c>
      <c r="P472" s="96"/>
      <c r="Q472" s="159">
        <f>IFERROR(INDEX('Non-Labor Expenditures'!$F$7:$AB$91,MATCH($C472,'Non-Labor Expenditures'!$D$7:$D$91,0),MATCH($G472,'Non-Labor Expenditures'!$F$5:$AB$5,0)),"NA")</f>
        <v>194500.73178228136</v>
      </c>
      <c r="R472" s="159">
        <f t="shared" si="865"/>
        <v>1805.0944472188783</v>
      </c>
      <c r="S472" s="165">
        <f t="shared" si="876"/>
        <v>9.6985440734920256E-2</v>
      </c>
      <c r="T472" s="165">
        <f t="shared" si="877"/>
        <v>3.9678136278588159E-3</v>
      </c>
      <c r="U472" s="165"/>
      <c r="V472" s="165"/>
      <c r="W472" s="159">
        <f t="shared" si="846"/>
        <v>155615.74706040233</v>
      </c>
      <c r="X472" s="163"/>
      <c r="Y472" s="167">
        <v>8670.2688562694166</v>
      </c>
      <c r="Z472" s="168">
        <v>3.1515994398016264E-2</v>
      </c>
      <c r="AA472" s="76">
        <f t="shared" si="866"/>
        <v>1.2893645800894533E-3</v>
      </c>
      <c r="AB472" s="168"/>
      <c r="AC472" s="168"/>
      <c r="AD472" s="163">
        <f t="shared" si="811"/>
        <v>484422.86476091598</v>
      </c>
      <c r="AE472" s="168">
        <f t="shared" si="878"/>
        <v>5.7799013917803288E-2</v>
      </c>
      <c r="AF472" s="163"/>
      <c r="AG472" s="163"/>
      <c r="AH472" s="163"/>
      <c r="AI472" s="163"/>
      <c r="AJ472" s="116">
        <f t="shared" si="879"/>
        <v>384.81900677922806</v>
      </c>
      <c r="AK472" s="114">
        <f>+AV472/$AX$22</f>
        <v>3.3997182855757632E-2</v>
      </c>
      <c r="AL472" s="115">
        <f t="shared" si="867"/>
        <v>0.27725030275876505</v>
      </c>
      <c r="AM472" s="115">
        <f t="shared" si="868"/>
        <v>0.4015102216082968</v>
      </c>
      <c r="AN472" s="115">
        <f t="shared" si="869"/>
        <v>0.32123947563293809</v>
      </c>
      <c r="AO472" s="115">
        <f t="shared" si="871"/>
        <v>7.2987626808407688E-2</v>
      </c>
      <c r="AP472" s="166">
        <f t="shared" si="883"/>
        <v>105.72147958530013</v>
      </c>
      <c r="AQ472" s="168">
        <f t="shared" si="884"/>
        <v>7.2987626808407743E-2</v>
      </c>
      <c r="AR472" s="69">
        <f>+AD472/$AF$22</f>
        <v>4.0911435755636855E-2</v>
      </c>
      <c r="AS472" s="169">
        <f t="shared" si="882"/>
        <v>2.9860286051285718E-3</v>
      </c>
      <c r="AT472" s="115"/>
      <c r="AU472" s="115"/>
      <c r="AV472" s="113">
        <f>IFERROR(INDEX('Total Customers'!$F$7:$AB$91,MATCH($C472,'Total Customers'!$D$7:$D$91,0),MATCH($G472,'Total Customers'!$F$5:$AB$5,0)),"NA")</f>
        <v>1258833</v>
      </c>
      <c r="AW472" s="68">
        <f t="shared" si="844"/>
        <v>8.2863244038765185E-3</v>
      </c>
      <c r="AX472" s="114"/>
      <c r="AY472" s="114"/>
      <c r="AZ472" s="116"/>
      <c r="BA472" s="116"/>
      <c r="BB472" s="166"/>
      <c r="BC472" s="166"/>
      <c r="BD472" s="166"/>
      <c r="BE472" s="166"/>
      <c r="BF472" s="166"/>
      <c r="BG472" s="166"/>
      <c r="BH472" s="166"/>
      <c r="BI472" s="113"/>
      <c r="BJ472" s="113"/>
      <c r="BK472" s="113">
        <f>INDEX('Dist. Plant Gas Additions'!$F$7:$AE$91,MATCH($C472,'Dist. Plant Gas Additions'!$D$7:$D$91,0),MATCH(Calculation!$G472,'Dist. Plant Gas Additions'!$F$5:$AE$5,0))</f>
        <v>225243</v>
      </c>
      <c r="BL472" s="113">
        <f>INDEX('Gen. Plant Additions'!$F$7:$AE$91,MATCH($C472,'Gen. Plant Additions'!$D$7:$D$91,0),MATCH(Calculation!$G472,'Gen. Plant Additions'!$F$5:$AE$5,0))</f>
        <v>19442</v>
      </c>
      <c r="BM472" s="231">
        <f t="shared" si="847"/>
        <v>0.93960253562936313</v>
      </c>
      <c r="BN472" s="61">
        <f t="shared" si="880"/>
        <v>18267.752497706078</v>
      </c>
      <c r="BO472" s="113">
        <f>INDEX('Dist Plant Depreciation'!$E$7:$AD$94,MATCH($C472,'Dist Plant Depreciation'!$D$7:$D$94,0),MATCH(Calculation!$G472,'Dist Plant Depreciation'!$E$5:$AD$5,0))</f>
        <v>1488262</v>
      </c>
      <c r="BP472" s="113">
        <f>INDEX('Gen. Plant Depreciation'!$E$7:$AD$94,MATCH($C472,'Gen. Plant Depreciation'!$D$7:$D$94,0),MATCH(Calculation!$G472,'Gen. Plant Depreciation'!$E$5:$AD$5,0))</f>
        <v>113687</v>
      </c>
      <c r="BQ472" s="113"/>
      <c r="BR472" s="113"/>
      <c r="BS472" s="113"/>
      <c r="BT472" s="113"/>
      <c r="BU472" s="113"/>
      <c r="BV472" s="113"/>
      <c r="BW472" s="113">
        <f>INDEX('Gross Dx Plant'!$E$7:$AD$91,MATCH($C472,'Gross Dx Plant'!$D$7:$D$91,0),MATCH(Calculation!$G472,'Gross Dx Plant'!$E$5:$AD$5,0))</f>
        <v>3448875</v>
      </c>
      <c r="BX472" s="113">
        <f>INDEX('Gross Gen Plant'!$E$7:$AD$91,MATCH($C472,'Gross Gen Plant'!$D$7:$D$91,0),MATCH(Calculation!$G472,'Gross Gen Plant'!$E$5:$AD$5,0))</f>
        <v>221693</v>
      </c>
      <c r="BY472" s="113">
        <f t="shared" si="885"/>
        <v>2068619</v>
      </c>
      <c r="BZ472" s="113"/>
      <c r="CA472" s="116">
        <v>2017</v>
      </c>
      <c r="CB472" s="113"/>
      <c r="CC472" s="113"/>
      <c r="CD472" s="113"/>
      <c r="CE472" s="175"/>
      <c r="CF472" s="113">
        <f t="shared" si="848"/>
        <v>244685</v>
      </c>
      <c r="CG472" s="113">
        <f t="shared" si="849"/>
        <v>343.45196921835833</v>
      </c>
      <c r="CH472" s="178">
        <v>0.87074829931972786</v>
      </c>
      <c r="CI472" s="61">
        <f>+CI453*CH472+CG454*CH471+CG455*CH470+CG456*CH469+CG457*CH468+CG458*CH467+CG459*CH466+CG460*CH465+CG461*CH464+CG462*CH463+CG463*CH462+CG464*CH461+CG465*CH460+CG466*CH459+CG467*CH458+CG468*CH457+CG469*CH456+CG470*CH455+CG471*CH454+CG472</f>
        <v>8670.2688562694166</v>
      </c>
      <c r="CJ472" s="114">
        <f t="shared" si="850"/>
        <v>3.1515994398016264E-2</v>
      </c>
      <c r="CK472" s="114"/>
      <c r="CL472" s="169">
        <f t="shared" si="851"/>
        <v>8.863038762710336E-3</v>
      </c>
      <c r="CM472" s="169">
        <f t="shared" si="859"/>
        <v>8.6122453837018074E-3</v>
      </c>
      <c r="CN472" s="114">
        <f>VLOOKUP($H472,RoR!$E:$F,2,FALSE)</f>
        <v>3.7433333333333339E-2</v>
      </c>
      <c r="CO472" s="169">
        <v>1.9056896421275615E-2</v>
      </c>
      <c r="CP472" s="169">
        <f t="shared" si="857"/>
        <v>1.8376436912057724E-2</v>
      </c>
      <c r="CQ472" s="169">
        <f t="shared" si="860"/>
        <v>2.2289696224831818E-2</v>
      </c>
      <c r="CR472" s="169">
        <f t="shared" si="861"/>
        <v>1.3976271617800498E-2</v>
      </c>
      <c r="CS472" s="179">
        <f t="shared" si="852"/>
        <v>0.92230000000000001</v>
      </c>
      <c r="CT472" s="180">
        <f t="shared" si="853"/>
        <v>1.3699568463593395</v>
      </c>
      <c r="CU472" s="180">
        <f t="shared" si="854"/>
        <v>0.30714603739982199</v>
      </c>
      <c r="CV472" s="180">
        <f t="shared" si="855"/>
        <v>0.77007188472689425</v>
      </c>
      <c r="CW472" s="180">
        <f t="shared" si="856"/>
        <v>0.32402839633793828</v>
      </c>
      <c r="CX472" s="181">
        <f>INDEX('State Tax Lookup'!$D$7:$Z$91,MATCH(Calculation!$C472,'State Tax Lookup'!$B$7:$B$91,0),MATCH($H472,'State Tax Lookup'!$D$6:$Z$6,0))</f>
        <v>0.20999999999999996</v>
      </c>
      <c r="CY472" s="72">
        <v>0.37</v>
      </c>
      <c r="CZ472" s="70">
        <f t="shared" si="858"/>
        <v>18.522866631301738</v>
      </c>
      <c r="DA472" s="70">
        <v>18.231812616449311</v>
      </c>
      <c r="DB472" s="69">
        <f t="shared" si="862"/>
        <v>-8.9969728728561321E-2</v>
      </c>
      <c r="DC472" s="111">
        <f>VLOOKUP($H472,RoR!$E:$F,2,FALSE)</f>
        <v>3.7433333333333339E-2</v>
      </c>
      <c r="DD472" s="216">
        <f>HLOOKUP($H472,'GDP-PI'!$D$8:$CQ$11,3,FALSE)</f>
        <v>1.9056896421275615E-2</v>
      </c>
      <c r="DE472" s="111">
        <f>VLOOKUP(H472,'HW Dx Data'!$E:$F,2,FALSE)</f>
        <v>712.42858370229726</v>
      </c>
      <c r="DF472" s="72">
        <f t="shared" si="872"/>
        <v>140.44999999999999</v>
      </c>
      <c r="DG472" s="69">
        <f t="shared" si="873"/>
        <v>2.5235657841165486E-2</v>
      </c>
      <c r="DH472" s="66">
        <f>HLOOKUP(H472,'GDP-PI'!$8:$9,2,FALSE)</f>
        <v>107.751</v>
      </c>
      <c r="DI472" s="69">
        <f t="shared" si="863"/>
        <v>1.8877588227745139E-2</v>
      </c>
      <c r="EB472"/>
    </row>
    <row r="473" spans="1:132" s="160" customFormat="1" ht="21">
      <c r="A473" s="160" t="s">
        <v>188</v>
      </c>
      <c r="B473" s="161" t="s">
        <v>188</v>
      </c>
      <c r="C473" s="161">
        <v>4057126</v>
      </c>
      <c r="D473" s="161" t="s">
        <v>184</v>
      </c>
      <c r="E473" s="161"/>
      <c r="F473" s="161"/>
      <c r="G473" s="161" t="s">
        <v>136</v>
      </c>
      <c r="H473" s="162">
        <v>2018</v>
      </c>
      <c r="I473" s="163"/>
      <c r="J473" s="159">
        <f>IFERROR(INDEX('Labor Expenditures'!$F$7:$X$91,MATCH($C473,'Labor Expenditures'!$D$7:$D$91,0),MATCH($G473,'Labor Expenditures'!$F$5:$X$5,0)),"NA")</f>
        <v>135833.4358846673</v>
      </c>
      <c r="K473" s="159">
        <f t="shared" si="864"/>
        <v>940.34915808007827</v>
      </c>
      <c r="L473" s="165">
        <f t="shared" si="870"/>
        <v>-1.677612642083293E-2</v>
      </c>
      <c r="M473" s="76">
        <f t="shared" si="874"/>
        <v>-6.5245624021311756E-4</v>
      </c>
      <c r="N473" s="62">
        <f t="shared" si="881"/>
        <v>113.12610314894913</v>
      </c>
      <c r="O473" s="96">
        <f t="shared" si="875"/>
        <v>-0.37087188374200142</v>
      </c>
      <c r="P473" s="96"/>
      <c r="Q473" s="159">
        <f>IFERROR(INDEX('Non-Labor Expenditures'!$F$7:$AB$91,MATCH($C473,'Non-Labor Expenditures'!$D$7:$D$91,0),MATCH($G473,'Non-Labor Expenditures'!$F$5:$AB$5,0)),"NA")</f>
        <v>196712.18534727077</v>
      </c>
      <c r="R473" s="159">
        <f t="shared" si="865"/>
        <v>1783.0730529474699</v>
      </c>
      <c r="S473" s="165">
        <f t="shared" si="876"/>
        <v>-1.2274605775349936E-2</v>
      </c>
      <c r="T473" s="165">
        <f t="shared" si="877"/>
        <v>-4.7738333232502016E-4</v>
      </c>
      <c r="U473" s="165"/>
      <c r="V473" s="165"/>
      <c r="W473" s="159">
        <f t="shared" si="846"/>
        <v>168015.76645369644</v>
      </c>
      <c r="X473" s="163"/>
      <c r="Y473" s="167">
        <v>9062.1465413392343</v>
      </c>
      <c r="Z473" s="168">
        <v>4.420621682321297E-2</v>
      </c>
      <c r="AA473" s="76">
        <f t="shared" si="866"/>
        <v>1.7192658960117309E-3</v>
      </c>
      <c r="AB473" s="168"/>
      <c r="AC473" s="168"/>
      <c r="AD473" s="163">
        <f t="shared" si="811"/>
        <v>500561.38768563455</v>
      </c>
      <c r="AE473" s="168">
        <f t="shared" si="878"/>
        <v>3.2772031156195924E-2</v>
      </c>
      <c r="AF473" s="163"/>
      <c r="AG473" s="163"/>
      <c r="AH473" s="163"/>
      <c r="AI473" s="163"/>
      <c r="AJ473" s="116">
        <f t="shared" si="879"/>
        <v>394.22135881056192</v>
      </c>
      <c r="AK473" s="114">
        <f>+AV473/$AX$23</f>
        <v>3.3991611661563698E-2</v>
      </c>
      <c r="AL473" s="115">
        <f t="shared" si="867"/>
        <v>0.27136219298236042</v>
      </c>
      <c r="AM473" s="115">
        <f t="shared" si="868"/>
        <v>0.39298313890485514</v>
      </c>
      <c r="AN473" s="115">
        <f t="shared" si="869"/>
        <v>0.33565466811278433</v>
      </c>
      <c r="AO473" s="115">
        <f t="shared" si="871"/>
        <v>5.0415597861442635E-3</v>
      </c>
      <c r="AP473" s="166">
        <f t="shared" si="883"/>
        <v>106.25582658467552</v>
      </c>
      <c r="AQ473" s="168">
        <f t="shared" si="884"/>
        <v>5.041559786144182E-3</v>
      </c>
      <c r="AR473" s="69">
        <f>+AD473/$AF$23</f>
        <v>3.8891948227266833E-2</v>
      </c>
      <c r="AS473" s="169">
        <f t="shared" si="882"/>
        <v>1.9607608218738998E-4</v>
      </c>
      <c r="AT473" s="115"/>
      <c r="AU473" s="115"/>
      <c r="AV473" s="113">
        <f>IFERROR(INDEX('Total Customers'!$F$7:$AB$91,MATCH($C473,'Total Customers'!$D$7:$D$91,0),MATCH($G473,'Total Customers'!$F$5:$AB$5,0)),"NA")</f>
        <v>1269747</v>
      </c>
      <c r="AW473" s="68">
        <f t="shared" si="844"/>
        <v>8.6325667188340283E-3</v>
      </c>
      <c r="AX473" s="114"/>
      <c r="AY473" s="114"/>
      <c r="AZ473" s="116"/>
      <c r="BA473" s="116"/>
      <c r="BB473" s="166"/>
      <c r="BC473" s="166"/>
      <c r="BD473" s="166"/>
      <c r="BE473" s="166"/>
      <c r="BF473" s="166"/>
      <c r="BG473" s="166"/>
      <c r="BH473" s="166"/>
      <c r="BI473" s="113"/>
      <c r="BJ473" s="113"/>
      <c r="BK473" s="113">
        <f>INDEX('Dist. Plant Gas Additions'!$F$7:$AE$91,MATCH($C473,'Dist. Plant Gas Additions'!$D$7:$D$91,0),MATCH(Calculation!$G473,'Dist. Plant Gas Additions'!$F$5:$AE$5,0))</f>
        <v>312736</v>
      </c>
      <c r="BL473" s="113">
        <f>INDEX('Gen. Plant Additions'!$F$7:$AE$91,MATCH($C473,'Gen. Plant Additions'!$D$7:$D$91,0),MATCH(Calculation!$G473,'Gen. Plant Additions'!$F$5:$AE$5,0))</f>
        <v>42922</v>
      </c>
      <c r="BM473" s="231">
        <f t="shared" si="847"/>
        <v>0.93489807037389294</v>
      </c>
      <c r="BN473" s="61">
        <f t="shared" si="880"/>
        <v>40127.694976588231</v>
      </c>
      <c r="BO473" s="113">
        <f>INDEX('Dist Plant Depreciation'!$E$7:$AD$94,MATCH($C473,'Dist Plant Depreciation'!$D$7:$D$94,0),MATCH(Calculation!$G473,'Dist Plant Depreciation'!$E$5:$AD$5,0))</f>
        <v>1520250</v>
      </c>
      <c r="BP473" s="113">
        <f>INDEX('Gen. Plant Depreciation'!$E$7:$AD$94,MATCH($C473,'Gen. Plant Depreciation'!$D$7:$D$94,0),MATCH(Calculation!$G473,'Gen. Plant Depreciation'!$E$5:$AD$5,0))</f>
        <v>120680</v>
      </c>
      <c r="BQ473" s="113"/>
      <c r="BR473" s="113"/>
      <c r="BS473" s="113"/>
      <c r="BT473" s="113"/>
      <c r="BU473" s="113"/>
      <c r="BV473" s="113"/>
      <c r="BW473" s="113">
        <f>INDEX('Gross Dx Plant'!$E$7:$AD$91,MATCH($C473,'Gross Dx Plant'!$D$7:$D$91,0),MATCH(Calculation!$G473,'Gross Dx Plant'!$E$5:$AD$5,0))</f>
        <v>3737313</v>
      </c>
      <c r="BX473" s="113">
        <f>INDEX('Gross Gen Plant'!$E$7:$AD$91,MATCH($C473,'Gross Gen Plant'!$D$7:$D$91,0),MATCH(Calculation!$G473,'Gross Gen Plant'!$E$5:$AD$5,0))</f>
        <v>260249</v>
      </c>
      <c r="BY473" s="113">
        <f t="shared" si="885"/>
        <v>2356632</v>
      </c>
      <c r="BZ473" s="113"/>
      <c r="CA473" s="116">
        <v>2018</v>
      </c>
      <c r="CB473" s="113"/>
      <c r="CC473" s="113"/>
      <c r="CD473" s="113"/>
      <c r="CE473" s="175"/>
      <c r="CF473" s="113">
        <f t="shared" si="848"/>
        <v>355658</v>
      </c>
      <c r="CG473" s="113">
        <f t="shared" si="849"/>
        <v>470.98491338754013</v>
      </c>
      <c r="CH473" s="178">
        <v>0.86111111111111116</v>
      </c>
      <c r="CI473" s="61">
        <f>+CI453*CH473++CG454*CH472+CG455*CH471+CG456*CH470+CG457*CH469+CG458*CH468+CG459*CH467+CG460*CH466+CG461*CH465+CG462*CH464+CG463*CH463+CG464*CH462+CG465*CH461+CG466*CH460+CG467*CH459+CG468*CH458+CG469*CH457+CG470*CH456+CG471*CH455+CG472*CH454+CG473</f>
        <v>9062.1465413392343</v>
      </c>
      <c r="CJ473" s="114">
        <f t="shared" si="850"/>
        <v>4.420621682321297E-2</v>
      </c>
      <c r="CK473" s="114"/>
      <c r="CL473" s="169">
        <f t="shared" si="851"/>
        <v>9.123964853814245E-3</v>
      </c>
      <c r="CM473" s="169">
        <f t="shared" si="859"/>
        <v>8.870295250422473E-3</v>
      </c>
      <c r="CN473" s="114">
        <f>VLOOKUP($H473,RoR!$E:$F,2,FALSE)</f>
        <v>3.9299999999999995E-2</v>
      </c>
      <c r="CO473" s="169">
        <v>2.386056741932796E-2</v>
      </c>
      <c r="CP473" s="169">
        <f t="shared" si="857"/>
        <v>1.5439432580672034E-2</v>
      </c>
      <c r="CQ473" s="169">
        <f t="shared" si="860"/>
        <v>2.2031646358111154E-2</v>
      </c>
      <c r="CR473" s="169">
        <f t="shared" si="861"/>
        <v>3.8270792163076606E-2</v>
      </c>
      <c r="CS473" s="179">
        <f t="shared" si="852"/>
        <v>0.92230000000000001</v>
      </c>
      <c r="CT473" s="180">
        <f t="shared" si="853"/>
        <v>1.3048868010700074</v>
      </c>
      <c r="CU473" s="180">
        <f t="shared" si="854"/>
        <v>0.33886768447837151</v>
      </c>
      <c r="CV473" s="180">
        <f t="shared" si="855"/>
        <v>0.78602506232557801</v>
      </c>
      <c r="CW473" s="180">
        <f t="shared" si="856"/>
        <v>0.34756768162358759</v>
      </c>
      <c r="CX473" s="181">
        <f>INDEX('State Tax Lookup'!$D$7:$Z$91,MATCH(Calculation!$C473,'State Tax Lookup'!$B$7:$B$91,0),MATCH($H473,'State Tax Lookup'!$D$6:$Z$6,0))</f>
        <v>0.20999999999999996</v>
      </c>
      <c r="CY473" s="72">
        <v>0.37</v>
      </c>
      <c r="CZ473" s="70">
        <f t="shared" si="858"/>
        <v>19.378380213919815</v>
      </c>
      <c r="DA473" s="70">
        <v>19.050901628905343</v>
      </c>
      <c r="DB473" s="69">
        <f t="shared" si="862"/>
        <v>4.5152019729098554E-2</v>
      </c>
      <c r="DC473" s="111">
        <f>VLOOKUP($H473,RoR!$E:$F,2,FALSE)</f>
        <v>3.9299999999999995E-2</v>
      </c>
      <c r="DD473" s="216">
        <f>HLOOKUP($H473,'GDP-PI'!$D$8:$CQ$11,3,FALSE)</f>
        <v>2.386056741932796E-2</v>
      </c>
      <c r="DE473" s="111">
        <f>VLOOKUP(H473,'HW Dx Data'!$E:$F,2,FALSE)</f>
        <v>755.13671434174842</v>
      </c>
      <c r="DF473" s="72">
        <f t="shared" si="872"/>
        <v>144.44999999999999</v>
      </c>
      <c r="DG473" s="69">
        <f t="shared" si="873"/>
        <v>2.80818733619915E-2</v>
      </c>
      <c r="DH473" s="66">
        <f>HLOOKUP(H473,'GDP-PI'!$8:$9,2,FALSE)</f>
        <v>110.322</v>
      </c>
      <c r="DI473" s="69">
        <f t="shared" si="863"/>
        <v>2.3580352716508712E-2</v>
      </c>
      <c r="EB473"/>
    </row>
    <row r="474" spans="1:132" s="160" customFormat="1" ht="21">
      <c r="A474" s="160" t="s">
        <v>188</v>
      </c>
      <c r="B474" s="161" t="s">
        <v>188</v>
      </c>
      <c r="C474" s="161">
        <v>4057126</v>
      </c>
      <c r="D474" s="161" t="s">
        <v>184</v>
      </c>
      <c r="E474" s="161"/>
      <c r="F474" s="161"/>
      <c r="G474" s="161" t="s">
        <v>140</v>
      </c>
      <c r="H474" s="162">
        <v>2019</v>
      </c>
      <c r="I474" s="163"/>
      <c r="J474" s="159">
        <f>IFERROR(INDEX('Labor Expenditures'!$F$7:$X$91,MATCH($C474,'Labor Expenditures'!$D$7:$D$91,0),MATCH($G474,'Labor Expenditures'!$F$5:$X$5,0)),"NA")</f>
        <v>142058.0451875625</v>
      </c>
      <c r="K474" s="159">
        <f t="shared" si="864"/>
        <v>949.110039669701</v>
      </c>
      <c r="L474" s="165">
        <f t="shared" si="870"/>
        <v>9.2734941136598196E-3</v>
      </c>
      <c r="M474" s="76">
        <f t="shared" si="874"/>
        <v>3.6734438696229931E-4</v>
      </c>
      <c r="N474" s="62">
        <f t="shared" si="881"/>
        <v>114.34534396670273</v>
      </c>
      <c r="O474" s="96">
        <f t="shared" si="875"/>
        <v>1.0720048686530139E-2</v>
      </c>
      <c r="P474" s="96"/>
      <c r="Q474" s="159">
        <f>IFERROR(INDEX('Non-Labor Expenditures'!$F$7:$AB$91,MATCH($C474,'Non-Labor Expenditures'!$D$7:$D$91,0),MATCH($G474,'Non-Labor Expenditures'!$F$5:$AB$5,0)),"NA")</f>
        <v>205726.58221451283</v>
      </c>
      <c r="R474" s="159">
        <f t="shared" si="865"/>
        <v>1831.6439236321235</v>
      </c>
      <c r="S474" s="165">
        <f t="shared" si="876"/>
        <v>2.6875572561429702E-2</v>
      </c>
      <c r="T474" s="165">
        <f t="shared" si="877"/>
        <v>1.0646031157012219E-3</v>
      </c>
      <c r="U474" s="165"/>
      <c r="V474" s="165"/>
      <c r="W474" s="159">
        <f t="shared" si="846"/>
        <v>177844.51504921666</v>
      </c>
      <c r="X474" s="163"/>
      <c r="Y474" s="167">
        <v>9421.2014173704956</v>
      </c>
      <c r="Z474" s="168">
        <v>3.8856602369654832E-2</v>
      </c>
      <c r="AA474" s="76">
        <f t="shared" si="866"/>
        <v>1.5391992060353496E-3</v>
      </c>
      <c r="AB474" s="168"/>
      <c r="AC474" s="168"/>
      <c r="AD474" s="163">
        <f t="shared" si="811"/>
        <v>525629.14245129202</v>
      </c>
      <c r="AE474" s="168">
        <f t="shared" si="878"/>
        <v>4.8865667744830532E-2</v>
      </c>
      <c r="AF474" s="163"/>
      <c r="AG474" s="163"/>
      <c r="AH474" s="163"/>
      <c r="AI474" s="163"/>
      <c r="AJ474" s="116">
        <f t="shared" si="879"/>
        <v>409.810217907224</v>
      </c>
      <c r="AK474" s="114">
        <f>+AV474/$AX$24</f>
        <v>3.4052943462703614E-2</v>
      </c>
      <c r="AL474" s="115">
        <f t="shared" si="867"/>
        <v>0.27026287873817129</v>
      </c>
      <c r="AM474" s="115">
        <f t="shared" si="868"/>
        <v>0.39139112655569075</v>
      </c>
      <c r="AN474" s="115">
        <f t="shared" si="869"/>
        <v>0.33834599470613791</v>
      </c>
      <c r="AO474" s="115">
        <f t="shared" si="871"/>
        <v>2.6146320076576308E-2</v>
      </c>
      <c r="AP474" s="166">
        <f t="shared" si="883"/>
        <v>109.07066389811847</v>
      </c>
      <c r="AQ474" s="168">
        <f t="shared" si="884"/>
        <v>2.6146320076576232E-2</v>
      </c>
      <c r="AR474" s="69">
        <f>+AD474/$AF$24</f>
        <v>3.9612295264327878E-2</v>
      </c>
      <c r="AS474" s="169">
        <f t="shared" si="882"/>
        <v>1.0357157509489616E-3</v>
      </c>
      <c r="AT474" s="115"/>
      <c r="AU474" s="115"/>
      <c r="AV474" s="113">
        <f>IFERROR(INDEX('Total Customers'!$F$7:$AB$91,MATCH($C474,'Total Customers'!$D$7:$D$91,0),MATCH($G474,'Total Customers'!$F$5:$AB$5,0)),"NA")</f>
        <v>1282616</v>
      </c>
      <c r="AW474" s="68">
        <f t="shared" si="844"/>
        <v>1.0084074289053339E-2</v>
      </c>
      <c r="AX474" s="114"/>
      <c r="AY474" s="114"/>
      <c r="AZ474" s="116"/>
      <c r="BA474" s="116"/>
      <c r="BB474" s="166"/>
      <c r="BC474" s="166"/>
      <c r="BD474" s="166"/>
      <c r="BE474" s="166"/>
      <c r="BF474" s="166"/>
      <c r="BG474" s="166"/>
      <c r="BH474" s="166"/>
      <c r="BI474" s="113"/>
      <c r="BJ474" s="113"/>
      <c r="BK474" s="113">
        <f>INDEX('Dist. Plant Gas Additions'!$F$7:$AE$91,MATCH($C474,'Dist. Plant Gas Additions'!$D$7:$D$91,0),MATCH(Calculation!$G474,'Dist. Plant Gas Additions'!$F$5:$AE$5,0))</f>
        <v>289984</v>
      </c>
      <c r="BL474" s="113">
        <f>INDEX('Gen. Plant Additions'!$F$7:$AE$91,MATCH($C474,'Gen. Plant Additions'!$D$7:$D$91,0),MATCH(Calculation!$G474,'Gen. Plant Additions'!$F$5:$AE$5,0))</f>
        <v>53215</v>
      </c>
      <c r="BM474" s="231">
        <f t="shared" si="847"/>
        <v>0.92859277948285079</v>
      </c>
      <c r="BN474" s="61">
        <f t="shared" si="880"/>
        <v>49415.064760179906</v>
      </c>
      <c r="BO474" s="113">
        <f>INDEX('Dist Plant Depreciation'!$E$7:$AD$94,MATCH($C474,'Dist Plant Depreciation'!$D$7:$D$94,0),MATCH(Calculation!$G474,'Dist Plant Depreciation'!$E$5:$AD$5,0))</f>
        <v>1537280</v>
      </c>
      <c r="BP474" s="113">
        <f>INDEX('Gen. Plant Depreciation'!$E$7:$AD$94,MATCH($C474,'Gen. Plant Depreciation'!$D$7:$D$94,0),MATCH(Calculation!$G474,'Gen. Plant Depreciation'!$E$5:$AD$5,0))</f>
        <v>112061</v>
      </c>
      <c r="BQ474" s="113"/>
      <c r="BR474" s="113"/>
      <c r="BS474" s="113"/>
      <c r="BT474" s="113"/>
      <c r="BU474" s="113"/>
      <c r="BV474" s="113"/>
      <c r="BW474" s="113">
        <f>INDEX('Gross Dx Plant'!$E$7:$AD$91,MATCH($C474,'Gross Dx Plant'!$D$7:$D$91,0),MATCH(Calculation!$G474,'Gross Dx Plant'!$E$5:$AD$5,0))</f>
        <v>4004366</v>
      </c>
      <c r="BX474" s="113">
        <f>INDEX('Gross Gen Plant'!$E$7:$AD$91,MATCH($C474,'Gross Gen Plant'!$D$7:$D$91,0),MATCH(Calculation!$G474,'Gross Gen Plant'!$E$5:$AD$5,0))</f>
        <v>307929</v>
      </c>
      <c r="BY474" s="113">
        <f t="shared" si="885"/>
        <v>2662954</v>
      </c>
      <c r="BZ474" s="113"/>
      <c r="CA474" s="116">
        <v>2019</v>
      </c>
      <c r="CB474" s="113"/>
      <c r="CC474" s="113"/>
      <c r="CD474" s="113"/>
      <c r="CE474" s="175"/>
      <c r="CF474" s="113">
        <f t="shared" si="848"/>
        <v>343199</v>
      </c>
      <c r="CG474" s="113">
        <f t="shared" si="849"/>
        <v>443.67364517127908</v>
      </c>
      <c r="CH474" s="178">
        <v>0.85106382978723405</v>
      </c>
      <c r="CI474" s="61">
        <f>CI453*CH474+CG454*CH473+CG455*CH472+CG456*CH471+CG457*CH470+CG458*CH469+CG459*CH468+CG460*CH467+CG461*CH466+CG462*CH465+CG463*CH464+CG464*CH463+CG465*CH462+CG466*CH461+CG467*CH460+CG468*CH459+CG469*CH458+CG470*CH457+CG471*CH456+CG472*CH455+CG473*CH454+CG474</f>
        <v>9421.2014173704956</v>
      </c>
      <c r="CJ474" s="114">
        <f t="shared" si="850"/>
        <v>3.8856602369654832E-2</v>
      </c>
      <c r="CK474" s="114"/>
      <c r="CL474" s="169">
        <f t="shared" si="851"/>
        <v>9.3376076798149556E-3</v>
      </c>
      <c r="CM474" s="169">
        <f t="shared" si="859"/>
        <v>9.1082037654465122E-3</v>
      </c>
      <c r="CN474" s="114">
        <f>VLOOKUP($H474,RoR!$E:$F,2,FALSE)</f>
        <v>3.3875000000000009E-2</v>
      </c>
      <c r="CO474" s="169">
        <v>1.8092492884465461E-2</v>
      </c>
      <c r="CP474" s="169">
        <f t="shared" si="857"/>
        <v>1.5782507115534548E-2</v>
      </c>
      <c r="CQ474" s="169">
        <f t="shared" si="860"/>
        <v>2.1793737843087115E-2</v>
      </c>
      <c r="CR474" s="169">
        <f t="shared" si="861"/>
        <v>4.8445665544254078E-2</v>
      </c>
      <c r="CS474" s="179">
        <f t="shared" si="852"/>
        <v>0.92230000000000001</v>
      </c>
      <c r="CT474" s="180">
        <f t="shared" si="853"/>
        <v>1.513861292459078</v>
      </c>
      <c r="CU474" s="180">
        <f t="shared" si="854"/>
        <v>0.23699261992619944</v>
      </c>
      <c r="CV474" s="180">
        <f t="shared" si="855"/>
        <v>0.73619765810468829</v>
      </c>
      <c r="CW474" s="180">
        <f t="shared" si="856"/>
        <v>0.26412854465362851</v>
      </c>
      <c r="CX474" s="181">
        <f>INDEX('State Tax Lookup'!$D$7:$Z$91,MATCH(Calculation!$C474,'State Tax Lookup'!$B$7:$B$91,0),MATCH($H474,'State Tax Lookup'!$D$6:$Z$6,0))</f>
        <v>0.20999999999999996</v>
      </c>
      <c r="CY474" s="72">
        <v>0.37</v>
      </c>
      <c r="CZ474" s="70">
        <f t="shared" si="858"/>
        <v>19.624987770605419</v>
      </c>
      <c r="DA474" s="70">
        <v>19.236104090735289</v>
      </c>
      <c r="DB474" s="69">
        <f t="shared" si="862"/>
        <v>1.2645617837916194E-2</v>
      </c>
      <c r="DC474" s="111">
        <f>VLOOKUP($H474,RoR!$E:$F,2,FALSE)</f>
        <v>3.3875000000000009E-2</v>
      </c>
      <c r="DD474" s="216">
        <f>HLOOKUP($H474,'GDP-PI'!$D$8:$CQ$11,3,FALSE)</f>
        <v>1.8092492884465461E-2</v>
      </c>
      <c r="DE474" s="111">
        <f>VLOOKUP(H474,'HW Dx Data'!$E:$F,2,FALSE)</f>
        <v>773.53929793938721</v>
      </c>
      <c r="DF474" s="72">
        <f t="shared" si="872"/>
        <v>149.67500000000001</v>
      </c>
      <c r="DG474" s="69">
        <f t="shared" si="873"/>
        <v>3.5532849899171604E-2</v>
      </c>
      <c r="DH474" s="66">
        <f>HLOOKUP(H474,'GDP-PI'!$8:$9,2,FALSE)</f>
        <v>112.318</v>
      </c>
      <c r="DI474" s="69">
        <f t="shared" si="863"/>
        <v>1.7930771451401852E-2</v>
      </c>
      <c r="EB474"/>
    </row>
    <row r="475" spans="1:132" s="160" customFormat="1" ht="21">
      <c r="A475" s="160" t="s">
        <v>188</v>
      </c>
      <c r="B475" s="160" t="s">
        <v>188</v>
      </c>
      <c r="C475" s="160">
        <v>4057126</v>
      </c>
      <c r="D475" s="160" t="s">
        <v>184</v>
      </c>
      <c r="G475" s="161" t="s">
        <v>141</v>
      </c>
      <c r="H475" s="162">
        <v>2020</v>
      </c>
      <c r="I475" s="163"/>
      <c r="J475" s="159">
        <f>IFERROR(INDEX('Labor Expenditures'!$F$7:$X$91,MATCH($C475,'Labor Expenditures'!$D$7:$D$91,0),MATCH($G475,'Labor Expenditures'!$F$5:$X$5,0)),"NA")</f>
        <v>138859.76142642426</v>
      </c>
      <c r="K475" s="159">
        <f t="shared" si="864"/>
        <v>906.69122707426868</v>
      </c>
      <c r="L475" s="165">
        <f t="shared" si="870"/>
        <v>-4.5722786235324601E-2</v>
      </c>
      <c r="M475" s="76">
        <f t="shared" si="874"/>
        <v>-1.7792512191556241E-3</v>
      </c>
      <c r="N475" s="62">
        <f t="shared" si="881"/>
        <v>114.02217331080524</v>
      </c>
      <c r="O475" s="96">
        <f t="shared" si="875"/>
        <v>-2.8302700443399629E-3</v>
      </c>
      <c r="P475" s="96"/>
      <c r="Q475" s="159">
        <f>IFERROR(INDEX('Non-Labor Expenditures'!$F$7:$AB$91,MATCH($C475,'Non-Labor Expenditures'!$D$7:$D$91,0),MATCH($G475,'Non-Labor Expenditures'!$F$5:$AB$5,0)),"NA")</f>
        <v>201094.86997137719</v>
      </c>
      <c r="R475" s="159">
        <f t="shared" si="865"/>
        <v>1769.8429892836589</v>
      </c>
      <c r="S475" s="165">
        <f t="shared" si="876"/>
        <v>-3.4323046499348975E-2</v>
      </c>
      <c r="T475" s="165">
        <f t="shared" si="877"/>
        <v>-1.3356430645934867E-3</v>
      </c>
      <c r="U475" s="165"/>
      <c r="V475" s="165"/>
      <c r="W475" s="159">
        <f t="shared" si="846"/>
        <v>192266.20338341495</v>
      </c>
      <c r="X475" s="163"/>
      <c r="Y475" s="167">
        <v>9845.3060146669741</v>
      </c>
      <c r="Z475" s="168">
        <v>4.4032175410342184E-2</v>
      </c>
      <c r="AA475" s="76">
        <f t="shared" si="866"/>
        <v>1.7134629849044113E-3</v>
      </c>
      <c r="AB475" s="168"/>
      <c r="AC475" s="168"/>
      <c r="AD475" s="163">
        <f t="shared" si="811"/>
        <v>532220.83478121646</v>
      </c>
      <c r="AE475" s="168">
        <f t="shared" si="878"/>
        <v>1.246259448502518E-2</v>
      </c>
      <c r="AF475" s="163"/>
      <c r="AG475" s="163"/>
      <c r="AH475" s="163"/>
      <c r="AI475" s="163"/>
      <c r="AJ475" s="116">
        <f t="shared" si="879"/>
        <v>410.06968660500434</v>
      </c>
      <c r="AK475" s="114">
        <f>+AV475/$AX$25</f>
        <v>3.4214841309135477E-2</v>
      </c>
      <c r="AL475" s="115">
        <f t="shared" si="867"/>
        <v>0.26090628617255518</v>
      </c>
      <c r="AM475" s="115">
        <f t="shared" si="868"/>
        <v>0.37784103295024629</v>
      </c>
      <c r="AN475" s="115">
        <f t="shared" si="869"/>
        <v>0.36125268087719847</v>
      </c>
      <c r="AO475" s="115">
        <f t="shared" si="871"/>
        <v>-9.9420368806986941E-3</v>
      </c>
      <c r="AP475" s="166">
        <f t="shared" si="883"/>
        <v>107.9916520108451</v>
      </c>
      <c r="AQ475" s="168">
        <f t="shared" si="884"/>
        <v>-9.9420368806987201E-3</v>
      </c>
      <c r="AR475" s="69">
        <f>+AD475/$AF$25</f>
        <v>3.8913884425114204E-2</v>
      </c>
      <c r="AS475" s="169">
        <f t="shared" si="882"/>
        <v>-3.8688327412573294E-4</v>
      </c>
      <c r="AT475" s="115"/>
      <c r="AU475" s="115"/>
      <c r="AV475" s="113">
        <f>IFERROR(INDEX('Total Customers'!$F$7:$AB$91,MATCH($C475,'Total Customers'!$D$7:$D$91,0),MATCH($G475,'Total Customers'!$F$5:$AB$5,0)),"NA")</f>
        <v>1297879</v>
      </c>
      <c r="AW475" s="68">
        <f t="shared" si="844"/>
        <v>1.1829651281966525E-2</v>
      </c>
      <c r="AX475" s="114"/>
      <c r="AY475" s="114"/>
      <c r="AZ475" s="116"/>
      <c r="BA475" s="116"/>
      <c r="BB475" s="166"/>
      <c r="BC475" s="166"/>
      <c r="BD475" s="166"/>
      <c r="BE475" s="166"/>
      <c r="BF475" s="166"/>
      <c r="BG475" s="166"/>
      <c r="BH475" s="166"/>
      <c r="BI475" s="113"/>
      <c r="BJ475" s="113"/>
      <c r="BK475" s="113">
        <f>INDEX('Dist. Plant Gas Additions'!$F$7:$AE$91,MATCH($C475,'Dist. Plant Gas Additions'!$D$7:$D$91,0),MATCH(Calculation!$G475,'Dist. Plant Gas Additions'!$F$5:$AE$5,0))</f>
        <v>399983</v>
      </c>
      <c r="BL475" s="113">
        <f>INDEX('Gen. Plant Additions'!$F$7:$AE$91,MATCH($C475,'Gen. Plant Additions'!$D$7:$D$91,0),MATCH(Calculation!$G475,'Gen. Plant Additions'!$F$5:$AE$5,0))</f>
        <v>18238</v>
      </c>
      <c r="BM475" s="231">
        <f t="shared" si="847"/>
        <v>0.93119599414697141</v>
      </c>
      <c r="BN475" s="61">
        <f t="shared" si="880"/>
        <v>16983.152541252464</v>
      </c>
      <c r="BO475" s="113">
        <f>INDEX('Dist Plant Depreciation'!$E$7:$AD$94,MATCH($C475,'Dist Plant Depreciation'!$D$7:$D$94,0),MATCH(Calculation!$G475,'Dist Plant Depreciation'!$E$5:$AD$5,0))</f>
        <v>1551375</v>
      </c>
      <c r="BP475" s="113">
        <f>INDEX('Gen. Plant Depreciation'!$E$7:$AD$94,MATCH($C475,'Gen. Plant Depreciation'!$D$7:$D$94,0),MATCH(Calculation!$G475,'Gen. Plant Depreciation'!$E$5:$AD$5,0))</f>
        <v>97732</v>
      </c>
      <c r="BQ475" s="113"/>
      <c r="BR475" s="113"/>
      <c r="BS475" s="113"/>
      <c r="BT475" s="113"/>
      <c r="BU475" s="113"/>
      <c r="BV475" s="113"/>
      <c r="BW475" s="113">
        <f>INDEX('Gross Dx Plant'!$E$7:$AD$91,MATCH($C475,'Gross Dx Plant'!$D$7:$D$91,0),MATCH(Calculation!$G475,'Gross Dx Plant'!$E$5:$AD$5,0))</f>
        <v>4366879</v>
      </c>
      <c r="BX475" s="113">
        <f>INDEX('Gross Gen Plant'!$E$7:$AD$91,MATCH($C475,'Gross Gen Plant'!$D$7:$D$91,0),MATCH(Calculation!$G475,'Gross Gen Plant'!$E$5:$AD$5,0))</f>
        <v>322659</v>
      </c>
      <c r="BY475" s="113">
        <f t="shared" si="885"/>
        <v>3040431</v>
      </c>
      <c r="BZ475" s="113"/>
      <c r="CA475" s="116">
        <v>2020</v>
      </c>
      <c r="CB475" s="113"/>
      <c r="CC475" s="113"/>
      <c r="CD475" s="113"/>
      <c r="CE475" s="175"/>
      <c r="CF475" s="113">
        <f t="shared" si="848"/>
        <v>418221</v>
      </c>
      <c r="CG475" s="113">
        <f t="shared" si="849"/>
        <v>514.3662572399495</v>
      </c>
      <c r="CH475" s="178">
        <v>0.84057971014492749</v>
      </c>
      <c r="CI475" s="61">
        <f>CI453*CH475+CG454*CH474+CG455*CH473+CG456*CH472+CG457*CH471+CG458*CH470+CG459*CH469+CG460*CH468+CG461*CH467+CG462*CH466+CG463*CH465+CG464*CH464+CG465*CH463+CG466*CH462+CG467*CH461+CG468*CH460+CG469*CH459+CG470*CH458+CG471*CH457+CG472*CH456+CG473*CH455+CG474*CH454+CG475</f>
        <v>9845.3060146669741</v>
      </c>
      <c r="CJ475" s="114">
        <f t="shared" si="850"/>
        <v>4.4032175410342184E-2</v>
      </c>
      <c r="CK475" s="114"/>
      <c r="CL475" s="169">
        <f t="shared" si="851"/>
        <v>9.5806952791657359E-3</v>
      </c>
      <c r="CM475" s="169">
        <f t="shared" si="859"/>
        <v>9.3474226042649794E-3</v>
      </c>
      <c r="CN475" s="114">
        <f>VLOOKUP($H475,RoR!$E:$F,2,FALSE)</f>
        <v>2.4766666666666666E-2</v>
      </c>
      <c r="CO475" s="169">
        <v>1.1618796630994188E-2</v>
      </c>
      <c r="CP475" s="169">
        <f t="shared" si="857"/>
        <v>1.3147870035672478E-2</v>
      </c>
      <c r="CQ475" s="169">
        <f t="shared" si="860"/>
        <v>2.1554519004268646E-2</v>
      </c>
      <c r="CR475" s="169">
        <f t="shared" si="861"/>
        <v>4.5144642961987357E-2</v>
      </c>
      <c r="CS475" s="179">
        <f t="shared" si="852"/>
        <v>0.92230000000000001</v>
      </c>
      <c r="CT475" s="180">
        <f t="shared" si="853"/>
        <v>2.0706077233668081</v>
      </c>
      <c r="CU475" s="180">
        <f t="shared" si="854"/>
        <v>-3.4421265141318998E-2</v>
      </c>
      <c r="CV475" s="180">
        <f t="shared" si="855"/>
        <v>0.62416226176410472</v>
      </c>
      <c r="CW475" s="180">
        <f t="shared" si="856"/>
        <v>-4.4485877841158712E-2</v>
      </c>
      <c r="CX475" s="181">
        <f>INDEX('State Tax Lookup'!$D$7:$Z$91,MATCH(Calculation!$C475,'State Tax Lookup'!$B$7:$B$91,0),MATCH($H475,'State Tax Lookup'!$D$6:$Z$6,0))</f>
        <v>0.20999999999999996</v>
      </c>
      <c r="CY475" s="72">
        <v>0.37</v>
      </c>
      <c r="CZ475" s="70">
        <f t="shared" si="858"/>
        <v>20.407822194409405</v>
      </c>
      <c r="DA475" s="70">
        <v>19.952659173050833</v>
      </c>
      <c r="DB475" s="69">
        <f t="shared" si="862"/>
        <v>3.9114627743502425E-2</v>
      </c>
      <c r="DC475" s="111">
        <f>VLOOKUP($H475,RoR!$E:$F,2,FALSE)</f>
        <v>2.4766666666666666E-2</v>
      </c>
      <c r="DD475" s="216">
        <f>HLOOKUP($H475,'GDP-PI'!$D$8:$CQ$11,3,FALSE)</f>
        <v>1.1618796630994188E-2</v>
      </c>
      <c r="DE475" s="111">
        <f>VLOOKUP(H475,'HW Dx Data'!$E:$F,2,FALSE)</f>
        <v>813.080162458833</v>
      </c>
      <c r="DF475" s="72">
        <f t="shared" si="872"/>
        <v>153.15</v>
      </c>
      <c r="DG475" s="69">
        <f t="shared" si="873"/>
        <v>2.2951556467368479E-2</v>
      </c>
      <c r="DH475" s="66">
        <f>HLOOKUP(H475,'GDP-PI'!$8:$9,2,FALSE)</f>
        <v>113.623</v>
      </c>
      <c r="DI475" s="69">
        <f t="shared" si="863"/>
        <v>1.1551816731392881E-2</v>
      </c>
      <c r="EB475"/>
    </row>
    <row r="476" spans="1:132" s="160" customFormat="1" ht="21">
      <c r="A476" s="160" t="s">
        <v>188</v>
      </c>
      <c r="B476" s="160" t="s">
        <v>188</v>
      </c>
      <c r="C476" s="160">
        <v>4057126</v>
      </c>
      <c r="D476" s="160" t="s">
        <v>184</v>
      </c>
      <c r="G476" s="161" t="s">
        <v>142</v>
      </c>
      <c r="H476" s="162">
        <v>2021</v>
      </c>
      <c r="I476" s="163"/>
      <c r="J476" s="159">
        <v>154357.18007658049</v>
      </c>
      <c r="K476" s="159">
        <f t="shared" si="864"/>
        <v>981.60368888127505</v>
      </c>
      <c r="L476" s="164">
        <f t="shared" si="870"/>
        <v>7.9385692478752379E-2</v>
      </c>
      <c r="M476" s="76">
        <f t="shared" si="874"/>
        <v>2.9131850212616413E-3</v>
      </c>
      <c r="N476" s="166">
        <f>+N475*EXP(O476)</f>
        <v>118.68575147686254</v>
      </c>
      <c r="O476" s="114">
        <f t="shared" si="875"/>
        <v>4.0086324097194925E-2</v>
      </c>
      <c r="P476" s="114"/>
      <c r="Q476" s="159">
        <v>217587.83215614362</v>
      </c>
      <c r="R476" s="159">
        <f t="shared" si="865"/>
        <v>1836.3392029381689</v>
      </c>
      <c r="S476" s="165">
        <f t="shared" si="876"/>
        <v>3.6883190157900488E-2</v>
      </c>
      <c r="T476" s="165">
        <f t="shared" si="877"/>
        <v>1.3534876846114166E-3</v>
      </c>
      <c r="U476" s="165"/>
      <c r="V476" s="165"/>
      <c r="W476" s="159">
        <f t="shared" si="846"/>
        <v>190333.40214380412</v>
      </c>
      <c r="X476" s="163"/>
      <c r="Y476" s="167">
        <v>10128.546755795946</v>
      </c>
      <c r="Z476" s="168"/>
      <c r="AA476" s="76">
        <f t="shared" si="866"/>
        <v>0</v>
      </c>
      <c r="AB476" s="168"/>
      <c r="AC476" s="168"/>
      <c r="AD476" s="163">
        <f t="shared" si="811"/>
        <v>562278.41437652824</v>
      </c>
      <c r="AE476" s="168">
        <f t="shared" si="878"/>
        <v>5.4938620288036186E-2</v>
      </c>
      <c r="AF476" s="113"/>
      <c r="AG476" s="114"/>
      <c r="AH476" s="114"/>
      <c r="AI476" s="114"/>
      <c r="AJ476" s="116">
        <f t="shared" si="879"/>
        <v>428.66126788624319</v>
      </c>
      <c r="AK476" s="114">
        <f>+AV476/$AX$26</f>
        <v>3.3976548629436609E-2</v>
      </c>
      <c r="AL476" s="115">
        <f t="shared" si="867"/>
        <v>0.27452090660057887</v>
      </c>
      <c r="AM476" s="115">
        <f t="shared" si="868"/>
        <v>0.38697525388274379</v>
      </c>
      <c r="AN476" s="115">
        <f t="shared" si="869"/>
        <v>0.33850383951667734</v>
      </c>
      <c r="AO476" s="115">
        <f t="shared" si="871"/>
        <v>3.5357061506685106E-2</v>
      </c>
      <c r="AP476" s="166">
        <f t="shared" si="883"/>
        <v>111.87822348431229</v>
      </c>
      <c r="AQ476" s="168">
        <f t="shared" si="884"/>
        <v>3.5357061506685002E-2</v>
      </c>
      <c r="AR476" s="69">
        <f>+AD476/$AF$26</f>
        <v>3.6696600234876794E-2</v>
      </c>
      <c r="AS476" s="169">
        <f t="shared" si="882"/>
        <v>1.29748395159077E-3</v>
      </c>
      <c r="AT476" s="115"/>
      <c r="AU476" s="115"/>
      <c r="AV476" s="113">
        <f>INDEX('Total Customers'!$E$7:$E$91,MATCH(Calculation!$C476,'Total Customers'!$D$7:$D$91,0))</f>
        <v>1311708</v>
      </c>
      <c r="AW476" s="68">
        <f t="shared" si="844"/>
        <v>1.0598711178288867E-2</v>
      </c>
      <c r="AX476" s="113"/>
      <c r="AY476" s="113"/>
      <c r="AZ476" s="116"/>
      <c r="BA476" s="116"/>
      <c r="BB476" s="166"/>
      <c r="BC476" s="166"/>
      <c r="BD476" s="166"/>
      <c r="BE476" s="166"/>
      <c r="BF476" s="166"/>
      <c r="BG476" s="166"/>
      <c r="BH476" s="166"/>
      <c r="BI476" s="113"/>
      <c r="BJ476" s="113"/>
      <c r="BK476" s="113">
        <f>INDEX('Dist. Plant Gas Additions'!$E$7:$AE$91,MATCH($C476,'Dist. Plant Gas Additions'!$D$7:$D$91,0),MATCH(Calculation!$G476,'Dist. Plant Gas Additions'!$E$5:$AE$5,0))</f>
        <v>409680</v>
      </c>
      <c r="BL476" s="113">
        <f>INDEX('Gen. Plant Additions'!$E$7:$AE$91,MATCH($C476,'Gen. Plant Additions'!$D$7:$D$91,0),MATCH(Calculation!$G476,'Gen. Plant Additions'!$E$5:$AE$5,0))</f>
        <v>41106</v>
      </c>
      <c r="BM476" s="232">
        <v>0.93119599414697141</v>
      </c>
      <c r="BN476" s="61">
        <f t="shared" si="880"/>
        <v>38277.742535405407</v>
      </c>
      <c r="BO476" s="113"/>
      <c r="BP476" s="113"/>
      <c r="BQ476" s="175"/>
      <c r="BR476" s="175"/>
      <c r="BS476" s="170"/>
      <c r="BT476" s="176"/>
      <c r="BU476" s="177"/>
      <c r="BV476" s="177"/>
      <c r="BW476" s="113"/>
      <c r="BX476" s="113"/>
      <c r="BY476" s="113"/>
      <c r="BZ476" s="113"/>
      <c r="CA476" s="116">
        <v>2021</v>
      </c>
      <c r="CB476" s="113"/>
      <c r="CC476" s="113"/>
      <c r="CD476" s="113"/>
      <c r="CE476" s="175"/>
      <c r="CF476" s="113">
        <f t="shared" si="848"/>
        <v>450786</v>
      </c>
      <c r="CG476" s="113">
        <f t="shared" si="849"/>
        <v>483.14590524717687</v>
      </c>
      <c r="CH476" s="178">
        <f>+(51-23)/(51-23*0.75)</f>
        <v>0.82962962962962961</v>
      </c>
      <c r="CI476" s="113">
        <f>CI453*CH476+CG454*CH475+CG455*CH474+CG456*CH473+CG457*CH472+CG458*CH471+CG459*CH470+CG460*CH469+CG461*CH468+CG462*CH467+CG463*CH466+CG464*CH465+CG465*CH464+CG466*CH463+CG467*CH462+CG458*CH461+CG469*CH460+CG470*CH459+CG471*CH458+CG472*CH457+CG473*CH456+CG474*CH455+CG476+CG475*CH454</f>
        <v>10128.546755795946</v>
      </c>
      <c r="CJ476" s="114"/>
      <c r="CK476" s="113"/>
      <c r="CL476" s="169">
        <f t="shared" si="851"/>
        <v>2.0304616618355809E-2</v>
      </c>
      <c r="CM476" s="169">
        <f t="shared" si="859"/>
        <v>1.3074306525778833E-2</v>
      </c>
      <c r="CN476" s="114">
        <f>VLOOKUP($H476,RoR!$E:$F,2,FALSE)</f>
        <v>2.7033333333333336E-2</v>
      </c>
      <c r="CO476" s="169"/>
      <c r="CP476" s="169"/>
      <c r="CQ476" s="169">
        <f t="shared" si="860"/>
        <v>1.7827635082754791E-2</v>
      </c>
      <c r="CR476" s="169">
        <f t="shared" si="861"/>
        <v>7.433422950153494E-2</v>
      </c>
      <c r="CS476" s="179">
        <f t="shared" si="852"/>
        <v>0.92230000000000001</v>
      </c>
      <c r="CT476" s="180">
        <f t="shared" si="853"/>
        <v>1.8969932656739068</v>
      </c>
      <c r="CU476" s="180">
        <f t="shared" si="854"/>
        <v>5.0215782983970621E-2</v>
      </c>
      <c r="CV476" s="180">
        <f t="shared" si="855"/>
        <v>0.655952481704143</v>
      </c>
      <c r="CW476" s="180">
        <f t="shared" si="856"/>
        <v>6.2485378865697057E-2</v>
      </c>
      <c r="CX476" s="181">
        <f>CX475</f>
        <v>0.20999999999999996</v>
      </c>
      <c r="CY476" s="72">
        <v>0.37</v>
      </c>
      <c r="CZ476" s="182">
        <f t="shared" si="858"/>
        <v>19.332400827384777</v>
      </c>
      <c r="DA476" s="182"/>
      <c r="DB476" s="169">
        <f t="shared" si="862"/>
        <v>-5.4135780609163027E-2</v>
      </c>
      <c r="DC476" s="181">
        <f>VLOOKUP($H476,RoR!$E:$F,2,FALSE)</f>
        <v>2.7033333333333336E-2</v>
      </c>
      <c r="DD476" s="183">
        <f>HLOOKUP($H476,'GDP-PI'!$D$8:$CR$11,3,FALSE)</f>
        <v>4.2834637353352578E-2</v>
      </c>
      <c r="DE476" s="181">
        <f>VLOOKUP(H476,'HW Dx Data'!$E:$F,2,FALSE)</f>
        <v>933.02249921662576</v>
      </c>
      <c r="DF476" s="72">
        <f t="shared" si="872"/>
        <v>157.25</v>
      </c>
      <c r="DG476" s="69">
        <f t="shared" si="873"/>
        <v>2.6419062301765574E-2</v>
      </c>
      <c r="DH476" s="175">
        <f>HLOOKUP(H476,'GDP-PI'!$8:$9,2,FALSE)</f>
        <v>118.49</v>
      </c>
      <c r="DI476" s="169">
        <f t="shared" si="863"/>
        <v>4.194261824609434E-2</v>
      </c>
      <c r="EB476"/>
    </row>
    <row r="477" spans="1:132" s="160" customFormat="1" ht="21">
      <c r="G477" s="161" t="s">
        <v>144</v>
      </c>
      <c r="H477" s="162"/>
      <c r="I477" s="163"/>
      <c r="J477" s="159">
        <v>161995.56460019326</v>
      </c>
      <c r="K477" s="159">
        <f t="shared" si="864"/>
        <v>996.58913934292991</v>
      </c>
      <c r="L477" s="164">
        <f t="shared" ref="L477" si="886">LN(K477/K476)</f>
        <v>1.5150936659992901E-2</v>
      </c>
      <c r="M477" s="76">
        <f t="shared" si="874"/>
        <v>6.0113570643630944E-4</v>
      </c>
      <c r="N477" s="166">
        <f>+N476*EXP(O477)</f>
        <v>118.79109361282362</v>
      </c>
      <c r="O477" s="114">
        <f t="shared" si="875"/>
        <v>8.8717822430832709E-4</v>
      </c>
      <c r="P477" s="114"/>
      <c r="Q477" s="215">
        <v>228355.19347256163</v>
      </c>
      <c r="R477" s="159">
        <f t="shared" si="865"/>
        <v>1794.5398308256317</v>
      </c>
      <c r="S477" s="165">
        <f t="shared" ref="S477" si="887">LN(R477/R476)</f>
        <v>-2.3025398772626E-2</v>
      </c>
      <c r="T477" s="165">
        <f t="shared" si="877"/>
        <v>-9.1356657794692067E-4</v>
      </c>
      <c r="U477" s="166"/>
      <c r="V477" s="114"/>
      <c r="W477" s="159">
        <f t="shared" si="846"/>
        <v>254201.23928577791</v>
      </c>
      <c r="X477" s="168"/>
      <c r="Y477" s="167">
        <v>10566.247758092943</v>
      </c>
      <c r="Z477" s="168">
        <v>4.230689856303653E-2</v>
      </c>
      <c r="AA477" s="76">
        <f t="shared" si="866"/>
        <v>1.6785884546647008E-3</v>
      </c>
      <c r="AB477" s="166"/>
      <c r="AC477" s="114"/>
      <c r="AD477" s="163">
        <f t="shared" si="811"/>
        <v>644551.99735853286</v>
      </c>
      <c r="AE477" s="168">
        <f t="shared" si="878"/>
        <v>0.13655837125570305</v>
      </c>
      <c r="AF477" s="113"/>
      <c r="AG477" s="114"/>
      <c r="AH477" s="114"/>
      <c r="AI477" s="114"/>
      <c r="AJ477" s="116">
        <f t="shared" si="879"/>
        <v>487.18088058760304</v>
      </c>
      <c r="AK477" s="114"/>
      <c r="AL477" s="115">
        <f t="shared" si="867"/>
        <v>0.2513304826671463</v>
      </c>
      <c r="AM477" s="115">
        <f t="shared" si="868"/>
        <v>0.35428513821754365</v>
      </c>
      <c r="AN477" s="115">
        <f t="shared" si="869"/>
        <v>0.39438437911530999</v>
      </c>
      <c r="AO477" s="115"/>
      <c r="AP477" s="166"/>
      <c r="AQ477" s="168"/>
      <c r="AR477" s="69">
        <f>+AD477/$AF$27</f>
        <v>3.9676471489954145E-2</v>
      </c>
      <c r="AS477" s="169"/>
      <c r="AT477" s="166"/>
      <c r="AU477" s="168"/>
      <c r="AV477" s="113">
        <v>1323024</v>
      </c>
      <c r="AW477" s="68">
        <f t="shared" si="844"/>
        <v>8.5899207819309879E-3</v>
      </c>
      <c r="AX477" s="113"/>
      <c r="AY477" s="113"/>
      <c r="AZ477" s="113"/>
      <c r="BA477" s="113"/>
      <c r="BB477" s="171"/>
      <c r="BC477" s="172"/>
      <c r="BD477" s="173"/>
      <c r="BE477" s="115"/>
      <c r="BF477" s="174"/>
      <c r="BG477" s="174"/>
      <c r="BH477" s="166"/>
      <c r="BI477" s="113"/>
      <c r="BJ477" s="113"/>
      <c r="BK477" s="113"/>
      <c r="BL477" s="113"/>
      <c r="BM477" s="232">
        <v>0.93119599414697141</v>
      </c>
      <c r="BN477" s="61">
        <f t="shared" si="880"/>
        <v>0</v>
      </c>
      <c r="BO477" s="113"/>
      <c r="BP477" s="113"/>
      <c r="BQ477" s="175"/>
      <c r="BR477" s="175"/>
      <c r="BS477" s="170"/>
      <c r="BT477" s="176"/>
      <c r="BU477" s="177"/>
      <c r="BV477" s="177"/>
      <c r="BW477" s="113"/>
      <c r="BX477" s="113"/>
      <c r="BY477" s="113"/>
      <c r="BZ477" s="113"/>
      <c r="CA477" s="116">
        <v>2022</v>
      </c>
      <c r="CB477" s="113"/>
      <c r="CC477" s="113"/>
      <c r="CD477" s="113"/>
      <c r="CE477" s="175"/>
      <c r="CF477" s="238">
        <v>547551</v>
      </c>
      <c r="CG477" s="113">
        <f>+CF477/DE477</f>
        <v>531.18518446658459</v>
      </c>
      <c r="CH477" s="178">
        <f>+(51-24)/(51-24*0.75)</f>
        <v>0.81818181818181823</v>
      </c>
      <c r="CI477" s="113">
        <f>+CI453*CH477+CG454*CH476+CG455*CH475+CG456*CH474+CG457*CH473+CG458*CH472+CG459*CH471+CG460*CH470+CG461*CH469+CG462*CH468+CG463*CH467+CG464*CH466+CG465*CH465+CG466*CH464+CG467*CH463+CG468*CH462+CG469*CH461+CG470*CH460+CG471*CH459+CG472*CH458+CG473*CH457+CG474*CH456+CG475*CH455+CG476*CH454+CG477*CH453</f>
        <v>10660.120537751658</v>
      </c>
      <c r="CJ477" s="114">
        <f t="shared" ref="CJ477" si="888">LN(CI477/CI476)</f>
        <v>5.1151877633448813E-2</v>
      </c>
      <c r="CK477" s="113"/>
      <c r="CL477" s="169">
        <f t="shared" si="851"/>
        <v>-3.8366559240652144E-5</v>
      </c>
      <c r="CM477" s="169">
        <f t="shared" si="859"/>
        <v>9.9489817794269648E-3</v>
      </c>
      <c r="CN477" s="114"/>
      <c r="CO477" s="169"/>
      <c r="CP477" s="169"/>
      <c r="CQ477" s="69">
        <f t="shared" si="860"/>
        <v>2.0952959829106658E-2</v>
      </c>
      <c r="CR477" s="169">
        <f t="shared" si="861"/>
        <v>0.10114668178709289</v>
      </c>
      <c r="CS477" s="179">
        <f t="shared" si="852"/>
        <v>0.92230000000000001</v>
      </c>
      <c r="CT477" s="180"/>
      <c r="CU477" s="180"/>
      <c r="CV477" s="180"/>
      <c r="CW477" s="180"/>
      <c r="CX477" s="181">
        <f>CX476</f>
        <v>0.20999999999999996</v>
      </c>
      <c r="CY477" s="72">
        <v>0.37</v>
      </c>
      <c r="CZ477" s="182">
        <f t="shared" si="858"/>
        <v>25.097503661155944</v>
      </c>
      <c r="DA477" s="182"/>
      <c r="DB477" s="169">
        <f t="shared" si="862"/>
        <v>0.26098589781209697</v>
      </c>
      <c r="DC477" s="181">
        <v>0.04</v>
      </c>
      <c r="DD477" s="183">
        <v>7.0000000000000001E-3</v>
      </c>
      <c r="DE477" s="181">
        <v>1030.81</v>
      </c>
      <c r="DF477" s="72">
        <f t="shared" si="872"/>
        <v>162.55000000000001</v>
      </c>
      <c r="DG477" s="169">
        <f t="shared" si="873"/>
        <v>3.3148751169364422E-2</v>
      </c>
      <c r="DH477" s="175">
        <v>127.25</v>
      </c>
      <c r="DI477" s="169">
        <f t="shared" si="863"/>
        <v>7.1325086601983473E-2</v>
      </c>
      <c r="EB477"/>
    </row>
    <row r="478" spans="1:132" s="160" customFormat="1" ht="21">
      <c r="A478" s="160" t="s">
        <v>189</v>
      </c>
      <c r="B478" s="161" t="s">
        <v>189</v>
      </c>
      <c r="C478" s="161">
        <v>4057079</v>
      </c>
      <c r="D478" s="161" t="s">
        <v>177</v>
      </c>
      <c r="E478" s="161"/>
      <c r="F478" s="161"/>
      <c r="G478" s="161" t="s">
        <v>100</v>
      </c>
      <c r="H478" s="162">
        <v>1998</v>
      </c>
      <c r="I478" s="163"/>
      <c r="J478" s="159"/>
      <c r="K478" s="159"/>
      <c r="L478" s="159"/>
      <c r="M478" s="60"/>
      <c r="N478" s="131"/>
      <c r="O478" s="76"/>
      <c r="P478" s="76"/>
      <c r="Q478" s="165"/>
      <c r="R478" s="165"/>
      <c r="S478" s="165"/>
      <c r="T478" s="159"/>
      <c r="U478" s="165"/>
      <c r="V478" s="165"/>
      <c r="W478" s="159"/>
      <c r="X478" s="163"/>
      <c r="Y478" s="167">
        <v>2007.9720756433521</v>
      </c>
      <c r="Z478" s="168"/>
      <c r="AA478" s="78"/>
      <c r="AB478" s="168"/>
      <c r="AC478" s="168"/>
      <c r="AD478" s="163">
        <f t="shared" si="811"/>
        <v>0</v>
      </c>
      <c r="AE478" s="163"/>
      <c r="AF478" s="163"/>
      <c r="AG478" s="114"/>
      <c r="AH478" s="114"/>
      <c r="AI478" s="114"/>
      <c r="AJ478" s="166">
        <f>+(AJ475+AJ476+AJ477)/3</f>
        <v>441.97061169295017</v>
      </c>
      <c r="AK478" s="168"/>
      <c r="AL478" s="115"/>
      <c r="AM478" s="115"/>
      <c r="AN478" s="115"/>
      <c r="AO478" s="115"/>
      <c r="AP478" s="115"/>
      <c r="AQ478" s="168">
        <f>AVERAGE(AQ487:AQ501)</f>
        <v>5.1432785798878672E-3</v>
      </c>
      <c r="AR478" s="79"/>
      <c r="AS478" s="115"/>
      <c r="AT478" s="115"/>
      <c r="AU478" s="115"/>
      <c r="AV478" s="113">
        <f>IFERROR(INDEX('Total Customers'!$F$7:$AB$91,MATCH($C478,'Total Customers'!$D$7:$D$91,0),MATCH($G478,'Total Customers'!$F$5:$AB$5,0)),"NA")</f>
        <v>377204</v>
      </c>
      <c r="AW478" s="68"/>
      <c r="AX478" s="114"/>
      <c r="AY478" s="114"/>
      <c r="AZ478" s="116"/>
      <c r="BA478" s="116"/>
      <c r="BB478" s="166"/>
      <c r="BC478" s="166"/>
      <c r="BD478" s="166"/>
      <c r="BE478" s="166"/>
      <c r="BF478" s="166"/>
      <c r="BG478" s="166"/>
      <c r="BH478" s="166"/>
      <c r="BI478" s="113">
        <f>INDEX('Gross Dx Plant'!$E$7:$AD$91,MATCH($C478,'Gross Dx Plant'!$D$7:$D$91,0),MATCH(Calculation!$G478,'Gross Dx Plant'!$E$5:$AD$5,0))</f>
        <v>571940</v>
      </c>
      <c r="BJ478" s="113">
        <f>INDEX('Gross Gen Plant'!$E$7:$AD$91,MATCH($C478,'Gross Gen Plant'!$D$7:$D$91,0),MATCH(Calculation!$G478,'Gross Gen Plant'!$E$5:$AD$5,0))</f>
        <v>12794</v>
      </c>
      <c r="BK478" s="113">
        <f>INDEX('Dist. Plant Gas Additions'!$F$7:$AE$91,MATCH($C478,'Dist. Plant Gas Additions'!$D$7:$D$91,0),MATCH(Calculation!$G478,'Dist. Plant Gas Additions'!$F$5:$AE$5,0))</f>
        <v>29962</v>
      </c>
      <c r="BL478" s="113">
        <f>INDEX('Gen. Plant Additions'!$F$7:$AE$91,MATCH($C478,'Gen. Plant Additions'!$D$7:$D$91,0),MATCH(Calculation!$G478,'Gen. Plant Additions'!$F$5:$AE$5,0))</f>
        <v>489</v>
      </c>
      <c r="BM478" s="231">
        <f>+(BW478/(BW478+BX478))</f>
        <v>0.97811996565959902</v>
      </c>
      <c r="BN478" s="61">
        <f>+BM478*BL478</f>
        <v>478.30066320754395</v>
      </c>
      <c r="BO478" s="113">
        <f>INDEX('Dist Plant Depreciation'!$E$7:$AD$94,MATCH($C478,'Dist Plant Depreciation'!$D$7:$D$94,0),MATCH(Calculation!$G478,'Dist Plant Depreciation'!$E$5:$AD$5,0))</f>
        <v>175009</v>
      </c>
      <c r="BP478" s="113">
        <f>INDEX('Gen. Plant Depreciation'!$E$7:$AD$94,MATCH($C478,'Gen. Plant Depreciation'!$D$7:$D$94,0),MATCH(Calculation!$G478,'Gen. Plant Depreciation'!$E$5:$AD$5,0))</f>
        <v>4678</v>
      </c>
      <c r="BQ478" s="113"/>
      <c r="BR478" s="113"/>
      <c r="BS478" s="113"/>
      <c r="BT478" s="113"/>
      <c r="BU478" s="113"/>
      <c r="BV478" s="113"/>
      <c r="BW478" s="113">
        <f>INDEX('Gross Dx Plant'!$E$7:$AD$91,MATCH($C478,'Gross Dx Plant'!$D$7:$D$91,0),MATCH(Calculation!$G478,'Gross Dx Plant'!$E$5:$AD$5,0))</f>
        <v>571940</v>
      </c>
      <c r="BX478" s="113">
        <f>INDEX('Gross Gen Plant'!$E$7:$AD$91,MATCH($C478,'Gross Gen Plant'!$D$7:$D$91,0),MATCH(Calculation!$G478,'Gross Gen Plant'!$E$5:$AD$5,0))</f>
        <v>12794</v>
      </c>
      <c r="BY478" s="113">
        <f t="shared" si="885"/>
        <v>405047</v>
      </c>
      <c r="BZ478" s="113"/>
      <c r="CA478" s="116">
        <v>1998</v>
      </c>
      <c r="CB478" s="113">
        <f>BI478+BJ478</f>
        <v>584734</v>
      </c>
      <c r="CC478" s="113">
        <f>175009+4678</f>
        <v>179687</v>
      </c>
      <c r="CD478" s="113">
        <f>+CB478-CC478</f>
        <v>405047</v>
      </c>
      <c r="CE478" s="113">
        <f>CD478/$BV$3</f>
        <v>2007.9720756433521</v>
      </c>
      <c r="CF478" s="175"/>
      <c r="CG478" s="175"/>
      <c r="CH478" s="178">
        <v>1</v>
      </c>
      <c r="CI478" s="113">
        <f>+CE478</f>
        <v>2007.9720756433521</v>
      </c>
      <c r="CJ478" s="114"/>
      <c r="CK478" s="114"/>
      <c r="CL478" s="169"/>
      <c r="CM478" s="169"/>
      <c r="CN478" s="114" t="e">
        <f>VLOOKUP($H478,RoR!$E:$F,2,FALSE)</f>
        <v>#N/A</v>
      </c>
      <c r="CO478" s="169">
        <v>1.1028127770464469E-2</v>
      </c>
      <c r="CP478" s="169"/>
      <c r="CQ478" s="169"/>
      <c r="CR478" s="169"/>
      <c r="CS478" s="179"/>
      <c r="CT478" s="182" t="e">
        <f>2/(DC478*39)</f>
        <v>#N/A</v>
      </c>
      <c r="CU478" s="180" t="e">
        <f>+(DC478*40-(1+DC478))/(DC478*40)</f>
        <v>#N/A</v>
      </c>
      <c r="CV478" s="180" t="e">
        <f>+(1-(1/(1+DC478)^40))</f>
        <v>#N/A</v>
      </c>
      <c r="CW478" s="180" t="e">
        <f>+CV478*CU478*CT478</f>
        <v>#N/A</v>
      </c>
      <c r="CX478" s="181">
        <f>INDEX('State Tax Lookup'!$D$7:$Z$91,MATCH(Calculation!$C478,'State Tax Lookup'!$B$7:$B$91,0),MATCH($H478,'State Tax Lookup'!$D$6:$Z$6,0))</f>
        <v>0.35</v>
      </c>
      <c r="CY478" s="72">
        <v>0.37</v>
      </c>
      <c r="CZ478" s="66"/>
      <c r="DA478" s="66"/>
      <c r="DB478" s="69"/>
      <c r="DC478" s="111" t="e">
        <f>VLOOKUP($H478,RoR!$E:$F,2,FALSE)</f>
        <v>#N/A</v>
      </c>
      <c r="DD478" s="216">
        <f>HLOOKUP($H478,'GDP-PI'!$D$8:$CQ$11,3,FALSE)</f>
        <v>1.1028127770464469E-2</v>
      </c>
      <c r="DE478" s="111">
        <f>VLOOKUP(H478,'HW Dx Data'!$E:$F,2,FALSE)</f>
        <v>329.24564746449528</v>
      </c>
      <c r="DF478" s="72" t="e">
        <f t="shared" si="872"/>
        <v>#N/A</v>
      </c>
      <c r="DG478" s="169" t="e">
        <f t="shared" si="873"/>
        <v>#N/A</v>
      </c>
      <c r="DH478" s="66">
        <f>HLOOKUP(H478,'GDP-PI'!$8:$9,2,FALSE)</f>
        <v>75.266999999999996</v>
      </c>
      <c r="DI478"/>
      <c r="EB478"/>
    </row>
    <row r="479" spans="1:132" s="160" customFormat="1" ht="21">
      <c r="A479" s="160" t="s">
        <v>189</v>
      </c>
      <c r="B479" s="161" t="s">
        <v>189</v>
      </c>
      <c r="C479" s="161">
        <v>4057079</v>
      </c>
      <c r="D479" s="161" t="s">
        <v>177</v>
      </c>
      <c r="E479" s="161"/>
      <c r="F479" s="161"/>
      <c r="G479" s="161" t="s">
        <v>106</v>
      </c>
      <c r="H479" s="162">
        <v>1999</v>
      </c>
      <c r="I479" s="163"/>
      <c r="J479" s="159"/>
      <c r="K479" s="163"/>
      <c r="L479" s="163"/>
      <c r="M479" s="60"/>
      <c r="N479" s="152"/>
      <c r="O479" s="60"/>
      <c r="P479" s="59"/>
      <c r="Q479" s="169"/>
      <c r="R479" s="169"/>
      <c r="S479" s="169"/>
      <c r="T479" s="187"/>
      <c r="U479" s="169"/>
      <c r="V479" s="169"/>
      <c r="W479" s="159">
        <f t="shared" ref="W479:W502" si="889">+CI478*CZ479</f>
        <v>0</v>
      </c>
      <c r="X479" s="163"/>
      <c r="Y479" s="167">
        <v>2087.5818092375625</v>
      </c>
      <c r="Z479" s="168">
        <v>3.8881071848215355E-2</v>
      </c>
      <c r="AA479" s="78"/>
      <c r="AB479" s="168"/>
      <c r="AC479" s="168"/>
      <c r="AD479" s="163">
        <f t="shared" si="811"/>
        <v>0</v>
      </c>
      <c r="AE479" s="168"/>
      <c r="AF479" s="163"/>
      <c r="AG479" s="114"/>
      <c r="AH479" s="114"/>
      <c r="AI479" s="114"/>
      <c r="AJ479" s="167"/>
      <c r="AK479" s="168"/>
      <c r="AL479" s="115"/>
      <c r="AM479" s="115"/>
      <c r="AN479" s="115"/>
      <c r="AO479" s="115"/>
      <c r="AP479" s="115"/>
      <c r="AQ479" s="168"/>
      <c r="AR479" s="79"/>
      <c r="AS479" s="115"/>
      <c r="AT479" s="115"/>
      <c r="AU479" s="115"/>
      <c r="AV479" s="113">
        <f>IFERROR(INDEX('Total Customers'!$F$7:$AB$91,MATCH($C479,'Total Customers'!$D$7:$D$91,0),MATCH($G479,'Total Customers'!$F$5:$AB$5,0)),"NA")</f>
        <v>384716</v>
      </c>
      <c r="AW479" s="68">
        <f t="shared" si="844"/>
        <v>1.9719244586440702E-2</v>
      </c>
      <c r="AX479" s="114"/>
      <c r="AY479" s="114"/>
      <c r="AZ479" s="116"/>
      <c r="BA479" s="116"/>
      <c r="BB479" s="166"/>
      <c r="BC479" s="166"/>
      <c r="BD479" s="166"/>
      <c r="BE479" s="166"/>
      <c r="BF479" s="166"/>
      <c r="BG479" s="166"/>
      <c r="BH479" s="166"/>
      <c r="BI479" s="113"/>
      <c r="BJ479" s="113"/>
      <c r="BK479" s="113">
        <f>INDEX('Dist. Plant Gas Additions'!$F$7:$AE$91,MATCH($C479,'Dist. Plant Gas Additions'!$D$7:$D$91,0),MATCH(Calculation!$G479,'Dist. Plant Gas Additions'!$F$5:$AE$5,0))</f>
        <v>29583</v>
      </c>
      <c r="BL479" s="113">
        <f>INDEX('Gen. Plant Additions'!$F$7:$AE$91,MATCH($C479,'Gen. Plant Additions'!$D$7:$D$91,0),MATCH(Calculation!$G479,'Gen. Plant Additions'!$F$5:$AE$5,0))</f>
        <v>462</v>
      </c>
      <c r="BM479" s="231">
        <f t="shared" ref="BM479:BM500" si="890">+(BW479/(BW479+BX479))</f>
        <v>0.97983811000871057</v>
      </c>
      <c r="BN479" s="61">
        <f t="shared" ref="BN479:BN495" si="891">+BM479*BL479</f>
        <v>452.68520682402431</v>
      </c>
      <c r="BO479" s="113">
        <f>INDEX('Dist Plant Depreciation'!$E$7:$AD$94,MATCH($C479,'Dist Plant Depreciation'!$D$7:$D$94,0),MATCH(Calculation!$G479,'Dist Plant Depreciation'!$E$5:$AD$5,0))</f>
        <v>188930</v>
      </c>
      <c r="BP479" s="113">
        <f>INDEX('Gen. Plant Depreciation'!$E$7:$AD$94,MATCH($C479,'Gen. Plant Depreciation'!$D$7:$D$94,0),MATCH(Calculation!$G479,'Gen. Plant Depreciation'!$E$5:$AD$5,0))</f>
        <v>4720</v>
      </c>
      <c r="BQ479" s="113"/>
      <c r="BR479" s="113"/>
      <c r="BS479" s="113"/>
      <c r="BT479" s="113"/>
      <c r="BU479" s="113"/>
      <c r="BV479" s="113"/>
      <c r="BW479" s="113">
        <f>INDEX('Gross Dx Plant'!$E$7:$AD$91,MATCH($C479,'Gross Dx Plant'!$D$7:$D$91,0),MATCH(Calculation!$G479,'Gross Dx Plant'!$E$5:$AD$5,0))</f>
        <v>599560</v>
      </c>
      <c r="BX479" s="113">
        <f>INDEX('Gross Gen Plant'!$E$7:$AD$91,MATCH($C479,'Gross Gen Plant'!$D$7:$D$91,0),MATCH(Calculation!$G479,'Gross Gen Plant'!$E$5:$AD$5,0))</f>
        <v>12337</v>
      </c>
      <c r="BY479" s="113">
        <f t="shared" si="885"/>
        <v>418247</v>
      </c>
      <c r="BZ479" s="113"/>
      <c r="CA479" s="116">
        <v>1999</v>
      </c>
      <c r="CB479" s="113"/>
      <c r="CC479" s="113"/>
      <c r="CD479" s="113"/>
      <c r="CE479" s="175"/>
      <c r="CF479" s="113">
        <f t="shared" ref="CF479:CF501" si="892">+BL479+BK479</f>
        <v>30045</v>
      </c>
      <c r="CG479" s="113">
        <f t="shared" ref="CG479:CG501" si="893">+CF479/$DE479</f>
        <v>89.599644418306966</v>
      </c>
      <c r="CH479" s="178">
        <v>0.99502487562189057</v>
      </c>
      <c r="CI479" s="61">
        <f>+CI478*CH479+CG479</f>
        <v>2087.5818092375625</v>
      </c>
      <c r="CJ479" s="114">
        <f t="shared" ref="CJ479:CJ500" si="894">LN(CI479/CI478)</f>
        <v>3.8881071848215355E-2</v>
      </c>
      <c r="CK479" s="114"/>
      <c r="CL479" s="169">
        <f t="shared" ref="CL479:CL502" si="895">+(CI478-CI479+CG479)/CI478</f>
        <v>4.9751243781095897E-3</v>
      </c>
      <c r="CM479" s="169"/>
      <c r="CN479" s="114">
        <f>VLOOKUP($H479,RoR!$E:$F,2,FALSE)</f>
        <v>7.0416666666666669E-2</v>
      </c>
      <c r="CO479" s="169">
        <v>1.4335631817396832E-2</v>
      </c>
      <c r="CP479" s="169">
        <f>+CN479-CO479</f>
        <v>5.6081034849269837E-2</v>
      </c>
      <c r="CQ479" s="169"/>
      <c r="CR479" s="169"/>
      <c r="CS479" s="179">
        <f t="shared" ref="CS479:CS502" si="896">1-CX479*CY479</f>
        <v>0.87050000000000005</v>
      </c>
      <c r="CT479" s="180">
        <f t="shared" ref="CT479:CT501" si="897">2/(DC479*39)</f>
        <v>0.72826581702321336</v>
      </c>
      <c r="CU479" s="180">
        <f t="shared" ref="CU479:CU501" si="898">+(DC479*40-(1+DC479))/(DC479*40)</f>
        <v>0.61997041420118348</v>
      </c>
      <c r="CV479" s="180">
        <f t="shared" ref="CV479:CV501" si="899">+(1-(1/(1+DC479)^40))</f>
        <v>0.93425155319585029</v>
      </c>
      <c r="CW479" s="180">
        <f t="shared" ref="CW479:CW501" si="900">+CV479*CU479*CT479</f>
        <v>0.42181762214141483</v>
      </c>
      <c r="CX479" s="181">
        <f>INDEX('State Tax Lookup'!$D$7:$Z$91,MATCH(Calculation!$C479,'State Tax Lookup'!$B$7:$B$91,0),MATCH($H479,'State Tax Lookup'!$D$6:$Z$6,0))</f>
        <v>0.35</v>
      </c>
      <c r="CY479" s="72">
        <v>0.37</v>
      </c>
      <c r="CZ479" s="70"/>
      <c r="DA479" s="70"/>
      <c r="DB479" s="69"/>
      <c r="DC479" s="111">
        <f>VLOOKUP($H479,RoR!$E:$F,2,FALSE)</f>
        <v>7.0416666666666669E-2</v>
      </c>
      <c r="DD479" s="216">
        <f>HLOOKUP($H479,'GDP-PI'!$D$8:$CQ$11,3,FALSE)</f>
        <v>1.4335631817396832E-2</v>
      </c>
      <c r="DE479" s="111">
        <f>VLOOKUP(H479,'HW Dx Data'!$E:$F,2,FALSE)</f>
        <v>335.32499146683239</v>
      </c>
      <c r="DF479" s="66"/>
      <c r="DG479" s="69"/>
      <c r="DH479" s="66">
        <f>HLOOKUP(H479,'GDP-PI'!$8:$9,2,FALSE)</f>
        <v>76.346000000000004</v>
      </c>
      <c r="DI479"/>
      <c r="EB479"/>
    </row>
    <row r="480" spans="1:132" s="160" customFormat="1" ht="21">
      <c r="A480" s="160" t="s">
        <v>189</v>
      </c>
      <c r="B480" s="161" t="s">
        <v>189</v>
      </c>
      <c r="C480" s="161">
        <v>4057079</v>
      </c>
      <c r="D480" s="161" t="s">
        <v>177</v>
      </c>
      <c r="E480" s="161"/>
      <c r="F480" s="161"/>
      <c r="G480" s="161" t="s">
        <v>107</v>
      </c>
      <c r="H480" s="162">
        <v>2000</v>
      </c>
      <c r="I480" s="163"/>
      <c r="J480" s="159"/>
      <c r="K480" s="159"/>
      <c r="L480" s="159"/>
      <c r="M480" s="60"/>
      <c r="N480" s="152"/>
      <c r="O480" s="60"/>
      <c r="P480" s="60"/>
      <c r="Q480" s="159"/>
      <c r="R480" s="159"/>
      <c r="S480" s="159"/>
      <c r="T480" s="159"/>
      <c r="U480" s="159"/>
      <c r="V480" s="159"/>
      <c r="W480" s="159">
        <f t="shared" si="889"/>
        <v>0</v>
      </c>
      <c r="X480" s="163"/>
      <c r="Y480" s="167">
        <v>2156.8991063325689</v>
      </c>
      <c r="Z480" s="168">
        <v>3.2665224287658383E-2</v>
      </c>
      <c r="AA480" s="78"/>
      <c r="AB480" s="168"/>
      <c r="AC480" s="168"/>
      <c r="AD480" s="163">
        <f t="shared" si="811"/>
        <v>0</v>
      </c>
      <c r="AE480" s="168"/>
      <c r="AF480" s="163"/>
      <c r="AG480" s="163"/>
      <c r="AH480" s="163"/>
      <c r="AI480" s="163"/>
      <c r="AJ480" s="167"/>
      <c r="AK480" s="168"/>
      <c r="AL480" s="115"/>
      <c r="AM480" s="115"/>
      <c r="AN480" s="115"/>
      <c r="AO480" s="115"/>
      <c r="AP480" s="115"/>
      <c r="AQ480" s="168"/>
      <c r="AR480" s="79"/>
      <c r="AS480" s="115"/>
      <c r="AT480" s="115"/>
      <c r="AU480" s="115"/>
      <c r="AV480" s="113">
        <f>IFERROR(INDEX('Total Customers'!$F$7:$AB$91,MATCH($C480,'Total Customers'!$D$7:$D$91,0),MATCH($G480,'Total Customers'!$F$5:$AB$5,0)),"NA")</f>
        <v>393674</v>
      </c>
      <c r="AW480" s="68">
        <f t="shared" si="844"/>
        <v>2.3017755893479059E-2</v>
      </c>
      <c r="AX480" s="114"/>
      <c r="AY480" s="114"/>
      <c r="AZ480" s="116"/>
      <c r="BA480" s="116"/>
      <c r="BB480" s="166"/>
      <c r="BC480" s="166"/>
      <c r="BD480" s="166"/>
      <c r="BE480" s="166"/>
      <c r="BF480" s="166"/>
      <c r="BG480" s="166"/>
      <c r="BH480" s="166"/>
      <c r="BI480" s="113"/>
      <c r="BJ480" s="113"/>
      <c r="BK480" s="113">
        <f>INDEX('Dist. Plant Gas Additions'!$F$7:$AE$91,MATCH($C480,'Dist. Plant Gas Additions'!$D$7:$D$91,0),MATCH(Calculation!$G480,'Dist. Plant Gas Additions'!$F$5:$AE$5,0))</f>
        <v>26924</v>
      </c>
      <c r="BL480" s="113">
        <f>INDEX('Gen. Plant Additions'!$F$7:$AE$91,MATCH($C480,'Gen. Plant Additions'!$D$7:$D$91,0),MATCH(Calculation!$G480,'Gen. Plant Additions'!$F$5:$AE$5,0))</f>
        <v>818</v>
      </c>
      <c r="BM480" s="231">
        <f t="shared" si="890"/>
        <v>0.9783464197746965</v>
      </c>
      <c r="BN480" s="61">
        <f t="shared" si="891"/>
        <v>800.2873713757017</v>
      </c>
      <c r="BO480" s="113">
        <f>INDEX('Dist Plant Depreciation'!$E$7:$AD$94,MATCH($C480,'Dist Plant Depreciation'!$D$7:$D$94,0),MATCH(Calculation!$G480,'Dist Plant Depreciation'!$E$5:$AD$5,0))</f>
        <v>204271</v>
      </c>
      <c r="BP480" s="113">
        <f>INDEX('Gen. Plant Depreciation'!$E$7:$AD$94,MATCH($C480,'Gen. Plant Depreciation'!$D$7:$D$94,0),MATCH(Calculation!$G480,'Gen. Plant Depreciation'!$E$5:$AD$5,0))</f>
        <v>4910</v>
      </c>
      <c r="BQ480" s="113"/>
      <c r="BR480" s="113"/>
      <c r="BS480" s="113"/>
      <c r="BT480" s="113"/>
      <c r="BU480" s="113"/>
      <c r="BV480" s="113"/>
      <c r="BW480" s="113">
        <f>INDEX('Gross Dx Plant'!$E$7:$AD$91,MATCH($C480,'Gross Dx Plant'!$D$7:$D$91,0),MATCH(Calculation!$G480,'Gross Dx Plant'!$E$5:$AD$5,0))</f>
        <v>625993</v>
      </c>
      <c r="BX480" s="113">
        <f>INDEX('Gross Gen Plant'!$E$7:$AD$91,MATCH($C480,'Gross Gen Plant'!$D$7:$D$91,0),MATCH(Calculation!$G480,'Gross Gen Plant'!$E$5:$AD$5,0))</f>
        <v>13855</v>
      </c>
      <c r="BY480" s="113">
        <f t="shared" si="885"/>
        <v>430667</v>
      </c>
      <c r="BZ480" s="113"/>
      <c r="CA480" s="116">
        <v>2000</v>
      </c>
      <c r="CB480" s="113"/>
      <c r="CC480" s="113"/>
      <c r="CD480" s="113"/>
      <c r="CE480" s="175"/>
      <c r="CF480" s="113">
        <f t="shared" si="892"/>
        <v>27742</v>
      </c>
      <c r="CG480" s="113">
        <f t="shared" si="893"/>
        <v>80.05570186474516</v>
      </c>
      <c r="CH480" s="178">
        <v>0.98989898989898994</v>
      </c>
      <c r="CI480" s="61">
        <f>+CI478*CH480+CG479*CH479+CG480</f>
        <v>2156.8991063325689</v>
      </c>
      <c r="CJ480" s="114">
        <f t="shared" si="894"/>
        <v>3.2665224287658383E-2</v>
      </c>
      <c r="CK480" s="114"/>
      <c r="CL480" s="169">
        <f t="shared" si="895"/>
        <v>5.1439444060210372E-3</v>
      </c>
      <c r="CM480" s="169"/>
      <c r="CN480" s="114">
        <f>VLOOKUP($H480,RoR!$E:$F,2,FALSE)</f>
        <v>7.6225000000000001E-2</v>
      </c>
      <c r="CO480" s="169">
        <v>2.2568307442433211E-2</v>
      </c>
      <c r="CP480" s="169">
        <f t="shared" ref="CP480:CP500" si="901">+CN480-CO480</f>
        <v>5.365669255756679E-2</v>
      </c>
      <c r="CQ480" s="169"/>
      <c r="CR480" s="169"/>
      <c r="CS480" s="179">
        <f t="shared" si="896"/>
        <v>0.87050000000000005</v>
      </c>
      <c r="CT480" s="180">
        <f t="shared" si="897"/>
        <v>0.67277207323124022</v>
      </c>
      <c r="CU480" s="180">
        <f t="shared" si="898"/>
        <v>0.6470236142997704</v>
      </c>
      <c r="CV480" s="180">
        <f t="shared" si="899"/>
        <v>0.94704866037543145</v>
      </c>
      <c r="CW480" s="180">
        <f t="shared" si="900"/>
        <v>0.41224973107878493</v>
      </c>
      <c r="CX480" s="181">
        <f>INDEX('State Tax Lookup'!$D$7:$Z$91,MATCH(Calculation!$C480,'State Tax Lookup'!$B$7:$B$91,0),MATCH($H480,'State Tax Lookup'!$D$6:$Z$6,0))</f>
        <v>0.35</v>
      </c>
      <c r="CY480" s="72">
        <v>0.37</v>
      </c>
      <c r="CZ480" s="70"/>
      <c r="DA480" s="70"/>
      <c r="DB480" s="69"/>
      <c r="DC480" s="111">
        <f>VLOOKUP($H480,RoR!$E:$F,2,FALSE)</f>
        <v>7.6225000000000001E-2</v>
      </c>
      <c r="DD480" s="216">
        <f>HLOOKUP($H480,'GDP-PI'!$D$8:$CQ$11,3,FALSE)</f>
        <v>2.2568307442433211E-2</v>
      </c>
      <c r="DE480" s="111">
        <f>VLOOKUP(H480,'HW Dx Data'!$E:$F,2,FALSE)</f>
        <v>346.53371782150339</v>
      </c>
      <c r="DF480" s="66"/>
      <c r="DG480" s="69"/>
      <c r="DH480" s="66">
        <f>HLOOKUP(H480,'GDP-PI'!$8:$9,2,FALSE)</f>
        <v>78.069000000000003</v>
      </c>
      <c r="DI480"/>
      <c r="EB480"/>
    </row>
    <row r="481" spans="1:132" s="160" customFormat="1" ht="21">
      <c r="A481" s="160" t="s">
        <v>189</v>
      </c>
      <c r="B481" s="161" t="s">
        <v>189</v>
      </c>
      <c r="C481" s="161">
        <v>4057079</v>
      </c>
      <c r="D481" s="161" t="s">
        <v>177</v>
      </c>
      <c r="E481" s="161"/>
      <c r="F481" s="161"/>
      <c r="G481" s="161" t="s">
        <v>111</v>
      </c>
      <c r="H481" s="162">
        <v>2001</v>
      </c>
      <c r="I481" s="163"/>
      <c r="J481" s="159"/>
      <c r="K481" s="159"/>
      <c r="L481" s="159"/>
      <c r="M481" s="60"/>
      <c r="N481" s="152"/>
      <c r="O481" s="60"/>
      <c r="P481" s="60"/>
      <c r="Q481" s="159"/>
      <c r="R481" s="159"/>
      <c r="S481" s="159"/>
      <c r="T481" s="159"/>
      <c r="U481" s="159"/>
      <c r="V481" s="159"/>
      <c r="W481" s="159">
        <f t="shared" si="889"/>
        <v>26290.401217876795</v>
      </c>
      <c r="X481" s="163"/>
      <c r="Y481" s="167">
        <v>2294.2118485550677</v>
      </c>
      <c r="Z481" s="168">
        <v>6.171777210452821E-2</v>
      </c>
      <c r="AA481" s="78"/>
      <c r="AB481" s="168"/>
      <c r="AC481" s="168"/>
      <c r="AD481" s="163">
        <f t="shared" si="811"/>
        <v>26290.401217876795</v>
      </c>
      <c r="AE481" s="168"/>
      <c r="AF481" s="163"/>
      <c r="AG481" s="163"/>
      <c r="AH481" s="163"/>
      <c r="AI481" s="163"/>
      <c r="AJ481" s="167"/>
      <c r="AK481" s="168"/>
      <c r="AL481" s="115"/>
      <c r="AM481" s="115"/>
      <c r="AN481" s="115"/>
      <c r="AO481" s="115"/>
      <c r="AP481" s="115"/>
      <c r="AQ481" s="168"/>
      <c r="AR481" s="79"/>
      <c r="AS481" s="115"/>
      <c r="AT481" s="115"/>
      <c r="AU481" s="115"/>
      <c r="AV481" s="113">
        <f>IFERROR(INDEX('Total Customers'!$F$7:$AB$91,MATCH($C481,'Total Customers'!$D$7:$D$91,0),MATCH($G481,'Total Customers'!$F$5:$AB$5,0)),"NA")</f>
        <v>403688</v>
      </c>
      <c r="AW481" s="68">
        <f t="shared" si="844"/>
        <v>2.5119146736882317E-2</v>
      </c>
      <c r="AX481" s="114"/>
      <c r="AY481" s="114"/>
      <c r="AZ481" s="116"/>
      <c r="BA481" s="116"/>
      <c r="BB481" s="166"/>
      <c r="BC481" s="166"/>
      <c r="BD481" s="166"/>
      <c r="BE481" s="166"/>
      <c r="BF481" s="166"/>
      <c r="BG481" s="166"/>
      <c r="BH481" s="166"/>
      <c r="BI481" s="113"/>
      <c r="BJ481" s="113"/>
      <c r="BK481" s="113">
        <f>INDEX('Dist. Plant Gas Additions'!$F$7:$AE$91,MATCH($C481,'Dist. Plant Gas Additions'!$D$7:$D$91,0),MATCH(Calculation!$G481,'Dist. Plant Gas Additions'!$F$5:$AE$5,0))</f>
        <v>51387</v>
      </c>
      <c r="BL481" s="113">
        <f>INDEX('Gen. Plant Additions'!$F$7:$AE$91,MATCH($C481,'Gen. Plant Additions'!$D$7:$D$91,0),MATCH(Calculation!$G481,'Gen. Plant Additions'!$F$5:$AE$5,0))</f>
        <v>1058</v>
      </c>
      <c r="BM481" s="231">
        <f t="shared" si="890"/>
        <v>0.98260197459567455</v>
      </c>
      <c r="BN481" s="61">
        <f t="shared" si="891"/>
        <v>1039.5928891222236</v>
      </c>
      <c r="BO481" s="113">
        <f>INDEX('Dist Plant Depreciation'!$E$7:$AD$94,MATCH($C481,'Dist Plant Depreciation'!$D$7:$D$94,0),MATCH(Calculation!$G481,'Dist Plant Depreciation'!$E$5:$AD$5,0))</f>
        <v>217180</v>
      </c>
      <c r="BP481" s="113">
        <f>INDEX('Gen. Plant Depreciation'!$E$7:$AD$94,MATCH($C481,'Gen. Plant Depreciation'!$D$7:$D$94,0),MATCH(Calculation!$G481,'Gen. Plant Depreciation'!$E$5:$AD$5,0))</f>
        <v>2856</v>
      </c>
      <c r="BQ481" s="113"/>
      <c r="BR481" s="113"/>
      <c r="BS481" s="113"/>
      <c r="BT481" s="113"/>
      <c r="BU481" s="113"/>
      <c r="BV481" s="113"/>
      <c r="BW481" s="113">
        <f>INDEX('Gross Dx Plant'!$E$7:$AD$91,MATCH($C481,'Gross Dx Plant'!$D$7:$D$91,0),MATCH(Calculation!$G481,'Gross Dx Plant'!$E$5:$AD$5,0))</f>
        <v>673780</v>
      </c>
      <c r="BX481" s="113">
        <f>INDEX('Gross Gen Plant'!$E$7:$AD$91,MATCH($C481,'Gross Gen Plant'!$D$7:$D$91,0),MATCH(Calculation!$G481,'Gross Gen Plant'!$E$5:$AD$5,0))</f>
        <v>11930</v>
      </c>
      <c r="BY481" s="113">
        <f t="shared" si="885"/>
        <v>465674</v>
      </c>
      <c r="BZ481" s="113"/>
      <c r="CA481" s="116">
        <v>2001</v>
      </c>
      <c r="CB481" s="113"/>
      <c r="CC481" s="113"/>
      <c r="CD481" s="113"/>
      <c r="CE481" s="175"/>
      <c r="CF481" s="113">
        <f t="shared" si="892"/>
        <v>52445</v>
      </c>
      <c r="CG481" s="113">
        <f t="shared" si="893"/>
        <v>148.38135162880053</v>
      </c>
      <c r="CH481" s="178">
        <v>0.98461538461538467</v>
      </c>
      <c r="CI481" s="61">
        <f>+CI478*CH481+CG479*CH480+CG480*CH478+CG481</f>
        <v>2294.2118485550677</v>
      </c>
      <c r="CJ481" s="114">
        <f t="shared" si="894"/>
        <v>6.171777210452821E-2</v>
      </c>
      <c r="CK481" s="114"/>
      <c r="CL481" s="169">
        <f t="shared" si="895"/>
        <v>5.1317233030532972E-3</v>
      </c>
      <c r="CM481" s="169">
        <f>+(CL481+CL480+CL479)/3</f>
        <v>5.0835973623946417E-3</v>
      </c>
      <c r="CN481" s="114">
        <f>VLOOKUP($H481,RoR!$E:$F,2,FALSE)</f>
        <v>7.0824999999999999E-2</v>
      </c>
      <c r="CO481" s="169">
        <v>2.2454495382290052E-2</v>
      </c>
      <c r="CP481" s="169">
        <f t="shared" si="901"/>
        <v>4.8370504617709947E-2</v>
      </c>
      <c r="CQ481" s="169">
        <f>+$CP$2-CM481</f>
        <v>2.5818344246138984E-2</v>
      </c>
      <c r="CR481" s="169">
        <f>+((DE479/DE478-1)+(DE480/DE479-1)+(DE481/DE480-1))/3</f>
        <v>2.3947275901631187E-2</v>
      </c>
      <c r="CS481" s="179">
        <f t="shared" si="896"/>
        <v>0.87050000000000005</v>
      </c>
      <c r="CT481" s="180">
        <f t="shared" si="897"/>
        <v>0.72406708481540816</v>
      </c>
      <c r="CU481" s="180">
        <f t="shared" si="898"/>
        <v>0.62201729615248857</v>
      </c>
      <c r="CV481" s="180">
        <f t="shared" si="899"/>
        <v>0.9352469954311422</v>
      </c>
      <c r="CW481" s="180">
        <f t="shared" si="900"/>
        <v>0.42121864641655071</v>
      </c>
      <c r="CX481" s="181">
        <f>INDEX('State Tax Lookup'!$D$7:$Z$91,MATCH(Calculation!$C481,'State Tax Lookup'!$B$7:$B$91,0),MATCH($H481,'State Tax Lookup'!$D$6:$Z$6,0))</f>
        <v>0.35</v>
      </c>
      <c r="CY481" s="72">
        <v>0.37</v>
      </c>
      <c r="CZ481" s="70">
        <f t="shared" ref="CZ481:CZ502" si="902">+(DE481*CQ481-CR481)*CS481/(1-CX481)</f>
        <v>12.188980532603141</v>
      </c>
      <c r="DA481" s="70"/>
      <c r="DB481" s="69"/>
      <c r="DC481" s="111">
        <f>VLOOKUP($H481,RoR!$E:$F,2,FALSE)</f>
        <v>7.0824999999999999E-2</v>
      </c>
      <c r="DD481" s="216">
        <f>HLOOKUP($H481,'GDP-PI'!$D$8:$CQ$11,3,FALSE)</f>
        <v>2.2454495382290052E-2</v>
      </c>
      <c r="DE481" s="111">
        <f>VLOOKUP(H481,'HW Dx Data'!$E:$F,2,FALSE)</f>
        <v>353.44738017483138</v>
      </c>
      <c r="DF481" s="66"/>
      <c r="DG481" s="69"/>
      <c r="DH481" s="66">
        <f>HLOOKUP(H481,'GDP-PI'!$8:$9,2,FALSE)</f>
        <v>79.822000000000003</v>
      </c>
      <c r="DI481"/>
      <c r="EB481"/>
    </row>
    <row r="482" spans="1:132" s="160" customFormat="1" ht="21">
      <c r="A482" s="160" t="s">
        <v>189</v>
      </c>
      <c r="B482" s="161" t="s">
        <v>189</v>
      </c>
      <c r="C482" s="161">
        <v>4057079</v>
      </c>
      <c r="D482" s="161" t="s">
        <v>177</v>
      </c>
      <c r="E482" s="161"/>
      <c r="F482" s="161"/>
      <c r="G482" s="161" t="s">
        <v>113</v>
      </c>
      <c r="H482" s="162">
        <v>2002</v>
      </c>
      <c r="I482" s="163"/>
      <c r="J482" s="159"/>
      <c r="K482" s="159"/>
      <c r="L482" s="159"/>
      <c r="M482" s="60"/>
      <c r="N482" s="152"/>
      <c r="O482" s="60"/>
      <c r="P482" s="60"/>
      <c r="Q482" s="159"/>
      <c r="R482" s="159"/>
      <c r="S482" s="159"/>
      <c r="T482" s="159"/>
      <c r="U482" s="159"/>
      <c r="V482" s="159"/>
      <c r="W482" s="159">
        <f t="shared" si="889"/>
        <v>28337.290398230787</v>
      </c>
      <c r="X482" s="163"/>
      <c r="Y482" s="167">
        <v>2459.1290138936838</v>
      </c>
      <c r="Z482" s="168">
        <v>6.9417864436562324E-2</v>
      </c>
      <c r="AA482" s="78"/>
      <c r="AB482" s="168"/>
      <c r="AC482" s="168"/>
      <c r="AD482" s="163">
        <f t="shared" si="811"/>
        <v>28337.290398230787</v>
      </c>
      <c r="AE482" s="168"/>
      <c r="AF482" s="163"/>
      <c r="AG482" s="163"/>
      <c r="AH482" s="163"/>
      <c r="AI482" s="163"/>
      <c r="AJ482" s="167"/>
      <c r="AK482" s="168"/>
      <c r="AL482" s="115"/>
      <c r="AM482" s="115"/>
      <c r="AN482" s="115"/>
      <c r="AO482" s="115"/>
      <c r="AP482" s="115"/>
      <c r="AQ482" s="168"/>
      <c r="AR482" s="79"/>
      <c r="AS482" s="115"/>
      <c r="AT482" s="115"/>
      <c r="AU482" s="115"/>
      <c r="AV482" s="113">
        <f>IFERROR(INDEX('Total Customers'!$F$7:$AB$91,MATCH($C482,'Total Customers'!$D$7:$D$91,0),MATCH($G482,'Total Customers'!$F$5:$AB$5,0)),"NA")</f>
        <v>405745</v>
      </c>
      <c r="AW482" s="68">
        <f t="shared" si="844"/>
        <v>5.0825810861221104E-3</v>
      </c>
      <c r="AX482" s="114"/>
      <c r="AY482" s="114"/>
      <c r="AZ482" s="116"/>
      <c r="BA482" s="116"/>
      <c r="BB482" s="166"/>
      <c r="BC482" s="166"/>
      <c r="BD482" s="166"/>
      <c r="BE482" s="166"/>
      <c r="BF482" s="166"/>
      <c r="BG482" s="166"/>
      <c r="BH482" s="166"/>
      <c r="BI482" s="113"/>
      <c r="BJ482" s="113"/>
      <c r="BK482" s="113">
        <f>INDEX('Dist. Plant Gas Additions'!$F$7:$AE$91,MATCH($C482,'Dist. Plant Gas Additions'!$D$7:$D$91,0),MATCH(Calculation!$G482,'Dist. Plant Gas Additions'!$F$5:$AE$5,0))</f>
        <v>64139</v>
      </c>
      <c r="BL482" s="113">
        <f>INDEX('Gen. Plant Additions'!$F$7:$AE$91,MATCH($C482,'Gen. Plant Additions'!$D$7:$D$91,0),MATCH(Calculation!$G482,'Gen. Plant Additions'!$F$5:$AE$5,0))</f>
        <v>137</v>
      </c>
      <c r="BM482" s="231">
        <f t="shared" si="890"/>
        <v>0.9857691271551724</v>
      </c>
      <c r="BN482" s="61">
        <f t="shared" si="891"/>
        <v>135.05037042025862</v>
      </c>
      <c r="BO482" s="113">
        <f>INDEX('Dist Plant Depreciation'!$E$7:$AD$94,MATCH($C482,'Dist Plant Depreciation'!$D$7:$D$94,0),MATCH(Calculation!$G482,'Dist Plant Depreciation'!$E$5:$AD$5,0))</f>
        <v>228812</v>
      </c>
      <c r="BP482" s="113">
        <f>INDEX('Gen. Plant Depreciation'!$E$7:$AD$94,MATCH($C482,'Gen. Plant Depreciation'!$D$7:$D$94,0),MATCH(Calculation!$G482,'Gen. Plant Depreciation'!$E$5:$AD$5,0))</f>
        <v>2037</v>
      </c>
      <c r="BQ482" s="113"/>
      <c r="BR482" s="113"/>
      <c r="BS482" s="113"/>
      <c r="BT482" s="113"/>
      <c r="BU482" s="113"/>
      <c r="BV482" s="113"/>
      <c r="BW482" s="113">
        <f>INDEX('Gross Dx Plant'!$E$7:$AD$91,MATCH($C482,'Gross Dx Plant'!$D$7:$D$91,0),MATCH(Calculation!$G482,'Gross Dx Plant'!$E$5:$AD$5,0))</f>
        <v>731835</v>
      </c>
      <c r="BX482" s="113">
        <f>INDEX('Gross Gen Plant'!$E$7:$AD$91,MATCH($C482,'Gross Gen Plant'!$D$7:$D$91,0),MATCH(Calculation!$G482,'Gross Gen Plant'!$E$5:$AD$5,0))</f>
        <v>10565</v>
      </c>
      <c r="BY482" s="113">
        <f t="shared" si="885"/>
        <v>511551</v>
      </c>
      <c r="BZ482" s="113"/>
      <c r="CA482" s="116">
        <v>2002</v>
      </c>
      <c r="CB482" s="113"/>
      <c r="CC482" s="113"/>
      <c r="CD482" s="113"/>
      <c r="CE482" s="175"/>
      <c r="CF482" s="113">
        <f t="shared" si="892"/>
        <v>64276</v>
      </c>
      <c r="CG482" s="113">
        <f t="shared" si="893"/>
        <v>177.87830711528073</v>
      </c>
      <c r="CH482" s="178">
        <v>0.97916666666666663</v>
      </c>
      <c r="CI482" s="61">
        <f>+CI478*CH482+CG479*CH481+CG480*CH480+CG481*CH479+CG482</f>
        <v>2459.1290138936838</v>
      </c>
      <c r="CJ482" s="114">
        <f t="shared" si="894"/>
        <v>6.9417864436562324E-2</v>
      </c>
      <c r="CK482" s="114"/>
      <c r="CL482" s="169">
        <f t="shared" si="895"/>
        <v>5.6494964860493539E-3</v>
      </c>
      <c r="CM482" s="169">
        <f t="shared" ref="CM482:CM502" si="903">+(CL482+CL481+CL480)/3</f>
        <v>5.3083880650412292E-3</v>
      </c>
      <c r="CN482" s="114">
        <f>VLOOKUP($H482,RoR!$E:$F,2,FALSE)</f>
        <v>6.4916666666666664E-2</v>
      </c>
      <c r="CO482" s="169">
        <v>1.5246423291824351E-2</v>
      </c>
      <c r="CP482" s="169">
        <f t="shared" si="901"/>
        <v>4.9670243374842313E-2</v>
      </c>
      <c r="CQ482" s="169">
        <f t="shared" ref="CQ482:CQ502" si="904">+$CP$2-CM482</f>
        <v>2.5593553543492395E-2</v>
      </c>
      <c r="CR482" s="169">
        <f t="shared" ref="CR482:CR502" si="905">+((DE480/DE479-1)+(DE481/DE480-1)+(DE482/DE481-1))/3</f>
        <v>2.5243621214759093E-2</v>
      </c>
      <c r="CS482" s="179">
        <f t="shared" si="896"/>
        <v>0.87050000000000005</v>
      </c>
      <c r="CT482" s="180">
        <f t="shared" si="897"/>
        <v>0.78996741384417901</v>
      </c>
      <c r="CU482" s="180">
        <f t="shared" si="898"/>
        <v>0.58989088575096271</v>
      </c>
      <c r="CV482" s="180">
        <f t="shared" si="899"/>
        <v>0.91920675783645744</v>
      </c>
      <c r="CW482" s="180">
        <f t="shared" si="900"/>
        <v>0.42834536472275586</v>
      </c>
      <c r="CX482" s="181">
        <f>INDEX('State Tax Lookup'!$D$7:$Z$91,MATCH(Calculation!$C482,'State Tax Lookup'!$B$7:$B$91,0),MATCH($H482,'State Tax Lookup'!$D$6:$Z$6,0))</f>
        <v>0.35</v>
      </c>
      <c r="CY482" s="72">
        <v>0.37</v>
      </c>
      <c r="CZ482" s="70">
        <f t="shared" si="902"/>
        <v>12.351645039266133</v>
      </c>
      <c r="DA482" s="70"/>
      <c r="DB482" s="69">
        <f>LN(CZ482/CZ481)</f>
        <v>1.3256947219333787E-2</v>
      </c>
      <c r="DC482" s="111">
        <f>VLOOKUP($H482,RoR!$E:$F,2,FALSE)</f>
        <v>6.4916666666666664E-2</v>
      </c>
      <c r="DD482" s="216">
        <f>HLOOKUP($H482,'GDP-PI'!$D$8:$CQ$11,3,FALSE)</f>
        <v>1.5246423291824351E-2</v>
      </c>
      <c r="DE482" s="111">
        <f>VLOOKUP(H482,'HW Dx Data'!$E:$F,2,FALSE)</f>
        <v>361.34816573413599</v>
      </c>
      <c r="DF482" s="66"/>
      <c r="DG482" s="69"/>
      <c r="DH482" s="66">
        <f>HLOOKUP(H482,'GDP-PI'!$8:$9,2,FALSE)</f>
        <v>81.039000000000001</v>
      </c>
      <c r="DI482" s="69">
        <f>LN(DH482/DH481)</f>
        <v>1.513136459537477E-2</v>
      </c>
      <c r="EB482"/>
    </row>
    <row r="483" spans="1:132" s="160" customFormat="1" ht="21">
      <c r="A483" s="160" t="s">
        <v>189</v>
      </c>
      <c r="B483" s="161" t="s">
        <v>189</v>
      </c>
      <c r="C483" s="161">
        <v>4057079</v>
      </c>
      <c r="D483" s="161" t="s">
        <v>177</v>
      </c>
      <c r="E483" s="161"/>
      <c r="F483" s="161"/>
      <c r="G483" s="161" t="s">
        <v>114</v>
      </c>
      <c r="H483" s="162">
        <v>2003</v>
      </c>
      <c r="I483" s="163"/>
      <c r="J483" s="159"/>
      <c r="K483" s="159"/>
      <c r="L483" s="159"/>
      <c r="M483" s="76"/>
      <c r="N483" s="152"/>
      <c r="O483" s="76"/>
      <c r="P483" s="76"/>
      <c r="Q483" s="159"/>
      <c r="R483" s="159"/>
      <c r="S483" s="159"/>
      <c r="T483" s="159"/>
      <c r="U483" s="159"/>
      <c r="V483" s="159"/>
      <c r="W483" s="159">
        <f t="shared" si="889"/>
        <v>30854.605965504736</v>
      </c>
      <c r="X483" s="163"/>
      <c r="Y483" s="167">
        <v>2673.7414355715778</v>
      </c>
      <c r="Z483" s="168">
        <v>8.3671550399428668E-2</v>
      </c>
      <c r="AA483" s="78"/>
      <c r="AB483" s="168"/>
      <c r="AC483" s="168"/>
      <c r="AD483" s="163">
        <f t="shared" si="811"/>
        <v>30854.605965504736</v>
      </c>
      <c r="AE483" s="168"/>
      <c r="AF483" s="163"/>
      <c r="AG483" s="163"/>
      <c r="AH483" s="163"/>
      <c r="AI483" s="163"/>
      <c r="AJ483" s="167"/>
      <c r="AK483" s="168"/>
      <c r="AL483" s="115"/>
      <c r="AM483" s="115"/>
      <c r="AN483" s="115"/>
      <c r="AO483" s="115"/>
      <c r="AP483" s="115"/>
      <c r="AQ483" s="168"/>
      <c r="AR483" s="79"/>
      <c r="AS483" s="115"/>
      <c r="AT483" s="115"/>
      <c r="AU483" s="115"/>
      <c r="AV483" s="113">
        <f>IFERROR(INDEX('Total Customers'!$F$7:$AB$91,MATCH($C483,'Total Customers'!$D$7:$D$91,0),MATCH($G483,'Total Customers'!$F$5:$AB$5,0)),"NA")</f>
        <v>409932</v>
      </c>
      <c r="AW483" s="68">
        <f t="shared" si="844"/>
        <v>1.0266408824707564E-2</v>
      </c>
      <c r="AX483" s="114"/>
      <c r="AY483" s="114"/>
      <c r="AZ483" s="116"/>
      <c r="BA483" s="116"/>
      <c r="BB483" s="166"/>
      <c r="BC483" s="166"/>
      <c r="BD483" s="166"/>
      <c r="BE483" s="166"/>
      <c r="BF483" s="166"/>
      <c r="BG483" s="166"/>
      <c r="BH483" s="166"/>
      <c r="BI483" s="113"/>
      <c r="BJ483" s="113"/>
      <c r="BK483" s="113">
        <f>INDEX('Dist. Plant Gas Additions'!$F$7:$AE$91,MATCH($C483,'Dist. Plant Gas Additions'!$D$7:$D$91,0),MATCH(Calculation!$G483,'Dist. Plant Gas Additions'!$F$5:$AE$5,0))</f>
        <v>84077</v>
      </c>
      <c r="BL483" s="113">
        <f>INDEX('Gen. Plant Additions'!$F$7:$AE$91,MATCH($C483,'Gen. Plant Additions'!$D$7:$D$91,0),MATCH(Calculation!$G483,'Gen. Plant Additions'!$F$5:$AE$5,0))</f>
        <v>277</v>
      </c>
      <c r="BM483" s="231">
        <f t="shared" si="890"/>
        <v>0.98892259629017587</v>
      </c>
      <c r="BN483" s="61">
        <f t="shared" si="891"/>
        <v>273.93155917237874</v>
      </c>
      <c r="BO483" s="113">
        <f>INDEX('Dist Plant Depreciation'!$E$7:$AD$94,MATCH($C483,'Dist Plant Depreciation'!$D$7:$D$94,0),MATCH(Calculation!$G483,'Dist Plant Depreciation'!$E$5:$AD$5,0))</f>
        <v>241907</v>
      </c>
      <c r="BP483" s="113">
        <f>INDEX('Gen. Plant Depreciation'!$E$7:$AD$94,MATCH($C483,'Gen. Plant Depreciation'!$D$7:$D$94,0),MATCH(Calculation!$G483,'Gen. Plant Depreciation'!$E$5:$AD$5,0))</f>
        <v>1034</v>
      </c>
      <c r="BQ483" s="113"/>
      <c r="BR483" s="113"/>
      <c r="BS483" s="113"/>
      <c r="BT483" s="113"/>
      <c r="BU483" s="113"/>
      <c r="BV483" s="113"/>
      <c r="BW483" s="113">
        <f>INDEX('Gross Dx Plant'!$E$7:$AD$91,MATCH($C483,'Gross Dx Plant'!$D$7:$D$91,0),MATCH(Calculation!$G483,'Gross Dx Plant'!$E$5:$AD$5,0))</f>
        <v>809089</v>
      </c>
      <c r="BX483" s="113">
        <f>INDEX('Gross Gen Plant'!$E$7:$AD$91,MATCH($C483,'Gross Gen Plant'!$D$7:$D$91,0),MATCH(Calculation!$G483,'Gross Gen Plant'!$E$5:$AD$5,0))</f>
        <v>9063</v>
      </c>
      <c r="BY483" s="113">
        <f t="shared" si="885"/>
        <v>575211</v>
      </c>
      <c r="BZ483" s="113"/>
      <c r="CA483" s="116">
        <v>2003</v>
      </c>
      <c r="CB483" s="113"/>
      <c r="CC483" s="113"/>
      <c r="CD483" s="113"/>
      <c r="CE483" s="175"/>
      <c r="CF483" s="113">
        <f t="shared" si="892"/>
        <v>84354</v>
      </c>
      <c r="CG483" s="113">
        <f t="shared" si="893"/>
        <v>228.45736295811068</v>
      </c>
      <c r="CH483" s="178">
        <v>0.97354497354497349</v>
      </c>
      <c r="CI483" s="61">
        <f>+CI478*CH483+CG479*CH482+CG480*CH481+CG481*CH480+CG482*CH479+CG483</f>
        <v>2673.7414355715778</v>
      </c>
      <c r="CJ483" s="114">
        <f t="shared" si="894"/>
        <v>8.3671550399428668E-2</v>
      </c>
      <c r="CK483" s="114"/>
      <c r="CL483" s="169">
        <f t="shared" si="895"/>
        <v>5.6300182715079295E-3</v>
      </c>
      <c r="CM483" s="169">
        <f t="shared" si="903"/>
        <v>5.4704126868701936E-3</v>
      </c>
      <c r="CN483" s="114">
        <f>VLOOKUP($H483,RoR!$E:$F,2,FALSE)</f>
        <v>5.6666666666666671E-2</v>
      </c>
      <c r="CO483" s="169">
        <v>1.8855119140166909E-2</v>
      </c>
      <c r="CP483" s="169">
        <f t="shared" si="901"/>
        <v>3.7811547526499761E-2</v>
      </c>
      <c r="CQ483" s="169">
        <f t="shared" si="904"/>
        <v>2.5431528921663431E-2</v>
      </c>
      <c r="CR483" s="169">
        <f t="shared" si="905"/>
        <v>2.1375012817671957E-2</v>
      </c>
      <c r="CS483" s="179">
        <f t="shared" si="896"/>
        <v>0.87050000000000005</v>
      </c>
      <c r="CT483" s="180">
        <f t="shared" si="897"/>
        <v>0.90497737556561086</v>
      </c>
      <c r="CU483" s="180">
        <f t="shared" si="898"/>
        <v>0.5338235294117647</v>
      </c>
      <c r="CV483" s="180">
        <f t="shared" si="899"/>
        <v>0.88972433127405692</v>
      </c>
      <c r="CW483" s="180">
        <f t="shared" si="900"/>
        <v>0.42982423775949252</v>
      </c>
      <c r="CX483" s="181">
        <f>INDEX('State Tax Lookup'!$D$7:$Z$91,MATCH(Calculation!$C483,'State Tax Lookup'!$B$7:$B$91,0),MATCH($H483,'State Tax Lookup'!$D$6:$Z$6,0))</f>
        <v>0.35</v>
      </c>
      <c r="CY483" s="72">
        <v>0.37</v>
      </c>
      <c r="CZ483" s="70">
        <f t="shared" si="902"/>
        <v>12.546965121057566</v>
      </c>
      <c r="DA483" s="70"/>
      <c r="DB483" s="69">
        <f t="shared" ref="DB483:DB502" si="906">LN(CZ483/CZ482)</f>
        <v>1.5689557547132433E-2</v>
      </c>
      <c r="DC483" s="111">
        <f>VLOOKUP($H483,RoR!$E:$F,2,FALSE)</f>
        <v>5.6666666666666671E-2</v>
      </c>
      <c r="DD483" s="216">
        <f>HLOOKUP($H483,'GDP-PI'!$D$8:$CQ$11,3,FALSE)</f>
        <v>1.8855119140166909E-2</v>
      </c>
      <c r="DE483" s="111">
        <f>VLOOKUP(H483,'HW Dx Data'!$E:$F,2,FALSE)</f>
        <v>369.23301095560191</v>
      </c>
      <c r="DF483" s="66"/>
      <c r="DG483" s="69"/>
      <c r="DH483" s="66">
        <f>HLOOKUP(H483,'GDP-PI'!$8:$9,2,FALSE)</f>
        <v>82.566999999999993</v>
      </c>
      <c r="DI483" s="69">
        <f t="shared" ref="DI483:DI502" si="907">LN(DH483/DH482)</f>
        <v>1.8679564681853753E-2</v>
      </c>
      <c r="EB483"/>
    </row>
    <row r="484" spans="1:132" s="160" customFormat="1" ht="21">
      <c r="A484" s="160" t="s">
        <v>189</v>
      </c>
      <c r="B484" s="161" t="s">
        <v>189</v>
      </c>
      <c r="C484" s="161">
        <v>4057079</v>
      </c>
      <c r="D484" s="161" t="s">
        <v>177</v>
      </c>
      <c r="E484" s="161"/>
      <c r="F484" s="161"/>
      <c r="G484" s="161" t="s">
        <v>115</v>
      </c>
      <c r="H484" s="162">
        <v>2004</v>
      </c>
      <c r="I484" s="163"/>
      <c r="J484" s="159">
        <f>IFERROR(INDEX('Labor Expenditures'!$F$7:$X$91,MATCH($C484,'Labor Expenditures'!$D$7:$D$91,0),MATCH($G484,'Labor Expenditures'!$F$5:$X$5,0)),"NA")</f>
        <v>28828.133765959861</v>
      </c>
      <c r="K484" s="159">
        <f t="shared" ref="K484:K502" si="908">+J484/DF484</f>
        <v>305.54460801229317</v>
      </c>
      <c r="L484" s="165"/>
      <c r="M484" s="76"/>
      <c r="N484" s="152"/>
      <c r="O484" s="76"/>
      <c r="P484" s="76"/>
      <c r="Q484" s="159">
        <f>IFERROR(INDEX('Non-Labor Expenditures'!$F$7:$AB$91,MATCH($C484,'Non-Labor Expenditures'!$D$7:$D$91,0),MATCH($G484,'Non-Labor Expenditures'!$F$5:$AB$5,0)),"NA")</f>
        <v>41748.522045782462</v>
      </c>
      <c r="R484" s="159">
        <f t="shared" ref="R484:R502" si="909">+Q484/DH484</f>
        <v>492.44523397322962</v>
      </c>
      <c r="S484" s="159"/>
      <c r="T484" s="159"/>
      <c r="U484" s="159"/>
      <c r="V484" s="159"/>
      <c r="W484" s="159">
        <f t="shared" si="889"/>
        <v>37265.484290013679</v>
      </c>
      <c r="X484" s="163"/>
      <c r="Y484" s="167">
        <v>2865.5996697033343</v>
      </c>
      <c r="Z484" s="168">
        <v>6.9298858804584848E-2</v>
      </c>
      <c r="AA484" s="76">
        <f t="shared" ref="AA484:AA502" si="910">+Z484*$AR484</f>
        <v>0</v>
      </c>
      <c r="AB484" s="168"/>
      <c r="AC484" s="168"/>
      <c r="AD484" s="163">
        <f t="shared" si="811"/>
        <v>107842.140101756</v>
      </c>
      <c r="AE484" s="168"/>
      <c r="AF484" s="163"/>
      <c r="AG484" s="163"/>
      <c r="AH484" s="163"/>
      <c r="AI484" s="163"/>
      <c r="AJ484" s="167"/>
      <c r="AK484" s="168"/>
      <c r="AL484" s="115">
        <f t="shared" ref="AL484:AL502" si="911">+J484/AD484</f>
        <v>0.26731789390268651</v>
      </c>
      <c r="AM484" s="115">
        <f t="shared" ref="AM484:AM502" si="912">+Q484/AD484</f>
        <v>0.38712623846661465</v>
      </c>
      <c r="AN484" s="115">
        <f t="shared" ref="AN484:AN502" si="913">+W484/AD484</f>
        <v>0.3455558676306989</v>
      </c>
      <c r="AO484" s="115"/>
      <c r="AP484" s="115"/>
      <c r="AQ484" s="168"/>
      <c r="AR484" s="79"/>
      <c r="AS484" s="115"/>
      <c r="AT484" s="115"/>
      <c r="AU484" s="115"/>
      <c r="AV484" s="113">
        <f>IFERROR(INDEX('Total Customers'!$F$7:$AB$91,MATCH($C484,'Total Customers'!$D$7:$D$91,0),MATCH($G484,'Total Customers'!$F$5:$AB$5,0)),"NA")</f>
        <v>414231</v>
      </c>
      <c r="AW484" s="68">
        <f t="shared" si="844"/>
        <v>1.0432496947283187E-2</v>
      </c>
      <c r="AX484" s="114"/>
      <c r="AY484" s="114"/>
      <c r="AZ484" s="116"/>
      <c r="BA484" s="116"/>
      <c r="BB484" s="166"/>
      <c r="BC484" s="166"/>
      <c r="BD484" s="166"/>
      <c r="BE484" s="166"/>
      <c r="BF484" s="166"/>
      <c r="BG484" s="166"/>
      <c r="BH484" s="166"/>
      <c r="BI484" s="113"/>
      <c r="BJ484" s="113"/>
      <c r="BK484" s="113">
        <f>INDEX('Dist. Plant Gas Additions'!$F$7:$AE$91,MATCH($C484,'Dist. Plant Gas Additions'!$D$7:$D$91,0),MATCH(Calculation!$G484,'Dist. Plant Gas Additions'!$F$5:$AE$5,0))</f>
        <v>85199</v>
      </c>
      <c r="BL484" s="113">
        <f>INDEX('Gen. Plant Additions'!$F$7:$AE$91,MATCH($C484,'Gen. Plant Additions'!$D$7:$D$91,0),MATCH(Calculation!$G484,'Gen. Plant Additions'!$F$5:$AE$5,0))</f>
        <v>800</v>
      </c>
      <c r="BM484" s="231">
        <f t="shared" si="890"/>
        <v>0.98829774399806969</v>
      </c>
      <c r="BN484" s="61">
        <f t="shared" si="891"/>
        <v>790.63819519845572</v>
      </c>
      <c r="BO484" s="113">
        <f>INDEX('Dist Plant Depreciation'!$E$7:$AD$94,MATCH($C484,'Dist Plant Depreciation'!$D$7:$D$94,0),MATCH(Calculation!$G484,'Dist Plant Depreciation'!$E$5:$AD$5,0))</f>
        <v>254562</v>
      </c>
      <c r="BP484" s="113">
        <f>INDEX('Gen. Plant Depreciation'!$E$7:$AD$94,MATCH($C484,'Gen. Plant Depreciation'!$D$7:$D$94,0),MATCH(Calculation!$G484,'Gen. Plant Depreciation'!$E$5:$AD$5,0))</f>
        <v>46</v>
      </c>
      <c r="BQ484" s="113"/>
      <c r="BR484" s="113"/>
      <c r="BS484" s="113"/>
      <c r="BT484" s="113"/>
      <c r="BU484" s="113"/>
      <c r="BV484" s="113"/>
      <c r="BW484" s="113">
        <f>INDEX('Gross Dx Plant'!$E$7:$AD$91,MATCH($C484,'Gross Dx Plant'!$D$7:$D$91,0),MATCH(Calculation!$G484,'Gross Dx Plant'!$E$5:$AD$5,0))</f>
        <v>884736</v>
      </c>
      <c r="BX484" s="113">
        <f>INDEX('Gross Gen Plant'!$E$7:$AD$91,MATCH($C484,'Gross Gen Plant'!$D$7:$D$91,0),MATCH(Calculation!$G484,'Gross Gen Plant'!$E$5:$AD$5,0))</f>
        <v>10476</v>
      </c>
      <c r="BY484" s="113">
        <f t="shared" si="885"/>
        <v>640604</v>
      </c>
      <c r="BZ484" s="113"/>
      <c r="CA484" s="116">
        <v>2004</v>
      </c>
      <c r="CB484" s="113"/>
      <c r="CC484" s="113"/>
      <c r="CD484" s="113"/>
      <c r="CE484" s="175"/>
      <c r="CF484" s="113">
        <f t="shared" si="892"/>
        <v>85999</v>
      </c>
      <c r="CG484" s="113">
        <f t="shared" si="893"/>
        <v>207.28285132084889</v>
      </c>
      <c r="CH484" s="178">
        <v>0.967741935483871</v>
      </c>
      <c r="CI484" s="61">
        <f>+CI478*CH484+CG479*CH483+CG480*CH482+CG481*CH481+CG482*CH480+CG483*CH479+CG484</f>
        <v>2865.5996697033343</v>
      </c>
      <c r="CJ484" s="114">
        <f t="shared" si="894"/>
        <v>6.9298858804584848E-2</v>
      </c>
      <c r="CK484" s="114"/>
      <c r="CL484" s="169">
        <f t="shared" si="895"/>
        <v>5.7689262633561318E-3</v>
      </c>
      <c r="CM484" s="169">
        <f t="shared" si="903"/>
        <v>5.6828136736378045E-3</v>
      </c>
      <c r="CN484" s="114">
        <f>VLOOKUP($H484,RoR!$E:$F,2,FALSE)</f>
        <v>5.6283333333333331E-2</v>
      </c>
      <c r="CO484" s="169">
        <v>2.6778252812867276E-2</v>
      </c>
      <c r="CP484" s="169">
        <f t="shared" si="901"/>
        <v>2.9505080520466055E-2</v>
      </c>
      <c r="CQ484" s="169">
        <f t="shared" si="904"/>
        <v>2.5219127934895821E-2</v>
      </c>
      <c r="CR484" s="169">
        <f t="shared" si="905"/>
        <v>5.5940039414565046E-2</v>
      </c>
      <c r="CS484" s="179">
        <f t="shared" si="896"/>
        <v>0.87050000000000005</v>
      </c>
      <c r="CT484" s="180">
        <f t="shared" si="897"/>
        <v>0.91114097628755619</v>
      </c>
      <c r="CU484" s="180">
        <f t="shared" si="898"/>
        <v>0.53081877405981637</v>
      </c>
      <c r="CV484" s="180">
        <f t="shared" si="899"/>
        <v>0.88811215519385678</v>
      </c>
      <c r="CW484" s="180">
        <f t="shared" si="900"/>
        <v>0.42953609753547711</v>
      </c>
      <c r="CX484" s="181">
        <f>INDEX('State Tax Lookup'!$D$7:$Z$91,MATCH(Calculation!$C484,'State Tax Lookup'!$B$7:$B$91,0),MATCH($H484,'State Tax Lookup'!$D$6:$Z$6,0))</f>
        <v>0.35</v>
      </c>
      <c r="CY484" s="72">
        <v>0.37</v>
      </c>
      <c r="CZ484" s="70">
        <f t="shared" si="902"/>
        <v>13.93757967551835</v>
      </c>
      <c r="DA484" s="70"/>
      <c r="DB484" s="69">
        <f t="shared" si="906"/>
        <v>0.10510995252252751</v>
      </c>
      <c r="DC484" s="111">
        <f>VLOOKUP($H484,RoR!$E:$F,2,FALSE)</f>
        <v>5.6283333333333331E-2</v>
      </c>
      <c r="DD484" s="216">
        <f>HLOOKUP($H484,'GDP-PI'!$D$8:$CQ$11,3,FALSE)</f>
        <v>2.6778252812867276E-2</v>
      </c>
      <c r="DE484" s="111">
        <f>VLOOKUP(H484,'HW Dx Data'!$E:$F,2,FALSE)</f>
        <v>414.88719135228365</v>
      </c>
      <c r="DF484" s="72">
        <f>VLOOKUP(G484,EG$8:EH$27,2,FALSE)</f>
        <v>94.35</v>
      </c>
      <c r="DG484" s="69"/>
      <c r="DH484" s="66">
        <f>HLOOKUP(H484,'GDP-PI'!$8:$9,2,FALSE)</f>
        <v>84.778000000000006</v>
      </c>
      <c r="DI484" s="69">
        <f t="shared" si="907"/>
        <v>2.6425990216022755E-2</v>
      </c>
      <c r="EB484"/>
    </row>
    <row r="485" spans="1:132" s="160" customFormat="1" ht="21">
      <c r="A485" s="160" t="s">
        <v>189</v>
      </c>
      <c r="B485" s="161" t="s">
        <v>189</v>
      </c>
      <c r="C485" s="161">
        <v>4057079</v>
      </c>
      <c r="D485" s="161" t="s">
        <v>177</v>
      </c>
      <c r="E485" s="161"/>
      <c r="F485" s="161"/>
      <c r="G485" s="161" t="s">
        <v>116</v>
      </c>
      <c r="H485" s="162">
        <v>2005</v>
      </c>
      <c r="I485" s="163"/>
      <c r="J485" s="159">
        <f>IFERROR(INDEX('Labor Expenditures'!$F$7:$X$91,MATCH($C485,'Labor Expenditures'!$D$7:$D$91,0),MATCH($G485,'Labor Expenditures'!$F$5:$X$5,0)),"NA")</f>
        <v>31194.887542907843</v>
      </c>
      <c r="K485" s="159">
        <f t="shared" si="908"/>
        <v>314.38536198445803</v>
      </c>
      <c r="L485" s="165">
        <f t="shared" ref="L485:L501" si="914">LN(K485/K484)</f>
        <v>2.8523716538416975E-2</v>
      </c>
      <c r="M485" s="76"/>
      <c r="N485" s="62">
        <v>100</v>
      </c>
      <c r="O485" s="77"/>
      <c r="P485" s="77"/>
      <c r="Q485" s="159">
        <f>IFERROR(INDEX('Non-Labor Expenditures'!$F$7:$AB$91,MATCH($C485,'Non-Labor Expenditures'!$D$7:$D$91,0),MATCH($G485,'Non-Labor Expenditures'!$F$5:$AB$5,0)),"NA")</f>
        <v>45176.023563432711</v>
      </c>
      <c r="R485" s="159">
        <f t="shared" si="909"/>
        <v>516.8467464097007</v>
      </c>
      <c r="S485" s="165">
        <f>LN(R485/R484)</f>
        <v>4.8363147582252936E-2</v>
      </c>
      <c r="T485" s="165"/>
      <c r="U485" s="165"/>
      <c r="V485" s="165"/>
      <c r="W485" s="159">
        <f t="shared" si="889"/>
        <v>44897.309876720086</v>
      </c>
      <c r="X485" s="163"/>
      <c r="Y485" s="167">
        <v>3020.4479756462547</v>
      </c>
      <c r="Z485" s="168">
        <v>5.2627519631094959E-2</v>
      </c>
      <c r="AA485" s="76">
        <f t="shared" si="910"/>
        <v>0</v>
      </c>
      <c r="AB485" s="168"/>
      <c r="AC485" s="168"/>
      <c r="AD485" s="163">
        <f t="shared" si="811"/>
        <v>121268.22098306064</v>
      </c>
      <c r="AE485" s="168">
        <f>LN(AD485/AD484)</f>
        <v>0.1173363025518997</v>
      </c>
      <c r="AF485" s="163"/>
      <c r="AG485" s="163"/>
      <c r="AH485" s="163"/>
      <c r="AI485" s="163"/>
      <c r="AJ485" s="116"/>
      <c r="AK485" s="114"/>
      <c r="AL485" s="115">
        <f t="shared" si="911"/>
        <v>0.25723876618314789</v>
      </c>
      <c r="AM485" s="115">
        <f t="shared" si="912"/>
        <v>0.3725297790073388</v>
      </c>
      <c r="AN485" s="115">
        <f t="shared" si="913"/>
        <v>0.37023145480951325</v>
      </c>
      <c r="AO485" s="115">
        <f t="shared" ref="AO485:AO501" si="915">+(((AL485+AL484)/2)*L485+((AM484+AM485)/2)*S485+((AN484+AN485)/2)*Z485)</f>
        <v>4.4685886464438787E-2</v>
      </c>
      <c r="AP485" s="166">
        <v>100</v>
      </c>
      <c r="AQ485" s="168"/>
      <c r="AR485" s="16"/>
      <c r="AS485" s="115"/>
      <c r="AT485" s="115"/>
      <c r="AU485" s="115"/>
      <c r="AV485" s="113">
        <f>IFERROR(INDEX('Total Customers'!$F$7:$AB$91,MATCH($C485,'Total Customers'!$D$7:$D$91,0),MATCH($G485,'Total Customers'!$F$5:$AB$5,0)),"NA")</f>
        <v>418167</v>
      </c>
      <c r="AW485" s="68">
        <f t="shared" si="844"/>
        <v>9.4570850365193002E-3</v>
      </c>
      <c r="AX485" s="114"/>
      <c r="AY485" s="114"/>
      <c r="AZ485" s="116"/>
      <c r="BA485" s="116"/>
      <c r="BB485" s="166"/>
      <c r="BC485" s="166"/>
      <c r="BD485" s="166"/>
      <c r="BE485" s="166"/>
      <c r="BF485" s="166"/>
      <c r="BG485" s="166"/>
      <c r="BH485" s="166"/>
      <c r="BI485" s="113"/>
      <c r="BJ485" s="113"/>
      <c r="BK485" s="113">
        <f>INDEX('Dist. Plant Gas Additions'!$F$7:$AE$91,MATCH($C485,'Dist. Plant Gas Additions'!$D$7:$D$91,0),MATCH(Calculation!$G485,'Dist. Plant Gas Additions'!$F$5:$AE$5,0))</f>
        <v>80239</v>
      </c>
      <c r="BL485" s="113">
        <f>INDEX('Gen. Plant Additions'!$F$7:$AE$91,MATCH($C485,'Gen. Plant Additions'!$D$7:$D$91,0),MATCH(Calculation!$G485,'Gen. Plant Additions'!$F$5:$AE$5,0))</f>
        <v>372</v>
      </c>
      <c r="BM485" s="231">
        <f t="shared" si="890"/>
        <v>0.98891858492952434</v>
      </c>
      <c r="BN485" s="61">
        <f t="shared" si="891"/>
        <v>367.87771359378303</v>
      </c>
      <c r="BO485" s="113">
        <f>INDEX('Dist Plant Depreciation'!$E$7:$AD$94,MATCH($C485,'Dist Plant Depreciation'!$D$7:$D$94,0),MATCH(Calculation!$G485,'Dist Plant Depreciation'!$E$5:$AD$5,0))</f>
        <v>269895</v>
      </c>
      <c r="BP485" s="113">
        <f>INDEX('Gen. Plant Depreciation'!$E$7:$AD$94,MATCH($C485,'Gen. Plant Depreciation'!$D$7:$D$94,0),MATCH(Calculation!$G485,'Gen. Plant Depreciation'!$E$5:$AD$5,0))</f>
        <v>398</v>
      </c>
      <c r="BQ485" s="113"/>
      <c r="BR485" s="113"/>
      <c r="BS485" s="113"/>
      <c r="BT485" s="113"/>
      <c r="BU485" s="113"/>
      <c r="BV485" s="113"/>
      <c r="BW485" s="113">
        <f>INDEX('Gross Dx Plant'!$E$7:$AD$91,MATCH($C485,'Gross Dx Plant'!$D$7:$D$91,0),MATCH(Calculation!$G485,'Gross Dx Plant'!$E$5:$AD$5,0))</f>
        <v>953899</v>
      </c>
      <c r="BX485" s="113">
        <f>INDEX('Gross Gen Plant'!$E$7:$AD$91,MATCH($C485,'Gross Gen Plant'!$D$7:$D$91,0),MATCH(Calculation!$G485,'Gross Gen Plant'!$E$5:$AD$5,0))</f>
        <v>10689</v>
      </c>
      <c r="BY485" s="113">
        <f t="shared" si="885"/>
        <v>694295</v>
      </c>
      <c r="BZ485" s="113"/>
      <c r="CA485" s="116">
        <v>2005</v>
      </c>
      <c r="CB485" s="113"/>
      <c r="CC485" s="113"/>
      <c r="CD485" s="113"/>
      <c r="CE485" s="175"/>
      <c r="CF485" s="113">
        <f t="shared" si="892"/>
        <v>80611</v>
      </c>
      <c r="CG485" s="113">
        <f t="shared" si="893"/>
        <v>171.80331813922231</v>
      </c>
      <c r="CH485" s="178">
        <v>0.96174863387978138</v>
      </c>
      <c r="CI485" s="61">
        <f>+CI478*CH485+CG479*CH484+CG480*CH483+CG481*CH482+CG482*CH481+CG483*CH480+CG484*CH479+CG485</f>
        <v>3020.4479756462547</v>
      </c>
      <c r="CJ485" s="114">
        <f t="shared" si="894"/>
        <v>5.2627519631094959E-2</v>
      </c>
      <c r="CK485" s="114"/>
      <c r="CL485" s="169">
        <f t="shared" si="895"/>
        <v>5.9167413981650735E-3</v>
      </c>
      <c r="CM485" s="169">
        <f t="shared" si="903"/>
        <v>5.7718953110097128E-3</v>
      </c>
      <c r="CN485" s="114">
        <f>VLOOKUP($H485,RoR!$E:$F,2,FALSE)</f>
        <v>5.2350000000000001E-2</v>
      </c>
      <c r="CO485" s="169">
        <v>3.1010403642454332E-2</v>
      </c>
      <c r="CP485" s="169">
        <f t="shared" si="901"/>
        <v>2.1339596357545669E-2</v>
      </c>
      <c r="CQ485" s="169">
        <f t="shared" si="904"/>
        <v>2.5130046297523911E-2</v>
      </c>
      <c r="CR485" s="169">
        <f t="shared" si="905"/>
        <v>9.2129610649277341E-2</v>
      </c>
      <c r="CS485" s="179">
        <f t="shared" si="896"/>
        <v>0.87050000000000005</v>
      </c>
      <c r="CT485" s="180">
        <f t="shared" si="897"/>
        <v>0.97959983346802826</v>
      </c>
      <c r="CU485" s="180">
        <f t="shared" si="898"/>
        <v>0.49744508118433622</v>
      </c>
      <c r="CV485" s="180">
        <f t="shared" si="899"/>
        <v>0.87010519444335932</v>
      </c>
      <c r="CW485" s="180">
        <f t="shared" si="900"/>
        <v>0.42399975420741998</v>
      </c>
      <c r="CX485" s="181">
        <f>INDEX('State Tax Lookup'!$D$7:$Z$91,MATCH(Calculation!$C485,'State Tax Lookup'!$B$7:$B$91,0),MATCH($H485,'State Tax Lookup'!$D$6:$Z$6,0))</f>
        <v>0.35</v>
      </c>
      <c r="CY485" s="72">
        <v>0.37</v>
      </c>
      <c r="CZ485" s="70">
        <f t="shared" si="902"/>
        <v>15.667683923682247</v>
      </c>
      <c r="DA485" s="70"/>
      <c r="DB485" s="69">
        <f t="shared" si="906"/>
        <v>0.11701147639975323</v>
      </c>
      <c r="DC485" s="111">
        <f>VLOOKUP($H485,RoR!$E:$F,2,FALSE)</f>
        <v>5.2350000000000001E-2</v>
      </c>
      <c r="DD485" s="216">
        <f>HLOOKUP($H485,'GDP-PI'!$D$8:$CQ$11,3,FALSE)</f>
        <v>3.1010403642454332E-2</v>
      </c>
      <c r="DE485" s="111">
        <f>VLOOKUP(H485,'HW Dx Data'!$E:$F,2,FALSE)</f>
        <v>469.20514034936258</v>
      </c>
      <c r="DF485" s="72">
        <f t="shared" ref="DF485:DF503" si="916">VLOOKUP(G485,EG$8:EH$27,2,FALSE)</f>
        <v>99.224999999999994</v>
      </c>
      <c r="DG485" s="69">
        <f t="shared" ref="DG485:DG503" si="917">LN(DF485/DF484)</f>
        <v>5.0378726854569796E-2</v>
      </c>
      <c r="DH485" s="66">
        <f>HLOOKUP(H485,'GDP-PI'!$8:$9,2,FALSE)</f>
        <v>87.406999999999996</v>
      </c>
      <c r="DI485" s="69">
        <f t="shared" si="907"/>
        <v>3.0539295810733648E-2</v>
      </c>
      <c r="EB485"/>
    </row>
    <row r="486" spans="1:132" s="160" customFormat="1" ht="21">
      <c r="A486" s="160" t="s">
        <v>189</v>
      </c>
      <c r="B486" s="161" t="s">
        <v>189</v>
      </c>
      <c r="C486" s="161">
        <v>4057079</v>
      </c>
      <c r="D486" s="161" t="s">
        <v>177</v>
      </c>
      <c r="E486" s="161"/>
      <c r="F486" s="161"/>
      <c r="G486" s="161" t="s">
        <v>117</v>
      </c>
      <c r="H486" s="162">
        <v>2006</v>
      </c>
      <c r="I486" s="163"/>
      <c r="J486" s="159">
        <f>IFERROR(INDEX('Labor Expenditures'!$F$7:$X$91,MATCH($C486,'Labor Expenditures'!$D$7:$D$91,0),MATCH($G486,'Labor Expenditures'!$F$5:$X$5,0)),"NA")</f>
        <v>33833.204842769846</v>
      </c>
      <c r="K486" s="159">
        <f t="shared" si="908"/>
        <v>309.26147022641538</v>
      </c>
      <c r="L486" s="165">
        <f t="shared" si="914"/>
        <v>-1.6432399847428652E-2</v>
      </c>
      <c r="M486" s="76">
        <f t="shared" ref="M486:M502" si="918">+L486*$AR486</f>
        <v>-2.6652491796976289E-4</v>
      </c>
      <c r="N486" s="62">
        <f>+N485*EXP(O486)</f>
        <v>107.79515387556533</v>
      </c>
      <c r="O486" s="96">
        <f t="shared" ref="O486:O502" si="919">+M486+M511+M536+M561+M586+M611+M636+M661+M686+M711+M736+M761+M786+M811+M836+M861+M886+M911+M936+M961+M986+M1011+M1036+M1061+M1086+M1111+M1136+M1161+M1186+M1211+M1236+M1261+M1286+M1311+M1336+M1361+M1386+M1411+M1436+M1461+M1486+M1511+M1536+M1561+M1586+M1611+M1636+M1661+M1686+M1711+M1736+M1761+M1786+M1811</f>
        <v>7.5062516704188162E-2</v>
      </c>
      <c r="P486" s="96"/>
      <c r="Q486" s="159">
        <f>IFERROR(INDEX('Non-Labor Expenditures'!$F$7:$AB$91,MATCH($C486,'Non-Labor Expenditures'!$D$7:$D$91,0),MATCH($G486,'Non-Labor Expenditures'!$F$5:$AB$5,0)),"NA")</f>
        <v>48996.799783332099</v>
      </c>
      <c r="R486" s="159">
        <f t="shared" si="909"/>
        <v>543.96162914195111</v>
      </c>
      <c r="S486" s="165">
        <f t="shared" ref="S486:S501" si="920">LN(R486/R485)</f>
        <v>5.113230774586907E-2</v>
      </c>
      <c r="T486" s="165">
        <f t="shared" ref="T486:T502" si="921">+S486*AR486</f>
        <v>8.2933924771219256E-4</v>
      </c>
      <c r="U486" s="165"/>
      <c r="V486" s="165"/>
      <c r="W486" s="159">
        <f t="shared" si="889"/>
        <v>46270.958573437703</v>
      </c>
      <c r="X486" s="163"/>
      <c r="Y486" s="167">
        <v>3176.7231864790765</v>
      </c>
      <c r="Z486" s="168">
        <v>5.044506432297375E-2</v>
      </c>
      <c r="AA486" s="76">
        <f t="shared" si="910"/>
        <v>8.1819251938199697E-4</v>
      </c>
      <c r="AB486" s="168"/>
      <c r="AC486" s="168"/>
      <c r="AD486" s="163">
        <f t="shared" si="811"/>
        <v>129100.96319953965</v>
      </c>
      <c r="AE486" s="168">
        <f t="shared" ref="AE486:AE502" si="922">LN(AD486/AD485)</f>
        <v>6.2589964028018183E-2</v>
      </c>
      <c r="AF486" s="163"/>
      <c r="AG486" s="163"/>
      <c r="AH486" s="163"/>
      <c r="AI486" s="163"/>
      <c r="AJ486" s="116">
        <f t="shared" ref="AJ486:AJ502" si="923">+(AD486*1000)/AV486</f>
        <v>306.53152597316421</v>
      </c>
      <c r="AK486" s="114">
        <f>+AV486/$AX$11</f>
        <v>1.2143869767379096E-2</v>
      </c>
      <c r="AL486" s="115">
        <f t="shared" si="911"/>
        <v>0.26206779565600086</v>
      </c>
      <c r="AM486" s="115">
        <f t="shared" si="912"/>
        <v>0.3795231156223226</v>
      </c>
      <c r="AN486" s="115">
        <f t="shared" si="913"/>
        <v>0.35840908872167654</v>
      </c>
      <c r="AO486" s="115">
        <f t="shared" si="915"/>
        <v>3.3338533034299289E-2</v>
      </c>
      <c r="AP486" s="166">
        <f>+AP485*EXP(AO486)</f>
        <v>103.39004894729713</v>
      </c>
      <c r="AQ486" s="168">
        <f>LN(AP486/AP485)</f>
        <v>3.3338533034299365E-2</v>
      </c>
      <c r="AR486" s="69">
        <f>+AD486/$AF$11</f>
        <v>1.6219476183904374E-2</v>
      </c>
      <c r="AS486" s="169">
        <f>+AR486*AQ486</f>
        <v>5.4073354255612779E-4</v>
      </c>
      <c r="AT486" s="115"/>
      <c r="AU486" s="115"/>
      <c r="AV486" s="113">
        <f>IFERROR(INDEX('Total Customers'!$F$7:$AB$91,MATCH($C486,'Total Customers'!$D$7:$D$91,0),MATCH($G486,'Total Customers'!$F$5:$AB$5,0)),"NA")</f>
        <v>421167</v>
      </c>
      <c r="AW486" s="68">
        <f t="shared" si="844"/>
        <v>7.1485553437606502E-3</v>
      </c>
      <c r="AX486" s="114"/>
      <c r="AY486" s="114"/>
      <c r="AZ486" s="116"/>
      <c r="BA486" s="116"/>
      <c r="BB486" s="166"/>
      <c r="BC486" s="166"/>
      <c r="BD486" s="166"/>
      <c r="BE486" s="166"/>
      <c r="BF486" s="166"/>
      <c r="BG486" s="166"/>
      <c r="BH486" s="166"/>
      <c r="BI486" s="113"/>
      <c r="BJ486" s="113"/>
      <c r="BK486" s="113">
        <f>INDEX('Dist. Plant Gas Additions'!$F$7:$AE$91,MATCH($C486,'Dist. Plant Gas Additions'!$D$7:$D$91,0),MATCH(Calculation!$G486,'Dist. Plant Gas Additions'!$F$5:$AE$5,0))</f>
        <v>80358</v>
      </c>
      <c r="BL486" s="113">
        <f>INDEX('Gen. Plant Additions'!$F$7:$AE$91,MATCH($C486,'Gen. Plant Additions'!$D$7:$D$91,0),MATCH(Calculation!$G486,'Gen. Plant Additions'!$F$5:$AE$5,0))</f>
        <v>166</v>
      </c>
      <c r="BM486" s="231">
        <f t="shared" si="890"/>
        <v>0.98957439298877692</v>
      </c>
      <c r="BN486" s="61">
        <f t="shared" si="891"/>
        <v>164.26934923613697</v>
      </c>
      <c r="BO486" s="113">
        <f>INDEX('Dist Plant Depreciation'!$E$7:$AD$94,MATCH($C486,'Dist Plant Depreciation'!$D$7:$D$94,0),MATCH(Calculation!$G486,'Dist Plant Depreciation'!$E$5:$AD$5,0))</f>
        <v>287826</v>
      </c>
      <c r="BP486" s="113">
        <f>INDEX('Gen. Plant Depreciation'!$E$7:$AD$94,MATCH($C486,'Gen. Plant Depreciation'!$D$7:$D$94,0),MATCH(Calculation!$G486,'Gen. Plant Depreciation'!$E$5:$AD$5,0))</f>
        <v>678</v>
      </c>
      <c r="BQ486" s="113"/>
      <c r="BR486" s="113"/>
      <c r="BS486" s="113"/>
      <c r="BT486" s="113"/>
      <c r="BU486" s="113"/>
      <c r="BV486" s="113"/>
      <c r="BW486" s="113">
        <f>INDEX('Gross Dx Plant'!$E$7:$AD$91,MATCH($C486,'Gross Dx Plant'!$D$7:$D$91,0),MATCH(Calculation!$G486,'Gross Dx Plant'!$E$5:$AD$5,0))</f>
        <v>1026155</v>
      </c>
      <c r="BX486" s="113">
        <f>INDEX('Gross Gen Plant'!$E$7:$AD$91,MATCH($C486,'Gross Gen Plant'!$D$7:$D$91,0),MATCH(Calculation!$G486,'Gross Gen Plant'!$E$5:$AD$5,0))</f>
        <v>10811</v>
      </c>
      <c r="BY486" s="113">
        <f t="shared" si="885"/>
        <v>748462</v>
      </c>
      <c r="BZ486" s="114"/>
      <c r="CA486" s="116">
        <v>2006</v>
      </c>
      <c r="CB486" s="113"/>
      <c r="CC486" s="113"/>
      <c r="CD486" s="113"/>
      <c r="CE486" s="175"/>
      <c r="CF486" s="113">
        <f t="shared" si="892"/>
        <v>80524</v>
      </c>
      <c r="CG486" s="113">
        <f t="shared" si="893"/>
        <v>174.63999591069924</v>
      </c>
      <c r="CH486" s="178">
        <v>0.9555555555555556</v>
      </c>
      <c r="CI486" s="61">
        <f>+CI478*CH486+CG479*CH485+CG480*CH484+CG481*CH483+CG482*CH482+CG483*CH481+CG484*CH480+CG485*CH479+CG486</f>
        <v>3176.7231864790765</v>
      </c>
      <c r="CJ486" s="114">
        <f t="shared" si="894"/>
        <v>5.044506432297375E-2</v>
      </c>
      <c r="CK486" s="114"/>
      <c r="CL486" s="169">
        <f t="shared" si="895"/>
        <v>6.0801527541450538E-3</v>
      </c>
      <c r="CM486" s="169">
        <f t="shared" si="903"/>
        <v>5.9219401385554203E-3</v>
      </c>
      <c r="CN486" s="114">
        <f>VLOOKUP($H486,RoR!$E:$F,2,FALSE)</f>
        <v>5.5874999999999994E-2</v>
      </c>
      <c r="CO486" s="169">
        <v>3.0512430354548314E-2</v>
      </c>
      <c r="CP486" s="169">
        <f t="shared" si="901"/>
        <v>2.536256964545168E-2</v>
      </c>
      <c r="CQ486" s="169">
        <f t="shared" si="904"/>
        <v>2.4980001469978204E-2</v>
      </c>
      <c r="CR486" s="169">
        <f t="shared" si="905"/>
        <v>7.9087823893859641E-2</v>
      </c>
      <c r="CS486" s="179">
        <f t="shared" si="896"/>
        <v>0.87050000000000005</v>
      </c>
      <c r="CT486" s="180">
        <f t="shared" si="897"/>
        <v>0.91779957551769631</v>
      </c>
      <c r="CU486" s="180">
        <f t="shared" si="898"/>
        <v>0.52757270693512304</v>
      </c>
      <c r="CV486" s="180">
        <f t="shared" si="899"/>
        <v>0.88636824549024895</v>
      </c>
      <c r="CW486" s="180">
        <f t="shared" si="900"/>
        <v>0.42918482841932087</v>
      </c>
      <c r="CX486" s="181">
        <f>INDEX('State Tax Lookup'!$D$7:$Z$91,MATCH(Calculation!$C486,'State Tax Lookup'!$B$7:$B$91,0),MATCH($H486,'State Tax Lookup'!$D$6:$Z$6,0))</f>
        <v>0.35</v>
      </c>
      <c r="CY486" s="72">
        <v>0.37</v>
      </c>
      <c r="CZ486" s="70">
        <f t="shared" si="902"/>
        <v>15.319237062355818</v>
      </c>
      <c r="DA486" s="70">
        <v>14.788696346247992</v>
      </c>
      <c r="DB486" s="69">
        <f t="shared" si="906"/>
        <v>-2.2490879267814071E-2</v>
      </c>
      <c r="DC486" s="111">
        <f>VLOOKUP($H486,RoR!$E:$F,2,FALSE)</f>
        <v>5.5874999999999994E-2</v>
      </c>
      <c r="DD486" s="216">
        <f>HLOOKUP($H486,'GDP-PI'!$D$8:$CQ$11,3,FALSE)</f>
        <v>3.0512430354548314E-2</v>
      </c>
      <c r="DE486" s="111">
        <f>VLOOKUP(H486,'HW Dx Data'!$E:$F,2,FALSE)</f>
        <v>461.08567272971823</v>
      </c>
      <c r="DF486" s="72">
        <f t="shared" si="916"/>
        <v>109.4</v>
      </c>
      <c r="DG486" s="69">
        <f t="shared" si="917"/>
        <v>9.7620891318751846E-2</v>
      </c>
      <c r="DH486" s="66">
        <f>HLOOKUP(H486,'GDP-PI'!$8:$9,2,FALSE)</f>
        <v>90.073999999999998</v>
      </c>
      <c r="DI486" s="69">
        <f t="shared" si="907"/>
        <v>3.005618372545445E-2</v>
      </c>
      <c r="EB486"/>
    </row>
    <row r="487" spans="1:132" s="160" customFormat="1" ht="21">
      <c r="A487" s="160" t="s">
        <v>189</v>
      </c>
      <c r="B487" s="161" t="s">
        <v>189</v>
      </c>
      <c r="C487" s="161">
        <v>4057079</v>
      </c>
      <c r="D487" s="161" t="s">
        <v>177</v>
      </c>
      <c r="E487" s="161"/>
      <c r="F487" s="161"/>
      <c r="G487" s="161" t="s">
        <v>118</v>
      </c>
      <c r="H487" s="162">
        <v>2007</v>
      </c>
      <c r="I487" s="163"/>
      <c r="J487" s="159">
        <f>IFERROR(INDEX('Labor Expenditures'!$F$7:$X$91,MATCH($C487,'Labor Expenditures'!$D$7:$D$91,0),MATCH($G487,'Labor Expenditures'!$F$5:$X$5,0)),"NA")</f>
        <v>33427.237756925402</v>
      </c>
      <c r="K487" s="159">
        <f t="shared" si="908"/>
        <v>319.80136576824111</v>
      </c>
      <c r="L487" s="165">
        <f t="shared" si="914"/>
        <v>3.351297003554024E-2</v>
      </c>
      <c r="M487" s="76">
        <f t="shared" si="918"/>
        <v>5.3472178617177768E-4</v>
      </c>
      <c r="N487" s="62">
        <f t="shared" ref="N487:N500" si="924">+N486*EXP(O487)</f>
        <v>118.09841538337071</v>
      </c>
      <c r="O487" s="96">
        <f t="shared" si="919"/>
        <v>9.1285602837368557E-2</v>
      </c>
      <c r="P487" s="96"/>
      <c r="Q487" s="159">
        <f>IFERROR(INDEX('Non-Labor Expenditures'!$F$7:$AB$91,MATCH($C487,'Non-Labor Expenditures'!$D$7:$D$91,0),MATCH($G487,'Non-Labor Expenditures'!$F$5:$AB$5,0)),"NA")</f>
        <v>48408.883618836873</v>
      </c>
      <c r="R487" s="159">
        <f t="shared" si="909"/>
        <v>523.35059805441063</v>
      </c>
      <c r="S487" s="165">
        <f t="shared" si="920"/>
        <v>-3.8627110659749685E-2</v>
      </c>
      <c r="T487" s="165">
        <f t="shared" si="921"/>
        <v>-6.1632131036825624E-4</v>
      </c>
      <c r="U487" s="165"/>
      <c r="V487" s="165"/>
      <c r="W487" s="159">
        <f t="shared" si="889"/>
        <v>52315.078295167936</v>
      </c>
      <c r="X487" s="163"/>
      <c r="Y487" s="167">
        <v>3329.6663091022547</v>
      </c>
      <c r="Z487" s="168">
        <v>4.7021870478730465E-2</v>
      </c>
      <c r="AA487" s="76">
        <f t="shared" si="910"/>
        <v>7.5026530160890339E-4</v>
      </c>
      <c r="AB487" s="168"/>
      <c r="AC487" s="168"/>
      <c r="AD487" s="163">
        <f t="shared" si="811"/>
        <v>134151.19967093022</v>
      </c>
      <c r="AE487" s="168">
        <f t="shared" si="922"/>
        <v>3.8372760884998157E-2</v>
      </c>
      <c r="AF487" s="163"/>
      <c r="AG487" s="163"/>
      <c r="AH487" s="163"/>
      <c r="AI487" s="163"/>
      <c r="AJ487" s="116">
        <f t="shared" si="923"/>
        <v>316.71553620636547</v>
      </c>
      <c r="AK487" s="114">
        <f>+AV487/$AX$12</f>
        <v>1.2121203796334587E-2</v>
      </c>
      <c r="AL487" s="115">
        <f t="shared" si="911"/>
        <v>0.24917583919429451</v>
      </c>
      <c r="AM487" s="115">
        <f t="shared" si="912"/>
        <v>0.36085315478044733</v>
      </c>
      <c r="AN487" s="115">
        <f t="shared" si="913"/>
        <v>0.38997100602525814</v>
      </c>
      <c r="AO487" s="115">
        <f t="shared" si="915"/>
        <v>1.1862464186474238E-2</v>
      </c>
      <c r="AP487" s="166">
        <f>+AP486*EXP(AO487)</f>
        <v>104.62381297325274</v>
      </c>
      <c r="AQ487" s="168">
        <f>LN(AP487/AP486)</f>
        <v>1.186246418647414E-2</v>
      </c>
      <c r="AR487" s="69">
        <f>+AD487/$AF$12</f>
        <v>1.5955666883738132E-2</v>
      </c>
      <c r="AS487" s="169">
        <f t="shared" ref="AS487:AS501" si="925">+AR487*AQ487</f>
        <v>1.8927352697965504E-4</v>
      </c>
      <c r="AT487" s="115"/>
      <c r="AU487" s="115"/>
      <c r="AV487" s="113">
        <f>IFERROR(INDEX('Total Customers'!$F$7:$AB$91,MATCH($C487,'Total Customers'!$D$7:$D$91,0),MATCH($G487,'Total Customers'!$F$5:$AB$5,0)),"NA")</f>
        <v>423570</v>
      </c>
      <c r="AW487" s="68">
        <f t="shared" si="844"/>
        <v>5.6893600774024474E-3</v>
      </c>
      <c r="AX487" s="114"/>
      <c r="AY487" s="114"/>
      <c r="AZ487" s="116"/>
      <c r="BA487" s="116"/>
      <c r="BB487" s="166"/>
      <c r="BC487" s="166"/>
      <c r="BD487" s="166"/>
      <c r="BE487" s="166"/>
      <c r="BF487" s="166"/>
      <c r="BG487" s="166"/>
      <c r="BH487" s="166"/>
      <c r="BI487" s="113"/>
      <c r="BJ487" s="113"/>
      <c r="BK487" s="113">
        <f>INDEX('Dist. Plant Gas Additions'!$F$7:$AE$91,MATCH($C487,'Dist. Plant Gas Additions'!$D$7:$D$91,0),MATCH(Calculation!$G487,'Dist. Plant Gas Additions'!$F$5:$AE$5,0))</f>
        <v>85638</v>
      </c>
      <c r="BL487" s="113">
        <f>INDEX('Gen. Plant Additions'!$F$7:$AE$91,MATCH($C487,'Gen. Plant Additions'!$D$7:$D$91,0),MATCH(Calculation!$G487,'Gen. Plant Additions'!$F$5:$AE$5,0))</f>
        <v>413</v>
      </c>
      <c r="BM487" s="231">
        <f t="shared" si="890"/>
        <v>0.98992885247668838</v>
      </c>
      <c r="BN487" s="61">
        <f t="shared" si="891"/>
        <v>408.84061607287231</v>
      </c>
      <c r="BO487" s="113">
        <f>INDEX('Dist Plant Depreciation'!$E$7:$AD$94,MATCH($C487,'Dist Plant Depreciation'!$D$7:$D$94,0),MATCH(Calculation!$G487,'Dist Plant Depreciation'!$E$5:$AD$5,0))</f>
        <v>307655</v>
      </c>
      <c r="BP487" s="113">
        <f>INDEX('Gen. Plant Depreciation'!$E$7:$AD$94,MATCH($C487,'Gen. Plant Depreciation'!$D$7:$D$94,0),MATCH(Calculation!$G487,'Gen. Plant Depreciation'!$E$5:$AD$5,0))</f>
        <v>791</v>
      </c>
      <c r="BQ487" s="113"/>
      <c r="BR487" s="113"/>
      <c r="BS487" s="113"/>
      <c r="BT487" s="113"/>
      <c r="BU487" s="113"/>
      <c r="BV487" s="113"/>
      <c r="BW487" s="113">
        <f>INDEX('Gross Dx Plant'!$E$7:$AD$91,MATCH($C487,'Gross Dx Plant'!$D$7:$D$91,0),MATCH(Calculation!$G487,'Gross Dx Plant'!$E$5:$AD$5,0))</f>
        <v>1101969</v>
      </c>
      <c r="BX487" s="113">
        <f>INDEX('Gross Gen Plant'!$E$7:$AD$91,MATCH($C487,'Gross Gen Plant'!$D$7:$D$91,0),MATCH(Calculation!$G487,'Gross Gen Plant'!$E$5:$AD$5,0))</f>
        <v>11211</v>
      </c>
      <c r="BY487" s="113">
        <f t="shared" si="885"/>
        <v>804734</v>
      </c>
      <c r="BZ487" s="113"/>
      <c r="CA487" s="116">
        <v>2007</v>
      </c>
      <c r="CB487" s="113"/>
      <c r="CC487" s="113"/>
      <c r="CD487" s="113"/>
      <c r="CE487" s="175"/>
      <c r="CF487" s="113">
        <f t="shared" si="892"/>
        <v>86051</v>
      </c>
      <c r="CG487" s="113">
        <f t="shared" si="893"/>
        <v>172.78543014189191</v>
      </c>
      <c r="CH487" s="178">
        <v>0.94915254237288138</v>
      </c>
      <c r="CI487" s="61">
        <f>+CI478*CH487+CG479*CH486+CG480*CH485+CG481*CH484+CG482*CH483+CG483*CH482+CG484*CH481+CG485*CH480+CG486*CH479+CG487</f>
        <v>3329.6663091022547</v>
      </c>
      <c r="CJ487" s="114">
        <f t="shared" si="894"/>
        <v>4.7021870478730465E-2</v>
      </c>
      <c r="CK487" s="114"/>
      <c r="CL487" s="169">
        <f t="shared" si="895"/>
        <v>6.246155662277258E-3</v>
      </c>
      <c r="CM487" s="169">
        <f t="shared" si="903"/>
        <v>6.0810166048624612E-3</v>
      </c>
      <c r="CN487" s="114">
        <f>VLOOKUP($H487,RoR!$E:$F,2,FALSE)</f>
        <v>5.5558333333333321E-2</v>
      </c>
      <c r="CO487" s="169">
        <v>2.691120634145272E-2</v>
      </c>
      <c r="CP487" s="169">
        <f t="shared" si="901"/>
        <v>2.86471269918806E-2</v>
      </c>
      <c r="CQ487" s="169">
        <f t="shared" si="904"/>
        <v>2.4820925003671165E-2</v>
      </c>
      <c r="CR487" s="169">
        <f t="shared" si="905"/>
        <v>6.4575155250632399E-2</v>
      </c>
      <c r="CS487" s="179">
        <f t="shared" si="896"/>
        <v>0.87050000000000005</v>
      </c>
      <c r="CT487" s="180">
        <f t="shared" si="897"/>
        <v>0.92303077153834634</v>
      </c>
      <c r="CU487" s="180">
        <f t="shared" si="898"/>
        <v>0.52502249887505614</v>
      </c>
      <c r="CV487" s="180">
        <f t="shared" si="899"/>
        <v>0.88499666072084604</v>
      </c>
      <c r="CW487" s="180">
        <f t="shared" si="900"/>
        <v>0.42887993290280618</v>
      </c>
      <c r="CX487" s="181">
        <f>INDEX('State Tax Lookup'!$D$7:$Z$91,MATCH(Calculation!$C487,'State Tax Lookup'!$B$7:$B$91,0),MATCH($H487,'State Tax Lookup'!$D$6:$Z$6,0))</f>
        <v>0.35</v>
      </c>
      <c r="CY487" s="72">
        <v>0.37</v>
      </c>
      <c r="CZ487" s="70">
        <f t="shared" si="902"/>
        <v>16.468252102617537</v>
      </c>
      <c r="DA487" s="70">
        <v>16.108943221861779</v>
      </c>
      <c r="DB487" s="69">
        <f t="shared" si="906"/>
        <v>7.2325049461419447E-2</v>
      </c>
      <c r="DC487" s="111">
        <f>VLOOKUP($H487,RoR!$E:$F,2,FALSE)</f>
        <v>5.5558333333333321E-2</v>
      </c>
      <c r="DD487" s="216">
        <f>HLOOKUP($H487,'GDP-PI'!$D$8:$CQ$11,3,FALSE)</f>
        <v>2.691120634145272E-2</v>
      </c>
      <c r="DE487" s="111">
        <f>VLOOKUP(H487,'HW Dx Data'!$E:$F,2,FALSE)</f>
        <v>498.0223154772637</v>
      </c>
      <c r="DF487" s="72">
        <f t="shared" si="916"/>
        <v>104.52499999999999</v>
      </c>
      <c r="DG487" s="69">
        <f t="shared" si="917"/>
        <v>-4.5584612745252218E-2</v>
      </c>
      <c r="DH487" s="66">
        <f>HLOOKUP(H487,'GDP-PI'!$8:$9,2,FALSE)</f>
        <v>92.498000000000005</v>
      </c>
      <c r="DI487" s="69">
        <f t="shared" si="907"/>
        <v>2.6555467950038037E-2</v>
      </c>
      <c r="EB487"/>
    </row>
    <row r="488" spans="1:132" s="160" customFormat="1" ht="21">
      <c r="A488" s="160" t="s">
        <v>189</v>
      </c>
      <c r="B488" s="161" t="s">
        <v>189</v>
      </c>
      <c r="C488" s="161">
        <v>4057079</v>
      </c>
      <c r="D488" s="161" t="s">
        <v>177</v>
      </c>
      <c r="E488" s="161"/>
      <c r="F488" s="161"/>
      <c r="G488" s="161" t="s">
        <v>120</v>
      </c>
      <c r="H488" s="162">
        <v>2008</v>
      </c>
      <c r="I488" s="163"/>
      <c r="J488" s="159">
        <f>IFERROR(INDEX('Labor Expenditures'!$F$7:$X$91,MATCH($C488,'Labor Expenditures'!$D$7:$D$91,0),MATCH($G488,'Labor Expenditures'!$F$5:$X$5,0)),"NA")</f>
        <v>27790.953446091095</v>
      </c>
      <c r="K488" s="159">
        <f t="shared" si="908"/>
        <v>257.56212646979697</v>
      </c>
      <c r="L488" s="165">
        <f t="shared" si="914"/>
        <v>-0.21643911223841547</v>
      </c>
      <c r="M488" s="76">
        <f t="shared" si="918"/>
        <v>-3.1393409478353861E-3</v>
      </c>
      <c r="N488" s="62">
        <f t="shared" si="924"/>
        <v>109.54128012270414</v>
      </c>
      <c r="O488" s="96">
        <f t="shared" si="919"/>
        <v>-7.5216839893041107E-2</v>
      </c>
      <c r="P488" s="96"/>
      <c r="Q488" s="159">
        <f>IFERROR(INDEX('Non-Labor Expenditures'!$F$7:$AB$91,MATCH($C488,'Non-Labor Expenditures'!$D$7:$D$91,0),MATCH($G488,'Non-Labor Expenditures'!$F$5:$AB$5,0)),"NA")</f>
        <v>40246.491224050187</v>
      </c>
      <c r="R488" s="159">
        <f t="shared" si="909"/>
        <v>426.95505414633573</v>
      </c>
      <c r="S488" s="165">
        <f t="shared" si="920"/>
        <v>-0.20357285096498731</v>
      </c>
      <c r="T488" s="165">
        <f t="shared" si="921"/>
        <v>-2.952722270446205E-3</v>
      </c>
      <c r="U488" s="165"/>
      <c r="V488" s="165"/>
      <c r="W488" s="159">
        <f t="shared" si="889"/>
        <v>62343.270356453999</v>
      </c>
      <c r="X488" s="163"/>
      <c r="Y488" s="167">
        <v>3505.8941327367675</v>
      </c>
      <c r="Z488" s="168">
        <v>5.1573498523805272E-2</v>
      </c>
      <c r="AA488" s="76">
        <f t="shared" si="910"/>
        <v>7.4804777225552272E-4</v>
      </c>
      <c r="AB488" s="168"/>
      <c r="AC488" s="168"/>
      <c r="AD488" s="163">
        <f t="shared" si="811"/>
        <v>130380.71502659528</v>
      </c>
      <c r="AE488" s="168">
        <f t="shared" si="922"/>
        <v>-2.8508771933961251E-2</v>
      </c>
      <c r="AF488" s="163"/>
      <c r="AG488" s="163"/>
      <c r="AH488" s="163"/>
      <c r="AI488" s="163"/>
      <c r="AJ488" s="116">
        <f t="shared" si="923"/>
        <v>307.27992304279292</v>
      </c>
      <c r="AK488" s="114">
        <f>+AV488/$AX$13</f>
        <v>1.2077346182028565E-2</v>
      </c>
      <c r="AL488" s="115">
        <f t="shared" si="911"/>
        <v>0.21315233192594663</v>
      </c>
      <c r="AM488" s="115">
        <f t="shared" si="912"/>
        <v>0.30868438799281506</v>
      </c>
      <c r="AN488" s="115">
        <f t="shared" si="913"/>
        <v>0.47816328008123832</v>
      </c>
      <c r="AO488" s="115">
        <f t="shared" si="915"/>
        <v>-9.5796421503771129E-2</v>
      </c>
      <c r="AP488" s="166">
        <f t="shared" ref="AP488:AP501" si="926">+AP487*EXP(AO488)</f>
        <v>95.066320798892306</v>
      </c>
      <c r="AQ488" s="168">
        <f t="shared" ref="AQ488:AQ501" si="927">LN(AP488/AP487)</f>
        <v>-9.5796421503771073E-2</v>
      </c>
      <c r="AR488" s="69">
        <f>+AD488/$AF$13</f>
        <v>1.4504499280967708E-2</v>
      </c>
      <c r="AS488" s="169">
        <f t="shared" si="925"/>
        <v>-1.389479126820727E-3</v>
      </c>
      <c r="AT488" s="115"/>
      <c r="AU488" s="115"/>
      <c r="AV488" s="113">
        <f>IFERROR(INDEX('Total Customers'!$F$7:$AB$91,MATCH($C488,'Total Customers'!$D$7:$D$91,0),MATCH($G488,'Total Customers'!$F$5:$AB$5,0)),"NA")</f>
        <v>424306</v>
      </c>
      <c r="AW488" s="68">
        <f t="shared" si="844"/>
        <v>1.7361033567691046E-3</v>
      </c>
      <c r="AX488" s="114"/>
      <c r="AY488" s="114"/>
      <c r="AZ488" s="116"/>
      <c r="BA488" s="116"/>
      <c r="BB488" s="166"/>
      <c r="BC488" s="166"/>
      <c r="BD488" s="166"/>
      <c r="BE488" s="166"/>
      <c r="BF488" s="166"/>
      <c r="BG488" s="166"/>
      <c r="BH488" s="166"/>
      <c r="BI488" s="113"/>
      <c r="BJ488" s="113"/>
      <c r="BK488" s="113">
        <f>INDEX('Dist. Plant Gas Additions'!$F$7:$AE$91,MATCH($C488,'Dist. Plant Gas Additions'!$D$7:$D$91,0),MATCH(Calculation!$G488,'Dist. Plant Gas Additions'!$F$5:$AE$5,0))</f>
        <v>112409</v>
      </c>
      <c r="BL488" s="113">
        <f>INDEX('Gen. Plant Additions'!$F$7:$AE$91,MATCH($C488,'Gen. Plant Additions'!$D$7:$D$91,0),MATCH(Calculation!$G488,'Gen. Plant Additions'!$F$5:$AE$5,0))</f>
        <v>197</v>
      </c>
      <c r="BM488" s="231">
        <f t="shared" si="890"/>
        <v>0.99065381463645108</v>
      </c>
      <c r="BN488" s="61">
        <f t="shared" si="891"/>
        <v>195.15880148338087</v>
      </c>
      <c r="BO488" s="113">
        <f>INDEX('Dist Plant Depreciation'!$E$7:$AD$94,MATCH($C488,'Dist Plant Depreciation'!$D$7:$D$94,0),MATCH(Calculation!$G488,'Dist Plant Depreciation'!$E$5:$AD$5,0))</f>
        <v>328069</v>
      </c>
      <c r="BP488" s="113">
        <f>INDEX('Gen. Plant Depreciation'!$E$7:$AD$94,MATCH($C488,'Gen. Plant Depreciation'!$D$7:$D$94,0),MATCH(Calculation!$G488,'Gen. Plant Depreciation'!$E$5:$AD$5,0))</f>
        <v>881</v>
      </c>
      <c r="BQ488" s="113"/>
      <c r="BR488" s="113"/>
      <c r="BS488" s="113"/>
      <c r="BT488" s="113"/>
      <c r="BU488" s="113"/>
      <c r="BV488" s="113"/>
      <c r="BW488" s="113">
        <f>INDEX('Gross Dx Plant'!$E$7:$AD$91,MATCH($C488,'Gross Dx Plant'!$D$7:$D$91,0),MATCH(Calculation!$G488,'Gross Dx Plant'!$E$5:$AD$5,0))</f>
        <v>1207713</v>
      </c>
      <c r="BX488" s="113">
        <f>INDEX('Gross Gen Plant'!$E$7:$AD$91,MATCH($C488,'Gross Gen Plant'!$D$7:$D$91,0),MATCH(Calculation!$G488,'Gross Gen Plant'!$E$5:$AD$5,0))</f>
        <v>11394</v>
      </c>
      <c r="BY488" s="113">
        <f t="shared" si="885"/>
        <v>890157</v>
      </c>
      <c r="BZ488" s="113"/>
      <c r="CA488" s="116">
        <v>2008</v>
      </c>
      <c r="CB488" s="113"/>
      <c r="CC488" s="113"/>
      <c r="CD488" s="113"/>
      <c r="CE488" s="175"/>
      <c r="CF488" s="113">
        <f t="shared" si="892"/>
        <v>112606</v>
      </c>
      <c r="CG488" s="113">
        <f t="shared" si="893"/>
        <v>197.59556788500655</v>
      </c>
      <c r="CH488" s="178">
        <v>0.94252873563218387</v>
      </c>
      <c r="CI488" s="61">
        <f>+CI478*CH488+CG479*CH487+CG480*CH486+CG481*CH485+CG482*CH484+CG483*CH483+CG484*CH482+CG485*CH481+CG486*CH480+CG487*CH479+CG488</f>
        <v>3505.8941327367675</v>
      </c>
      <c r="CJ488" s="114">
        <f t="shared" si="894"/>
        <v>5.1573498523805272E-2</v>
      </c>
      <c r="CK488" s="114"/>
      <c r="CL488" s="169">
        <f t="shared" si="895"/>
        <v>6.4173830849298926E-3</v>
      </c>
      <c r="CM488" s="169">
        <f t="shared" si="903"/>
        <v>6.2478971671174012E-3</v>
      </c>
      <c r="CN488" s="114">
        <f>VLOOKUP($H488,RoR!$E:$F,2,FALSE)</f>
        <v>5.6316666666666668E-2</v>
      </c>
      <c r="CO488" s="169">
        <v>1.9092304698479889E-2</v>
      </c>
      <c r="CP488" s="169">
        <f t="shared" si="901"/>
        <v>3.7224361968186778E-2</v>
      </c>
      <c r="CQ488" s="169">
        <f t="shared" si="904"/>
        <v>2.4654044441416223E-2</v>
      </c>
      <c r="CR488" s="169">
        <f t="shared" si="905"/>
        <v>6.9030581091053131E-2</v>
      </c>
      <c r="CS488" s="179">
        <f t="shared" si="896"/>
        <v>0.87050000000000005</v>
      </c>
      <c r="CT488" s="180">
        <f t="shared" si="897"/>
        <v>0.91060168006009956</v>
      </c>
      <c r="CU488" s="180">
        <f t="shared" si="898"/>
        <v>0.53108168097070152</v>
      </c>
      <c r="CV488" s="180">
        <f t="shared" si="899"/>
        <v>0.88825329850328805</v>
      </c>
      <c r="CW488" s="180">
        <f t="shared" si="900"/>
        <v>0.4295627335323573</v>
      </c>
      <c r="CX488" s="181">
        <f>INDEX('State Tax Lookup'!$D$7:$Z$91,MATCH(Calculation!$C488,'State Tax Lookup'!$B$7:$B$91,0),MATCH($H488,'State Tax Lookup'!$D$6:$Z$6,0))</f>
        <v>0.35</v>
      </c>
      <c r="CY488" s="72">
        <v>0.37</v>
      </c>
      <c r="CZ488" s="70">
        <f t="shared" si="902"/>
        <v>18.723579052359455</v>
      </c>
      <c r="DA488" s="70">
        <v>18.300102035478151</v>
      </c>
      <c r="DB488" s="69">
        <f t="shared" si="906"/>
        <v>0.12834922904315638</v>
      </c>
      <c r="DC488" s="111">
        <f>VLOOKUP($H488,RoR!$E:$F,2,FALSE)</f>
        <v>5.6316666666666668E-2</v>
      </c>
      <c r="DD488" s="216">
        <f>HLOOKUP($H488,'GDP-PI'!$D$8:$CQ$11,3,FALSE)</f>
        <v>1.9092304698479889E-2</v>
      </c>
      <c r="DE488" s="111">
        <f>VLOOKUP(H488,'HW Dx Data'!$E:$F,2,FALSE)</f>
        <v>569.88120333515076</v>
      </c>
      <c r="DF488" s="72">
        <f t="shared" si="916"/>
        <v>107.9</v>
      </c>
      <c r="DG488" s="69">
        <f t="shared" si="917"/>
        <v>3.1778595021460486E-2</v>
      </c>
      <c r="DH488" s="66">
        <f>HLOOKUP(H488,'GDP-PI'!$8:$9,2,FALSE)</f>
        <v>94.263999999999996</v>
      </c>
      <c r="DI488" s="69">
        <f t="shared" si="907"/>
        <v>1.8912333748032254E-2</v>
      </c>
      <c r="EB488"/>
    </row>
    <row r="489" spans="1:132" s="160" customFormat="1" ht="21">
      <c r="A489" s="160" t="s">
        <v>189</v>
      </c>
      <c r="B489" s="161" t="s">
        <v>189</v>
      </c>
      <c r="C489" s="161">
        <v>4057079</v>
      </c>
      <c r="D489" s="161" t="s">
        <v>177</v>
      </c>
      <c r="E489" s="161"/>
      <c r="F489" s="161"/>
      <c r="G489" s="161" t="s">
        <v>125</v>
      </c>
      <c r="H489" s="162">
        <v>2009</v>
      </c>
      <c r="I489" s="163"/>
      <c r="J489" s="159">
        <f>IFERROR(INDEX('Labor Expenditures'!$F$7:$X$91,MATCH($C489,'Labor Expenditures'!$D$7:$D$91,0),MATCH($G489,'Labor Expenditures'!$F$5:$X$5,0)),"NA")</f>
        <v>26932.066112140848</v>
      </c>
      <c r="K489" s="159">
        <f t="shared" si="908"/>
        <v>242.79527709840747</v>
      </c>
      <c r="L489" s="165">
        <f t="shared" si="914"/>
        <v>-5.9042351669852909E-2</v>
      </c>
      <c r="M489" s="76">
        <f t="shared" si="918"/>
        <v>-8.122235368479495E-4</v>
      </c>
      <c r="N489" s="62">
        <f t="shared" si="924"/>
        <v>117.64366620685122</v>
      </c>
      <c r="O489" s="96">
        <f t="shared" si="919"/>
        <v>7.1358812191693322E-2</v>
      </c>
      <c r="P489" s="96"/>
      <c r="Q489" s="159">
        <f>IFERROR(INDEX('Non-Labor Expenditures'!$F$7:$AB$91,MATCH($C489,'Non-Labor Expenditures'!$D$7:$D$91,0),MATCH($G489,'Non-Labor Expenditures'!$F$5:$AB$5,0)),"NA")</f>
        <v>39002.661946464228</v>
      </c>
      <c r="R489" s="159">
        <f t="shared" si="909"/>
        <v>410.55865794865451</v>
      </c>
      <c r="S489" s="165">
        <f t="shared" si="920"/>
        <v>-3.9159935487278516E-2</v>
      </c>
      <c r="T489" s="165">
        <f t="shared" si="921"/>
        <v>-5.3870857790468704E-4</v>
      </c>
      <c r="U489" s="165"/>
      <c r="V489" s="165"/>
      <c r="W489" s="159">
        <f t="shared" si="889"/>
        <v>63042.369110748841</v>
      </c>
      <c r="X489" s="163"/>
      <c r="Y489" s="167">
        <v>3670.4872702083094</v>
      </c>
      <c r="Z489" s="168">
        <v>4.5878834408840156E-2</v>
      </c>
      <c r="AA489" s="76">
        <f t="shared" si="910"/>
        <v>6.3113795599433289E-4</v>
      </c>
      <c r="AB489" s="168"/>
      <c r="AC489" s="168"/>
      <c r="AD489" s="163">
        <f t="shared" si="811"/>
        <v>128977.09716935392</v>
      </c>
      <c r="AE489" s="168">
        <f t="shared" si="922"/>
        <v>-1.0823900378764165E-2</v>
      </c>
      <c r="AF489" s="163"/>
      <c r="AG489" s="163"/>
      <c r="AH489" s="163"/>
      <c r="AI489" s="163"/>
      <c r="AJ489" s="116">
        <f t="shared" si="923"/>
        <v>306.77059990094523</v>
      </c>
      <c r="AK489" s="114">
        <f>+AV489/$AX$14</f>
        <v>1.195190752654487E-2</v>
      </c>
      <c r="AL489" s="115">
        <f t="shared" si="911"/>
        <v>0.20881277919270883</v>
      </c>
      <c r="AM489" s="115">
        <f t="shared" si="912"/>
        <v>0.30239990511843834</v>
      </c>
      <c r="AN489" s="115">
        <f t="shared" si="913"/>
        <v>0.48878731568885286</v>
      </c>
      <c r="AO489" s="115">
        <f t="shared" si="915"/>
        <v>-2.2406338568683702E-3</v>
      </c>
      <c r="AP489" s="166">
        <f t="shared" si="926"/>
        <v>94.853550441112816</v>
      </c>
      <c r="AQ489" s="168">
        <f t="shared" si="927"/>
        <v>-2.2406338568684253E-3</v>
      </c>
      <c r="AR489" s="69">
        <f>+AD489/$AF$14</f>
        <v>1.3756625775844083E-2</v>
      </c>
      <c r="AS489" s="169">
        <f t="shared" si="925"/>
        <v>-3.0823561469625119E-5</v>
      </c>
      <c r="AT489" s="115"/>
      <c r="AU489" s="115"/>
      <c r="AV489" s="113">
        <f>IFERROR(INDEX('Total Customers'!$F$7:$AB$91,MATCH($C489,'Total Customers'!$D$7:$D$91,0),MATCH($G489,'Total Customers'!$F$5:$AB$5,0)),"NA")</f>
        <v>420435</v>
      </c>
      <c r="AW489" s="68">
        <f t="shared" si="844"/>
        <v>-9.1650034651743154E-3</v>
      </c>
      <c r="AX489" s="114"/>
      <c r="AY489" s="114"/>
      <c r="AZ489" s="116"/>
      <c r="BA489" s="116"/>
      <c r="BB489" s="166"/>
      <c r="BC489" s="166"/>
      <c r="BD489" s="166"/>
      <c r="BE489" s="166"/>
      <c r="BF489" s="166"/>
      <c r="BG489" s="166"/>
      <c r="BH489" s="166"/>
      <c r="BI489" s="113"/>
      <c r="BJ489" s="113"/>
      <c r="BK489" s="113">
        <f>INDEX('Dist. Plant Gas Additions'!$F$7:$AE$91,MATCH($C489,'Dist. Plant Gas Additions'!$D$7:$D$91,0),MATCH(Calculation!$G489,'Dist. Plant Gas Additions'!$F$5:$AE$5,0))</f>
        <v>102390</v>
      </c>
      <c r="BL489" s="113">
        <f>INDEX('Gen. Plant Additions'!$F$7:$AE$91,MATCH($C489,'Gen. Plant Additions'!$D$7:$D$91,0),MATCH(Calculation!$G489,'Gen. Plant Additions'!$F$5:$AE$5,0))</f>
        <v>1005</v>
      </c>
      <c r="BM489" s="231">
        <f t="shared" si="890"/>
        <v>0.99059088597549438</v>
      </c>
      <c r="BN489" s="61">
        <f t="shared" si="891"/>
        <v>995.54384040537184</v>
      </c>
      <c r="BO489" s="113">
        <f>INDEX('Dist Plant Depreciation'!$E$7:$AD$94,MATCH($C489,'Dist Plant Depreciation'!$D$7:$D$94,0),MATCH(Calculation!$G489,'Dist Plant Depreciation'!$E$5:$AD$5,0))</f>
        <v>347596</v>
      </c>
      <c r="BP489" s="113">
        <f>INDEX('Gen. Plant Depreciation'!$E$7:$AD$94,MATCH($C489,'Gen. Plant Depreciation'!$D$7:$D$94,0),MATCH(Calculation!$G489,'Gen. Plant Depreciation'!$E$5:$AD$5,0))</f>
        <v>971</v>
      </c>
      <c r="BQ489" s="113"/>
      <c r="BR489" s="113"/>
      <c r="BS489" s="113"/>
      <c r="BT489" s="113"/>
      <c r="BU489" s="113"/>
      <c r="BV489" s="113"/>
      <c r="BW489" s="113">
        <f>INDEX('Gross Dx Plant'!$E$7:$AD$91,MATCH($C489,'Gross Dx Plant'!$D$7:$D$91,0),MATCH(Calculation!$G489,'Gross Dx Plant'!$E$5:$AD$5,0))</f>
        <v>1303155</v>
      </c>
      <c r="BX489" s="113">
        <f>INDEX('Gross Gen Plant'!$E$7:$AD$91,MATCH($C489,'Gross Gen Plant'!$D$7:$D$91,0),MATCH(Calculation!$G489,'Gross Gen Plant'!$E$5:$AD$5,0))</f>
        <v>12378</v>
      </c>
      <c r="BY489" s="113">
        <f t="shared" si="885"/>
        <v>966966</v>
      </c>
      <c r="BZ489" s="113"/>
      <c r="CA489" s="116">
        <v>2009</v>
      </c>
      <c r="CB489" s="113"/>
      <c r="CC489" s="113"/>
      <c r="CD489" s="113"/>
      <c r="CE489" s="175"/>
      <c r="CF489" s="113">
        <f t="shared" si="892"/>
        <v>103395</v>
      </c>
      <c r="CG489" s="113">
        <f t="shared" si="893"/>
        <v>187.66994680428792</v>
      </c>
      <c r="CH489" s="178">
        <v>0.93567251461988299</v>
      </c>
      <c r="CI489" s="61">
        <f>+CI478*CH489+CG479*CH488+CG480*CH487+CG481*CH486+CG482*CH485+CG483*CH484+CG484*CH483+CG485*CH482+CG486*CH481+CG487*CH480+CG488*CH479+CG489</f>
        <v>3670.4872702083094</v>
      </c>
      <c r="CJ489" s="114">
        <f t="shared" si="894"/>
        <v>4.5878834408840156E-2</v>
      </c>
      <c r="CK489" s="114"/>
      <c r="CL489" s="169">
        <f t="shared" si="895"/>
        <v>6.5822892703071446E-3</v>
      </c>
      <c r="CM489" s="169">
        <f t="shared" si="903"/>
        <v>6.4152760058380984E-3</v>
      </c>
      <c r="CN489" s="114">
        <f>VLOOKUP($H489,RoR!$E:$F,2,FALSE)</f>
        <v>5.3133333333333324E-2</v>
      </c>
      <c r="CO489" s="169">
        <v>7.7972502758210105E-3</v>
      </c>
      <c r="CP489" s="169">
        <f t="shared" si="901"/>
        <v>4.5336083057512314E-2</v>
      </c>
      <c r="CQ489" s="169">
        <f t="shared" si="904"/>
        <v>2.4486665602695527E-2</v>
      </c>
      <c r="CR489" s="169">
        <f t="shared" si="905"/>
        <v>6.3720160300892073E-2</v>
      </c>
      <c r="CS489" s="179">
        <f t="shared" si="896"/>
        <v>0.87050000000000005</v>
      </c>
      <c r="CT489" s="180">
        <f t="shared" si="897"/>
        <v>0.96515780330083989</v>
      </c>
      <c r="CU489" s="180">
        <f t="shared" si="898"/>
        <v>0.50448557089084056</v>
      </c>
      <c r="CV489" s="180">
        <f t="shared" si="899"/>
        <v>0.87391435735465484</v>
      </c>
      <c r="CW489" s="180">
        <f t="shared" si="900"/>
        <v>0.42551605393279146</v>
      </c>
      <c r="CX489" s="181">
        <f>INDEX('State Tax Lookup'!$D$7:$Z$91,MATCH(Calculation!$C489,'State Tax Lookup'!$B$7:$B$91,0),MATCH($H489,'State Tax Lookup'!$D$6:$Z$6,0))</f>
        <v>0.35</v>
      </c>
      <c r="CY489" s="72">
        <v>0.37</v>
      </c>
      <c r="CZ489" s="70">
        <f t="shared" si="902"/>
        <v>17.981823387672225</v>
      </c>
      <c r="DA489" s="70">
        <v>17.478615056163342</v>
      </c>
      <c r="DB489" s="69">
        <f t="shared" si="906"/>
        <v>-4.0422205572888351E-2</v>
      </c>
      <c r="DC489" s="111">
        <f>VLOOKUP($H489,RoR!$E:$F,2,FALSE)</f>
        <v>5.3133333333333324E-2</v>
      </c>
      <c r="DD489" s="216">
        <f>HLOOKUP($H489,'GDP-PI'!$D$8:$CQ$11,3,FALSE)</f>
        <v>7.7972502758210105E-3</v>
      </c>
      <c r="DE489" s="111">
        <f>VLOOKUP(H489,'HW Dx Data'!$E:$F,2,FALSE)</f>
        <v>550.94063679692806</v>
      </c>
      <c r="DF489" s="72">
        <f t="shared" si="916"/>
        <v>110.925</v>
      </c>
      <c r="DG489" s="69">
        <f t="shared" si="917"/>
        <v>2.7649425000884052E-2</v>
      </c>
      <c r="DH489" s="66">
        <f>HLOOKUP(H489,'GDP-PI'!$8:$9,2,FALSE)</f>
        <v>94.998999999999995</v>
      </c>
      <c r="DI489" s="69">
        <f t="shared" si="907"/>
        <v>7.7670088183096342E-3</v>
      </c>
      <c r="EB489"/>
    </row>
    <row r="490" spans="1:132" s="160" customFormat="1" ht="21">
      <c r="A490" s="160" t="s">
        <v>189</v>
      </c>
      <c r="B490" s="161" t="s">
        <v>189</v>
      </c>
      <c r="C490" s="161">
        <v>4057079</v>
      </c>
      <c r="D490" s="161" t="s">
        <v>177</v>
      </c>
      <c r="E490" s="161"/>
      <c r="F490" s="161"/>
      <c r="G490" s="161" t="s">
        <v>126</v>
      </c>
      <c r="H490" s="162">
        <v>2010</v>
      </c>
      <c r="I490" s="163"/>
      <c r="J490" s="159">
        <f>IFERROR(INDEX('Labor Expenditures'!$F$7:$X$91,MATCH($C490,'Labor Expenditures'!$D$7:$D$91,0),MATCH($G490,'Labor Expenditures'!$F$5:$X$5,0)),"NA")</f>
        <v>35034.066735605171</v>
      </c>
      <c r="K490" s="159">
        <f t="shared" si="908"/>
        <v>299.62853740094226</v>
      </c>
      <c r="L490" s="165">
        <f t="shared" si="914"/>
        <v>0.21032489160154491</v>
      </c>
      <c r="M490" s="76">
        <f t="shared" si="918"/>
        <v>3.3231254211814557E-3</v>
      </c>
      <c r="N490" s="62">
        <f t="shared" si="924"/>
        <v>97.356558294621479</v>
      </c>
      <c r="O490" s="96">
        <f t="shared" si="919"/>
        <v>-0.18928018007561684</v>
      </c>
      <c r="P490" s="96"/>
      <c r="Q490" s="159">
        <f>IFERROR(INDEX('Non-Labor Expenditures'!$F$7:$AB$91,MATCH($C490,'Non-Labor Expenditures'!$D$7:$D$91,0),MATCH($G490,'Non-Labor Expenditures'!$F$5:$AB$5,0)),"NA")</f>
        <v>50735.872094220787</v>
      </c>
      <c r="R490" s="159">
        <f t="shared" si="909"/>
        <v>527.89928200502334</v>
      </c>
      <c r="S490" s="165">
        <f t="shared" si="920"/>
        <v>0.25138669914137124</v>
      </c>
      <c r="T490" s="165">
        <f t="shared" si="921"/>
        <v>3.9719004446045749E-3</v>
      </c>
      <c r="U490" s="165"/>
      <c r="V490" s="165"/>
      <c r="W490" s="159">
        <f t="shared" si="889"/>
        <v>67775.220659765633</v>
      </c>
      <c r="X490" s="163"/>
      <c r="Y490" s="167">
        <v>3839.7905315408821</v>
      </c>
      <c r="Z490" s="168">
        <v>4.5093391606792238E-2</v>
      </c>
      <c r="AA490" s="76">
        <f t="shared" si="910"/>
        <v>7.1247390090047275E-4</v>
      </c>
      <c r="AB490" s="168"/>
      <c r="AC490" s="168"/>
      <c r="AD490" s="163">
        <f t="shared" si="811"/>
        <v>153545.15948959161</v>
      </c>
      <c r="AE490" s="168">
        <f t="shared" si="922"/>
        <v>0.17435987511207457</v>
      </c>
      <c r="AF490" s="163"/>
      <c r="AG490" s="163"/>
      <c r="AH490" s="163"/>
      <c r="AI490" s="163"/>
      <c r="AJ490" s="116">
        <f t="shared" si="923"/>
        <v>367.21256308241459</v>
      </c>
      <c r="AK490" s="114">
        <f>+AV490/$AX$15</f>
        <v>1.182154479132169E-2</v>
      </c>
      <c r="AL490" s="115">
        <f t="shared" si="911"/>
        <v>0.22816783578241054</v>
      </c>
      <c r="AM490" s="115">
        <f t="shared" si="912"/>
        <v>0.33042964208624259</v>
      </c>
      <c r="AN490" s="115">
        <f t="shared" si="913"/>
        <v>0.44140252213134679</v>
      </c>
      <c r="AO490" s="115">
        <f t="shared" si="915"/>
        <v>0.1464691230465083</v>
      </c>
      <c r="AP490" s="166">
        <f t="shared" si="926"/>
        <v>109.81567197409923</v>
      </c>
      <c r="AQ490" s="168">
        <f t="shared" si="927"/>
        <v>0.14646912304650828</v>
      </c>
      <c r="AR490" s="69">
        <f>+AD490/$AF$15</f>
        <v>1.579996260013309E-2</v>
      </c>
      <c r="AS490" s="169">
        <f t="shared" si="925"/>
        <v>2.3142066662091222E-3</v>
      </c>
      <c r="AT490" s="115"/>
      <c r="AU490" s="115"/>
      <c r="AV490" s="113">
        <f>IFERROR(INDEX('Total Customers'!$F$7:$AB$91,MATCH($C490,'Total Customers'!$D$7:$D$91,0),MATCH($G490,'Total Customers'!$F$5:$AB$5,0)),"NA")</f>
        <v>418137</v>
      </c>
      <c r="AW490" s="68">
        <f t="shared" si="844"/>
        <v>-5.4807595589002134E-3</v>
      </c>
      <c r="AX490" s="114"/>
      <c r="AY490" s="114"/>
      <c r="AZ490" s="116"/>
      <c r="BA490" s="116"/>
      <c r="BB490" s="166"/>
      <c r="BC490" s="166"/>
      <c r="BD490" s="166"/>
      <c r="BE490" s="166"/>
      <c r="BF490" s="166"/>
      <c r="BG490" s="166"/>
      <c r="BH490" s="166"/>
      <c r="BI490" s="113"/>
      <c r="BJ490" s="113"/>
      <c r="BK490" s="113">
        <f>INDEX('Dist. Plant Gas Additions'!$F$7:$AE$91,MATCH($C490,'Dist. Plant Gas Additions'!$D$7:$D$91,0),MATCH(Calculation!$G490,'Dist. Plant Gas Additions'!$F$5:$AE$5,0))</f>
        <v>109756</v>
      </c>
      <c r="BL490" s="113">
        <f>INDEX('Gen. Plant Additions'!$F$7:$AE$91,MATCH($C490,'Gen. Plant Additions'!$D$7:$D$91,0),MATCH(Calculation!$G490,'Gen. Plant Additions'!$F$5:$AE$5,0))</f>
        <v>689</v>
      </c>
      <c r="BM490" s="231">
        <f t="shared" si="890"/>
        <v>0.99080316578864946</v>
      </c>
      <c r="BN490" s="61">
        <f t="shared" si="891"/>
        <v>682.66338122837954</v>
      </c>
      <c r="BO490" s="113">
        <f>INDEX('Dist Plant Depreciation'!$E$7:$AD$94,MATCH($C490,'Dist Plant Depreciation'!$D$7:$D$94,0),MATCH(Calculation!$G490,'Dist Plant Depreciation'!$E$5:$AD$5,0))</f>
        <v>370906</v>
      </c>
      <c r="BP490" s="113">
        <f>INDEX('Gen. Plant Depreciation'!$E$7:$AD$94,MATCH($C490,'Gen. Plant Depreciation'!$D$7:$D$94,0),MATCH(Calculation!$G490,'Gen. Plant Depreciation'!$E$5:$AD$5,0))</f>
        <v>2047</v>
      </c>
      <c r="BQ490" s="113"/>
      <c r="BR490" s="113"/>
      <c r="BS490" s="113"/>
      <c r="BT490" s="113"/>
      <c r="BU490" s="113"/>
      <c r="BV490" s="113"/>
      <c r="BW490" s="113">
        <f>INDEX('Gross Dx Plant'!$E$7:$AD$91,MATCH($C490,'Gross Dx Plant'!$D$7:$D$91,0),MATCH(Calculation!$G490,'Gross Dx Plant'!$E$5:$AD$5,0))</f>
        <v>1407748</v>
      </c>
      <c r="BX490" s="113">
        <f>INDEX('Gross Gen Plant'!$E$7:$AD$91,MATCH($C490,'Gross Gen Plant'!$D$7:$D$91,0),MATCH(Calculation!$G490,'Gross Gen Plant'!$E$5:$AD$5,0))</f>
        <v>13067</v>
      </c>
      <c r="BY490" s="113">
        <f t="shared" si="885"/>
        <v>1047862</v>
      </c>
      <c r="BZ490" s="113"/>
      <c r="CA490" s="116">
        <v>2010</v>
      </c>
      <c r="CB490" s="113"/>
      <c r="CC490" s="113"/>
      <c r="CD490" s="113"/>
      <c r="CE490" s="175"/>
      <c r="CF490" s="113">
        <f t="shared" si="892"/>
        <v>110445</v>
      </c>
      <c r="CG490" s="113">
        <f t="shared" si="893"/>
        <v>194.10727173269933</v>
      </c>
      <c r="CH490" s="178">
        <v>0.9285714285714286</v>
      </c>
      <c r="CI490" s="61">
        <f>+CI478*CH490+CG479*CH489+CG480*CH488+CG481*CH487+CG482*CH486+CG483*CH485+CG484*CH484+CG485*CH483+CG486*CH482+CG487*CH481+CG488*CH480+CG489*CH479+CG490</f>
        <v>3839.7905315408821</v>
      </c>
      <c r="CJ490" s="114">
        <f t="shared" si="894"/>
        <v>4.5093391606792238E-2</v>
      </c>
      <c r="CK490" s="114"/>
      <c r="CL490" s="169">
        <f t="shared" si="895"/>
        <v>6.7576887138254445E-3</v>
      </c>
      <c r="CM490" s="169">
        <f t="shared" si="903"/>
        <v>6.5857870230208275E-3</v>
      </c>
      <c r="CN490" s="114">
        <f>VLOOKUP($H490,RoR!$E:$F,2,FALSE)</f>
        <v>4.9433333333333322E-2</v>
      </c>
      <c r="CO490" s="169">
        <v>1.1684333519300205E-2</v>
      </c>
      <c r="CP490" s="169">
        <f t="shared" si="901"/>
        <v>3.7748999814033117E-2</v>
      </c>
      <c r="CQ490" s="169">
        <f t="shared" si="904"/>
        <v>2.4316154585512798E-2</v>
      </c>
      <c r="CR490" s="169">
        <f t="shared" si="905"/>
        <v>4.7937530248493419E-2</v>
      </c>
      <c r="CS490" s="179">
        <f t="shared" si="896"/>
        <v>0.87050000000000005</v>
      </c>
      <c r="CT490" s="180">
        <f t="shared" si="897"/>
        <v>1.037398205301105</v>
      </c>
      <c r="CU490" s="180">
        <f t="shared" si="898"/>
        <v>0.46926837491571133</v>
      </c>
      <c r="CV490" s="180">
        <f t="shared" si="899"/>
        <v>0.8548537519972772</v>
      </c>
      <c r="CW490" s="180">
        <f t="shared" si="900"/>
        <v>0.41615833911547367</v>
      </c>
      <c r="CX490" s="181">
        <f>INDEX('State Tax Lookup'!$D$7:$Z$91,MATCH(Calculation!$C490,'State Tax Lookup'!$B$7:$B$91,0),MATCH($H490,'State Tax Lookup'!$D$6:$Z$6,0))</f>
        <v>0.35</v>
      </c>
      <c r="CY490" s="72">
        <v>0.37</v>
      </c>
      <c r="CZ490" s="70">
        <f t="shared" si="902"/>
        <v>18.464910969686926</v>
      </c>
      <c r="DA490" s="70">
        <v>17.956102603965455</v>
      </c>
      <c r="DB490" s="69">
        <f t="shared" si="906"/>
        <v>2.6510790824912107E-2</v>
      </c>
      <c r="DC490" s="111">
        <f>VLOOKUP($H490,RoR!$E:$F,2,FALSE)</f>
        <v>4.9433333333333322E-2</v>
      </c>
      <c r="DD490" s="216">
        <f>HLOOKUP($H490,'GDP-PI'!$D$8:$CQ$11,3,FALSE)</f>
        <v>1.1684333519300205E-2</v>
      </c>
      <c r="DE490" s="111">
        <f>VLOOKUP(H490,'HW Dx Data'!$E:$F,2,FALSE)</f>
        <v>568.98950262971744</v>
      </c>
      <c r="DF490" s="72">
        <f t="shared" si="916"/>
        <v>116.925</v>
      </c>
      <c r="DG490" s="69">
        <f t="shared" si="917"/>
        <v>5.2678406346976722E-2</v>
      </c>
      <c r="DH490" s="66">
        <f>HLOOKUP(H490,'GDP-PI'!$8:$9,2,FALSE)</f>
        <v>96.108999999999995</v>
      </c>
      <c r="DI490" s="69">
        <f t="shared" si="907"/>
        <v>1.1616598807150427E-2</v>
      </c>
      <c r="EB490"/>
    </row>
    <row r="491" spans="1:132" s="160" customFormat="1" ht="21">
      <c r="A491" s="160" t="s">
        <v>189</v>
      </c>
      <c r="B491" s="161" t="s">
        <v>189</v>
      </c>
      <c r="C491" s="161">
        <v>4057079</v>
      </c>
      <c r="D491" s="161" t="s">
        <v>177</v>
      </c>
      <c r="E491" s="161"/>
      <c r="F491" s="161"/>
      <c r="G491" s="161" t="s">
        <v>127</v>
      </c>
      <c r="H491" s="162">
        <v>2011</v>
      </c>
      <c r="I491" s="163"/>
      <c r="J491" s="159">
        <f>IFERROR(INDEX('Labor Expenditures'!$F$7:$X$91,MATCH($C491,'Labor Expenditures'!$D$7:$D$91,0),MATCH($G491,'Labor Expenditures'!$F$5:$X$5,0)),"NA")</f>
        <v>35680.335704280871</v>
      </c>
      <c r="K491" s="159">
        <f t="shared" si="908"/>
        <v>295.18374936323369</v>
      </c>
      <c r="L491" s="165">
        <f t="shared" si="914"/>
        <v>-1.4945457150457088E-2</v>
      </c>
      <c r="M491" s="76">
        <f t="shared" si="918"/>
        <v>-2.3892500549749885E-4</v>
      </c>
      <c r="N491" s="62">
        <f t="shared" si="924"/>
        <v>116.95695213341554</v>
      </c>
      <c r="O491" s="96">
        <f t="shared" si="919"/>
        <v>0.18342583885841704</v>
      </c>
      <c r="P491" s="96"/>
      <c r="Q491" s="159">
        <f>IFERROR(INDEX('Non-Labor Expenditures'!$F$7:$AB$91,MATCH($C491,'Non-Labor Expenditures'!$D$7:$D$91,0),MATCH($G491,'Non-Labor Expenditures'!$F$5:$AB$5,0)),"NA")</f>
        <v>51671.790267256358</v>
      </c>
      <c r="R491" s="159">
        <f t="shared" si="909"/>
        <v>526.66126740109632</v>
      </c>
      <c r="S491" s="165">
        <f t="shared" si="920"/>
        <v>-2.3479262017978633E-3</v>
      </c>
      <c r="T491" s="165">
        <f t="shared" si="921"/>
        <v>-3.7535036568293883E-5</v>
      </c>
      <c r="U491" s="165"/>
      <c r="V491" s="165"/>
      <c r="W491" s="159">
        <f t="shared" si="889"/>
        <v>75805.985314444581</v>
      </c>
      <c r="X491" s="163"/>
      <c r="Y491" s="167">
        <v>3992.6389329192502</v>
      </c>
      <c r="Z491" s="168">
        <v>3.9034582944649142E-2</v>
      </c>
      <c r="AA491" s="76">
        <f t="shared" si="910"/>
        <v>6.2402493618990017E-4</v>
      </c>
      <c r="AB491" s="168"/>
      <c r="AC491" s="168"/>
      <c r="AD491" s="163">
        <f t="shared" si="811"/>
        <v>163158.11128598181</v>
      </c>
      <c r="AE491" s="168">
        <f t="shared" si="922"/>
        <v>6.0725016153996635E-2</v>
      </c>
      <c r="AF491" s="163"/>
      <c r="AG491" s="163"/>
      <c r="AH491" s="163"/>
      <c r="AI491" s="163"/>
      <c r="AJ491" s="116">
        <f t="shared" si="923"/>
        <v>390.82969939104453</v>
      </c>
      <c r="AK491" s="114">
        <f>+AV491/$AX$16</f>
        <v>1.1745627014204982E-2</v>
      </c>
      <c r="AL491" s="115">
        <f t="shared" si="911"/>
        <v>0.21868563826251186</v>
      </c>
      <c r="AM491" s="115">
        <f t="shared" si="912"/>
        <v>0.31669764904722753</v>
      </c>
      <c r="AN491" s="115">
        <f t="shared" si="913"/>
        <v>0.46461671269026061</v>
      </c>
      <c r="AO491" s="115">
        <f t="shared" si="915"/>
        <v>1.3584123199734779E-2</v>
      </c>
      <c r="AP491" s="166">
        <f t="shared" si="926"/>
        <v>111.31759968134078</v>
      </c>
      <c r="AQ491" s="168">
        <f t="shared" si="927"/>
        <v>1.3584123199734819E-2</v>
      </c>
      <c r="AR491" s="69">
        <f>+AD491/$AF$16</f>
        <v>1.5986463518126083E-2</v>
      </c>
      <c r="AS491" s="169">
        <f t="shared" si="925"/>
        <v>2.1716208995829084E-4</v>
      </c>
      <c r="AT491" s="115"/>
      <c r="AU491" s="115"/>
      <c r="AV491" s="113">
        <f>IFERROR(INDEX('Total Customers'!$F$7:$AB$91,MATCH($C491,'Total Customers'!$D$7:$D$91,0),MATCH($G491,'Total Customers'!$F$5:$AB$5,0)),"NA")</f>
        <v>417466</v>
      </c>
      <c r="AW491" s="68">
        <f t="shared" si="844"/>
        <v>-1.606026173259198E-3</v>
      </c>
      <c r="AX491" s="114"/>
      <c r="AY491" s="114"/>
      <c r="AZ491" s="116"/>
      <c r="BA491" s="116"/>
      <c r="BB491" s="166"/>
      <c r="BC491" s="166"/>
      <c r="BD491" s="166"/>
      <c r="BE491" s="166"/>
      <c r="BF491" s="166"/>
      <c r="BG491" s="166"/>
      <c r="BH491" s="166"/>
      <c r="BI491" s="113"/>
      <c r="BJ491" s="113"/>
      <c r="BK491" s="113">
        <f>INDEX('Dist. Plant Gas Additions'!$F$7:$AE$91,MATCH($C491,'Dist. Plant Gas Additions'!$D$7:$D$91,0),MATCH(Calculation!$G491,'Dist. Plant Gas Additions'!$F$5:$AE$5,0))</f>
        <v>108388</v>
      </c>
      <c r="BL491" s="113">
        <f>INDEX('Gen. Plant Additions'!$F$7:$AE$91,MATCH($C491,'Gen. Plant Additions'!$D$7:$D$91,0),MATCH(Calculation!$G491,'Gen. Plant Additions'!$F$5:$AE$5,0))</f>
        <v>1385</v>
      </c>
      <c r="BM491" s="231">
        <f t="shared" si="890"/>
        <v>0.99080866669554335</v>
      </c>
      <c r="BN491" s="61">
        <f t="shared" si="891"/>
        <v>1372.2700033733274</v>
      </c>
      <c r="BO491" s="113">
        <f>INDEX('Dist Plant Depreciation'!$E$7:$AD$94,MATCH($C491,'Dist Plant Depreciation'!$D$7:$D$94,0),MATCH(Calculation!$G491,'Dist Plant Depreciation'!$E$5:$AD$5,0))</f>
        <v>395902</v>
      </c>
      <c r="BP491" s="113">
        <f>INDEX('Gen. Plant Depreciation'!$E$7:$AD$94,MATCH($C491,'Gen. Plant Depreciation'!$D$7:$D$94,0),MATCH(Calculation!$G491,'Gen. Plant Depreciation'!$E$5:$AD$5,0))</f>
        <v>1260</v>
      </c>
      <c r="BQ491" s="113"/>
      <c r="BR491" s="113"/>
      <c r="BS491" s="113"/>
      <c r="BT491" s="113"/>
      <c r="BU491" s="113"/>
      <c r="BV491" s="113"/>
      <c r="BW491" s="113">
        <f>INDEX('Gross Dx Plant'!$E$7:$AD$91,MATCH($C491,'Gross Dx Plant'!$D$7:$D$91,0),MATCH(Calculation!$G491,'Gross Dx Plant'!$E$5:$AD$5,0))</f>
        <v>1509713</v>
      </c>
      <c r="BX491" s="113">
        <f>INDEX('Gross Gen Plant'!$E$7:$AD$91,MATCH($C491,'Gross Gen Plant'!$D$7:$D$91,0),MATCH(Calculation!$G491,'Gross Gen Plant'!$E$5:$AD$5,0))</f>
        <v>14005</v>
      </c>
      <c r="BY491" s="113">
        <f t="shared" si="885"/>
        <v>1126556</v>
      </c>
      <c r="BZ491" s="113"/>
      <c r="CA491" s="116">
        <v>2011</v>
      </c>
      <c r="CB491" s="113"/>
      <c r="CC491" s="113"/>
      <c r="CD491" s="113"/>
      <c r="CE491" s="175"/>
      <c r="CF491" s="113">
        <f t="shared" si="892"/>
        <v>109773</v>
      </c>
      <c r="CG491" s="113">
        <f t="shared" si="893"/>
        <v>179.4817011919514</v>
      </c>
      <c r="CH491" s="178">
        <v>0.92121212121212126</v>
      </c>
      <c r="CI491" s="61">
        <f>+CI478*CH491+CG479*CH490+CG480*CH489+CG481*CH488+CG482*CH487+CG483*CH486+CG484*CH485+CG485*CH484+CG486*CH483+CG487*CH482+CG488*CH481+CG489*CH480+CG490*CH479+CG491</f>
        <v>3992.6389329192502</v>
      </c>
      <c r="CJ491" s="114">
        <f t="shared" si="894"/>
        <v>3.9034582944649142E-2</v>
      </c>
      <c r="CK491" s="114"/>
      <c r="CL491" s="169">
        <f t="shared" si="895"/>
        <v>6.9361335194749428E-3</v>
      </c>
      <c r="CM491" s="169">
        <f t="shared" si="903"/>
        <v>6.7587038345358437E-3</v>
      </c>
      <c r="CN491" s="114">
        <f>VLOOKUP($H491,RoR!$E:$F,2,FALSE)</f>
        <v>4.6391666666666664E-2</v>
      </c>
      <c r="CO491" s="169">
        <v>2.0840920205183799E-2</v>
      </c>
      <c r="CP491" s="169">
        <f t="shared" si="901"/>
        <v>2.5550746461482865E-2</v>
      </c>
      <c r="CQ491" s="169">
        <f t="shared" si="904"/>
        <v>2.414323777399778E-2</v>
      </c>
      <c r="CR491" s="169">
        <f t="shared" si="905"/>
        <v>2.4810540821321614E-2</v>
      </c>
      <c r="CS491" s="179">
        <f t="shared" si="896"/>
        <v>0.87050000000000005</v>
      </c>
      <c r="CT491" s="180">
        <f t="shared" si="897"/>
        <v>1.1054151524782025</v>
      </c>
      <c r="CU491" s="180">
        <f t="shared" si="898"/>
        <v>0.43611011316687626</v>
      </c>
      <c r="CV491" s="180">
        <f t="shared" si="899"/>
        <v>0.83698442246886229</v>
      </c>
      <c r="CW491" s="180">
        <f t="shared" si="900"/>
        <v>0.40349573304423936</v>
      </c>
      <c r="CX491" s="181">
        <f>INDEX('State Tax Lookup'!$D$7:$Z$91,MATCH(Calculation!$C491,'State Tax Lookup'!$B$7:$B$91,0),MATCH($H491,'State Tax Lookup'!$D$6:$Z$6,0))</f>
        <v>0.35</v>
      </c>
      <c r="CY491" s="72">
        <v>0.37</v>
      </c>
      <c r="CZ491" s="70">
        <f t="shared" si="902"/>
        <v>19.742218928808118</v>
      </c>
      <c r="DA491" s="70">
        <v>19.146574949201604</v>
      </c>
      <c r="DB491" s="69">
        <f t="shared" si="906"/>
        <v>6.6887208707442344E-2</v>
      </c>
      <c r="DC491" s="111">
        <f>VLOOKUP($H491,RoR!$E:$F,2,FALSE)</f>
        <v>4.6391666666666664E-2</v>
      </c>
      <c r="DD491" s="216">
        <f>HLOOKUP($H491,'GDP-PI'!$D$8:$CQ$11,3,FALSE)</f>
        <v>2.0840920205183799E-2</v>
      </c>
      <c r="DE491" s="111">
        <f>VLOOKUP(H491,'HW Dx Data'!$E:$F,2,FALSE)</f>
        <v>611.61109612283201</v>
      </c>
      <c r="DF491" s="72">
        <f t="shared" si="916"/>
        <v>120.875</v>
      </c>
      <c r="DG491" s="69">
        <f t="shared" si="917"/>
        <v>3.3224250161508609E-2</v>
      </c>
      <c r="DH491" s="66">
        <f>HLOOKUP(H491,'GDP-PI'!$8:$9,2,FALSE)</f>
        <v>98.111999999999995</v>
      </c>
      <c r="DI491" s="69">
        <f t="shared" si="907"/>
        <v>2.0626719212849295E-2</v>
      </c>
      <c r="EB491"/>
    </row>
    <row r="492" spans="1:132" s="160" customFormat="1" ht="21">
      <c r="A492" s="160" t="s">
        <v>189</v>
      </c>
      <c r="B492" s="161" t="s">
        <v>189</v>
      </c>
      <c r="C492" s="161">
        <v>4057079</v>
      </c>
      <c r="D492" s="161" t="s">
        <v>177</v>
      </c>
      <c r="E492" s="161"/>
      <c r="F492" s="161"/>
      <c r="G492" s="161" t="s">
        <v>128</v>
      </c>
      <c r="H492" s="162">
        <v>2012</v>
      </c>
      <c r="I492" s="163"/>
      <c r="J492" s="159">
        <f>IFERROR(INDEX('Labor Expenditures'!$F$7:$X$91,MATCH($C492,'Labor Expenditures'!$D$7:$D$91,0),MATCH($G492,'Labor Expenditures'!$F$5:$X$5,0)),"NA")</f>
        <v>34291.315462757273</v>
      </c>
      <c r="K492" s="159">
        <f t="shared" si="908"/>
        <v>274.7701559515807</v>
      </c>
      <c r="L492" s="165">
        <f t="shared" si="914"/>
        <v>-7.1663089974293909E-2</v>
      </c>
      <c r="M492" s="76">
        <f t="shared" si="918"/>
        <v>-1.1344819404561534E-3</v>
      </c>
      <c r="N492" s="62">
        <f t="shared" si="924"/>
        <v>115.62365115919661</v>
      </c>
      <c r="O492" s="96">
        <f t="shared" si="919"/>
        <v>-1.1465406496747037E-2</v>
      </c>
      <c r="P492" s="96"/>
      <c r="Q492" s="159">
        <f>IFERROR(INDEX('Non-Labor Expenditures'!$F$7:$AB$91,MATCH($C492,'Non-Labor Expenditures'!$D$7:$D$91,0),MATCH($G492,'Non-Labor Expenditures'!$F$5:$AB$5,0)),"NA")</f>
        <v>49660.229524335162</v>
      </c>
      <c r="R492" s="159">
        <f t="shared" si="909"/>
        <v>496.60229524335159</v>
      </c>
      <c r="S492" s="165">
        <f t="shared" si="920"/>
        <v>-5.8768090551167391E-2</v>
      </c>
      <c r="T492" s="165">
        <f t="shared" si="921"/>
        <v>-9.3034416223619198E-4</v>
      </c>
      <c r="U492" s="165"/>
      <c r="V492" s="165"/>
      <c r="W492" s="159">
        <f t="shared" si="889"/>
        <v>85343.233550834004</v>
      </c>
      <c r="X492" s="163"/>
      <c r="Y492" s="167">
        <v>4144.4989613902007</v>
      </c>
      <c r="Z492" s="168">
        <v>3.7329504471336802E-2</v>
      </c>
      <c r="AA492" s="76">
        <f t="shared" si="910"/>
        <v>5.9095482324443397E-4</v>
      </c>
      <c r="AB492" s="168"/>
      <c r="AC492" s="168"/>
      <c r="AD492" s="163">
        <f t="shared" si="811"/>
        <v>169294.77853792644</v>
      </c>
      <c r="AE492" s="168">
        <f t="shared" si="922"/>
        <v>3.6921708643799275E-2</v>
      </c>
      <c r="AF492" s="163"/>
      <c r="AG492" s="163"/>
      <c r="AH492" s="163"/>
      <c r="AI492" s="163"/>
      <c r="AJ492" s="116">
        <f t="shared" si="923"/>
        <v>404.69387308027774</v>
      </c>
      <c r="AK492" s="114">
        <f>+AV492/$AX$17</f>
        <v>1.1713474822152884E-2</v>
      </c>
      <c r="AL492" s="115">
        <f t="shared" si="911"/>
        <v>0.20255388712461161</v>
      </c>
      <c r="AM492" s="115">
        <f t="shared" si="912"/>
        <v>0.29333586040404652</v>
      </c>
      <c r="AN492" s="115">
        <f t="shared" si="913"/>
        <v>0.50411025247134189</v>
      </c>
      <c r="AO492" s="115">
        <f t="shared" si="915"/>
        <v>-1.4937866476860313E-2</v>
      </c>
      <c r="AP492" s="166">
        <f t="shared" si="926"/>
        <v>109.66711032629536</v>
      </c>
      <c r="AQ492" s="168">
        <f t="shared" si="927"/>
        <v>-1.4937866476860268E-2</v>
      </c>
      <c r="AR492" s="69">
        <f>+AD492/$AF$17</f>
        <v>1.5830770636084776E-2</v>
      </c>
      <c r="AS492" s="169">
        <f t="shared" si="925"/>
        <v>-2.3647793798763466E-4</v>
      </c>
      <c r="AT492" s="115"/>
      <c r="AU492" s="115"/>
      <c r="AV492" s="113">
        <f>IFERROR(INDEX('Total Customers'!$F$7:$AB$91,MATCH($C492,'Total Customers'!$D$7:$D$91,0),MATCH($G492,'Total Customers'!$F$5:$AB$5,0)),"NA")</f>
        <v>418328</v>
      </c>
      <c r="AW492" s="68">
        <f t="shared" si="844"/>
        <v>2.0627099635423698E-3</v>
      </c>
      <c r="AX492" s="114"/>
      <c r="AY492" s="114"/>
      <c r="AZ492" s="116"/>
      <c r="BA492" s="116"/>
      <c r="BB492" s="166"/>
      <c r="BC492" s="166"/>
      <c r="BD492" s="166"/>
      <c r="BE492" s="166"/>
      <c r="BF492" s="166"/>
      <c r="BG492" s="166"/>
      <c r="BH492" s="166"/>
      <c r="BI492" s="113"/>
      <c r="BJ492" s="113"/>
      <c r="BK492" s="113">
        <f>INDEX('Dist. Plant Gas Additions'!$F$7:$AE$91,MATCH($C492,'Dist. Plant Gas Additions'!$D$7:$D$91,0),MATCH(Calculation!$G492,'Dist. Plant Gas Additions'!$F$5:$AE$5,0))</f>
        <v>97772</v>
      </c>
      <c r="BL492" s="113">
        <f>INDEX('Gen. Plant Additions'!$F$7:$AE$91,MATCH($C492,'Gen. Plant Additions'!$D$7:$D$91,0),MATCH(Calculation!$G492,'Gen. Plant Additions'!$F$5:$AE$5,0))</f>
        <v>22851</v>
      </c>
      <c r="BM492" s="231">
        <f t="shared" si="890"/>
        <v>0.97486452780628852</v>
      </c>
      <c r="BN492" s="61">
        <f t="shared" si="891"/>
        <v>22276.6293249015</v>
      </c>
      <c r="BO492" s="113">
        <f>INDEX('Dist Plant Depreciation'!$E$7:$AD$94,MATCH($C492,'Dist Plant Depreciation'!$D$7:$D$94,0),MATCH(Calculation!$G492,'Dist Plant Depreciation'!$E$5:$AD$5,0))</f>
        <v>415020</v>
      </c>
      <c r="BP492" s="113">
        <f>INDEX('Gen. Plant Depreciation'!$E$7:$AD$94,MATCH($C492,'Gen. Plant Depreciation'!$D$7:$D$94,0),MATCH(Calculation!$G492,'Gen. Plant Depreciation'!$E$5:$AD$5,0))</f>
        <v>4131</v>
      </c>
      <c r="BQ492" s="113"/>
      <c r="BR492" s="113"/>
      <c r="BS492" s="113"/>
      <c r="BT492" s="113"/>
      <c r="BU492" s="113"/>
      <c r="BV492" s="113"/>
      <c r="BW492" s="113">
        <f>INDEX('Gross Dx Plant'!$E$7:$AD$91,MATCH($C492,'Gross Dx Plant'!$D$7:$D$91,0),MATCH(Calculation!$G492,'Gross Dx Plant'!$E$5:$AD$5,0))</f>
        <v>1589967</v>
      </c>
      <c r="BX492" s="113">
        <f>INDEX('Gross Gen Plant'!$E$7:$AD$91,MATCH($C492,'Gross Gen Plant'!$D$7:$D$91,0),MATCH(Calculation!$G492,'Gross Gen Plant'!$E$5:$AD$5,0))</f>
        <v>40995</v>
      </c>
      <c r="BY492" s="113">
        <f t="shared" si="885"/>
        <v>1211811</v>
      </c>
      <c r="BZ492" s="113"/>
      <c r="CA492" s="116">
        <v>2012</v>
      </c>
      <c r="CB492" s="113"/>
      <c r="CC492" s="113"/>
      <c r="CD492" s="113"/>
      <c r="CE492" s="175"/>
      <c r="CF492" s="113">
        <f t="shared" si="892"/>
        <v>120623</v>
      </c>
      <c r="CG492" s="113">
        <f t="shared" si="893"/>
        <v>180.32518423752674</v>
      </c>
      <c r="CH492" s="178">
        <v>0.9135802469135802</v>
      </c>
      <c r="CI492" s="61">
        <f>+CI478*CH492+CG479*CH491+CG480*CH490+CG481*CH489+CG482*CH488+CG483*CH487+CG484*CH486+CG485*CH485+CG486*CH484+CG487*CH483+CG488*CH482+CG489*CH481+CG490*CH480+CG491*CH479+CG492</f>
        <v>4144.4989613902007</v>
      </c>
      <c r="CJ492" s="114">
        <f t="shared" si="894"/>
        <v>3.7329504471336802E-2</v>
      </c>
      <c r="CK492" s="114"/>
      <c r="CL492" s="169">
        <f t="shared" si="895"/>
        <v>7.1294089560369296E-3</v>
      </c>
      <c r="CM492" s="169">
        <f t="shared" si="903"/>
        <v>6.9410770631124392E-3</v>
      </c>
      <c r="CN492" s="114">
        <f>VLOOKUP($H492,RoR!$E:$F,2,FALSE)</f>
        <v>3.6733333333333333E-2</v>
      </c>
      <c r="CO492" s="169">
        <v>1.924331376386168E-2</v>
      </c>
      <c r="CP492" s="169">
        <f t="shared" si="901"/>
        <v>1.7490019569471653E-2</v>
      </c>
      <c r="CQ492" s="169">
        <f t="shared" si="904"/>
        <v>2.3960864545421186E-2</v>
      </c>
      <c r="CR492" s="169">
        <f t="shared" si="905"/>
        <v>6.7122682943869583E-2</v>
      </c>
      <c r="CS492" s="179">
        <f t="shared" si="896"/>
        <v>0.87050000000000005</v>
      </c>
      <c r="CT492" s="180">
        <f t="shared" si="897"/>
        <v>1.3960631020522127</v>
      </c>
      <c r="CU492" s="180">
        <f t="shared" si="898"/>
        <v>0.29441923774954631</v>
      </c>
      <c r="CV492" s="180">
        <f t="shared" si="899"/>
        <v>0.76377954189366437</v>
      </c>
      <c r="CW492" s="180">
        <f t="shared" si="900"/>
        <v>0.31393465103033691</v>
      </c>
      <c r="CX492" s="181">
        <f>INDEX('State Tax Lookup'!$D$7:$Z$91,MATCH(Calculation!$C492,'State Tax Lookup'!$B$7:$B$91,0),MATCH($H492,'State Tax Lookup'!$D$6:$Z$6,0))</f>
        <v>0.35</v>
      </c>
      <c r="CY492" s="72">
        <v>0.37</v>
      </c>
      <c r="CZ492" s="70">
        <f t="shared" si="902"/>
        <v>21.375144355574022</v>
      </c>
      <c r="DA492" s="70">
        <v>20.759737328210988</v>
      </c>
      <c r="DB492" s="69">
        <f t="shared" si="906"/>
        <v>7.9469332848068355E-2</v>
      </c>
      <c r="DC492" s="111">
        <f>VLOOKUP($H492,RoR!$E:$F,2,FALSE)</f>
        <v>3.6733333333333333E-2</v>
      </c>
      <c r="DD492" s="216">
        <f>HLOOKUP($H492,'GDP-PI'!$D$8:$CQ$11,3,FALSE)</f>
        <v>1.924331376386168E-2</v>
      </c>
      <c r="DE492" s="111">
        <f>VLOOKUP(H492,'HW Dx Data'!$E:$F,2,FALSE)</f>
        <v>668.91932211262167</v>
      </c>
      <c r="DF492" s="72">
        <f t="shared" si="916"/>
        <v>124.80000000000001</v>
      </c>
      <c r="DG492" s="69">
        <f t="shared" si="917"/>
        <v>3.1955502161869064E-2</v>
      </c>
      <c r="DH492" s="66">
        <f>HLOOKUP(H492,'GDP-PI'!$8:$9,2,FALSE)</f>
        <v>100</v>
      </c>
      <c r="DI492" s="69">
        <f t="shared" si="907"/>
        <v>1.9060502738742411E-2</v>
      </c>
      <c r="EB492"/>
    </row>
    <row r="493" spans="1:132" s="160" customFormat="1" ht="21">
      <c r="A493" s="160" t="s">
        <v>189</v>
      </c>
      <c r="B493" s="161" t="s">
        <v>189</v>
      </c>
      <c r="C493" s="161">
        <v>4057079</v>
      </c>
      <c r="D493" s="161" t="s">
        <v>177</v>
      </c>
      <c r="E493" s="161"/>
      <c r="F493" s="161"/>
      <c r="G493" s="161" t="s">
        <v>129</v>
      </c>
      <c r="H493" s="162">
        <v>2013</v>
      </c>
      <c r="I493" s="163"/>
      <c r="J493" s="159">
        <f>IFERROR(INDEX('Labor Expenditures'!$F$7:$X$91,MATCH($C493,'Labor Expenditures'!$D$7:$D$91,0),MATCH($G493,'Labor Expenditures'!$F$5:$X$5,0)),"NA")</f>
        <v>35622.457004582269</v>
      </c>
      <c r="K493" s="159">
        <f t="shared" si="908"/>
        <v>280.9342035061693</v>
      </c>
      <c r="L493" s="165">
        <f t="shared" si="914"/>
        <v>2.2185539038273236E-2</v>
      </c>
      <c r="M493" s="76">
        <f t="shared" si="918"/>
        <v>3.4888740931702719E-4</v>
      </c>
      <c r="N493" s="62">
        <f t="shared" si="924"/>
        <v>108.13113549018239</v>
      </c>
      <c r="O493" s="96">
        <f t="shared" si="919"/>
        <v>-6.6995822054341903E-2</v>
      </c>
      <c r="P493" s="96"/>
      <c r="Q493" s="159">
        <f>IFERROR(INDEX('Non-Labor Expenditures'!$F$7:$AB$91,MATCH($C493,'Non-Labor Expenditures'!$D$7:$D$91,0),MATCH($G493,'Non-Labor Expenditures'!$F$5:$AB$5,0)),"NA")</f>
        <v>51587.971099842842</v>
      </c>
      <c r="R493" s="159">
        <f t="shared" si="909"/>
        <v>506.89250685194349</v>
      </c>
      <c r="S493" s="165">
        <f t="shared" si="920"/>
        <v>2.0509468089561115E-2</v>
      </c>
      <c r="T493" s="165">
        <f t="shared" si="921"/>
        <v>3.2252969720018794E-4</v>
      </c>
      <c r="U493" s="165"/>
      <c r="V493" s="165"/>
      <c r="W493" s="159">
        <f t="shared" si="889"/>
        <v>87209.12127660746</v>
      </c>
      <c r="X493" s="163"/>
      <c r="Y493" s="167">
        <v>4275.2526198194746</v>
      </c>
      <c r="Z493" s="168">
        <v>3.1061289548400567E-2</v>
      </c>
      <c r="AA493" s="76">
        <f t="shared" si="910"/>
        <v>4.884665106352536E-4</v>
      </c>
      <c r="AB493" s="168"/>
      <c r="AC493" s="168"/>
      <c r="AD493" s="163">
        <f t="shared" si="811"/>
        <v>174419.54938103259</v>
      </c>
      <c r="AE493" s="168">
        <f t="shared" si="922"/>
        <v>2.9822153081045556E-2</v>
      </c>
      <c r="AF493" s="163"/>
      <c r="AG493" s="163"/>
      <c r="AH493" s="163"/>
      <c r="AI493" s="163"/>
      <c r="AJ493" s="116">
        <f t="shared" si="923"/>
        <v>416.1873716108812</v>
      </c>
      <c r="AK493" s="114">
        <f>+AV493/$AX$18</f>
        <v>1.1659993781173427E-2</v>
      </c>
      <c r="AL493" s="115">
        <f t="shared" si="911"/>
        <v>0.20423431393439928</v>
      </c>
      <c r="AM493" s="115">
        <f t="shared" si="912"/>
        <v>0.29576943228505337</v>
      </c>
      <c r="AN493" s="115">
        <f t="shared" si="913"/>
        <v>0.49999625378054724</v>
      </c>
      <c r="AO493" s="115">
        <f t="shared" si="915"/>
        <v>2.6147947322412546E-2</v>
      </c>
      <c r="AP493" s="166">
        <f t="shared" si="926"/>
        <v>112.57249959656843</v>
      </c>
      <c r="AQ493" s="168">
        <f t="shared" si="927"/>
        <v>2.6147947322412594E-2</v>
      </c>
      <c r="AR493" s="69">
        <f>+AD493/$AF$18</f>
        <v>1.5725892831143132E-2</v>
      </c>
      <c r="AS493" s="169">
        <f t="shared" si="925"/>
        <v>4.1119981734663645E-4</v>
      </c>
      <c r="AT493" s="115"/>
      <c r="AU493" s="115"/>
      <c r="AV493" s="113">
        <f>IFERROR(INDEX('Total Customers'!$F$7:$AB$91,MATCH($C493,'Total Customers'!$D$7:$D$91,0),MATCH($G493,'Total Customers'!$F$5:$AB$5,0)),"NA")</f>
        <v>419089</v>
      </c>
      <c r="AW493" s="68">
        <f t="shared" si="844"/>
        <v>1.8174940548933416E-3</v>
      </c>
      <c r="AX493" s="114"/>
      <c r="AY493" s="114"/>
      <c r="AZ493" s="116"/>
      <c r="BA493" s="116"/>
      <c r="BB493" s="166"/>
      <c r="BC493" s="166"/>
      <c r="BD493" s="166"/>
      <c r="BE493" s="166"/>
      <c r="BF493" s="166"/>
      <c r="BG493" s="166"/>
      <c r="BH493" s="166"/>
      <c r="BI493" s="113"/>
      <c r="BJ493" s="113"/>
      <c r="BK493" s="113">
        <f>INDEX('Dist. Plant Gas Additions'!$F$7:$AE$91,MATCH($C493,'Dist. Plant Gas Additions'!$D$7:$D$91,0),MATCH(Calculation!$G493,'Dist. Plant Gas Additions'!$F$5:$AE$5,0))</f>
        <v>99677</v>
      </c>
      <c r="BL493" s="113">
        <f>INDEX('Gen. Plant Additions'!$F$7:$AE$91,MATCH($C493,'Gen. Plant Additions'!$D$7:$D$91,0),MATCH(Calculation!$G493,'Gen. Plant Additions'!$F$5:$AE$5,0))</f>
        <v>7194</v>
      </c>
      <c r="BM493" s="231">
        <f t="shared" si="890"/>
        <v>0.97224683480286334</v>
      </c>
      <c r="BN493" s="61">
        <f t="shared" si="891"/>
        <v>6994.3437295717986</v>
      </c>
      <c r="BO493" s="113">
        <f>INDEX('Dist Plant Depreciation'!$E$7:$AD$94,MATCH($C493,'Dist Plant Depreciation'!$D$7:$D$94,0),MATCH(Calculation!$G493,'Dist Plant Depreciation'!$E$5:$AD$5,0))</f>
        <v>441865</v>
      </c>
      <c r="BP493" s="113">
        <f>INDEX('Gen. Plant Depreciation'!$E$7:$AD$94,MATCH($C493,'Gen. Plant Depreciation'!$D$7:$D$94,0),MATCH(Calculation!$G493,'Gen. Plant Depreciation'!$E$5:$AD$5,0))</f>
        <v>6208</v>
      </c>
      <c r="BQ493" s="113"/>
      <c r="BR493" s="113"/>
      <c r="BS493" s="113"/>
      <c r="BT493" s="113"/>
      <c r="BU493" s="113"/>
      <c r="BV493" s="113"/>
      <c r="BW493" s="113">
        <f>INDEX('Gross Dx Plant'!$E$7:$AD$91,MATCH($C493,'Gross Dx Plant'!$D$7:$D$91,0),MATCH(Calculation!$G493,'Gross Dx Plant'!$E$5:$AD$5,0))</f>
        <v>1682128</v>
      </c>
      <c r="BX493" s="113">
        <f>INDEX('Gross Gen Plant'!$E$7:$AD$91,MATCH($C493,'Gross Gen Plant'!$D$7:$D$91,0),MATCH(Calculation!$G493,'Gross Gen Plant'!$E$5:$AD$5,0))</f>
        <v>48017</v>
      </c>
      <c r="BY493" s="113">
        <f t="shared" si="885"/>
        <v>1282072</v>
      </c>
      <c r="BZ493" s="113"/>
      <c r="CA493" s="116">
        <v>2013</v>
      </c>
      <c r="CB493" s="113"/>
      <c r="CC493" s="113"/>
      <c r="CD493" s="113"/>
      <c r="CE493" s="175"/>
      <c r="CF493" s="113">
        <f t="shared" si="892"/>
        <v>106871</v>
      </c>
      <c r="CG493" s="113">
        <f t="shared" si="893"/>
        <v>161.13269043041689</v>
      </c>
      <c r="CH493" s="178">
        <v>0.90566037735849059</v>
      </c>
      <c r="CI493" s="61">
        <f>+CI478*CH493+CG479*CH492+CG480*CH491+CG481*CH490+CG482*CH489+CG483*CH488+CG484*CH487+CG485*CH486+CG486*CH485+CG487*CH484+CG488*CH483+CG489*CH482+CG490*CH481+CG491*CH480+CG492*CH479+CG493</f>
        <v>4275.2526198194746</v>
      </c>
      <c r="CJ493" s="114">
        <f t="shared" si="894"/>
        <v>3.1061289548400567E-2</v>
      </c>
      <c r="CK493" s="114"/>
      <c r="CL493" s="169">
        <f t="shared" si="895"/>
        <v>7.3299649207664193E-3</v>
      </c>
      <c r="CM493" s="169">
        <f t="shared" si="903"/>
        <v>7.1318357987594306E-3</v>
      </c>
      <c r="CN493" s="114">
        <f>VLOOKUP($H493,RoR!$E:$F,2,FALSE)</f>
        <v>4.2350000000000006E-2</v>
      </c>
      <c r="CO493" s="169">
        <v>1.7730000000000024E-2</v>
      </c>
      <c r="CP493" s="169">
        <f t="shared" si="901"/>
        <v>2.4619999999999982E-2</v>
      </c>
      <c r="CQ493" s="169">
        <f t="shared" si="904"/>
        <v>2.3770105809774195E-2</v>
      </c>
      <c r="CR493" s="169">
        <f t="shared" si="905"/>
        <v>5.3376742735721204E-2</v>
      </c>
      <c r="CS493" s="179">
        <f t="shared" si="896"/>
        <v>0.87050000000000005</v>
      </c>
      <c r="CT493" s="180">
        <f t="shared" si="897"/>
        <v>1.2109103018193925</v>
      </c>
      <c r="CU493" s="180">
        <f t="shared" si="898"/>
        <v>0.38468122786304604</v>
      </c>
      <c r="CV493" s="180">
        <f t="shared" si="899"/>
        <v>0.80969194503422559</v>
      </c>
      <c r="CW493" s="180">
        <f t="shared" si="900"/>
        <v>0.37716621754800816</v>
      </c>
      <c r="CX493" s="181">
        <f>INDEX('State Tax Lookup'!$D$7:$Z$91,MATCH(Calculation!$C493,'State Tax Lookup'!$B$7:$B$91,0),MATCH($H493,'State Tax Lookup'!$D$6:$Z$6,0))</f>
        <v>0.35</v>
      </c>
      <c r="CY493" s="72">
        <v>0.37</v>
      </c>
      <c r="CZ493" s="70">
        <f t="shared" si="902"/>
        <v>21.042138528454274</v>
      </c>
      <c r="DA493" s="70">
        <v>20.339519021246105</v>
      </c>
      <c r="DB493" s="69">
        <f t="shared" si="906"/>
        <v>-1.5701744486532863E-2</v>
      </c>
      <c r="DC493" s="111">
        <f>VLOOKUP($H493,RoR!$E:$F,2,FALSE)</f>
        <v>4.2350000000000006E-2</v>
      </c>
      <c r="DD493" s="216">
        <f>HLOOKUP($H493,'GDP-PI'!$D$8:$CQ$11,3,FALSE)</f>
        <v>1.7730000000000024E-2</v>
      </c>
      <c r="DE493" s="111">
        <f>VLOOKUP(H493,'HW Dx Data'!$E:$F,2,FALSE)</f>
        <v>663.24840548821396</v>
      </c>
      <c r="DF493" s="72">
        <f t="shared" si="916"/>
        <v>126.8</v>
      </c>
      <c r="DG493" s="69">
        <f t="shared" si="917"/>
        <v>1.5898586067798204E-2</v>
      </c>
      <c r="DH493" s="66">
        <f>HLOOKUP(H493,'GDP-PI'!$8:$9,2,FALSE)</f>
        <v>101.773</v>
      </c>
      <c r="DI493" s="69">
        <f t="shared" si="907"/>
        <v>1.7574657016510519E-2</v>
      </c>
      <c r="EB493"/>
    </row>
    <row r="494" spans="1:132" s="160" customFormat="1" ht="21">
      <c r="A494" s="160" t="s">
        <v>189</v>
      </c>
      <c r="B494" s="161" t="s">
        <v>189</v>
      </c>
      <c r="C494" s="161">
        <v>4057079</v>
      </c>
      <c r="D494" s="161" t="s">
        <v>177</v>
      </c>
      <c r="E494" s="161"/>
      <c r="F494" s="161"/>
      <c r="G494" s="161" t="s">
        <v>130</v>
      </c>
      <c r="H494" s="162">
        <v>2014</v>
      </c>
      <c r="I494" s="163"/>
      <c r="J494" s="159">
        <f>IFERROR(INDEX('Labor Expenditures'!$F$7:$X$91,MATCH($C494,'Labor Expenditures'!$D$7:$D$91,0),MATCH($G494,'Labor Expenditures'!$F$5:$X$5,0)),"NA")</f>
        <v>31611.211887846977</v>
      </c>
      <c r="K494" s="159">
        <f t="shared" si="908"/>
        <v>244.29066373915745</v>
      </c>
      <c r="L494" s="165">
        <f t="shared" si="914"/>
        <v>-0.13976172953580104</v>
      </c>
      <c r="M494" s="76">
        <f t="shared" si="918"/>
        <v>-2.0810423890317525E-3</v>
      </c>
      <c r="N494" s="62">
        <f t="shared" si="924"/>
        <v>120.08968450430299</v>
      </c>
      <c r="O494" s="96">
        <f t="shared" si="919"/>
        <v>0.10489412644869124</v>
      </c>
      <c r="P494" s="96"/>
      <c r="Q494" s="159">
        <f>IFERROR(INDEX('Non-Labor Expenditures'!$F$7:$AB$91,MATCH($C494,'Non-Labor Expenditures'!$D$7:$D$91,0),MATCH($G494,'Non-Labor Expenditures'!$F$5:$AB$5,0)),"NA")</f>
        <v>45778.938973566226</v>
      </c>
      <c r="R494" s="159">
        <f t="shared" si="909"/>
        <v>441.68127368439247</v>
      </c>
      <c r="S494" s="165">
        <f t="shared" si="920"/>
        <v>-0.1377104413703823</v>
      </c>
      <c r="T494" s="165">
        <f t="shared" si="921"/>
        <v>-2.0504988515516864E-3</v>
      </c>
      <c r="U494" s="165"/>
      <c r="V494" s="165"/>
      <c r="W494" s="159">
        <f t="shared" si="889"/>
        <v>92127.852596842291</v>
      </c>
      <c r="X494" s="163"/>
      <c r="Y494" s="167">
        <v>4383.0633026206997</v>
      </c>
      <c r="Z494" s="168">
        <v>2.4904671094930636E-2</v>
      </c>
      <c r="AA494" s="76">
        <f t="shared" si="910"/>
        <v>3.7082881276285595E-4</v>
      </c>
      <c r="AB494" s="168"/>
      <c r="AC494" s="168"/>
      <c r="AD494" s="163">
        <f t="shared" si="811"/>
        <v>169518.00345825549</v>
      </c>
      <c r="AE494" s="168">
        <f t="shared" si="922"/>
        <v>-2.8504463994389804E-2</v>
      </c>
      <c r="AF494" s="163"/>
      <c r="AG494" s="163"/>
      <c r="AH494" s="163"/>
      <c r="AI494" s="163"/>
      <c r="AJ494" s="116">
        <f t="shared" si="923"/>
        <v>402.02152296201598</v>
      </c>
      <c r="AK494" s="114">
        <f>+AV494/$AX$19</f>
        <v>1.1668945584641394E-2</v>
      </c>
      <c r="AL494" s="115">
        <f t="shared" si="911"/>
        <v>0.18647701862316571</v>
      </c>
      <c r="AM494" s="115">
        <f t="shared" si="912"/>
        <v>0.27005355206911386</v>
      </c>
      <c r="AN494" s="115">
        <f t="shared" si="913"/>
        <v>0.54346942930772046</v>
      </c>
      <c r="AO494" s="115">
        <f t="shared" si="915"/>
        <v>-5.3269527432120836E-2</v>
      </c>
      <c r="AP494" s="166">
        <f t="shared" si="926"/>
        <v>106.73273729480064</v>
      </c>
      <c r="AQ494" s="168">
        <f t="shared" si="927"/>
        <v>-5.3269527432120871E-2</v>
      </c>
      <c r="AR494" s="69">
        <f>+AD494/$AF$19</f>
        <v>1.4889930139986407E-2</v>
      </c>
      <c r="AS494" s="169">
        <f t="shared" si="925"/>
        <v>-7.9317954205436925E-4</v>
      </c>
      <c r="AT494" s="115"/>
      <c r="AU494" s="115"/>
      <c r="AV494" s="113">
        <f>IFERROR(INDEX('Total Customers'!$F$7:$AB$91,MATCH($C494,'Total Customers'!$D$7:$D$91,0),MATCH($G494,'Total Customers'!$F$5:$AB$5,0)),"NA")</f>
        <v>421664</v>
      </c>
      <c r="AW494" s="68">
        <f t="shared" si="844"/>
        <v>6.1254804954271307E-3</v>
      </c>
      <c r="AX494" s="114"/>
      <c r="AY494" s="114"/>
      <c r="AZ494" s="116"/>
      <c r="BA494" s="116"/>
      <c r="BB494" s="166"/>
      <c r="BC494" s="166"/>
      <c r="BD494" s="166"/>
      <c r="BE494" s="166"/>
      <c r="BF494" s="166"/>
      <c r="BG494" s="166"/>
      <c r="BH494" s="166"/>
      <c r="BI494" s="113"/>
      <c r="BJ494" s="113"/>
      <c r="BK494" s="113">
        <f>INDEX('Dist. Plant Gas Additions'!$F$7:$AE$91,MATCH($C494,'Dist. Plant Gas Additions'!$D$7:$D$91,0),MATCH(Calculation!$G494,'Dist. Plant Gas Additions'!$F$5:$AE$5,0))</f>
        <v>92946</v>
      </c>
      <c r="BL494" s="113">
        <f>INDEX('Gen. Plant Additions'!$F$7:$AE$91,MATCH($C494,'Gen. Plant Additions'!$D$7:$D$91,0),MATCH(Calculation!$G494,'Gen. Plant Additions'!$F$5:$AE$5,0))</f>
        <v>2942</v>
      </c>
      <c r="BM494" s="231">
        <f t="shared" si="890"/>
        <v>0.97197357016204611</v>
      </c>
      <c r="BN494" s="61">
        <f t="shared" si="891"/>
        <v>2859.5462434167398</v>
      </c>
      <c r="BO494" s="113">
        <f>INDEX('Dist Plant Depreciation'!$E$7:$AD$94,MATCH($C494,'Dist Plant Depreciation'!$D$7:$D$94,0),MATCH(Calculation!$G494,'Dist Plant Depreciation'!$E$5:$AD$5,0))</f>
        <v>472311</v>
      </c>
      <c r="BP494" s="113">
        <f>INDEX('Gen. Plant Depreciation'!$E$7:$AD$94,MATCH($C494,'Gen. Plant Depreciation'!$D$7:$D$94,0),MATCH(Calculation!$G494,'Gen. Plant Depreciation'!$E$5:$AD$5,0))</f>
        <v>8681</v>
      </c>
      <c r="BQ494" s="113"/>
      <c r="BR494" s="113"/>
      <c r="BS494" s="113"/>
      <c r="BT494" s="113"/>
      <c r="BU494" s="113"/>
      <c r="BV494" s="113"/>
      <c r="BW494" s="113">
        <f>INDEX('Gross Dx Plant'!$E$7:$AD$91,MATCH($C494,'Gross Dx Plant'!$D$7:$D$91,0),MATCH(Calculation!$G494,'Gross Dx Plant'!$E$5:$AD$5,0))</f>
        <v>1767289</v>
      </c>
      <c r="BX494" s="113">
        <f>INDEX('Gross Gen Plant'!$E$7:$AD$91,MATCH($C494,'Gross Gen Plant'!$D$7:$D$91,0),MATCH(Calculation!$G494,'Gross Gen Plant'!$E$5:$AD$5,0))</f>
        <v>50959</v>
      </c>
      <c r="BY494" s="113">
        <f t="shared" si="885"/>
        <v>1337256</v>
      </c>
      <c r="BZ494" s="113"/>
      <c r="CA494" s="116">
        <v>2014</v>
      </c>
      <c r="CB494" s="113"/>
      <c r="CC494" s="113"/>
      <c r="CD494" s="113"/>
      <c r="CE494" s="175"/>
      <c r="CF494" s="113">
        <f t="shared" si="892"/>
        <v>95888</v>
      </c>
      <c r="CG494" s="113">
        <f t="shared" si="893"/>
        <v>140.09104866390388</v>
      </c>
      <c r="CH494" s="178">
        <v>0.89743589743589747</v>
      </c>
      <c r="CI494" s="61">
        <f>+CI478*CH494+CG479*CH493+CG480*CH492+CG481*CH491+CG482*CH490+CG483*CH489+CG484*CH488+CG485*CH487+CG486*CH486+CG487*CH485+CG488*CH484+CG489*CH483+CG490*CH482+CG491*CH481+CG492*CH480+CG493*CH479+CG494</f>
        <v>4383.0633026206997</v>
      </c>
      <c r="CJ494" s="114">
        <f t="shared" si="894"/>
        <v>2.4904671094930636E-2</v>
      </c>
      <c r="CK494" s="114"/>
      <c r="CL494" s="169">
        <f t="shared" si="895"/>
        <v>7.5505165970851688E-3</v>
      </c>
      <c r="CM494" s="169">
        <f t="shared" si="903"/>
        <v>7.3366301579628401E-3</v>
      </c>
      <c r="CN494" s="114">
        <f>VLOOKUP($H494,RoR!$E:$F,2,FALSE)</f>
        <v>4.1625000000000002E-2</v>
      </c>
      <c r="CO494" s="169">
        <v>1.841352814597208E-2</v>
      </c>
      <c r="CP494" s="169">
        <f t="shared" si="901"/>
        <v>2.3211471854027922E-2</v>
      </c>
      <c r="CQ494" s="169">
        <f t="shared" si="904"/>
        <v>2.3565311450570784E-2</v>
      </c>
      <c r="CR494" s="169">
        <f t="shared" si="905"/>
        <v>3.9072621432650924E-2</v>
      </c>
      <c r="CS494" s="179">
        <f t="shared" si="896"/>
        <v>0.87050000000000005</v>
      </c>
      <c r="CT494" s="180">
        <f t="shared" si="897"/>
        <v>1.2320012320012319</v>
      </c>
      <c r="CU494" s="180">
        <f t="shared" si="898"/>
        <v>0.37439939939939942</v>
      </c>
      <c r="CV494" s="180">
        <f t="shared" si="899"/>
        <v>0.80432100613819935</v>
      </c>
      <c r="CW494" s="180">
        <f t="shared" si="900"/>
        <v>0.37100152660040037</v>
      </c>
      <c r="CX494" s="181">
        <f>INDEX('State Tax Lookup'!$D$7:$Z$91,MATCH(Calculation!$C494,'State Tax Lookup'!$B$7:$B$91,0),MATCH($H494,'State Tax Lookup'!$D$6:$Z$6,0))</f>
        <v>0.35</v>
      </c>
      <c r="CY494" s="72">
        <v>0.37</v>
      </c>
      <c r="CZ494" s="70">
        <f t="shared" si="902"/>
        <v>21.549101489289878</v>
      </c>
      <c r="DA494" s="70">
        <v>20.763592984765573</v>
      </c>
      <c r="DB494" s="69">
        <f t="shared" si="906"/>
        <v>2.3807097657406278E-2</v>
      </c>
      <c r="DC494" s="111">
        <f>VLOOKUP($H494,RoR!$E:$F,2,FALSE)</f>
        <v>4.1625000000000002E-2</v>
      </c>
      <c r="DD494" s="216">
        <f>HLOOKUP($H494,'GDP-PI'!$D$8:$CQ$11,3,FALSE)</f>
        <v>1.841352814597208E-2</v>
      </c>
      <c r="DE494" s="111">
        <f>VLOOKUP(H494,'HW Dx Data'!$E:$F,2,FALSE)</f>
        <v>684.46914285042885</v>
      </c>
      <c r="DF494" s="72">
        <f t="shared" si="916"/>
        <v>129.4</v>
      </c>
      <c r="DG494" s="69">
        <f t="shared" si="917"/>
        <v>2.0297340063674733E-2</v>
      </c>
      <c r="DH494" s="66">
        <f>HLOOKUP(H494,'GDP-PI'!$8:$9,2,FALSE)</f>
        <v>103.64700000000001</v>
      </c>
      <c r="DI494" s="69">
        <f t="shared" si="907"/>
        <v>1.8246051898256087E-2</v>
      </c>
      <c r="EB494"/>
    </row>
    <row r="495" spans="1:132" s="160" customFormat="1" ht="21">
      <c r="A495" s="160" t="s">
        <v>189</v>
      </c>
      <c r="B495" s="161" t="s">
        <v>189</v>
      </c>
      <c r="C495" s="161">
        <v>4057079</v>
      </c>
      <c r="D495" s="161" t="s">
        <v>177</v>
      </c>
      <c r="E495" s="161"/>
      <c r="F495" s="161"/>
      <c r="G495" s="161" t="s">
        <v>132</v>
      </c>
      <c r="H495" s="162">
        <v>2015</v>
      </c>
      <c r="I495" s="163"/>
      <c r="J495" s="159">
        <f>IFERROR(INDEX('Labor Expenditures'!$F$7:$X$91,MATCH($C495,'Labor Expenditures'!$D$7:$D$91,0),MATCH($G495,'Labor Expenditures'!$F$5:$X$5,0)),"NA")</f>
        <v>33254.784623951644</v>
      </c>
      <c r="K495" s="159">
        <f t="shared" si="908"/>
        <v>249.09951029177262</v>
      </c>
      <c r="L495" s="165">
        <f t="shared" si="914"/>
        <v>1.9493695199345948E-2</v>
      </c>
      <c r="M495" s="76">
        <f t="shared" si="918"/>
        <v>2.9496606790678785E-4</v>
      </c>
      <c r="N495" s="62">
        <f t="shared" si="924"/>
        <v>118.50895322173446</v>
      </c>
      <c r="O495" s="96">
        <f t="shared" si="919"/>
        <v>-1.32503221738301E-2</v>
      </c>
      <c r="P495" s="96"/>
      <c r="Q495" s="159">
        <f>IFERROR(INDEX('Non-Labor Expenditures'!$F$7:$AB$91,MATCH($C495,'Non-Labor Expenditures'!$D$7:$D$91,0),MATCH($G495,'Non-Labor Expenditures'!$F$5:$AB$5,0)),"NA")</f>
        <v>48159.139272488632</v>
      </c>
      <c r="R495" s="159">
        <f t="shared" si="909"/>
        <v>460.24082103698078</v>
      </c>
      <c r="S495" s="165">
        <f t="shared" si="920"/>
        <v>4.1161354787407164E-2</v>
      </c>
      <c r="T495" s="165">
        <f t="shared" si="921"/>
        <v>6.2282716782014163E-4</v>
      </c>
      <c r="U495" s="165"/>
      <c r="V495" s="165"/>
      <c r="W495" s="159">
        <f t="shared" si="889"/>
        <v>92556.091625663132</v>
      </c>
      <c r="X495" s="163"/>
      <c r="Y495" s="167">
        <v>4485.6799671080598</v>
      </c>
      <c r="Z495" s="168">
        <v>2.3142229091725655E-2</v>
      </c>
      <c r="AA495" s="76">
        <f t="shared" si="910"/>
        <v>3.5017333799357969E-4</v>
      </c>
      <c r="AB495" s="168"/>
      <c r="AC495" s="168"/>
      <c r="AD495" s="163">
        <f t="shared" si="811"/>
        <v>173970.01552210341</v>
      </c>
      <c r="AE495" s="168">
        <f t="shared" si="922"/>
        <v>2.5923823506294966E-2</v>
      </c>
      <c r="AF495" s="163"/>
      <c r="AG495" s="163"/>
      <c r="AH495" s="163"/>
      <c r="AI495" s="163"/>
      <c r="AJ495" s="116">
        <f t="shared" si="923"/>
        <v>411.40209549035853</v>
      </c>
      <c r="AK495" s="114">
        <f>+AV495/$AX$20</f>
        <v>1.1607192264517863E-2</v>
      </c>
      <c r="AL495" s="115">
        <f t="shared" si="911"/>
        <v>0.19115239211855176</v>
      </c>
      <c r="AM495" s="115">
        <f t="shared" si="912"/>
        <v>0.27682436612974765</v>
      </c>
      <c r="AN495" s="115">
        <f t="shared" si="913"/>
        <v>0.53202324175170068</v>
      </c>
      <c r="AO495" s="115">
        <f t="shared" si="915"/>
        <v>2.7380463213909342E-2</v>
      </c>
      <c r="AP495" s="166">
        <f t="shared" si="926"/>
        <v>109.69550496353271</v>
      </c>
      <c r="AQ495" s="168">
        <f t="shared" si="927"/>
        <v>2.7380463213909349E-2</v>
      </c>
      <c r="AR495" s="69">
        <f>+AD495/$AF$20</f>
        <v>1.5131357338381106E-2</v>
      </c>
      <c r="AS495" s="169">
        <f t="shared" si="925"/>
        <v>4.1430357298006116E-4</v>
      </c>
      <c r="AT495" s="115"/>
      <c r="AU495" s="115"/>
      <c r="AV495" s="113">
        <f>IFERROR(INDEX('Total Customers'!$F$7:$AB$91,MATCH($C495,'Total Customers'!$D$7:$D$91,0),MATCH($G495,'Total Customers'!$F$5:$AB$5,0)),"NA")</f>
        <v>422871</v>
      </c>
      <c r="AW495" s="68">
        <f t="shared" si="844"/>
        <v>2.8583796332876813E-3</v>
      </c>
      <c r="AX495" s="114"/>
      <c r="AY495" s="114"/>
      <c r="AZ495" s="116"/>
      <c r="BA495" s="116"/>
      <c r="BB495" s="166"/>
      <c r="BC495" s="166"/>
      <c r="BD495" s="166"/>
      <c r="BE495" s="166"/>
      <c r="BF495" s="166"/>
      <c r="BG495" s="166"/>
      <c r="BH495" s="166"/>
      <c r="BI495" s="113"/>
      <c r="BJ495" s="113"/>
      <c r="BK495" s="113">
        <f>INDEX('Dist. Plant Gas Additions'!$F$7:$AE$91,MATCH($C495,'Dist. Plant Gas Additions'!$D$7:$D$91,0),MATCH(Calculation!$G495,'Dist. Plant Gas Additions'!$F$5:$AE$5,0))</f>
        <v>90603</v>
      </c>
      <c r="BL495" s="113">
        <f>INDEX('Gen. Plant Additions'!$F$7:$AE$91,MATCH($C495,'Gen. Plant Additions'!$D$7:$D$91,0),MATCH(Calculation!$G495,'Gen. Plant Additions'!$F$5:$AE$5,0))</f>
        <v>1807</v>
      </c>
      <c r="BM495" s="231">
        <f t="shared" si="890"/>
        <v>0.97221375957703959</v>
      </c>
      <c r="BN495" s="61">
        <f t="shared" si="891"/>
        <v>1756.7902635557105</v>
      </c>
      <c r="BO495" s="113">
        <f>INDEX('Dist Plant Depreciation'!$E$7:$AD$94,MATCH($C495,'Dist Plant Depreciation'!$D$7:$D$94,0),MATCH(Calculation!$G495,'Dist Plant Depreciation'!$E$5:$AD$5,0))</f>
        <v>503566</v>
      </c>
      <c r="BP495" s="113">
        <f>INDEX('Gen. Plant Depreciation'!$E$7:$AD$94,MATCH($C495,'Gen. Plant Depreciation'!$D$7:$D$94,0),MATCH(Calculation!$G495,'Gen. Plant Depreciation'!$E$5:$AD$5,0))</f>
        <v>11170</v>
      </c>
      <c r="BQ495" s="113"/>
      <c r="BR495" s="113"/>
      <c r="BS495" s="113"/>
      <c r="BT495" s="113"/>
      <c r="BU495" s="113"/>
      <c r="BV495" s="113"/>
      <c r="BW495" s="113">
        <f>INDEX('Gross Dx Plant'!$E$7:$AD$91,MATCH($C495,'Gross Dx Plant'!$D$7:$D$91,0),MATCH(Calculation!$G495,'Gross Dx Plant'!$E$5:$AD$5,0))</f>
        <v>1847701</v>
      </c>
      <c r="BX495" s="113">
        <f>INDEX('Gross Gen Plant'!$E$7:$AD$91,MATCH($C495,'Gross Gen Plant'!$D$7:$D$91,0),MATCH(Calculation!$G495,'Gross Gen Plant'!$E$5:$AD$5,0))</f>
        <v>52808</v>
      </c>
      <c r="BY495" s="113">
        <f t="shared" si="885"/>
        <v>1385773</v>
      </c>
      <c r="BZ495" s="113"/>
      <c r="CA495" s="116">
        <v>2015</v>
      </c>
      <c r="CB495" s="113"/>
      <c r="CC495" s="113"/>
      <c r="CD495" s="113"/>
      <c r="CE495" s="175"/>
      <c r="CF495" s="113">
        <f t="shared" si="892"/>
        <v>92410</v>
      </c>
      <c r="CG495" s="113">
        <f t="shared" si="893"/>
        <v>136.77915704372705</v>
      </c>
      <c r="CH495" s="178">
        <v>0.88888888888888884</v>
      </c>
      <c r="CI495" s="61">
        <f>+CI478*CH495+CG479*CH494+CG480*CH493+CG481*CH492+CG482*CH491+CG483*CH490+CG484*CH489+CG485*CH488+CG486*CH487+CG487*CH486+CG488*CH485+CG489*CH484+CG490*CH483+CG491*CH482+CG492*CH481+CG493*CH480+CG494*CH479+CG495</f>
        <v>4485.6799671080598</v>
      </c>
      <c r="CJ495" s="114">
        <f t="shared" si="894"/>
        <v>2.3142229091725655E-2</v>
      </c>
      <c r="CK495" s="114"/>
      <c r="CL495" s="169">
        <f t="shared" si="895"/>
        <v>7.7942046914861217E-3</v>
      </c>
      <c r="CM495" s="169">
        <f t="shared" si="903"/>
        <v>7.5582287364459036E-3</v>
      </c>
      <c r="CN495" s="114">
        <f>VLOOKUP($H495,RoR!$E:$F,2,FALSE)</f>
        <v>3.8866666666666674E-2</v>
      </c>
      <c r="CO495" s="169">
        <v>9.5709475431029478E-3</v>
      </c>
      <c r="CP495" s="169">
        <f t="shared" si="901"/>
        <v>2.9295719123563727E-2</v>
      </c>
      <c r="CQ495" s="169">
        <f t="shared" si="904"/>
        <v>2.3343712872087721E-2</v>
      </c>
      <c r="CR495" s="169">
        <f t="shared" si="905"/>
        <v>3.5270373279175926E-3</v>
      </c>
      <c r="CS495" s="179">
        <f t="shared" si="896"/>
        <v>0.87050000000000005</v>
      </c>
      <c r="CT495" s="180">
        <f t="shared" si="897"/>
        <v>1.3194352816994324</v>
      </c>
      <c r="CU495" s="180">
        <f t="shared" si="898"/>
        <v>0.33177530017152673</v>
      </c>
      <c r="CV495" s="180">
        <f t="shared" si="899"/>
        <v>0.78242572977668579</v>
      </c>
      <c r="CW495" s="180">
        <f t="shared" si="900"/>
        <v>0.34251158643433932</v>
      </c>
      <c r="CX495" s="181">
        <f>INDEX('State Tax Lookup'!$D$7:$Z$91,MATCH(Calculation!$C495,'State Tax Lookup'!$B$7:$B$91,0),MATCH($H495,'State Tax Lookup'!$D$6:$Z$6,0))</f>
        <v>0.35</v>
      </c>
      <c r="CY495" s="72">
        <v>0.37</v>
      </c>
      <c r="CZ495" s="70">
        <f t="shared" si="902"/>
        <v>21.11675904163247</v>
      </c>
      <c r="DA495" s="70">
        <v>20.279488671080099</v>
      </c>
      <c r="DB495" s="69">
        <f t="shared" si="906"/>
        <v>-2.0267128853480334E-2</v>
      </c>
      <c r="DC495" s="111">
        <f>VLOOKUP($H495,RoR!$E:$F,2,FALSE)</f>
        <v>3.8866666666666674E-2</v>
      </c>
      <c r="DD495" s="216">
        <f>HLOOKUP($H495,'GDP-PI'!$D$8:$CQ$11,3,FALSE)</f>
        <v>9.5709475431029478E-3</v>
      </c>
      <c r="DE495" s="111">
        <f>VLOOKUP(H495,'HW Dx Data'!$E:$F,2,FALSE)</f>
        <v>675.61463308665782</v>
      </c>
      <c r="DF495" s="72">
        <f t="shared" si="916"/>
        <v>133.5</v>
      </c>
      <c r="DG495" s="69">
        <f t="shared" si="917"/>
        <v>3.1193095773504077E-2</v>
      </c>
      <c r="DH495" s="66">
        <f>HLOOKUP(H495,'GDP-PI'!$8:$9,2,FALSE)</f>
        <v>104.639</v>
      </c>
      <c r="DI495" s="69">
        <f t="shared" si="907"/>
        <v>9.5254361854427965E-3</v>
      </c>
      <c r="EB495"/>
    </row>
    <row r="496" spans="1:132" s="160" customFormat="1" ht="21">
      <c r="A496" s="160" t="s">
        <v>189</v>
      </c>
      <c r="B496" s="161" t="s">
        <v>189</v>
      </c>
      <c r="C496" s="161">
        <v>4057079</v>
      </c>
      <c r="D496" s="161" t="s">
        <v>177</v>
      </c>
      <c r="E496" s="161"/>
      <c r="F496" s="161"/>
      <c r="G496" s="161" t="s">
        <v>133</v>
      </c>
      <c r="H496" s="162">
        <v>2016</v>
      </c>
      <c r="I496" s="163"/>
      <c r="J496" s="159">
        <f>IFERROR(INDEX('Labor Expenditures'!$F$7:$X$91,MATCH($C496,'Labor Expenditures'!$D$7:$D$91,0),MATCH($G496,'Labor Expenditures'!$F$5:$X$5,0)),"NA")</f>
        <v>30968.328792320583</v>
      </c>
      <c r="K496" s="159">
        <f t="shared" si="908"/>
        <v>226.12872429587867</v>
      </c>
      <c r="L496" s="165">
        <f t="shared" si="914"/>
        <v>-9.6748042700438477E-2</v>
      </c>
      <c r="M496" s="76">
        <f t="shared" si="918"/>
        <v>-1.3740943506528487E-3</v>
      </c>
      <c r="N496" s="62">
        <f t="shared" si="924"/>
        <v>297.01314020865482</v>
      </c>
      <c r="O496" s="96">
        <f t="shared" si="919"/>
        <v>0.91878786861591255</v>
      </c>
      <c r="P496" s="96"/>
      <c r="Q496" s="159">
        <f>IFERROR(INDEX('Non-Labor Expenditures'!$F$7:$AB$91,MATCH($C496,'Non-Labor Expenditures'!$D$7:$D$91,0),MATCH($G496,'Non-Labor Expenditures'!$F$5:$AB$5,0)),"NA")</f>
        <v>44847.924177244713</v>
      </c>
      <c r="R496" s="159">
        <f t="shared" si="909"/>
        <v>424.14999789328812</v>
      </c>
      <c r="S496" s="165">
        <f t="shared" si="920"/>
        <v>-8.1662715198860397E-2</v>
      </c>
      <c r="T496" s="165">
        <f t="shared" si="921"/>
        <v>-1.1598402663418226E-3</v>
      </c>
      <c r="U496" s="165"/>
      <c r="V496" s="165"/>
      <c r="W496" s="159">
        <f t="shared" si="889"/>
        <v>93165.166426939788</v>
      </c>
      <c r="X496" s="163"/>
      <c r="Y496" s="167">
        <v>4567.5520487116328</v>
      </c>
      <c r="Z496" s="168">
        <v>1.8087311468802502E-2</v>
      </c>
      <c r="AA496" s="76">
        <f t="shared" si="910"/>
        <v>2.5689070098022104E-4</v>
      </c>
      <c r="AB496" s="168"/>
      <c r="AC496" s="168"/>
      <c r="AD496" s="163">
        <f t="shared" ref="AD496:AD562" si="928">+J496+Q496+W496</f>
        <v>168981.41939650508</v>
      </c>
      <c r="AE496" s="168">
        <f t="shared" si="922"/>
        <v>-2.9094195299962329E-2</v>
      </c>
      <c r="AF496" s="163"/>
      <c r="AG496" s="163"/>
      <c r="AH496" s="163"/>
      <c r="AI496" s="163"/>
      <c r="AJ496" s="116">
        <f t="shared" si="923"/>
        <v>397.79709033930664</v>
      </c>
      <c r="AK496" s="114">
        <f>+AV496/$AX$21</f>
        <v>1.1559190096680286E-2</v>
      </c>
      <c r="AL496" s="115">
        <f t="shared" si="911"/>
        <v>0.18326469799413389</v>
      </c>
      <c r="AM496" s="115">
        <f t="shared" si="912"/>
        <v>0.26540151181954308</v>
      </c>
      <c r="AN496" s="115">
        <f t="shared" si="913"/>
        <v>0.551333790186323</v>
      </c>
      <c r="AO496" s="115">
        <f t="shared" si="915"/>
        <v>-3.0454370998920274E-2</v>
      </c>
      <c r="AP496" s="166">
        <f t="shared" si="926"/>
        <v>106.40515444039949</v>
      </c>
      <c r="AQ496" s="168">
        <f t="shared" si="927"/>
        <v>-3.0454370998920326E-2</v>
      </c>
      <c r="AR496" s="69">
        <f>+AD496/$AF$21</f>
        <v>1.4202812917957058E-2</v>
      </c>
      <c r="AS496" s="169">
        <f t="shared" si="925"/>
        <v>-4.3253773383172242E-4</v>
      </c>
      <c r="AT496" s="115"/>
      <c r="AU496" s="115"/>
      <c r="AV496" s="113">
        <f>IFERROR(INDEX('Total Customers'!$F$7:$AB$91,MATCH($C496,'Total Customers'!$D$7:$D$91,0),MATCH($G496,'Total Customers'!$F$5:$AB$5,0)),"NA")</f>
        <v>424793</v>
      </c>
      <c r="AW496" s="68">
        <f t="shared" si="844"/>
        <v>4.5348234530806541E-3</v>
      </c>
      <c r="AX496" s="114"/>
      <c r="AY496" s="114"/>
      <c r="AZ496" s="116"/>
      <c r="BA496" s="116"/>
      <c r="BB496" s="166"/>
      <c r="BC496" s="166"/>
      <c r="BD496" s="166"/>
      <c r="BE496" s="166"/>
      <c r="BF496" s="166"/>
      <c r="BG496" s="166"/>
      <c r="BH496" s="166"/>
      <c r="BI496" s="113"/>
      <c r="BJ496" s="113"/>
      <c r="BK496" s="113">
        <f>INDEX('Dist. Plant Gas Additions'!$F$7:$AE$91,MATCH($C496,'Dist. Plant Gas Additions'!$D$7:$D$91,0),MATCH(Calculation!$G496,'Dist. Plant Gas Additions'!$F$5:$AE$5,0))</f>
        <v>76635</v>
      </c>
      <c r="BL496" s="113">
        <f>INDEX('Gen. Plant Additions'!$F$7:$AE$91,MATCH($C496,'Gen. Plant Additions'!$D$7:$D$91,0),MATCH(Calculation!$G496,'Gen. Plant Additions'!$F$5:$AE$5,0))</f>
        <v>2589</v>
      </c>
      <c r="BM496" s="231">
        <f t="shared" si="890"/>
        <v>0.97302206066491592</v>
      </c>
      <c r="BN496" s="61">
        <f>+BM496*BL496</f>
        <v>2519.1541150614671</v>
      </c>
      <c r="BO496" s="113">
        <f>INDEX('Dist Plant Depreciation'!$E$7:$AD$94,MATCH($C496,'Dist Plant Depreciation'!$D$7:$D$94,0),MATCH(Calculation!$G496,'Dist Plant Depreciation'!$E$5:$AD$5,0))</f>
        <v>529763</v>
      </c>
      <c r="BP496" s="113">
        <f>INDEX('Gen. Plant Depreciation'!$E$7:$AD$94,MATCH($C496,'Gen. Plant Depreciation'!$D$7:$D$94,0),MATCH(Calculation!$G496,'Gen. Plant Depreciation'!$E$5:$AD$5,0))</f>
        <v>13257</v>
      </c>
      <c r="BQ496" s="113"/>
      <c r="BR496" s="113"/>
      <c r="BS496" s="113"/>
      <c r="BT496" s="113"/>
      <c r="BU496" s="113"/>
      <c r="BV496" s="113"/>
      <c r="BW496" s="113">
        <f>INDEX('Gross Dx Plant'!$E$7:$AD$91,MATCH($C496,'Gross Dx Plant'!$D$7:$D$91,0),MATCH(Calculation!$G496,'Gross Dx Plant'!$E$5:$AD$5,0))</f>
        <v>1907745</v>
      </c>
      <c r="BX496" s="113">
        <f>INDEX('Gross Gen Plant'!$E$7:$AD$91,MATCH($C496,'Gross Gen Plant'!$D$7:$D$91,0),MATCH(Calculation!$G496,'Gross Gen Plant'!$E$5:$AD$5,0))</f>
        <v>52894</v>
      </c>
      <c r="BY496" s="113">
        <f t="shared" si="885"/>
        <v>1417619</v>
      </c>
      <c r="BZ496" s="113"/>
      <c r="CA496" s="116">
        <v>2016</v>
      </c>
      <c r="CB496" s="113"/>
      <c r="CC496" s="113"/>
      <c r="CD496" s="113"/>
      <c r="CE496" s="175"/>
      <c r="CF496" s="113">
        <f t="shared" si="892"/>
        <v>79224</v>
      </c>
      <c r="CG496" s="113">
        <f t="shared" si="893"/>
        <v>117.98830232980448</v>
      </c>
      <c r="CH496" s="178">
        <v>0.88</v>
      </c>
      <c r="CI496" s="61">
        <f>+CI478*CH496+CG479*CH495+CG480*CH494+CG481*CH493+CG482*CH492+CG483*CH491+CG484*CH490+CG485*CH489+CG486*CH488+CG487*CH487+CG488*CH486+CG489*CH485+CG490*CH484+CG491*CH483+CG492*CH482+CG493*CH481+CG494*CH480+CG495*CH479+CG496</f>
        <v>4567.5520487116328</v>
      </c>
      <c r="CJ496" s="114">
        <f t="shared" si="894"/>
        <v>1.8087311468802502E-2</v>
      </c>
      <c r="CK496" s="114"/>
      <c r="CL496" s="169">
        <f t="shared" si="895"/>
        <v>8.0514483848734848E-3</v>
      </c>
      <c r="CM496" s="169">
        <f t="shared" si="903"/>
        <v>7.7987232244815926E-3</v>
      </c>
      <c r="CN496" s="114">
        <f>VLOOKUP($H496,RoR!$E:$F,2,FALSE)</f>
        <v>3.6658333333333334E-2</v>
      </c>
      <c r="CO496" s="169">
        <v>1.0483662879041455E-2</v>
      </c>
      <c r="CP496" s="169">
        <f t="shared" si="901"/>
        <v>2.6174670454291879E-2</v>
      </c>
      <c r="CQ496" s="169">
        <f t="shared" si="904"/>
        <v>2.3103218384052032E-2</v>
      </c>
      <c r="CR496" s="169">
        <f t="shared" si="905"/>
        <v>4.301363574220729E-3</v>
      </c>
      <c r="CS496" s="179">
        <f t="shared" si="896"/>
        <v>0.87050000000000005</v>
      </c>
      <c r="CT496" s="180">
        <f t="shared" si="897"/>
        <v>1.3989193348138562</v>
      </c>
      <c r="CU496" s="180">
        <f t="shared" si="898"/>
        <v>0.29302682427824522</v>
      </c>
      <c r="CV496" s="180">
        <f t="shared" si="899"/>
        <v>0.76309497491941802</v>
      </c>
      <c r="CW496" s="180">
        <f t="shared" si="900"/>
        <v>0.31280857135128509</v>
      </c>
      <c r="CX496" s="181">
        <f>INDEX('State Tax Lookup'!$D$7:$Z$91,MATCH(Calculation!$C496,'State Tax Lookup'!$B$7:$B$91,0),MATCH($H496,'State Tax Lookup'!$D$6:$Z$6,0))</f>
        <v>0.35</v>
      </c>
      <c r="CY496" s="72">
        <v>0.37</v>
      </c>
      <c r="CZ496" s="70">
        <f t="shared" si="902"/>
        <v>20.769463517256636</v>
      </c>
      <c r="DA496" s="70">
        <v>19.909765876209278</v>
      </c>
      <c r="DB496" s="69">
        <f t="shared" si="906"/>
        <v>-1.6583184734082036E-2</v>
      </c>
      <c r="DC496" s="111">
        <f>VLOOKUP($H496,RoR!$E:$F,2,FALSE)</f>
        <v>3.6658333333333334E-2</v>
      </c>
      <c r="DD496" s="216">
        <f>HLOOKUP($H496,'GDP-PI'!$D$8:$CQ$11,3,FALSE)</f>
        <v>1.0483662879041455E-2</v>
      </c>
      <c r="DE496" s="111">
        <f>VLOOKUP(H496,'HW Dx Data'!$E:$F,2,FALSE)</f>
        <v>671.45639385971219</v>
      </c>
      <c r="DF496" s="72">
        <f t="shared" si="916"/>
        <v>136.94999999999999</v>
      </c>
      <c r="DG496" s="69">
        <f t="shared" si="917"/>
        <v>2.5514417868782811E-2</v>
      </c>
      <c r="DH496" s="66">
        <f>HLOOKUP(H496,'GDP-PI'!$8:$9,2,FALSE)</f>
        <v>105.736</v>
      </c>
      <c r="DI496" s="69">
        <f t="shared" si="907"/>
        <v>1.0429090367205095E-2</v>
      </c>
      <c r="EB496"/>
    </row>
    <row r="497" spans="1:132" s="160" customFormat="1" ht="21">
      <c r="A497" s="160" t="s">
        <v>189</v>
      </c>
      <c r="B497" s="161" t="s">
        <v>189</v>
      </c>
      <c r="C497" s="161">
        <v>4057079</v>
      </c>
      <c r="D497" s="161" t="s">
        <v>177</v>
      </c>
      <c r="E497" s="161"/>
      <c r="F497" s="161"/>
      <c r="G497" s="161" t="s">
        <v>135</v>
      </c>
      <c r="H497" s="162">
        <v>2017</v>
      </c>
      <c r="I497" s="163"/>
      <c r="J497" s="159">
        <f>IFERROR(INDEX('Labor Expenditures'!$F$7:$X$91,MATCH($C497,'Labor Expenditures'!$D$7:$D$91,0),MATCH($G497,'Labor Expenditures'!$F$5:$X$5,0)),"NA")</f>
        <v>31218.589340158771</v>
      </c>
      <c r="K497" s="159">
        <f t="shared" si="908"/>
        <v>222.27546700006246</v>
      </c>
      <c r="L497" s="165">
        <f t="shared" si="914"/>
        <v>-1.7186958649288778E-2</v>
      </c>
      <c r="M497" s="76">
        <f t="shared" si="918"/>
        <v>-2.3678483635774044E-4</v>
      </c>
      <c r="N497" s="62">
        <f t="shared" si="924"/>
        <v>164.82350048417368</v>
      </c>
      <c r="O497" s="96">
        <f t="shared" si="919"/>
        <v>-0.58890117361650529</v>
      </c>
      <c r="P497" s="96"/>
      <c r="Q497" s="159">
        <f>IFERROR(INDEX('Non-Labor Expenditures'!$F$7:$AB$91,MATCH($C497,'Non-Labor Expenditures'!$D$7:$D$91,0),MATCH($G497,'Non-Labor Expenditures'!$F$5:$AB$5,0)),"NA")</f>
        <v>45210.348192737147</v>
      </c>
      <c r="R497" s="159">
        <f t="shared" si="909"/>
        <v>419.58170404671091</v>
      </c>
      <c r="S497" s="165">
        <f t="shared" si="920"/>
        <v>-1.0828889035868429E-2</v>
      </c>
      <c r="T497" s="165">
        <f t="shared" si="921"/>
        <v>-1.4918967169333025E-4</v>
      </c>
      <c r="U497" s="165"/>
      <c r="V497" s="165"/>
      <c r="W497" s="159">
        <f t="shared" si="889"/>
        <v>86701.41225076883</v>
      </c>
      <c r="X497" s="163"/>
      <c r="Y497" s="167">
        <v>4650.8933250785103</v>
      </c>
      <c r="Z497" s="168">
        <v>1.8081909414320283E-2</v>
      </c>
      <c r="AA497" s="76">
        <f t="shared" si="910"/>
        <v>2.4911457862165101E-4</v>
      </c>
      <c r="AB497" s="168"/>
      <c r="AC497" s="168"/>
      <c r="AD497" s="163">
        <f t="shared" si="928"/>
        <v>163130.34978366474</v>
      </c>
      <c r="AE497" s="168">
        <f t="shared" si="922"/>
        <v>-3.52391913315004E-2</v>
      </c>
      <c r="AF497" s="163"/>
      <c r="AG497" s="163"/>
      <c r="AH497" s="163"/>
      <c r="AI497" s="163"/>
      <c r="AJ497" s="116">
        <f t="shared" si="923"/>
        <v>381.11273040336403</v>
      </c>
      <c r="AK497" s="114">
        <f>+AV497/$AX$22</f>
        <v>1.1559954464198136E-2</v>
      </c>
      <c r="AL497" s="115">
        <f t="shared" si="911"/>
        <v>0.19137204929407245</v>
      </c>
      <c r="AM497" s="115">
        <f t="shared" si="912"/>
        <v>0.27714247074620285</v>
      </c>
      <c r="AN497" s="115">
        <f t="shared" si="913"/>
        <v>0.53148547995972473</v>
      </c>
      <c r="AO497" s="115">
        <f t="shared" si="915"/>
        <v>3.6327125432160951E-3</v>
      </c>
      <c r="AP497" s="166">
        <f t="shared" si="926"/>
        <v>106.79239672369116</v>
      </c>
      <c r="AQ497" s="168">
        <f t="shared" si="927"/>
        <v>3.6327125432162022E-3</v>
      </c>
      <c r="AR497" s="69">
        <f>+AD497/$AF$22</f>
        <v>1.377700622835553E-2</v>
      </c>
      <c r="AS497" s="169">
        <f t="shared" si="925"/>
        <v>5.0047903333714875E-5</v>
      </c>
      <c r="AT497" s="115"/>
      <c r="AU497" s="115"/>
      <c r="AV497" s="113">
        <f>IFERROR(INDEX('Total Customers'!$F$7:$AB$91,MATCH($C497,'Total Customers'!$D$7:$D$91,0),MATCH($G497,'Total Customers'!$F$5:$AB$5,0)),"NA")</f>
        <v>428037</v>
      </c>
      <c r="AW497" s="68">
        <f t="shared" si="844"/>
        <v>7.6076489942528509E-3</v>
      </c>
      <c r="AX497" s="114"/>
      <c r="AY497" s="114"/>
      <c r="AZ497" s="116"/>
      <c r="BA497" s="116"/>
      <c r="BB497" s="166"/>
      <c r="BC497" s="166"/>
      <c r="BD497" s="166"/>
      <c r="BE497" s="166"/>
      <c r="BF497" s="166"/>
      <c r="BG497" s="166"/>
      <c r="BH497" s="166"/>
      <c r="BI497" s="113"/>
      <c r="BJ497" s="113"/>
      <c r="BK497" s="113">
        <f>INDEX('Dist. Plant Gas Additions'!$F$7:$AE$91,MATCH($C497,'Dist. Plant Gas Additions'!$D$7:$D$91,0),MATCH(Calculation!$G497,'Dist. Plant Gas Additions'!$F$5:$AE$5,0))</f>
        <v>84688</v>
      </c>
      <c r="BL497" s="113">
        <f>INDEX('Gen. Plant Additions'!$F$7:$AE$91,MATCH($C497,'Gen. Plant Additions'!$D$7:$D$91,0),MATCH(Calculation!$G497,'Gen. Plant Additions'!$F$5:$AE$5,0))</f>
        <v>1809</v>
      </c>
      <c r="BM497" s="231">
        <f t="shared" si="890"/>
        <v>0.97338243927011436</v>
      </c>
      <c r="BN497" s="61">
        <f t="shared" ref="BN497:BN513" si="929">+BM497*BL497</f>
        <v>1760.8488326396368</v>
      </c>
      <c r="BO497" s="113">
        <f>INDEX('Dist Plant Depreciation'!$E$7:$AD$94,MATCH($C497,'Dist Plant Depreciation'!$D$7:$D$94,0),MATCH(Calculation!$G497,'Dist Plant Depreciation'!$E$5:$AD$5,0))</f>
        <v>567172</v>
      </c>
      <c r="BP497" s="113">
        <f>INDEX('Gen. Plant Depreciation'!$E$7:$AD$94,MATCH($C497,'Gen. Plant Depreciation'!$D$7:$D$94,0),MATCH(Calculation!$G497,'Gen. Plant Depreciation'!$E$5:$AD$5,0))</f>
        <v>15532</v>
      </c>
      <c r="BQ497" s="113"/>
      <c r="BR497" s="113"/>
      <c r="BS497" s="113"/>
      <c r="BT497" s="113"/>
      <c r="BU497" s="113"/>
      <c r="BV497" s="113"/>
      <c r="BW497" s="113">
        <f>INDEX('Gross Dx Plant'!$E$7:$AD$91,MATCH($C497,'Gross Dx Plant'!$D$7:$D$91,0),MATCH(Calculation!$G497,'Gross Dx Plant'!$E$5:$AD$5,0))</f>
        <v>1986438</v>
      </c>
      <c r="BX497" s="113">
        <f>INDEX('Gross Gen Plant'!$E$7:$AD$91,MATCH($C497,'Gross Gen Plant'!$D$7:$D$91,0),MATCH(Calculation!$G497,'Gross Gen Plant'!$E$5:$AD$5,0))</f>
        <v>54320</v>
      </c>
      <c r="BY497" s="113">
        <f t="shared" si="885"/>
        <v>1458054</v>
      </c>
      <c r="BZ497" s="113"/>
      <c r="CA497" s="116">
        <v>2017</v>
      </c>
      <c r="CB497" s="113"/>
      <c r="CC497" s="113"/>
      <c r="CD497" s="113"/>
      <c r="CE497" s="175"/>
      <c r="CF497" s="113">
        <f t="shared" si="892"/>
        <v>86497</v>
      </c>
      <c r="CG497" s="113">
        <f t="shared" si="893"/>
        <v>121.41146772985813</v>
      </c>
      <c r="CH497" s="178">
        <v>0.87074829931972786</v>
      </c>
      <c r="CI497" s="61">
        <f>+CI478*CH497+CG479*CH496+CG480*CH495+CG481*CH494+CG482*CH493+CG483*CH492+CG484*CH491+CG485*CH490+CG486*CH489+CG487*CH488+CG488*CH487+CG489*CH486+CG490*CH485+CG491*CH484+CG492*CH483+CG493*CH482+CG494*CH481+CG495*CH480+CG496*CH479+CG497</f>
        <v>4650.8933250785103</v>
      </c>
      <c r="CJ497" s="114">
        <f t="shared" si="894"/>
        <v>1.8081909414320283E-2</v>
      </c>
      <c r="CK497" s="114"/>
      <c r="CL497" s="169">
        <f t="shared" si="895"/>
        <v>8.3349222859363005E-3</v>
      </c>
      <c r="CM497" s="169">
        <f t="shared" si="903"/>
        <v>8.0601917874319699E-3</v>
      </c>
      <c r="CN497" s="114">
        <f>VLOOKUP($H497,RoR!$E:$F,2,FALSE)</f>
        <v>3.7433333333333339E-2</v>
      </c>
      <c r="CO497" s="169">
        <v>1.9056896421275615E-2</v>
      </c>
      <c r="CP497" s="169">
        <f t="shared" si="901"/>
        <v>1.8376436912057724E-2</v>
      </c>
      <c r="CQ497" s="169">
        <f t="shared" si="904"/>
        <v>2.2841749821101653E-2</v>
      </c>
      <c r="CR497" s="169">
        <f t="shared" si="905"/>
        <v>1.3976271617800498E-2</v>
      </c>
      <c r="CS497" s="179">
        <f t="shared" si="896"/>
        <v>0.92230000000000001</v>
      </c>
      <c r="CT497" s="180">
        <f t="shared" si="897"/>
        <v>1.3699568463593395</v>
      </c>
      <c r="CU497" s="180">
        <f t="shared" si="898"/>
        <v>0.30714603739982199</v>
      </c>
      <c r="CV497" s="180">
        <f t="shared" si="899"/>
        <v>0.77007188472689425</v>
      </c>
      <c r="CW497" s="180">
        <f t="shared" si="900"/>
        <v>0.32402839633793828</v>
      </c>
      <c r="CX497" s="181">
        <f>INDEX('State Tax Lookup'!$D$7:$Z$91,MATCH(Calculation!$C497,'State Tax Lookup'!$B$7:$B$91,0),MATCH($H497,'State Tax Lookup'!$D$6:$Z$6,0))</f>
        <v>0.20999999999999996</v>
      </c>
      <c r="CY497" s="72">
        <v>0.37</v>
      </c>
      <c r="CZ497" s="70">
        <f t="shared" si="902"/>
        <v>18.982030489444483</v>
      </c>
      <c r="DA497" s="70">
        <v>18.231812616449311</v>
      </c>
      <c r="DB497" s="69">
        <f t="shared" si="906"/>
        <v>-8.999103992417179E-2</v>
      </c>
      <c r="DC497" s="111">
        <f>VLOOKUP($H497,RoR!$E:$F,2,FALSE)</f>
        <v>3.7433333333333339E-2</v>
      </c>
      <c r="DD497" s="216">
        <f>HLOOKUP($H497,'GDP-PI'!$D$8:$CQ$11,3,FALSE)</f>
        <v>1.9056896421275615E-2</v>
      </c>
      <c r="DE497" s="111">
        <f>VLOOKUP(H497,'HW Dx Data'!$E:$F,2,FALSE)</f>
        <v>712.42858370229726</v>
      </c>
      <c r="DF497" s="72">
        <f t="shared" si="916"/>
        <v>140.44999999999999</v>
      </c>
      <c r="DG497" s="69">
        <f t="shared" si="917"/>
        <v>2.5235657841165486E-2</v>
      </c>
      <c r="DH497" s="66">
        <f>HLOOKUP(H497,'GDP-PI'!$8:$9,2,FALSE)</f>
        <v>107.751</v>
      </c>
      <c r="DI497" s="69">
        <f t="shared" si="907"/>
        <v>1.8877588227745139E-2</v>
      </c>
      <c r="EB497"/>
    </row>
    <row r="498" spans="1:132" s="160" customFormat="1" ht="21">
      <c r="A498" s="160" t="s">
        <v>189</v>
      </c>
      <c r="B498" s="161" t="s">
        <v>189</v>
      </c>
      <c r="C498" s="161">
        <v>4057079</v>
      </c>
      <c r="D498" s="161" t="s">
        <v>177</v>
      </c>
      <c r="E498" s="161"/>
      <c r="F498" s="161"/>
      <c r="G498" s="161" t="s">
        <v>136</v>
      </c>
      <c r="H498" s="162">
        <v>2018</v>
      </c>
      <c r="I498" s="163"/>
      <c r="J498" s="159">
        <f>IFERROR(INDEX('Labor Expenditures'!$F$7:$X$91,MATCH($C498,'Labor Expenditures'!$D$7:$D$91,0),MATCH($G498,'Labor Expenditures'!$F$5:$X$5,0)),"NA")</f>
        <v>33767.489722012659</v>
      </c>
      <c r="K498" s="159">
        <f t="shared" si="908"/>
        <v>233.76593784709354</v>
      </c>
      <c r="L498" s="165">
        <f t="shared" si="914"/>
        <v>5.0402894141205835E-2</v>
      </c>
      <c r="M498" s="76">
        <f t="shared" si="918"/>
        <v>6.8522491155389542E-4</v>
      </c>
      <c r="N498" s="62">
        <f t="shared" si="924"/>
        <v>113.82427136430273</v>
      </c>
      <c r="O498" s="96">
        <f t="shared" si="919"/>
        <v>-0.37021942750178832</v>
      </c>
      <c r="P498" s="96"/>
      <c r="Q498" s="159">
        <f>IFERROR(INDEX('Non-Labor Expenditures'!$F$7:$AB$91,MATCH($C498,'Non-Labor Expenditures'!$D$7:$D$91,0),MATCH($G498,'Non-Labor Expenditures'!$F$5:$AB$5,0)),"NA")</f>
        <v>48901.632014584204</v>
      </c>
      <c r="R498" s="159">
        <f t="shared" si="909"/>
        <v>443.26274011152992</v>
      </c>
      <c r="S498" s="165">
        <f t="shared" si="920"/>
        <v>5.4904414786688796E-2</v>
      </c>
      <c r="T498" s="165">
        <f t="shared" si="921"/>
        <v>7.4642286732043515E-4</v>
      </c>
      <c r="U498" s="165"/>
      <c r="V498" s="165"/>
      <c r="W498" s="159">
        <f t="shared" si="889"/>
        <v>92305.601831732347</v>
      </c>
      <c r="X498" s="163"/>
      <c r="Y498" s="167">
        <v>4753.2254253234742</v>
      </c>
      <c r="Z498" s="168">
        <v>2.1764110447454282E-2</v>
      </c>
      <c r="AA498" s="76">
        <f t="shared" si="910"/>
        <v>2.958820303974173E-4</v>
      </c>
      <c r="AB498" s="168"/>
      <c r="AC498" s="168"/>
      <c r="AD498" s="163">
        <f t="shared" si="928"/>
        <v>174974.72356832921</v>
      </c>
      <c r="AE498" s="168">
        <f t="shared" si="922"/>
        <v>7.0091953591250825E-2</v>
      </c>
      <c r="AF498" s="163"/>
      <c r="AG498" s="163"/>
      <c r="AH498" s="163"/>
      <c r="AI498" s="163"/>
      <c r="AJ498" s="116">
        <f t="shared" si="923"/>
        <v>405.34747598450934</v>
      </c>
      <c r="AK498" s="114">
        <f>+AV498/$AX$23</f>
        <v>1.1555863522024904E-2</v>
      </c>
      <c r="AL498" s="115">
        <f t="shared" si="911"/>
        <v>0.19298495824641865</v>
      </c>
      <c r="AM498" s="115">
        <f t="shared" si="912"/>
        <v>0.27947826415903826</v>
      </c>
      <c r="AN498" s="115">
        <f t="shared" si="913"/>
        <v>0.52753677759454309</v>
      </c>
      <c r="AO498" s="115">
        <f t="shared" si="915"/>
        <v>3.6491159325663193E-2</v>
      </c>
      <c r="AP498" s="166">
        <f t="shared" si="926"/>
        <v>110.76135053692417</v>
      </c>
      <c r="AQ498" s="168">
        <f t="shared" si="927"/>
        <v>3.6491159325663297E-2</v>
      </c>
      <c r="AR498" s="69">
        <f>+AD498/$AF$23</f>
        <v>1.3594951703253566E-2</v>
      </c>
      <c r="AS498" s="169">
        <f t="shared" si="925"/>
        <v>4.9609554862812351E-4</v>
      </c>
      <c r="AT498" s="115"/>
      <c r="AU498" s="115"/>
      <c r="AV498" s="113">
        <f>IFERROR(INDEX('Total Customers'!$F$7:$AB$91,MATCH($C498,'Total Customers'!$D$7:$D$91,0),MATCH($G498,'Total Customers'!$F$5:$AB$5,0)),"NA")</f>
        <v>431666</v>
      </c>
      <c r="AW498" s="68">
        <f t="shared" si="844"/>
        <v>8.4425006193286078E-3</v>
      </c>
      <c r="AX498" s="114"/>
      <c r="AY498" s="114"/>
      <c r="AZ498" s="116"/>
      <c r="BA498" s="116"/>
      <c r="BB498" s="166"/>
      <c r="BC498" s="166"/>
      <c r="BD498" s="166"/>
      <c r="BE498" s="166"/>
      <c r="BF498" s="166"/>
      <c r="BG498" s="166"/>
      <c r="BH498" s="166"/>
      <c r="BI498" s="113"/>
      <c r="BJ498" s="113"/>
      <c r="BK498" s="113">
        <f>INDEX('Dist. Plant Gas Additions'!$F$7:$AE$91,MATCH($C498,'Dist. Plant Gas Additions'!$D$7:$D$91,0),MATCH(Calculation!$G498,'Dist. Plant Gas Additions'!$F$5:$AE$5,0))</f>
        <v>97092</v>
      </c>
      <c r="BL498" s="113">
        <f>INDEX('Gen. Plant Additions'!$F$7:$AE$91,MATCH($C498,'Gen. Plant Additions'!$D$7:$D$91,0),MATCH(Calculation!$G498,'Gen. Plant Additions'!$F$5:$AE$5,0))</f>
        <v>10493</v>
      </c>
      <c r="BM498" s="231">
        <f t="shared" si="890"/>
        <v>0.96990647139076547</v>
      </c>
      <c r="BN498" s="61">
        <f t="shared" si="929"/>
        <v>10177.228604303302</v>
      </c>
      <c r="BO498" s="113">
        <f>INDEX('Dist Plant Depreciation'!$E$7:$AD$94,MATCH($C498,'Dist Plant Depreciation'!$D$7:$D$94,0),MATCH(Calculation!$G498,'Dist Plant Depreciation'!$E$5:$AD$5,0))</f>
        <v>586276</v>
      </c>
      <c r="BP498" s="113">
        <f>INDEX('Gen. Plant Depreciation'!$E$7:$AD$94,MATCH($C498,'Gen. Plant Depreciation'!$D$7:$D$94,0),MATCH(Calculation!$G498,'Gen. Plant Depreciation'!$E$5:$AD$5,0))</f>
        <v>18069</v>
      </c>
      <c r="BQ498" s="113"/>
      <c r="BR498" s="113"/>
      <c r="BS498" s="113"/>
      <c r="BT498" s="113"/>
      <c r="BU498" s="113"/>
      <c r="BV498" s="113"/>
      <c r="BW498" s="113">
        <f>INDEX('Gross Dx Plant'!$E$7:$AD$91,MATCH($C498,'Gross Dx Plant'!$D$7:$D$91,0),MATCH(Calculation!$G498,'Gross Dx Plant'!$E$5:$AD$5,0))</f>
        <v>2065217</v>
      </c>
      <c r="BX498" s="113">
        <f>INDEX('Gross Gen Plant'!$E$7:$AD$91,MATCH($C498,'Gross Gen Plant'!$D$7:$D$91,0),MATCH(Calculation!$G498,'Gross Gen Plant'!$E$5:$AD$5,0))</f>
        <v>64078</v>
      </c>
      <c r="BY498" s="113">
        <f t="shared" si="885"/>
        <v>1524950</v>
      </c>
      <c r="BZ498" s="113"/>
      <c r="CA498" s="116">
        <v>2018</v>
      </c>
      <c r="CB498" s="113"/>
      <c r="CC498" s="113"/>
      <c r="CD498" s="113"/>
      <c r="CE498" s="175"/>
      <c r="CF498" s="113">
        <f t="shared" si="892"/>
        <v>107585</v>
      </c>
      <c r="CG498" s="113">
        <f t="shared" si="893"/>
        <v>142.47089031259947</v>
      </c>
      <c r="CH498" s="178">
        <v>0.86111111111111116</v>
      </c>
      <c r="CI498" s="61">
        <f>+CI478*CH498++CG479*CH497+CG480*CH496+CG481*CH495+CG482*CH494+CG483*CH493+CG484*CH492+CG485*CH491+CG486*CH490+CG487*CH489+CG488*CH488+CG489*CH487+CG490*CH486+CG491*CH485+CG492*CH484+CG493*CH483+CG494*CH482+CG495*CH481+CG496*CH480+CG497*CH479+CG498</f>
        <v>4753.2254253234742</v>
      </c>
      <c r="CJ498" s="114">
        <f t="shared" si="894"/>
        <v>2.1764110447454282E-2</v>
      </c>
      <c r="CK498" s="114"/>
      <c r="CL498" s="169">
        <f t="shared" si="895"/>
        <v>8.6303398642148081E-3</v>
      </c>
      <c r="CM498" s="169">
        <f t="shared" si="903"/>
        <v>8.3389035116748639E-3</v>
      </c>
      <c r="CN498" s="114">
        <f>VLOOKUP($H498,RoR!$E:$F,2,FALSE)</f>
        <v>3.9299999999999995E-2</v>
      </c>
      <c r="CO498" s="169">
        <v>2.386056741932796E-2</v>
      </c>
      <c r="CP498" s="169">
        <f t="shared" si="901"/>
        <v>1.5439432580672034E-2</v>
      </c>
      <c r="CQ498" s="169">
        <f t="shared" si="904"/>
        <v>2.2563038096858761E-2</v>
      </c>
      <c r="CR498" s="169">
        <f t="shared" si="905"/>
        <v>3.8270792163076606E-2</v>
      </c>
      <c r="CS498" s="179">
        <f t="shared" si="896"/>
        <v>0.92230000000000001</v>
      </c>
      <c r="CT498" s="180">
        <f t="shared" si="897"/>
        <v>1.3048868010700074</v>
      </c>
      <c r="CU498" s="180">
        <f t="shared" si="898"/>
        <v>0.33886768447837151</v>
      </c>
      <c r="CV498" s="180">
        <f t="shared" si="899"/>
        <v>0.78602506232557801</v>
      </c>
      <c r="CW498" s="180">
        <f t="shared" si="900"/>
        <v>0.34756768162358759</v>
      </c>
      <c r="CX498" s="181">
        <f>INDEX('State Tax Lookup'!$D$7:$Z$91,MATCH(Calculation!$C498,'State Tax Lookup'!$B$7:$B$91,0),MATCH($H498,'State Tax Lookup'!$D$6:$Z$6,0))</f>
        <v>0.20999999999999996</v>
      </c>
      <c r="CY498" s="72">
        <v>0.37</v>
      </c>
      <c r="CZ498" s="70">
        <f t="shared" si="902"/>
        <v>19.846854223467737</v>
      </c>
      <c r="DA498" s="70">
        <v>19.050901628905343</v>
      </c>
      <c r="DB498" s="69">
        <f t="shared" si="906"/>
        <v>4.4552749230855691E-2</v>
      </c>
      <c r="DC498" s="111">
        <f>VLOOKUP($H498,RoR!$E:$F,2,FALSE)</f>
        <v>3.9299999999999995E-2</v>
      </c>
      <c r="DD498" s="216">
        <f>HLOOKUP($H498,'GDP-PI'!$D$8:$CQ$11,3,FALSE)</f>
        <v>2.386056741932796E-2</v>
      </c>
      <c r="DE498" s="111">
        <f>VLOOKUP(H498,'HW Dx Data'!$E:$F,2,FALSE)</f>
        <v>755.13671434174842</v>
      </c>
      <c r="DF498" s="72">
        <f t="shared" si="916"/>
        <v>144.44999999999999</v>
      </c>
      <c r="DG498" s="69">
        <f t="shared" si="917"/>
        <v>2.80818733619915E-2</v>
      </c>
      <c r="DH498" s="66">
        <f>HLOOKUP(H498,'GDP-PI'!$8:$9,2,FALSE)</f>
        <v>110.322</v>
      </c>
      <c r="DI498" s="69">
        <f t="shared" si="907"/>
        <v>2.3580352716508712E-2</v>
      </c>
      <c r="EB498"/>
    </row>
    <row r="499" spans="1:132" s="160" customFormat="1" ht="21">
      <c r="A499" s="160" t="s">
        <v>189</v>
      </c>
      <c r="B499" s="161" t="s">
        <v>189</v>
      </c>
      <c r="C499" s="161">
        <v>4057079</v>
      </c>
      <c r="D499" s="161" t="s">
        <v>177</v>
      </c>
      <c r="E499" s="161"/>
      <c r="F499" s="161"/>
      <c r="G499" s="161" t="s">
        <v>140</v>
      </c>
      <c r="H499" s="162">
        <v>2019</v>
      </c>
      <c r="I499" s="163"/>
      <c r="J499" s="159">
        <f>IFERROR(INDEX('Labor Expenditures'!$F$7:$X$91,MATCH($C499,'Labor Expenditures'!$D$7:$D$91,0),MATCH($G499,'Labor Expenditures'!$F$5:$X$5,0)),"NA")</f>
        <v>32104.16031100625</v>
      </c>
      <c r="K499" s="159">
        <f t="shared" si="908"/>
        <v>214.49246908973609</v>
      </c>
      <c r="L499" s="165">
        <f t="shared" si="914"/>
        <v>-8.6045720534522641E-2</v>
      </c>
      <c r="M499" s="76">
        <f t="shared" si="918"/>
        <v>-1.1278761636197606E-3</v>
      </c>
      <c r="N499" s="62">
        <f t="shared" si="924"/>
        <v>115.00878124865832</v>
      </c>
      <c r="O499" s="96">
        <f t="shared" si="919"/>
        <v>1.0352704299567838E-2</v>
      </c>
      <c r="P499" s="96"/>
      <c r="Q499" s="159">
        <f>IFERROR(INDEX('Non-Labor Expenditures'!$F$7:$AB$91,MATCH($C499,'Non-Labor Expenditures'!$D$7:$D$91,0),MATCH($G499,'Non-Labor Expenditures'!$F$5:$AB$5,0)),"NA")</f>
        <v>46492.820360366204</v>
      </c>
      <c r="R499" s="159">
        <f t="shared" si="909"/>
        <v>413.93917591451242</v>
      </c>
      <c r="S499" s="165">
        <f t="shared" si="920"/>
        <v>-6.8443642086752951E-2</v>
      </c>
      <c r="T499" s="165">
        <f t="shared" si="921"/>
        <v>-8.9715039843264385E-4</v>
      </c>
      <c r="U499" s="165"/>
      <c r="V499" s="165"/>
      <c r="W499" s="159">
        <f t="shared" si="889"/>
        <v>95335.852433587686</v>
      </c>
      <c r="X499" s="163"/>
      <c r="Y499" s="167">
        <v>4898.0472955315327</v>
      </c>
      <c r="Z499" s="168">
        <v>3.0013190058405068E-2</v>
      </c>
      <c r="AA499" s="76">
        <f t="shared" si="910"/>
        <v>3.9340900919625785E-4</v>
      </c>
      <c r="AB499" s="168"/>
      <c r="AC499" s="168"/>
      <c r="AD499" s="163">
        <f t="shared" si="928"/>
        <v>173932.83310496015</v>
      </c>
      <c r="AE499" s="168">
        <f t="shared" si="922"/>
        <v>-5.972318686349589E-3</v>
      </c>
      <c r="AF499" s="163"/>
      <c r="AG499" s="163"/>
      <c r="AH499" s="163"/>
      <c r="AI499" s="163"/>
      <c r="AJ499" s="116">
        <f t="shared" si="923"/>
        <v>400.04883654675166</v>
      </c>
      <c r="AK499" s="114">
        <f>+AV499/$AX$24</f>
        <v>1.1543209117749049E-2</v>
      </c>
      <c r="AL499" s="115">
        <f t="shared" si="911"/>
        <v>0.18457791860167611</v>
      </c>
      <c r="AM499" s="115">
        <f t="shared" si="912"/>
        <v>0.26730330053504048</v>
      </c>
      <c r="AN499" s="115">
        <f t="shared" si="913"/>
        <v>0.54811878086328336</v>
      </c>
      <c r="AO499" s="115">
        <f t="shared" si="915"/>
        <v>-1.8813768392831619E-2</v>
      </c>
      <c r="AP499" s="166">
        <f t="shared" si="926"/>
        <v>108.69699221171606</v>
      </c>
      <c r="AQ499" s="168">
        <f t="shared" si="927"/>
        <v>-1.8813768392831595E-2</v>
      </c>
      <c r="AR499" s="69">
        <f>+AD499/$AF$24</f>
        <v>1.3107870520617494E-2</v>
      </c>
      <c r="AS499" s="169">
        <f t="shared" si="925"/>
        <v>-2.4660844009812244E-4</v>
      </c>
      <c r="AT499" s="115"/>
      <c r="AU499" s="115"/>
      <c r="AV499" s="113">
        <f>IFERROR(INDEX('Total Customers'!$F$7:$AB$91,MATCH($C499,'Total Customers'!$D$7:$D$91,0),MATCH($G499,'Total Customers'!$F$5:$AB$5,0)),"NA")</f>
        <v>434779</v>
      </c>
      <c r="AW499" s="68">
        <f t="shared" si="844"/>
        <v>7.1857149497964153E-3</v>
      </c>
      <c r="AX499" s="114"/>
      <c r="AY499" s="114"/>
      <c r="AZ499" s="116"/>
      <c r="BA499" s="116"/>
      <c r="BB499" s="166"/>
      <c r="BC499" s="166"/>
      <c r="BD499" s="166"/>
      <c r="BE499" s="166"/>
      <c r="BF499" s="166"/>
      <c r="BG499" s="166"/>
      <c r="BH499" s="166"/>
      <c r="BI499" s="113"/>
      <c r="BJ499" s="113"/>
      <c r="BK499" s="113">
        <f>INDEX('Dist. Plant Gas Additions'!$F$7:$AE$91,MATCH($C499,'Dist. Plant Gas Additions'!$D$7:$D$91,0),MATCH(Calculation!$G499,'Dist. Plant Gas Additions'!$F$5:$AE$5,0))</f>
        <v>135381</v>
      </c>
      <c r="BL499" s="113">
        <f>INDEX('Gen. Plant Additions'!$F$7:$AE$91,MATCH($C499,'Gen. Plant Additions'!$D$7:$D$91,0),MATCH(Calculation!$G499,'Gen. Plant Additions'!$F$5:$AE$5,0))</f>
        <v>9456</v>
      </c>
      <c r="BM499" s="231">
        <f t="shared" si="890"/>
        <v>0.96774866529051118</v>
      </c>
      <c r="BN499" s="61">
        <f t="shared" si="929"/>
        <v>9151.0313789870743</v>
      </c>
      <c r="BO499" s="113">
        <f>INDEX('Dist Plant Depreciation'!$E$7:$AD$94,MATCH($C499,'Dist Plant Depreciation'!$D$7:$D$94,0),MATCH(Calculation!$G499,'Dist Plant Depreciation'!$E$5:$AD$5,0))</f>
        <v>631110</v>
      </c>
      <c r="BP499" s="113">
        <f>INDEX('Gen. Plant Depreciation'!$E$7:$AD$94,MATCH($C499,'Gen. Plant Depreciation'!$D$7:$D$94,0),MATCH(Calculation!$G499,'Gen. Plant Depreciation'!$E$5:$AD$5,0))</f>
        <v>22111</v>
      </c>
      <c r="BQ499" s="113"/>
      <c r="BR499" s="113"/>
      <c r="BS499" s="113"/>
      <c r="BT499" s="113"/>
      <c r="BU499" s="113"/>
      <c r="BV499" s="113"/>
      <c r="BW499" s="113">
        <f>INDEX('Gross Dx Plant'!$E$7:$AD$91,MATCH($C499,'Gross Dx Plant'!$D$7:$D$91,0),MATCH(Calculation!$G499,'Gross Dx Plant'!$E$5:$AD$5,0))</f>
        <v>2198754</v>
      </c>
      <c r="BX499" s="113">
        <f>INDEX('Gross Gen Plant'!$E$7:$AD$91,MATCH($C499,'Gross Gen Plant'!$D$7:$D$91,0),MATCH(Calculation!$G499,'Gross Gen Plant'!$E$5:$AD$5,0))</f>
        <v>73276</v>
      </c>
      <c r="BY499" s="113">
        <f t="shared" si="885"/>
        <v>1618809</v>
      </c>
      <c r="BZ499" s="113"/>
      <c r="CA499" s="116">
        <v>2019</v>
      </c>
      <c r="CB499" s="113"/>
      <c r="CC499" s="113"/>
      <c r="CD499" s="113"/>
      <c r="CE499" s="175"/>
      <c r="CF499" s="113">
        <f t="shared" si="892"/>
        <v>144837</v>
      </c>
      <c r="CG499" s="113">
        <f t="shared" si="893"/>
        <v>187.23935601698298</v>
      </c>
      <c r="CH499" s="178">
        <v>0.85106382978723405</v>
      </c>
      <c r="CI499" s="61">
        <f>CI478*CH499+CG479*CH498+CG480*CH497+CG481*CH496+CG482*CH495+CG483*CH494+CG484*CH493+CG485*CH492+CG486*CH491+CG487*CH490+CG488*CH489+CG489*CH488+CG490*CH487+CG491*CH486+CG492*CH485+CG493*CH484+CG494*CH483+CG495*CH482+CG496*CH481+CG497*CH480+CG498*CH479+CG499</f>
        <v>4898.0472955315327</v>
      </c>
      <c r="CJ499" s="114">
        <f t="shared" si="894"/>
        <v>3.0013190058405068E-2</v>
      </c>
      <c r="CK499" s="114"/>
      <c r="CL499" s="169">
        <f t="shared" si="895"/>
        <v>8.9239373295740172E-3</v>
      </c>
      <c r="CM499" s="169">
        <f t="shared" si="903"/>
        <v>8.6297331599083753E-3</v>
      </c>
      <c r="CN499" s="114">
        <f>VLOOKUP($H499,RoR!$E:$F,2,FALSE)</f>
        <v>3.3875000000000009E-2</v>
      </c>
      <c r="CO499" s="169">
        <v>1.8092492884465461E-2</v>
      </c>
      <c r="CP499" s="169">
        <f t="shared" si="901"/>
        <v>1.5782507115534548E-2</v>
      </c>
      <c r="CQ499" s="169">
        <f t="shared" si="904"/>
        <v>2.227220844862525E-2</v>
      </c>
      <c r="CR499" s="169">
        <f t="shared" si="905"/>
        <v>4.8445665544254078E-2</v>
      </c>
      <c r="CS499" s="179">
        <f t="shared" si="896"/>
        <v>0.92230000000000001</v>
      </c>
      <c r="CT499" s="180">
        <f t="shared" si="897"/>
        <v>1.513861292459078</v>
      </c>
      <c r="CU499" s="180">
        <f t="shared" si="898"/>
        <v>0.23699261992619944</v>
      </c>
      <c r="CV499" s="180">
        <f t="shared" si="899"/>
        <v>0.73619765810468829</v>
      </c>
      <c r="CW499" s="180">
        <f t="shared" si="900"/>
        <v>0.26412854465362851</v>
      </c>
      <c r="CX499" s="181">
        <f>INDEX('State Tax Lookup'!$D$7:$Z$91,MATCH(Calculation!$C499,'State Tax Lookup'!$B$7:$B$91,0),MATCH($H499,'State Tax Lookup'!$D$6:$Z$6,0))</f>
        <v>0.20999999999999996</v>
      </c>
      <c r="CY499" s="72">
        <v>0.37</v>
      </c>
      <c r="CZ499" s="70">
        <f t="shared" si="902"/>
        <v>20.0570862736012</v>
      </c>
      <c r="DA499" s="70">
        <v>19.236104090735289</v>
      </c>
      <c r="DB499" s="69">
        <f t="shared" si="906"/>
        <v>1.0537004248507493E-2</v>
      </c>
      <c r="DC499" s="111">
        <f>VLOOKUP($H499,RoR!$E:$F,2,FALSE)</f>
        <v>3.3875000000000009E-2</v>
      </c>
      <c r="DD499" s="216">
        <f>HLOOKUP($H499,'GDP-PI'!$D$8:$CQ$11,3,FALSE)</f>
        <v>1.8092492884465461E-2</v>
      </c>
      <c r="DE499" s="111">
        <f>VLOOKUP(H499,'HW Dx Data'!$E:$F,2,FALSE)</f>
        <v>773.53929793938721</v>
      </c>
      <c r="DF499" s="72">
        <f t="shared" si="916"/>
        <v>149.67500000000001</v>
      </c>
      <c r="DG499" s="69">
        <f t="shared" si="917"/>
        <v>3.5532849899171604E-2</v>
      </c>
      <c r="DH499" s="66">
        <f>HLOOKUP(H499,'GDP-PI'!$8:$9,2,FALSE)</f>
        <v>112.318</v>
      </c>
      <c r="DI499" s="69">
        <f t="shared" si="907"/>
        <v>1.7930771451401852E-2</v>
      </c>
      <c r="EB499"/>
    </row>
    <row r="500" spans="1:132" s="160" customFormat="1" ht="21">
      <c r="A500" s="160" t="s">
        <v>189</v>
      </c>
      <c r="B500" s="160" t="s">
        <v>189</v>
      </c>
      <c r="C500" s="160">
        <v>4057079</v>
      </c>
      <c r="D500" s="160" t="s">
        <v>177</v>
      </c>
      <c r="G500" s="161" t="s">
        <v>141</v>
      </c>
      <c r="H500" s="162">
        <v>2020</v>
      </c>
      <c r="I500" s="163"/>
      <c r="J500" s="159">
        <f>IFERROR(INDEX('Labor Expenditures'!$F$7:$X$91,MATCH($C500,'Labor Expenditures'!$D$7:$D$91,0),MATCH($G500,'Labor Expenditures'!$F$5:$X$5,0)),"NA")</f>
        <v>28927.718020136715</v>
      </c>
      <c r="K500" s="159">
        <f t="shared" si="908"/>
        <v>188.88487117294622</v>
      </c>
      <c r="L500" s="165">
        <f t="shared" si="914"/>
        <v>-0.12713694639197198</v>
      </c>
      <c r="M500" s="76">
        <f t="shared" si="918"/>
        <v>-1.6061526671902701E-3</v>
      </c>
      <c r="N500" s="62">
        <f t="shared" si="924"/>
        <v>114.88796835393904</v>
      </c>
      <c r="O500" s="96">
        <f t="shared" si="919"/>
        <v>-1.0510188251843403E-3</v>
      </c>
      <c r="P500" s="96"/>
      <c r="Q500" s="159">
        <f>IFERROR(INDEX('Non-Labor Expenditures'!$F$7:$AB$91,MATCH($C500,'Non-Labor Expenditures'!$D$7:$D$91,0),MATCH($G500,'Non-Labor Expenditures'!$F$5:$AB$5,0)),"NA")</f>
        <v>41892.738645603589</v>
      </c>
      <c r="R500" s="159">
        <f t="shared" si="909"/>
        <v>368.69945913770619</v>
      </c>
      <c r="S500" s="165">
        <f t="shared" si="920"/>
        <v>-0.11573720665599643</v>
      </c>
      <c r="T500" s="165">
        <f t="shared" si="921"/>
        <v>-1.4621369195903402E-3</v>
      </c>
      <c r="U500" s="165"/>
      <c r="V500" s="165"/>
      <c r="W500" s="159">
        <f t="shared" si="889"/>
        <v>101963.07001431257</v>
      </c>
      <c r="X500" s="163"/>
      <c r="Y500" s="167">
        <v>5056.2661952734425</v>
      </c>
      <c r="Z500" s="168">
        <v>3.1791690266330615E-2</v>
      </c>
      <c r="AA500" s="76">
        <f t="shared" si="910"/>
        <v>4.0163233084366558E-4</v>
      </c>
      <c r="AB500" s="168"/>
      <c r="AC500" s="168"/>
      <c r="AD500" s="163">
        <f t="shared" si="928"/>
        <v>172783.52668005286</v>
      </c>
      <c r="AE500" s="168">
        <f t="shared" si="922"/>
        <v>-6.6296879398259961E-3</v>
      </c>
      <c r="AF500" s="163"/>
      <c r="AG500" s="163"/>
      <c r="AH500" s="163"/>
      <c r="AI500" s="163"/>
      <c r="AJ500" s="116">
        <f t="shared" si="923"/>
        <v>393.2824384926671</v>
      </c>
      <c r="AK500" s="114">
        <f>+AV500/$AX$25</f>
        <v>1.1581854499711955E-2</v>
      </c>
      <c r="AL500" s="115">
        <f t="shared" si="911"/>
        <v>0.16742173618034098</v>
      </c>
      <c r="AM500" s="115">
        <f t="shared" si="912"/>
        <v>0.24245794405607493</v>
      </c>
      <c r="AN500" s="115">
        <f t="shared" si="913"/>
        <v>0.59012031976358414</v>
      </c>
      <c r="AO500" s="115">
        <f t="shared" si="915"/>
        <v>-3.3781979407158859E-2</v>
      </c>
      <c r="AP500" s="166">
        <f t="shared" si="926"/>
        <v>105.08632379691193</v>
      </c>
      <c r="AQ500" s="168">
        <f t="shared" si="927"/>
        <v>-3.3781979407158859E-2</v>
      </c>
      <c r="AR500" s="69">
        <f>+AD500/$AF$25</f>
        <v>1.2633248735095387E-2</v>
      </c>
      <c r="AS500" s="169">
        <f t="shared" si="925"/>
        <v>-4.2677614861450809E-4</v>
      </c>
      <c r="AT500" s="115"/>
      <c r="AU500" s="115"/>
      <c r="AV500" s="113">
        <f>IFERROR(INDEX('Total Customers'!$F$7:$AB$91,MATCH($C500,'Total Customers'!$D$7:$D$91,0),MATCH($G500,'Total Customers'!$F$5:$AB$5,0)),"NA")</f>
        <v>439337</v>
      </c>
      <c r="AW500" s="68">
        <f t="shared" si="844"/>
        <v>1.0428916325683196E-2</v>
      </c>
      <c r="AX500" s="114"/>
      <c r="AY500" s="114"/>
      <c r="AZ500" s="116"/>
      <c r="BA500" s="116"/>
      <c r="BB500" s="166"/>
      <c r="BC500" s="166"/>
      <c r="BD500" s="166"/>
      <c r="BE500" s="166"/>
      <c r="BF500" s="166"/>
      <c r="BG500" s="166"/>
      <c r="BH500" s="166"/>
      <c r="BI500" s="113"/>
      <c r="BJ500" s="113"/>
      <c r="BK500" s="113">
        <f>INDEX('Dist. Plant Gas Additions'!$F$7:$AE$91,MATCH($C500,'Dist. Plant Gas Additions'!$D$7:$D$91,0),MATCH(Calculation!$G500,'Dist. Plant Gas Additions'!$F$5:$AE$5,0))</f>
        <v>150021</v>
      </c>
      <c r="BL500" s="113">
        <f>INDEX('Gen. Plant Additions'!$F$7:$AE$91,MATCH($C500,'Gen. Plant Additions'!$D$7:$D$91,0),MATCH(Calculation!$G500,'Gen. Plant Additions'!$F$5:$AE$5,0))</f>
        <v>15241</v>
      </c>
      <c r="BM500" s="231">
        <f t="shared" si="890"/>
        <v>0.96389242840303702</v>
      </c>
      <c r="BN500" s="61">
        <f t="shared" si="929"/>
        <v>14690.684501290687</v>
      </c>
      <c r="BO500" s="113">
        <f>INDEX('Dist Plant Depreciation'!$E$7:$AD$94,MATCH($C500,'Dist Plant Depreciation'!$D$7:$D$94,0),MATCH(Calculation!$G500,'Dist Plant Depreciation'!$E$5:$AD$5,0))</f>
        <v>674286</v>
      </c>
      <c r="BP500" s="113">
        <f>INDEX('Gen. Plant Depreciation'!$E$7:$AD$94,MATCH($C500,'Gen. Plant Depreciation'!$D$7:$D$94,0),MATCH(Calculation!$G500,'Gen. Plant Depreciation'!$E$5:$AD$5,0))</f>
        <v>24961</v>
      </c>
      <c r="BQ500" s="113"/>
      <c r="BR500" s="113"/>
      <c r="BS500" s="113"/>
      <c r="BT500" s="113"/>
      <c r="BU500" s="113"/>
      <c r="BV500" s="113"/>
      <c r="BW500" s="113">
        <f>INDEX('Gross Dx Plant'!$E$7:$AD$91,MATCH($C500,'Gross Dx Plant'!$D$7:$D$91,0),MATCH(Calculation!$G500,'Gross Dx Plant'!$E$5:$AD$5,0))</f>
        <v>2341981</v>
      </c>
      <c r="BX500" s="113">
        <f>INDEX('Gross Gen Plant'!$E$7:$AD$91,MATCH($C500,'Gross Gen Plant'!$D$7:$D$91,0),MATCH(Calculation!$G500,'Gross Gen Plant'!$E$5:$AD$5,0))</f>
        <v>87731</v>
      </c>
      <c r="BY500" s="113">
        <f t="shared" si="885"/>
        <v>1730465</v>
      </c>
      <c r="BZ500" s="113"/>
      <c r="CA500" s="116">
        <v>2020</v>
      </c>
      <c r="CB500" s="113"/>
      <c r="CC500" s="113"/>
      <c r="CD500" s="113"/>
      <c r="CE500" s="175"/>
      <c r="CF500" s="113">
        <f t="shared" si="892"/>
        <v>165262</v>
      </c>
      <c r="CG500" s="113">
        <f t="shared" si="893"/>
        <v>203.25425170899723</v>
      </c>
      <c r="CH500" s="178">
        <v>0.84057971014492749</v>
      </c>
      <c r="CI500" s="61">
        <f>CI478*CH500+CG479*CH499+CG480*CH498+CG481*CH497+CG482*CH496+CG483*CH495+CG484*CH494+CG485*CH493+CG486*CH492+CG487*CH491+CG488*CH490+CG489*CH489+CG490*CH488+CG491*CH487+CG492*CH486+CG493*CH485+CG494*CH484+CG495*CH483+CG496*CH482+CG497*CH481+CG498*CH480+CG499*CH479+CG500</f>
        <v>5056.2661952734425</v>
      </c>
      <c r="CJ500" s="114">
        <f t="shared" si="894"/>
        <v>3.1791690266330615E-2</v>
      </c>
      <c r="CK500" s="114"/>
      <c r="CL500" s="169">
        <f t="shared" si="895"/>
        <v>9.1945522878419273E-3</v>
      </c>
      <c r="CM500" s="169">
        <f t="shared" si="903"/>
        <v>8.9162764938769175E-3</v>
      </c>
      <c r="CN500" s="114">
        <f>VLOOKUP($H500,RoR!$E:$F,2,FALSE)</f>
        <v>2.4766666666666666E-2</v>
      </c>
      <c r="CO500" s="169">
        <v>1.1618796630994188E-2</v>
      </c>
      <c r="CP500" s="169">
        <f t="shared" si="901"/>
        <v>1.3147870035672478E-2</v>
      </c>
      <c r="CQ500" s="169">
        <f t="shared" si="904"/>
        <v>2.1985665114656709E-2</v>
      </c>
      <c r="CR500" s="169">
        <f t="shared" si="905"/>
        <v>4.5144642961987357E-2</v>
      </c>
      <c r="CS500" s="179">
        <f t="shared" si="896"/>
        <v>0.92230000000000001</v>
      </c>
      <c r="CT500" s="180">
        <f t="shared" si="897"/>
        <v>2.0706077233668081</v>
      </c>
      <c r="CU500" s="180">
        <f t="shared" si="898"/>
        <v>-3.4421265141318998E-2</v>
      </c>
      <c r="CV500" s="180">
        <f t="shared" si="899"/>
        <v>0.62416226176410472</v>
      </c>
      <c r="CW500" s="180">
        <f t="shared" si="900"/>
        <v>-4.4485877841158712E-2</v>
      </c>
      <c r="CX500" s="181">
        <f>INDEX('State Tax Lookup'!$D$7:$Z$91,MATCH(Calculation!$C500,'State Tax Lookup'!$B$7:$B$91,0),MATCH($H500,'State Tax Lookup'!$D$6:$Z$6,0))</f>
        <v>0.20999999999999996</v>
      </c>
      <c r="CY500" s="72">
        <v>0.37</v>
      </c>
      <c r="CZ500" s="70">
        <f t="shared" si="902"/>
        <v>20.817085638869401</v>
      </c>
      <c r="DA500" s="70">
        <v>19.952659173050833</v>
      </c>
      <c r="DB500" s="69">
        <f t="shared" si="906"/>
        <v>3.7191553052412535E-2</v>
      </c>
      <c r="DC500" s="111">
        <f>VLOOKUP($H500,RoR!$E:$F,2,FALSE)</f>
        <v>2.4766666666666666E-2</v>
      </c>
      <c r="DD500" s="216">
        <f>HLOOKUP($H500,'GDP-PI'!$D$8:$CQ$11,3,FALSE)</f>
        <v>1.1618796630994188E-2</v>
      </c>
      <c r="DE500" s="111">
        <f>VLOOKUP(H500,'HW Dx Data'!$E:$F,2,FALSE)</f>
        <v>813.080162458833</v>
      </c>
      <c r="DF500" s="72">
        <f t="shared" si="916"/>
        <v>153.15</v>
      </c>
      <c r="DG500" s="69">
        <f t="shared" si="917"/>
        <v>2.2951556467368479E-2</v>
      </c>
      <c r="DH500" s="66">
        <f>HLOOKUP(H500,'GDP-PI'!$8:$9,2,FALSE)</f>
        <v>113.623</v>
      </c>
      <c r="DI500" s="69">
        <f t="shared" si="907"/>
        <v>1.1551816731392881E-2</v>
      </c>
      <c r="EB500"/>
    </row>
    <row r="501" spans="1:132" s="160" customFormat="1" ht="21">
      <c r="A501" s="160" t="s">
        <v>189</v>
      </c>
      <c r="B501" s="160" t="s">
        <v>189</v>
      </c>
      <c r="C501" s="160">
        <v>4057079</v>
      </c>
      <c r="D501" s="160" t="s">
        <v>177</v>
      </c>
      <c r="G501" s="161" t="s">
        <v>142</v>
      </c>
      <c r="H501" s="162">
        <v>2021</v>
      </c>
      <c r="I501" s="163"/>
      <c r="J501" s="159">
        <v>35560.634030984511</v>
      </c>
      <c r="K501" s="159">
        <f t="shared" si="908"/>
        <v>226.14075695379657</v>
      </c>
      <c r="L501" s="164">
        <f t="shared" si="914"/>
        <v>0.18001994156004317</v>
      </c>
      <c r="M501" s="76">
        <f t="shared" si="918"/>
        <v>2.6806460472407765E-3</v>
      </c>
      <c r="N501" s="166">
        <f>+N500*EXP(O501)</f>
        <v>119.23908609721937</v>
      </c>
      <c r="O501" s="114">
        <f t="shared" si="919"/>
        <v>3.7173139075933288E-2</v>
      </c>
      <c r="P501" s="114"/>
      <c r="Q501" s="159">
        <v>50127.64074247214</v>
      </c>
      <c r="R501" s="159">
        <f t="shared" si="909"/>
        <v>423.05376607707097</v>
      </c>
      <c r="S501" s="165">
        <f t="shared" si="920"/>
        <v>0.13751743923919105</v>
      </c>
      <c r="T501" s="165">
        <f t="shared" si="921"/>
        <v>2.0477485812329175E-3</v>
      </c>
      <c r="U501" s="165"/>
      <c r="V501" s="165"/>
      <c r="W501" s="159">
        <f t="shared" si="889"/>
        <v>142474.31503650802</v>
      </c>
      <c r="X501" s="163"/>
      <c r="Y501" s="167">
        <v>5306.9016738616492</v>
      </c>
      <c r="Z501" s="168"/>
      <c r="AA501" s="76">
        <f t="shared" si="910"/>
        <v>0</v>
      </c>
      <c r="AB501" s="168"/>
      <c r="AC501" s="168"/>
      <c r="AD501" s="163">
        <f t="shared" si="928"/>
        <v>228162.58980996467</v>
      </c>
      <c r="AE501" s="168">
        <f t="shared" si="922"/>
        <v>0.27801896789869474</v>
      </c>
      <c r="AF501" s="113"/>
      <c r="AG501" s="114"/>
      <c r="AH501" s="114"/>
      <c r="AI501" s="114"/>
      <c r="AJ501" s="116">
        <f t="shared" si="923"/>
        <v>514.91998431507955</v>
      </c>
      <c r="AK501" s="114">
        <f>+AV501/$AX$26</f>
        <v>1.1477486321154747E-2</v>
      </c>
      <c r="AL501" s="115">
        <f t="shared" si="911"/>
        <v>0.15585654975516697</v>
      </c>
      <c r="AM501" s="115">
        <f t="shared" si="912"/>
        <v>0.21970140146210282</v>
      </c>
      <c r="AN501" s="115">
        <f t="shared" si="913"/>
        <v>0.62444204878273024</v>
      </c>
      <c r="AO501" s="115">
        <f t="shared" si="915"/>
        <v>6.0875753928930687E-2</v>
      </c>
      <c r="AP501" s="166">
        <f t="shared" si="926"/>
        <v>111.68226251527601</v>
      </c>
      <c r="AQ501" s="168">
        <f t="shared" si="927"/>
        <v>6.0875753928930763E-2</v>
      </c>
      <c r="AR501" s="69">
        <f>+AD501/$AF$26</f>
        <v>1.4890828338296531E-2</v>
      </c>
      <c r="AS501" s="169">
        <f t="shared" si="925"/>
        <v>9.0649040172008865E-4</v>
      </c>
      <c r="AT501" s="115"/>
      <c r="AU501" s="115"/>
      <c r="AV501" s="113">
        <f>INDEX('Total Customers'!$E$7:$E$91,MATCH(Calculation!$C501,'Total Customers'!$D$7:$D$91,0))</f>
        <v>443103</v>
      </c>
      <c r="AW501" s="68">
        <f t="shared" si="844"/>
        <v>8.5354763249572748E-3</v>
      </c>
      <c r="AX501" s="113"/>
      <c r="AY501" s="113"/>
      <c r="AZ501" s="116"/>
      <c r="BA501" s="116"/>
      <c r="BB501" s="166"/>
      <c r="BC501" s="166"/>
      <c r="BD501" s="166"/>
      <c r="BE501" s="166"/>
      <c r="BF501" s="166"/>
      <c r="BG501" s="166"/>
      <c r="BH501" s="166"/>
      <c r="BI501" s="113"/>
      <c r="BJ501" s="113"/>
      <c r="BK501" s="113">
        <f>INDEX('Dist. Plant Gas Additions'!$E$7:$AE$91,MATCH($C501,'Dist. Plant Gas Additions'!$D$7:$D$91,0),MATCH(Calculation!$G501,'Dist. Plant Gas Additions'!$E$5:$AE$5,0))</f>
        <v>217785</v>
      </c>
      <c r="BL501" s="113">
        <f>INDEX('Gen. Plant Additions'!$E$7:$AE$91,MATCH($C501,'Gen. Plant Additions'!$D$7:$D$91,0),MATCH(Calculation!$G501,'Gen. Plant Additions'!$E$5:$AE$5,0))</f>
        <v>699</v>
      </c>
      <c r="BM501" s="232">
        <v>0.96389242840303702</v>
      </c>
      <c r="BN501" s="61">
        <f t="shared" si="929"/>
        <v>673.76080745372292</v>
      </c>
      <c r="BO501" s="113"/>
      <c r="BP501" s="113"/>
      <c r="BQ501" s="175"/>
      <c r="BR501" s="175"/>
      <c r="BS501" s="170"/>
      <c r="BT501" s="176"/>
      <c r="BU501" s="177"/>
      <c r="BV501" s="177"/>
      <c r="BW501" s="113"/>
      <c r="BX501" s="113"/>
      <c r="BY501" s="113"/>
      <c r="BZ501" s="113"/>
      <c r="CA501" s="116">
        <v>2021</v>
      </c>
      <c r="CB501" s="113"/>
      <c r="CC501" s="113"/>
      <c r="CD501" s="113"/>
      <c r="CE501" s="175"/>
      <c r="CF501" s="113">
        <f t="shared" si="892"/>
        <v>218484</v>
      </c>
      <c r="CG501" s="113">
        <f t="shared" si="893"/>
        <v>234.1679864991907</v>
      </c>
      <c r="CH501" s="178">
        <f>+(51-23)/(51-23*0.75)</f>
        <v>0.82962962962962961</v>
      </c>
      <c r="CI501" s="113">
        <f>CI478*CH501+CG479*CH500+CG480*CH499+CG481*CH498+CG482*CH497+CG483*CH496+CG484*CH495+CG485*CH494+CG486*CH493+CG487*CH492+CG488*CH491+CG489*CH490+CG490*CH489+CG491*CH488+CG492*CH487+CG483*CH486+CG494*CH485+CG495*CH484+CG496*CH483+CG497*CH482+CG498*CH481+CG499*CH480+CG501+CG500*CH479</f>
        <v>5306.9016738616492</v>
      </c>
      <c r="CJ501" s="114"/>
      <c r="CK501" s="113"/>
      <c r="CL501" s="169">
        <f t="shared" si="895"/>
        <v>-3.2568483250367095E-3</v>
      </c>
      <c r="CM501" s="169">
        <f t="shared" si="903"/>
        <v>4.9538804307930782E-3</v>
      </c>
      <c r="CN501" s="114">
        <f>VLOOKUP($H501,RoR!$E:$F,2,FALSE)</f>
        <v>2.7033333333333336E-2</v>
      </c>
      <c r="CO501" s="169"/>
      <c r="CP501" s="169"/>
      <c r="CQ501" s="169">
        <f t="shared" si="904"/>
        <v>2.5948061177740546E-2</v>
      </c>
      <c r="CR501" s="169">
        <f t="shared" si="905"/>
        <v>7.433422950153494E-2</v>
      </c>
      <c r="CS501" s="179">
        <f t="shared" si="896"/>
        <v>0.92230000000000001</v>
      </c>
      <c r="CT501" s="180">
        <f t="shared" si="897"/>
        <v>1.8969932656739068</v>
      </c>
      <c r="CU501" s="180">
        <f t="shared" si="898"/>
        <v>5.0215782983970621E-2</v>
      </c>
      <c r="CV501" s="180">
        <f t="shared" si="899"/>
        <v>0.655952481704143</v>
      </c>
      <c r="CW501" s="180">
        <f t="shared" si="900"/>
        <v>6.2485378865697057E-2</v>
      </c>
      <c r="CX501" s="181">
        <f>CX500</f>
        <v>0.20999999999999996</v>
      </c>
      <c r="CY501" s="72">
        <v>0.37</v>
      </c>
      <c r="CZ501" s="182">
        <f t="shared" si="902"/>
        <v>28.177771805149792</v>
      </c>
      <c r="DA501" s="182"/>
      <c r="DB501" s="169">
        <f t="shared" si="906"/>
        <v>0.30275935879639804</v>
      </c>
      <c r="DC501" s="181">
        <f>VLOOKUP($H501,RoR!$E:$F,2,FALSE)</f>
        <v>2.7033333333333336E-2</v>
      </c>
      <c r="DD501" s="183">
        <f>HLOOKUP($H501,'GDP-PI'!$D$8:$CR$11,3,FALSE)</f>
        <v>4.2834637353352578E-2</v>
      </c>
      <c r="DE501" s="181">
        <f>VLOOKUP(H501,'HW Dx Data'!$E:$F,2,FALSE)</f>
        <v>933.02249921662576</v>
      </c>
      <c r="DF501" s="72">
        <f t="shared" si="916"/>
        <v>157.25</v>
      </c>
      <c r="DG501" s="69">
        <f t="shared" si="917"/>
        <v>2.6419062301765574E-2</v>
      </c>
      <c r="DH501" s="175">
        <f>HLOOKUP(H501,'GDP-PI'!$8:$9,2,FALSE)</f>
        <v>118.49</v>
      </c>
      <c r="DI501" s="169">
        <f t="shared" si="907"/>
        <v>4.194261824609434E-2</v>
      </c>
      <c r="EB501"/>
    </row>
    <row r="502" spans="1:132" s="160" customFormat="1" ht="21">
      <c r="G502" s="161" t="s">
        <v>144</v>
      </c>
      <c r="H502" s="162"/>
      <c r="I502" s="163"/>
      <c r="J502" s="159">
        <v>53033.626150710217</v>
      </c>
      <c r="K502" s="159">
        <f t="shared" si="908"/>
        <v>326.26038850021661</v>
      </c>
      <c r="L502" s="164">
        <f t="shared" ref="L502" si="930">LN(K502/K501)</f>
        <v>0.36653817649516746</v>
      </c>
      <c r="M502" s="76">
        <f t="shared" si="918"/>
        <v>5.9931154352249674E-3</v>
      </c>
      <c r="N502" s="166">
        <f>+N501*EXP(O502)</f>
        <v>119.27319842419074</v>
      </c>
      <c r="O502" s="114">
        <f t="shared" si="919"/>
        <v>2.8604251787201618E-4</v>
      </c>
      <c r="P502" s="114"/>
      <c r="Q502" s="163">
        <v>74758.244091965011</v>
      </c>
      <c r="R502" s="159">
        <f t="shared" si="909"/>
        <v>587.49111270699416</v>
      </c>
      <c r="S502" s="165">
        <f t="shared" ref="S502" si="931">LN(R502/R501)</f>
        <v>0.32836184106254857</v>
      </c>
      <c r="T502" s="165">
        <f t="shared" si="921"/>
        <v>5.3689098276964685E-3</v>
      </c>
      <c r="U502" s="166"/>
      <c r="V502" s="114"/>
      <c r="W502" s="159">
        <f t="shared" si="889"/>
        <v>137826.64452619632</v>
      </c>
      <c r="X502" s="168"/>
      <c r="Y502" s="167">
        <v>5403.529922209269</v>
      </c>
      <c r="Z502" s="168">
        <v>1.8044253263456132E-2</v>
      </c>
      <c r="AA502" s="76">
        <f t="shared" si="910"/>
        <v>2.9503418657334099E-4</v>
      </c>
      <c r="AB502" s="166"/>
      <c r="AC502" s="114"/>
      <c r="AD502" s="163">
        <f t="shared" si="928"/>
        <v>265618.51476887154</v>
      </c>
      <c r="AE502" s="168">
        <f t="shared" si="922"/>
        <v>0.15200263638121658</v>
      </c>
      <c r="AF502" s="113"/>
      <c r="AG502" s="114"/>
      <c r="AH502" s="114"/>
      <c r="AI502" s="114"/>
      <c r="AJ502" s="116">
        <f t="shared" si="923"/>
        <v>587.38258091730461</v>
      </c>
      <c r="AK502" s="114"/>
      <c r="AL502" s="115">
        <f t="shared" si="911"/>
        <v>0.19966087905000723</v>
      </c>
      <c r="AM502" s="115">
        <f t="shared" si="912"/>
        <v>0.28144967287772105</v>
      </c>
      <c r="AN502" s="115">
        <f t="shared" si="913"/>
        <v>0.51888944807227178</v>
      </c>
      <c r="AO502" s="115"/>
      <c r="AP502" s="166"/>
      <c r="AQ502" s="168"/>
      <c r="AR502" s="69">
        <f>+AD502/$AF$27</f>
        <v>1.6350589978187394E-2</v>
      </c>
      <c r="AS502" s="169"/>
      <c r="AT502" s="166"/>
      <c r="AU502" s="168"/>
      <c r="AV502" s="113">
        <v>452207</v>
      </c>
      <c r="AW502" s="68">
        <f t="shared" si="844"/>
        <v>2.033779093698999E-2</v>
      </c>
      <c r="AX502" s="113"/>
      <c r="AY502" s="113"/>
      <c r="AZ502" s="113"/>
      <c r="BA502" s="113"/>
      <c r="BB502" s="171"/>
      <c r="BC502" s="172"/>
      <c r="BD502" s="173"/>
      <c r="BE502" s="115"/>
      <c r="BF502" s="174"/>
      <c r="BG502" s="174"/>
      <c r="BH502" s="166"/>
      <c r="BI502" s="113"/>
      <c r="BJ502" s="113"/>
      <c r="BK502" s="113"/>
      <c r="BL502" s="113"/>
      <c r="BM502" s="232">
        <v>0.96389242840303702</v>
      </c>
      <c r="BN502" s="61">
        <f t="shared" si="929"/>
        <v>0</v>
      </c>
      <c r="BO502" s="113"/>
      <c r="BP502" s="113"/>
      <c r="BQ502" s="175"/>
      <c r="BR502" s="175"/>
      <c r="BS502" s="170"/>
      <c r="BT502" s="176"/>
      <c r="BU502" s="177"/>
      <c r="BV502" s="177"/>
      <c r="BW502" s="113"/>
      <c r="BX502" s="113"/>
      <c r="BY502" s="113"/>
      <c r="BZ502" s="113"/>
      <c r="CA502" s="116">
        <v>2022</v>
      </c>
      <c r="CB502" s="113"/>
      <c r="CC502" s="113"/>
      <c r="CD502" s="113"/>
      <c r="CE502" s="175"/>
      <c r="CF502" s="238">
        <v>392296</v>
      </c>
      <c r="CG502" s="113">
        <f>+CF502/DE502</f>
        <v>380.57061922177706</v>
      </c>
      <c r="CH502" s="178">
        <f>+(51-24)/(51-24*0.75)</f>
        <v>0.81818181818181823</v>
      </c>
      <c r="CI502" s="113">
        <f>+CI478*CH502+CG479*CH501+CG480*CH500+CG481*CH499+CG482*CH498+CG483*CH497+CG484*CH496+CG485*CH495+CG486*CH494+CG487*CH493+CG488*CH492+CG489*CH491+CG490*CH490+CG491*CH489+CG492*CH488+CG493*CH487+CG494*CH486+CG495*CH485+CG496*CH484+CG497*CH483+CG498*CH482+CG499*CH481+CG500*CH480+CG501*CH479+CG502*CH478</f>
        <v>5572.1468351224148</v>
      </c>
      <c r="CJ502" s="114">
        <f t="shared" ref="CJ502" si="932">LN(CI502/CI501)</f>
        <v>4.8772231846513185E-2</v>
      </c>
      <c r="CK502" s="113"/>
      <c r="CL502" s="169">
        <f t="shared" si="895"/>
        <v>2.1731221915987208E-2</v>
      </c>
      <c r="CM502" s="169">
        <f t="shared" si="903"/>
        <v>9.2229752929308077E-3</v>
      </c>
      <c r="CN502" s="114"/>
      <c r="CO502" s="169"/>
      <c r="CP502" s="169"/>
      <c r="CQ502" s="69">
        <f t="shared" si="904"/>
        <v>2.1678966315602816E-2</v>
      </c>
      <c r="CR502" s="169">
        <f t="shared" si="905"/>
        <v>0.10114668178709289</v>
      </c>
      <c r="CS502" s="179">
        <f t="shared" si="896"/>
        <v>0.92230000000000001</v>
      </c>
      <c r="CT502" s="180"/>
      <c r="CU502" s="180"/>
      <c r="CV502" s="180"/>
      <c r="CW502" s="180"/>
      <c r="CX502" s="181">
        <f>CX501</f>
        <v>0.20999999999999996</v>
      </c>
      <c r="CY502" s="72">
        <v>0.37</v>
      </c>
      <c r="CZ502" s="182">
        <f t="shared" si="902"/>
        <v>25.971207494768716</v>
      </c>
      <c r="DA502" s="182"/>
      <c r="DB502" s="169">
        <f t="shared" si="906"/>
        <v>-8.1544912915278767E-2</v>
      </c>
      <c r="DC502" s="181">
        <v>0.04</v>
      </c>
      <c r="DD502" s="183">
        <v>7.0000000000000001E-3</v>
      </c>
      <c r="DE502" s="181">
        <v>1030.81</v>
      </c>
      <c r="DF502" s="72">
        <f t="shared" si="916"/>
        <v>162.55000000000001</v>
      </c>
      <c r="DG502" s="169">
        <f t="shared" si="917"/>
        <v>3.3148751169364422E-2</v>
      </c>
      <c r="DH502" s="175">
        <v>127.25</v>
      </c>
      <c r="DI502" s="169">
        <f t="shared" si="907"/>
        <v>7.1325086601983473E-2</v>
      </c>
      <c r="EB502"/>
    </row>
    <row r="503" spans="1:132" s="160" customFormat="1" ht="21">
      <c r="A503" s="160" t="s">
        <v>190</v>
      </c>
      <c r="B503" s="161" t="s">
        <v>190</v>
      </c>
      <c r="C503" s="161">
        <v>4057090</v>
      </c>
      <c r="D503" s="161" t="s">
        <v>187</v>
      </c>
      <c r="E503" s="161"/>
      <c r="F503" s="161"/>
      <c r="G503" s="161" t="s">
        <v>100</v>
      </c>
      <c r="H503" s="162">
        <v>1998</v>
      </c>
      <c r="I503" s="163"/>
      <c r="J503" s="159"/>
      <c r="K503" s="159"/>
      <c r="L503" s="159"/>
      <c r="M503" s="60"/>
      <c r="N503" s="131"/>
      <c r="O503" s="76"/>
      <c r="P503" s="76"/>
      <c r="Q503" s="159"/>
      <c r="R503" s="159"/>
      <c r="S503" s="159"/>
      <c r="T503" s="159"/>
      <c r="U503" s="159"/>
      <c r="V503" s="159"/>
      <c r="W503" s="159"/>
      <c r="X503" s="163"/>
      <c r="Y503" s="167">
        <v>937.74304167361345</v>
      </c>
      <c r="Z503" s="168"/>
      <c r="AA503" s="78"/>
      <c r="AB503" s="168"/>
      <c r="AC503" s="168"/>
      <c r="AD503" s="163">
        <f t="shared" si="928"/>
        <v>0</v>
      </c>
      <c r="AE503" s="163"/>
      <c r="AF503" s="163"/>
      <c r="AG503" s="114"/>
      <c r="AH503" s="114"/>
      <c r="AI503" s="114"/>
      <c r="AJ503" s="166">
        <f>+(AJ500+AJ501+AJ502)/3</f>
        <v>498.52833457501703</v>
      </c>
      <c r="AK503" s="168"/>
      <c r="AL503" s="115"/>
      <c r="AM503" s="115"/>
      <c r="AN503" s="115"/>
      <c r="AO503" s="115"/>
      <c r="AP503" s="115"/>
      <c r="AQ503" s="168">
        <f>AVERAGE(AQ512:AQ526)</f>
        <v>2.6606917046379609E-2</v>
      </c>
      <c r="AR503" s="79"/>
      <c r="AS503" s="115"/>
      <c r="AT503" s="115"/>
      <c r="AU503" s="115"/>
      <c r="AV503" s="113">
        <f>IFERROR(INDEX('Total Customers'!$F$7:$AB$91,MATCH($C503,'Total Customers'!$D$7:$D$91,0),MATCH($G503,'Total Customers'!$F$5:$AB$5,0)),"NA")</f>
        <v>286879</v>
      </c>
      <c r="AW503" s="68"/>
      <c r="AX503" s="114"/>
      <c r="AY503" s="114"/>
      <c r="AZ503" s="116"/>
      <c r="BA503" s="116"/>
      <c r="BB503" s="166"/>
      <c r="BC503" s="166"/>
      <c r="BD503" s="166"/>
      <c r="BE503" s="166"/>
      <c r="BF503" s="166"/>
      <c r="BG503" s="166"/>
      <c r="BH503" s="166"/>
      <c r="BI503" s="113">
        <f>INDEX('Gross Dx Plant'!$E$7:$AD$91,MATCH($C503,'Gross Dx Plant'!$D$7:$D$91,0),MATCH(Calculation!$G503,'Gross Dx Plant'!$E$5:$AD$5,0))</f>
        <v>273974</v>
      </c>
      <c r="BJ503" s="113">
        <f>INDEX('Gross Gen Plant'!$E$7:$AD$91,MATCH($C503,'Gross Gen Plant'!$D$7:$D$91,0),MATCH(Calculation!$G503,'Gross Gen Plant'!$E$5:$AD$5,0))</f>
        <v>10092</v>
      </c>
      <c r="BK503" s="113">
        <f>INDEX('Dist. Plant Gas Additions'!$F$7:$AE$91,MATCH($C503,'Dist. Plant Gas Additions'!$D$7:$D$91,0),MATCH(Calculation!$G503,'Dist. Plant Gas Additions'!$F$5:$AE$5,0))</f>
        <v>6220</v>
      </c>
      <c r="BL503" s="113">
        <f>INDEX('Gen. Plant Additions'!$F$7:$AE$91,MATCH($C503,'Gen. Plant Additions'!$D$7:$D$91,0),MATCH(Calculation!$G503,'Gen. Plant Additions'!$F$5:$AE$5,0))</f>
        <v>607</v>
      </c>
      <c r="BM503" s="231">
        <f>+(BW503/(BW503+BX503))</f>
        <v>0.96447304499658526</v>
      </c>
      <c r="BN503" s="61">
        <f t="shared" si="929"/>
        <v>585.43513831292728</v>
      </c>
      <c r="BO503" s="113">
        <f>INDEX('Dist Plant Depreciation'!$E$7:$AD$94,MATCH($C503,'Dist Plant Depreciation'!$D$7:$D$94,0),MATCH(Calculation!$G503,'Dist Plant Depreciation'!$E$5:$AD$5,0))</f>
        <v>88978</v>
      </c>
      <c r="BP503" s="113">
        <f>INDEX('Gen. Plant Depreciation'!$E$7:$AD$94,MATCH($C503,'Gen. Plant Depreciation'!$D$7:$D$94,0),MATCH(Calculation!$G503,'Gen. Plant Depreciation'!$E$5:$AD$5,0))</f>
        <v>5927</v>
      </c>
      <c r="BQ503" s="113"/>
      <c r="BR503" s="113"/>
      <c r="BS503" s="113"/>
      <c r="BT503" s="113"/>
      <c r="BU503" s="113"/>
      <c r="BV503" s="113"/>
      <c r="BW503" s="113">
        <f>INDEX('Gross Dx Plant'!$E$7:$AD$91,MATCH($C503,'Gross Dx Plant'!$D$7:$D$91,0),MATCH(Calculation!$G503,'Gross Dx Plant'!$E$5:$AD$5,0))</f>
        <v>273974</v>
      </c>
      <c r="BX503" s="113">
        <f>INDEX('Gross Gen Plant'!$E$7:$AD$91,MATCH($C503,'Gross Gen Plant'!$D$7:$D$91,0),MATCH(Calculation!$G503,'Gross Gen Plant'!$E$5:$AD$5,0))</f>
        <v>10092</v>
      </c>
      <c r="BY503" s="113">
        <f t="shared" si="885"/>
        <v>189161</v>
      </c>
      <c r="BZ503" s="113"/>
      <c r="CA503" s="116">
        <v>1998</v>
      </c>
      <c r="CB503" s="113">
        <f>BI503+BJ503</f>
        <v>284066</v>
      </c>
      <c r="CC503" s="113">
        <f>88978+5927</f>
        <v>94905</v>
      </c>
      <c r="CD503" s="113">
        <f>+CB503-CC503</f>
        <v>189161</v>
      </c>
      <c r="CE503" s="113">
        <f>CD503/$BV$3</f>
        <v>937.74304167361345</v>
      </c>
      <c r="CF503" s="175"/>
      <c r="CG503" s="175"/>
      <c r="CH503" s="178">
        <v>1</v>
      </c>
      <c r="CI503" s="113">
        <f>+CE503</f>
        <v>937.74304167361345</v>
      </c>
      <c r="CJ503" s="114"/>
      <c r="CK503" s="114"/>
      <c r="CL503" s="169"/>
      <c r="CM503" s="169"/>
      <c r="CN503" s="114" t="e">
        <f>VLOOKUP($H503,RoR!$E:$F,2,FALSE)</f>
        <v>#N/A</v>
      </c>
      <c r="CO503" s="169">
        <v>1.1028127770464469E-2</v>
      </c>
      <c r="CP503" s="169"/>
      <c r="CQ503" s="169"/>
      <c r="CR503" s="169"/>
      <c r="CS503" s="179"/>
      <c r="CT503" s="182" t="e">
        <f>2/(DC503*39)</f>
        <v>#N/A</v>
      </c>
      <c r="CU503" s="180" t="e">
        <f>+(DC503*40-(1+DC503))/(DC503*40)</f>
        <v>#N/A</v>
      </c>
      <c r="CV503" s="180" t="e">
        <f>+(1-(1/(1+DC503)^40))</f>
        <v>#N/A</v>
      </c>
      <c r="CW503" s="180" t="e">
        <f>+CV503*CU503*CT503</f>
        <v>#N/A</v>
      </c>
      <c r="CX503" s="181">
        <f>INDEX('State Tax Lookup'!$D$7:$Z$91,MATCH(Calculation!$C503,'State Tax Lookup'!$B$7:$B$91,0),MATCH($H503,'State Tax Lookup'!$D$6:$Z$6,0))</f>
        <v>0.39279166999999998</v>
      </c>
      <c r="CY503" s="72">
        <v>0.37</v>
      </c>
      <c r="CZ503" s="66"/>
      <c r="DA503" s="66"/>
      <c r="DB503" s="69"/>
      <c r="DC503" s="111" t="e">
        <f>VLOOKUP($H503,RoR!$E:$F,2,FALSE)</f>
        <v>#N/A</v>
      </c>
      <c r="DD503" s="216">
        <f>HLOOKUP($H503,'GDP-PI'!$D$8:$CQ$11,3,FALSE)</f>
        <v>1.1028127770464469E-2</v>
      </c>
      <c r="DE503" s="111">
        <f>VLOOKUP(H503,'HW Dx Data'!$E:$F,2,FALSE)</f>
        <v>329.24564746449528</v>
      </c>
      <c r="DF503" s="72" t="e">
        <f t="shared" si="916"/>
        <v>#N/A</v>
      </c>
      <c r="DG503" s="169" t="e">
        <f t="shared" si="917"/>
        <v>#N/A</v>
      </c>
      <c r="DH503" s="66">
        <f>HLOOKUP(H503,'GDP-PI'!$8:$9,2,FALSE)</f>
        <v>75.266999999999996</v>
      </c>
      <c r="DI503"/>
      <c r="EB503"/>
    </row>
    <row r="504" spans="1:132" s="160" customFormat="1" ht="21">
      <c r="A504" s="160" t="s">
        <v>190</v>
      </c>
      <c r="B504" s="161" t="s">
        <v>190</v>
      </c>
      <c r="C504" s="161">
        <v>4057090</v>
      </c>
      <c r="D504" s="161" t="s">
        <v>187</v>
      </c>
      <c r="E504" s="161"/>
      <c r="F504" s="161"/>
      <c r="G504" s="161" t="s">
        <v>106</v>
      </c>
      <c r="H504" s="162">
        <v>1999</v>
      </c>
      <c r="I504" s="163"/>
      <c r="J504" s="159"/>
      <c r="K504" s="159"/>
      <c r="L504" s="159"/>
      <c r="M504" s="60"/>
      <c r="N504" s="152"/>
      <c r="O504" s="60"/>
      <c r="P504" s="60"/>
      <c r="Q504" s="159"/>
      <c r="R504" s="159"/>
      <c r="S504" s="159"/>
      <c r="T504" s="187"/>
      <c r="U504" s="159"/>
      <c r="V504" s="159"/>
      <c r="W504" s="159">
        <f t="shared" ref="W504:W527" si="933">+CI503*CZ504</f>
        <v>0</v>
      </c>
      <c r="X504" s="163"/>
      <c r="Y504" s="167">
        <v>1017.4405870377833</v>
      </c>
      <c r="Z504" s="168">
        <v>8.1569555795880849E-2</v>
      </c>
      <c r="AA504" s="78"/>
      <c r="AB504" s="168"/>
      <c r="AC504" s="168"/>
      <c r="AD504" s="163">
        <f t="shared" si="928"/>
        <v>0</v>
      </c>
      <c r="AE504" s="168"/>
      <c r="AF504" s="163"/>
      <c r="AG504" s="114"/>
      <c r="AH504" s="114"/>
      <c r="AI504" s="114"/>
      <c r="AJ504" s="116"/>
      <c r="AK504" s="168"/>
      <c r="AL504" s="115"/>
      <c r="AM504" s="115"/>
      <c r="AN504" s="115"/>
      <c r="AO504" s="115"/>
      <c r="AP504" s="115"/>
      <c r="AQ504" s="168"/>
      <c r="AR504" s="79"/>
      <c r="AS504" s="115"/>
      <c r="AT504" s="115"/>
      <c r="AU504" s="115"/>
      <c r="AV504" s="113">
        <f>IFERROR(INDEX('Total Customers'!$F$7:$AB$91,MATCH($C504,'Total Customers'!$D$7:$D$91,0),MATCH($G504,'Total Customers'!$F$5:$AB$5,0)),"NA")</f>
        <v>293218</v>
      </c>
      <c r="AW504" s="68">
        <f t="shared" si="844"/>
        <v>2.1855835597000887E-2</v>
      </c>
      <c r="AX504" s="114"/>
      <c r="AY504" s="114"/>
      <c r="AZ504" s="116"/>
      <c r="BA504" s="116"/>
      <c r="BB504" s="166"/>
      <c r="BC504" s="166"/>
      <c r="BD504" s="166"/>
      <c r="BE504" s="166"/>
      <c r="BF504" s="166"/>
      <c r="BG504" s="166"/>
      <c r="BH504" s="166"/>
      <c r="BI504" s="113"/>
      <c r="BJ504" s="113"/>
      <c r="BK504" s="113">
        <f>INDEX('Dist. Plant Gas Additions'!$F$7:$AE$91,MATCH($C504,'Dist. Plant Gas Additions'!$D$7:$D$91,0),MATCH(Calculation!$G504,'Dist. Plant Gas Additions'!$F$5:$AE$5,0))</f>
        <v>26841</v>
      </c>
      <c r="BL504" s="113">
        <f>INDEX('Gen. Plant Additions'!$F$7:$AE$91,MATCH($C504,'Gen. Plant Additions'!$D$7:$D$91,0),MATCH(Calculation!$G504,'Gen. Plant Additions'!$F$5:$AE$5,0))</f>
        <v>1448</v>
      </c>
      <c r="BM504" s="231">
        <f t="shared" ref="BM504:BM525" si="934">+(BW504/(BW504+BX504))</f>
        <v>0.96552746271962686</v>
      </c>
      <c r="BN504" s="61">
        <f t="shared" si="929"/>
        <v>1398.0837660180198</v>
      </c>
      <c r="BO504" s="113">
        <f>INDEX('Dist Plant Depreciation'!$E$7:$AD$94,MATCH($C504,'Dist Plant Depreciation'!$D$7:$D$94,0),MATCH(Calculation!$G504,'Dist Plant Depreciation'!$E$5:$AD$5,0))</f>
        <v>91914</v>
      </c>
      <c r="BP504" s="113">
        <f>INDEX('Gen. Plant Depreciation'!$E$7:$AD$94,MATCH($C504,'Gen. Plant Depreciation'!$D$7:$D$94,0),MATCH(Calculation!$G504,'Gen. Plant Depreciation'!$E$5:$AD$5,0))</f>
        <v>6414</v>
      </c>
      <c r="BQ504" s="113"/>
      <c r="BR504" s="113"/>
      <c r="BS504" s="113"/>
      <c r="BT504" s="113"/>
      <c r="BU504" s="113"/>
      <c r="BV504" s="113"/>
      <c r="BW504" s="113">
        <f>INDEX('Gross Dx Plant'!$E$7:$AD$91,MATCH($C504,'Gross Dx Plant'!$D$7:$D$91,0),MATCH(Calculation!$G504,'Gross Dx Plant'!$E$5:$AD$5,0))</f>
        <v>296415</v>
      </c>
      <c r="BX504" s="113">
        <f>INDEX('Gross Gen Plant'!$E$7:$AD$91,MATCH($C504,'Gross Gen Plant'!$D$7:$D$91,0),MATCH(Calculation!$G504,'Gross Gen Plant'!$E$5:$AD$5,0))</f>
        <v>10583</v>
      </c>
      <c r="BY504" s="113">
        <f t="shared" si="885"/>
        <v>208670</v>
      </c>
      <c r="BZ504" s="113"/>
      <c r="CA504" s="116">
        <v>1999</v>
      </c>
      <c r="CB504" s="113"/>
      <c r="CC504" s="113"/>
      <c r="CD504" s="113"/>
      <c r="CE504" s="175"/>
      <c r="CF504" s="113">
        <f t="shared" ref="CF504:CF526" si="935">+BL504+BK504</f>
        <v>28289</v>
      </c>
      <c r="CG504" s="113">
        <f t="shared" ref="CG504:CG526" si="936">+CF504/$DE504</f>
        <v>84.362933631202722</v>
      </c>
      <c r="CH504" s="178">
        <v>0.99502487562189057</v>
      </c>
      <c r="CI504" s="61">
        <f>+CI503*CH504+CG504</f>
        <v>1017.4405870377833</v>
      </c>
      <c r="CJ504" s="114">
        <f t="shared" ref="CJ504:CJ525" si="937">LN(CI504/CI503)</f>
        <v>8.1569555795880849E-2</v>
      </c>
      <c r="CK504" s="114"/>
      <c r="CL504" s="169">
        <f t="shared" ref="CL504:CL527" si="938">+(CI503-CI504+CG504)/CI503</f>
        <v>4.9751243781094145E-3</v>
      </c>
      <c r="CM504" s="169"/>
      <c r="CN504" s="114">
        <f>VLOOKUP($H504,RoR!$E:$F,2,FALSE)</f>
        <v>7.0416666666666669E-2</v>
      </c>
      <c r="CO504" s="169">
        <v>1.4335631817396832E-2</v>
      </c>
      <c r="CP504" s="169">
        <f>+CN504-CO504</f>
        <v>5.6081034849269837E-2</v>
      </c>
      <c r="CQ504" s="169"/>
      <c r="CR504" s="169"/>
      <c r="CS504" s="179">
        <f t="shared" ref="CS504:CS527" si="939">1-CX504*CY504</f>
        <v>0.85466708209999998</v>
      </c>
      <c r="CT504" s="180">
        <f t="shared" ref="CT504:CT526" si="940">2/(DC504*39)</f>
        <v>0.72826581702321336</v>
      </c>
      <c r="CU504" s="180">
        <f t="shared" ref="CU504:CU526" si="941">+(DC504*40-(1+DC504))/(DC504*40)</f>
        <v>0.61997041420118348</v>
      </c>
      <c r="CV504" s="180">
        <f t="shared" ref="CV504:CV526" si="942">+(1-(1/(1+DC504)^40))</f>
        <v>0.93425155319585029</v>
      </c>
      <c r="CW504" s="180">
        <f t="shared" ref="CW504:CW526" si="943">+CV504*CU504*CT504</f>
        <v>0.42181762214141483</v>
      </c>
      <c r="CX504" s="181">
        <f>INDEX('State Tax Lookup'!$D$7:$Z$91,MATCH(Calculation!$C504,'State Tax Lookup'!$B$7:$B$91,0),MATCH($H504,'State Tax Lookup'!$D$6:$Z$6,0))</f>
        <v>0.39279166999999998</v>
      </c>
      <c r="CY504" s="72">
        <v>0.37</v>
      </c>
      <c r="CZ504" s="70"/>
      <c r="DA504" s="70"/>
      <c r="DB504" s="69"/>
      <c r="DC504" s="111">
        <f>VLOOKUP($H504,RoR!$E:$F,2,FALSE)</f>
        <v>7.0416666666666669E-2</v>
      </c>
      <c r="DD504" s="216">
        <f>HLOOKUP($H504,'GDP-PI'!$D$8:$CQ$11,3,FALSE)</f>
        <v>1.4335631817396832E-2</v>
      </c>
      <c r="DE504" s="111">
        <f>VLOOKUP(H504,'HW Dx Data'!$E:$F,2,FALSE)</f>
        <v>335.32499146683239</v>
      </c>
      <c r="DF504" s="66"/>
      <c r="DG504" s="69"/>
      <c r="DH504" s="66">
        <f>HLOOKUP(H504,'GDP-PI'!$8:$9,2,FALSE)</f>
        <v>76.346000000000004</v>
      </c>
      <c r="DI504"/>
      <c r="EB504"/>
    </row>
    <row r="505" spans="1:132" s="160" customFormat="1" ht="21">
      <c r="A505" s="160" t="s">
        <v>190</v>
      </c>
      <c r="B505" s="161" t="s">
        <v>190</v>
      </c>
      <c r="C505" s="161">
        <v>4057090</v>
      </c>
      <c r="D505" s="161" t="s">
        <v>187</v>
      </c>
      <c r="E505" s="161"/>
      <c r="F505" s="161"/>
      <c r="G505" s="161" t="s">
        <v>107</v>
      </c>
      <c r="H505" s="162">
        <v>2000</v>
      </c>
      <c r="I505" s="163"/>
      <c r="J505" s="159"/>
      <c r="K505" s="159"/>
      <c r="L505" s="159"/>
      <c r="M505" s="60"/>
      <c r="N505" s="152"/>
      <c r="O505" s="60"/>
      <c r="P505" s="60"/>
      <c r="Q505" s="159"/>
      <c r="R505" s="159"/>
      <c r="S505" s="159"/>
      <c r="T505" s="159"/>
      <c r="U505" s="159"/>
      <c r="V505" s="159"/>
      <c r="W505" s="159">
        <f t="shared" si="933"/>
        <v>0</v>
      </c>
      <c r="X505" s="163"/>
      <c r="Y505" s="167">
        <v>1080.6345777306126</v>
      </c>
      <c r="Z505" s="168">
        <v>6.0258195043966761E-2</v>
      </c>
      <c r="AA505" s="78"/>
      <c r="AB505" s="168"/>
      <c r="AC505" s="168"/>
      <c r="AD505" s="163">
        <f t="shared" si="928"/>
        <v>0</v>
      </c>
      <c r="AE505" s="168"/>
      <c r="AF505" s="163"/>
      <c r="AG505" s="163"/>
      <c r="AH505" s="163"/>
      <c r="AI505" s="163"/>
      <c r="AJ505" s="167"/>
      <c r="AK505" s="168"/>
      <c r="AL505" s="115"/>
      <c r="AM505" s="115"/>
      <c r="AN505" s="115"/>
      <c r="AO505" s="115"/>
      <c r="AP505" s="115"/>
      <c r="AQ505" s="168"/>
      <c r="AR505" s="79"/>
      <c r="AS505" s="115"/>
      <c r="AT505" s="115"/>
      <c r="AU505" s="115"/>
      <c r="AV505" s="113">
        <f>IFERROR(INDEX('Total Customers'!$F$7:$AB$91,MATCH($C505,'Total Customers'!$D$7:$D$91,0),MATCH($G505,'Total Customers'!$F$5:$AB$5,0)),"NA")</f>
        <v>297754</v>
      </c>
      <c r="AW505" s="68">
        <f t="shared" si="844"/>
        <v>1.5351282564450975E-2</v>
      </c>
      <c r="AX505" s="114"/>
      <c r="AY505" s="114"/>
      <c r="AZ505" s="116"/>
      <c r="BA505" s="116"/>
      <c r="BB505" s="166"/>
      <c r="BC505" s="166"/>
      <c r="BD505" s="166"/>
      <c r="BE505" s="166"/>
      <c r="BF505" s="166"/>
      <c r="BG505" s="166"/>
      <c r="BH505" s="166"/>
      <c r="BI505" s="113"/>
      <c r="BJ505" s="113"/>
      <c r="BK505" s="113">
        <f>INDEX('Dist. Plant Gas Additions'!$F$7:$AE$91,MATCH($C505,'Dist. Plant Gas Additions'!$D$7:$D$91,0),MATCH(Calculation!$G505,'Dist. Plant Gas Additions'!$F$5:$AE$5,0))</f>
        <v>22737</v>
      </c>
      <c r="BL505" s="113">
        <f>INDEX('Gen. Plant Additions'!$F$7:$AE$91,MATCH($C505,'Gen. Plant Additions'!$D$7:$D$91,0),MATCH(Calculation!$G505,'Gen. Plant Additions'!$F$5:$AE$5,0))</f>
        <v>973</v>
      </c>
      <c r="BM505" s="231">
        <f t="shared" si="934"/>
        <v>0.96653691016174137</v>
      </c>
      <c r="BN505" s="61">
        <f t="shared" si="929"/>
        <v>940.44041358737434</v>
      </c>
      <c r="BO505" s="113">
        <f>INDEX('Dist Plant Depreciation'!$E$7:$AD$94,MATCH($C505,'Dist Plant Depreciation'!$D$7:$D$94,0),MATCH(Calculation!$G505,'Dist Plant Depreciation'!$E$5:$AD$5,0))</f>
        <v>98673</v>
      </c>
      <c r="BP505" s="113">
        <f>INDEX('Gen. Plant Depreciation'!$E$7:$AD$94,MATCH($C505,'Gen. Plant Depreciation'!$D$7:$D$94,0),MATCH(Calculation!$G505,'Gen. Plant Depreciation'!$E$5:$AD$5,0))</f>
        <v>6753</v>
      </c>
      <c r="BQ505" s="113"/>
      <c r="BR505" s="113"/>
      <c r="BS505" s="113"/>
      <c r="BT505" s="113"/>
      <c r="BU505" s="113"/>
      <c r="BV505" s="113"/>
      <c r="BW505" s="113">
        <f>INDEX('Gross Dx Plant'!$E$7:$AD$91,MATCH($C505,'Gross Dx Plant'!$D$7:$D$91,0),MATCH(Calculation!$G505,'Gross Dx Plant'!$E$5:$AD$5,0))</f>
        <v>315583</v>
      </c>
      <c r="BX505" s="113">
        <f>INDEX('Gross Gen Plant'!$E$7:$AD$91,MATCH($C505,'Gross Gen Plant'!$D$7:$D$91,0),MATCH(Calculation!$G505,'Gross Gen Plant'!$E$5:$AD$5,0))</f>
        <v>10926</v>
      </c>
      <c r="BY505" s="113">
        <f t="shared" si="885"/>
        <v>221083</v>
      </c>
      <c r="BZ505" s="113"/>
      <c r="CA505" s="116">
        <v>2000</v>
      </c>
      <c r="CB505" s="113"/>
      <c r="CC505" s="113"/>
      <c r="CD505" s="113"/>
      <c r="CE505" s="175"/>
      <c r="CF505" s="113">
        <f t="shared" si="935"/>
        <v>23710</v>
      </c>
      <c r="CG505" s="113">
        <f t="shared" si="936"/>
        <v>68.420470449610974</v>
      </c>
      <c r="CH505" s="178">
        <v>0.98989898989898994</v>
      </c>
      <c r="CI505" s="61">
        <f>+CI503*CH505+CG504*CH504+CG505</f>
        <v>1080.6345777306126</v>
      </c>
      <c r="CJ505" s="114">
        <f t="shared" si="937"/>
        <v>6.0258195043966761E-2</v>
      </c>
      <c r="CK505" s="114"/>
      <c r="CL505" s="169">
        <f t="shared" si="938"/>
        <v>5.1368893902672642E-3</v>
      </c>
      <c r="CM505" s="169"/>
      <c r="CN505" s="114">
        <f>VLOOKUP($H505,RoR!$E:$F,2,FALSE)</f>
        <v>7.6225000000000001E-2</v>
      </c>
      <c r="CO505" s="169">
        <v>2.2568307442433211E-2</v>
      </c>
      <c r="CP505" s="169">
        <f t="shared" ref="CP505:CP525" si="944">+CN505-CO505</f>
        <v>5.365669255756679E-2</v>
      </c>
      <c r="CQ505" s="169"/>
      <c r="CR505" s="169"/>
      <c r="CS505" s="179">
        <f t="shared" si="939"/>
        <v>0.85466708209999998</v>
      </c>
      <c r="CT505" s="180">
        <f t="shared" si="940"/>
        <v>0.67277207323124022</v>
      </c>
      <c r="CU505" s="180">
        <f t="shared" si="941"/>
        <v>0.6470236142997704</v>
      </c>
      <c r="CV505" s="180">
        <f t="shared" si="942"/>
        <v>0.94704866037543145</v>
      </c>
      <c r="CW505" s="180">
        <f t="shared" si="943"/>
        <v>0.41224973107878493</v>
      </c>
      <c r="CX505" s="181">
        <f>INDEX('State Tax Lookup'!$D$7:$Z$91,MATCH(Calculation!$C505,'State Tax Lookup'!$B$7:$B$91,0),MATCH($H505,'State Tax Lookup'!$D$6:$Z$6,0))</f>
        <v>0.39279166999999998</v>
      </c>
      <c r="CY505" s="72">
        <v>0.37</v>
      </c>
      <c r="CZ505" s="70"/>
      <c r="DA505" s="70"/>
      <c r="DB505" s="69"/>
      <c r="DC505" s="111">
        <f>VLOOKUP($H505,RoR!$E:$F,2,FALSE)</f>
        <v>7.6225000000000001E-2</v>
      </c>
      <c r="DD505" s="216">
        <f>HLOOKUP($H505,'GDP-PI'!$D$8:$CQ$11,3,FALSE)</f>
        <v>2.2568307442433211E-2</v>
      </c>
      <c r="DE505" s="111">
        <f>VLOOKUP(H505,'HW Dx Data'!$E:$F,2,FALSE)</f>
        <v>346.53371782150339</v>
      </c>
      <c r="DF505" s="66"/>
      <c r="DG505" s="69"/>
      <c r="DH505" s="66">
        <f>HLOOKUP(H505,'GDP-PI'!$8:$9,2,FALSE)</f>
        <v>78.069000000000003</v>
      </c>
      <c r="DI505"/>
      <c r="EB505"/>
    </row>
    <row r="506" spans="1:132" s="160" customFormat="1" ht="21">
      <c r="A506" s="160" t="s">
        <v>190</v>
      </c>
      <c r="B506" s="161" t="s">
        <v>190</v>
      </c>
      <c r="C506" s="161">
        <v>4057090</v>
      </c>
      <c r="D506" s="161" t="s">
        <v>187</v>
      </c>
      <c r="E506" s="161"/>
      <c r="F506" s="161"/>
      <c r="G506" s="161" t="s">
        <v>111</v>
      </c>
      <c r="H506" s="162">
        <v>2001</v>
      </c>
      <c r="I506" s="163"/>
      <c r="J506" s="159"/>
      <c r="K506" s="159"/>
      <c r="L506" s="159"/>
      <c r="M506" s="60"/>
      <c r="N506" s="152"/>
      <c r="O506" s="60"/>
      <c r="P506" s="60"/>
      <c r="Q506" s="159"/>
      <c r="R506" s="159"/>
      <c r="S506" s="159"/>
      <c r="T506" s="159"/>
      <c r="U506" s="159"/>
      <c r="V506" s="159"/>
      <c r="W506" s="159">
        <f t="shared" si="933"/>
        <v>13871.167946409818</v>
      </c>
      <c r="X506" s="163"/>
      <c r="Y506" s="167">
        <v>1134.0426522693349</v>
      </c>
      <c r="Z506" s="168">
        <v>4.8240376272597925E-2</v>
      </c>
      <c r="AA506" s="78"/>
      <c r="AB506" s="168"/>
      <c r="AC506" s="168"/>
      <c r="AD506" s="163">
        <f t="shared" si="928"/>
        <v>13871.167946409818</v>
      </c>
      <c r="AE506" s="168"/>
      <c r="AF506" s="163"/>
      <c r="AG506" s="163"/>
      <c r="AH506" s="163"/>
      <c r="AI506" s="163"/>
      <c r="AJ506" s="167"/>
      <c r="AK506" s="168"/>
      <c r="AL506" s="115"/>
      <c r="AM506" s="115"/>
      <c r="AN506" s="115"/>
      <c r="AO506" s="115"/>
      <c r="AP506" s="115"/>
      <c r="AQ506" s="168"/>
      <c r="AR506" s="79"/>
      <c r="AS506" s="115"/>
      <c r="AT506" s="115"/>
      <c r="AU506" s="115"/>
      <c r="AV506" s="113">
        <f>IFERROR(INDEX('Total Customers'!$F$7:$AB$91,MATCH($C506,'Total Customers'!$D$7:$D$91,0),MATCH($G506,'Total Customers'!$F$5:$AB$5,0)),"NA")</f>
        <v>303153</v>
      </c>
      <c r="AW506" s="68">
        <f t="shared" si="844"/>
        <v>1.796998632564397E-2</v>
      </c>
      <c r="AX506" s="114"/>
      <c r="AY506" s="114"/>
      <c r="AZ506" s="116"/>
      <c r="BA506" s="116"/>
      <c r="BB506" s="166"/>
      <c r="BC506" s="166"/>
      <c r="BD506" s="166"/>
      <c r="BE506" s="166"/>
      <c r="BF506" s="166"/>
      <c r="BG506" s="166"/>
      <c r="BH506" s="166"/>
      <c r="BI506" s="113"/>
      <c r="BJ506" s="113"/>
      <c r="BK506" s="113">
        <f>INDEX('Dist. Plant Gas Additions'!$F$7:$AE$91,MATCH($C506,'Dist. Plant Gas Additions'!$D$7:$D$91,0),MATCH(Calculation!$G506,'Dist. Plant Gas Additions'!$F$5:$AE$5,0))</f>
        <v>20337</v>
      </c>
      <c r="BL506" s="113">
        <f>INDEX('Gen. Plant Additions'!$F$7:$AE$91,MATCH($C506,'Gen. Plant Additions'!$D$7:$D$91,0),MATCH(Calculation!$G506,'Gen. Plant Additions'!$F$5:$AE$5,0))</f>
        <v>444</v>
      </c>
      <c r="BM506" s="231">
        <f t="shared" si="934"/>
        <v>0.96979564896130566</v>
      </c>
      <c r="BN506" s="61">
        <f t="shared" si="929"/>
        <v>430.5892681388197</v>
      </c>
      <c r="BO506" s="113">
        <f>INDEX('Dist Plant Depreciation'!$E$7:$AD$94,MATCH($C506,'Dist Plant Depreciation'!$D$7:$D$94,0),MATCH(Calculation!$G506,'Dist Plant Depreciation'!$E$5:$AD$5,0))</f>
        <v>106369</v>
      </c>
      <c r="BP506" s="113">
        <f>INDEX('Gen. Plant Depreciation'!$E$7:$AD$94,MATCH($C506,'Gen. Plant Depreciation'!$D$7:$D$94,0),MATCH(Calculation!$G506,'Gen. Plant Depreciation'!$E$5:$AD$5,0))</f>
        <v>6260</v>
      </c>
      <c r="BQ506" s="113"/>
      <c r="BR506" s="113"/>
      <c r="BS506" s="113"/>
      <c r="BT506" s="113"/>
      <c r="BU506" s="113"/>
      <c r="BV506" s="113"/>
      <c r="BW506" s="113">
        <f>INDEX('Gross Dx Plant'!$E$7:$AD$91,MATCH($C506,'Gross Dx Plant'!$D$7:$D$91,0),MATCH(Calculation!$G506,'Gross Dx Plant'!$E$5:$AD$5,0))</f>
        <v>332059</v>
      </c>
      <c r="BX506" s="113">
        <f>INDEX('Gross Gen Plant'!$E$7:$AD$91,MATCH($C506,'Gross Gen Plant'!$D$7:$D$91,0),MATCH(Calculation!$G506,'Gross Gen Plant'!$E$5:$AD$5,0))</f>
        <v>10342</v>
      </c>
      <c r="BY506" s="113">
        <f t="shared" si="885"/>
        <v>229772</v>
      </c>
      <c r="BZ506" s="113"/>
      <c r="CA506" s="116">
        <v>2001</v>
      </c>
      <c r="CB506" s="113"/>
      <c r="CC506" s="113"/>
      <c r="CD506" s="113"/>
      <c r="CE506" s="175"/>
      <c r="CF506" s="113">
        <f t="shared" si="935"/>
        <v>20781</v>
      </c>
      <c r="CG506" s="113">
        <f t="shared" si="936"/>
        <v>58.795173385415275</v>
      </c>
      <c r="CH506" s="178">
        <v>0.98461538461538467</v>
      </c>
      <c r="CI506" s="61">
        <f>+CI503*CH506+CG504*CH505+CG505*CH503+CG506</f>
        <v>1134.0426522693349</v>
      </c>
      <c r="CJ506" s="114">
        <f t="shared" si="937"/>
        <v>4.8240376272597925E-2</v>
      </c>
      <c r="CK506" s="114"/>
      <c r="CL506" s="169">
        <f t="shared" si="938"/>
        <v>4.9851253677317565E-3</v>
      </c>
      <c r="CM506" s="169">
        <f>+(CL506+CL505+CL504)/3</f>
        <v>5.0323797120361445E-3</v>
      </c>
      <c r="CN506" s="114">
        <f>VLOOKUP($H506,RoR!$E:$F,2,FALSE)</f>
        <v>7.0824999999999999E-2</v>
      </c>
      <c r="CO506" s="169">
        <v>2.2454495382290052E-2</v>
      </c>
      <c r="CP506" s="169">
        <f t="shared" si="944"/>
        <v>4.8370504617709947E-2</v>
      </c>
      <c r="CQ506" s="169">
        <f>+$CP$2-CM506</f>
        <v>2.586956189649748E-2</v>
      </c>
      <c r="CR506" s="169">
        <f>+((DE504/DE503-1)+(DE505/DE504-1)+(DE506/DE505-1))/3</f>
        <v>2.3947275901631187E-2</v>
      </c>
      <c r="CS506" s="179">
        <f t="shared" si="939"/>
        <v>0.85466708209999998</v>
      </c>
      <c r="CT506" s="180">
        <f t="shared" si="940"/>
        <v>0.72406708481540816</v>
      </c>
      <c r="CU506" s="180">
        <f t="shared" si="941"/>
        <v>0.62201729615248857</v>
      </c>
      <c r="CV506" s="180">
        <f t="shared" si="942"/>
        <v>0.9352469954311422</v>
      </c>
      <c r="CW506" s="180">
        <f t="shared" si="943"/>
        <v>0.42121864641655071</v>
      </c>
      <c r="CX506" s="181">
        <f>INDEX('State Tax Lookup'!$D$7:$Z$91,MATCH(Calculation!$C506,'State Tax Lookup'!$B$7:$B$91,0),MATCH($H506,'State Tax Lookup'!$D$6:$Z$6,0))</f>
        <v>0.39279166999999998</v>
      </c>
      <c r="CY506" s="72">
        <v>0.37</v>
      </c>
      <c r="CZ506" s="70">
        <f t="shared" ref="CZ506:CZ527" si="945">+(DE506*CQ506-CR506)*CS506/(1-CX506)</f>
        <v>12.836131873125858</v>
      </c>
      <c r="DA506" s="70"/>
      <c r="DB506" s="69"/>
      <c r="DC506" s="111">
        <f>VLOOKUP($H506,RoR!$E:$F,2,FALSE)</f>
        <v>7.0824999999999999E-2</v>
      </c>
      <c r="DD506" s="216">
        <f>HLOOKUP($H506,'GDP-PI'!$D$8:$CQ$11,3,FALSE)</f>
        <v>2.2454495382290052E-2</v>
      </c>
      <c r="DE506" s="111">
        <f>VLOOKUP(H506,'HW Dx Data'!$E:$F,2,FALSE)</f>
        <v>353.44738017483138</v>
      </c>
      <c r="DF506" s="66"/>
      <c r="DG506" s="69"/>
      <c r="DH506" s="66">
        <f>HLOOKUP(H506,'GDP-PI'!$8:$9,2,FALSE)</f>
        <v>79.822000000000003</v>
      </c>
      <c r="DI506"/>
      <c r="EB506"/>
    </row>
    <row r="507" spans="1:132" s="160" customFormat="1" ht="21">
      <c r="A507" s="160" t="s">
        <v>190</v>
      </c>
      <c r="B507" s="161" t="s">
        <v>190</v>
      </c>
      <c r="C507" s="161">
        <v>4057090</v>
      </c>
      <c r="D507" s="161" t="s">
        <v>187</v>
      </c>
      <c r="E507" s="161"/>
      <c r="F507" s="161"/>
      <c r="G507" s="161" t="s">
        <v>113</v>
      </c>
      <c r="H507" s="162">
        <v>2002</v>
      </c>
      <c r="I507" s="163"/>
      <c r="J507" s="159"/>
      <c r="K507" s="159"/>
      <c r="L507" s="159"/>
      <c r="M507" s="60"/>
      <c r="N507" s="152"/>
      <c r="O507" s="60"/>
      <c r="P507" s="60"/>
      <c r="Q507" s="159"/>
      <c r="R507" s="159"/>
      <c r="S507" s="159"/>
      <c r="T507" s="159"/>
      <c r="U507" s="159"/>
      <c r="V507" s="159"/>
      <c r="W507" s="159">
        <f t="shared" si="933"/>
        <v>14728.848545293518</v>
      </c>
      <c r="X507" s="163"/>
      <c r="Y507" s="167">
        <v>1203.9148553594173</v>
      </c>
      <c r="Z507" s="168">
        <v>5.9789809417272646E-2</v>
      </c>
      <c r="AA507" s="78"/>
      <c r="AB507" s="168"/>
      <c r="AC507" s="168"/>
      <c r="AD507" s="163">
        <f t="shared" si="928"/>
        <v>14728.848545293518</v>
      </c>
      <c r="AE507" s="168"/>
      <c r="AF507" s="163"/>
      <c r="AG507" s="163"/>
      <c r="AH507" s="163"/>
      <c r="AI507" s="163"/>
      <c r="AJ507" s="167"/>
      <c r="AK507" s="168"/>
      <c r="AL507" s="115"/>
      <c r="AM507" s="115"/>
      <c r="AN507" s="115"/>
      <c r="AO507" s="115"/>
      <c r="AP507" s="115"/>
      <c r="AQ507" s="168"/>
      <c r="AR507" s="79"/>
      <c r="AS507" s="115"/>
      <c r="AT507" s="115"/>
      <c r="AU507" s="115"/>
      <c r="AV507" s="113">
        <f>IFERROR(INDEX('Total Customers'!$F$7:$AB$91,MATCH($C507,'Total Customers'!$D$7:$D$91,0),MATCH($G507,'Total Customers'!$F$5:$AB$5,0)),"NA")</f>
        <v>308344</v>
      </c>
      <c r="AW507" s="68">
        <f t="shared" si="844"/>
        <v>1.6978414280713068E-2</v>
      </c>
      <c r="AX507" s="114"/>
      <c r="AY507" s="114"/>
      <c r="AZ507" s="116"/>
      <c r="BA507" s="116"/>
      <c r="BB507" s="166"/>
      <c r="BC507" s="166"/>
      <c r="BD507" s="166"/>
      <c r="BE507" s="166"/>
      <c r="BF507" s="166"/>
      <c r="BG507" s="166"/>
      <c r="BH507" s="166"/>
      <c r="BI507" s="113"/>
      <c r="BJ507" s="113"/>
      <c r="BK507" s="113">
        <f>INDEX('Dist. Plant Gas Additions'!$F$7:$AE$91,MATCH($C507,'Dist. Plant Gas Additions'!$D$7:$D$91,0),MATCH(Calculation!$G507,'Dist. Plant Gas Additions'!$F$5:$AE$5,0))</f>
        <v>27104</v>
      </c>
      <c r="BL507" s="113">
        <f>INDEX('Gen. Plant Additions'!$F$7:$AE$91,MATCH($C507,'Gen. Plant Additions'!$D$7:$D$91,0),MATCH(Calculation!$G507,'Gen. Plant Additions'!$F$5:$AE$5,0))</f>
        <v>507</v>
      </c>
      <c r="BM507" s="231">
        <f t="shared" si="934"/>
        <v>0.97544219360835449</v>
      </c>
      <c r="BN507" s="61">
        <f t="shared" si="929"/>
        <v>494.54919215943573</v>
      </c>
      <c r="BO507" s="113">
        <f>INDEX('Dist Plant Depreciation'!$E$7:$AD$94,MATCH($C507,'Dist Plant Depreciation'!$D$7:$D$94,0),MATCH(Calculation!$G507,'Dist Plant Depreciation'!$E$5:$AD$5,0))</f>
        <v>113995</v>
      </c>
      <c r="BP507" s="113">
        <f>INDEX('Gen. Plant Depreciation'!$E$7:$AD$94,MATCH($C507,'Gen. Plant Depreciation'!$D$7:$D$94,0),MATCH(Calculation!$G507,'Gen. Plant Depreciation'!$E$5:$AD$5,0))</f>
        <v>4988</v>
      </c>
      <c r="BQ507" s="113"/>
      <c r="BR507" s="113"/>
      <c r="BS507" s="113"/>
      <c r="BT507" s="113"/>
      <c r="BU507" s="113"/>
      <c r="BV507" s="113"/>
      <c r="BW507" s="113">
        <f>INDEX('Gross Dx Plant'!$E$7:$AD$91,MATCH($C507,'Gross Dx Plant'!$D$7:$D$91,0),MATCH(Calculation!$G507,'Gross Dx Plant'!$E$5:$AD$5,0))</f>
        <v>356807</v>
      </c>
      <c r="BX507" s="113">
        <f>INDEX('Gross Gen Plant'!$E$7:$AD$91,MATCH($C507,'Gross Gen Plant'!$D$7:$D$91,0),MATCH(Calculation!$G507,'Gross Gen Plant'!$E$5:$AD$5,0))</f>
        <v>8983</v>
      </c>
      <c r="BY507" s="113">
        <f t="shared" si="885"/>
        <v>246807</v>
      </c>
      <c r="BZ507" s="113"/>
      <c r="CA507" s="116">
        <v>2002</v>
      </c>
      <c r="CB507" s="113"/>
      <c r="CC507" s="113"/>
      <c r="CD507" s="113"/>
      <c r="CE507" s="175"/>
      <c r="CF507" s="113">
        <f t="shared" si="935"/>
        <v>27611</v>
      </c>
      <c r="CG507" s="113">
        <f t="shared" si="936"/>
        <v>76.411070037961537</v>
      </c>
      <c r="CH507" s="178">
        <v>0.97916666666666663</v>
      </c>
      <c r="CI507" s="61">
        <f>+CI503*CH507+CG504*CH506+CG505*CH505+CG506*CH504+CG507</f>
        <v>1203.9148553594173</v>
      </c>
      <c r="CJ507" s="114">
        <f t="shared" si="937"/>
        <v>5.9789809417272646E-2</v>
      </c>
      <c r="CK507" s="114"/>
      <c r="CL507" s="169">
        <f t="shared" si="938"/>
        <v>5.7659797317095645E-3</v>
      </c>
      <c r="CM507" s="169">
        <f t="shared" ref="CM507:CM527" si="946">+(CL507+CL506+CL505)/3</f>
        <v>5.2959981632361951E-3</v>
      </c>
      <c r="CN507" s="114">
        <f>VLOOKUP($H507,RoR!$E:$F,2,FALSE)</f>
        <v>6.4916666666666664E-2</v>
      </c>
      <c r="CO507" s="169">
        <v>1.5246423291824351E-2</v>
      </c>
      <c r="CP507" s="169">
        <f t="shared" si="944"/>
        <v>4.9670243374842313E-2</v>
      </c>
      <c r="CQ507" s="169">
        <f t="shared" ref="CQ507:CQ527" si="947">+$CP$2-CM507</f>
        <v>2.560594344529743E-2</v>
      </c>
      <c r="CR507" s="169">
        <f t="shared" ref="CR507:CR527" si="948">+((DE505/DE504-1)+(DE506/DE505-1)+(DE507/DE506-1))/3</f>
        <v>2.5243621214759093E-2</v>
      </c>
      <c r="CS507" s="179">
        <f t="shared" si="939"/>
        <v>0.85466708209999998</v>
      </c>
      <c r="CT507" s="180">
        <f t="shared" si="940"/>
        <v>0.78996741384417901</v>
      </c>
      <c r="CU507" s="180">
        <f t="shared" si="941"/>
        <v>0.58989088575096271</v>
      </c>
      <c r="CV507" s="180">
        <f t="shared" si="942"/>
        <v>0.91920675783645744</v>
      </c>
      <c r="CW507" s="180">
        <f t="shared" si="943"/>
        <v>0.42834536472275586</v>
      </c>
      <c r="CX507" s="181">
        <f>INDEX('State Tax Lookup'!$D$7:$Z$91,MATCH(Calculation!$C507,'State Tax Lookup'!$B$7:$B$91,0),MATCH($H507,'State Tax Lookup'!$D$6:$Z$6,0))</f>
        <v>0.39279166999999998</v>
      </c>
      <c r="CY507" s="72">
        <v>0.37</v>
      </c>
      <c r="CZ507" s="70">
        <f t="shared" si="945"/>
        <v>12.987914092842621</v>
      </c>
      <c r="DA507" s="70"/>
      <c r="DB507" s="69">
        <f>LN(CZ507/CZ506)</f>
        <v>1.1755242982264998E-2</v>
      </c>
      <c r="DC507" s="111">
        <f>VLOOKUP($H507,RoR!$E:$F,2,FALSE)</f>
        <v>6.4916666666666664E-2</v>
      </c>
      <c r="DD507" s="216">
        <f>HLOOKUP($H507,'GDP-PI'!$D$8:$CQ$11,3,FALSE)</f>
        <v>1.5246423291824351E-2</v>
      </c>
      <c r="DE507" s="111">
        <f>VLOOKUP(H507,'HW Dx Data'!$E:$F,2,FALSE)</f>
        <v>361.34816573413599</v>
      </c>
      <c r="DF507" s="66"/>
      <c r="DG507" s="69"/>
      <c r="DH507" s="66">
        <f>HLOOKUP(H507,'GDP-PI'!$8:$9,2,FALSE)</f>
        <v>81.039000000000001</v>
      </c>
      <c r="DI507" s="69">
        <f>LN(DH507/DH506)</f>
        <v>1.513136459537477E-2</v>
      </c>
      <c r="EB507"/>
    </row>
    <row r="508" spans="1:132" s="160" customFormat="1" ht="21">
      <c r="A508" s="160" t="s">
        <v>190</v>
      </c>
      <c r="B508" s="161" t="s">
        <v>190</v>
      </c>
      <c r="C508" s="161">
        <v>4057090</v>
      </c>
      <c r="D508" s="161" t="s">
        <v>187</v>
      </c>
      <c r="E508" s="161"/>
      <c r="F508" s="161"/>
      <c r="G508" s="161" t="s">
        <v>114</v>
      </c>
      <c r="H508" s="162">
        <v>2003</v>
      </c>
      <c r="I508" s="163"/>
      <c r="J508" s="159"/>
      <c r="K508" s="159"/>
      <c r="L508" s="159"/>
      <c r="M508" s="76"/>
      <c r="N508" s="152"/>
      <c r="O508" s="76"/>
      <c r="P508" s="76"/>
      <c r="Q508" s="159"/>
      <c r="R508" s="159"/>
      <c r="S508" s="159"/>
      <c r="T508" s="159"/>
      <c r="U508" s="159"/>
      <c r="V508" s="159"/>
      <c r="W508" s="159">
        <f t="shared" si="933"/>
        <v>15882.811230541734</v>
      </c>
      <c r="X508" s="163"/>
      <c r="Y508" s="167">
        <v>1303.450006137168</v>
      </c>
      <c r="Z508" s="168">
        <v>7.9435973851954111E-2</v>
      </c>
      <c r="AA508" s="78"/>
      <c r="AB508" s="168"/>
      <c r="AC508" s="168"/>
      <c r="AD508" s="163">
        <f t="shared" si="928"/>
        <v>15882.811230541734</v>
      </c>
      <c r="AE508" s="168"/>
      <c r="AF508" s="163"/>
      <c r="AG508" s="163"/>
      <c r="AH508" s="163"/>
      <c r="AI508" s="163"/>
      <c r="AJ508" s="167"/>
      <c r="AK508" s="168"/>
      <c r="AL508" s="115"/>
      <c r="AM508" s="115"/>
      <c r="AN508" s="115"/>
      <c r="AO508" s="115"/>
      <c r="AP508" s="115"/>
      <c r="AQ508" s="168"/>
      <c r="AR508" s="79"/>
      <c r="AS508" s="115"/>
      <c r="AT508" s="115"/>
      <c r="AU508" s="115"/>
      <c r="AV508" s="113">
        <f>IFERROR(INDEX('Total Customers'!$F$7:$AB$91,MATCH($C508,'Total Customers'!$D$7:$D$91,0),MATCH($G508,'Total Customers'!$F$5:$AB$5,0)),"NA")</f>
        <v>312151</v>
      </c>
      <c r="AW508" s="68">
        <f t="shared" si="844"/>
        <v>1.227100225010924E-2</v>
      </c>
      <c r="AX508" s="114"/>
      <c r="AY508" s="114"/>
      <c r="AZ508" s="116"/>
      <c r="BA508" s="116"/>
      <c r="BB508" s="166"/>
      <c r="BC508" s="166"/>
      <c r="BD508" s="166"/>
      <c r="BE508" s="166"/>
      <c r="BF508" s="166"/>
      <c r="BG508" s="166"/>
      <c r="BH508" s="166"/>
      <c r="BI508" s="113"/>
      <c r="BJ508" s="113"/>
      <c r="BK508" s="113">
        <f>INDEX('Dist. Plant Gas Additions'!$F$7:$AE$91,MATCH($C508,'Dist. Plant Gas Additions'!$D$7:$D$91,0),MATCH(Calculation!$G508,'Dist. Plant Gas Additions'!$F$5:$AE$5,0))</f>
        <v>39077</v>
      </c>
      <c r="BL508" s="113">
        <f>INDEX('Gen. Plant Additions'!$F$7:$AE$91,MATCH($C508,'Gen. Plant Additions'!$D$7:$D$91,0),MATCH(Calculation!$G508,'Gen. Plant Additions'!$F$5:$AE$5,0))</f>
        <v>176</v>
      </c>
      <c r="BM508" s="231">
        <f t="shared" si="934"/>
        <v>0.97777727397532876</v>
      </c>
      <c r="BN508" s="61">
        <f t="shared" si="929"/>
        <v>172.08880021965786</v>
      </c>
      <c r="BO508" s="113">
        <f>INDEX('Dist Plant Depreciation'!$E$7:$AD$94,MATCH($C508,'Dist Plant Depreciation'!$D$7:$D$94,0),MATCH(Calculation!$G508,'Dist Plant Depreciation'!$E$5:$AD$5,0))</f>
        <v>116219</v>
      </c>
      <c r="BP508" s="113">
        <f>INDEX('Gen. Plant Depreciation'!$E$7:$AD$94,MATCH($C508,'Gen. Plant Depreciation'!$D$7:$D$94,0),MATCH(Calculation!$G508,'Gen. Plant Depreciation'!$E$5:$AD$5,0))</f>
        <v>4923</v>
      </c>
      <c r="BQ508" s="113"/>
      <c r="BR508" s="113"/>
      <c r="BS508" s="113"/>
      <c r="BT508" s="113"/>
      <c r="BU508" s="113"/>
      <c r="BV508" s="113"/>
      <c r="BW508" s="113">
        <f>INDEX('Gross Dx Plant'!$E$7:$AD$91,MATCH($C508,'Gross Dx Plant'!$D$7:$D$91,0),MATCH(Calculation!$G508,'Gross Dx Plant'!$E$5:$AD$5,0))</f>
        <v>388159</v>
      </c>
      <c r="BX508" s="113">
        <f>INDEX('Gross Gen Plant'!$E$7:$AD$91,MATCH($C508,'Gross Gen Plant'!$D$7:$D$91,0),MATCH(Calculation!$G508,'Gross Gen Plant'!$E$5:$AD$5,0))</f>
        <v>8822</v>
      </c>
      <c r="BY508" s="113">
        <f t="shared" si="885"/>
        <v>275839</v>
      </c>
      <c r="BZ508" s="113"/>
      <c r="CA508" s="116">
        <v>2003</v>
      </c>
      <c r="CB508" s="113"/>
      <c r="CC508" s="113"/>
      <c r="CD508" s="113"/>
      <c r="CE508" s="175"/>
      <c r="CF508" s="113">
        <f t="shared" si="935"/>
        <v>39253</v>
      </c>
      <c r="CG508" s="113">
        <f t="shared" si="936"/>
        <v>106.30956289203498</v>
      </c>
      <c r="CH508" s="178">
        <v>0.97354497354497349</v>
      </c>
      <c r="CI508" s="61">
        <f>+CI503*CH508+CG504*CH507+CG505*CH506+CG506*CH505+CG507*CH504+CG508</f>
        <v>1303.450006137168</v>
      </c>
      <c r="CJ508" s="114">
        <f t="shared" si="937"/>
        <v>7.9435973851954111E-2</v>
      </c>
      <c r="CK508" s="114"/>
      <c r="CL508" s="169">
        <f t="shared" si="938"/>
        <v>5.6269860647760279E-3</v>
      </c>
      <c r="CM508" s="169">
        <f t="shared" si="946"/>
        <v>5.4593637214057833E-3</v>
      </c>
      <c r="CN508" s="114">
        <f>VLOOKUP($H508,RoR!$E:$F,2,FALSE)</f>
        <v>5.6666666666666671E-2</v>
      </c>
      <c r="CO508" s="169">
        <v>1.8855119140166909E-2</v>
      </c>
      <c r="CP508" s="169">
        <f t="shared" si="944"/>
        <v>3.7811547526499761E-2</v>
      </c>
      <c r="CQ508" s="169">
        <f t="shared" si="947"/>
        <v>2.5442577887127841E-2</v>
      </c>
      <c r="CR508" s="169">
        <f t="shared" si="948"/>
        <v>2.1375012817671957E-2</v>
      </c>
      <c r="CS508" s="179">
        <f t="shared" si="939"/>
        <v>0.85466708209999998</v>
      </c>
      <c r="CT508" s="180">
        <f t="shared" si="940"/>
        <v>0.90497737556561086</v>
      </c>
      <c r="CU508" s="180">
        <f t="shared" si="941"/>
        <v>0.5338235294117647</v>
      </c>
      <c r="CV508" s="180">
        <f t="shared" si="942"/>
        <v>0.88972433127405692</v>
      </c>
      <c r="CW508" s="180">
        <f t="shared" si="943"/>
        <v>0.42982423775949252</v>
      </c>
      <c r="CX508" s="181">
        <f>INDEX('State Tax Lookup'!$D$7:$Z$91,MATCH(Calculation!$C508,'State Tax Lookup'!$B$7:$B$91,0),MATCH($H508,'State Tax Lookup'!$D$6:$Z$6,0))</f>
        <v>0.39279166999999998</v>
      </c>
      <c r="CY508" s="72">
        <v>0.37</v>
      </c>
      <c r="CZ508" s="70">
        <f t="shared" si="945"/>
        <v>13.192636638576964</v>
      </c>
      <c r="DA508" s="70"/>
      <c r="DB508" s="69">
        <f t="shared" ref="DB508:DB527" si="949">LN(CZ508/CZ507)</f>
        <v>1.5639603665923398E-2</v>
      </c>
      <c r="DC508" s="111">
        <f>VLOOKUP($H508,RoR!$E:$F,2,FALSE)</f>
        <v>5.6666666666666671E-2</v>
      </c>
      <c r="DD508" s="216">
        <f>HLOOKUP($H508,'GDP-PI'!$D$8:$CQ$11,3,FALSE)</f>
        <v>1.8855119140166909E-2</v>
      </c>
      <c r="DE508" s="111">
        <f>VLOOKUP(H508,'HW Dx Data'!$E:$F,2,FALSE)</f>
        <v>369.23301095560191</v>
      </c>
      <c r="DF508" s="66"/>
      <c r="DG508" s="69"/>
      <c r="DH508" s="66">
        <f>HLOOKUP(H508,'GDP-PI'!$8:$9,2,FALSE)</f>
        <v>82.566999999999993</v>
      </c>
      <c r="DI508" s="69">
        <f t="shared" ref="DI508:DI527" si="950">LN(DH508/DH507)</f>
        <v>1.8679564681853753E-2</v>
      </c>
      <c r="EB508"/>
    </row>
    <row r="509" spans="1:132" s="160" customFormat="1" ht="21">
      <c r="A509" s="160" t="s">
        <v>190</v>
      </c>
      <c r="B509" s="161" t="s">
        <v>190</v>
      </c>
      <c r="C509" s="161">
        <v>4057090</v>
      </c>
      <c r="D509" s="161" t="s">
        <v>187</v>
      </c>
      <c r="E509" s="161"/>
      <c r="F509" s="161"/>
      <c r="G509" s="161" t="s">
        <v>115</v>
      </c>
      <c r="H509" s="162">
        <v>2004</v>
      </c>
      <c r="I509" s="163"/>
      <c r="J509" s="159">
        <f>IFERROR(INDEX('Labor Expenditures'!$F$7:$X$91,MATCH($C509,'Labor Expenditures'!$D$7:$D$91,0),MATCH($G509,'Labor Expenditures'!$F$5:$X$5,0)),"NA")</f>
        <v>17341.361836883279</v>
      </c>
      <c r="K509" s="159">
        <f t="shared" ref="K509:K527" si="951">+J509/DF509</f>
        <v>183.7982176670194</v>
      </c>
      <c r="L509" s="165"/>
      <c r="M509" s="76"/>
      <c r="N509" s="152"/>
      <c r="O509" s="76"/>
      <c r="P509" s="76"/>
      <c r="Q509" s="159">
        <f>IFERROR(INDEX('Non-Labor Expenditures'!$F$7:$AB$91,MATCH($C509,'Non-Labor Expenditures'!$D$7:$D$91,0),MATCH($G509,'Non-Labor Expenditures'!$F$5:$AB$5,0)),"NA")</f>
        <v>25113.530859423179</v>
      </c>
      <c r="R509" s="159">
        <f t="shared" ref="R509:R527" si="952">+Q509/DH509</f>
        <v>296.22697939823041</v>
      </c>
      <c r="S509" s="159"/>
      <c r="T509" s="159"/>
      <c r="U509" s="159"/>
      <c r="V509" s="159"/>
      <c r="W509" s="159">
        <f t="shared" si="933"/>
        <v>19064.60985602493</v>
      </c>
      <c r="X509" s="163"/>
      <c r="Y509" s="167">
        <v>1339.6020652756904</v>
      </c>
      <c r="Z509" s="168">
        <v>2.7358003549532498E-2</v>
      </c>
      <c r="AA509" s="76">
        <f t="shared" ref="AA509:AA527" si="953">+Z509*$AR509</f>
        <v>0</v>
      </c>
      <c r="AB509" s="168"/>
      <c r="AC509" s="168"/>
      <c r="AD509" s="163">
        <f t="shared" si="928"/>
        <v>61519.502552331389</v>
      </c>
      <c r="AE509" s="168"/>
      <c r="AF509" s="163"/>
      <c r="AG509" s="163"/>
      <c r="AH509" s="163"/>
      <c r="AI509" s="163"/>
      <c r="AJ509" s="167"/>
      <c r="AK509" s="168"/>
      <c r="AL509" s="115">
        <f t="shared" ref="AL509:AL527" si="954">+J509/AD509</f>
        <v>0.28188397365749013</v>
      </c>
      <c r="AM509" s="115">
        <f t="shared" ref="AM509:AM527" si="955">+Q509/AD509</f>
        <v>0.40822064251999479</v>
      </c>
      <c r="AN509" s="115">
        <f t="shared" ref="AN509:AN527" si="956">+W509/AD509</f>
        <v>0.30989538382251508</v>
      </c>
      <c r="AO509" s="115"/>
      <c r="AP509" s="115"/>
      <c r="AQ509" s="168"/>
      <c r="AR509" s="79"/>
      <c r="AS509" s="115"/>
      <c r="AT509" s="115"/>
      <c r="AU509" s="115"/>
      <c r="AV509" s="113">
        <f>IFERROR(INDEX('Total Customers'!$F$7:$AB$91,MATCH($C509,'Total Customers'!$D$7:$D$91,0),MATCH($G509,'Total Customers'!$F$5:$AB$5,0)),"NA")</f>
        <v>316311</v>
      </c>
      <c r="AW509" s="68">
        <f t="shared" si="844"/>
        <v>1.3238861726591451E-2</v>
      </c>
      <c r="AX509" s="114"/>
      <c r="AY509" s="114"/>
      <c r="AZ509" s="116"/>
      <c r="BA509" s="116"/>
      <c r="BB509" s="166"/>
      <c r="BC509" s="166"/>
      <c r="BD509" s="166"/>
      <c r="BE509" s="166"/>
      <c r="BF509" s="166"/>
      <c r="BG509" s="166"/>
      <c r="BH509" s="166"/>
      <c r="BI509" s="113"/>
      <c r="BJ509" s="113"/>
      <c r="BK509" s="113">
        <f>INDEX('Dist. Plant Gas Additions'!$F$7:$AE$91,MATCH($C509,'Dist. Plant Gas Additions'!$D$7:$D$91,0),MATCH(Calculation!$G509,'Dist. Plant Gas Additions'!$F$5:$AE$5,0))</f>
        <v>17399</v>
      </c>
      <c r="BL509" s="113">
        <f>INDEX('Gen. Plant Additions'!$F$7:$AE$91,MATCH($C509,'Gen. Plant Additions'!$D$7:$D$91,0),MATCH(Calculation!$G509,'Gen. Plant Additions'!$F$5:$AE$5,0))</f>
        <v>720</v>
      </c>
      <c r="BM509" s="231">
        <f t="shared" si="934"/>
        <v>0.97761361578852068</v>
      </c>
      <c r="BN509" s="61">
        <f t="shared" si="929"/>
        <v>703.88180336773485</v>
      </c>
      <c r="BO509" s="113">
        <f>INDEX('Dist Plant Depreciation'!$E$7:$AD$94,MATCH($C509,'Dist Plant Depreciation'!$D$7:$D$94,0),MATCH(Calculation!$G509,'Dist Plant Depreciation'!$E$5:$AD$5,0))</f>
        <v>127007</v>
      </c>
      <c r="BP509" s="113">
        <f>INDEX('Gen. Plant Depreciation'!$E$7:$AD$94,MATCH($C509,'Gen. Plant Depreciation'!$D$7:$D$94,0),MATCH(Calculation!$G509,'Gen. Plant Depreciation'!$E$5:$AD$5,0))</f>
        <v>5886</v>
      </c>
      <c r="BQ509" s="113"/>
      <c r="BR509" s="113"/>
      <c r="BS509" s="113"/>
      <c r="BT509" s="113"/>
      <c r="BU509" s="113"/>
      <c r="BV509" s="113"/>
      <c r="BW509" s="113">
        <f>INDEX('Gross Dx Plant'!$E$7:$AD$91,MATCH($C509,'Gross Dx Plant'!$D$7:$D$91,0),MATCH(Calculation!$G509,'Gross Dx Plant'!$E$5:$AD$5,0))</f>
        <v>404952</v>
      </c>
      <c r="BX509" s="113">
        <f>INDEX('Gross Gen Plant'!$E$7:$AD$91,MATCH($C509,'Gross Gen Plant'!$D$7:$D$91,0),MATCH(Calculation!$G509,'Gross Gen Plant'!$E$5:$AD$5,0))</f>
        <v>9273</v>
      </c>
      <c r="BY509" s="113">
        <f t="shared" si="885"/>
        <v>281332</v>
      </c>
      <c r="BZ509" s="113"/>
      <c r="CA509" s="116">
        <v>2004</v>
      </c>
      <c r="CB509" s="113"/>
      <c r="CC509" s="113"/>
      <c r="CD509" s="113"/>
      <c r="CE509" s="175"/>
      <c r="CF509" s="113">
        <f t="shared" si="935"/>
        <v>18119</v>
      </c>
      <c r="CG509" s="113">
        <f t="shared" si="936"/>
        <v>43.672112269706176</v>
      </c>
      <c r="CH509" s="178">
        <v>0.967741935483871</v>
      </c>
      <c r="CI509" s="61">
        <f>+CI503*CH509+CG504*CH508+CG505*CH507+CG506*CH506+CG507*CH505+CG508*CH504+CG509</f>
        <v>1339.6020652756904</v>
      </c>
      <c r="CJ509" s="114">
        <f t="shared" si="937"/>
        <v>2.7358003549532498E-2</v>
      </c>
      <c r="CK509" s="114"/>
      <c r="CL509" s="169">
        <f t="shared" si="938"/>
        <v>5.7693452727579243E-3</v>
      </c>
      <c r="CM509" s="169">
        <f t="shared" si="946"/>
        <v>5.7207703564145056E-3</v>
      </c>
      <c r="CN509" s="114">
        <f>VLOOKUP($H509,RoR!$E:$F,2,FALSE)</f>
        <v>5.6283333333333331E-2</v>
      </c>
      <c r="CO509" s="169">
        <v>2.6778252812867276E-2</v>
      </c>
      <c r="CP509" s="169">
        <f t="shared" si="944"/>
        <v>2.9505080520466055E-2</v>
      </c>
      <c r="CQ509" s="169">
        <f t="shared" si="947"/>
        <v>2.5181171252119119E-2</v>
      </c>
      <c r="CR509" s="169">
        <f t="shared" si="948"/>
        <v>5.5940039414565046E-2</v>
      </c>
      <c r="CS509" s="179">
        <f t="shared" si="939"/>
        <v>0.85466708209999998</v>
      </c>
      <c r="CT509" s="180">
        <f t="shared" si="940"/>
        <v>0.91114097628755619</v>
      </c>
      <c r="CU509" s="180">
        <f t="shared" si="941"/>
        <v>0.53081877405981637</v>
      </c>
      <c r="CV509" s="180">
        <f t="shared" si="942"/>
        <v>0.88811215519385678</v>
      </c>
      <c r="CW509" s="180">
        <f t="shared" si="943"/>
        <v>0.42953609753547711</v>
      </c>
      <c r="CX509" s="181">
        <f>INDEX('State Tax Lookup'!$D$7:$Z$91,MATCH(Calculation!$C509,'State Tax Lookup'!$B$7:$B$91,0),MATCH($H509,'State Tax Lookup'!$D$6:$Z$6,0))</f>
        <v>0.39279166999999998</v>
      </c>
      <c r="CY509" s="72">
        <v>0.37</v>
      </c>
      <c r="CZ509" s="70">
        <f t="shared" si="945"/>
        <v>14.626268568998475</v>
      </c>
      <c r="DA509" s="70"/>
      <c r="DB509" s="69">
        <f t="shared" si="949"/>
        <v>0.10316028558060389</v>
      </c>
      <c r="DC509" s="111">
        <f>VLOOKUP($H509,RoR!$E:$F,2,FALSE)</f>
        <v>5.6283333333333331E-2</v>
      </c>
      <c r="DD509" s="216">
        <f>HLOOKUP($H509,'GDP-PI'!$D$8:$CQ$11,3,FALSE)</f>
        <v>2.6778252812867276E-2</v>
      </c>
      <c r="DE509" s="111">
        <f>VLOOKUP(H509,'HW Dx Data'!$E:$F,2,FALSE)</f>
        <v>414.88719135228365</v>
      </c>
      <c r="DF509" s="72">
        <f>VLOOKUP(G509,EG$8:EH$27,2,FALSE)</f>
        <v>94.35</v>
      </c>
      <c r="DG509" s="69"/>
      <c r="DH509" s="66">
        <f>HLOOKUP(H509,'GDP-PI'!$8:$9,2,FALSE)</f>
        <v>84.778000000000006</v>
      </c>
      <c r="DI509" s="69">
        <f t="shared" si="950"/>
        <v>2.6425990216022755E-2</v>
      </c>
      <c r="EB509"/>
    </row>
    <row r="510" spans="1:132" s="160" customFormat="1" ht="21">
      <c r="A510" s="160" t="s">
        <v>190</v>
      </c>
      <c r="B510" s="161" t="s">
        <v>190</v>
      </c>
      <c r="C510" s="161">
        <v>4057090</v>
      </c>
      <c r="D510" s="161" t="s">
        <v>187</v>
      </c>
      <c r="E510" s="161"/>
      <c r="F510" s="161"/>
      <c r="G510" s="161" t="s">
        <v>116</v>
      </c>
      <c r="H510" s="162">
        <v>2005</v>
      </c>
      <c r="I510" s="163"/>
      <c r="J510" s="159">
        <f>IFERROR(INDEX('Labor Expenditures'!$F$7:$X$91,MATCH($C510,'Labor Expenditures'!$D$7:$D$91,0),MATCH($G510,'Labor Expenditures'!$F$5:$X$5,0)),"NA")</f>
        <v>17986.637902296035</v>
      </c>
      <c r="K510" s="159">
        <f t="shared" si="951"/>
        <v>181.27123106370408</v>
      </c>
      <c r="L510" s="165">
        <f t="shared" ref="L510:L526" si="957">LN(K510/K509)</f>
        <v>-1.3844088963934062E-2</v>
      </c>
      <c r="M510" s="76"/>
      <c r="N510" s="62">
        <v>100</v>
      </c>
      <c r="O510" s="77"/>
      <c r="P510" s="77"/>
      <c r="Q510" s="159">
        <f>IFERROR(INDEX('Non-Labor Expenditures'!$F$7:$AB$91,MATCH($C510,'Non-Labor Expenditures'!$D$7:$D$91,0),MATCH($G510,'Non-Labor Expenditures'!$F$5:$AB$5,0)),"NA")</f>
        <v>26048.011123085274</v>
      </c>
      <c r="R510" s="159">
        <f t="shared" si="952"/>
        <v>298.00829593837193</v>
      </c>
      <c r="S510" s="165">
        <f>LN(R510/R509)</f>
        <v>5.9953420799023121E-3</v>
      </c>
      <c r="T510" s="165"/>
      <c r="U510" s="165"/>
      <c r="V510" s="165"/>
      <c r="W510" s="159">
        <f t="shared" si="933"/>
        <v>22047.684019660624</v>
      </c>
      <c r="X510" s="163"/>
      <c r="Y510" s="167">
        <v>1377.3348795137863</v>
      </c>
      <c r="Z510" s="168">
        <v>2.7777781531074835E-2</v>
      </c>
      <c r="AA510" s="76">
        <f t="shared" si="953"/>
        <v>0</v>
      </c>
      <c r="AB510" s="168"/>
      <c r="AC510" s="168"/>
      <c r="AD510" s="163">
        <f t="shared" si="928"/>
        <v>66082.333045041931</v>
      </c>
      <c r="AE510" s="168">
        <f>LN(AD510/AD509)</f>
        <v>7.1547195746870199E-2</v>
      </c>
      <c r="AF510" s="163"/>
      <c r="AG510" s="163"/>
      <c r="AH510" s="163"/>
      <c r="AI510" s="163"/>
      <c r="AJ510" s="167"/>
      <c r="AK510" s="114"/>
      <c r="AL510" s="115">
        <f t="shared" si="954"/>
        <v>0.27218527363488038</v>
      </c>
      <c r="AM510" s="115">
        <f t="shared" si="955"/>
        <v>0.39417511341996453</v>
      </c>
      <c r="AN510" s="115">
        <f t="shared" si="956"/>
        <v>0.33363961294515515</v>
      </c>
      <c r="AO510" s="115">
        <f t="shared" ref="AO510:AO526" si="958">+(((AL510+AL509)/2)*L510+((AM509+AM510)/2)*S510+((AN509+AN510)/2)*Z510)</f>
        <v>7.5080138182197992E-3</v>
      </c>
      <c r="AP510" s="166">
        <v>100</v>
      </c>
      <c r="AQ510" s="168"/>
      <c r="AR510" s="16"/>
      <c r="AS510" s="115"/>
      <c r="AT510" s="115"/>
      <c r="AU510" s="115"/>
      <c r="AV510" s="113">
        <f>IFERROR(INDEX('Total Customers'!$F$7:$AB$91,MATCH($C510,'Total Customers'!$D$7:$D$91,0),MATCH($G510,'Total Customers'!$F$5:$AB$5,0)),"NA")</f>
        <v>320305</v>
      </c>
      <c r="AW510" s="68">
        <f t="shared" si="844"/>
        <v>1.2547760041322832E-2</v>
      </c>
      <c r="AX510" s="114"/>
      <c r="AY510" s="114"/>
      <c r="AZ510" s="116"/>
      <c r="BA510" s="116"/>
      <c r="BB510" s="166"/>
      <c r="BC510" s="166"/>
      <c r="BD510" s="166"/>
      <c r="BE510" s="166"/>
      <c r="BF510" s="166"/>
      <c r="BG510" s="166"/>
      <c r="BH510" s="166"/>
      <c r="BI510" s="113"/>
      <c r="BJ510" s="113"/>
      <c r="BK510" s="113">
        <f>INDEX('Dist. Plant Gas Additions'!$F$7:$AE$91,MATCH($C510,'Dist. Plant Gas Additions'!$D$7:$D$91,0),MATCH(Calculation!$G510,'Dist. Plant Gas Additions'!$F$5:$AE$5,0))</f>
        <v>20975</v>
      </c>
      <c r="BL510" s="113">
        <f>INDEX('Gen. Plant Additions'!$F$7:$AE$91,MATCH($C510,'Gen. Plant Additions'!$D$7:$D$91,0),MATCH(Calculation!$G510,'Gen. Plant Additions'!$F$5:$AE$5,0))</f>
        <v>474</v>
      </c>
      <c r="BM510" s="231">
        <f t="shared" si="934"/>
        <v>0.97762776755096703</v>
      </c>
      <c r="BN510" s="61">
        <f t="shared" si="929"/>
        <v>463.39556181915839</v>
      </c>
      <c r="BO510" s="113">
        <f>INDEX('Dist Plant Depreciation'!$E$7:$AD$94,MATCH($C510,'Dist Plant Depreciation'!$D$7:$D$94,0),MATCH(Calculation!$G510,'Dist Plant Depreciation'!$E$5:$AD$5,0))</f>
        <v>137543</v>
      </c>
      <c r="BP510" s="113">
        <f>INDEX('Gen. Plant Depreciation'!$E$7:$AD$94,MATCH($C510,'Gen. Plant Depreciation'!$D$7:$D$94,0),MATCH(Calculation!$G510,'Gen. Plant Depreciation'!$E$5:$AD$5,0))</f>
        <v>6413</v>
      </c>
      <c r="BQ510" s="113"/>
      <c r="BR510" s="113"/>
      <c r="BS510" s="113"/>
      <c r="BT510" s="113"/>
      <c r="BU510" s="113"/>
      <c r="BV510" s="113"/>
      <c r="BW510" s="113">
        <f>INDEX('Gross Dx Plant'!$E$7:$AD$91,MATCH($C510,'Gross Dx Plant'!$D$7:$D$91,0),MATCH(Calculation!$G510,'Gross Dx Plant'!$E$5:$AD$5,0))</f>
        <v>425927</v>
      </c>
      <c r="BX510" s="113">
        <f>INDEX('Gross Gen Plant'!$E$7:$AD$91,MATCH($C510,'Gross Gen Plant'!$D$7:$D$91,0),MATCH(Calculation!$G510,'Gross Gen Plant'!$E$5:$AD$5,0))</f>
        <v>9747</v>
      </c>
      <c r="BY510" s="113">
        <f t="shared" ref="BY510:BY579" si="959">IF(OR(BO510="NA",BP510="NA"),"NA",(SUM(BW510:BX510)-SUM(BO510:BP510)))</f>
        <v>291718</v>
      </c>
      <c r="BZ510" s="113"/>
      <c r="CA510" s="116">
        <v>2005</v>
      </c>
      <c r="CB510" s="113"/>
      <c r="CC510" s="113"/>
      <c r="CD510" s="113"/>
      <c r="CE510" s="175"/>
      <c r="CF510" s="113">
        <f t="shared" si="935"/>
        <v>21449</v>
      </c>
      <c r="CG510" s="113">
        <f t="shared" si="936"/>
        <v>45.713480427834661</v>
      </c>
      <c r="CH510" s="178">
        <v>0.96174863387978138</v>
      </c>
      <c r="CI510" s="61">
        <f>+CI503*CH510+CG504*CH509+CG505*CH508+CG506*CH507+CG507*CH506+CG508*CH505+CG509*CH504+CG510</f>
        <v>1377.3348795137863</v>
      </c>
      <c r="CJ510" s="114">
        <f t="shared" si="937"/>
        <v>2.7777781531074835E-2</v>
      </c>
      <c r="CK510" s="114"/>
      <c r="CL510" s="169">
        <f t="shared" si="938"/>
        <v>5.9574902104203159E-3</v>
      </c>
      <c r="CM510" s="169">
        <f t="shared" si="946"/>
        <v>5.7846071826514224E-3</v>
      </c>
      <c r="CN510" s="114">
        <f>VLOOKUP($H510,RoR!$E:$F,2,FALSE)</f>
        <v>5.2350000000000001E-2</v>
      </c>
      <c r="CO510" s="169">
        <v>3.1010403642454332E-2</v>
      </c>
      <c r="CP510" s="169">
        <f t="shared" si="944"/>
        <v>2.1339596357545669E-2</v>
      </c>
      <c r="CQ510" s="169">
        <f t="shared" si="947"/>
        <v>2.5117334425882203E-2</v>
      </c>
      <c r="CR510" s="169">
        <f t="shared" si="948"/>
        <v>9.2129610649277341E-2</v>
      </c>
      <c r="CS510" s="179">
        <f t="shared" si="939"/>
        <v>0.85466708209999998</v>
      </c>
      <c r="CT510" s="180">
        <f t="shared" si="940"/>
        <v>0.97959983346802826</v>
      </c>
      <c r="CU510" s="180">
        <f t="shared" si="941"/>
        <v>0.49744508118433622</v>
      </c>
      <c r="CV510" s="180">
        <f t="shared" si="942"/>
        <v>0.87010519444335932</v>
      </c>
      <c r="CW510" s="180">
        <f t="shared" si="943"/>
        <v>0.42399975420741998</v>
      </c>
      <c r="CX510" s="181">
        <f>INDEX('State Tax Lookup'!$D$7:$Z$91,MATCH(Calculation!$C510,'State Tax Lookup'!$B$7:$B$91,0),MATCH($H510,'State Tax Lookup'!$D$6:$Z$6,0))</f>
        <v>0.39279166999999998</v>
      </c>
      <c r="CY510" s="72">
        <v>0.37</v>
      </c>
      <c r="CZ510" s="70">
        <f t="shared" si="945"/>
        <v>16.458383120754004</v>
      </c>
      <c r="DA510" s="70"/>
      <c r="DB510" s="69">
        <f t="shared" si="949"/>
        <v>0.11801583049024768</v>
      </c>
      <c r="DC510" s="111">
        <f>VLOOKUP($H510,RoR!$E:$F,2,FALSE)</f>
        <v>5.2350000000000001E-2</v>
      </c>
      <c r="DD510" s="216">
        <f>HLOOKUP($H510,'GDP-PI'!$D$8:$CQ$11,3,FALSE)</f>
        <v>3.1010403642454332E-2</v>
      </c>
      <c r="DE510" s="111">
        <f>VLOOKUP(H510,'HW Dx Data'!$E:$F,2,FALSE)</f>
        <v>469.20514034936258</v>
      </c>
      <c r="DF510" s="72">
        <f t="shared" ref="DF510:DF528" si="960">VLOOKUP(G510,EG$8:EH$27,2,FALSE)</f>
        <v>99.224999999999994</v>
      </c>
      <c r="DG510" s="69">
        <f t="shared" ref="DG510:DG528" si="961">LN(DF510/DF509)</f>
        <v>5.0378726854569796E-2</v>
      </c>
      <c r="DH510" s="66">
        <f>HLOOKUP(H510,'GDP-PI'!$8:$9,2,FALSE)</f>
        <v>87.406999999999996</v>
      </c>
      <c r="DI510" s="69">
        <f t="shared" si="950"/>
        <v>3.0539295810733648E-2</v>
      </c>
      <c r="EB510"/>
    </row>
    <row r="511" spans="1:132" s="160" customFormat="1" ht="21">
      <c r="A511" s="160" t="s">
        <v>190</v>
      </c>
      <c r="B511" s="161" t="s">
        <v>190</v>
      </c>
      <c r="C511" s="161">
        <v>4057090</v>
      </c>
      <c r="D511" s="161" t="s">
        <v>187</v>
      </c>
      <c r="E511" s="161"/>
      <c r="F511" s="161"/>
      <c r="G511" s="161" t="s">
        <v>117</v>
      </c>
      <c r="H511" s="162">
        <v>2006</v>
      </c>
      <c r="I511" s="163"/>
      <c r="J511" s="159">
        <f>IFERROR(INDEX('Labor Expenditures'!$F$7:$X$91,MATCH($C511,'Labor Expenditures'!$D$7:$D$91,0),MATCH($G511,'Labor Expenditures'!$F$5:$X$5,0)),"NA")</f>
        <v>17238.250345341658</v>
      </c>
      <c r="K511" s="159">
        <f t="shared" si="951"/>
        <v>157.57084410732776</v>
      </c>
      <c r="L511" s="165">
        <f t="shared" si="957"/>
        <v>-0.14011926278768011</v>
      </c>
      <c r="M511" s="76">
        <f t="shared" ref="M511:M527" si="962">+L511*$AR511</f>
        <v>-1.1327197145708954E-3</v>
      </c>
      <c r="N511" s="62">
        <f>+N510*EXP(O511)</f>
        <v>107.82388779909277</v>
      </c>
      <c r="O511" s="96">
        <f t="shared" ref="O511:O527" si="963">+M511+M536+M561+M586+M611+M636+M661+M686+M711+M736+M761+M786+M811+M836+M861+M886+M911+M936+M961+M986+M1011+M1036+M1061+M1086+M1111+M1136+M1161+M1186+M1211+M1236+M1261+M1286+M1311+M1336+M1361+M1386+M1411+M1436+M1461+M1486+M1511+M1536+M1561+M1586+M1611+M1636+M1661+M1686+M1711+M1736+M1761+M1786+M1811+M1836</f>
        <v>7.5329041622157922E-2</v>
      </c>
      <c r="P511" s="96"/>
      <c r="Q511" s="159">
        <f>IFERROR(INDEX('Non-Labor Expenditures'!$F$7:$AB$91,MATCH($C511,'Non-Labor Expenditures'!$D$7:$D$91,0),MATCH($G511,'Non-Labor Expenditures'!$F$5:$AB$5,0)),"NA")</f>
        <v>24964.20616110081</v>
      </c>
      <c r="R511" s="159">
        <f t="shared" si="952"/>
        <v>277.15218776895455</v>
      </c>
      <c r="S511" s="165">
        <f t="shared" ref="S511:S526" si="964">LN(R511/R510)</f>
        <v>-7.2554555194382614E-2</v>
      </c>
      <c r="T511" s="165">
        <f t="shared" ref="T511:T527" si="965">+S511*AR511</f>
        <v>-5.8652874284052629E-4</v>
      </c>
      <c r="U511" s="165"/>
      <c r="V511" s="165"/>
      <c r="W511" s="159">
        <f t="shared" si="933"/>
        <v>22142.909232752732</v>
      </c>
      <c r="X511" s="163"/>
      <c r="Y511" s="167">
        <v>1408.987542642094</v>
      </c>
      <c r="Z511" s="168">
        <v>2.2721006422916971E-2</v>
      </c>
      <c r="AA511" s="76">
        <f t="shared" si="953"/>
        <v>1.8367590150062408E-4</v>
      </c>
      <c r="AB511" s="168"/>
      <c r="AC511" s="168"/>
      <c r="AD511" s="163">
        <f t="shared" si="928"/>
        <v>64345.3657391952</v>
      </c>
      <c r="AE511" s="168">
        <f t="shared" ref="AE511:AE527" si="966">LN(AD511/AD510)</f>
        <v>-2.6636519997266218E-2</v>
      </c>
      <c r="AF511" s="163"/>
      <c r="AG511" s="163"/>
      <c r="AH511" s="163"/>
      <c r="AI511" s="163"/>
      <c r="AJ511" s="167"/>
      <c r="AK511" s="114">
        <f>+AV511/$AX$11</f>
        <v>9.3182381162909313E-3</v>
      </c>
      <c r="AL511" s="115">
        <f t="shared" si="954"/>
        <v>0.26790197160758672</v>
      </c>
      <c r="AM511" s="115">
        <f t="shared" si="955"/>
        <v>0.3879720920739777</v>
      </c>
      <c r="AN511" s="115">
        <f t="shared" si="956"/>
        <v>0.34412593631843558</v>
      </c>
      <c r="AO511" s="115">
        <f t="shared" si="958"/>
        <v>-5.8512726918747968E-2</v>
      </c>
      <c r="AP511" s="166">
        <f>+AP510*EXP(AO511)</f>
        <v>94.316623672322137</v>
      </c>
      <c r="AQ511" s="168">
        <f>LN(AP511/AP510)</f>
        <v>-5.8512726918747822E-2</v>
      </c>
      <c r="AR511" s="69">
        <f>+AD511/$AF$11</f>
        <v>8.0839685567521344E-3</v>
      </c>
      <c r="AS511" s="169">
        <f>+AR511*AQ511</f>
        <v>-4.7301504458098162E-4</v>
      </c>
      <c r="AT511" s="115"/>
      <c r="AU511" s="115"/>
      <c r="AV511" s="113">
        <f>IFERROR(INDEX('Total Customers'!$F$7:$AB$91,MATCH($C511,'Total Customers'!$D$7:$D$91,0),MATCH($G511,'Total Customers'!$F$5:$AB$5,0)),"NA")</f>
        <v>323170</v>
      </c>
      <c r="AW511" s="68">
        <f t="shared" si="844"/>
        <v>8.9048336979992756E-3</v>
      </c>
      <c r="AX511" s="114"/>
      <c r="AY511" s="114"/>
      <c r="AZ511" s="116"/>
      <c r="BA511" s="116"/>
      <c r="BB511" s="166"/>
      <c r="BC511" s="166"/>
      <c r="BD511" s="166"/>
      <c r="BE511" s="166"/>
      <c r="BF511" s="166"/>
      <c r="BG511" s="166"/>
      <c r="BH511" s="166"/>
      <c r="BI511" s="113"/>
      <c r="BJ511" s="113"/>
      <c r="BK511" s="113">
        <f>INDEX('Dist. Plant Gas Additions'!$F$7:$AE$91,MATCH($C511,'Dist. Plant Gas Additions'!$D$7:$D$91,0),MATCH(Calculation!$G511,'Dist. Plant Gas Additions'!$F$5:$AE$5,0))</f>
        <v>17851</v>
      </c>
      <c r="BL511" s="113">
        <f>INDEX('Gen. Plant Additions'!$F$7:$AE$91,MATCH($C511,'Gen. Plant Additions'!$D$7:$D$91,0),MATCH(Calculation!$G511,'Gen. Plant Additions'!$F$5:$AE$5,0))</f>
        <v>649</v>
      </c>
      <c r="BM511" s="231">
        <f t="shared" si="934"/>
        <v>0.97703272381772699</v>
      </c>
      <c r="BN511" s="61">
        <f t="shared" si="929"/>
        <v>634.09423775770483</v>
      </c>
      <c r="BO511" s="113">
        <f>INDEX('Dist Plant Depreciation'!$E$7:$AD$94,MATCH($C511,'Dist Plant Depreciation'!$D$7:$D$94,0),MATCH(Calculation!$G511,'Dist Plant Depreciation'!$E$5:$AD$5,0))</f>
        <v>146047</v>
      </c>
      <c r="BP511" s="113">
        <f>INDEX('Gen. Plant Depreciation'!$E$7:$AD$94,MATCH($C511,'Gen. Plant Depreciation'!$D$7:$D$94,0),MATCH(Calculation!$G511,'Gen. Plant Depreciation'!$E$5:$AD$5,0))</f>
        <v>6789</v>
      </c>
      <c r="BQ511" s="113"/>
      <c r="BR511" s="113"/>
      <c r="BS511" s="113"/>
      <c r="BT511" s="113"/>
      <c r="BU511" s="113"/>
      <c r="BV511" s="113"/>
      <c r="BW511" s="113">
        <f>INDEX('Gross Dx Plant'!$E$7:$AD$91,MATCH($C511,'Gross Dx Plant'!$D$7:$D$91,0),MATCH(Calculation!$G511,'Gross Dx Plant'!$E$5:$AD$5,0))</f>
        <v>440121</v>
      </c>
      <c r="BX511" s="113">
        <f>INDEX('Gross Gen Plant'!$E$7:$AD$91,MATCH($C511,'Gross Gen Plant'!$D$7:$D$91,0),MATCH(Calculation!$G511,'Gross Gen Plant'!$E$5:$AD$5,0))</f>
        <v>10346</v>
      </c>
      <c r="BY511" s="113">
        <f t="shared" si="959"/>
        <v>297631</v>
      </c>
      <c r="BZ511" s="114"/>
      <c r="CA511" s="116">
        <v>2006</v>
      </c>
      <c r="CB511" s="113"/>
      <c r="CC511" s="113"/>
      <c r="CD511" s="113"/>
      <c r="CE511" s="175"/>
      <c r="CF511" s="113">
        <f t="shared" si="935"/>
        <v>18500</v>
      </c>
      <c r="CG511" s="113">
        <f t="shared" si="936"/>
        <v>40.122695399482588</v>
      </c>
      <c r="CH511" s="178">
        <v>0.9555555555555556</v>
      </c>
      <c r="CI511" s="61">
        <f>+CI503*CH511+CG504*CH510+CG505*CH509+CG506*CH508+CG507*CH507+CG508*CH506+CG509*CH505+CG510*CH504+CG511</f>
        <v>1408.987542642094</v>
      </c>
      <c r="CJ511" s="114">
        <f t="shared" si="937"/>
        <v>2.2721006422916971E-2</v>
      </c>
      <c r="CK511" s="114"/>
      <c r="CL511" s="169">
        <f t="shared" si="938"/>
        <v>6.1495809023328274E-3</v>
      </c>
      <c r="CM511" s="169">
        <f t="shared" si="946"/>
        <v>5.9588054618370219E-3</v>
      </c>
      <c r="CN511" s="114">
        <f>VLOOKUP($H511,RoR!$E:$F,2,FALSE)</f>
        <v>5.5874999999999994E-2</v>
      </c>
      <c r="CO511" s="169">
        <v>3.0512430354548314E-2</v>
      </c>
      <c r="CP511" s="169">
        <f t="shared" si="944"/>
        <v>2.536256964545168E-2</v>
      </c>
      <c r="CQ511" s="169">
        <f t="shared" si="947"/>
        <v>2.4943136146696604E-2</v>
      </c>
      <c r="CR511" s="169">
        <f t="shared" si="948"/>
        <v>7.9087823893859641E-2</v>
      </c>
      <c r="CS511" s="179">
        <f t="shared" si="939"/>
        <v>0.85466708209999998</v>
      </c>
      <c r="CT511" s="180">
        <f t="shared" si="940"/>
        <v>0.91779957551769631</v>
      </c>
      <c r="CU511" s="180">
        <f t="shared" si="941"/>
        <v>0.52757270693512304</v>
      </c>
      <c r="CV511" s="180">
        <f t="shared" si="942"/>
        <v>0.88636824549024895</v>
      </c>
      <c r="CW511" s="180">
        <f t="shared" si="943"/>
        <v>0.42918482841932087</v>
      </c>
      <c r="CX511" s="181">
        <f>INDEX('State Tax Lookup'!$D$7:$Z$91,MATCH(Calculation!$C511,'State Tax Lookup'!$B$7:$B$91,0),MATCH($H511,'State Tax Lookup'!$D$6:$Z$6,0))</f>
        <v>0.39279166999999998</v>
      </c>
      <c r="CY511" s="72">
        <v>0.37</v>
      </c>
      <c r="CZ511" s="70">
        <f t="shared" si="945"/>
        <v>16.076634348045708</v>
      </c>
      <c r="DA511" s="70">
        <v>14.788696346247992</v>
      </c>
      <c r="DB511" s="69">
        <f t="shared" si="949"/>
        <v>-2.3468024477534124E-2</v>
      </c>
      <c r="DC511" s="111">
        <f>VLOOKUP($H511,RoR!$E:$F,2,FALSE)</f>
        <v>5.5874999999999994E-2</v>
      </c>
      <c r="DD511" s="216">
        <f>HLOOKUP($H511,'GDP-PI'!$D$8:$CQ$11,3,FALSE)</f>
        <v>3.0512430354548314E-2</v>
      </c>
      <c r="DE511" s="111">
        <f>VLOOKUP(H511,'HW Dx Data'!$E:$F,2,FALSE)</f>
        <v>461.08567272971823</v>
      </c>
      <c r="DF511" s="72">
        <f t="shared" si="960"/>
        <v>109.4</v>
      </c>
      <c r="DG511" s="69">
        <f t="shared" si="961"/>
        <v>9.7620891318751846E-2</v>
      </c>
      <c r="DH511" s="66">
        <f>HLOOKUP(H511,'GDP-PI'!$8:$9,2,FALSE)</f>
        <v>90.073999999999998</v>
      </c>
      <c r="DI511" s="69">
        <f t="shared" si="950"/>
        <v>3.005618372545445E-2</v>
      </c>
      <c r="EB511"/>
    </row>
    <row r="512" spans="1:132" s="160" customFormat="1" ht="21">
      <c r="A512" s="160" t="s">
        <v>190</v>
      </c>
      <c r="B512" s="161" t="s">
        <v>190</v>
      </c>
      <c r="C512" s="161">
        <v>4057090</v>
      </c>
      <c r="D512" s="161" t="s">
        <v>187</v>
      </c>
      <c r="E512" s="161"/>
      <c r="F512" s="161"/>
      <c r="G512" s="161" t="s">
        <v>118</v>
      </c>
      <c r="H512" s="162">
        <v>2007</v>
      </c>
      <c r="I512" s="163"/>
      <c r="J512" s="159">
        <f>IFERROR(INDEX('Labor Expenditures'!$F$7:$X$91,MATCH($C512,'Labor Expenditures'!$D$7:$D$91,0),MATCH($G512,'Labor Expenditures'!$F$5:$X$5,0)),"NA")</f>
        <v>17677.630636025351</v>
      </c>
      <c r="K512" s="159">
        <f t="shared" si="951"/>
        <v>169.12346937120643</v>
      </c>
      <c r="L512" s="165">
        <f t="shared" si="957"/>
        <v>7.0753875178575384E-2</v>
      </c>
      <c r="M512" s="76">
        <f t="shared" si="962"/>
        <v>5.6882201615301379E-4</v>
      </c>
      <c r="N512" s="62">
        <f t="shared" ref="N512:N525" si="967">+N511*EXP(O512)</f>
        <v>118.06674600522911</v>
      </c>
      <c r="O512" s="96">
        <f t="shared" si="963"/>
        <v>9.0750881051196775E-2</v>
      </c>
      <c r="P512" s="96"/>
      <c r="Q512" s="159">
        <f>IFERROR(INDEX('Non-Labor Expenditures'!$F$7:$AB$91,MATCH($C512,'Non-Labor Expenditures'!$D$7:$D$91,0),MATCH($G512,'Non-Labor Expenditures'!$F$5:$AB$5,0)),"NA")</f>
        <v>25600.5108869291</v>
      </c>
      <c r="R512" s="159">
        <f t="shared" si="952"/>
        <v>276.76826403737482</v>
      </c>
      <c r="S512" s="165">
        <f t="shared" si="964"/>
        <v>-1.3862055167150819E-3</v>
      </c>
      <c r="T512" s="165">
        <f t="shared" si="965"/>
        <v>-1.11443255204072E-5</v>
      </c>
      <c r="U512" s="165"/>
      <c r="V512" s="165"/>
      <c r="W512" s="159">
        <f t="shared" si="933"/>
        <v>24315.487888595046</v>
      </c>
      <c r="X512" s="163"/>
      <c r="Y512" s="167">
        <v>1452.7865943756306</v>
      </c>
      <c r="Z512" s="168">
        <v>3.0612109781193778E-2</v>
      </c>
      <c r="AA512" s="76">
        <f t="shared" si="953"/>
        <v>2.4610442835092561E-4</v>
      </c>
      <c r="AB512" s="168"/>
      <c r="AC512" s="168"/>
      <c r="AD512" s="163">
        <f t="shared" si="928"/>
        <v>67593.629411549497</v>
      </c>
      <c r="AE512" s="168">
        <f t="shared" si="966"/>
        <v>4.9248824170079218E-2</v>
      </c>
      <c r="AF512" s="163"/>
      <c r="AG512" s="163"/>
      <c r="AH512" s="163"/>
      <c r="AI512" s="163"/>
      <c r="AJ512" s="167"/>
      <c r="AK512" s="114">
        <f>+AV512/$AX$12</f>
        <v>9.3165317429050234E-3</v>
      </c>
      <c r="AL512" s="115">
        <f t="shared" si="954"/>
        <v>0.26152805804218043</v>
      </c>
      <c r="AM512" s="115">
        <f t="shared" si="955"/>
        <v>0.37874147474842984</v>
      </c>
      <c r="AN512" s="115">
        <f t="shared" si="956"/>
        <v>0.35973046720938973</v>
      </c>
      <c r="AO512" s="115">
        <f t="shared" si="958"/>
        <v>2.8971466576274793E-2</v>
      </c>
      <c r="AP512" s="166">
        <f>+AP511*EXP(AO512)</f>
        <v>97.089081752711792</v>
      </c>
      <c r="AQ512" s="168">
        <f>LN(AP512/AP511)</f>
        <v>2.8971466576274849E-2</v>
      </c>
      <c r="AR512" s="69">
        <f>+AD512/$AF$12</f>
        <v>8.0394468107558275E-3</v>
      </c>
      <c r="AS512" s="169">
        <f t="shared" ref="AS512:AS526" si="968">+AR512*AQ512</f>
        <v>2.3291456456955189E-4</v>
      </c>
      <c r="AT512" s="115"/>
      <c r="AU512" s="115"/>
      <c r="AV512" s="113">
        <f>IFERROR(INDEX('Total Customers'!$F$7:$AB$91,MATCH($C512,'Total Customers'!$D$7:$D$91,0),MATCH($G512,'Total Customers'!$F$5:$AB$5,0)),"NA")</f>
        <v>325562</v>
      </c>
      <c r="AW512" s="68">
        <f t="shared" si="844"/>
        <v>7.3744191442598559E-3</v>
      </c>
      <c r="AX512" s="114"/>
      <c r="AY512" s="114"/>
      <c r="AZ512" s="116"/>
      <c r="BA512" s="116"/>
      <c r="BB512" s="166"/>
      <c r="BC512" s="166"/>
      <c r="BD512" s="166"/>
      <c r="BE512" s="166"/>
      <c r="BF512" s="166"/>
      <c r="BG512" s="166"/>
      <c r="BH512" s="166"/>
      <c r="BI512" s="113"/>
      <c r="BJ512" s="113"/>
      <c r="BK512" s="113">
        <f>INDEX('Dist. Plant Gas Additions'!$F$7:$AE$91,MATCH($C512,'Dist. Plant Gas Additions'!$D$7:$D$91,0),MATCH(Calculation!$G512,'Dist. Plant Gas Additions'!$F$5:$AE$5,0))</f>
        <v>25972</v>
      </c>
      <c r="BL512" s="113">
        <f>INDEX('Gen. Plant Additions'!$F$7:$AE$91,MATCH($C512,'Gen. Plant Additions'!$D$7:$D$91,0),MATCH(Calculation!$G512,'Gen. Plant Additions'!$F$5:$AE$5,0))</f>
        <v>299</v>
      </c>
      <c r="BM512" s="231">
        <f t="shared" si="934"/>
        <v>0.98091388534385859</v>
      </c>
      <c r="BN512" s="61">
        <f t="shared" si="929"/>
        <v>293.29325171781375</v>
      </c>
      <c r="BO512" s="113">
        <f>INDEX('Dist Plant Depreciation'!$E$7:$AD$94,MATCH($C512,'Dist Plant Depreciation'!$D$7:$D$94,0),MATCH(Calculation!$G512,'Dist Plant Depreciation'!$E$5:$AD$5,0))</f>
        <v>156229</v>
      </c>
      <c r="BP512" s="113">
        <f>INDEX('Gen. Plant Depreciation'!$E$7:$AD$94,MATCH($C512,'Gen. Plant Depreciation'!$D$7:$D$94,0),MATCH(Calculation!$G512,'Gen. Plant Depreciation'!$E$5:$AD$5,0))</f>
        <v>5623</v>
      </c>
      <c r="BQ512" s="113"/>
      <c r="BR512" s="113"/>
      <c r="BS512" s="113"/>
      <c r="BT512" s="113"/>
      <c r="BU512" s="113"/>
      <c r="BV512" s="113"/>
      <c r="BW512" s="113">
        <f>INDEX('Gross Dx Plant'!$E$7:$AD$91,MATCH($C512,'Gross Dx Plant'!$D$7:$D$91,0),MATCH(Calculation!$G512,'Gross Dx Plant'!$E$5:$AD$5,0))</f>
        <v>464243</v>
      </c>
      <c r="BX512" s="113">
        <f>INDEX('Gross Gen Plant'!$E$7:$AD$91,MATCH($C512,'Gross Gen Plant'!$D$7:$D$91,0),MATCH(Calculation!$G512,'Gross Gen Plant'!$E$5:$AD$5,0))</f>
        <v>9033</v>
      </c>
      <c r="BY512" s="113">
        <f t="shared" si="959"/>
        <v>311424</v>
      </c>
      <c r="BZ512" s="113"/>
      <c r="CA512" s="116">
        <v>2007</v>
      </c>
      <c r="CB512" s="113"/>
      <c r="CC512" s="113"/>
      <c r="CD512" s="113"/>
      <c r="CE512" s="175"/>
      <c r="CF512" s="113">
        <f t="shared" si="935"/>
        <v>26271</v>
      </c>
      <c r="CG512" s="113">
        <f t="shared" si="936"/>
        <v>52.750648281340624</v>
      </c>
      <c r="CH512" s="178">
        <v>0.94915254237288138</v>
      </c>
      <c r="CI512" s="61">
        <f>+CI503*CH512+CG504*CH511+CG505*CH510+CG506*CH509+CG507*CH508+CG508*CH507+CG509*CH506+CG510*CH505+CG511*CH504+CG512</f>
        <v>1452.7865943756306</v>
      </c>
      <c r="CJ512" s="114">
        <f t="shared" si="937"/>
        <v>3.0612109781193778E-2</v>
      </c>
      <c r="CK512" s="114"/>
      <c r="CL512" s="169">
        <f t="shared" si="938"/>
        <v>6.3532119886725875E-3</v>
      </c>
      <c r="CM512" s="169">
        <f t="shared" si="946"/>
        <v>6.1534277004752433E-3</v>
      </c>
      <c r="CN512" s="114">
        <f>VLOOKUP($H512,RoR!$E:$F,2,FALSE)</f>
        <v>5.5558333333333321E-2</v>
      </c>
      <c r="CO512" s="169">
        <v>2.691120634145272E-2</v>
      </c>
      <c r="CP512" s="169">
        <f t="shared" si="944"/>
        <v>2.86471269918806E-2</v>
      </c>
      <c r="CQ512" s="169">
        <f t="shared" si="947"/>
        <v>2.4748513908058382E-2</v>
      </c>
      <c r="CR512" s="169">
        <f t="shared" si="948"/>
        <v>6.4575155250632399E-2</v>
      </c>
      <c r="CS512" s="179">
        <f t="shared" si="939"/>
        <v>0.85466708209999998</v>
      </c>
      <c r="CT512" s="180">
        <f t="shared" si="940"/>
        <v>0.92303077153834634</v>
      </c>
      <c r="CU512" s="180">
        <f t="shared" si="941"/>
        <v>0.52502249887505614</v>
      </c>
      <c r="CV512" s="180">
        <f t="shared" si="942"/>
        <v>0.88499666072084604</v>
      </c>
      <c r="CW512" s="180">
        <f t="shared" si="943"/>
        <v>0.42887993290280618</v>
      </c>
      <c r="CX512" s="181">
        <f>INDEX('State Tax Lookup'!$D$7:$Z$91,MATCH(Calculation!$C512,'State Tax Lookup'!$B$7:$B$91,0),MATCH($H512,'State Tax Lookup'!$D$6:$Z$6,0))</f>
        <v>0.39279166999999998</v>
      </c>
      <c r="CY512" s="72">
        <v>0.37</v>
      </c>
      <c r="CZ512" s="70">
        <f t="shared" si="945"/>
        <v>17.257418644737854</v>
      </c>
      <c r="DA512" s="70">
        <v>16.108943221861779</v>
      </c>
      <c r="DB512" s="69">
        <f t="shared" si="949"/>
        <v>7.0875182257414113E-2</v>
      </c>
      <c r="DC512" s="111">
        <f>VLOOKUP($H512,RoR!$E:$F,2,FALSE)</f>
        <v>5.5558333333333321E-2</v>
      </c>
      <c r="DD512" s="216">
        <f>HLOOKUP($H512,'GDP-PI'!$D$8:$CQ$11,3,FALSE)</f>
        <v>2.691120634145272E-2</v>
      </c>
      <c r="DE512" s="111">
        <f>VLOOKUP(H512,'HW Dx Data'!$E:$F,2,FALSE)</f>
        <v>498.0223154772637</v>
      </c>
      <c r="DF512" s="72">
        <f t="shared" si="960"/>
        <v>104.52499999999999</v>
      </c>
      <c r="DG512" s="69">
        <f t="shared" si="961"/>
        <v>-4.5584612745252218E-2</v>
      </c>
      <c r="DH512" s="66">
        <f>HLOOKUP(H512,'GDP-PI'!$8:$9,2,FALSE)</f>
        <v>92.498000000000005</v>
      </c>
      <c r="DI512" s="69">
        <f t="shared" si="950"/>
        <v>2.6555467950038037E-2</v>
      </c>
      <c r="EB512"/>
    </row>
    <row r="513" spans="1:132" s="160" customFormat="1" ht="21">
      <c r="A513" s="160" t="s">
        <v>190</v>
      </c>
      <c r="B513" s="161" t="s">
        <v>190</v>
      </c>
      <c r="C513" s="161">
        <v>4057090</v>
      </c>
      <c r="D513" s="161" t="s">
        <v>187</v>
      </c>
      <c r="E513" s="161"/>
      <c r="F513" s="161"/>
      <c r="G513" s="161" t="s">
        <v>120</v>
      </c>
      <c r="H513" s="162">
        <v>2008</v>
      </c>
      <c r="I513" s="163"/>
      <c r="J513" s="159">
        <f>IFERROR(INDEX('Labor Expenditures'!$F$7:$X$91,MATCH($C513,'Labor Expenditures'!$D$7:$D$91,0),MATCH($G513,'Labor Expenditures'!$F$5:$X$5,0)),"NA")</f>
        <v>19467.730833496753</v>
      </c>
      <c r="K513" s="159">
        <f t="shared" si="951"/>
        <v>180.42382607503941</v>
      </c>
      <c r="L513" s="165">
        <f t="shared" si="957"/>
        <v>6.4679636325384954E-2</v>
      </c>
      <c r="M513" s="76">
        <f t="shared" si="962"/>
        <v>5.4778198732885128E-4</v>
      </c>
      <c r="N513" s="62">
        <f t="shared" si="967"/>
        <v>109.85624085305798</v>
      </c>
      <c r="O513" s="96">
        <f t="shared" si="963"/>
        <v>-7.2077498945205723E-2</v>
      </c>
      <c r="P513" s="96"/>
      <c r="Q513" s="159">
        <f>IFERROR(INDEX('Non-Labor Expenditures'!$F$7:$AB$91,MATCH($C513,'Non-Labor Expenditures'!$D$7:$D$91,0),MATCH($G513,'Non-Labor Expenditures'!$F$5:$AB$5,0)),"NA")</f>
        <v>28192.910317465256</v>
      </c>
      <c r="R513" s="159">
        <f t="shared" si="952"/>
        <v>299.08459557694619</v>
      </c>
      <c r="S513" s="165">
        <f t="shared" si="964"/>
        <v>7.7545897598813182E-2</v>
      </c>
      <c r="T513" s="165">
        <f t="shared" si="965"/>
        <v>6.567483725817728E-4</v>
      </c>
      <c r="U513" s="165"/>
      <c r="V513" s="165"/>
      <c r="W513" s="159">
        <f t="shared" si="933"/>
        <v>28468.476373063935</v>
      </c>
      <c r="X513" s="163"/>
      <c r="Y513" s="167">
        <v>1529.0740754353974</v>
      </c>
      <c r="Z513" s="168">
        <v>5.1178871372718218E-2</v>
      </c>
      <c r="AA513" s="76">
        <f t="shared" si="953"/>
        <v>4.334418908721096E-4</v>
      </c>
      <c r="AB513" s="168"/>
      <c r="AC513" s="168"/>
      <c r="AD513" s="163">
        <f t="shared" si="928"/>
        <v>76129.117524025947</v>
      </c>
      <c r="AE513" s="168">
        <f t="shared" si="966"/>
        <v>0.11891707441888692</v>
      </c>
      <c r="AF513" s="163"/>
      <c r="AG513" s="163"/>
      <c r="AH513" s="163"/>
      <c r="AI513" s="163"/>
      <c r="AJ513" s="167"/>
      <c r="AK513" s="114">
        <f>+AV513/$AX$13</f>
        <v>8.9331248685151961E-3</v>
      </c>
      <c r="AL513" s="115">
        <f t="shared" si="954"/>
        <v>0.25571990674071376</v>
      </c>
      <c r="AM513" s="115">
        <f t="shared" si="955"/>
        <v>0.37033018685088165</v>
      </c>
      <c r="AN513" s="115">
        <f t="shared" si="956"/>
        <v>0.37394990640840459</v>
      </c>
      <c r="AO513" s="115">
        <f t="shared" si="958"/>
        <v>6.4545889043414559E-2</v>
      </c>
      <c r="AP513" s="166">
        <f t="shared" ref="AP513:AP526" si="969">+AP512*EXP(AO513)</f>
        <v>103.56245023846385</v>
      </c>
      <c r="AQ513" s="168">
        <f t="shared" ref="AQ513:AQ526" si="970">LN(AP513/AP512)</f>
        <v>6.4545889043414503E-2</v>
      </c>
      <c r="AR513" s="69">
        <f>+AD513/$AF$13</f>
        <v>8.4691568853775719E-3</v>
      </c>
      <c r="AS513" s="169">
        <f t="shared" si="968"/>
        <v>5.4664926061485074E-4</v>
      </c>
      <c r="AT513" s="115"/>
      <c r="AU513" s="115"/>
      <c r="AV513" s="113">
        <f>IFERROR(INDEX('Total Customers'!$F$7:$AB$91,MATCH($C513,'Total Customers'!$D$7:$D$91,0),MATCH($G513,'Total Customers'!$F$5:$AB$5,0)),"NA")</f>
        <v>313842</v>
      </c>
      <c r="AW513" s="68">
        <f t="shared" si="844"/>
        <v>-3.6663245145848081E-2</v>
      </c>
      <c r="AX513" s="114"/>
      <c r="AY513" s="114"/>
      <c r="AZ513" s="116"/>
      <c r="BA513" s="116"/>
      <c r="BB513" s="166"/>
      <c r="BC513" s="166"/>
      <c r="BD513" s="166"/>
      <c r="BE513" s="166"/>
      <c r="BF513" s="166"/>
      <c r="BG513" s="166"/>
      <c r="BH513" s="166"/>
      <c r="BI513" s="113"/>
      <c r="BJ513" s="113"/>
      <c r="BK513" s="113">
        <f>INDEX('Dist. Plant Gas Additions'!$F$7:$AE$91,MATCH($C513,'Dist. Plant Gas Additions'!$D$7:$D$91,0),MATCH(Calculation!$G513,'Dist. Plant Gas Additions'!$F$5:$AE$5,0))</f>
        <v>48893</v>
      </c>
      <c r="BL513" s="113">
        <f>INDEX('Gen. Plant Additions'!$F$7:$AE$91,MATCH($C513,'Gen. Plant Additions'!$D$7:$D$91,0),MATCH(Calculation!$G513,'Gen. Plant Additions'!$F$5:$AE$5,0))</f>
        <v>5</v>
      </c>
      <c r="BM513" s="231">
        <f t="shared" si="934"/>
        <v>0.98263148892992835</v>
      </c>
      <c r="BN513" s="61">
        <f t="shared" si="929"/>
        <v>4.9131574446496415</v>
      </c>
      <c r="BO513" s="113">
        <f>INDEX('Dist Plant Depreciation'!$E$7:$AD$94,MATCH($C513,'Dist Plant Depreciation'!$D$7:$D$94,0),MATCH(Calculation!$G513,'Dist Plant Depreciation'!$E$5:$AD$5,0))</f>
        <v>167528</v>
      </c>
      <c r="BP513" s="113">
        <f>INDEX('Gen. Plant Depreciation'!$E$7:$AD$94,MATCH($C513,'Gen. Plant Depreciation'!$D$7:$D$94,0),MATCH(Calculation!$G513,'Gen. Plant Depreciation'!$E$5:$AD$5,0))</f>
        <v>5911</v>
      </c>
      <c r="BQ513" s="113"/>
      <c r="BR513" s="113"/>
      <c r="BS513" s="113"/>
      <c r="BT513" s="113"/>
      <c r="BU513" s="113"/>
      <c r="BV513" s="113"/>
      <c r="BW513" s="113">
        <f>INDEX('Gross Dx Plant'!$E$7:$AD$91,MATCH($C513,'Gross Dx Plant'!$D$7:$D$91,0),MATCH(Calculation!$G513,'Gross Dx Plant'!$E$5:$AD$5,0))</f>
        <v>511329</v>
      </c>
      <c r="BX513" s="113">
        <f>INDEX('Gross Gen Plant'!$E$7:$AD$91,MATCH($C513,'Gross Gen Plant'!$D$7:$D$91,0),MATCH(Calculation!$G513,'Gross Gen Plant'!$E$5:$AD$5,0))</f>
        <v>9038</v>
      </c>
      <c r="BY513" s="113">
        <f t="shared" si="959"/>
        <v>346928</v>
      </c>
      <c r="BZ513" s="113"/>
      <c r="CA513" s="116">
        <v>2008</v>
      </c>
      <c r="CB513" s="113"/>
      <c r="CC513" s="113"/>
      <c r="CD513" s="113"/>
      <c r="CE513" s="175"/>
      <c r="CF513" s="113">
        <f t="shared" si="935"/>
        <v>48898</v>
      </c>
      <c r="CG513" s="113">
        <f t="shared" si="936"/>
        <v>85.803847738495733</v>
      </c>
      <c r="CH513" s="178">
        <v>0.94252873563218387</v>
      </c>
      <c r="CI513" s="61">
        <f>+CI503*CH513+CG504*CH512+CG505*CH511+CG506*CH510+CG507*CH509+CG508*CH508+CG509*CH507+CG510*CH506+CG511*CH505+CG512*CH504+CG513</f>
        <v>1529.0740754353974</v>
      </c>
      <c r="CJ513" s="114">
        <f t="shared" si="937"/>
        <v>5.1178871372718218E-2</v>
      </c>
      <c r="CK513" s="114"/>
      <c r="CL513" s="169">
        <f t="shared" si="938"/>
        <v>6.5504229702909563E-3</v>
      </c>
      <c r="CM513" s="169">
        <f t="shared" si="946"/>
        <v>6.3510719537654579E-3</v>
      </c>
      <c r="CN513" s="114">
        <f>VLOOKUP($H513,RoR!$E:$F,2,FALSE)</f>
        <v>5.6316666666666668E-2</v>
      </c>
      <c r="CO513" s="169">
        <v>1.9092304698479889E-2</v>
      </c>
      <c r="CP513" s="169">
        <f t="shared" si="944"/>
        <v>3.7224361968186778E-2</v>
      </c>
      <c r="CQ513" s="169">
        <f t="shared" si="947"/>
        <v>2.4550869654768166E-2</v>
      </c>
      <c r="CR513" s="169">
        <f t="shared" si="948"/>
        <v>6.9030581091053131E-2</v>
      </c>
      <c r="CS513" s="179">
        <f t="shared" si="939"/>
        <v>0.85466708209999998</v>
      </c>
      <c r="CT513" s="180">
        <f t="shared" si="940"/>
        <v>0.91060168006009956</v>
      </c>
      <c r="CU513" s="180">
        <f t="shared" si="941"/>
        <v>0.53108168097070152</v>
      </c>
      <c r="CV513" s="180">
        <f t="shared" si="942"/>
        <v>0.88825329850328805</v>
      </c>
      <c r="CW513" s="180">
        <f t="shared" si="943"/>
        <v>0.4295627335323573</v>
      </c>
      <c r="CX513" s="181">
        <f>INDEX('State Tax Lookup'!$D$7:$Z$91,MATCH(Calculation!$C513,'State Tax Lookup'!$B$7:$B$91,0),MATCH($H513,'State Tax Lookup'!$D$6:$Z$6,0))</f>
        <v>0.39279166999999998</v>
      </c>
      <c r="CY513" s="72">
        <v>0.37</v>
      </c>
      <c r="CZ513" s="70">
        <f t="shared" si="945"/>
        <v>19.59577303595573</v>
      </c>
      <c r="DA513" s="70">
        <v>18.300102035478151</v>
      </c>
      <c r="DB513" s="69">
        <f t="shared" si="949"/>
        <v>0.12707176416041932</v>
      </c>
      <c r="DC513" s="111">
        <f>VLOOKUP($H513,RoR!$E:$F,2,FALSE)</f>
        <v>5.6316666666666668E-2</v>
      </c>
      <c r="DD513" s="216">
        <f>HLOOKUP($H513,'GDP-PI'!$D$8:$CQ$11,3,FALSE)</f>
        <v>1.9092304698479889E-2</v>
      </c>
      <c r="DE513" s="111">
        <f>VLOOKUP(H513,'HW Dx Data'!$E:$F,2,FALSE)</f>
        <v>569.88120333515076</v>
      </c>
      <c r="DF513" s="72">
        <f t="shared" si="960"/>
        <v>107.9</v>
      </c>
      <c r="DG513" s="69">
        <f t="shared" si="961"/>
        <v>3.1778595021460486E-2</v>
      </c>
      <c r="DH513" s="66">
        <f>HLOOKUP(H513,'GDP-PI'!$8:$9,2,FALSE)</f>
        <v>94.263999999999996</v>
      </c>
      <c r="DI513" s="69">
        <f t="shared" si="950"/>
        <v>1.8912333748032254E-2</v>
      </c>
      <c r="EB513"/>
    </row>
    <row r="514" spans="1:132" s="160" customFormat="1" ht="21">
      <c r="A514" s="160" t="s">
        <v>190</v>
      </c>
      <c r="B514" s="161" t="s">
        <v>190</v>
      </c>
      <c r="C514" s="161">
        <v>4057090</v>
      </c>
      <c r="D514" s="161" t="s">
        <v>187</v>
      </c>
      <c r="E514" s="161"/>
      <c r="F514" s="161"/>
      <c r="G514" s="161" t="s">
        <v>125</v>
      </c>
      <c r="H514" s="162">
        <v>2009</v>
      </c>
      <c r="I514" s="163"/>
      <c r="J514" s="159">
        <f>IFERROR(INDEX('Labor Expenditures'!$F$7:$X$91,MATCH($C514,'Labor Expenditures'!$D$7:$D$91,0),MATCH($G514,'Labor Expenditures'!$F$5:$X$5,0)),"NA")</f>
        <v>20766.496132246513</v>
      </c>
      <c r="K514" s="159">
        <f t="shared" si="951"/>
        <v>187.21204536620701</v>
      </c>
      <c r="L514" s="165">
        <f t="shared" si="957"/>
        <v>3.6933234384131028E-2</v>
      </c>
      <c r="M514" s="76">
        <f t="shared" si="962"/>
        <v>3.1352887429861087E-4</v>
      </c>
      <c r="N514" s="62">
        <f t="shared" si="967"/>
        <v>118.07779010537607</v>
      </c>
      <c r="O514" s="96">
        <f t="shared" si="963"/>
        <v>7.2171035728541263E-2</v>
      </c>
      <c r="P514" s="96"/>
      <c r="Q514" s="159">
        <f>IFERROR(INDEX('Non-Labor Expenditures'!$F$7:$AB$91,MATCH($C514,'Non-Labor Expenditures'!$D$7:$D$91,0),MATCH($G514,'Non-Labor Expenditures'!$F$5:$AB$5,0)),"NA")</f>
        <v>30073.765045951917</v>
      </c>
      <c r="R514" s="159">
        <f t="shared" si="952"/>
        <v>316.56928016033766</v>
      </c>
      <c r="S514" s="165">
        <f t="shared" si="964"/>
        <v>5.6815650566705615E-2</v>
      </c>
      <c r="T514" s="165">
        <f t="shared" si="965"/>
        <v>4.8231213057192311E-4</v>
      </c>
      <c r="U514" s="165"/>
      <c r="V514" s="165"/>
      <c r="W514" s="159">
        <f t="shared" si="933"/>
        <v>28750.173396308754</v>
      </c>
      <c r="X514" s="163"/>
      <c r="Y514" s="167">
        <v>1596.0945763192422</v>
      </c>
      <c r="Z514" s="168">
        <v>4.2897382861944999E-2</v>
      </c>
      <c r="AA514" s="76">
        <f t="shared" si="953"/>
        <v>3.6415895827528622E-4</v>
      </c>
      <c r="AB514" s="168"/>
      <c r="AC514" s="168"/>
      <c r="AD514" s="163">
        <f t="shared" si="928"/>
        <v>79590.434574507177</v>
      </c>
      <c r="AE514" s="168">
        <f t="shared" si="966"/>
        <v>4.446310341466795E-2</v>
      </c>
      <c r="AF514" s="163"/>
      <c r="AG514" s="163"/>
      <c r="AH514" s="163"/>
      <c r="AI514" s="163"/>
      <c r="AJ514" s="167"/>
      <c r="AK514" s="114">
        <f>+AV514/$AX$14</f>
        <v>8.9831689419547812E-3</v>
      </c>
      <c r="AL514" s="115">
        <f t="shared" si="954"/>
        <v>0.26091698384692602</v>
      </c>
      <c r="AM514" s="115">
        <f t="shared" si="955"/>
        <v>0.37785652518078533</v>
      </c>
      <c r="AN514" s="115">
        <f t="shared" si="956"/>
        <v>0.36122649097228871</v>
      </c>
      <c r="AO514" s="115">
        <f t="shared" si="958"/>
        <v>4.6563464775255289E-2</v>
      </c>
      <c r="AP514" s="166">
        <f t="shared" si="969"/>
        <v>108.49870956116342</v>
      </c>
      <c r="AQ514" s="168">
        <f t="shared" si="970"/>
        <v>4.6563464775255255E-2</v>
      </c>
      <c r="AR514" s="69">
        <f>+AD514/$AF$14</f>
        <v>8.4890716864300334E-3</v>
      </c>
      <c r="AS514" s="169">
        <f t="shared" si="968"/>
        <v>3.9528059044570158E-4</v>
      </c>
      <c r="AT514" s="115"/>
      <c r="AU514" s="115"/>
      <c r="AV514" s="113">
        <f>IFERROR(INDEX('Total Customers'!$F$7:$AB$91,MATCH($C514,'Total Customers'!$D$7:$D$91,0),MATCH($G514,'Total Customers'!$F$5:$AB$5,0)),"NA")</f>
        <v>316003</v>
      </c>
      <c r="AW514" s="68">
        <f t="shared" si="844"/>
        <v>6.8620326577679535E-3</v>
      </c>
      <c r="AX514" s="114"/>
      <c r="AY514" s="114"/>
      <c r="AZ514" s="116"/>
      <c r="BA514" s="116"/>
      <c r="BB514" s="166"/>
      <c r="BC514" s="166"/>
      <c r="BD514" s="166"/>
      <c r="BE514" s="166"/>
      <c r="BF514" s="166"/>
      <c r="BG514" s="166"/>
      <c r="BH514" s="166"/>
      <c r="BI514" s="113"/>
      <c r="BJ514" s="113"/>
      <c r="BK514" s="113">
        <f>INDEX('Dist. Plant Gas Additions'!$F$7:$AE$91,MATCH($C514,'Dist. Plant Gas Additions'!$D$7:$D$91,0),MATCH(Calculation!$G514,'Dist. Plant Gas Additions'!$F$5:$AE$5,0))</f>
        <v>42188</v>
      </c>
      <c r="BL514" s="113">
        <f>INDEX('Gen. Plant Additions'!$F$7:$AE$91,MATCH($C514,'Gen. Plant Additions'!$D$7:$D$91,0),MATCH(Calculation!$G514,'Gen. Plant Additions'!$F$5:$AE$5,0))</f>
        <v>394</v>
      </c>
      <c r="BM514" s="231">
        <f t="shared" si="934"/>
        <v>0.98333775805615609</v>
      </c>
      <c r="BN514" s="61">
        <f>+BM514*BL514</f>
        <v>387.43507667412553</v>
      </c>
      <c r="BO514" s="113">
        <f>INDEX('Dist Plant Depreciation'!$E$7:$AD$94,MATCH($C514,'Dist Plant Depreciation'!$D$7:$D$94,0),MATCH(Calculation!$G514,'Dist Plant Depreciation'!$E$5:$AD$5,0))</f>
        <v>169707</v>
      </c>
      <c r="BP514" s="113">
        <f>INDEX('Gen. Plant Depreciation'!$E$7:$AD$94,MATCH($C514,'Gen. Plant Depreciation'!$D$7:$D$94,0),MATCH(Calculation!$G514,'Gen. Plant Depreciation'!$E$5:$AD$5,0))</f>
        <v>6249</v>
      </c>
      <c r="BQ514" s="113"/>
      <c r="BR514" s="113"/>
      <c r="BS514" s="113"/>
      <c r="BT514" s="113"/>
      <c r="BU514" s="113"/>
      <c r="BV514" s="113"/>
      <c r="BW514" s="113">
        <f>INDEX('Gross Dx Plant'!$E$7:$AD$91,MATCH($C514,'Gross Dx Plant'!$D$7:$D$91,0),MATCH(Calculation!$G514,'Gross Dx Plant'!$E$5:$AD$5,0))</f>
        <v>544481</v>
      </c>
      <c r="BX514" s="113">
        <f>INDEX('Gross Gen Plant'!$E$7:$AD$91,MATCH($C514,'Gross Gen Plant'!$D$7:$D$91,0),MATCH(Calculation!$G514,'Gross Gen Plant'!$E$5:$AD$5,0))</f>
        <v>9226</v>
      </c>
      <c r="BY514" s="113">
        <f t="shared" si="959"/>
        <v>377751</v>
      </c>
      <c r="BZ514" s="113"/>
      <c r="CA514" s="116">
        <v>2009</v>
      </c>
      <c r="CB514" s="113"/>
      <c r="CC514" s="113"/>
      <c r="CD514" s="113"/>
      <c r="CE514" s="175"/>
      <c r="CF514" s="113">
        <f t="shared" si="935"/>
        <v>42582</v>
      </c>
      <c r="CG514" s="113">
        <f t="shared" si="936"/>
        <v>77.289633684609399</v>
      </c>
      <c r="CH514" s="178">
        <v>0.93567251461988299</v>
      </c>
      <c r="CI514" s="61">
        <f>+CI503*CH514+CG504*CH513+CG505*CH512+CG506*CH511+CG507*CH510+CG508*CH509+CG509*CH508+CG510*CH507+CG511*CH506+CG512*CH505+CG513*CH504+CG514</f>
        <v>1596.0945763192422</v>
      </c>
      <c r="CJ514" s="114">
        <f t="shared" si="937"/>
        <v>4.2897382861944999E-2</v>
      </c>
      <c r="CK514" s="114"/>
      <c r="CL514" s="169">
        <f t="shared" si="938"/>
        <v>6.7159158380476402E-3</v>
      </c>
      <c r="CM514" s="169">
        <f t="shared" si="946"/>
        <v>6.5398502656703952E-3</v>
      </c>
      <c r="CN514" s="114">
        <f>VLOOKUP($H514,RoR!$E:$F,2,FALSE)</f>
        <v>5.3133333333333324E-2</v>
      </c>
      <c r="CO514" s="169">
        <v>7.7972502758210105E-3</v>
      </c>
      <c r="CP514" s="169">
        <f t="shared" si="944"/>
        <v>4.5336083057512314E-2</v>
      </c>
      <c r="CQ514" s="169">
        <f t="shared" si="947"/>
        <v>2.436209134286323E-2</v>
      </c>
      <c r="CR514" s="169">
        <f t="shared" si="948"/>
        <v>6.3720160300892073E-2</v>
      </c>
      <c r="CS514" s="179">
        <f t="shared" si="939"/>
        <v>0.85466708209999998</v>
      </c>
      <c r="CT514" s="180">
        <f t="shared" si="940"/>
        <v>0.96515780330083989</v>
      </c>
      <c r="CU514" s="180">
        <f t="shared" si="941"/>
        <v>0.50448557089084056</v>
      </c>
      <c r="CV514" s="180">
        <f t="shared" si="942"/>
        <v>0.87391435735465484</v>
      </c>
      <c r="CW514" s="180">
        <f t="shared" si="943"/>
        <v>0.42551605393279146</v>
      </c>
      <c r="CX514" s="181">
        <f>INDEX('State Tax Lookup'!$D$7:$Z$91,MATCH(Calculation!$C514,'State Tax Lookup'!$B$7:$B$91,0),MATCH($H514,'State Tax Lookup'!$D$6:$Z$6,0))</f>
        <v>0.39279166999999998</v>
      </c>
      <c r="CY514" s="72">
        <v>0.37</v>
      </c>
      <c r="CZ514" s="70">
        <f t="shared" si="945"/>
        <v>18.802341795064613</v>
      </c>
      <c r="DA514" s="70">
        <v>17.478615056163342</v>
      </c>
      <c r="DB514" s="69">
        <f t="shared" si="949"/>
        <v>-4.1332455901597863E-2</v>
      </c>
      <c r="DC514" s="111">
        <f>VLOOKUP($H514,RoR!$E:$F,2,FALSE)</f>
        <v>5.3133333333333324E-2</v>
      </c>
      <c r="DD514" s="216">
        <f>HLOOKUP($H514,'GDP-PI'!$D$8:$CQ$11,3,FALSE)</f>
        <v>7.7972502758210105E-3</v>
      </c>
      <c r="DE514" s="111">
        <f>VLOOKUP(H514,'HW Dx Data'!$E:$F,2,FALSE)</f>
        <v>550.94063679692806</v>
      </c>
      <c r="DF514" s="72">
        <f t="shared" si="960"/>
        <v>110.925</v>
      </c>
      <c r="DG514" s="69">
        <f t="shared" si="961"/>
        <v>2.7649425000884052E-2</v>
      </c>
      <c r="DH514" s="66">
        <f>HLOOKUP(H514,'GDP-PI'!$8:$9,2,FALSE)</f>
        <v>94.998999999999995</v>
      </c>
      <c r="DI514" s="69">
        <f t="shared" si="950"/>
        <v>7.7670088183096342E-3</v>
      </c>
      <c r="EB514"/>
    </row>
    <row r="515" spans="1:132" s="160" customFormat="1" ht="21">
      <c r="A515" s="160" t="s">
        <v>190</v>
      </c>
      <c r="B515" s="161" t="s">
        <v>190</v>
      </c>
      <c r="C515" s="161">
        <v>4057090</v>
      </c>
      <c r="D515" s="161" t="s">
        <v>187</v>
      </c>
      <c r="E515" s="161"/>
      <c r="F515" s="161"/>
      <c r="G515" s="161" t="s">
        <v>126</v>
      </c>
      <c r="H515" s="162">
        <v>2010</v>
      </c>
      <c r="I515" s="163"/>
      <c r="J515" s="159">
        <f>IFERROR(INDEX('Labor Expenditures'!$F$7:$X$91,MATCH($C515,'Labor Expenditures'!$D$7:$D$91,0),MATCH($G515,'Labor Expenditures'!$F$5:$X$5,0)),"NA")</f>
        <v>19817.252089175588</v>
      </c>
      <c r="K515" s="159">
        <f t="shared" si="951"/>
        <v>169.48686841287653</v>
      </c>
      <c r="L515" s="165">
        <f t="shared" si="957"/>
        <v>-9.9466455549446414E-2</v>
      </c>
      <c r="M515" s="76">
        <f t="shared" si="962"/>
        <v>-8.1183496854793E-4</v>
      </c>
      <c r="N515" s="62">
        <f t="shared" si="967"/>
        <v>97.391636552863361</v>
      </c>
      <c r="O515" s="96">
        <f t="shared" si="963"/>
        <v>-0.1926033054967983</v>
      </c>
      <c r="P515" s="96"/>
      <c r="Q515" s="159">
        <f>IFERROR(INDEX('Non-Labor Expenditures'!$F$7:$AB$91,MATCH($C515,'Non-Labor Expenditures'!$D$7:$D$91,0),MATCH($G515,'Non-Labor Expenditures'!$F$5:$AB$5,0)),"NA")</f>
        <v>28699.082377253868</v>
      </c>
      <c r="R515" s="159">
        <f t="shared" si="952"/>
        <v>298.60972830071972</v>
      </c>
      <c r="S515" s="165">
        <f t="shared" si="964"/>
        <v>-5.8404648009619808E-2</v>
      </c>
      <c r="T515" s="165">
        <f t="shared" si="965"/>
        <v>-4.7669272337116578E-4</v>
      </c>
      <c r="U515" s="165"/>
      <c r="V515" s="165"/>
      <c r="W515" s="159">
        <f t="shared" si="933"/>
        <v>30801.560997318724</v>
      </c>
      <c r="X515" s="163"/>
      <c r="Y515" s="167">
        <v>1656.3447035447336</v>
      </c>
      <c r="Z515" s="168">
        <v>3.7053432999116766E-2</v>
      </c>
      <c r="AA515" s="76">
        <f t="shared" si="953"/>
        <v>3.024263049011221E-4</v>
      </c>
      <c r="AB515" s="168"/>
      <c r="AC515" s="168"/>
      <c r="AD515" s="163">
        <f t="shared" si="928"/>
        <v>79317.89546374818</v>
      </c>
      <c r="AE515" s="168">
        <f t="shared" si="966"/>
        <v>-3.43014589500352E-3</v>
      </c>
      <c r="AF515" s="163"/>
      <c r="AG515" s="163"/>
      <c r="AH515" s="163"/>
      <c r="AI515" s="163"/>
      <c r="AJ515" s="167"/>
      <c r="AK515" s="114">
        <f>+AV515/$AX$15</f>
        <v>9.0630514618883773E-3</v>
      </c>
      <c r="AL515" s="115">
        <f t="shared" si="954"/>
        <v>0.24984591400603862</v>
      </c>
      <c r="AM515" s="115">
        <f t="shared" si="955"/>
        <v>0.36182354826056412</v>
      </c>
      <c r="AN515" s="115">
        <f t="shared" si="956"/>
        <v>0.38833053773339726</v>
      </c>
      <c r="AO515" s="115">
        <f t="shared" si="958"/>
        <v>-3.3115434131253452E-2</v>
      </c>
      <c r="AP515" s="166">
        <f t="shared" si="969"/>
        <v>104.96456797300506</v>
      </c>
      <c r="AQ515" s="168">
        <f t="shared" si="970"/>
        <v>-3.31154341312535E-2</v>
      </c>
      <c r="AR515" s="69">
        <f>+AD515/$AF$15</f>
        <v>8.1618970341649846E-3</v>
      </c>
      <c r="AS515" s="169">
        <f t="shared" si="968"/>
        <v>-2.7028476362096385E-4</v>
      </c>
      <c r="AT515" s="115"/>
      <c r="AU515" s="115"/>
      <c r="AV515" s="113">
        <f>IFERROR(INDEX('Total Customers'!$F$7:$AB$91,MATCH($C515,'Total Customers'!$D$7:$D$91,0),MATCH($G515,'Total Customers'!$F$5:$AB$5,0)),"NA")</f>
        <v>320567</v>
      </c>
      <c r="AW515" s="68">
        <f t="shared" si="844"/>
        <v>1.4339595662361463E-2</v>
      </c>
      <c r="AX515" s="114"/>
      <c r="AY515" s="114"/>
      <c r="AZ515" s="116"/>
      <c r="BA515" s="116"/>
      <c r="BB515" s="166"/>
      <c r="BC515" s="166"/>
      <c r="BD515" s="166"/>
      <c r="BE515" s="166"/>
      <c r="BF515" s="166"/>
      <c r="BG515" s="166"/>
      <c r="BH515" s="166"/>
      <c r="BI515" s="113"/>
      <c r="BJ515" s="113"/>
      <c r="BK515" s="113">
        <f>INDEX('Dist. Plant Gas Additions'!$F$7:$AE$91,MATCH($C515,'Dist. Plant Gas Additions'!$D$7:$D$91,0),MATCH(Calculation!$G515,'Dist. Plant Gas Additions'!$F$5:$AE$5,0))</f>
        <v>39862</v>
      </c>
      <c r="BL515" s="113">
        <f>INDEX('Gen. Plant Additions'!$F$7:$AE$91,MATCH($C515,'Gen. Plant Additions'!$D$7:$D$91,0),MATCH(Calculation!$G515,'Gen. Plant Additions'!$F$5:$AE$5,0))</f>
        <v>684</v>
      </c>
      <c r="BM515" s="231">
        <f t="shared" si="934"/>
        <v>0.9840537835633153</v>
      </c>
      <c r="BN515" s="61">
        <f t="shared" ref="BN515:BN531" si="971">+BM515*BL515</f>
        <v>673.09278795730768</v>
      </c>
      <c r="BO515" s="113">
        <f>INDEX('Dist Plant Depreciation'!$E$7:$AD$94,MATCH($C515,'Dist Plant Depreciation'!$D$7:$D$94,0),MATCH(Calculation!$G515,'Dist Plant Depreciation'!$E$5:$AD$5,0))</f>
        <v>54833</v>
      </c>
      <c r="BP515" s="113">
        <f>INDEX('Gen. Plant Depreciation'!$E$7:$AD$94,MATCH($C515,'Gen. Plant Depreciation'!$D$7:$D$94,0),MATCH(Calculation!$G515,'Gen. Plant Depreciation'!$E$5:$AD$5,0))</f>
        <v>-172</v>
      </c>
      <c r="BQ515" s="113"/>
      <c r="BR515" s="113"/>
      <c r="BS515" s="113"/>
      <c r="BT515" s="113"/>
      <c r="BU515" s="113"/>
      <c r="BV515" s="113"/>
      <c r="BW515" s="113">
        <f>INDEX('Gross Dx Plant'!$E$7:$AD$91,MATCH($C515,'Gross Dx Plant'!$D$7:$D$91,0),MATCH(Calculation!$G515,'Gross Dx Plant'!$E$5:$AD$5,0))</f>
        <v>574219</v>
      </c>
      <c r="BX515" s="113">
        <f>INDEX('Gross Gen Plant'!$E$7:$AD$91,MATCH($C515,'Gross Gen Plant'!$D$7:$D$91,0),MATCH(Calculation!$G515,'Gross Gen Plant'!$E$5:$AD$5,0))</f>
        <v>9305</v>
      </c>
      <c r="BY515" s="113">
        <f t="shared" si="959"/>
        <v>528863</v>
      </c>
      <c r="BZ515" s="113"/>
      <c r="CA515" s="116">
        <v>2010</v>
      </c>
      <c r="CB515" s="113"/>
      <c r="CC515" s="113"/>
      <c r="CD515" s="113"/>
      <c r="CE515" s="175"/>
      <c r="CF515" s="113">
        <f t="shared" si="935"/>
        <v>40546</v>
      </c>
      <c r="CG515" s="113">
        <f t="shared" si="936"/>
        <v>71.259662634560428</v>
      </c>
      <c r="CH515" s="178">
        <v>0.9285714285714286</v>
      </c>
      <c r="CI515" s="61">
        <f>+CI503*CH515+CG504*CH514+CG505*CH513+CG506*CH512+CG507*CH511+CG508*CH510+CG509*CH509+CG510*CH508+CG511*CH507+CG512*CH506+CG513*CH505+CG514*CH504+CG515</f>
        <v>1656.3447035447336</v>
      </c>
      <c r="CJ515" s="114">
        <f t="shared" si="937"/>
        <v>3.7053432999116766E-2</v>
      </c>
      <c r="CK515" s="114"/>
      <c r="CL515" s="169">
        <f t="shared" si="938"/>
        <v>6.8977963915259014E-3</v>
      </c>
      <c r="CM515" s="169">
        <f t="shared" si="946"/>
        <v>6.7213783999548323E-3</v>
      </c>
      <c r="CN515" s="114">
        <f>VLOOKUP($H515,RoR!$E:$F,2,FALSE)</f>
        <v>4.9433333333333322E-2</v>
      </c>
      <c r="CO515" s="169">
        <v>1.1684333519300205E-2</v>
      </c>
      <c r="CP515" s="169">
        <f t="shared" si="944"/>
        <v>3.7748999814033117E-2</v>
      </c>
      <c r="CQ515" s="169">
        <f t="shared" si="947"/>
        <v>2.4180563208578792E-2</v>
      </c>
      <c r="CR515" s="169">
        <f t="shared" si="948"/>
        <v>4.7937530248493419E-2</v>
      </c>
      <c r="CS515" s="179">
        <f t="shared" si="939"/>
        <v>0.85466708209999998</v>
      </c>
      <c r="CT515" s="180">
        <f t="shared" si="940"/>
        <v>1.037398205301105</v>
      </c>
      <c r="CU515" s="180">
        <f t="shared" si="941"/>
        <v>0.46926837491571133</v>
      </c>
      <c r="CV515" s="180">
        <f t="shared" si="942"/>
        <v>0.8548537519972772</v>
      </c>
      <c r="CW515" s="180">
        <f t="shared" si="943"/>
        <v>0.41615833911547367</v>
      </c>
      <c r="CX515" s="181">
        <f>INDEX('State Tax Lookup'!$D$7:$Z$91,MATCH(Calculation!$C515,'State Tax Lookup'!$B$7:$B$91,0),MATCH($H515,'State Tax Lookup'!$D$6:$Z$6,0))</f>
        <v>0.39279166999999998</v>
      </c>
      <c r="CY515" s="72">
        <v>0.37</v>
      </c>
      <c r="CZ515" s="70">
        <f t="shared" si="945"/>
        <v>19.298080110233997</v>
      </c>
      <c r="DA515" s="70">
        <v>17.956102603965455</v>
      </c>
      <c r="DB515" s="69">
        <f t="shared" si="949"/>
        <v>2.6024189163307034E-2</v>
      </c>
      <c r="DC515" s="111">
        <f>VLOOKUP($H515,RoR!$E:$F,2,FALSE)</f>
        <v>4.9433333333333322E-2</v>
      </c>
      <c r="DD515" s="216">
        <f>HLOOKUP($H515,'GDP-PI'!$D$8:$CQ$11,3,FALSE)</f>
        <v>1.1684333519300205E-2</v>
      </c>
      <c r="DE515" s="111">
        <f>VLOOKUP(H515,'HW Dx Data'!$E:$F,2,FALSE)</f>
        <v>568.98950262971744</v>
      </c>
      <c r="DF515" s="72">
        <f t="shared" si="960"/>
        <v>116.925</v>
      </c>
      <c r="DG515" s="69">
        <f t="shared" si="961"/>
        <v>5.2678406346976722E-2</v>
      </c>
      <c r="DH515" s="66">
        <f>HLOOKUP(H515,'GDP-PI'!$8:$9,2,FALSE)</f>
        <v>96.108999999999995</v>
      </c>
      <c r="DI515" s="69">
        <f t="shared" si="950"/>
        <v>1.1616598807150427E-2</v>
      </c>
      <c r="EB515"/>
    </row>
    <row r="516" spans="1:132" s="160" customFormat="1" ht="21">
      <c r="A516" s="160" t="s">
        <v>190</v>
      </c>
      <c r="B516" s="161" t="s">
        <v>190</v>
      </c>
      <c r="C516" s="161">
        <v>4057090</v>
      </c>
      <c r="D516" s="161" t="s">
        <v>187</v>
      </c>
      <c r="E516" s="161"/>
      <c r="F516" s="161"/>
      <c r="G516" s="161" t="s">
        <v>127</v>
      </c>
      <c r="H516" s="162">
        <v>2011</v>
      </c>
      <c r="I516" s="163"/>
      <c r="J516" s="159">
        <f>IFERROR(INDEX('Labor Expenditures'!$F$7:$X$91,MATCH($C516,'Labor Expenditures'!$D$7:$D$91,0),MATCH($G516,'Labor Expenditures'!$F$5:$X$5,0)),"NA")</f>
        <v>21335.238953880023</v>
      </c>
      <c r="K516" s="159">
        <f t="shared" si="951"/>
        <v>176.50663043540868</v>
      </c>
      <c r="L516" s="165">
        <f t="shared" si="957"/>
        <v>4.0582990545087953E-2</v>
      </c>
      <c r="M516" s="76">
        <f t="shared" si="962"/>
        <v>3.4353972731132528E-4</v>
      </c>
      <c r="N516" s="62">
        <f t="shared" si="967"/>
        <v>117.02704990108359</v>
      </c>
      <c r="O516" s="96">
        <f t="shared" si="963"/>
        <v>0.18366476386391453</v>
      </c>
      <c r="P516" s="96"/>
      <c r="Q516" s="159">
        <f>IFERROR(INDEX('Non-Labor Expenditures'!$F$7:$AB$91,MATCH($C516,'Non-Labor Expenditures'!$D$7:$D$91,0),MATCH($G516,'Non-Labor Expenditures'!$F$5:$AB$5,0)),"NA")</f>
        <v>30897.410878183491</v>
      </c>
      <c r="R516" s="159">
        <f t="shared" si="952"/>
        <v>314.91979450203331</v>
      </c>
      <c r="S516" s="165">
        <f t="shared" si="964"/>
        <v>5.3180521493747149E-2</v>
      </c>
      <c r="T516" s="165">
        <f t="shared" si="965"/>
        <v>4.5017928957054819E-4</v>
      </c>
      <c r="U516" s="165"/>
      <c r="V516" s="165"/>
      <c r="W516" s="159">
        <f t="shared" si="933"/>
        <v>34162.465371986502</v>
      </c>
      <c r="X516" s="163"/>
      <c r="Y516" s="167">
        <v>1715.3483542919582</v>
      </c>
      <c r="Z516" s="168">
        <v>3.5002993411125664E-2</v>
      </c>
      <c r="AA516" s="76">
        <f t="shared" si="953"/>
        <v>2.9630440364365133E-4</v>
      </c>
      <c r="AB516" s="168"/>
      <c r="AC516" s="168"/>
      <c r="AD516" s="163">
        <f t="shared" si="928"/>
        <v>86395.115204050016</v>
      </c>
      <c r="AE516" s="168">
        <f t="shared" si="966"/>
        <v>8.5467366149040602E-2</v>
      </c>
      <c r="AF516" s="163"/>
      <c r="AG516" s="163"/>
      <c r="AH516" s="163"/>
      <c r="AI516" s="163"/>
      <c r="AJ516" s="167"/>
      <c r="AK516" s="114">
        <f>+AV516/$AX$16</f>
        <v>8.9656960087134609E-3</v>
      </c>
      <c r="AL516" s="115">
        <f t="shared" si="954"/>
        <v>0.24694959782726089</v>
      </c>
      <c r="AM516" s="115">
        <f t="shared" si="955"/>
        <v>0.35762914147645108</v>
      </c>
      <c r="AN516" s="115">
        <f t="shared" si="956"/>
        <v>0.39542126069628808</v>
      </c>
      <c r="AO516" s="115">
        <f t="shared" si="958"/>
        <v>4.2927987913129316E-2</v>
      </c>
      <c r="AP516" s="166">
        <f t="shared" si="969"/>
        <v>109.56859957602798</v>
      </c>
      <c r="AQ516" s="168">
        <f t="shared" si="970"/>
        <v>4.2927987913129385E-2</v>
      </c>
      <c r="AR516" s="69">
        <f>+AD516/$AF$16</f>
        <v>8.4651161163111065E-3</v>
      </c>
      <c r="AS516" s="169">
        <f t="shared" si="968"/>
        <v>3.6339040232423995E-4</v>
      </c>
      <c r="AT516" s="115"/>
      <c r="AU516" s="115"/>
      <c r="AV516" s="113">
        <f>IFERROR(INDEX('Total Customers'!$F$7:$AB$91,MATCH($C516,'Total Customers'!$D$7:$D$91,0),MATCH($G516,'Total Customers'!$F$5:$AB$5,0)),"NA")</f>
        <v>318661</v>
      </c>
      <c r="AW516" s="68">
        <f t="shared" ref="AW516:AW579" si="972">LN(AV516/AV515)</f>
        <v>-5.9634610766910665E-3</v>
      </c>
      <c r="AX516" s="114"/>
      <c r="AY516" s="114"/>
      <c r="AZ516" s="116"/>
      <c r="BA516" s="116"/>
      <c r="BB516" s="166"/>
      <c r="BC516" s="166"/>
      <c r="BD516" s="166"/>
      <c r="BE516" s="166"/>
      <c r="BF516" s="166"/>
      <c r="BG516" s="166"/>
      <c r="BH516" s="166"/>
      <c r="BI516" s="113"/>
      <c r="BJ516" s="113"/>
      <c r="BK516" s="113">
        <f>INDEX('Dist. Plant Gas Additions'!$F$7:$AE$91,MATCH($C516,'Dist. Plant Gas Additions'!$D$7:$D$91,0),MATCH(Calculation!$G516,'Dist. Plant Gas Additions'!$F$5:$AE$5,0))</f>
        <v>42431</v>
      </c>
      <c r="BL516" s="113">
        <f>INDEX('Gen. Plant Additions'!$F$7:$AE$91,MATCH($C516,'Gen. Plant Additions'!$D$7:$D$91,0),MATCH(Calculation!$G516,'Gen. Plant Additions'!$F$5:$AE$5,0))</f>
        <v>843</v>
      </c>
      <c r="BM516" s="231">
        <f t="shared" si="934"/>
        <v>0.98634980105886982</v>
      </c>
      <c r="BN516" s="61">
        <f t="shared" si="971"/>
        <v>831.49288229262731</v>
      </c>
      <c r="BO516" s="113">
        <f>INDEX('Dist Plant Depreciation'!$E$7:$AD$94,MATCH($C516,'Dist Plant Depreciation'!$D$7:$D$94,0),MATCH(Calculation!$G516,'Dist Plant Depreciation'!$E$5:$AD$5,0))</f>
        <v>189161</v>
      </c>
      <c r="BP516" s="113">
        <f>INDEX('Gen. Plant Depreciation'!$E$7:$AD$94,MATCH($C516,'Gen. Plant Depreciation'!$D$7:$D$94,0),MATCH(Calculation!$G516,'Gen. Plant Depreciation'!$E$5:$AD$5,0))</f>
        <v>4788</v>
      </c>
      <c r="BQ516" s="113"/>
      <c r="BR516" s="113"/>
      <c r="BS516" s="113"/>
      <c r="BT516" s="113"/>
      <c r="BU516" s="113"/>
      <c r="BV516" s="113"/>
      <c r="BW516" s="113">
        <f>INDEX('Gross Dx Plant'!$E$7:$AD$91,MATCH($C516,'Gross Dx Plant'!$D$7:$D$91,0),MATCH(Calculation!$G516,'Gross Dx Plant'!$E$5:$AD$5,0))</f>
        <v>611817</v>
      </c>
      <c r="BX516" s="113">
        <f>INDEX('Gross Gen Plant'!$E$7:$AD$91,MATCH($C516,'Gross Gen Plant'!$D$7:$D$91,0),MATCH(Calculation!$G516,'Gross Gen Plant'!$E$5:$AD$5,0))</f>
        <v>8467</v>
      </c>
      <c r="BY516" s="113">
        <f t="shared" si="959"/>
        <v>426335</v>
      </c>
      <c r="BZ516" s="113"/>
      <c r="CA516" s="116">
        <v>2011</v>
      </c>
      <c r="CB516" s="113"/>
      <c r="CC516" s="113"/>
      <c r="CD516" s="113"/>
      <c r="CE516" s="175"/>
      <c r="CF516" s="113">
        <f t="shared" si="935"/>
        <v>43274</v>
      </c>
      <c r="CG516" s="113">
        <f t="shared" si="936"/>
        <v>70.7541120073288</v>
      </c>
      <c r="CH516" s="178">
        <v>0.92121212121212126</v>
      </c>
      <c r="CI516" s="61">
        <f>+CI503*CH516+CG504*CH515+CG505*CH514+CG506*CH513+CG507*CH512+CG508*CH511+CG509*CH510+CG510*CH509+CG511*CH508+CG512*CH507+CG513*CH506+CG514*CH505+CG515*CH504+CG516</f>
        <v>1715.3483542919582</v>
      </c>
      <c r="CJ516" s="114">
        <f t="shared" si="937"/>
        <v>3.5002993411125664E-2</v>
      </c>
      <c r="CK516" s="114"/>
      <c r="CL516" s="169">
        <f t="shared" si="938"/>
        <v>7.0942124757951185E-3</v>
      </c>
      <c r="CM516" s="169">
        <f t="shared" si="946"/>
        <v>6.9026415684562206E-3</v>
      </c>
      <c r="CN516" s="114">
        <f>VLOOKUP($H516,RoR!$E:$F,2,FALSE)</f>
        <v>4.6391666666666664E-2</v>
      </c>
      <c r="CO516" s="169">
        <v>2.0840920205183799E-2</v>
      </c>
      <c r="CP516" s="169">
        <f t="shared" si="944"/>
        <v>2.5550746461482865E-2</v>
      </c>
      <c r="CQ516" s="169">
        <f t="shared" si="947"/>
        <v>2.3999300040077404E-2</v>
      </c>
      <c r="CR516" s="169">
        <f t="shared" si="948"/>
        <v>2.4810540821321614E-2</v>
      </c>
      <c r="CS516" s="179">
        <f t="shared" si="939"/>
        <v>0.85466708209999998</v>
      </c>
      <c r="CT516" s="180">
        <f t="shared" si="940"/>
        <v>1.1054151524782025</v>
      </c>
      <c r="CU516" s="180">
        <f t="shared" si="941"/>
        <v>0.43611011316687626</v>
      </c>
      <c r="CV516" s="180">
        <f t="shared" si="942"/>
        <v>0.83698442246886229</v>
      </c>
      <c r="CW516" s="180">
        <f t="shared" si="943"/>
        <v>0.40349573304423936</v>
      </c>
      <c r="CX516" s="181">
        <f>INDEX('State Tax Lookup'!$D$7:$Z$91,MATCH(Calculation!$C516,'State Tax Lookup'!$B$7:$B$91,0),MATCH($H516,'State Tax Lookup'!$D$6:$Z$6,0))</f>
        <v>0.39279166999999998</v>
      </c>
      <c r="CY516" s="72">
        <v>0.37</v>
      </c>
      <c r="CZ516" s="70">
        <f t="shared" si="945"/>
        <v>20.625214847414075</v>
      </c>
      <c r="DA516" s="70">
        <v>19.146574949201604</v>
      </c>
      <c r="DB516" s="69">
        <f t="shared" si="949"/>
        <v>6.650873420172837E-2</v>
      </c>
      <c r="DC516" s="111">
        <f>VLOOKUP($H516,RoR!$E:$F,2,FALSE)</f>
        <v>4.6391666666666664E-2</v>
      </c>
      <c r="DD516" s="216">
        <f>HLOOKUP($H516,'GDP-PI'!$D$8:$CQ$11,3,FALSE)</f>
        <v>2.0840920205183799E-2</v>
      </c>
      <c r="DE516" s="111">
        <f>VLOOKUP(H516,'HW Dx Data'!$E:$F,2,FALSE)</f>
        <v>611.61109612283201</v>
      </c>
      <c r="DF516" s="72">
        <f t="shared" si="960"/>
        <v>120.875</v>
      </c>
      <c r="DG516" s="69">
        <f t="shared" si="961"/>
        <v>3.3224250161508609E-2</v>
      </c>
      <c r="DH516" s="66">
        <f>HLOOKUP(H516,'GDP-PI'!$8:$9,2,FALSE)</f>
        <v>98.111999999999995</v>
      </c>
      <c r="DI516" s="69">
        <f t="shared" si="950"/>
        <v>2.0626719212849295E-2</v>
      </c>
      <c r="EB516"/>
    </row>
    <row r="517" spans="1:132" s="160" customFormat="1" ht="21">
      <c r="A517" s="160" t="s">
        <v>190</v>
      </c>
      <c r="B517" s="161" t="s">
        <v>190</v>
      </c>
      <c r="C517" s="161">
        <v>4057090</v>
      </c>
      <c r="D517" s="161" t="s">
        <v>187</v>
      </c>
      <c r="E517" s="161"/>
      <c r="F517" s="161"/>
      <c r="G517" s="161" t="s">
        <v>128</v>
      </c>
      <c r="H517" s="162">
        <v>2012</v>
      </c>
      <c r="I517" s="163"/>
      <c r="J517" s="159">
        <f>IFERROR(INDEX('Labor Expenditures'!$F$7:$X$91,MATCH($C517,'Labor Expenditures'!$D$7:$D$91,0),MATCH($G517,'Labor Expenditures'!$F$5:$X$5,0)),"NA")</f>
        <v>20593.252658355923</v>
      </c>
      <c r="K517" s="159">
        <f t="shared" si="951"/>
        <v>165.01003732656989</v>
      </c>
      <c r="L517" s="165">
        <f t="shared" si="957"/>
        <v>-6.7352137541426604E-2</v>
      </c>
      <c r="M517" s="76">
        <f t="shared" si="962"/>
        <v>-5.5864288244345786E-4</v>
      </c>
      <c r="N517" s="62">
        <f t="shared" si="967"/>
        <v>115.82427585890773</v>
      </c>
      <c r="O517" s="96">
        <f t="shared" si="963"/>
        <v>-1.0330924556290883E-2</v>
      </c>
      <c r="P517" s="96"/>
      <c r="Q517" s="159">
        <f>IFERROR(INDEX('Non-Labor Expenditures'!$F$7:$AB$91,MATCH($C517,'Non-Labor Expenditures'!$D$7:$D$91,0),MATCH($G517,'Non-Labor Expenditures'!$F$5:$AB$5,0)),"NA")</f>
        <v>29822.876138340784</v>
      </c>
      <c r="R517" s="159">
        <f t="shared" si="952"/>
        <v>298.22876138340786</v>
      </c>
      <c r="S517" s="165">
        <f t="shared" si="964"/>
        <v>-5.4457138118300094E-2</v>
      </c>
      <c r="T517" s="165">
        <f t="shared" si="965"/>
        <v>-4.5168711370618047E-4</v>
      </c>
      <c r="U517" s="165"/>
      <c r="V517" s="165"/>
      <c r="W517" s="159">
        <f t="shared" si="933"/>
        <v>38284.029202575941</v>
      </c>
      <c r="X517" s="163"/>
      <c r="Y517" s="167">
        <v>1759.6614299138523</v>
      </c>
      <c r="Z517" s="168">
        <v>2.5505239150028239E-2</v>
      </c>
      <c r="AA517" s="76">
        <f t="shared" si="953"/>
        <v>2.1154963801138041E-4</v>
      </c>
      <c r="AB517" s="168"/>
      <c r="AC517" s="168"/>
      <c r="AD517" s="163">
        <f t="shared" si="928"/>
        <v>88700.157999272647</v>
      </c>
      <c r="AE517" s="168">
        <f t="shared" si="966"/>
        <v>2.6330533369406165E-2</v>
      </c>
      <c r="AF517" s="163"/>
      <c r="AG517" s="163"/>
      <c r="AH517" s="163"/>
      <c r="AI517" s="163"/>
      <c r="AJ517" s="167"/>
      <c r="AK517" s="114">
        <f>+AV517/$AX$17</f>
        <v>8.9050330941616625E-3</v>
      </c>
      <c r="AL517" s="115">
        <f t="shared" si="954"/>
        <v>0.23216703468019517</v>
      </c>
      <c r="AM517" s="115">
        <f t="shared" si="955"/>
        <v>0.33622122903755519</v>
      </c>
      <c r="AN517" s="115">
        <f t="shared" si="956"/>
        <v>0.43161173628224964</v>
      </c>
      <c r="AO517" s="115">
        <f t="shared" si="958"/>
        <v>-2.4480480209320032E-2</v>
      </c>
      <c r="AP517" s="166">
        <f t="shared" si="969"/>
        <v>106.91887325797113</v>
      </c>
      <c r="AQ517" s="168">
        <f t="shared" si="970"/>
        <v>-2.4480480209319984E-2</v>
      </c>
      <c r="AR517" s="69">
        <f>+AD517/$AF$17</f>
        <v>8.2943601025260803E-3</v>
      </c>
      <c r="AS517" s="169">
        <f t="shared" si="968"/>
        <v>-2.0304991833886298E-4</v>
      </c>
      <c r="AT517" s="115"/>
      <c r="AU517" s="115"/>
      <c r="AV517" s="113">
        <f>IFERROR(INDEX('Total Customers'!$F$7:$AB$91,MATCH($C517,'Total Customers'!$D$7:$D$91,0),MATCH($G517,'Total Customers'!$F$5:$AB$5,0)),"NA")</f>
        <v>318029</v>
      </c>
      <c r="AW517" s="68">
        <f t="shared" si="972"/>
        <v>-1.9852682076821537E-3</v>
      </c>
      <c r="AX517" s="114"/>
      <c r="AY517" s="114"/>
      <c r="AZ517" s="116"/>
      <c r="BA517" s="116"/>
      <c r="BB517" s="166"/>
      <c r="BC517" s="166"/>
      <c r="BD517" s="166"/>
      <c r="BE517" s="166"/>
      <c r="BF517" s="166"/>
      <c r="BG517" s="166"/>
      <c r="BH517" s="166"/>
      <c r="BI517" s="113"/>
      <c r="BJ517" s="113"/>
      <c r="BK517" s="113">
        <f>INDEX('Dist. Plant Gas Additions'!$F$7:$AE$91,MATCH($C517,'Dist. Plant Gas Additions'!$D$7:$D$91,0),MATCH(Calculation!$G517,'Dist. Plant Gas Additions'!$F$5:$AE$5,0))</f>
        <v>36861</v>
      </c>
      <c r="BL517" s="113">
        <f>INDEX('Gen. Plant Additions'!$F$7:$AE$91,MATCH($C517,'Gen. Plant Additions'!$D$7:$D$91,0),MATCH(Calculation!$G517,'Gen. Plant Additions'!$F$5:$AE$5,0))</f>
        <v>1156</v>
      </c>
      <c r="BM517" s="231">
        <f t="shared" si="934"/>
        <v>0.98583053478501348</v>
      </c>
      <c r="BN517" s="61">
        <f t="shared" si="971"/>
        <v>1139.6200982114756</v>
      </c>
      <c r="BO517" s="113">
        <f>INDEX('Dist Plant Depreciation'!$E$7:$AD$94,MATCH($C517,'Dist Plant Depreciation'!$D$7:$D$94,0),MATCH(Calculation!$G517,'Dist Plant Depreciation'!$E$5:$AD$5,0))</f>
        <v>201131</v>
      </c>
      <c r="BP517" s="113">
        <f>INDEX('Gen. Plant Depreciation'!$E$7:$AD$94,MATCH($C517,'Gen. Plant Depreciation'!$D$7:$D$94,0),MATCH(Calculation!$G517,'Gen. Plant Depreciation'!$E$5:$AD$5,0))</f>
        <v>4868</v>
      </c>
      <c r="BQ517" s="113"/>
      <c r="BR517" s="113"/>
      <c r="BS517" s="113"/>
      <c r="BT517" s="113"/>
      <c r="BU517" s="113"/>
      <c r="BV517" s="113"/>
      <c r="BW517" s="113">
        <f>INDEX('Gross Dx Plant'!$E$7:$AD$91,MATCH($C517,'Gross Dx Plant'!$D$7:$D$91,0),MATCH(Calculation!$G517,'Gross Dx Plant'!$E$5:$AD$5,0))</f>
        <v>645232</v>
      </c>
      <c r="BX517" s="113">
        <f>INDEX('Gross Gen Plant'!$E$7:$AD$91,MATCH($C517,'Gross Gen Plant'!$D$7:$D$91,0),MATCH(Calculation!$G517,'Gross Gen Plant'!$E$5:$AD$5,0))</f>
        <v>9274</v>
      </c>
      <c r="BY517" s="113">
        <f t="shared" si="959"/>
        <v>448507</v>
      </c>
      <c r="BZ517" s="113"/>
      <c r="CA517" s="116">
        <v>2012</v>
      </c>
      <c r="CB517" s="113"/>
      <c r="CC517" s="113"/>
      <c r="CD517" s="113"/>
      <c r="CE517" s="175"/>
      <c r="CF517" s="113">
        <f t="shared" si="935"/>
        <v>38017</v>
      </c>
      <c r="CG517" s="113">
        <f t="shared" si="936"/>
        <v>56.833460692886547</v>
      </c>
      <c r="CH517" s="178">
        <v>0.9135802469135802</v>
      </c>
      <c r="CI517" s="61">
        <f>+CI503*CH517+CG504*CH516+CG505*CH515+CG506*CH514+CG507*CH513+CG508*CH512+CG509*CH511+CG510*CH510+CG511*CH509+CG512*CH508+CG513*CH507+CG514*CH506+CG515*CH505+CG516*CH504+CG517</f>
        <v>1759.6614299138523</v>
      </c>
      <c r="CJ517" s="114">
        <f t="shared" si="937"/>
        <v>2.5505239150028239E-2</v>
      </c>
      <c r="CK517" s="114"/>
      <c r="CL517" s="169">
        <f t="shared" si="938"/>
        <v>7.2990334818378516E-3</v>
      </c>
      <c r="CM517" s="169">
        <f t="shared" si="946"/>
        <v>7.0970141163862908E-3</v>
      </c>
      <c r="CN517" s="114">
        <f>VLOOKUP($H517,RoR!$E:$F,2,FALSE)</f>
        <v>3.6733333333333333E-2</v>
      </c>
      <c r="CO517" s="169">
        <v>1.924331376386168E-2</v>
      </c>
      <c r="CP517" s="169">
        <f t="shared" si="944"/>
        <v>1.7490019569471653E-2</v>
      </c>
      <c r="CQ517" s="169">
        <f t="shared" si="947"/>
        <v>2.3804927492147333E-2</v>
      </c>
      <c r="CR517" s="169">
        <f t="shared" si="948"/>
        <v>6.7122682943869583E-2</v>
      </c>
      <c r="CS517" s="179">
        <f t="shared" si="939"/>
        <v>0.85466708209999998</v>
      </c>
      <c r="CT517" s="180">
        <f t="shared" si="940"/>
        <v>1.3960631020522127</v>
      </c>
      <c r="CU517" s="180">
        <f t="shared" si="941"/>
        <v>0.29441923774954631</v>
      </c>
      <c r="CV517" s="180">
        <f t="shared" si="942"/>
        <v>0.76377954189366437</v>
      </c>
      <c r="CW517" s="180">
        <f t="shared" si="943"/>
        <v>0.31393465103033691</v>
      </c>
      <c r="CX517" s="181">
        <f>INDEX('State Tax Lookup'!$D$7:$Z$91,MATCH(Calculation!$C517,'State Tax Lookup'!$B$7:$B$91,0),MATCH($H517,'State Tax Lookup'!$D$6:$Z$6,0))</f>
        <v>0.39279166999999998</v>
      </c>
      <c r="CY517" s="72">
        <v>0.37</v>
      </c>
      <c r="CZ517" s="70">
        <f t="shared" si="945"/>
        <v>22.318515715356479</v>
      </c>
      <c r="DA517" s="70">
        <v>20.759737328210988</v>
      </c>
      <c r="DB517" s="69">
        <f t="shared" si="949"/>
        <v>7.8902286083021758E-2</v>
      </c>
      <c r="DC517" s="111">
        <f>VLOOKUP($H517,RoR!$E:$F,2,FALSE)</f>
        <v>3.6733333333333333E-2</v>
      </c>
      <c r="DD517" s="216">
        <f>HLOOKUP($H517,'GDP-PI'!$D$8:$CQ$11,3,FALSE)</f>
        <v>1.924331376386168E-2</v>
      </c>
      <c r="DE517" s="111">
        <f>VLOOKUP(H517,'HW Dx Data'!$E:$F,2,FALSE)</f>
        <v>668.91932211262167</v>
      </c>
      <c r="DF517" s="72">
        <f t="shared" si="960"/>
        <v>124.80000000000001</v>
      </c>
      <c r="DG517" s="69">
        <f t="shared" si="961"/>
        <v>3.1955502161869064E-2</v>
      </c>
      <c r="DH517" s="66">
        <f>HLOOKUP(H517,'GDP-PI'!$8:$9,2,FALSE)</f>
        <v>100</v>
      </c>
      <c r="DI517" s="69">
        <f t="shared" si="950"/>
        <v>1.9060502738742411E-2</v>
      </c>
      <c r="EB517"/>
    </row>
    <row r="518" spans="1:132" s="160" customFormat="1" ht="21">
      <c r="A518" s="160" t="s">
        <v>190</v>
      </c>
      <c r="B518" s="161" t="s">
        <v>190</v>
      </c>
      <c r="C518" s="161">
        <v>4057090</v>
      </c>
      <c r="D518" s="161" t="s">
        <v>187</v>
      </c>
      <c r="E518" s="161"/>
      <c r="F518" s="161"/>
      <c r="G518" s="161" t="s">
        <v>129</v>
      </c>
      <c r="H518" s="162">
        <v>2013</v>
      </c>
      <c r="I518" s="163"/>
      <c r="J518" s="159">
        <f>IFERROR(INDEX('Labor Expenditures'!$F$7:$X$91,MATCH($C518,'Labor Expenditures'!$D$7:$D$91,0),MATCH($G518,'Labor Expenditures'!$F$5:$X$5,0)),"NA")</f>
        <v>22338.644698979504</v>
      </c>
      <c r="K518" s="159">
        <f t="shared" si="951"/>
        <v>176.17227680583204</v>
      </c>
      <c r="L518" s="165">
        <f t="shared" si="957"/>
        <v>6.5456057436369314E-2</v>
      </c>
      <c r="M518" s="76">
        <f t="shared" si="962"/>
        <v>5.5070450900577617E-4</v>
      </c>
      <c r="N518" s="62">
        <f t="shared" si="967"/>
        <v>108.28097507075464</v>
      </c>
      <c r="O518" s="96">
        <f t="shared" si="963"/>
        <v>-6.7344709463658919E-2</v>
      </c>
      <c r="P518" s="96"/>
      <c r="Q518" s="159">
        <f>IFERROR(INDEX('Non-Labor Expenditures'!$F$7:$AB$91,MATCH($C518,'Non-Labor Expenditures'!$D$7:$D$91,0),MATCH($G518,'Non-Labor Expenditures'!$F$5:$AB$5,0)),"NA")</f>
        <v>32350.529807429437</v>
      </c>
      <c r="R518" s="159">
        <f t="shared" si="952"/>
        <v>317.86947232988553</v>
      </c>
      <c r="S518" s="165">
        <f t="shared" si="964"/>
        <v>6.377998648765712E-2</v>
      </c>
      <c r="T518" s="165">
        <f t="shared" si="965"/>
        <v>5.3660314291346803E-4</v>
      </c>
      <c r="U518" s="165"/>
      <c r="V518" s="165"/>
      <c r="W518" s="159">
        <f t="shared" si="933"/>
        <v>38625.218965015141</v>
      </c>
      <c r="X518" s="163"/>
      <c r="Y518" s="167">
        <v>1844.0113813048392</v>
      </c>
      <c r="Z518" s="168">
        <v>4.6821876011991628E-2</v>
      </c>
      <c r="AA518" s="76">
        <f t="shared" si="953"/>
        <v>3.9392867902224532E-4</v>
      </c>
      <c r="AB518" s="168"/>
      <c r="AC518" s="168"/>
      <c r="AD518" s="163">
        <f t="shared" si="928"/>
        <v>93314.39347142409</v>
      </c>
      <c r="AE518" s="168">
        <f t="shared" si="966"/>
        <v>5.0712696225788688E-2</v>
      </c>
      <c r="AF518" s="163"/>
      <c r="AG518" s="163"/>
      <c r="AH518" s="163"/>
      <c r="AI518" s="163"/>
      <c r="AJ518" s="167"/>
      <c r="AK518" s="114">
        <f>+AV518/$AX$18</f>
        <v>8.8772413872924491E-3</v>
      </c>
      <c r="AL518" s="115">
        <f t="shared" si="954"/>
        <v>0.23939120073496833</v>
      </c>
      <c r="AM518" s="115">
        <f t="shared" si="955"/>
        <v>0.34668317077296573</v>
      </c>
      <c r="AN518" s="115">
        <f t="shared" si="956"/>
        <v>0.41392562849206582</v>
      </c>
      <c r="AO518" s="115">
        <f t="shared" si="958"/>
        <v>5.7005810995586825E-2</v>
      </c>
      <c r="AP518" s="166">
        <f t="shared" si="969"/>
        <v>113.19094416565711</v>
      </c>
      <c r="AQ518" s="168">
        <f t="shared" si="970"/>
        <v>5.7005810995586902E-2</v>
      </c>
      <c r="AR518" s="69">
        <f>+AD518/$AF$18</f>
        <v>8.4133467638365361E-3</v>
      </c>
      <c r="AS518" s="169">
        <f t="shared" si="968"/>
        <v>4.7960965545959831E-4</v>
      </c>
      <c r="AT518" s="115"/>
      <c r="AU518" s="115"/>
      <c r="AV518" s="113">
        <f>IFERROR(INDEX('Total Customers'!$F$7:$AB$91,MATCH($C518,'Total Customers'!$D$7:$D$91,0),MATCH($G518,'Total Customers'!$F$5:$AB$5,0)),"NA")</f>
        <v>319070</v>
      </c>
      <c r="AW518" s="68">
        <f t="shared" si="972"/>
        <v>3.2679408582999671E-3</v>
      </c>
      <c r="AX518" s="114"/>
      <c r="AY518" s="114"/>
      <c r="AZ518" s="116"/>
      <c r="BA518" s="116"/>
      <c r="BB518" s="166"/>
      <c r="BC518" s="166"/>
      <c r="BD518" s="166"/>
      <c r="BE518" s="166"/>
      <c r="BF518" s="166"/>
      <c r="BG518" s="166"/>
      <c r="BH518" s="166"/>
      <c r="BI518" s="113"/>
      <c r="BJ518" s="113"/>
      <c r="BK518" s="113">
        <f>INDEX('Dist. Plant Gas Additions'!$F$7:$AE$91,MATCH($C518,'Dist. Plant Gas Additions'!$D$7:$D$91,0),MATCH(Calculation!$G518,'Dist. Plant Gas Additions'!$F$5:$AE$5,0))</f>
        <v>64443</v>
      </c>
      <c r="BL518" s="113">
        <f>INDEX('Gen. Plant Additions'!$F$7:$AE$91,MATCH($C518,'Gen. Plant Additions'!$D$7:$D$91,0),MATCH(Calculation!$G518,'Gen. Plant Additions'!$F$5:$AE$5,0))</f>
        <v>293</v>
      </c>
      <c r="BM518" s="231">
        <f t="shared" si="934"/>
        <v>0.98665947738826465</v>
      </c>
      <c r="BN518" s="61">
        <f t="shared" si="971"/>
        <v>289.09122687476156</v>
      </c>
      <c r="BO518" s="113">
        <f>INDEX('Dist Plant Depreciation'!$E$7:$AD$94,MATCH($C518,'Dist Plant Depreciation'!$D$7:$D$94,0),MATCH(Calculation!$G518,'Dist Plant Depreciation'!$E$5:$AD$5,0))</f>
        <v>210147</v>
      </c>
      <c r="BP518" s="113">
        <f>INDEX('Gen. Plant Depreciation'!$E$7:$AD$94,MATCH($C518,'Gen. Plant Depreciation'!$D$7:$D$94,0),MATCH(Calculation!$G518,'Gen. Plant Depreciation'!$E$5:$AD$5,0))</f>
        <v>5130</v>
      </c>
      <c r="BQ518" s="113"/>
      <c r="BR518" s="113"/>
      <c r="BS518" s="113"/>
      <c r="BT518" s="113"/>
      <c r="BU518" s="113"/>
      <c r="BV518" s="113"/>
      <c r="BW518" s="113">
        <f>INDEX('Gross Dx Plant'!$E$7:$AD$91,MATCH($C518,'Gross Dx Plant'!$D$7:$D$91,0),MATCH(Calculation!$G518,'Gross Dx Plant'!$E$5:$AD$5,0))</f>
        <v>700841</v>
      </c>
      <c r="BX518" s="113">
        <f>INDEX('Gross Gen Plant'!$E$7:$AD$91,MATCH($C518,'Gross Gen Plant'!$D$7:$D$91,0),MATCH(Calculation!$G518,'Gross Gen Plant'!$E$5:$AD$5,0))</f>
        <v>9476</v>
      </c>
      <c r="BY518" s="113">
        <f t="shared" si="959"/>
        <v>495040</v>
      </c>
      <c r="BZ518" s="113"/>
      <c r="CA518" s="116">
        <v>2013</v>
      </c>
      <c r="CB518" s="113"/>
      <c r="CC518" s="113"/>
      <c r="CD518" s="113"/>
      <c r="CE518" s="175"/>
      <c r="CF518" s="113">
        <f t="shared" si="935"/>
        <v>64736</v>
      </c>
      <c r="CG518" s="113">
        <f t="shared" si="936"/>
        <v>97.604456285647828</v>
      </c>
      <c r="CH518" s="178">
        <v>0.90566037735849059</v>
      </c>
      <c r="CI518" s="61">
        <f>+CI503*CH518+CG504*CH517+CG505*CH516+CG506*CH515+CG507*CH514+CG508*CH513+CG509*CH512+CG510*CH511+CG511*CH510+CG512*CH509+CG513*CH508+CG514*CH507+CG515*CH506+CG516*CH505+CG517*CH504+CG518</f>
        <v>1844.0113813048392</v>
      </c>
      <c r="CJ518" s="114">
        <f t="shared" si="937"/>
        <v>4.6821876011991628E-2</v>
      </c>
      <c r="CK518" s="114"/>
      <c r="CL518" s="169">
        <f t="shared" si="938"/>
        <v>7.5324176965734886E-3</v>
      </c>
      <c r="CM518" s="169">
        <f t="shared" si="946"/>
        <v>7.3085545514021523E-3</v>
      </c>
      <c r="CN518" s="114">
        <f>VLOOKUP($H518,RoR!$E:$F,2,FALSE)</f>
        <v>4.2350000000000006E-2</v>
      </c>
      <c r="CO518" s="169">
        <v>1.7730000000000024E-2</v>
      </c>
      <c r="CP518" s="169">
        <f t="shared" si="944"/>
        <v>2.4619999999999982E-2</v>
      </c>
      <c r="CQ518" s="169">
        <f t="shared" si="947"/>
        <v>2.3593387057131474E-2</v>
      </c>
      <c r="CR518" s="169">
        <f t="shared" si="948"/>
        <v>5.3376742735721204E-2</v>
      </c>
      <c r="CS518" s="179">
        <f t="shared" si="939"/>
        <v>0.85466708209999998</v>
      </c>
      <c r="CT518" s="180">
        <f t="shared" si="940"/>
        <v>1.2109103018193925</v>
      </c>
      <c r="CU518" s="180">
        <f t="shared" si="941"/>
        <v>0.38468122786304604</v>
      </c>
      <c r="CV518" s="180">
        <f t="shared" si="942"/>
        <v>0.80969194503422559</v>
      </c>
      <c r="CW518" s="180">
        <f t="shared" si="943"/>
        <v>0.37716621754800816</v>
      </c>
      <c r="CX518" s="181">
        <f>INDEX('State Tax Lookup'!$D$7:$Z$91,MATCH(Calculation!$C518,'State Tax Lookup'!$B$7:$B$91,0),MATCH($H518,'State Tax Lookup'!$D$6:$Z$6,0))</f>
        <v>0.39279166999999998</v>
      </c>
      <c r="CY518" s="72">
        <v>0.37</v>
      </c>
      <c r="CZ518" s="70">
        <f t="shared" si="945"/>
        <v>21.950369717944046</v>
      </c>
      <c r="DA518" s="70">
        <v>20.339519021246105</v>
      </c>
      <c r="DB518" s="69">
        <f t="shared" si="949"/>
        <v>-1.6632652072404733E-2</v>
      </c>
      <c r="DC518" s="111">
        <f>VLOOKUP($H518,RoR!$E:$F,2,FALSE)</f>
        <v>4.2350000000000006E-2</v>
      </c>
      <c r="DD518" s="216">
        <f>HLOOKUP($H518,'GDP-PI'!$D$8:$CQ$11,3,FALSE)</f>
        <v>1.7730000000000024E-2</v>
      </c>
      <c r="DE518" s="111">
        <f>VLOOKUP(H518,'HW Dx Data'!$E:$F,2,FALSE)</f>
        <v>663.24840548821396</v>
      </c>
      <c r="DF518" s="72">
        <f t="shared" si="960"/>
        <v>126.8</v>
      </c>
      <c r="DG518" s="69">
        <f t="shared" si="961"/>
        <v>1.5898586067798204E-2</v>
      </c>
      <c r="DH518" s="66">
        <f>HLOOKUP(H518,'GDP-PI'!$8:$9,2,FALSE)</f>
        <v>101.773</v>
      </c>
      <c r="DI518" s="69">
        <f t="shared" si="950"/>
        <v>1.7574657016510519E-2</v>
      </c>
      <c r="EB518"/>
    </row>
    <row r="519" spans="1:132" s="160" customFormat="1" ht="21">
      <c r="A519" s="160" t="s">
        <v>190</v>
      </c>
      <c r="B519" s="161" t="s">
        <v>190</v>
      </c>
      <c r="C519" s="161">
        <v>4057090</v>
      </c>
      <c r="D519" s="161" t="s">
        <v>187</v>
      </c>
      <c r="E519" s="161"/>
      <c r="F519" s="161"/>
      <c r="G519" s="161" t="s">
        <v>130</v>
      </c>
      <c r="H519" s="162">
        <v>2014</v>
      </c>
      <c r="I519" s="163"/>
      <c r="J519" s="159">
        <f>IFERROR(INDEX('Labor Expenditures'!$F$7:$X$91,MATCH($C519,'Labor Expenditures'!$D$7:$D$91,0),MATCH($G519,'Labor Expenditures'!$F$5:$X$5,0)),"NA")</f>
        <v>23148.112502807264</v>
      </c>
      <c r="K519" s="159">
        <f t="shared" si="951"/>
        <v>178.88804097996339</v>
      </c>
      <c r="L519" s="165">
        <f t="shared" si="957"/>
        <v>1.5297778998514172E-2</v>
      </c>
      <c r="M519" s="76">
        <f t="shared" si="962"/>
        <v>1.3184086547391119E-4</v>
      </c>
      <c r="N519" s="62">
        <f t="shared" si="967"/>
        <v>120.50661390822766</v>
      </c>
      <c r="O519" s="96">
        <f t="shared" si="963"/>
        <v>0.106975168837723</v>
      </c>
      <c r="P519" s="96"/>
      <c r="Q519" s="159">
        <f>IFERROR(INDEX('Non-Labor Expenditures'!$F$7:$AB$91,MATCH($C519,'Non-Labor Expenditures'!$D$7:$D$91,0),MATCH($G519,'Non-Labor Expenditures'!$F$5:$AB$5,0)),"NA")</f>
        <v>33522.790375103024</v>
      </c>
      <c r="R519" s="159">
        <f t="shared" si="952"/>
        <v>323.43232679289338</v>
      </c>
      <c r="S519" s="165">
        <f t="shared" si="964"/>
        <v>1.7349067163932527E-2</v>
      </c>
      <c r="T519" s="165">
        <f t="shared" si="965"/>
        <v>1.4951948451340802E-4</v>
      </c>
      <c r="U519" s="165"/>
      <c r="V519" s="165"/>
      <c r="W519" s="159">
        <f t="shared" si="933"/>
        <v>41446.226005115874</v>
      </c>
      <c r="X519" s="163"/>
      <c r="Y519" s="167">
        <v>1926.1720211771196</v>
      </c>
      <c r="Z519" s="168">
        <v>4.3591327450919176E-2</v>
      </c>
      <c r="AA519" s="76">
        <f t="shared" si="953"/>
        <v>3.7568318504562317E-4</v>
      </c>
      <c r="AB519" s="168"/>
      <c r="AC519" s="168"/>
      <c r="AD519" s="163">
        <f t="shared" si="928"/>
        <v>98117.128883026162</v>
      </c>
      <c r="AE519" s="168">
        <f t="shared" si="966"/>
        <v>5.0187590863565043E-2</v>
      </c>
      <c r="AF519" s="163"/>
      <c r="AG519" s="163"/>
      <c r="AH519" s="163"/>
      <c r="AI519" s="163"/>
      <c r="AJ519" s="167"/>
      <c r="AK519" s="114">
        <f>+AV519/$AX$19</f>
        <v>8.8538523122784554E-3</v>
      </c>
      <c r="AL519" s="115">
        <f t="shared" si="954"/>
        <v>0.23592325587109375</v>
      </c>
      <c r="AM519" s="115">
        <f t="shared" si="955"/>
        <v>0.34166093888732124</v>
      </c>
      <c r="AN519" s="115">
        <f t="shared" si="956"/>
        <v>0.42241580524158501</v>
      </c>
      <c r="AO519" s="115">
        <f t="shared" si="958"/>
        <v>2.783530850050342E-2</v>
      </c>
      <c r="AP519" s="166">
        <f t="shared" si="969"/>
        <v>116.38590914717949</v>
      </c>
      <c r="AQ519" s="168">
        <f t="shared" si="970"/>
        <v>2.7835308500503357E-2</v>
      </c>
      <c r="AR519" s="69">
        <f>+AD519/$AF$19</f>
        <v>8.6183010936892544E-3</v>
      </c>
      <c r="AS519" s="169">
        <f t="shared" si="968"/>
        <v>2.3989306969306588E-4</v>
      </c>
      <c r="AT519" s="115"/>
      <c r="AU519" s="115"/>
      <c r="AV519" s="113">
        <f>IFERROR(INDEX('Total Customers'!$F$7:$AB$91,MATCH($C519,'Total Customers'!$D$7:$D$91,0),MATCH($G519,'Total Customers'!$F$5:$AB$5,0)),"NA")</f>
        <v>319939</v>
      </c>
      <c r="AW519" s="68">
        <f t="shared" si="972"/>
        <v>2.7198381734955895E-3</v>
      </c>
      <c r="AX519" s="114"/>
      <c r="AY519" s="114"/>
      <c r="AZ519" s="116"/>
      <c r="BA519" s="116"/>
      <c r="BB519" s="166"/>
      <c r="BC519" s="166"/>
      <c r="BD519" s="166"/>
      <c r="BE519" s="166"/>
      <c r="BF519" s="166"/>
      <c r="BG519" s="166"/>
      <c r="BH519" s="166"/>
      <c r="BI519" s="113"/>
      <c r="BJ519" s="113"/>
      <c r="BK519" s="113">
        <f>INDEX('Dist. Plant Gas Additions'!$F$7:$AE$91,MATCH($C519,'Dist. Plant Gas Additions'!$D$7:$D$91,0),MATCH(Calculation!$G519,'Dist. Plant Gas Additions'!$F$5:$AE$5,0))</f>
        <v>64319</v>
      </c>
      <c r="BL519" s="113">
        <f>INDEX('Gen. Plant Additions'!$F$7:$AE$91,MATCH($C519,'Gen. Plant Additions'!$D$7:$D$91,0),MATCH(Calculation!$G519,'Gen. Plant Additions'!$F$5:$AE$5,0))</f>
        <v>1654</v>
      </c>
      <c r="BM519" s="231">
        <f t="shared" si="934"/>
        <v>0.98567806393274737</v>
      </c>
      <c r="BN519" s="61">
        <f t="shared" si="971"/>
        <v>1630.3115177447642</v>
      </c>
      <c r="BO519" s="113">
        <f>INDEX('Dist Plant Depreciation'!$E$7:$AD$94,MATCH($C519,'Dist Plant Depreciation'!$D$7:$D$94,0),MATCH(Calculation!$G519,'Dist Plant Depreciation'!$E$5:$AD$5,0))</f>
        <v>220610</v>
      </c>
      <c r="BP519" s="113">
        <f>INDEX('Gen. Plant Depreciation'!$E$7:$AD$94,MATCH($C519,'Gen. Plant Depreciation'!$D$7:$D$94,0),MATCH(Calculation!$G519,'Gen. Plant Depreciation'!$E$5:$AD$5,0))</f>
        <v>5462</v>
      </c>
      <c r="BQ519" s="113"/>
      <c r="BR519" s="113"/>
      <c r="BS519" s="113"/>
      <c r="BT519" s="113"/>
      <c r="BU519" s="113"/>
      <c r="BV519" s="113"/>
      <c r="BW519" s="113">
        <f>INDEX('Gross Dx Plant'!$E$7:$AD$91,MATCH($C519,'Gross Dx Plant'!$D$7:$D$91,0),MATCH(Calculation!$G519,'Gross Dx Plant'!$E$5:$AD$5,0))</f>
        <v>756502</v>
      </c>
      <c r="BX519" s="113">
        <f>INDEX('Gross Gen Plant'!$E$7:$AD$91,MATCH($C519,'Gross Gen Plant'!$D$7:$D$91,0),MATCH(Calculation!$G519,'Gross Gen Plant'!$E$5:$AD$5,0))</f>
        <v>10992</v>
      </c>
      <c r="BY519" s="113">
        <f t="shared" si="959"/>
        <v>541422</v>
      </c>
      <c r="BZ519" s="113"/>
      <c r="CA519" s="116">
        <v>2014</v>
      </c>
      <c r="CB519" s="113"/>
      <c r="CC519" s="113"/>
      <c r="CD519" s="113"/>
      <c r="CE519" s="175"/>
      <c r="CF519" s="113">
        <f t="shared" si="935"/>
        <v>65973</v>
      </c>
      <c r="CG519" s="113">
        <f t="shared" si="936"/>
        <v>96.385645268477077</v>
      </c>
      <c r="CH519" s="178">
        <v>0.89743589743589747</v>
      </c>
      <c r="CI519" s="61">
        <f>+CI503*CH519+CG504*CH518+CG505*CH517+CG506*CH516+CG507*CH515+CG508*CH514+CG509*CH513+CG510*CH512+CG511*CH511+CG512*CH510+CG513*CH509+CG514*CH508+CG515*CH507+CG516*CH506+CG517*CH505+CG518*CH504+CG519</f>
        <v>1926.1720211771196</v>
      </c>
      <c r="CJ519" s="114">
        <f t="shared" si="937"/>
        <v>4.3591327450919176E-2</v>
      </c>
      <c r="CK519" s="114"/>
      <c r="CL519" s="169">
        <f t="shared" si="938"/>
        <v>7.7141635569141307E-3</v>
      </c>
      <c r="CM519" s="169">
        <f t="shared" si="946"/>
        <v>7.5152049117751564E-3</v>
      </c>
      <c r="CN519" s="114">
        <f>VLOOKUP($H519,RoR!$E:$F,2,FALSE)</f>
        <v>4.1625000000000002E-2</v>
      </c>
      <c r="CO519" s="169">
        <v>1.841352814597208E-2</v>
      </c>
      <c r="CP519" s="169">
        <f t="shared" si="944"/>
        <v>2.3211471854027922E-2</v>
      </c>
      <c r="CQ519" s="169">
        <f t="shared" si="947"/>
        <v>2.3386736696758469E-2</v>
      </c>
      <c r="CR519" s="169">
        <f t="shared" si="948"/>
        <v>3.9072621432650924E-2</v>
      </c>
      <c r="CS519" s="179">
        <f t="shared" si="939"/>
        <v>0.85466708209999998</v>
      </c>
      <c r="CT519" s="180">
        <f t="shared" si="940"/>
        <v>1.2320012320012319</v>
      </c>
      <c r="CU519" s="180">
        <f t="shared" si="941"/>
        <v>0.37439939939939942</v>
      </c>
      <c r="CV519" s="180">
        <f t="shared" si="942"/>
        <v>0.80432100613819935</v>
      </c>
      <c r="CW519" s="180">
        <f t="shared" si="943"/>
        <v>0.37100152660040037</v>
      </c>
      <c r="CX519" s="181">
        <f>INDEX('State Tax Lookup'!$D$7:$Z$91,MATCH(Calculation!$C519,'State Tax Lookup'!$B$7:$B$91,0),MATCH($H519,'State Tax Lookup'!$D$6:$Z$6,0))</f>
        <v>0.39279166999999998</v>
      </c>
      <c r="CY519" s="72">
        <v>0.37</v>
      </c>
      <c r="CZ519" s="70">
        <f t="shared" si="945"/>
        <v>22.476122666763665</v>
      </c>
      <c r="DA519" s="70">
        <v>20.763592984765573</v>
      </c>
      <c r="DB519" s="69">
        <f t="shared" si="949"/>
        <v>2.3669547891318945E-2</v>
      </c>
      <c r="DC519" s="111">
        <f>VLOOKUP($H519,RoR!$E:$F,2,FALSE)</f>
        <v>4.1625000000000002E-2</v>
      </c>
      <c r="DD519" s="216">
        <f>HLOOKUP($H519,'GDP-PI'!$D$8:$CQ$11,3,FALSE)</f>
        <v>1.841352814597208E-2</v>
      </c>
      <c r="DE519" s="111">
        <f>VLOOKUP(H519,'HW Dx Data'!$E:$F,2,FALSE)</f>
        <v>684.46914285042885</v>
      </c>
      <c r="DF519" s="72">
        <f t="shared" si="960"/>
        <v>129.4</v>
      </c>
      <c r="DG519" s="69">
        <f t="shared" si="961"/>
        <v>2.0297340063674733E-2</v>
      </c>
      <c r="DH519" s="66">
        <f>HLOOKUP(H519,'GDP-PI'!$8:$9,2,FALSE)</f>
        <v>103.64700000000001</v>
      </c>
      <c r="DI519" s="69">
        <f t="shared" si="950"/>
        <v>1.8246051898256087E-2</v>
      </c>
      <c r="EB519"/>
    </row>
    <row r="520" spans="1:132" s="160" customFormat="1" ht="21">
      <c r="A520" s="160" t="s">
        <v>190</v>
      </c>
      <c r="B520" s="161" t="s">
        <v>190</v>
      </c>
      <c r="C520" s="161">
        <v>4057090</v>
      </c>
      <c r="D520" s="161" t="s">
        <v>187</v>
      </c>
      <c r="E520" s="161"/>
      <c r="F520" s="161"/>
      <c r="G520" s="161" t="s">
        <v>132</v>
      </c>
      <c r="H520" s="162">
        <v>2015</v>
      </c>
      <c r="I520" s="163"/>
      <c r="J520" s="159">
        <f>IFERROR(INDEX('Labor Expenditures'!$F$7:$X$91,MATCH($C520,'Labor Expenditures'!$D$7:$D$91,0),MATCH($G520,'Labor Expenditures'!$F$5:$X$5,0)),"NA")</f>
        <v>25045.778547787264</v>
      </c>
      <c r="K520" s="159">
        <f t="shared" si="951"/>
        <v>187.60882807331285</v>
      </c>
      <c r="L520" s="165">
        <f t="shared" si="957"/>
        <v>4.7598952657525721E-2</v>
      </c>
      <c r="M520" s="76">
        <f t="shared" si="962"/>
        <v>4.296207472911463E-4</v>
      </c>
      <c r="N520" s="62">
        <f t="shared" si="967"/>
        <v>118.88532230760693</v>
      </c>
      <c r="O520" s="96">
        <f t="shared" si="963"/>
        <v>-1.3545288241736888E-2</v>
      </c>
      <c r="P520" s="96"/>
      <c r="Q520" s="159">
        <f>IFERROR(INDEX('Non-Labor Expenditures'!$F$7:$AB$91,MATCH($C520,'Non-Labor Expenditures'!$D$7:$D$91,0),MATCH($G520,'Non-Labor Expenditures'!$F$5:$AB$5,0)),"NA")</f>
        <v>36270.965243360668</v>
      </c>
      <c r="R520" s="159">
        <f t="shared" si="952"/>
        <v>346.62950948843803</v>
      </c>
      <c r="S520" s="165">
        <f t="shared" si="964"/>
        <v>6.9266612245586862E-2</v>
      </c>
      <c r="T520" s="165">
        <f t="shared" si="965"/>
        <v>6.2518967443226064E-4</v>
      </c>
      <c r="U520" s="165"/>
      <c r="V520" s="165"/>
      <c r="W520" s="159">
        <f t="shared" si="933"/>
        <v>42456.254284477458</v>
      </c>
      <c r="X520" s="163"/>
      <c r="Y520" s="167">
        <v>2014.114813150989</v>
      </c>
      <c r="Z520" s="168">
        <v>4.4645175553856227E-2</v>
      </c>
      <c r="AA520" s="76">
        <f t="shared" si="953"/>
        <v>4.0296041432667031E-4</v>
      </c>
      <c r="AB520" s="168"/>
      <c r="AC520" s="168"/>
      <c r="AD520" s="163">
        <f t="shared" si="928"/>
        <v>103772.99807562539</v>
      </c>
      <c r="AE520" s="168">
        <f t="shared" si="966"/>
        <v>5.6043845064509643E-2</v>
      </c>
      <c r="AF520" s="163"/>
      <c r="AG520" s="163"/>
      <c r="AH520" s="163"/>
      <c r="AI520" s="163"/>
      <c r="AJ520" s="116">
        <f t="shared" ref="AJ520:AJ527" si="973">+(AD520*1000)/AV520</f>
        <v>323.27432532608549</v>
      </c>
      <c r="AK520" s="114">
        <f>+AV520/$AX$20</f>
        <v>8.8111465673073371E-3</v>
      </c>
      <c r="AL520" s="115">
        <f t="shared" si="954"/>
        <v>0.2413515944632818</v>
      </c>
      <c r="AM520" s="115">
        <f t="shared" si="955"/>
        <v>0.3495221870426054</v>
      </c>
      <c r="AN520" s="115">
        <f t="shared" si="956"/>
        <v>0.40912621849411274</v>
      </c>
      <c r="AO520" s="115">
        <f t="shared" si="958"/>
        <v>5.3859018105131787E-2</v>
      </c>
      <c r="AP520" s="166">
        <f t="shared" si="969"/>
        <v>122.82621751908486</v>
      </c>
      <c r="AQ520" s="168">
        <f t="shared" si="970"/>
        <v>5.3859018105131835E-2</v>
      </c>
      <c r="AR520" s="69">
        <f>+AD520/$AF$20</f>
        <v>9.025844547090477E-3</v>
      </c>
      <c r="AS520" s="169">
        <f t="shared" si="968"/>
        <v>4.8612312487585145E-4</v>
      </c>
      <c r="AT520" s="115"/>
      <c r="AU520" s="115"/>
      <c r="AV520" s="113">
        <f>IFERROR(INDEX('Total Customers'!$F$7:$AB$91,MATCH($C520,'Total Customers'!$D$7:$D$91,0),MATCH($G520,'Total Customers'!$F$5:$AB$5,0)),"NA")</f>
        <v>321006</v>
      </c>
      <c r="AW520" s="68">
        <f t="shared" si="972"/>
        <v>3.3294619215977115E-3</v>
      </c>
      <c r="AX520" s="114"/>
      <c r="AY520" s="114"/>
      <c r="AZ520" s="116"/>
      <c r="BA520" s="116"/>
      <c r="BB520" s="166"/>
      <c r="BC520" s="166"/>
      <c r="BD520" s="166"/>
      <c r="BE520" s="166"/>
      <c r="BF520" s="166"/>
      <c r="BG520" s="166"/>
      <c r="BH520" s="166"/>
      <c r="BI520" s="113"/>
      <c r="BJ520" s="113"/>
      <c r="BK520" s="113">
        <f>INDEX('Dist. Plant Gas Additions'!$F$7:$AE$91,MATCH($C520,'Dist. Plant Gas Additions'!$D$7:$D$91,0),MATCH(Calculation!$G520,'Dist. Plant Gas Additions'!$F$5:$AE$5,0))</f>
        <v>69167</v>
      </c>
      <c r="BL520" s="113">
        <f>INDEX('Gen. Plant Additions'!$F$7:$AE$91,MATCH($C520,'Gen. Plant Additions'!$D$7:$D$91,0),MATCH(Calculation!$G520,'Gen. Plant Additions'!$F$5:$AE$5,0))</f>
        <v>539</v>
      </c>
      <c r="BM520" s="231">
        <f t="shared" si="934"/>
        <v>0.98665957749501465</v>
      </c>
      <c r="BN520" s="61">
        <f t="shared" si="971"/>
        <v>531.8095122698129</v>
      </c>
      <c r="BO520" s="113">
        <f>INDEX('Dist Plant Depreciation'!$E$7:$AD$94,MATCH($C520,'Dist Plant Depreciation'!$D$7:$D$94,0),MATCH(Calculation!$G520,'Dist Plant Depreciation'!$E$5:$AD$5,0))</f>
        <v>234892</v>
      </c>
      <c r="BP520" s="113">
        <f>INDEX('Gen. Plant Depreciation'!$E$7:$AD$94,MATCH($C520,'Gen. Plant Depreciation'!$D$7:$D$94,0),MATCH(Calculation!$G520,'Gen. Plant Depreciation'!$E$5:$AD$5,0))</f>
        <v>5601</v>
      </c>
      <c r="BQ520" s="113"/>
      <c r="BR520" s="113"/>
      <c r="BS520" s="113"/>
      <c r="BT520" s="113"/>
      <c r="BU520" s="113"/>
      <c r="BV520" s="113"/>
      <c r="BW520" s="113">
        <f>INDEX('Gross Dx Plant'!$E$7:$AD$91,MATCH($C520,'Gross Dx Plant'!$D$7:$D$91,0),MATCH(Calculation!$G520,'Gross Dx Plant'!$E$5:$AD$5,0))</f>
        <v>818369</v>
      </c>
      <c r="BX520" s="113">
        <f>INDEX('Gross Gen Plant'!$E$7:$AD$91,MATCH($C520,'Gross Gen Plant'!$D$7:$D$91,0),MATCH(Calculation!$G520,'Gross Gen Plant'!$E$5:$AD$5,0))</f>
        <v>11065</v>
      </c>
      <c r="BY520" s="113">
        <f t="shared" si="959"/>
        <v>588941</v>
      </c>
      <c r="BZ520" s="113"/>
      <c r="CA520" s="116">
        <v>2015</v>
      </c>
      <c r="CB520" s="113"/>
      <c r="CC520" s="113"/>
      <c r="CD520" s="113"/>
      <c r="CE520" s="175"/>
      <c r="CF520" s="113">
        <f t="shared" si="935"/>
        <v>69706</v>
      </c>
      <c r="CG520" s="113">
        <f t="shared" si="936"/>
        <v>103.17420107012269</v>
      </c>
      <c r="CH520" s="178">
        <v>0.88888888888888884</v>
      </c>
      <c r="CI520" s="61">
        <f>+CI503*CH520+CG504*CH519+CG505*CH518+CG506*CH517+CG507*CH516+CG508*CH515+CG509*CH514+CG510*CH513+CG511*CH512+CG512*CH511+CG513*CH510+CG514*CH509+CG515*CH508+CG516*CH507+CG517*CH506+CG518*CH505+CG519*CH504+CG520</f>
        <v>2014.114813150989</v>
      </c>
      <c r="CJ520" s="114">
        <f t="shared" si="937"/>
        <v>4.4645175553856227E-2</v>
      </c>
      <c r="CK520" s="114"/>
      <c r="CL520" s="169">
        <f t="shared" si="938"/>
        <v>7.9076058258520081E-3</v>
      </c>
      <c r="CM520" s="169">
        <f t="shared" si="946"/>
        <v>7.7180623597798764E-3</v>
      </c>
      <c r="CN520" s="114">
        <f>VLOOKUP($H520,RoR!$E:$F,2,FALSE)</f>
        <v>3.8866666666666674E-2</v>
      </c>
      <c r="CO520" s="169">
        <v>9.5709475431029478E-3</v>
      </c>
      <c r="CP520" s="169">
        <f t="shared" si="944"/>
        <v>2.9295719123563727E-2</v>
      </c>
      <c r="CQ520" s="169">
        <f t="shared" si="947"/>
        <v>2.3183879248753748E-2</v>
      </c>
      <c r="CR520" s="169">
        <f t="shared" si="948"/>
        <v>3.5270373279175926E-3</v>
      </c>
      <c r="CS520" s="179">
        <f t="shared" si="939"/>
        <v>0.85466708209999998</v>
      </c>
      <c r="CT520" s="180">
        <f t="shared" si="940"/>
        <v>1.3194352816994324</v>
      </c>
      <c r="CU520" s="180">
        <f t="shared" si="941"/>
        <v>0.33177530017152673</v>
      </c>
      <c r="CV520" s="180">
        <f t="shared" si="942"/>
        <v>0.78242572977668579</v>
      </c>
      <c r="CW520" s="180">
        <f t="shared" si="943"/>
        <v>0.34251158643433932</v>
      </c>
      <c r="CX520" s="181">
        <f>INDEX('State Tax Lookup'!$D$7:$Z$91,MATCH(Calculation!$C520,'State Tax Lookup'!$B$7:$B$91,0),MATCH($H520,'State Tax Lookup'!$D$6:$Z$6,0))</f>
        <v>0.39279166999999998</v>
      </c>
      <c r="CY520" s="72">
        <v>0.37</v>
      </c>
      <c r="CZ520" s="70">
        <f t="shared" si="945"/>
        <v>22.041777067518428</v>
      </c>
      <c r="DA520" s="70">
        <v>20.279488671080099</v>
      </c>
      <c r="DB520" s="69">
        <f t="shared" si="949"/>
        <v>-1.9513920680638935E-2</v>
      </c>
      <c r="DC520" s="111">
        <f>VLOOKUP($H520,RoR!$E:$F,2,FALSE)</f>
        <v>3.8866666666666674E-2</v>
      </c>
      <c r="DD520" s="216">
        <f>HLOOKUP($H520,'GDP-PI'!$D$8:$CQ$11,3,FALSE)</f>
        <v>9.5709475431029478E-3</v>
      </c>
      <c r="DE520" s="111">
        <f>VLOOKUP(H520,'HW Dx Data'!$E:$F,2,FALSE)</f>
        <v>675.61463308665782</v>
      </c>
      <c r="DF520" s="72">
        <f t="shared" si="960"/>
        <v>133.5</v>
      </c>
      <c r="DG520" s="69">
        <f t="shared" si="961"/>
        <v>3.1193095773504077E-2</v>
      </c>
      <c r="DH520" s="66">
        <f>HLOOKUP(H520,'GDP-PI'!$8:$9,2,FALSE)</f>
        <v>104.639</v>
      </c>
      <c r="DI520" s="69">
        <f t="shared" si="950"/>
        <v>9.5254361854427965E-3</v>
      </c>
      <c r="EB520"/>
    </row>
    <row r="521" spans="1:132" s="160" customFormat="1" ht="21">
      <c r="A521" s="160" t="s">
        <v>190</v>
      </c>
      <c r="B521" s="161" t="s">
        <v>190</v>
      </c>
      <c r="C521" s="161">
        <v>4057090</v>
      </c>
      <c r="D521" s="161" t="s">
        <v>187</v>
      </c>
      <c r="E521" s="161"/>
      <c r="F521" s="161"/>
      <c r="G521" s="161" t="s">
        <v>133</v>
      </c>
      <c r="H521" s="162">
        <v>2016</v>
      </c>
      <c r="I521" s="163"/>
      <c r="J521" s="159">
        <f>IFERROR(INDEX('Labor Expenditures'!$F$7:$X$91,MATCH($C521,'Labor Expenditures'!$D$7:$D$91,0),MATCH($G521,'Labor Expenditures'!$F$5:$X$5,0)),"NA")</f>
        <v>24034.199941655468</v>
      </c>
      <c r="K521" s="159">
        <f t="shared" si="951"/>
        <v>175.49616605809032</v>
      </c>
      <c r="L521" s="165">
        <f t="shared" si="957"/>
        <v>-6.6741896580573154E-2</v>
      </c>
      <c r="M521" s="76">
        <f t="shared" si="962"/>
        <v>-5.7554027088665754E-4</v>
      </c>
      <c r="N521" s="62">
        <f t="shared" si="967"/>
        <v>298.36611711924951</v>
      </c>
      <c r="O521" s="96">
        <f t="shared" si="963"/>
        <v>0.92016196296656538</v>
      </c>
      <c r="P521" s="96"/>
      <c r="Q521" s="159">
        <f>IFERROR(INDEX('Non-Labor Expenditures'!$F$7:$AB$91,MATCH($C521,'Non-Labor Expenditures'!$D$7:$D$91,0),MATCH($G521,'Non-Labor Expenditures'!$F$5:$AB$5,0)),"NA")</f>
        <v>34806.010484860053</v>
      </c>
      <c r="R521" s="159">
        <f t="shared" si="952"/>
        <v>329.17843009816954</v>
      </c>
      <c r="S521" s="165">
        <f t="shared" si="964"/>
        <v>-5.1656569078995108E-2</v>
      </c>
      <c r="T521" s="165">
        <f t="shared" si="965"/>
        <v>-4.4545386457378475E-4</v>
      </c>
      <c r="U521" s="165"/>
      <c r="V521" s="165"/>
      <c r="W521" s="159">
        <f t="shared" si="933"/>
        <v>43758.466530460988</v>
      </c>
      <c r="X521" s="163"/>
      <c r="Y521" s="167">
        <v>2110.3003936760147</v>
      </c>
      <c r="Z521" s="168">
        <v>4.6650503831561128E-2</v>
      </c>
      <c r="AA521" s="76">
        <f t="shared" si="953"/>
        <v>4.0228469653694063E-4</v>
      </c>
      <c r="AB521" s="168"/>
      <c r="AC521" s="168"/>
      <c r="AD521" s="163">
        <f t="shared" si="928"/>
        <v>102598.6769569765</v>
      </c>
      <c r="AE521" s="168">
        <f t="shared" si="966"/>
        <v>-1.1380765247490068E-2</v>
      </c>
      <c r="AF521" s="163"/>
      <c r="AG521" s="163"/>
      <c r="AH521" s="163"/>
      <c r="AI521" s="163"/>
      <c r="AJ521" s="116">
        <f t="shared" si="973"/>
        <v>318.11077267491356</v>
      </c>
      <c r="AK521" s="114">
        <f>+AV521/$AX$21</f>
        <v>8.7763399724849738E-3</v>
      </c>
      <c r="AL521" s="115">
        <f t="shared" si="954"/>
        <v>0.23425448216777606</v>
      </c>
      <c r="AM521" s="115">
        <f t="shared" si="955"/>
        <v>0.33924424288098304</v>
      </c>
      <c r="AN521" s="115">
        <f t="shared" si="956"/>
        <v>0.42650127495124096</v>
      </c>
      <c r="AO521" s="115">
        <f t="shared" si="958"/>
        <v>-1.4169859330756304E-2</v>
      </c>
      <c r="AP521" s="166">
        <f t="shared" si="969"/>
        <v>121.09806008415273</v>
      </c>
      <c r="AQ521" s="168">
        <f t="shared" si="970"/>
        <v>-1.4169859330756325E-2</v>
      </c>
      <c r="AR521" s="69">
        <f>+AD521/$AF$21</f>
        <v>8.6233730291413752E-3</v>
      </c>
      <c r="AS521" s="169">
        <f t="shared" si="968"/>
        <v>-1.2219198277957136E-4</v>
      </c>
      <c r="AT521" s="115"/>
      <c r="AU521" s="115"/>
      <c r="AV521" s="113">
        <f>IFERROR(INDEX('Total Customers'!$F$7:$AB$91,MATCH($C521,'Total Customers'!$D$7:$D$91,0),MATCH($G521,'Total Customers'!$F$5:$AB$5,0)),"NA")</f>
        <v>322525</v>
      </c>
      <c r="AW521" s="68">
        <f t="shared" si="972"/>
        <v>4.7208380670849251E-3</v>
      </c>
      <c r="AX521" s="114"/>
      <c r="AY521" s="114"/>
      <c r="AZ521" s="116"/>
      <c r="BA521" s="116"/>
      <c r="BB521" s="166"/>
      <c r="BC521" s="166"/>
      <c r="BD521" s="166"/>
      <c r="BE521" s="166"/>
      <c r="BF521" s="166"/>
      <c r="BG521" s="166"/>
      <c r="BH521" s="166"/>
      <c r="BI521" s="113"/>
      <c r="BJ521" s="113"/>
      <c r="BK521" s="113">
        <f>INDEX('Dist. Plant Gas Additions'!$F$7:$AE$91,MATCH($C521,'Dist. Plant Gas Additions'!$D$7:$D$91,0),MATCH(Calculation!$G521,'Dist. Plant Gas Additions'!$F$5:$AE$5,0))</f>
        <v>74085</v>
      </c>
      <c r="BL521" s="113">
        <f>INDEX('Gen. Plant Additions'!$F$7:$AE$91,MATCH($C521,'Gen. Plant Additions'!$D$7:$D$91,0),MATCH(Calculation!$G521,'Gen. Plant Additions'!$F$5:$AE$5,0))</f>
        <v>1455</v>
      </c>
      <c r="BM521" s="231">
        <f t="shared" si="934"/>
        <v>0.9864880255835351</v>
      </c>
      <c r="BN521" s="61">
        <f t="shared" si="971"/>
        <v>1435.3400772240436</v>
      </c>
      <c r="BO521" s="113">
        <f>INDEX('Dist Plant Depreciation'!$E$7:$AD$94,MATCH($C521,'Dist Plant Depreciation'!$D$7:$D$94,0),MATCH(Calculation!$G521,'Dist Plant Depreciation'!$E$5:$AD$5,0))</f>
        <v>249222</v>
      </c>
      <c r="BP521" s="113">
        <f>INDEX('Gen. Plant Depreciation'!$E$7:$AD$94,MATCH($C521,'Gen. Plant Depreciation'!$D$7:$D$94,0),MATCH(Calculation!$G521,'Gen. Plant Depreciation'!$E$5:$AD$5,0))</f>
        <v>5752</v>
      </c>
      <c r="BQ521" s="113"/>
      <c r="BR521" s="113"/>
      <c r="BS521" s="113"/>
      <c r="BT521" s="113"/>
      <c r="BU521" s="113"/>
      <c r="BV521" s="113"/>
      <c r="BW521" s="113">
        <f>INDEX('Gross Dx Plant'!$E$7:$AD$91,MATCH($C521,'Gross Dx Plant'!$D$7:$D$91,0),MATCH(Calculation!$G521,'Gross Dx Plant'!$E$5:$AD$5,0))</f>
        <v>883475</v>
      </c>
      <c r="BX521" s="113">
        <f>INDEX('Gross Gen Plant'!$E$7:$AD$91,MATCH($C521,'Gross Gen Plant'!$D$7:$D$91,0),MATCH(Calculation!$G521,'Gross Gen Plant'!$E$5:$AD$5,0))</f>
        <v>12101</v>
      </c>
      <c r="BY521" s="113">
        <f t="shared" si="959"/>
        <v>640602</v>
      </c>
      <c r="BZ521" s="113"/>
      <c r="CA521" s="116">
        <v>2016</v>
      </c>
      <c r="CB521" s="113"/>
      <c r="CC521" s="113"/>
      <c r="CD521" s="113"/>
      <c r="CE521" s="175"/>
      <c r="CF521" s="113">
        <f t="shared" si="935"/>
        <v>75540</v>
      </c>
      <c r="CG521" s="113">
        <f t="shared" si="936"/>
        <v>112.50172117026951</v>
      </c>
      <c r="CH521" s="178">
        <v>0.88</v>
      </c>
      <c r="CI521" s="61">
        <f>+CI503*CH521+CG504*CH520+CG505*CH519+CG506*CH518+CG507*CH517+CG508*CH516+CG509*CH515+CG510*CH514+CG511*CH513+CG512*CH512+CG513*CH511+CG514*CH510+CG515*CH509+CG516*CH508+CG517*CH507+CG518*CH506+CG519*CH505+CG520*CH504+CG521</f>
        <v>2110.3003936760147</v>
      </c>
      <c r="CJ521" s="114">
        <f t="shared" si="937"/>
        <v>4.6650503831561128E-2</v>
      </c>
      <c r="CK521" s="114"/>
      <c r="CL521" s="169">
        <f t="shared" si="938"/>
        <v>8.1008989848587575E-3</v>
      </c>
      <c r="CM521" s="169">
        <f t="shared" si="946"/>
        <v>7.9075561225416327E-3</v>
      </c>
      <c r="CN521" s="114">
        <f>VLOOKUP($H521,RoR!$E:$F,2,FALSE)</f>
        <v>3.6658333333333334E-2</v>
      </c>
      <c r="CO521" s="169">
        <v>1.0483662879041455E-2</v>
      </c>
      <c r="CP521" s="169">
        <f t="shared" si="944"/>
        <v>2.6174670454291879E-2</v>
      </c>
      <c r="CQ521" s="169">
        <f t="shared" si="947"/>
        <v>2.2994385485991992E-2</v>
      </c>
      <c r="CR521" s="169">
        <f t="shared" si="948"/>
        <v>4.301363574220729E-3</v>
      </c>
      <c r="CS521" s="179">
        <f t="shared" si="939"/>
        <v>0.85466708209999998</v>
      </c>
      <c r="CT521" s="180">
        <f t="shared" si="940"/>
        <v>1.3989193348138562</v>
      </c>
      <c r="CU521" s="180">
        <f t="shared" si="941"/>
        <v>0.29302682427824522</v>
      </c>
      <c r="CV521" s="180">
        <f t="shared" si="942"/>
        <v>0.76309497491941802</v>
      </c>
      <c r="CW521" s="180">
        <f t="shared" si="943"/>
        <v>0.31280857135128509</v>
      </c>
      <c r="CX521" s="181">
        <f>INDEX('State Tax Lookup'!$D$7:$Z$91,MATCH(Calculation!$C521,'State Tax Lookup'!$B$7:$B$91,0),MATCH($H521,'State Tax Lookup'!$D$6:$Z$6,0))</f>
        <v>0.39279166999999998</v>
      </c>
      <c r="CY521" s="72">
        <v>0.37</v>
      </c>
      <c r="CZ521" s="70">
        <f t="shared" si="945"/>
        <v>21.725904722384172</v>
      </c>
      <c r="DA521" s="70">
        <v>19.909765876209278</v>
      </c>
      <c r="DB521" s="69">
        <f t="shared" si="949"/>
        <v>-1.4434295649283594E-2</v>
      </c>
      <c r="DC521" s="111">
        <f>VLOOKUP($H521,RoR!$E:$F,2,FALSE)</f>
        <v>3.6658333333333334E-2</v>
      </c>
      <c r="DD521" s="216">
        <f>HLOOKUP($H521,'GDP-PI'!$D$8:$CQ$11,3,FALSE)</f>
        <v>1.0483662879041455E-2</v>
      </c>
      <c r="DE521" s="111">
        <f>VLOOKUP(H521,'HW Dx Data'!$E:$F,2,FALSE)</f>
        <v>671.45639385971219</v>
      </c>
      <c r="DF521" s="72">
        <f t="shared" si="960"/>
        <v>136.94999999999999</v>
      </c>
      <c r="DG521" s="69">
        <f t="shared" si="961"/>
        <v>2.5514417868782811E-2</v>
      </c>
      <c r="DH521" s="66">
        <f>HLOOKUP(H521,'GDP-PI'!$8:$9,2,FALSE)</f>
        <v>105.736</v>
      </c>
      <c r="DI521" s="69">
        <f t="shared" si="950"/>
        <v>1.0429090367205095E-2</v>
      </c>
      <c r="EB521"/>
    </row>
    <row r="522" spans="1:132" s="160" customFormat="1" ht="21">
      <c r="A522" s="160" t="s">
        <v>190</v>
      </c>
      <c r="B522" s="161" t="s">
        <v>190</v>
      </c>
      <c r="C522" s="161">
        <v>4057090</v>
      </c>
      <c r="D522" s="161" t="s">
        <v>187</v>
      </c>
      <c r="E522" s="161"/>
      <c r="F522" s="161"/>
      <c r="G522" s="161" t="s">
        <v>135</v>
      </c>
      <c r="H522" s="162">
        <v>2017</v>
      </c>
      <c r="I522" s="163"/>
      <c r="J522" s="159">
        <f>IFERROR(INDEX('Labor Expenditures'!$F$7:$X$91,MATCH($C522,'Labor Expenditures'!$D$7:$D$91,0),MATCH($G522,'Labor Expenditures'!$F$5:$X$5,0)),"NA")</f>
        <v>25321.460239262091</v>
      </c>
      <c r="K522" s="159">
        <f t="shared" si="951"/>
        <v>180.2880757512431</v>
      </c>
      <c r="L522" s="165">
        <f t="shared" si="957"/>
        <v>2.6938795577339972E-2</v>
      </c>
      <c r="M522" s="76">
        <f t="shared" si="962"/>
        <v>2.3557252589212493E-4</v>
      </c>
      <c r="N522" s="62">
        <f t="shared" si="967"/>
        <v>165.61352719486155</v>
      </c>
      <c r="O522" s="96">
        <f t="shared" si="963"/>
        <v>-0.5886643887801476</v>
      </c>
      <c r="P522" s="96"/>
      <c r="Q522" s="159">
        <f>IFERROR(INDEX('Non-Labor Expenditures'!$F$7:$AB$91,MATCH($C522,'Non-Labor Expenditures'!$D$7:$D$91,0),MATCH($G522,'Non-Labor Expenditures'!$F$5:$AB$5,0)),"NA")</f>
        <v>36670.203822853655</v>
      </c>
      <c r="R522" s="159">
        <f t="shared" si="952"/>
        <v>340.32355915818556</v>
      </c>
      <c r="S522" s="165">
        <f t="shared" si="964"/>
        <v>3.3296865190760222E-2</v>
      </c>
      <c r="T522" s="165">
        <f t="shared" si="965"/>
        <v>2.9117213554547049E-4</v>
      </c>
      <c r="U522" s="165"/>
      <c r="V522" s="165"/>
      <c r="W522" s="159">
        <f t="shared" si="933"/>
        <v>41552.678885740504</v>
      </c>
      <c r="X522" s="163"/>
      <c r="Y522" s="167">
        <v>2182.8332012489686</v>
      </c>
      <c r="Z522" s="168">
        <v>3.3793362582796818E-2</v>
      </c>
      <c r="AA522" s="76">
        <f t="shared" si="953"/>
        <v>2.955138717751072E-4</v>
      </c>
      <c r="AB522" s="168"/>
      <c r="AC522" s="168"/>
      <c r="AD522" s="163">
        <f t="shared" si="928"/>
        <v>103544.34294785625</v>
      </c>
      <c r="AE522" s="168">
        <f t="shared" si="966"/>
        <v>9.1749177351163908E-3</v>
      </c>
      <c r="AF522" s="163"/>
      <c r="AG522" s="163"/>
      <c r="AH522" s="163"/>
      <c r="AI522" s="163"/>
      <c r="AJ522" s="116">
        <f t="shared" si="973"/>
        <v>319.10068461039003</v>
      </c>
      <c r="AK522" s="114">
        <f>+AV522/$AX$22</f>
        <v>8.7634164901135292E-3</v>
      </c>
      <c r="AL522" s="115">
        <f t="shared" si="954"/>
        <v>0.24454701742627977</v>
      </c>
      <c r="AM522" s="115">
        <f t="shared" si="955"/>
        <v>0.35414975631571055</v>
      </c>
      <c r="AN522" s="115">
        <f t="shared" si="956"/>
        <v>0.40130322625800968</v>
      </c>
      <c r="AO522" s="115">
        <f t="shared" si="958"/>
        <v>3.1980239946028992E-2</v>
      </c>
      <c r="AP522" s="166">
        <f t="shared" si="969"/>
        <v>125.03339620431113</v>
      </c>
      <c r="AQ522" s="168">
        <f t="shared" si="970"/>
        <v>3.1980239946028957E-2</v>
      </c>
      <c r="AR522" s="69">
        <f>+AD522/$AF$22</f>
        <v>8.7447311894775573E-3</v>
      </c>
      <c r="AS522" s="169">
        <f t="shared" si="968"/>
        <v>2.7965860170301549E-4</v>
      </c>
      <c r="AT522" s="115"/>
      <c r="AU522" s="115"/>
      <c r="AV522" s="113">
        <f>IFERROR(INDEX('Total Customers'!$F$7:$AB$91,MATCH($C522,'Total Customers'!$D$7:$D$91,0),MATCH($G522,'Total Customers'!$F$5:$AB$5,0)),"NA")</f>
        <v>324488</v>
      </c>
      <c r="AW522" s="68">
        <f t="shared" si="972"/>
        <v>6.0679028799851212E-3</v>
      </c>
      <c r="AX522" s="114"/>
      <c r="AY522" s="114"/>
      <c r="AZ522" s="116"/>
      <c r="BA522" s="116"/>
      <c r="BB522" s="166"/>
      <c r="BC522" s="166"/>
      <c r="BD522" s="166"/>
      <c r="BE522" s="166"/>
      <c r="BF522" s="166"/>
      <c r="BG522" s="166"/>
      <c r="BH522" s="166"/>
      <c r="BI522" s="113"/>
      <c r="BJ522" s="113"/>
      <c r="BK522" s="113">
        <f>INDEX('Dist. Plant Gas Additions'!$F$7:$AE$91,MATCH($C522,'Dist. Plant Gas Additions'!$D$7:$D$91,0),MATCH(Calculation!$G522,'Dist. Plant Gas Additions'!$F$5:$AE$5,0))</f>
        <v>63064</v>
      </c>
      <c r="BL522" s="113">
        <f>INDEX('Gen. Plant Additions'!$F$7:$AE$91,MATCH($C522,'Gen. Plant Additions'!$D$7:$D$91,0),MATCH(Calculation!$G522,'Gen. Plant Additions'!$F$5:$AE$5,0))</f>
        <v>1075</v>
      </c>
      <c r="BM522" s="231">
        <f t="shared" si="934"/>
        <v>0.9870527895267921</v>
      </c>
      <c r="BN522" s="61">
        <f t="shared" si="971"/>
        <v>1061.0817487413015</v>
      </c>
      <c r="BO522" s="113">
        <f>INDEX('Dist Plant Depreciation'!$E$7:$AD$94,MATCH($C522,'Dist Plant Depreciation'!$D$7:$D$94,0),MATCH(Calculation!$G522,'Dist Plant Depreciation'!$E$5:$AD$5,0))</f>
        <v>267951</v>
      </c>
      <c r="BP522" s="113">
        <f>INDEX('Gen. Plant Depreciation'!$E$7:$AD$94,MATCH($C522,'Gen. Plant Depreciation'!$D$7:$D$94,0),MATCH(Calculation!$G522,'Gen. Plant Depreciation'!$E$5:$AD$5,0))</f>
        <v>5689</v>
      </c>
      <c r="BQ522" s="113"/>
      <c r="BR522" s="113"/>
      <c r="BS522" s="113"/>
      <c r="BT522" s="113"/>
      <c r="BU522" s="113"/>
      <c r="BV522" s="113"/>
      <c r="BW522" s="113">
        <f>INDEX('Gross Dx Plant'!$E$7:$AD$91,MATCH($C522,'Gross Dx Plant'!$D$7:$D$91,0),MATCH(Calculation!$G522,'Gross Dx Plant'!$E$5:$AD$5,0))</f>
        <v>943963</v>
      </c>
      <c r="BX522" s="113">
        <f>INDEX('Gross Gen Plant'!$E$7:$AD$91,MATCH($C522,'Gross Gen Plant'!$D$7:$D$91,0),MATCH(Calculation!$G522,'Gross Gen Plant'!$E$5:$AD$5,0))</f>
        <v>12382</v>
      </c>
      <c r="BY522" s="113">
        <f t="shared" si="959"/>
        <v>682705</v>
      </c>
      <c r="BZ522" s="113"/>
      <c r="CA522" s="116">
        <v>2017</v>
      </c>
      <c r="CB522" s="113"/>
      <c r="CC522" s="113"/>
      <c r="CD522" s="113"/>
      <c r="CE522" s="175"/>
      <c r="CF522" s="113">
        <f t="shared" si="935"/>
        <v>64139</v>
      </c>
      <c r="CG522" s="113">
        <f t="shared" si="936"/>
        <v>90.028673002825201</v>
      </c>
      <c r="CH522" s="178">
        <v>0.87074829931972786</v>
      </c>
      <c r="CI522" s="61">
        <f>+CI503*CH522+CG504*CH521+CG505*CH520+CG506*CH519+CG507*CH518+CG508*CH517+CG509*CH516+CG510*CH515+CG511*CH514+CG512*CH513+CG513*CH512+CG514*CH511+CG515*CH510+CG516*CH509+CG517*CH508+CG518*CH507+CG519*CH506+CG520*CH505+CG521*CH504+CG522</f>
        <v>2182.8332012489686</v>
      </c>
      <c r="CJ522" s="114">
        <f t="shared" si="937"/>
        <v>3.3793362582796818E-2</v>
      </c>
      <c r="CK522" s="114"/>
      <c r="CL522" s="169">
        <f t="shared" si="938"/>
        <v>8.2906990314277011E-3</v>
      </c>
      <c r="CM522" s="169">
        <f t="shared" si="946"/>
        <v>8.0997346140461567E-3</v>
      </c>
      <c r="CN522" s="114">
        <f>VLOOKUP($H522,RoR!$E:$F,2,FALSE)</f>
        <v>3.7433333333333339E-2</v>
      </c>
      <c r="CO522" s="169">
        <v>1.9056896421275615E-2</v>
      </c>
      <c r="CP522" s="169">
        <f t="shared" si="944"/>
        <v>1.8376436912057724E-2</v>
      </c>
      <c r="CQ522" s="169">
        <f t="shared" si="947"/>
        <v>2.280220699448747E-2</v>
      </c>
      <c r="CR522" s="169">
        <f t="shared" si="948"/>
        <v>1.3976271617800498E-2</v>
      </c>
      <c r="CS522" s="179">
        <f t="shared" si="939"/>
        <v>0.90646708210000004</v>
      </c>
      <c r="CT522" s="180">
        <f t="shared" si="940"/>
        <v>1.3699568463593395</v>
      </c>
      <c r="CU522" s="180">
        <f t="shared" si="941"/>
        <v>0.30714603739982199</v>
      </c>
      <c r="CV522" s="180">
        <f t="shared" si="942"/>
        <v>0.77007188472689425</v>
      </c>
      <c r="CW522" s="180">
        <f t="shared" si="943"/>
        <v>0.32402839633793828</v>
      </c>
      <c r="CX522" s="181">
        <f>INDEX('State Tax Lookup'!$D$7:$Z$91,MATCH(Calculation!$C522,'State Tax Lookup'!$B$7:$B$91,0),MATCH($H522,'State Tax Lookup'!$D$6:$Z$6,0))</f>
        <v>0.25279166999999997</v>
      </c>
      <c r="CY522" s="72">
        <v>0.37</v>
      </c>
      <c r="CZ522" s="70">
        <f t="shared" si="945"/>
        <v>19.690409484006338</v>
      </c>
      <c r="DA522" s="70">
        <v>18.231812616449311</v>
      </c>
      <c r="DB522" s="69">
        <f t="shared" si="949"/>
        <v>-9.837362560124073E-2</v>
      </c>
      <c r="DC522" s="111">
        <f>VLOOKUP($H522,RoR!$E:$F,2,FALSE)</f>
        <v>3.7433333333333339E-2</v>
      </c>
      <c r="DD522" s="216">
        <f>HLOOKUP($H522,'GDP-PI'!$D$8:$CQ$11,3,FALSE)</f>
        <v>1.9056896421275615E-2</v>
      </c>
      <c r="DE522" s="111">
        <f>VLOOKUP(H522,'HW Dx Data'!$E:$F,2,FALSE)</f>
        <v>712.42858370229726</v>
      </c>
      <c r="DF522" s="72">
        <f t="shared" si="960"/>
        <v>140.44999999999999</v>
      </c>
      <c r="DG522" s="69">
        <f t="shared" si="961"/>
        <v>2.5235657841165486E-2</v>
      </c>
      <c r="DH522" s="66">
        <f>HLOOKUP(H522,'GDP-PI'!$8:$9,2,FALSE)</f>
        <v>107.751</v>
      </c>
      <c r="DI522" s="69">
        <f t="shared" si="950"/>
        <v>1.8877588227745139E-2</v>
      </c>
      <c r="EB522"/>
    </row>
    <row r="523" spans="1:132" s="160" customFormat="1" ht="21">
      <c r="A523" s="160" t="s">
        <v>190</v>
      </c>
      <c r="B523" s="161" t="s">
        <v>190</v>
      </c>
      <c r="C523" s="161">
        <v>4057090</v>
      </c>
      <c r="D523" s="161" t="s">
        <v>187</v>
      </c>
      <c r="E523" s="161"/>
      <c r="F523" s="161"/>
      <c r="G523" s="161" t="s">
        <v>136</v>
      </c>
      <c r="H523" s="162">
        <v>2018</v>
      </c>
      <c r="I523" s="163"/>
      <c r="J523" s="159">
        <f>IFERROR(INDEX('Labor Expenditures'!$F$7:$X$91,MATCH($C523,'Labor Expenditures'!$D$7:$D$91,0),MATCH($G523,'Labor Expenditures'!$F$5:$X$5,0)),"NA")</f>
        <v>27867.457434070646</v>
      </c>
      <c r="K523" s="159">
        <f t="shared" si="951"/>
        <v>192.92113142312667</v>
      </c>
      <c r="L523" s="165">
        <f t="shared" si="957"/>
        <v>6.7725467488751842E-2</v>
      </c>
      <c r="M523" s="76">
        <f t="shared" si="962"/>
        <v>5.9622090684644533E-4</v>
      </c>
      <c r="N523" s="62">
        <f t="shared" si="967"/>
        <v>114.2915079809526</v>
      </c>
      <c r="O523" s="96">
        <f t="shared" si="963"/>
        <v>-0.37090465241334225</v>
      </c>
      <c r="P523" s="96"/>
      <c r="Q523" s="159">
        <f>IFERROR(INDEX('Non-Labor Expenditures'!$F$7:$AB$91,MATCH($C523,'Non-Labor Expenditures'!$D$7:$D$91,0),MATCH($G523,'Non-Labor Expenditures'!$F$5:$AB$5,0)),"NA")</f>
        <v>40357.283287618513</v>
      </c>
      <c r="R523" s="159">
        <f t="shared" si="952"/>
        <v>365.81355747374516</v>
      </c>
      <c r="S523" s="165">
        <f t="shared" si="964"/>
        <v>7.2226988134234615E-2</v>
      </c>
      <c r="T523" s="165">
        <f t="shared" si="965"/>
        <v>6.3585002748534666E-4</v>
      </c>
      <c r="U523" s="165"/>
      <c r="V523" s="165"/>
      <c r="W523" s="159">
        <f t="shared" si="933"/>
        <v>45081.240535274177</v>
      </c>
      <c r="X523" s="163"/>
      <c r="Y523" s="167">
        <v>2224.5455631474515</v>
      </c>
      <c r="Z523" s="168">
        <v>1.8928986867372148E-2</v>
      </c>
      <c r="AA523" s="76">
        <f t="shared" si="953"/>
        <v>1.6664126707760982E-4</v>
      </c>
      <c r="AB523" s="168"/>
      <c r="AC523" s="168"/>
      <c r="AD523" s="163">
        <f t="shared" si="928"/>
        <v>113305.98125696334</v>
      </c>
      <c r="AE523" s="168">
        <f t="shared" si="966"/>
        <v>9.009200273167503E-2</v>
      </c>
      <c r="AF523" s="163"/>
      <c r="AG523" s="163"/>
      <c r="AH523" s="163"/>
      <c r="AI523" s="163"/>
      <c r="AJ523" s="116">
        <f t="shared" si="973"/>
        <v>347.79266529858046</v>
      </c>
      <c r="AK523" s="114">
        <f>+AV523/$AX$23</f>
        <v>8.721415523544605E-3</v>
      </c>
      <c r="AL523" s="115">
        <f t="shared" si="954"/>
        <v>0.24594868801207281</v>
      </c>
      <c r="AM523" s="115">
        <f t="shared" si="955"/>
        <v>0.35617963711989226</v>
      </c>
      <c r="AN523" s="115">
        <f t="shared" si="956"/>
        <v>0.39787167486803493</v>
      </c>
      <c r="AO523" s="115">
        <f t="shared" si="958"/>
        <v>4.9825787415628618E-2</v>
      </c>
      <c r="AP523" s="166">
        <f t="shared" si="969"/>
        <v>131.42109830771426</v>
      </c>
      <c r="AQ523" s="168">
        <f t="shared" si="970"/>
        <v>4.9825787415628681E-2</v>
      </c>
      <c r="AR523" s="69">
        <f>+AD523/$AF$23</f>
        <v>8.8034963648714343E-3</v>
      </c>
      <c r="AS523" s="169">
        <f t="shared" si="968"/>
        <v>4.3864113839034397E-4</v>
      </c>
      <c r="AT523" s="115"/>
      <c r="AU523" s="115"/>
      <c r="AV523" s="113">
        <f>IFERROR(INDEX('Total Customers'!$F$7:$AB$91,MATCH($C523,'Total Customers'!$D$7:$D$91,0),MATCH($G523,'Total Customers'!$F$5:$AB$5,0)),"NA")</f>
        <v>325786</v>
      </c>
      <c r="AW523" s="68">
        <f t="shared" si="972"/>
        <v>3.9921686055296732E-3</v>
      </c>
      <c r="AX523" s="114"/>
      <c r="AY523" s="114"/>
      <c r="AZ523" s="116"/>
      <c r="BA523" s="116"/>
      <c r="BB523" s="166"/>
      <c r="BC523" s="166"/>
      <c r="BD523" s="166"/>
      <c r="BE523" s="166"/>
      <c r="BF523" s="166"/>
      <c r="BG523" s="166"/>
      <c r="BH523" s="166"/>
      <c r="BI523" s="113"/>
      <c r="BJ523" s="113"/>
      <c r="BK523" s="113">
        <f>INDEX('Dist. Plant Gas Additions'!$F$7:$AE$91,MATCH($C523,'Dist. Plant Gas Additions'!$D$7:$D$91,0),MATCH(Calculation!$G523,'Dist. Plant Gas Additions'!$F$5:$AE$5,0))</f>
        <v>43630</v>
      </c>
      <c r="BL523" s="113">
        <f>INDEX('Gen. Plant Additions'!$F$7:$AE$91,MATCH($C523,'Gen. Plant Additions'!$D$7:$D$91,0),MATCH(Calculation!$G523,'Gen. Plant Additions'!$F$5:$AE$5,0))</f>
        <v>1927</v>
      </c>
      <c r="BM523" s="231">
        <f t="shared" si="934"/>
        <v>0.98607413167496216</v>
      </c>
      <c r="BN523" s="61">
        <f t="shared" si="971"/>
        <v>1900.164851737652</v>
      </c>
      <c r="BO523" s="113">
        <f>INDEX('Dist Plant Depreciation'!$E$7:$AD$94,MATCH($C523,'Dist Plant Depreciation'!$D$7:$D$94,0),MATCH(Calculation!$G523,'Dist Plant Depreciation'!$E$5:$AD$5,0))</f>
        <v>286112</v>
      </c>
      <c r="BP523" s="113">
        <f>INDEX('Gen. Plant Depreciation'!$E$7:$AD$94,MATCH($C523,'Gen. Plant Depreciation'!$D$7:$D$94,0),MATCH(Calculation!$G523,'Gen. Plant Depreciation'!$E$5:$AD$5,0))</f>
        <v>5843</v>
      </c>
      <c r="BQ523" s="113"/>
      <c r="BR523" s="113"/>
      <c r="BS523" s="113"/>
      <c r="BT523" s="113"/>
      <c r="BU523" s="113"/>
      <c r="BV523" s="113"/>
      <c r="BW523" s="113">
        <f>INDEX('Gross Dx Plant'!$E$7:$AD$91,MATCH($C523,'Gross Dx Plant'!$D$7:$D$91,0),MATCH(Calculation!$G523,'Gross Dx Plant'!$E$5:$AD$5,0))</f>
        <v>984030</v>
      </c>
      <c r="BX523" s="113">
        <f>INDEX('Gross Gen Plant'!$E$7:$AD$91,MATCH($C523,'Gross Gen Plant'!$D$7:$D$91,0),MATCH(Calculation!$G523,'Gross Gen Plant'!$E$5:$AD$5,0))</f>
        <v>13897</v>
      </c>
      <c r="BY523" s="113">
        <f t="shared" si="959"/>
        <v>705972</v>
      </c>
      <c r="BZ523" s="113"/>
      <c r="CA523" s="116">
        <v>2018</v>
      </c>
      <c r="CB523" s="113"/>
      <c r="CC523" s="113"/>
      <c r="CD523" s="113"/>
      <c r="CE523" s="175"/>
      <c r="CF523" s="113">
        <f t="shared" si="935"/>
        <v>45557</v>
      </c>
      <c r="CG523" s="113">
        <f t="shared" si="936"/>
        <v>60.329472974588413</v>
      </c>
      <c r="CH523" s="178">
        <v>0.86111111111111116</v>
      </c>
      <c r="CI523" s="61">
        <f>+CI503*CH523++CG504*CH522+CG505*CH521+CG506*CH520+CG507*CH519+CG508*CH518+CG509*CH517+CG510*CH516+CG511*CH515+CG512*CH514+CG513*CH513+CG514*CH512+CG515*CH511+CG516*CH510+CG517*CH509+CG518*CH508+CG519*CH507+CG520*CH506+CG521*CH505+CG522*CH504+CG523</f>
        <v>2224.5455631474515</v>
      </c>
      <c r="CJ523" s="114">
        <f t="shared" si="937"/>
        <v>1.8928986867372148E-2</v>
      </c>
      <c r="CK523" s="114"/>
      <c r="CL523" s="169">
        <f t="shared" si="938"/>
        <v>8.528874796962611E-3</v>
      </c>
      <c r="CM523" s="169">
        <f t="shared" si="946"/>
        <v>8.3068242710830232E-3</v>
      </c>
      <c r="CN523" s="114">
        <f>VLOOKUP($H523,RoR!$E:$F,2,FALSE)</f>
        <v>3.9299999999999995E-2</v>
      </c>
      <c r="CO523" s="169">
        <v>2.386056741932796E-2</v>
      </c>
      <c r="CP523" s="169">
        <f t="shared" si="944"/>
        <v>1.5439432580672034E-2</v>
      </c>
      <c r="CQ523" s="169">
        <f t="shared" si="947"/>
        <v>2.25951173374506E-2</v>
      </c>
      <c r="CR523" s="169">
        <f t="shared" si="948"/>
        <v>3.8270792163076606E-2</v>
      </c>
      <c r="CS523" s="179">
        <f t="shared" si="939"/>
        <v>0.90646708210000004</v>
      </c>
      <c r="CT523" s="180">
        <f t="shared" si="940"/>
        <v>1.3048868010700074</v>
      </c>
      <c r="CU523" s="180">
        <f t="shared" si="941"/>
        <v>0.33886768447837151</v>
      </c>
      <c r="CV523" s="180">
        <f t="shared" si="942"/>
        <v>0.78602506232557801</v>
      </c>
      <c r="CW523" s="180">
        <f t="shared" si="943"/>
        <v>0.34756768162358759</v>
      </c>
      <c r="CX523" s="181">
        <f>INDEX('State Tax Lookup'!$D$7:$Z$91,MATCH(Calculation!$C523,'State Tax Lookup'!$B$7:$B$91,0),MATCH($H523,'State Tax Lookup'!$D$6:$Z$6,0))</f>
        <v>0.25279166999999997</v>
      </c>
      <c r="CY523" s="72">
        <v>0.37</v>
      </c>
      <c r="CZ523" s="70">
        <f t="shared" si="945"/>
        <v>20.652627287087117</v>
      </c>
      <c r="DA523" s="70">
        <v>19.050901628905343</v>
      </c>
      <c r="DB523" s="69">
        <f t="shared" si="949"/>
        <v>4.7710851731378949E-2</v>
      </c>
      <c r="DC523" s="111">
        <f>VLOOKUP($H523,RoR!$E:$F,2,FALSE)</f>
        <v>3.9299999999999995E-2</v>
      </c>
      <c r="DD523" s="216">
        <f>HLOOKUP($H523,'GDP-PI'!$D$8:$CQ$11,3,FALSE)</f>
        <v>2.386056741932796E-2</v>
      </c>
      <c r="DE523" s="111">
        <f>VLOOKUP(H523,'HW Dx Data'!$E:$F,2,FALSE)</f>
        <v>755.13671434174842</v>
      </c>
      <c r="DF523" s="72">
        <f t="shared" si="960"/>
        <v>144.44999999999999</v>
      </c>
      <c r="DG523" s="69">
        <f t="shared" si="961"/>
        <v>2.80818733619915E-2</v>
      </c>
      <c r="DH523" s="66">
        <f>HLOOKUP(H523,'GDP-PI'!$8:$9,2,FALSE)</f>
        <v>110.322</v>
      </c>
      <c r="DI523" s="69">
        <f t="shared" si="950"/>
        <v>2.3580352716508712E-2</v>
      </c>
      <c r="EB523"/>
    </row>
    <row r="524" spans="1:132" s="160" customFormat="1" ht="21">
      <c r="A524" s="160" t="s">
        <v>190</v>
      </c>
      <c r="B524" s="161" t="s">
        <v>190</v>
      </c>
      <c r="C524" s="161">
        <v>4057090</v>
      </c>
      <c r="D524" s="161" t="s">
        <v>187</v>
      </c>
      <c r="E524" s="161"/>
      <c r="F524" s="161"/>
      <c r="G524" s="161" t="s">
        <v>140</v>
      </c>
      <c r="H524" s="162">
        <v>2019</v>
      </c>
      <c r="I524" s="163"/>
      <c r="J524" s="159">
        <f>IFERROR(INDEX('Labor Expenditures'!$F$7:$X$91,MATCH($C524,'Labor Expenditures'!$D$7:$D$91,0),MATCH($G524,'Labor Expenditures'!$F$5:$X$5,0)),"NA")</f>
        <v>30095.559873891547</v>
      </c>
      <c r="K524" s="159">
        <f t="shared" si="951"/>
        <v>201.07272339329577</v>
      </c>
      <c r="L524" s="165">
        <f t="shared" si="957"/>
        <v>4.1385190638673922E-2</v>
      </c>
      <c r="M524" s="76">
        <f t="shared" si="962"/>
        <v>3.7491512813709276E-4</v>
      </c>
      <c r="N524" s="62">
        <f t="shared" si="967"/>
        <v>115.61120176490886</v>
      </c>
      <c r="O524" s="96">
        <f t="shared" si="963"/>
        <v>1.1480580463187602E-2</v>
      </c>
      <c r="P524" s="96"/>
      <c r="Q524" s="159">
        <f>IFERROR(INDEX('Non-Labor Expenditures'!$F$7:$AB$91,MATCH($C524,'Non-Labor Expenditures'!$D$7:$D$91,0),MATCH($G524,'Non-Labor Expenditures'!$F$5:$AB$5,0)),"NA")</f>
        <v>43583.991772611131</v>
      </c>
      <c r="R524" s="159">
        <f t="shared" si="952"/>
        <v>388.04102434704259</v>
      </c>
      <c r="S524" s="165">
        <f t="shared" si="964"/>
        <v>5.898726908644393E-2</v>
      </c>
      <c r="T524" s="165">
        <f t="shared" si="965"/>
        <v>5.3437520056594614E-4</v>
      </c>
      <c r="U524" s="165"/>
      <c r="V524" s="165"/>
      <c r="W524" s="159">
        <f t="shared" si="933"/>
        <v>46529.572558498752</v>
      </c>
      <c r="X524" s="163"/>
      <c r="Y524" s="167">
        <v>2269.9555414583588</v>
      </c>
      <c r="Z524" s="168">
        <v>2.0207592564814345E-2</v>
      </c>
      <c r="AA524" s="76">
        <f t="shared" si="953"/>
        <v>1.8306384575886755E-4</v>
      </c>
      <c r="AB524" s="168"/>
      <c r="AC524" s="168"/>
      <c r="AD524" s="163">
        <f t="shared" si="928"/>
        <v>120209.12420500143</v>
      </c>
      <c r="AE524" s="168">
        <f t="shared" si="966"/>
        <v>5.9140969783523886E-2</v>
      </c>
      <c r="AF524" s="163"/>
      <c r="AG524" s="163"/>
      <c r="AH524" s="163"/>
      <c r="AI524" s="163"/>
      <c r="AJ524" s="116">
        <f t="shared" si="973"/>
        <v>366.55716792045348</v>
      </c>
      <c r="AK524" s="114">
        <f>+AV524/$AX$24</f>
        <v>8.7067028105859319E-3</v>
      </c>
      <c r="AL524" s="115">
        <f t="shared" si="954"/>
        <v>0.25036002943143804</v>
      </c>
      <c r="AM524" s="115">
        <f t="shared" si="955"/>
        <v>0.36256808342005853</v>
      </c>
      <c r="AN524" s="115">
        <f t="shared" si="956"/>
        <v>0.38707188714850349</v>
      </c>
      <c r="AO524" s="115">
        <f t="shared" si="958"/>
        <v>3.9399307885699016E-2</v>
      </c>
      <c r="AP524" s="166">
        <f t="shared" si="969"/>
        <v>136.70235438041954</v>
      </c>
      <c r="AQ524" s="168">
        <f t="shared" si="970"/>
        <v>3.9399307885698988E-2</v>
      </c>
      <c r="AR524" s="69">
        <f>+AD524/$AF$24</f>
        <v>9.059161558790536E-3</v>
      </c>
      <c r="AS524" s="169">
        <f t="shared" si="968"/>
        <v>3.5692469544107712E-4</v>
      </c>
      <c r="AT524" s="115"/>
      <c r="AU524" s="115"/>
      <c r="AV524" s="113">
        <f>IFERROR(INDEX('Total Customers'!$F$7:$AB$91,MATCH($C524,'Total Customers'!$D$7:$D$91,0),MATCH($G524,'Total Customers'!$F$5:$AB$5,0)),"NA")</f>
        <v>327941</v>
      </c>
      <c r="AW524" s="68">
        <f t="shared" si="972"/>
        <v>6.59299005865179E-3</v>
      </c>
      <c r="AX524" s="114"/>
      <c r="AY524" s="114"/>
      <c r="AZ524" s="116"/>
      <c r="BA524" s="116"/>
      <c r="BB524" s="166"/>
      <c r="BC524" s="166"/>
      <c r="BD524" s="166"/>
      <c r="BE524" s="166"/>
      <c r="BF524" s="166"/>
      <c r="BG524" s="166"/>
      <c r="BH524" s="166"/>
      <c r="BI524" s="113"/>
      <c r="BJ524" s="113"/>
      <c r="BK524" s="113">
        <f>INDEX('Dist. Plant Gas Additions'!$F$7:$AE$91,MATCH($C524,'Dist. Plant Gas Additions'!$D$7:$D$91,0),MATCH(Calculation!$G524,'Dist. Plant Gas Additions'!$F$5:$AE$5,0))</f>
        <v>49021</v>
      </c>
      <c r="BL524" s="113">
        <f>INDEX('Gen. Plant Additions'!$F$7:$AE$91,MATCH($C524,'Gen. Plant Additions'!$D$7:$D$91,0),MATCH(Calculation!$G524,'Gen. Plant Additions'!$F$5:$AE$5,0))</f>
        <v>1301</v>
      </c>
      <c r="BM524" s="231">
        <f t="shared" si="934"/>
        <v>0.98577773690920567</v>
      </c>
      <c r="BN524" s="61">
        <f t="shared" si="971"/>
        <v>1282.4968357188766</v>
      </c>
      <c r="BO524" s="113">
        <f>INDEX('Dist Plant Depreciation'!$E$7:$AD$94,MATCH($C524,'Dist Plant Depreciation'!$D$7:$D$94,0),MATCH(Calculation!$G524,'Dist Plant Depreciation'!$E$5:$AD$5,0))</f>
        <v>302468</v>
      </c>
      <c r="BP524" s="113">
        <f>INDEX('Gen. Plant Depreciation'!$E$7:$AD$94,MATCH($C524,'Gen. Plant Depreciation'!$D$7:$D$94,0),MATCH(Calculation!$G524,'Gen. Plant Depreciation'!$E$5:$AD$5,0))</f>
        <v>6051</v>
      </c>
      <c r="BQ524" s="113"/>
      <c r="BR524" s="113"/>
      <c r="BS524" s="113"/>
      <c r="BT524" s="113"/>
      <c r="BU524" s="113"/>
      <c r="BV524" s="113"/>
      <c r="BW524" s="113">
        <f>INDEX('Gross Dx Plant'!$E$7:$AD$91,MATCH($C524,'Gross Dx Plant'!$D$7:$D$91,0),MATCH(Calculation!$G524,'Gross Dx Plant'!$E$5:$AD$5,0))</f>
        <v>1029149</v>
      </c>
      <c r="BX524" s="113">
        <f>INDEX('Gross Gen Plant'!$E$7:$AD$91,MATCH($C524,'Gross Gen Plant'!$D$7:$D$91,0),MATCH(Calculation!$G524,'Gross Gen Plant'!$E$5:$AD$5,0))</f>
        <v>14848</v>
      </c>
      <c r="BY524" s="113">
        <f t="shared" si="959"/>
        <v>735478</v>
      </c>
      <c r="BZ524" s="113"/>
      <c r="CA524" s="116">
        <v>2019</v>
      </c>
      <c r="CB524" s="113"/>
      <c r="CC524" s="113"/>
      <c r="CD524" s="113"/>
      <c r="CE524" s="175"/>
      <c r="CF524" s="113">
        <f t="shared" si="935"/>
        <v>50322</v>
      </c>
      <c r="CG524" s="113">
        <f t="shared" si="936"/>
        <v>65.054225601791103</v>
      </c>
      <c r="CH524" s="178">
        <v>0.85106382978723405</v>
      </c>
      <c r="CI524" s="61">
        <f>CI503*CH524+CG504*CH523+CG505*CH522+CG506*CH521+CG507*CH520+CG508*CH519+CG509*CH518+CG510*CH517+CG511*CH516+CG512*CH515+CG513*CH514+CG514*CH513+CG515*CH512+CG516*CH511+CG517*CH510+CG518*CH509+CG519*CH508+CG520*CH507+CG521*CH506+CG522*CH505+CG523*CH504+CG524</f>
        <v>2269.9555414583588</v>
      </c>
      <c r="CJ524" s="114">
        <f t="shared" si="937"/>
        <v>2.0207592564814345E-2</v>
      </c>
      <c r="CK524" s="114"/>
      <c r="CL524" s="169">
        <f t="shared" si="938"/>
        <v>8.830678776068631E-3</v>
      </c>
      <c r="CM524" s="169">
        <f t="shared" si="946"/>
        <v>8.5500842014863132E-3</v>
      </c>
      <c r="CN524" s="114">
        <f>VLOOKUP($H524,RoR!$E:$F,2,FALSE)</f>
        <v>3.3875000000000009E-2</v>
      </c>
      <c r="CO524" s="169">
        <v>1.8092492884465461E-2</v>
      </c>
      <c r="CP524" s="169">
        <f t="shared" si="944"/>
        <v>1.5782507115534548E-2</v>
      </c>
      <c r="CQ524" s="169">
        <f t="shared" si="947"/>
        <v>2.2351857407047312E-2</v>
      </c>
      <c r="CR524" s="169">
        <f t="shared" si="948"/>
        <v>4.8445665544254078E-2</v>
      </c>
      <c r="CS524" s="179">
        <f t="shared" si="939"/>
        <v>0.90646708210000004</v>
      </c>
      <c r="CT524" s="180">
        <f t="shared" si="940"/>
        <v>1.513861292459078</v>
      </c>
      <c r="CU524" s="180">
        <f t="shared" si="941"/>
        <v>0.23699261992619944</v>
      </c>
      <c r="CV524" s="180">
        <f t="shared" si="942"/>
        <v>0.73619765810468829</v>
      </c>
      <c r="CW524" s="180">
        <f t="shared" si="943"/>
        <v>0.26412854465362851</v>
      </c>
      <c r="CX524" s="181">
        <f>INDEX('State Tax Lookup'!$D$7:$Z$91,MATCH(Calculation!$C524,'State Tax Lookup'!$B$7:$B$91,0),MATCH($H524,'State Tax Lookup'!$D$6:$Z$6,0))</f>
        <v>0.25279166999999997</v>
      </c>
      <c r="CY524" s="72">
        <v>0.37</v>
      </c>
      <c r="CZ524" s="70">
        <f t="shared" si="945"/>
        <v>20.916439442429436</v>
      </c>
      <c r="DA524" s="70">
        <v>19.236104090735289</v>
      </c>
      <c r="DB524" s="69">
        <f t="shared" si="949"/>
        <v>1.269288526167087E-2</v>
      </c>
      <c r="DC524" s="111">
        <f>VLOOKUP($H524,RoR!$E:$F,2,FALSE)</f>
        <v>3.3875000000000009E-2</v>
      </c>
      <c r="DD524" s="216">
        <f>HLOOKUP($H524,'GDP-PI'!$D$8:$CQ$11,3,FALSE)</f>
        <v>1.8092492884465461E-2</v>
      </c>
      <c r="DE524" s="111">
        <f>VLOOKUP(H524,'HW Dx Data'!$E:$F,2,FALSE)</f>
        <v>773.53929793938721</v>
      </c>
      <c r="DF524" s="72">
        <f t="shared" si="960"/>
        <v>149.67500000000001</v>
      </c>
      <c r="DG524" s="69">
        <f t="shared" si="961"/>
        <v>3.5532849899171604E-2</v>
      </c>
      <c r="DH524" s="66">
        <f>HLOOKUP(H524,'GDP-PI'!$8:$9,2,FALSE)</f>
        <v>112.318</v>
      </c>
      <c r="DI524" s="69">
        <f t="shared" si="950"/>
        <v>1.7930771451401852E-2</v>
      </c>
      <c r="EB524"/>
    </row>
    <row r="525" spans="1:132" s="160" customFormat="1" ht="21">
      <c r="A525" s="160" t="s">
        <v>190</v>
      </c>
      <c r="B525" s="160" t="s">
        <v>190</v>
      </c>
      <c r="C525" s="160">
        <v>4057090</v>
      </c>
      <c r="D525" s="160" t="s">
        <v>187</v>
      </c>
      <c r="G525" s="161" t="s">
        <v>141</v>
      </c>
      <c r="H525" s="162">
        <v>2020</v>
      </c>
      <c r="I525" s="163"/>
      <c r="J525" s="159">
        <f>IFERROR(INDEX('Labor Expenditures'!$F$7:$X$91,MATCH($C525,'Labor Expenditures'!$D$7:$D$91,0),MATCH($G525,'Labor Expenditures'!$F$5:$X$5,0)),"NA")</f>
        <v>30270.858614376044</v>
      </c>
      <c r="K525" s="159">
        <f t="shared" si="951"/>
        <v>197.65496973147921</v>
      </c>
      <c r="L525" s="165">
        <f t="shared" si="957"/>
        <v>-1.7143717022050916E-2</v>
      </c>
      <c r="M525" s="76">
        <f t="shared" si="962"/>
        <v>-1.5467571178247067E-4</v>
      </c>
      <c r="N525" s="62">
        <f t="shared" si="967"/>
        <v>115.67539927297952</v>
      </c>
      <c r="O525" s="96">
        <f t="shared" si="963"/>
        <v>5.5513384200593099E-4</v>
      </c>
      <c r="P525" s="96"/>
      <c r="Q525" s="159">
        <f>IFERROR(INDEX('Non-Labor Expenditures'!$F$7:$AB$91,MATCH($C525,'Non-Labor Expenditures'!$D$7:$D$91,0),MATCH($G525,'Non-Labor Expenditures'!$F$5:$AB$5,0)),"NA")</f>
        <v>43837.857090121077</v>
      </c>
      <c r="R525" s="159">
        <f t="shared" si="952"/>
        <v>385.81851465038835</v>
      </c>
      <c r="S525" s="165">
        <f t="shared" si="964"/>
        <v>-5.7439772860754558E-3</v>
      </c>
      <c r="T525" s="165">
        <f t="shared" si="965"/>
        <v>-5.182387075354204E-5</v>
      </c>
      <c r="U525" s="165"/>
      <c r="V525" s="165"/>
      <c r="W525" s="159">
        <f t="shared" si="933"/>
        <v>49288.23299504396</v>
      </c>
      <c r="X525" s="163"/>
      <c r="Y525" s="167">
        <v>2319.4564933691913</v>
      </c>
      <c r="Z525" s="168">
        <v>2.1572642092323107E-2</v>
      </c>
      <c r="AA525" s="76">
        <f t="shared" si="953"/>
        <v>1.946347904813576E-4</v>
      </c>
      <c r="AB525" s="168"/>
      <c r="AC525" s="168"/>
      <c r="AD525" s="163">
        <f t="shared" si="928"/>
        <v>123396.94869954108</v>
      </c>
      <c r="AE525" s="168">
        <f t="shared" si="966"/>
        <v>2.6173456509810625E-2</v>
      </c>
      <c r="AF525" s="163"/>
      <c r="AG525" s="163"/>
      <c r="AH525" s="163"/>
      <c r="AI525" s="163"/>
      <c r="AJ525" s="116">
        <f t="shared" si="973"/>
        <v>376.2778935831173</v>
      </c>
      <c r="AK525" s="114">
        <f>+AV525/$AX$25</f>
        <v>8.6452198346372786E-3</v>
      </c>
      <c r="AL525" s="115">
        <f t="shared" si="954"/>
        <v>0.24531286173114766</v>
      </c>
      <c r="AM525" s="115">
        <f t="shared" si="955"/>
        <v>0.35525884190914447</v>
      </c>
      <c r="AN525" s="115">
        <f t="shared" si="956"/>
        <v>0.39942829635970784</v>
      </c>
      <c r="AO525" s="115">
        <f t="shared" si="958"/>
        <v>2.1730148141757746E-3</v>
      </c>
      <c r="AP525" s="166">
        <f t="shared" si="969"/>
        <v>136.99973360933728</v>
      </c>
      <c r="AQ525" s="168">
        <f t="shared" si="970"/>
        <v>2.173014814175814E-3</v>
      </c>
      <c r="AR525" s="69">
        <f>+AD525/$AF$25</f>
        <v>9.0222972989766892E-3</v>
      </c>
      <c r="AS525" s="169">
        <f t="shared" si="968"/>
        <v>1.960558568857478E-5</v>
      </c>
      <c r="AT525" s="115"/>
      <c r="AU525" s="115"/>
      <c r="AV525" s="113">
        <v>327941</v>
      </c>
      <c r="AW525" s="68">
        <f t="shared" si="972"/>
        <v>0</v>
      </c>
      <c r="AX525" s="114"/>
      <c r="AY525" s="114"/>
      <c r="AZ525" s="116"/>
      <c r="BA525" s="116"/>
      <c r="BB525" s="166"/>
      <c r="BC525" s="166"/>
      <c r="BD525" s="166"/>
      <c r="BE525" s="166"/>
      <c r="BF525" s="166"/>
      <c r="BG525" s="166"/>
      <c r="BH525" s="166"/>
      <c r="BI525" s="113"/>
      <c r="BJ525" s="113"/>
      <c r="BK525" s="113">
        <f>INDEX('Dist. Plant Gas Additions'!$F$7:$AE$91,MATCH($C525,'Dist. Plant Gas Additions'!$D$7:$D$91,0),MATCH(Calculation!$G525,'Dist. Plant Gas Additions'!$F$5:$AE$5,0))</f>
        <v>55589</v>
      </c>
      <c r="BL525" s="113">
        <f>INDEX('Gen. Plant Additions'!$F$7:$AE$91,MATCH($C525,'Gen. Plant Additions'!$D$7:$D$91,0),MATCH(Calculation!$G525,'Gen. Plant Additions'!$F$5:$AE$5,0))</f>
        <v>1529</v>
      </c>
      <c r="BM525" s="231">
        <f t="shared" si="934"/>
        <v>0.98543606119237326</v>
      </c>
      <c r="BN525" s="61">
        <f t="shared" si="971"/>
        <v>1506.7317375631387</v>
      </c>
      <c r="BO525" s="113">
        <f>INDEX('Dist Plant Depreciation'!$E$7:$AD$94,MATCH($C525,'Dist Plant Depreciation'!$D$7:$D$94,0),MATCH(Calculation!$G525,'Dist Plant Depreciation'!$E$5:$AD$5,0))</f>
        <v>318257</v>
      </c>
      <c r="BP525" s="113">
        <f>INDEX('Gen. Plant Depreciation'!$E$7:$AD$94,MATCH($C525,'Gen. Plant Depreciation'!$D$7:$D$94,0),MATCH(Calculation!$G525,'Gen. Plant Depreciation'!$E$5:$AD$5,0))</f>
        <v>6136</v>
      </c>
      <c r="BQ525" s="113"/>
      <c r="BR525" s="113"/>
      <c r="BS525" s="113"/>
      <c r="BT525" s="113"/>
      <c r="BU525" s="113"/>
      <c r="BV525" s="113"/>
      <c r="BW525" s="113">
        <f>INDEX('Gross Dx Plant'!$E$7:$AD$91,MATCH($C525,'Gross Dx Plant'!$D$7:$D$91,0),MATCH(Calculation!$G525,'Gross Dx Plant'!$E$5:$AD$5,0))</f>
        <v>1075161</v>
      </c>
      <c r="BX525" s="113">
        <f>INDEX('Gross Gen Plant'!$E$7:$AD$91,MATCH($C525,'Gross Gen Plant'!$D$7:$D$91,0),MATCH(Calculation!$G525,'Gross Gen Plant'!$E$5:$AD$5,0))</f>
        <v>15890</v>
      </c>
      <c r="BY525" s="113">
        <f t="shared" si="959"/>
        <v>766658</v>
      </c>
      <c r="BZ525" s="113"/>
      <c r="CA525" s="116">
        <v>2020</v>
      </c>
      <c r="CB525" s="113"/>
      <c r="CC525" s="113"/>
      <c r="CD525" s="113"/>
      <c r="CE525" s="175"/>
      <c r="CF525" s="113">
        <f t="shared" si="935"/>
        <v>57118</v>
      </c>
      <c r="CG525" s="113">
        <f t="shared" si="936"/>
        <v>70.248915958384288</v>
      </c>
      <c r="CH525" s="178">
        <v>0.84057971014492749</v>
      </c>
      <c r="CI525" s="61">
        <f>CI503*CH525+CG504*CH524+CG505*CH523+CG506*CH522+CG507*CH521+CG508*CH520+CG509*CH519+CG510*CH518+CG511*CH517+CG512*CH516+CG513*CH515+CG514*CH514+CG515*CH513+CG516*CH512+CG517*CH511+CG518*CH510+CG519*CH509+CG520*CH508+CG521*CH507+CG522*CH506+CG523*CH505+CG524*CH504+CG525</f>
        <v>2319.4564933691913</v>
      </c>
      <c r="CJ525" s="114">
        <f t="shared" si="937"/>
        <v>2.1572642092323107E-2</v>
      </c>
      <c r="CK525" s="114"/>
      <c r="CL525" s="169">
        <f t="shared" si="938"/>
        <v>9.1402512818475595E-3</v>
      </c>
      <c r="CM525" s="169">
        <f t="shared" si="946"/>
        <v>8.8332682849596011E-3</v>
      </c>
      <c r="CN525" s="114">
        <f>VLOOKUP($H525,RoR!$E:$F,2,FALSE)</f>
        <v>2.4766666666666666E-2</v>
      </c>
      <c r="CO525" s="169">
        <v>1.1618796630994188E-2</v>
      </c>
      <c r="CP525" s="169">
        <f t="shared" si="944"/>
        <v>1.3147870035672478E-2</v>
      </c>
      <c r="CQ525" s="169">
        <f t="shared" si="947"/>
        <v>2.2068673323574026E-2</v>
      </c>
      <c r="CR525" s="169">
        <f t="shared" si="948"/>
        <v>4.5144642961987357E-2</v>
      </c>
      <c r="CS525" s="179">
        <f t="shared" si="939"/>
        <v>0.90646708210000004</v>
      </c>
      <c r="CT525" s="180">
        <f t="shared" si="940"/>
        <v>2.0706077233668081</v>
      </c>
      <c r="CU525" s="180">
        <f t="shared" si="941"/>
        <v>-3.4421265141318998E-2</v>
      </c>
      <c r="CV525" s="180">
        <f t="shared" si="942"/>
        <v>0.62416226176410472</v>
      </c>
      <c r="CW525" s="180">
        <f t="shared" si="943"/>
        <v>-4.4485877841158712E-2</v>
      </c>
      <c r="CX525" s="181">
        <f>INDEX('State Tax Lookup'!$D$7:$Z$91,MATCH(Calculation!$C525,'State Tax Lookup'!$B$7:$B$91,0),MATCH($H525,'State Tax Lookup'!$D$6:$Z$6,0))</f>
        <v>0.25279166999999997</v>
      </c>
      <c r="CY525" s="72">
        <v>0.37</v>
      </c>
      <c r="CZ525" s="70">
        <f t="shared" si="945"/>
        <v>21.713303232088048</v>
      </c>
      <c r="DA525" s="70">
        <v>19.952659173050833</v>
      </c>
      <c r="DB525" s="69">
        <f t="shared" si="949"/>
        <v>3.7389698902024072E-2</v>
      </c>
      <c r="DC525" s="111">
        <f>VLOOKUP($H525,RoR!$E:$F,2,FALSE)</f>
        <v>2.4766666666666666E-2</v>
      </c>
      <c r="DD525" s="216">
        <f>HLOOKUP($H525,'GDP-PI'!$D$8:$CQ$11,3,FALSE)</f>
        <v>1.1618796630994188E-2</v>
      </c>
      <c r="DE525" s="111">
        <f>VLOOKUP(H525,'HW Dx Data'!$E:$F,2,FALSE)</f>
        <v>813.080162458833</v>
      </c>
      <c r="DF525" s="72">
        <f t="shared" si="960"/>
        <v>153.15</v>
      </c>
      <c r="DG525" s="69">
        <f t="shared" si="961"/>
        <v>2.2951556467368479E-2</v>
      </c>
      <c r="DH525" s="66">
        <f>HLOOKUP(H525,'GDP-PI'!$8:$9,2,FALSE)</f>
        <v>113.623</v>
      </c>
      <c r="DI525" s="69">
        <f t="shared" si="950"/>
        <v>1.1551816731392881E-2</v>
      </c>
      <c r="EB525"/>
    </row>
    <row r="526" spans="1:132" s="160" customFormat="1" ht="21">
      <c r="A526" s="160" t="s">
        <v>190</v>
      </c>
      <c r="B526" s="160" t="s">
        <v>190</v>
      </c>
      <c r="C526" s="160">
        <v>4057090</v>
      </c>
      <c r="D526" s="160" t="s">
        <v>187</v>
      </c>
      <c r="G526" s="161" t="s">
        <v>142</v>
      </c>
      <c r="H526" s="162">
        <v>2021</v>
      </c>
      <c r="I526" s="163"/>
      <c r="J526" s="159">
        <v>33301.027856915556</v>
      </c>
      <c r="K526" s="159">
        <f t="shared" si="951"/>
        <v>211.77124233332628</v>
      </c>
      <c r="L526" s="164">
        <f t="shared" si="957"/>
        <v>6.8983712958498436E-2</v>
      </c>
      <c r="M526" s="76">
        <f t="shared" si="962"/>
        <v>6.3164662982300801E-4</v>
      </c>
      <c r="N526" s="166">
        <f>+N525*EXP(O526)</f>
        <v>119.73494157053332</v>
      </c>
      <c r="O526" s="114">
        <f t="shared" si="963"/>
        <v>3.4492493028692513E-2</v>
      </c>
      <c r="P526" s="114"/>
      <c r="Q526" s="159">
        <v>46942.412762158077</v>
      </c>
      <c r="R526" s="159">
        <f t="shared" si="952"/>
        <v>396.17193655294187</v>
      </c>
      <c r="S526" s="165">
        <f t="shared" si="964"/>
        <v>2.6481210637646305E-2</v>
      </c>
      <c r="T526" s="165">
        <f t="shared" si="965"/>
        <v>2.4247415419586846E-4</v>
      </c>
      <c r="U526" s="165"/>
      <c r="V526" s="165"/>
      <c r="W526" s="159">
        <f t="shared" si="933"/>
        <v>60055.114345816859</v>
      </c>
      <c r="X526" s="163"/>
      <c r="Y526" s="167">
        <v>2392.7771950291731</v>
      </c>
      <c r="Z526" s="168"/>
      <c r="AA526" s="76">
        <f t="shared" si="953"/>
        <v>0</v>
      </c>
      <c r="AB526" s="168"/>
      <c r="AC526" s="168"/>
      <c r="AD526" s="163">
        <f t="shared" si="928"/>
        <v>140298.5549648905</v>
      </c>
      <c r="AE526" s="168">
        <f t="shared" si="966"/>
        <v>0.128366303189133</v>
      </c>
      <c r="AF526" s="113"/>
      <c r="AG526" s="114"/>
      <c r="AH526" s="114"/>
      <c r="AI526" s="114"/>
      <c r="AJ526" s="116">
        <f t="shared" si="973"/>
        <v>422.68913489402689</v>
      </c>
      <c r="AK526" s="114">
        <f>+AV526/$AX$26</f>
        <v>8.5975400352319049E-3</v>
      </c>
      <c r="AL526" s="115">
        <f t="shared" si="954"/>
        <v>0.2373583096793056</v>
      </c>
      <c r="AM526" s="115">
        <f t="shared" si="955"/>
        <v>0.33458942448769585</v>
      </c>
      <c r="AN526" s="115">
        <f t="shared" si="956"/>
        <v>0.42805226583299849</v>
      </c>
      <c r="AO526" s="115">
        <f t="shared" si="958"/>
        <v>2.5782233396195387E-2</v>
      </c>
      <c r="AP526" s="166">
        <f t="shared" si="969"/>
        <v>140.5778200452713</v>
      </c>
      <c r="AQ526" s="168">
        <f t="shared" si="970"/>
        <v>2.5782233396195377E-2</v>
      </c>
      <c r="AR526" s="69">
        <f>+AD526/$AF$26</f>
        <v>9.1564603111899106E-3</v>
      </c>
      <c r="AS526" s="169">
        <f t="shared" si="968"/>
        <v>2.3607399682609801E-4</v>
      </c>
      <c r="AT526" s="115"/>
      <c r="AU526" s="115"/>
      <c r="AV526" s="113">
        <f>INDEX('Total Customers'!$E$7:$E$91,MATCH(Calculation!$C526,'Total Customers'!$D$7:$D$91,0))</f>
        <v>331919</v>
      </c>
      <c r="AW526" s="68">
        <f t="shared" si="972"/>
        <v>1.2057249090544944E-2</v>
      </c>
      <c r="AX526" s="113"/>
      <c r="AY526" s="113"/>
      <c r="AZ526" s="116"/>
      <c r="BA526" s="116"/>
      <c r="BB526" s="166"/>
      <c r="BC526" s="166"/>
      <c r="BD526" s="166"/>
      <c r="BE526" s="166"/>
      <c r="BF526" s="166"/>
      <c r="BG526" s="166"/>
      <c r="BH526" s="166"/>
      <c r="BI526" s="113"/>
      <c r="BJ526" s="113"/>
      <c r="BK526" s="113">
        <f>INDEX('Dist. Plant Gas Additions'!$E$7:$AE$91,MATCH($C526,'Dist. Plant Gas Additions'!$D$7:$D$91,0),MATCH(Calculation!$G526,'Dist. Plant Gas Additions'!$E$5:$AE$5,0))</f>
        <v>79674</v>
      </c>
      <c r="BL526" s="113">
        <f>INDEX('Gen. Plant Additions'!$E$7:$AE$91,MATCH($C526,'Gen. Plant Additions'!$D$7:$D$91,0),MATCH(Calculation!$G526,'Gen. Plant Additions'!$E$5:$AE$5,0))</f>
        <v>1441</v>
      </c>
      <c r="BM526" s="232">
        <v>0.98543606119237326</v>
      </c>
      <c r="BN526" s="61">
        <f t="shared" si="971"/>
        <v>1420.0133641782099</v>
      </c>
      <c r="BO526" s="113"/>
      <c r="BP526" s="113"/>
      <c r="BQ526" s="175"/>
      <c r="BR526" s="175"/>
      <c r="BS526" s="170"/>
      <c r="BT526" s="176"/>
      <c r="BU526" s="177"/>
      <c r="BV526" s="177"/>
      <c r="BW526" s="113"/>
      <c r="BX526" s="113"/>
      <c r="BY526" s="113"/>
      <c r="BZ526" s="113"/>
      <c r="CA526" s="116">
        <v>2021</v>
      </c>
      <c r="CB526" s="113"/>
      <c r="CC526" s="113"/>
      <c r="CD526" s="113"/>
      <c r="CE526" s="175"/>
      <c r="CF526" s="113">
        <f t="shared" si="935"/>
        <v>81115</v>
      </c>
      <c r="CG526" s="113">
        <f t="shared" si="936"/>
        <v>86.937882064049788</v>
      </c>
      <c r="CH526" s="178">
        <f>+(51-23)/(51-23*0.75)</f>
        <v>0.82962962962962961</v>
      </c>
      <c r="CI526" s="113">
        <f>CI503*CH526+CG504*CH525+CG505*CH524+CG506*CH523+CG507*CH522+CG508*CH521+CG509*CH520+CG510*CH519+CG511*CH518+CG512*CH517+CG513*CH516+CG514*CH515+CG515*CH514+CG516*CH513+CG517*CH512+CG508*CH511+CG519*CH510+CG520*CH509+CG521*CH508+CG522*CH507+CG523*CH506+CG524*CH505+CG526+CG525*CH504</f>
        <v>2392.7771950291731</v>
      </c>
      <c r="CJ526" s="114"/>
      <c r="CK526" s="113"/>
      <c r="CL526" s="169">
        <f t="shared" si="938"/>
        <v>5.8708496766361074E-3</v>
      </c>
      <c r="CM526" s="169">
        <f t="shared" si="946"/>
        <v>7.9472599115174326E-3</v>
      </c>
      <c r="CN526" s="114">
        <f>VLOOKUP($H526,RoR!$E:$F,2,FALSE)</f>
        <v>2.7033333333333336E-2</v>
      </c>
      <c r="CO526" s="169"/>
      <c r="CP526" s="169"/>
      <c r="CQ526" s="169">
        <f t="shared" si="947"/>
        <v>2.2954681697016192E-2</v>
      </c>
      <c r="CR526" s="169">
        <f t="shared" si="948"/>
        <v>7.433422950153494E-2</v>
      </c>
      <c r="CS526" s="179">
        <f t="shared" si="939"/>
        <v>0.90646708210000004</v>
      </c>
      <c r="CT526" s="180">
        <f t="shared" si="940"/>
        <v>1.8969932656739068</v>
      </c>
      <c r="CU526" s="180">
        <f t="shared" si="941"/>
        <v>5.0215782983970621E-2</v>
      </c>
      <c r="CV526" s="180">
        <f t="shared" si="942"/>
        <v>0.655952481704143</v>
      </c>
      <c r="CW526" s="180">
        <f t="shared" si="943"/>
        <v>6.2485378865697057E-2</v>
      </c>
      <c r="CX526" s="181">
        <f>CX525</f>
        <v>0.25279166999999997</v>
      </c>
      <c r="CY526" s="72">
        <v>0.37</v>
      </c>
      <c r="CZ526" s="182">
        <f t="shared" si="945"/>
        <v>25.89189084490312</v>
      </c>
      <c r="DA526" s="182"/>
      <c r="DB526" s="169">
        <f t="shared" si="949"/>
        <v>0.1760047000130445</v>
      </c>
      <c r="DC526" s="181">
        <f>VLOOKUP($H526,RoR!$E:$F,2,FALSE)</f>
        <v>2.7033333333333336E-2</v>
      </c>
      <c r="DD526" s="183">
        <f>HLOOKUP($H526,'GDP-PI'!$D$8:$CR$11,3,FALSE)</f>
        <v>4.2834637353352578E-2</v>
      </c>
      <c r="DE526" s="181">
        <f>VLOOKUP(H526,'HW Dx Data'!$E:$F,2,FALSE)</f>
        <v>933.02249921662576</v>
      </c>
      <c r="DF526" s="72">
        <f t="shared" si="960"/>
        <v>157.25</v>
      </c>
      <c r="DG526" s="69">
        <f t="shared" si="961"/>
        <v>2.6419062301765574E-2</v>
      </c>
      <c r="DH526" s="175">
        <f>HLOOKUP(H526,'GDP-PI'!$8:$9,2,FALSE)</f>
        <v>118.49</v>
      </c>
      <c r="DI526" s="169">
        <f t="shared" si="950"/>
        <v>4.194261824609434E-2</v>
      </c>
      <c r="EB526"/>
    </row>
    <row r="527" spans="1:132" s="160" customFormat="1" ht="21">
      <c r="G527" s="161" t="s">
        <v>144</v>
      </c>
      <c r="H527" s="162"/>
      <c r="I527" s="163"/>
      <c r="J527" s="159">
        <v>36566.845437988668</v>
      </c>
      <c r="K527" s="159">
        <f t="shared" si="951"/>
        <v>224.95752345732799</v>
      </c>
      <c r="L527" s="164">
        <f t="shared" ref="L527" si="974">LN(K527/K526)</f>
        <v>6.040495326259708E-2</v>
      </c>
      <c r="M527" s="76">
        <f t="shared" si="962"/>
        <v>5.65726127573659E-4</v>
      </c>
      <c r="N527" s="166">
        <f>+N526*EXP(O527)</f>
        <v>119.05355174837861</v>
      </c>
      <c r="O527" s="114">
        <f t="shared" si="963"/>
        <v>-5.7070729173529493E-3</v>
      </c>
      <c r="P527" s="114"/>
      <c r="Q527" s="163">
        <v>51546.035135478</v>
      </c>
      <c r="R527" s="159">
        <f t="shared" si="952"/>
        <v>405.07689693892337</v>
      </c>
      <c r="S527" s="165">
        <f t="shared" ref="S527" si="975">LN(R527/R526)</f>
        <v>2.2228617829977766E-2</v>
      </c>
      <c r="T527" s="165">
        <f t="shared" si="965"/>
        <v>2.0818342217069111E-4</v>
      </c>
      <c r="U527" s="166"/>
      <c r="V527" s="114"/>
      <c r="W527" s="159">
        <f t="shared" si="933"/>
        <v>64032.440183273742</v>
      </c>
      <c r="X527" s="168"/>
      <c r="Y527" s="167">
        <v>2439.880488376682</v>
      </c>
      <c r="Z527" s="168">
        <v>1.9494360307034803E-2</v>
      </c>
      <c r="AA527" s="76">
        <f t="shared" si="953"/>
        <v>1.8257557319977771E-4</v>
      </c>
      <c r="AB527" s="166"/>
      <c r="AC527" s="114"/>
      <c r="AD527" s="163">
        <f t="shared" si="928"/>
        <v>152145.3207567404</v>
      </c>
      <c r="AE527" s="168">
        <f t="shared" si="966"/>
        <v>8.1063434277807961E-2</v>
      </c>
      <c r="AF527" s="113"/>
      <c r="AG527" s="114"/>
      <c r="AH527" s="114"/>
      <c r="AI527" s="114"/>
      <c r="AJ527" s="116">
        <f t="shared" si="973"/>
        <v>457.42308127962258</v>
      </c>
      <c r="AK527" s="114"/>
      <c r="AL527" s="115">
        <f t="shared" si="954"/>
        <v>0.240341571177559</v>
      </c>
      <c r="AM527" s="115">
        <f t="shared" si="955"/>
        <v>0.33879474491294459</v>
      </c>
      <c r="AN527" s="115">
        <f t="shared" si="956"/>
        <v>0.42086368390949647</v>
      </c>
      <c r="AO527" s="115"/>
      <c r="AP527" s="166"/>
      <c r="AQ527" s="168"/>
      <c r="AR527" s="69">
        <f>+AD527/$AF$27</f>
        <v>9.3655585679255585E-3</v>
      </c>
      <c r="AS527" s="169"/>
      <c r="AT527" s="166"/>
      <c r="AU527" s="168"/>
      <c r="AV527" s="113">
        <v>332614</v>
      </c>
      <c r="AW527" s="68">
        <f t="shared" si="972"/>
        <v>2.0916952307750746E-3</v>
      </c>
      <c r="AX527" s="113"/>
      <c r="AY527" s="113"/>
      <c r="AZ527" s="113"/>
      <c r="BA527" s="113"/>
      <c r="BB527" s="171"/>
      <c r="BC527" s="172"/>
      <c r="BD527" s="173"/>
      <c r="BE527" s="115"/>
      <c r="BF527" s="174"/>
      <c r="BG527" s="174"/>
      <c r="BH527" s="166"/>
      <c r="BI527" s="113"/>
      <c r="BJ527" s="113"/>
      <c r="BK527" s="113"/>
      <c r="BL527" s="113"/>
      <c r="BM527" s="232">
        <v>0.98543606119237326</v>
      </c>
      <c r="BN527" s="61">
        <f t="shared" si="971"/>
        <v>0</v>
      </c>
      <c r="BO527" s="113"/>
      <c r="BP527" s="113"/>
      <c r="BQ527" s="175"/>
      <c r="BR527" s="175"/>
      <c r="BS527" s="170"/>
      <c r="BT527" s="176"/>
      <c r="BU527" s="177"/>
      <c r="BV527" s="177"/>
      <c r="BW527" s="113"/>
      <c r="BX527" s="113"/>
      <c r="BY527" s="113"/>
      <c r="BZ527" s="113"/>
      <c r="CA527" s="116">
        <v>2022</v>
      </c>
      <c r="CB527" s="113"/>
      <c r="CC527" s="113"/>
      <c r="CD527" s="113"/>
      <c r="CE527" s="175"/>
      <c r="CF527" s="238">
        <v>48557</v>
      </c>
      <c r="CG527" s="113">
        <f>+CF527/DE527</f>
        <v>47.105674178558608</v>
      </c>
      <c r="CH527" s="178">
        <f>+(51-24)/(51-24*0.75)</f>
        <v>0.81818181818181823</v>
      </c>
      <c r="CI527" s="113">
        <f>+CI503*CH527+CG504*CH526+CG505*CH525+CG506*CH524+CG507*CH523+CG508*CH522+CG509*CH521+CG510*CH520+CG511*CH519+CG512*CH518+CG513*CH517+CG514*CH516+CG515*CH515+CG516*CH514+CG517*CH513+CG518*CH512+CG519*CH511+CG520*CH510+CG521*CH509+CG522*CH508+CG523*CH507+CG524*CH506+CG525*CH505+CG526*CH504+CG527*CH503</f>
        <v>2408.2956182260241</v>
      </c>
      <c r="CJ527" s="114">
        <f t="shared" ref="CJ527" si="976">LN(CI527/CI526)</f>
        <v>6.4645873305765322E-3</v>
      </c>
      <c r="CK527" s="113"/>
      <c r="CL527" s="169">
        <f t="shared" si="938"/>
        <v>1.3201083263133689E-2</v>
      </c>
      <c r="CM527" s="169">
        <f t="shared" si="946"/>
        <v>9.4040614072057865E-3</v>
      </c>
      <c r="CN527" s="114"/>
      <c r="CO527" s="169"/>
      <c r="CP527" s="169"/>
      <c r="CQ527" s="69">
        <f t="shared" si="947"/>
        <v>2.149788020132784E-2</v>
      </c>
      <c r="CR527" s="169">
        <f t="shared" si="948"/>
        <v>0.10114668178709289</v>
      </c>
      <c r="CS527" s="179">
        <f t="shared" si="939"/>
        <v>0.90646708210000004</v>
      </c>
      <c r="CT527" s="180"/>
      <c r="CU527" s="180"/>
      <c r="CV527" s="180"/>
      <c r="CW527" s="180"/>
      <c r="CX527" s="181">
        <f>CX526</f>
        <v>0.25279166999999997</v>
      </c>
      <c r="CY527" s="72">
        <v>0.37</v>
      </c>
      <c r="CZ527" s="182">
        <f t="shared" si="945"/>
        <v>26.760719851516743</v>
      </c>
      <c r="DA527" s="182"/>
      <c r="DB527" s="169">
        <f t="shared" si="949"/>
        <v>3.3005310289417028E-2</v>
      </c>
      <c r="DC527" s="181">
        <v>0.04</v>
      </c>
      <c r="DD527" s="183">
        <v>7.0000000000000001E-3</v>
      </c>
      <c r="DE527" s="181">
        <v>1030.81</v>
      </c>
      <c r="DF527" s="72">
        <f t="shared" si="960"/>
        <v>162.55000000000001</v>
      </c>
      <c r="DG527" s="169">
        <f t="shared" si="961"/>
        <v>3.3148751169364422E-2</v>
      </c>
      <c r="DH527" s="175">
        <v>127.25</v>
      </c>
      <c r="DI527" s="169">
        <f t="shared" si="950"/>
        <v>7.1325086601983473E-2</v>
      </c>
      <c r="EB527"/>
    </row>
    <row r="528" spans="1:132" s="160" customFormat="1" ht="21">
      <c r="A528" s="160" t="s">
        <v>191</v>
      </c>
      <c r="B528" s="161" t="s">
        <v>191</v>
      </c>
      <c r="C528" s="161">
        <v>4008754</v>
      </c>
      <c r="D528" s="161" t="s">
        <v>192</v>
      </c>
      <c r="E528" s="161"/>
      <c r="F528" s="161"/>
      <c r="G528" s="161" t="s">
        <v>100</v>
      </c>
      <c r="H528" s="162">
        <v>1998</v>
      </c>
      <c r="I528" s="163"/>
      <c r="J528" s="159"/>
      <c r="K528" s="159"/>
      <c r="L528" s="159"/>
      <c r="M528" s="60"/>
      <c r="N528" s="131"/>
      <c r="O528" s="76"/>
      <c r="P528" s="76"/>
      <c r="Q528" s="165"/>
      <c r="R528" s="165"/>
      <c r="S528" s="165"/>
      <c r="T528" s="159"/>
      <c r="U528" s="165"/>
      <c r="V528" s="165"/>
      <c r="W528" s="159"/>
      <c r="X528" s="163"/>
      <c r="Y528" s="167">
        <v>392.52538334919308</v>
      </c>
      <c r="Z528" s="168"/>
      <c r="AA528" s="78"/>
      <c r="AB528" s="168"/>
      <c r="AC528" s="168"/>
      <c r="AD528" s="163">
        <f t="shared" si="928"/>
        <v>0</v>
      </c>
      <c r="AE528" s="163"/>
      <c r="AF528" s="163"/>
      <c r="AG528" s="114"/>
      <c r="AH528" s="114"/>
      <c r="AI528" s="114"/>
      <c r="AJ528" s="166">
        <f>+(AJ525+AJ526+AJ527)/3</f>
        <v>418.79670325225561</v>
      </c>
      <c r="AK528" s="168"/>
      <c r="AL528" s="115"/>
      <c r="AM528" s="115"/>
      <c r="AN528" s="115"/>
      <c r="AO528" s="115"/>
      <c r="AP528" s="115"/>
      <c r="AQ528" s="168">
        <f>AVERAGE(AQ537:AQ551)</f>
        <v>1.4052860075346126E-2</v>
      </c>
      <c r="AR528" s="79"/>
      <c r="AS528" s="115"/>
      <c r="AT528" s="115"/>
      <c r="AU528" s="115"/>
      <c r="AV528" s="113">
        <f>IFERROR(INDEX('Total Customers'!$F$7:$AB$91,MATCH($C528,'Total Customers'!$D$7:$D$91,0),MATCH($G528,'Total Customers'!$F$5:$AB$5,0)),"NA")</f>
        <v>108415</v>
      </c>
      <c r="AW528" s="68"/>
      <c r="AX528" s="114"/>
      <c r="AY528" s="114"/>
      <c r="AZ528" s="116"/>
      <c r="BA528" s="116"/>
      <c r="BB528" s="166"/>
      <c r="BC528" s="166"/>
      <c r="BD528" s="166"/>
      <c r="BE528" s="166"/>
      <c r="BF528" s="166"/>
      <c r="BG528" s="166"/>
      <c r="BH528" s="166"/>
      <c r="BI528" s="113">
        <f>INDEX('Gross Dx Plant'!$E$7:$AD$91,MATCH($C528,'Gross Dx Plant'!$D$7:$D$91,0),MATCH(Calculation!$G528,'Gross Dx Plant'!$E$5:$AD$5,0))</f>
        <v>166607</v>
      </c>
      <c r="BJ528" s="113">
        <f>INDEX('Gross Gen Plant'!$E$7:$AD$91,MATCH($C528,'Gross Gen Plant'!$D$7:$D$91,0),MATCH(Calculation!$G528,'Gross Gen Plant'!$E$5:$AD$5,0))</f>
        <v>2440</v>
      </c>
      <c r="BK528" s="113">
        <f>INDEX('Dist. Plant Gas Additions'!$F$7:$AE$91,MATCH($C528,'Dist. Plant Gas Additions'!$D$7:$D$91,0),MATCH(Calculation!$G528,'Dist. Plant Gas Additions'!$F$5:$AE$5,0))</f>
        <v>3563</v>
      </c>
      <c r="BL528" s="113">
        <f>INDEX('Gen. Plant Additions'!$F$7:$AE$91,MATCH($C528,'Gen. Plant Additions'!$D$7:$D$91,0),MATCH(Calculation!$G528,'Gen. Plant Additions'!$F$5:$AE$5,0))</f>
        <v>95</v>
      </c>
      <c r="BM528" s="231">
        <f>+(BW528/(BW528+BX528))</f>
        <v>0.98556614432672573</v>
      </c>
      <c r="BN528" s="61">
        <f t="shared" si="971"/>
        <v>93.628783711038949</v>
      </c>
      <c r="BO528" s="113">
        <f>INDEX('Dist Plant Depreciation'!$E$7:$AD$94,MATCH($C528,'Dist Plant Depreciation'!$D$7:$D$94,0),MATCH(Calculation!$G528,'Dist Plant Depreciation'!$E$5:$AD$5,0))</f>
        <v>85563</v>
      </c>
      <c r="BP528" s="113">
        <f>INDEX('Gen. Plant Depreciation'!$E$7:$AD$94,MATCH($C528,'Gen. Plant Depreciation'!$D$7:$D$94,0),MATCH(Calculation!$G528,'Gen. Plant Depreciation'!$E$5:$AD$5,0))</f>
        <v>4304</v>
      </c>
      <c r="BQ528" s="113"/>
      <c r="BR528" s="113"/>
      <c r="BS528" s="113"/>
      <c r="BT528" s="113"/>
      <c r="BU528" s="113"/>
      <c r="BV528" s="113"/>
      <c r="BW528" s="113">
        <f>INDEX('Gross Dx Plant'!$E$7:$AD$91,MATCH($C528,'Gross Dx Plant'!$D$7:$D$91,0),MATCH(Calculation!$G528,'Gross Dx Plant'!$E$5:$AD$5,0))</f>
        <v>166607</v>
      </c>
      <c r="BX528" s="113">
        <f>INDEX('Gross Gen Plant'!$E$7:$AD$91,MATCH($C528,'Gross Gen Plant'!$D$7:$D$91,0),MATCH(Calculation!$G528,'Gross Gen Plant'!$E$5:$AD$5,0))</f>
        <v>2440</v>
      </c>
      <c r="BY528" s="113">
        <f t="shared" si="959"/>
        <v>79180</v>
      </c>
      <c r="BZ528" s="113"/>
      <c r="CA528" s="116">
        <v>1998</v>
      </c>
      <c r="CB528" s="113">
        <f>BI528+BJ528</f>
        <v>169047</v>
      </c>
      <c r="CC528" s="113">
        <f>85563+4304</f>
        <v>89867</v>
      </c>
      <c r="CD528" s="113">
        <f>+CB528-CC528</f>
        <v>79180</v>
      </c>
      <c r="CE528" s="113">
        <f>CD528/$BV$3</f>
        <v>392.52538334919308</v>
      </c>
      <c r="CF528" s="175"/>
      <c r="CG528" s="175"/>
      <c r="CH528" s="178">
        <v>1</v>
      </c>
      <c r="CI528" s="113">
        <f>+CE528</f>
        <v>392.52538334919308</v>
      </c>
      <c r="CJ528" s="114"/>
      <c r="CK528" s="114"/>
      <c r="CL528" s="169"/>
      <c r="CM528" s="169"/>
      <c r="CN528" s="114" t="e">
        <f>VLOOKUP($H528,RoR!$E:$F,2,FALSE)</f>
        <v>#N/A</v>
      </c>
      <c r="CO528" s="169">
        <v>1.1028127770464469E-2</v>
      </c>
      <c r="CP528" s="169"/>
      <c r="CQ528" s="169"/>
      <c r="CR528" s="169"/>
      <c r="CS528" s="179"/>
      <c r="CT528" s="182" t="e">
        <f>2/(DC528*39)</f>
        <v>#N/A</v>
      </c>
      <c r="CU528" s="180" t="e">
        <f>+(DC528*40-(1+DC528))/(DC528*40)</f>
        <v>#N/A</v>
      </c>
      <c r="CV528" s="180" t="e">
        <f>+(1-(1/(1+DC528)^40))</f>
        <v>#N/A</v>
      </c>
      <c r="CW528" s="180" t="e">
        <f>+CV528*CU528*CT528</f>
        <v>#N/A</v>
      </c>
      <c r="CX528" s="181">
        <f>INDEX('State Tax Lookup'!$D$7:$Z$91,MATCH(Calculation!$C528,'State Tax Lookup'!$B$7:$B$91,0),MATCH($H528,'State Tax Lookup'!$D$6:$Z$6,0))</f>
        <v>0.40134999999999998</v>
      </c>
      <c r="CY528" s="72">
        <v>0.37</v>
      </c>
      <c r="CZ528" s="66"/>
      <c r="DA528" s="66"/>
      <c r="DB528" s="69"/>
      <c r="DC528" s="111" t="e">
        <f>VLOOKUP($H528,RoR!$E:$F,2,FALSE)</f>
        <v>#N/A</v>
      </c>
      <c r="DD528" s="216">
        <f>HLOOKUP($H528,'GDP-PI'!$D$8:$CQ$11,3,FALSE)</f>
        <v>1.1028127770464469E-2</v>
      </c>
      <c r="DE528" s="111">
        <f>VLOOKUP(H528,'HW Dx Data'!$E:$F,2,FALSE)</f>
        <v>329.24564746449528</v>
      </c>
      <c r="DF528" s="72" t="e">
        <f t="shared" si="960"/>
        <v>#N/A</v>
      </c>
      <c r="DG528" s="169" t="e">
        <f t="shared" si="961"/>
        <v>#N/A</v>
      </c>
      <c r="DH528" s="66">
        <f>HLOOKUP(H528,'GDP-PI'!$8:$9,2,FALSE)</f>
        <v>75.266999999999996</v>
      </c>
      <c r="DI528"/>
      <c r="EB528"/>
    </row>
    <row r="529" spans="1:132" s="160" customFormat="1" ht="21">
      <c r="A529" s="160" t="s">
        <v>191</v>
      </c>
      <c r="B529" s="161" t="s">
        <v>191</v>
      </c>
      <c r="C529" s="161">
        <v>4008754</v>
      </c>
      <c r="D529" s="161" t="s">
        <v>192</v>
      </c>
      <c r="E529" s="161"/>
      <c r="F529" s="161"/>
      <c r="G529" s="161" t="s">
        <v>106</v>
      </c>
      <c r="H529" s="162">
        <v>1999</v>
      </c>
      <c r="I529" s="163"/>
      <c r="J529" s="159"/>
      <c r="K529" s="163"/>
      <c r="L529" s="163"/>
      <c r="M529" s="60"/>
      <c r="N529" s="152"/>
      <c r="O529" s="60"/>
      <c r="P529" s="59"/>
      <c r="Q529" s="169"/>
      <c r="R529" s="169"/>
      <c r="S529" s="169"/>
      <c r="T529" s="187"/>
      <c r="U529" s="169"/>
      <c r="V529" s="169"/>
      <c r="W529" s="159">
        <f t="shared" ref="W529:W552" si="977">+CI528*CZ529</f>
        <v>0</v>
      </c>
      <c r="X529" s="163"/>
      <c r="Y529" s="167">
        <v>405.57885826295353</v>
      </c>
      <c r="Z529" s="168">
        <v>3.2714120235453205E-2</v>
      </c>
      <c r="AA529" s="78"/>
      <c r="AB529" s="168"/>
      <c r="AC529" s="168"/>
      <c r="AD529" s="163">
        <f t="shared" si="928"/>
        <v>0</v>
      </c>
      <c r="AE529" s="168"/>
      <c r="AF529" s="163"/>
      <c r="AG529" s="114"/>
      <c r="AH529" s="114"/>
      <c r="AI529" s="114"/>
      <c r="AJ529" s="167"/>
      <c r="AK529" s="168"/>
      <c r="AL529" s="115"/>
      <c r="AM529" s="115"/>
      <c r="AN529" s="115"/>
      <c r="AO529" s="115"/>
      <c r="AP529" s="115"/>
      <c r="AQ529" s="168"/>
      <c r="AR529" s="79"/>
      <c r="AS529" s="115"/>
      <c r="AT529" s="115"/>
      <c r="AU529" s="115"/>
      <c r="AV529" s="113">
        <f>IFERROR(INDEX('Total Customers'!$F$7:$AB$91,MATCH($C529,'Total Customers'!$D$7:$D$91,0),MATCH($G529,'Total Customers'!$F$5:$AB$5,0)),"NA")</f>
        <v>111491</v>
      </c>
      <c r="AW529" s="68">
        <f t="shared" si="972"/>
        <v>2.7977414337371508E-2</v>
      </c>
      <c r="AX529" s="114"/>
      <c r="AY529" s="114"/>
      <c r="AZ529" s="116"/>
      <c r="BA529" s="116"/>
      <c r="BB529" s="166"/>
      <c r="BC529" s="166"/>
      <c r="BD529" s="166"/>
      <c r="BE529" s="166"/>
      <c r="BF529" s="166"/>
      <c r="BG529" s="166"/>
      <c r="BH529" s="166"/>
      <c r="BI529" s="113"/>
      <c r="BJ529" s="113"/>
      <c r="BK529" s="113">
        <f>INDEX('Dist. Plant Gas Additions'!$F$7:$AE$91,MATCH($C529,'Dist. Plant Gas Additions'!$D$7:$D$91,0),MATCH(Calculation!$G529,'Dist. Plant Gas Additions'!$F$5:$AE$5,0))</f>
        <v>4932</v>
      </c>
      <c r="BL529" s="113">
        <f>INDEX('Gen. Plant Additions'!$F$7:$AE$91,MATCH($C529,'Gen. Plant Additions'!$D$7:$D$91,0),MATCH(Calculation!$G529,'Gen. Plant Additions'!$F$5:$AE$5,0))</f>
        <v>100</v>
      </c>
      <c r="BM529" s="231">
        <f t="shared" ref="BM529:BM550" si="978">+(BW529/(BW529+BX529))</f>
        <v>0.98544988807606215</v>
      </c>
      <c r="BN529" s="61">
        <f t="shared" si="971"/>
        <v>98.544988807606217</v>
      </c>
      <c r="BO529" s="113">
        <f>INDEX('Dist Plant Depreciation'!$E$7:$AD$94,MATCH($C529,'Dist Plant Depreciation'!$D$7:$D$94,0),MATCH(Calculation!$G529,'Dist Plant Depreciation'!$E$5:$AD$5,0))</f>
        <v>90348</v>
      </c>
      <c r="BP529" s="113">
        <f>INDEX('Gen. Plant Depreciation'!$E$7:$AD$94,MATCH($C529,'Gen. Plant Depreciation'!$D$7:$D$94,0),MATCH(Calculation!$G529,'Gen. Plant Depreciation'!$E$5:$AD$5,0))</f>
        <v>3934</v>
      </c>
      <c r="BQ529" s="113"/>
      <c r="BR529" s="113"/>
      <c r="BS529" s="113"/>
      <c r="BT529" s="113"/>
      <c r="BU529" s="113"/>
      <c r="BV529" s="113"/>
      <c r="BW529" s="113">
        <f>INDEX('Gross Dx Plant'!$E$7:$AD$91,MATCH($C529,'Gross Dx Plant'!$D$7:$D$91,0),MATCH(Calculation!$G529,'Gross Dx Plant'!$E$5:$AD$5,0))</f>
        <v>170810</v>
      </c>
      <c r="BX529" s="113">
        <f>INDEX('Gross Gen Plant'!$E$7:$AD$91,MATCH($C529,'Gross Gen Plant'!$D$7:$D$91,0),MATCH(Calculation!$G529,'Gross Gen Plant'!$E$5:$AD$5,0))</f>
        <v>2522</v>
      </c>
      <c r="BY529" s="113">
        <f t="shared" si="959"/>
        <v>79050</v>
      </c>
      <c r="BZ529" s="113"/>
      <c r="CA529" s="116">
        <v>1999</v>
      </c>
      <c r="CB529" s="113"/>
      <c r="CC529" s="113"/>
      <c r="CD529" s="113"/>
      <c r="CE529" s="175"/>
      <c r="CF529" s="113">
        <f t="shared" ref="CF529:CF551" si="979">+BL529+BK529</f>
        <v>5032</v>
      </c>
      <c r="CG529" s="113">
        <f t="shared" ref="CG529:CG551" si="980">+CF529/$DE529</f>
        <v>15.00633751748779</v>
      </c>
      <c r="CH529" s="178">
        <v>0.99502487562189057</v>
      </c>
      <c r="CI529" s="61">
        <f>+CI528*CH529+CG529</f>
        <v>405.57885826295353</v>
      </c>
      <c r="CJ529" s="114">
        <f t="shared" ref="CJ529:CJ550" si="981">LN(CI529/CI528)</f>
        <v>3.2714120235453205E-2</v>
      </c>
      <c r="CK529" s="114"/>
      <c r="CL529" s="169">
        <f t="shared" ref="CL529:CL551" si="982">+(CI528-CI529+CG529)/CI528</f>
        <v>4.9751243781094717E-3</v>
      </c>
      <c r="CM529" s="169"/>
      <c r="CN529" s="114">
        <f>VLOOKUP($H529,RoR!$E:$F,2,FALSE)</f>
        <v>7.0416666666666669E-2</v>
      </c>
      <c r="CO529" s="169">
        <v>1.4335631817396832E-2</v>
      </c>
      <c r="CP529" s="169">
        <f>+CN529-CO529</f>
        <v>5.6081034849269837E-2</v>
      </c>
      <c r="CQ529" s="169"/>
      <c r="CR529" s="169"/>
      <c r="CS529" s="179">
        <f t="shared" ref="CS529:CS552" si="983">1-CX529*CY529</f>
        <v>0.85150049999999999</v>
      </c>
      <c r="CT529" s="180">
        <f t="shared" ref="CT529:CT551" si="984">2/(DC529*39)</f>
        <v>0.72826581702321336</v>
      </c>
      <c r="CU529" s="180">
        <f t="shared" ref="CU529:CU551" si="985">+(DC529*40-(1+DC529))/(DC529*40)</f>
        <v>0.61997041420118348</v>
      </c>
      <c r="CV529" s="180">
        <f t="shared" ref="CV529:CV551" si="986">+(1-(1/(1+DC529)^40))</f>
        <v>0.93425155319585029</v>
      </c>
      <c r="CW529" s="180">
        <f t="shared" ref="CW529:CW551" si="987">+CV529*CU529*CT529</f>
        <v>0.42181762214141483</v>
      </c>
      <c r="CX529" s="181">
        <f>INDEX('State Tax Lookup'!$D$7:$Z$91,MATCH(Calculation!$C529,'State Tax Lookup'!$B$7:$B$91,0),MATCH($H529,'State Tax Lookup'!$D$6:$Z$6,0))</f>
        <v>0.40134999999999998</v>
      </c>
      <c r="CY529" s="72">
        <v>0.37</v>
      </c>
      <c r="CZ529" s="70"/>
      <c r="DA529" s="70"/>
      <c r="DB529" s="69"/>
      <c r="DC529" s="111">
        <f>VLOOKUP($H529,RoR!$E:$F,2,FALSE)</f>
        <v>7.0416666666666669E-2</v>
      </c>
      <c r="DD529" s="216">
        <f>HLOOKUP($H529,'GDP-PI'!$D$8:$CQ$11,3,FALSE)</f>
        <v>1.4335631817396832E-2</v>
      </c>
      <c r="DE529" s="111">
        <f>VLOOKUP(H529,'HW Dx Data'!$E:$F,2,FALSE)</f>
        <v>335.32499146683239</v>
      </c>
      <c r="DF529" s="66"/>
      <c r="DG529" s="69"/>
      <c r="DH529" s="66">
        <f>HLOOKUP(H529,'GDP-PI'!$8:$9,2,FALSE)</f>
        <v>76.346000000000004</v>
      </c>
      <c r="DI529"/>
      <c r="EB529"/>
    </row>
    <row r="530" spans="1:132" s="160" customFormat="1" ht="21">
      <c r="A530" s="160" t="s">
        <v>191</v>
      </c>
      <c r="B530" s="161" t="s">
        <v>191</v>
      </c>
      <c r="C530" s="161">
        <v>4008754</v>
      </c>
      <c r="D530" s="161" t="s">
        <v>192</v>
      </c>
      <c r="E530" s="161"/>
      <c r="F530" s="161"/>
      <c r="G530" s="161" t="s">
        <v>107</v>
      </c>
      <c r="H530" s="162">
        <v>2000</v>
      </c>
      <c r="I530" s="163"/>
      <c r="J530" s="159"/>
      <c r="K530" s="159"/>
      <c r="L530" s="159"/>
      <c r="M530" s="60"/>
      <c r="N530" s="152"/>
      <c r="O530" s="60"/>
      <c r="P530" s="60"/>
      <c r="Q530" s="159"/>
      <c r="R530" s="159"/>
      <c r="S530" s="159"/>
      <c r="T530" s="159"/>
      <c r="U530" s="159"/>
      <c r="V530" s="159"/>
      <c r="W530" s="159">
        <f t="shared" si="977"/>
        <v>0</v>
      </c>
      <c r="X530" s="163"/>
      <c r="Y530" s="167">
        <v>423.86535747375194</v>
      </c>
      <c r="Z530" s="168">
        <v>4.4100525353144508E-2</v>
      </c>
      <c r="AA530" s="78"/>
      <c r="AB530" s="168"/>
      <c r="AC530" s="168"/>
      <c r="AD530" s="163">
        <f t="shared" si="928"/>
        <v>0</v>
      </c>
      <c r="AE530" s="168"/>
      <c r="AF530" s="163"/>
      <c r="AG530" s="163"/>
      <c r="AH530" s="163"/>
      <c r="AI530" s="163"/>
      <c r="AJ530" s="167"/>
      <c r="AK530" s="168"/>
      <c r="AL530" s="115"/>
      <c r="AM530" s="115"/>
      <c r="AN530" s="115"/>
      <c r="AO530" s="115"/>
      <c r="AP530" s="115"/>
      <c r="AQ530" s="168"/>
      <c r="AR530" s="79"/>
      <c r="AS530" s="115"/>
      <c r="AT530" s="115"/>
      <c r="AU530" s="115"/>
      <c r="AV530" s="113">
        <f>IFERROR(INDEX('Total Customers'!$F$7:$AB$91,MATCH($C530,'Total Customers'!$D$7:$D$91,0),MATCH($G530,'Total Customers'!$F$5:$AB$5,0)),"NA")</f>
        <v>113784</v>
      </c>
      <c r="AW530" s="68">
        <f t="shared" si="972"/>
        <v>2.0358044114374422E-2</v>
      </c>
      <c r="AX530" s="114"/>
      <c r="AY530" s="114"/>
      <c r="AZ530" s="116"/>
      <c r="BA530" s="116"/>
      <c r="BB530" s="166"/>
      <c r="BC530" s="166"/>
      <c r="BD530" s="166"/>
      <c r="BE530" s="166"/>
      <c r="BF530" s="166"/>
      <c r="BG530" s="166"/>
      <c r="BH530" s="166"/>
      <c r="BI530" s="113"/>
      <c r="BJ530" s="113"/>
      <c r="BK530" s="113">
        <f>INDEX('Dist. Plant Gas Additions'!$F$7:$AE$91,MATCH($C530,'Dist. Plant Gas Additions'!$D$7:$D$91,0),MATCH(Calculation!$G530,'Dist. Plant Gas Additions'!$F$5:$AE$5,0))</f>
        <v>6920</v>
      </c>
      <c r="BL530" s="113">
        <f>INDEX('Gen. Plant Additions'!$F$7:$AE$91,MATCH($C530,'Gen. Plant Additions'!$D$7:$D$91,0),MATCH(Calculation!$G530,'Gen. Plant Additions'!$F$5:$AE$5,0))</f>
        <v>140</v>
      </c>
      <c r="BM530" s="231">
        <f t="shared" si="978"/>
        <v>0.98528879912311451</v>
      </c>
      <c r="BN530" s="61">
        <f t="shared" si="971"/>
        <v>137.94043187723602</v>
      </c>
      <c r="BO530" s="113">
        <f>INDEX('Dist Plant Depreciation'!$E$7:$AD$94,MATCH($C530,'Dist Plant Depreciation'!$D$7:$D$94,0),MATCH(Calculation!$G530,'Dist Plant Depreciation'!$E$5:$AD$5,0))</f>
        <v>95438</v>
      </c>
      <c r="BP530" s="113">
        <f>INDEX('Gen. Plant Depreciation'!$E$7:$AD$94,MATCH($C530,'Gen. Plant Depreciation'!$D$7:$D$94,0),MATCH(Calculation!$G530,'Gen. Plant Depreciation'!$E$5:$AD$5,0))</f>
        <v>3580</v>
      </c>
      <c r="BQ530" s="113"/>
      <c r="BR530" s="113"/>
      <c r="BS530" s="113"/>
      <c r="BT530" s="113"/>
      <c r="BU530" s="113"/>
      <c r="BV530" s="113"/>
      <c r="BW530" s="113">
        <f>INDEX('Gross Dx Plant'!$E$7:$AD$91,MATCH($C530,'Gross Dx Plant'!$D$7:$D$91,0),MATCH(Calculation!$G530,'Gross Dx Plant'!$E$5:$AD$5,0))</f>
        <v>177083</v>
      </c>
      <c r="BX530" s="113">
        <f>INDEX('Gross Gen Plant'!$E$7:$AD$91,MATCH($C530,'Gross Gen Plant'!$D$7:$D$91,0),MATCH(Calculation!$G530,'Gross Gen Plant'!$E$5:$AD$5,0))</f>
        <v>2644</v>
      </c>
      <c r="BY530" s="113">
        <f t="shared" si="959"/>
        <v>80709</v>
      </c>
      <c r="BZ530" s="113"/>
      <c r="CA530" s="116">
        <v>2000</v>
      </c>
      <c r="CB530" s="113"/>
      <c r="CC530" s="113"/>
      <c r="CD530" s="113"/>
      <c r="CE530" s="175"/>
      <c r="CF530" s="113">
        <f t="shared" si="979"/>
        <v>7060</v>
      </c>
      <c r="CG530" s="113">
        <f t="shared" si="980"/>
        <v>20.373197864793482</v>
      </c>
      <c r="CH530" s="178">
        <v>0.98989898989898994</v>
      </c>
      <c r="CI530" s="61">
        <f>+CI528*CH530+CG529*CH529+CG530</f>
        <v>423.86535747375194</v>
      </c>
      <c r="CJ530" s="114">
        <f t="shared" si="981"/>
        <v>4.4100525353144508E-2</v>
      </c>
      <c r="CK530" s="114"/>
      <c r="CL530" s="169">
        <f t="shared" si="982"/>
        <v>5.1449887277955171E-3</v>
      </c>
      <c r="CM530" s="169"/>
      <c r="CN530" s="114">
        <f>VLOOKUP($H530,RoR!$E:$F,2,FALSE)</f>
        <v>7.6225000000000001E-2</v>
      </c>
      <c r="CO530" s="169">
        <v>2.2568307442433211E-2</v>
      </c>
      <c r="CP530" s="169">
        <f t="shared" ref="CP530:CP550" si="988">+CN530-CO530</f>
        <v>5.365669255756679E-2</v>
      </c>
      <c r="CQ530" s="169"/>
      <c r="CR530" s="169"/>
      <c r="CS530" s="179">
        <f t="shared" si="983"/>
        <v>0.85150049999999999</v>
      </c>
      <c r="CT530" s="180">
        <f t="shared" si="984"/>
        <v>0.67277207323124022</v>
      </c>
      <c r="CU530" s="180">
        <f t="shared" si="985"/>
        <v>0.6470236142997704</v>
      </c>
      <c r="CV530" s="180">
        <f t="shared" si="986"/>
        <v>0.94704866037543145</v>
      </c>
      <c r="CW530" s="180">
        <f t="shared" si="987"/>
        <v>0.41224973107878493</v>
      </c>
      <c r="CX530" s="181">
        <f>INDEX('State Tax Lookup'!$D$7:$Z$91,MATCH(Calculation!$C530,'State Tax Lookup'!$B$7:$B$91,0),MATCH($H530,'State Tax Lookup'!$D$6:$Z$6,0))</f>
        <v>0.40134999999999998</v>
      </c>
      <c r="CY530" s="72">
        <v>0.37</v>
      </c>
      <c r="CZ530" s="70"/>
      <c r="DA530" s="70"/>
      <c r="DB530" s="69"/>
      <c r="DC530" s="111">
        <f>VLOOKUP($H530,RoR!$E:$F,2,FALSE)</f>
        <v>7.6225000000000001E-2</v>
      </c>
      <c r="DD530" s="216">
        <f>HLOOKUP($H530,'GDP-PI'!$D$8:$CQ$11,3,FALSE)</f>
        <v>2.2568307442433211E-2</v>
      </c>
      <c r="DE530" s="111">
        <f>VLOOKUP(H530,'HW Dx Data'!$E:$F,2,FALSE)</f>
        <v>346.53371782150339</v>
      </c>
      <c r="DF530" s="66"/>
      <c r="DG530" s="69"/>
      <c r="DH530" s="66">
        <f>HLOOKUP(H530,'GDP-PI'!$8:$9,2,FALSE)</f>
        <v>78.069000000000003</v>
      </c>
      <c r="DI530"/>
      <c r="EB530"/>
    </row>
    <row r="531" spans="1:132" s="160" customFormat="1" ht="21">
      <c r="A531" s="160" t="s">
        <v>191</v>
      </c>
      <c r="B531" s="161" t="s">
        <v>191</v>
      </c>
      <c r="C531" s="161">
        <v>4008754</v>
      </c>
      <c r="D531" s="161" t="s">
        <v>192</v>
      </c>
      <c r="E531" s="161"/>
      <c r="F531" s="161"/>
      <c r="G531" s="161" t="s">
        <v>111</v>
      </c>
      <c r="H531" s="162">
        <v>2001</v>
      </c>
      <c r="I531" s="163"/>
      <c r="J531" s="159"/>
      <c r="K531" s="159"/>
      <c r="L531" s="159"/>
      <c r="M531" s="60"/>
      <c r="N531" s="152"/>
      <c r="O531" s="60"/>
      <c r="P531" s="60"/>
      <c r="Q531" s="159"/>
      <c r="R531" s="159"/>
      <c r="S531" s="159"/>
      <c r="T531" s="159"/>
      <c r="U531" s="159"/>
      <c r="V531" s="159"/>
      <c r="W531" s="159">
        <f t="shared" si="977"/>
        <v>5491.2091048891325</v>
      </c>
      <c r="X531" s="163"/>
      <c r="Y531" s="167">
        <v>434.68954478395409</v>
      </c>
      <c r="Z531" s="168">
        <v>2.5216234465456518E-2</v>
      </c>
      <c r="AA531" s="78"/>
      <c r="AB531" s="168"/>
      <c r="AC531" s="168"/>
      <c r="AD531" s="163">
        <f t="shared" si="928"/>
        <v>5491.2091048891325</v>
      </c>
      <c r="AE531" s="168"/>
      <c r="AF531" s="163"/>
      <c r="AG531" s="163"/>
      <c r="AH531" s="163"/>
      <c r="AI531" s="163"/>
      <c r="AJ531" s="167"/>
      <c r="AK531" s="168"/>
      <c r="AL531" s="115"/>
      <c r="AM531" s="115"/>
      <c r="AN531" s="115"/>
      <c r="AO531" s="115"/>
      <c r="AP531" s="115"/>
      <c r="AQ531" s="168"/>
      <c r="AR531" s="79"/>
      <c r="AS531" s="115"/>
      <c r="AT531" s="115"/>
      <c r="AU531" s="115"/>
      <c r="AV531" s="113">
        <f>IFERROR(INDEX('Total Customers'!$F$7:$AB$91,MATCH($C531,'Total Customers'!$D$7:$D$91,0),MATCH($G531,'Total Customers'!$F$5:$AB$5,0)),"NA")</f>
        <v>117091</v>
      </c>
      <c r="AW531" s="68">
        <f t="shared" si="972"/>
        <v>2.8649495995215529E-2</v>
      </c>
      <c r="AX531" s="114"/>
      <c r="AY531" s="114"/>
      <c r="AZ531" s="116"/>
      <c r="BA531" s="116"/>
      <c r="BB531" s="166"/>
      <c r="BC531" s="166"/>
      <c r="BD531" s="166"/>
      <c r="BE531" s="166"/>
      <c r="BF531" s="166"/>
      <c r="BG531" s="166"/>
      <c r="BH531" s="166"/>
      <c r="BI531" s="113"/>
      <c r="BJ531" s="113"/>
      <c r="BK531" s="113">
        <f>INDEX('Dist. Plant Gas Additions'!$F$7:$AE$91,MATCH($C531,'Dist. Plant Gas Additions'!$D$7:$D$91,0),MATCH(Calculation!$G531,'Dist. Plant Gas Additions'!$F$5:$AE$5,0))</f>
        <v>4552</v>
      </c>
      <c r="BL531" s="113">
        <f>INDEX('Gen. Plant Additions'!$F$7:$AE$91,MATCH($C531,'Gen. Plant Additions'!$D$7:$D$91,0),MATCH(Calculation!$G531,'Gen. Plant Additions'!$F$5:$AE$5,0))</f>
        <v>34</v>
      </c>
      <c r="BM531" s="231">
        <f t="shared" si="978"/>
        <v>0.98445710434590317</v>
      </c>
      <c r="BN531" s="61">
        <f t="shared" si="971"/>
        <v>33.471541547760708</v>
      </c>
      <c r="BO531" s="113">
        <f>INDEX('Dist Plant Depreciation'!$E$7:$AD$94,MATCH($C531,'Dist Plant Depreciation'!$D$7:$D$94,0),MATCH(Calculation!$G531,'Dist Plant Depreciation'!$E$5:$AD$5,0))</f>
        <v>103015</v>
      </c>
      <c r="BP531" s="113">
        <f>INDEX('Gen. Plant Depreciation'!$E$7:$AD$94,MATCH($C531,'Gen. Plant Depreciation'!$D$7:$D$94,0),MATCH(Calculation!$G531,'Gen. Plant Depreciation'!$E$5:$AD$5,0))</f>
        <v>3192</v>
      </c>
      <c r="BQ531" s="113"/>
      <c r="BR531" s="113"/>
      <c r="BS531" s="113"/>
      <c r="BT531" s="113"/>
      <c r="BU531" s="113"/>
      <c r="BV531" s="113"/>
      <c r="BW531" s="113">
        <f>INDEX('Gross Dx Plant'!$E$7:$AD$91,MATCH($C531,'Gross Dx Plant'!$D$7:$D$91,0),MATCH(Calculation!$G531,'Gross Dx Plant'!$E$5:$AD$5,0))</f>
        <v>186974</v>
      </c>
      <c r="BX531" s="113">
        <f>INDEX('Gross Gen Plant'!$E$7:$AD$91,MATCH($C531,'Gross Gen Plant'!$D$7:$D$91,0),MATCH(Calculation!$G531,'Gross Gen Plant'!$E$5:$AD$5,0))</f>
        <v>2952</v>
      </c>
      <c r="BY531" s="113">
        <f t="shared" si="959"/>
        <v>83719</v>
      </c>
      <c r="BZ531" s="113"/>
      <c r="CA531" s="116">
        <v>2001</v>
      </c>
      <c r="CB531" s="113"/>
      <c r="CC531" s="113"/>
      <c r="CD531" s="113"/>
      <c r="CE531" s="175"/>
      <c r="CF531" s="113">
        <f t="shared" si="979"/>
        <v>4586</v>
      </c>
      <c r="CG531" s="113">
        <f t="shared" si="980"/>
        <v>12.975057270849065</v>
      </c>
      <c r="CH531" s="178">
        <v>0.98461538461538467</v>
      </c>
      <c r="CI531" s="61">
        <f>+CI528*CH531+CG529*CH530+CG530*CH528+CG531</f>
        <v>434.68954478395409</v>
      </c>
      <c r="CJ531" s="114">
        <f t="shared" si="981"/>
        <v>2.5216234465456518E-2</v>
      </c>
      <c r="CK531" s="114"/>
      <c r="CL531" s="169">
        <f t="shared" si="982"/>
        <v>5.0744179082389635E-3</v>
      </c>
      <c r="CM531" s="169">
        <f>+(CL531+CL530+CL529)/3</f>
        <v>5.0648436713813172E-3</v>
      </c>
      <c r="CN531" s="114">
        <f>VLOOKUP($H531,RoR!$E:$F,2,FALSE)</f>
        <v>7.0824999999999999E-2</v>
      </c>
      <c r="CO531" s="169">
        <v>2.2454495382290052E-2</v>
      </c>
      <c r="CP531" s="169">
        <f t="shared" si="988"/>
        <v>4.8370504617709947E-2</v>
      </c>
      <c r="CQ531" s="169">
        <f>+$CP$2-CM531</f>
        <v>2.5837097937152307E-2</v>
      </c>
      <c r="CR531" s="169">
        <f>+((DE529/DE528-1)+(DE530/DE529-1)+(DE531/DE530-1))/3</f>
        <v>2.3947275901631187E-2</v>
      </c>
      <c r="CS531" s="179">
        <f t="shared" si="983"/>
        <v>0.85150049999999999</v>
      </c>
      <c r="CT531" s="180">
        <f t="shared" si="984"/>
        <v>0.72406708481540816</v>
      </c>
      <c r="CU531" s="180">
        <f t="shared" si="985"/>
        <v>0.62201729615248857</v>
      </c>
      <c r="CV531" s="180">
        <f t="shared" si="986"/>
        <v>0.9352469954311422</v>
      </c>
      <c r="CW531" s="180">
        <f t="shared" si="987"/>
        <v>0.42121864641655071</v>
      </c>
      <c r="CX531" s="181">
        <f>INDEX('State Tax Lookup'!$D$7:$Z$91,MATCH(Calculation!$C531,'State Tax Lookup'!$B$7:$B$91,0),MATCH($H531,'State Tax Lookup'!$D$6:$Z$6,0))</f>
        <v>0.40134999999999998</v>
      </c>
      <c r="CY531" s="72">
        <v>0.37</v>
      </c>
      <c r="CZ531" s="70">
        <f t="shared" ref="CZ531:CZ552" si="989">+(DE531*CQ531-CR531)*CS531/(1-CX531)</f>
        <v>12.955078795815904</v>
      </c>
      <c r="DA531" s="70"/>
      <c r="DB531" s="69"/>
      <c r="DC531" s="111">
        <f>VLOOKUP($H531,RoR!$E:$F,2,FALSE)</f>
        <v>7.0824999999999999E-2</v>
      </c>
      <c r="DD531" s="216">
        <f>HLOOKUP($H531,'GDP-PI'!$D$8:$CQ$11,3,FALSE)</f>
        <v>2.2454495382290052E-2</v>
      </c>
      <c r="DE531" s="111">
        <f>VLOOKUP(H531,'HW Dx Data'!$E:$F,2,FALSE)</f>
        <v>353.44738017483138</v>
      </c>
      <c r="DF531" s="66"/>
      <c r="DG531" s="69"/>
      <c r="DH531" s="66">
        <f>HLOOKUP(H531,'GDP-PI'!$8:$9,2,FALSE)</f>
        <v>79.822000000000003</v>
      </c>
      <c r="DI531"/>
      <c r="EB531"/>
    </row>
    <row r="532" spans="1:132" s="160" customFormat="1" ht="21">
      <c r="A532" s="160" t="s">
        <v>191</v>
      </c>
      <c r="B532" s="161" t="s">
        <v>191</v>
      </c>
      <c r="C532" s="161">
        <v>4008754</v>
      </c>
      <c r="D532" s="161" t="s">
        <v>192</v>
      </c>
      <c r="E532" s="161"/>
      <c r="F532" s="161"/>
      <c r="G532" s="161" t="s">
        <v>113</v>
      </c>
      <c r="H532" s="162">
        <v>2002</v>
      </c>
      <c r="I532" s="163"/>
      <c r="J532" s="159"/>
      <c r="K532" s="159"/>
      <c r="L532" s="159"/>
      <c r="M532" s="60"/>
      <c r="N532" s="152"/>
      <c r="O532" s="60"/>
      <c r="P532" s="60"/>
      <c r="Q532" s="159"/>
      <c r="R532" s="159"/>
      <c r="S532" s="159"/>
      <c r="T532" s="159"/>
      <c r="U532" s="159"/>
      <c r="V532" s="159"/>
      <c r="W532" s="159">
        <f t="shared" si="977"/>
        <v>5701.0395673737776</v>
      </c>
      <c r="X532" s="163"/>
      <c r="Y532" s="167">
        <v>472.2677757017575</v>
      </c>
      <c r="Z532" s="168">
        <v>8.291405998283681E-2</v>
      </c>
      <c r="AA532" s="78"/>
      <c r="AB532" s="168"/>
      <c r="AC532" s="168"/>
      <c r="AD532" s="163">
        <f t="shared" si="928"/>
        <v>5701.0395673737776</v>
      </c>
      <c r="AE532" s="168"/>
      <c r="AF532" s="163"/>
      <c r="AG532" s="163"/>
      <c r="AH532" s="163"/>
      <c r="AI532" s="163"/>
      <c r="AJ532" s="167"/>
      <c r="AK532" s="168"/>
      <c r="AL532" s="115"/>
      <c r="AM532" s="115"/>
      <c r="AN532" s="115"/>
      <c r="AO532" s="115"/>
      <c r="AP532" s="115"/>
      <c r="AQ532" s="168"/>
      <c r="AR532" s="79"/>
      <c r="AS532" s="115"/>
      <c r="AT532" s="115"/>
      <c r="AU532" s="115"/>
      <c r="AV532" s="113">
        <f>IFERROR(INDEX('Total Customers'!$F$7:$AB$91,MATCH($C532,'Total Customers'!$D$7:$D$91,0),MATCH($G532,'Total Customers'!$F$5:$AB$5,0)),"NA")</f>
        <v>124416</v>
      </c>
      <c r="AW532" s="68">
        <f t="shared" si="972"/>
        <v>6.0679379134776772E-2</v>
      </c>
      <c r="AX532" s="114"/>
      <c r="AY532" s="114"/>
      <c r="AZ532" s="116"/>
      <c r="BA532" s="116"/>
      <c r="BB532" s="166"/>
      <c r="BC532" s="166"/>
      <c r="BD532" s="166"/>
      <c r="BE532" s="166"/>
      <c r="BF532" s="166"/>
      <c r="BG532" s="166"/>
      <c r="BH532" s="166"/>
      <c r="BI532" s="113"/>
      <c r="BJ532" s="113"/>
      <c r="BK532" s="113">
        <f>INDEX('Dist. Plant Gas Additions'!$F$7:$AE$91,MATCH($C532,'Dist. Plant Gas Additions'!$D$7:$D$91,0),MATCH(Calculation!$G532,'Dist. Plant Gas Additions'!$F$5:$AE$5,0))</f>
        <v>14372</v>
      </c>
      <c r="BL532" s="113">
        <f>INDEX('Gen. Plant Additions'!$F$7:$AE$91,MATCH($C532,'Gen. Plant Additions'!$D$7:$D$91,0),MATCH(Calculation!$G532,'Gen. Plant Additions'!$F$5:$AE$5,0))</f>
        <v>106</v>
      </c>
      <c r="BM532" s="231">
        <f t="shared" si="978"/>
        <v>0.98509006249234166</v>
      </c>
      <c r="BN532" s="61">
        <f>+BM532*BL532</f>
        <v>104.41954662418821</v>
      </c>
      <c r="BO532" s="113">
        <f>INDEX('Dist Plant Depreciation'!$E$7:$AD$94,MATCH($C532,'Dist Plant Depreciation'!$D$7:$D$94,0),MATCH(Calculation!$G532,'Dist Plant Depreciation'!$E$5:$AD$5,0))</f>
        <v>108754</v>
      </c>
      <c r="BP532" s="113">
        <f>INDEX('Gen. Plant Depreciation'!$E$7:$AD$94,MATCH($C532,'Gen. Plant Depreciation'!$D$7:$D$94,0),MATCH(Calculation!$G532,'Gen. Plant Depreciation'!$E$5:$AD$5,0))</f>
        <v>2772</v>
      </c>
      <c r="BQ532" s="113"/>
      <c r="BR532" s="113"/>
      <c r="BS532" s="113"/>
      <c r="BT532" s="113"/>
      <c r="BU532" s="113"/>
      <c r="BV532" s="113"/>
      <c r="BW532" s="113">
        <f>INDEX('Gross Dx Plant'!$E$7:$AD$91,MATCH($C532,'Gross Dx Plant'!$D$7:$D$91,0),MATCH(Calculation!$G532,'Gross Dx Plant'!$E$5:$AD$5,0))</f>
        <v>200983</v>
      </c>
      <c r="BX532" s="113">
        <f>INDEX('Gross Gen Plant'!$E$7:$AD$91,MATCH($C532,'Gross Gen Plant'!$D$7:$D$91,0),MATCH(Calculation!$G532,'Gross Gen Plant'!$E$5:$AD$5,0))</f>
        <v>3042</v>
      </c>
      <c r="BY532" s="113">
        <f t="shared" si="959"/>
        <v>92499</v>
      </c>
      <c r="BZ532" s="113"/>
      <c r="CA532" s="116">
        <v>2002</v>
      </c>
      <c r="CB532" s="113"/>
      <c r="CC532" s="113"/>
      <c r="CD532" s="113"/>
      <c r="CE532" s="175"/>
      <c r="CF532" s="113">
        <f t="shared" si="979"/>
        <v>14478</v>
      </c>
      <c r="CG532" s="113">
        <f t="shared" si="980"/>
        <v>40.066620984738229</v>
      </c>
      <c r="CH532" s="178">
        <v>0.97916666666666663</v>
      </c>
      <c r="CI532" s="61">
        <f>+CI528*CH532+CG529*CH531+CG530*CH530+CG531*CH529+CG532</f>
        <v>472.2677757017575</v>
      </c>
      <c r="CJ532" s="114">
        <f t="shared" si="981"/>
        <v>8.291405998283681E-2</v>
      </c>
      <c r="CK532" s="114"/>
      <c r="CL532" s="169">
        <f t="shared" si="982"/>
        <v>5.7245224707936767E-3</v>
      </c>
      <c r="CM532" s="169">
        <f t="shared" ref="CM532:CM552" si="990">+(CL532+CL531+CL530)/3</f>
        <v>5.3146430356093852E-3</v>
      </c>
      <c r="CN532" s="114">
        <f>VLOOKUP($H532,RoR!$E:$F,2,FALSE)</f>
        <v>6.4916666666666664E-2</v>
      </c>
      <c r="CO532" s="169">
        <v>1.5246423291824351E-2</v>
      </c>
      <c r="CP532" s="169">
        <f t="shared" si="988"/>
        <v>4.9670243374842313E-2</v>
      </c>
      <c r="CQ532" s="169">
        <f t="shared" ref="CQ532:CQ552" si="991">+$CP$2-CM532</f>
        <v>2.5587298572924241E-2</v>
      </c>
      <c r="CR532" s="169">
        <f t="shared" ref="CR532:CR552" si="992">+((DE530/DE529-1)+(DE531/DE530-1)+(DE532/DE531-1))/3</f>
        <v>2.5243621214759093E-2</v>
      </c>
      <c r="CS532" s="179">
        <f t="shared" si="983"/>
        <v>0.85150049999999999</v>
      </c>
      <c r="CT532" s="180">
        <f t="shared" si="984"/>
        <v>0.78996741384417901</v>
      </c>
      <c r="CU532" s="180">
        <f t="shared" si="985"/>
        <v>0.58989088575096271</v>
      </c>
      <c r="CV532" s="180">
        <f t="shared" si="986"/>
        <v>0.91920675783645744</v>
      </c>
      <c r="CW532" s="180">
        <f t="shared" si="987"/>
        <v>0.42834536472275586</v>
      </c>
      <c r="CX532" s="181">
        <f>INDEX('State Tax Lookup'!$D$7:$Z$91,MATCH(Calculation!$C532,'State Tax Lookup'!$B$7:$B$91,0),MATCH($H532,'State Tax Lookup'!$D$6:$Z$6,0))</f>
        <v>0.40134999999999998</v>
      </c>
      <c r="CY532" s="72">
        <v>0.37</v>
      </c>
      <c r="CZ532" s="70">
        <f t="shared" si="989"/>
        <v>13.115198273764008</v>
      </c>
      <c r="DA532" s="70"/>
      <c r="DB532" s="69">
        <f>LN(CZ532/CZ531)</f>
        <v>1.2283835029403277E-2</v>
      </c>
      <c r="DC532" s="111">
        <f>VLOOKUP($H532,RoR!$E:$F,2,FALSE)</f>
        <v>6.4916666666666664E-2</v>
      </c>
      <c r="DD532" s="216">
        <f>HLOOKUP($H532,'GDP-PI'!$D$8:$CQ$11,3,FALSE)</f>
        <v>1.5246423291824351E-2</v>
      </c>
      <c r="DE532" s="111">
        <f>VLOOKUP(H532,'HW Dx Data'!$E:$F,2,FALSE)</f>
        <v>361.34816573413599</v>
      </c>
      <c r="DF532" s="66"/>
      <c r="DG532" s="69"/>
      <c r="DH532" s="66">
        <f>HLOOKUP(H532,'GDP-PI'!$8:$9,2,FALSE)</f>
        <v>81.039000000000001</v>
      </c>
      <c r="DI532" s="69">
        <f>LN(DH532/DH531)</f>
        <v>1.513136459537477E-2</v>
      </c>
      <c r="EB532"/>
    </row>
    <row r="533" spans="1:132" s="160" customFormat="1" ht="21">
      <c r="A533" s="160" t="s">
        <v>191</v>
      </c>
      <c r="B533" s="161" t="s">
        <v>191</v>
      </c>
      <c r="C533" s="161">
        <v>4008754</v>
      </c>
      <c r="D533" s="161" t="s">
        <v>192</v>
      </c>
      <c r="E533" s="161"/>
      <c r="F533" s="161"/>
      <c r="G533" s="161" t="s">
        <v>114</v>
      </c>
      <c r="H533" s="162">
        <v>2003</v>
      </c>
      <c r="I533" s="163"/>
      <c r="J533" s="159"/>
      <c r="K533" s="159"/>
      <c r="L533" s="159"/>
      <c r="M533" s="76"/>
      <c r="N533" s="152"/>
      <c r="O533" s="76"/>
      <c r="P533" s="76"/>
      <c r="Q533" s="159"/>
      <c r="R533" s="159"/>
      <c r="S533" s="159"/>
      <c r="T533" s="159"/>
      <c r="U533" s="159"/>
      <c r="V533" s="159"/>
      <c r="W533" s="159">
        <f t="shared" si="977"/>
        <v>6291.3770367818361</v>
      </c>
      <c r="X533" s="163"/>
      <c r="Y533" s="167">
        <v>499.41901646161284</v>
      </c>
      <c r="Z533" s="168">
        <v>5.5899309616631102E-2</v>
      </c>
      <c r="AA533" s="78"/>
      <c r="AB533" s="168"/>
      <c r="AC533" s="168"/>
      <c r="AD533" s="163">
        <f t="shared" si="928"/>
        <v>6291.3770367818361</v>
      </c>
      <c r="AE533" s="168"/>
      <c r="AF533" s="163"/>
      <c r="AG533" s="163"/>
      <c r="AH533" s="163"/>
      <c r="AI533" s="163"/>
      <c r="AJ533" s="167"/>
      <c r="AK533" s="168"/>
      <c r="AL533" s="115"/>
      <c r="AM533" s="115"/>
      <c r="AN533" s="115"/>
      <c r="AO533" s="115"/>
      <c r="AP533" s="115"/>
      <c r="AQ533" s="168"/>
      <c r="AR533" s="79"/>
      <c r="AS533" s="115"/>
      <c r="AT533" s="115"/>
      <c r="AU533" s="115"/>
      <c r="AV533" s="113">
        <f>IFERROR(INDEX('Total Customers'!$F$7:$AB$91,MATCH($C533,'Total Customers'!$D$7:$D$91,0),MATCH($G533,'Total Customers'!$F$5:$AB$5,0)),"NA")</f>
        <v>128815</v>
      </c>
      <c r="AW533" s="68">
        <f t="shared" si="972"/>
        <v>3.474647711876732E-2</v>
      </c>
      <c r="AX533" s="114"/>
      <c r="AY533" s="114"/>
      <c r="AZ533" s="116"/>
      <c r="BA533" s="116"/>
      <c r="BB533" s="166"/>
      <c r="BC533" s="166"/>
      <c r="BD533" s="166"/>
      <c r="BE533" s="166"/>
      <c r="BF533" s="166"/>
      <c r="BG533" s="166"/>
      <c r="BH533" s="166"/>
      <c r="BI533" s="113"/>
      <c r="BJ533" s="113"/>
      <c r="BK533" s="113">
        <f>INDEX('Dist. Plant Gas Additions'!$F$7:$AE$91,MATCH($C533,'Dist. Plant Gas Additions'!$D$7:$D$91,0),MATCH(Calculation!$G533,'Dist. Plant Gas Additions'!$F$5:$AE$5,0))</f>
        <v>10717</v>
      </c>
      <c r="BL533" s="113">
        <f>INDEX('Gen. Plant Additions'!$F$7:$AE$91,MATCH($C533,'Gen. Plant Additions'!$D$7:$D$91,0),MATCH(Calculation!$G533,'Gen. Plant Additions'!$F$5:$AE$5,0))</f>
        <v>291</v>
      </c>
      <c r="BM533" s="231">
        <f t="shared" si="978"/>
        <v>0.98457379506118659</v>
      </c>
      <c r="BN533" s="61">
        <f t="shared" ref="BN533:BN549" si="993">+BM533*BL533</f>
        <v>286.51097436280531</v>
      </c>
      <c r="BO533" s="113">
        <f>INDEX('Dist Plant Depreciation'!$E$7:$AD$94,MATCH($C533,'Dist Plant Depreciation'!$D$7:$D$94,0),MATCH(Calculation!$G533,'Dist Plant Depreciation'!$E$5:$AD$5,0))</f>
        <v>114410</v>
      </c>
      <c r="BP533" s="113">
        <f>INDEX('Gen. Plant Depreciation'!$E$7:$AD$94,MATCH($C533,'Gen. Plant Depreciation'!$D$7:$D$94,0),MATCH(Calculation!$G533,'Gen. Plant Depreciation'!$E$5:$AD$5,0))</f>
        <v>2488</v>
      </c>
      <c r="BQ533" s="113"/>
      <c r="BR533" s="113"/>
      <c r="BS533" s="113"/>
      <c r="BT533" s="113"/>
      <c r="BU533" s="113"/>
      <c r="BV533" s="113"/>
      <c r="BW533" s="113">
        <f>INDEX('Gross Dx Plant'!$E$7:$AD$91,MATCH($C533,'Gross Dx Plant'!$D$7:$D$91,0),MATCH(Calculation!$G533,'Gross Dx Plant'!$E$5:$AD$5,0))</f>
        <v>210877</v>
      </c>
      <c r="BX533" s="113">
        <f>INDEX('Gross Gen Plant'!$E$7:$AD$91,MATCH($C533,'Gross Gen Plant'!$D$7:$D$91,0),MATCH(Calculation!$G533,'Gross Gen Plant'!$E$5:$AD$5,0))</f>
        <v>3304</v>
      </c>
      <c r="BY533" s="113">
        <f t="shared" si="959"/>
        <v>97283</v>
      </c>
      <c r="BZ533" s="113"/>
      <c r="CA533" s="116">
        <v>2003</v>
      </c>
      <c r="CB533" s="113"/>
      <c r="CC533" s="113"/>
      <c r="CD533" s="113"/>
      <c r="CE533" s="175"/>
      <c r="CF533" s="113">
        <f t="shared" si="979"/>
        <v>11008</v>
      </c>
      <c r="CG533" s="113">
        <f t="shared" si="980"/>
        <v>29.813152327606069</v>
      </c>
      <c r="CH533" s="178">
        <v>0.97354497354497349</v>
      </c>
      <c r="CI533" s="61">
        <f>+CI528*CH533+CG529*CH532+CG530*CH531+CG531*CH530+CG532*CH529+CG533</f>
        <v>499.41901646161284</v>
      </c>
      <c r="CJ533" s="114">
        <f t="shared" si="981"/>
        <v>5.5899309616631102E-2</v>
      </c>
      <c r="CK533" s="114"/>
      <c r="CL533" s="169">
        <f t="shared" si="982"/>
        <v>5.6364454758644289E-3</v>
      </c>
      <c r="CM533" s="169">
        <f t="shared" si="990"/>
        <v>5.4784619516323567E-3</v>
      </c>
      <c r="CN533" s="114">
        <f>VLOOKUP($H533,RoR!$E:$F,2,FALSE)</f>
        <v>5.6666666666666671E-2</v>
      </c>
      <c r="CO533" s="169">
        <v>1.8855119140166909E-2</v>
      </c>
      <c r="CP533" s="169">
        <f t="shared" si="988"/>
        <v>3.7811547526499761E-2</v>
      </c>
      <c r="CQ533" s="169">
        <f t="shared" si="991"/>
        <v>2.5423479656901268E-2</v>
      </c>
      <c r="CR533" s="169">
        <f t="shared" si="992"/>
        <v>2.1375012817671957E-2</v>
      </c>
      <c r="CS533" s="179">
        <f t="shared" si="983"/>
        <v>0.85150049999999999</v>
      </c>
      <c r="CT533" s="180">
        <f t="shared" si="984"/>
        <v>0.90497737556561086</v>
      </c>
      <c r="CU533" s="180">
        <f t="shared" si="985"/>
        <v>0.5338235294117647</v>
      </c>
      <c r="CV533" s="180">
        <f t="shared" si="986"/>
        <v>0.88972433127405692</v>
      </c>
      <c r="CW533" s="180">
        <f t="shared" si="987"/>
        <v>0.42982423775949252</v>
      </c>
      <c r="CX533" s="181">
        <f>INDEX('State Tax Lookup'!$D$7:$Z$91,MATCH(Calculation!$C533,'State Tax Lookup'!$B$7:$B$91,0),MATCH($H533,'State Tax Lookup'!$D$6:$Z$6,0))</f>
        <v>0.40134999999999998</v>
      </c>
      <c r="CY533" s="72">
        <v>0.37</v>
      </c>
      <c r="CZ533" s="70">
        <f t="shared" si="989"/>
        <v>13.321630990878599</v>
      </c>
      <c r="DA533" s="70"/>
      <c r="DB533" s="69">
        <f t="shared" ref="DB533:DB552" si="994">LN(CZ533/CZ532)</f>
        <v>1.5617373083306442E-2</v>
      </c>
      <c r="DC533" s="111">
        <f>VLOOKUP($H533,RoR!$E:$F,2,FALSE)</f>
        <v>5.6666666666666671E-2</v>
      </c>
      <c r="DD533" s="216">
        <f>HLOOKUP($H533,'GDP-PI'!$D$8:$CQ$11,3,FALSE)</f>
        <v>1.8855119140166909E-2</v>
      </c>
      <c r="DE533" s="111">
        <f>VLOOKUP(H533,'HW Dx Data'!$E:$F,2,FALSE)</f>
        <v>369.23301095560191</v>
      </c>
      <c r="DF533" s="66"/>
      <c r="DG533" s="69"/>
      <c r="DH533" s="66">
        <f>HLOOKUP(H533,'GDP-PI'!$8:$9,2,FALSE)</f>
        <v>82.566999999999993</v>
      </c>
      <c r="DI533" s="69">
        <f t="shared" ref="DI533:DI552" si="995">LN(DH533/DH532)</f>
        <v>1.8679564681853753E-2</v>
      </c>
      <c r="EB533"/>
    </row>
    <row r="534" spans="1:132" s="160" customFormat="1" ht="21">
      <c r="A534" s="160" t="s">
        <v>191</v>
      </c>
      <c r="B534" s="161" t="s">
        <v>191</v>
      </c>
      <c r="C534" s="161">
        <v>4008754</v>
      </c>
      <c r="D534" s="161" t="s">
        <v>192</v>
      </c>
      <c r="E534" s="161"/>
      <c r="F534" s="161"/>
      <c r="G534" s="161" t="s">
        <v>115</v>
      </c>
      <c r="H534" s="162">
        <v>2004</v>
      </c>
      <c r="I534" s="163"/>
      <c r="J534" s="159">
        <f>IFERROR(INDEX('Labor Expenditures'!$F$7:$X$91,MATCH($C534,'Labor Expenditures'!$D$7:$D$91,0),MATCH($G534,'Labor Expenditures'!$F$5:$X$5,0)),"NA")</f>
        <v>10815.879678416652</v>
      </c>
      <c r="K534" s="159">
        <f t="shared" ref="K534:K552" si="996">+J534/DF534</f>
        <v>114.63571466260363</v>
      </c>
      <c r="L534" s="165"/>
      <c r="M534" s="76"/>
      <c r="N534" s="152"/>
      <c r="O534" s="76"/>
      <c r="P534" s="76"/>
      <c r="Q534" s="159">
        <f>IFERROR(INDEX('Non-Labor Expenditures'!$F$7:$AB$91,MATCH($C534,'Non-Labor Expenditures'!$D$7:$D$91,0),MATCH($G534,'Non-Labor Expenditures'!$F$5:$AB$5,0)),"NA")</f>
        <v>15663.413902015847</v>
      </c>
      <c r="R534" s="159">
        <f t="shared" ref="R534:R552" si="997">+Q534/DH534</f>
        <v>184.75800209978823</v>
      </c>
      <c r="S534" s="159"/>
      <c r="T534" s="159"/>
      <c r="U534" s="159"/>
      <c r="V534" s="159"/>
      <c r="W534" s="159">
        <f t="shared" si="977"/>
        <v>7381.9744018056845</v>
      </c>
      <c r="X534" s="163"/>
      <c r="Y534" s="167">
        <v>516.38196186767641</v>
      </c>
      <c r="Z534" s="168">
        <v>3.3401272081292475E-2</v>
      </c>
      <c r="AA534" s="76">
        <f t="shared" ref="AA534:AA552" si="998">+Z534*$AR534</f>
        <v>0</v>
      </c>
      <c r="AB534" s="168"/>
      <c r="AC534" s="168"/>
      <c r="AD534" s="163">
        <f t="shared" si="928"/>
        <v>33861.267982238183</v>
      </c>
      <c r="AE534" s="168"/>
      <c r="AF534" s="163"/>
      <c r="AG534" s="163"/>
      <c r="AH534" s="163"/>
      <c r="AI534" s="163"/>
      <c r="AJ534" s="167"/>
      <c r="AK534" s="168"/>
      <c r="AL534" s="115">
        <f t="shared" ref="AL534:AL552" si="999">+J534/AD534</f>
        <v>0.31941744426375546</v>
      </c>
      <c r="AM534" s="115">
        <f t="shared" ref="AM534:AM552" si="1000">+Q534/AD534</f>
        <v>0.46257611824318096</v>
      </c>
      <c r="AN534" s="115">
        <f t="shared" ref="AN534:AN552" si="1001">+W534/AD534</f>
        <v>0.21800643749306362</v>
      </c>
      <c r="AO534" s="115"/>
      <c r="AP534" s="115"/>
      <c r="AQ534" s="168"/>
      <c r="AR534" s="79"/>
      <c r="AS534" s="115"/>
      <c r="AT534" s="115"/>
      <c r="AU534" s="115"/>
      <c r="AV534" s="113">
        <f>IFERROR(INDEX('Total Customers'!$F$7:$AB$91,MATCH($C534,'Total Customers'!$D$7:$D$91,0),MATCH($G534,'Total Customers'!$F$5:$AB$5,0)),"NA")</f>
        <v>131674</v>
      </c>
      <c r="AW534" s="68">
        <f t="shared" si="972"/>
        <v>2.1951904367881355E-2</v>
      </c>
      <c r="AX534" s="114"/>
      <c r="AY534" s="114"/>
      <c r="AZ534" s="116"/>
      <c r="BA534" s="116"/>
      <c r="BB534" s="166"/>
      <c r="BC534" s="166"/>
      <c r="BD534" s="166"/>
      <c r="BE534" s="166"/>
      <c r="BF534" s="166"/>
      <c r="BG534" s="166"/>
      <c r="BH534" s="166"/>
      <c r="BI534" s="113"/>
      <c r="BJ534" s="113"/>
      <c r="BK534" s="113">
        <f>INDEX('Dist. Plant Gas Additions'!$F$7:$AE$91,MATCH($C534,'Dist. Plant Gas Additions'!$D$7:$D$91,0),MATCH(Calculation!$G534,'Dist. Plant Gas Additions'!$F$5:$AE$5,0))</f>
        <v>8119</v>
      </c>
      <c r="BL534" s="113">
        <f>INDEX('Gen. Plant Additions'!$F$7:$AE$91,MATCH($C534,'Gen. Plant Additions'!$D$7:$D$91,0),MATCH(Calculation!$G534,'Gen. Plant Additions'!$F$5:$AE$5,0))</f>
        <v>120</v>
      </c>
      <c r="BM534" s="231">
        <f t="shared" si="978"/>
        <v>0.98463023294803187</v>
      </c>
      <c r="BN534" s="61">
        <f t="shared" si="993"/>
        <v>118.15562795376383</v>
      </c>
      <c r="BO534" s="113">
        <f>INDEX('Dist Plant Depreciation'!$E$7:$AD$94,MATCH($C534,'Dist Plant Depreciation'!$D$7:$D$94,0),MATCH(Calculation!$G534,'Dist Plant Depreciation'!$E$5:$AD$5,0))</f>
        <v>119741</v>
      </c>
      <c r="BP534" s="113">
        <f>INDEX('Gen. Plant Depreciation'!$E$7:$AD$94,MATCH($C534,'Gen. Plant Depreciation'!$D$7:$D$94,0),MATCH(Calculation!$G534,'Gen. Plant Depreciation'!$E$5:$AD$5,0))</f>
        <v>1997</v>
      </c>
      <c r="BQ534" s="113"/>
      <c r="BR534" s="113"/>
      <c r="BS534" s="113"/>
      <c r="BT534" s="113"/>
      <c r="BU534" s="113"/>
      <c r="BV534" s="113"/>
      <c r="BW534" s="113">
        <f>INDEX('Gross Dx Plant'!$E$7:$AD$91,MATCH($C534,'Gross Dx Plant'!$D$7:$D$91,0),MATCH(Calculation!$G534,'Gross Dx Plant'!$E$5:$AD$5,0))</f>
        <v>217301</v>
      </c>
      <c r="BX534" s="113">
        <f>INDEX('Gross Gen Plant'!$E$7:$AD$91,MATCH($C534,'Gross Gen Plant'!$D$7:$D$91,0),MATCH(Calculation!$G534,'Gross Gen Plant'!$E$5:$AD$5,0))</f>
        <v>3392</v>
      </c>
      <c r="BY534" s="113">
        <f t="shared" si="959"/>
        <v>98955</v>
      </c>
      <c r="BZ534" s="113"/>
      <c r="CA534" s="116">
        <v>2004</v>
      </c>
      <c r="CB534" s="113"/>
      <c r="CC534" s="113"/>
      <c r="CD534" s="113"/>
      <c r="CE534" s="175"/>
      <c r="CF534" s="113">
        <f t="shared" si="979"/>
        <v>8239</v>
      </c>
      <c r="CG534" s="113">
        <f t="shared" si="980"/>
        <v>19.858410121425528</v>
      </c>
      <c r="CH534" s="178">
        <v>0.967741935483871</v>
      </c>
      <c r="CI534" s="61">
        <f>+CI528*CH534+CG529*CH533+CG530*CH532+CG531*CH531+CG532*CH530+CG533*CH529+CG534</f>
        <v>516.38196186767641</v>
      </c>
      <c r="CJ534" s="114">
        <f t="shared" si="981"/>
        <v>3.3401272081292475E-2</v>
      </c>
      <c r="CK534" s="114"/>
      <c r="CL534" s="169">
        <f t="shared" si="982"/>
        <v>5.7976661278866543E-3</v>
      </c>
      <c r="CM534" s="169">
        <f t="shared" si="990"/>
        <v>5.7195446915149209E-3</v>
      </c>
      <c r="CN534" s="114">
        <f>VLOOKUP($H534,RoR!$E:$F,2,FALSE)</f>
        <v>5.6283333333333331E-2</v>
      </c>
      <c r="CO534" s="169">
        <v>2.6778252812867276E-2</v>
      </c>
      <c r="CP534" s="169">
        <f t="shared" si="988"/>
        <v>2.9505080520466055E-2</v>
      </c>
      <c r="CQ534" s="169">
        <f t="shared" si="991"/>
        <v>2.5182396917018703E-2</v>
      </c>
      <c r="CR534" s="169">
        <f t="shared" si="992"/>
        <v>5.5940039414565046E-2</v>
      </c>
      <c r="CS534" s="179">
        <f t="shared" si="983"/>
        <v>0.85150049999999999</v>
      </c>
      <c r="CT534" s="180">
        <f t="shared" si="984"/>
        <v>0.91114097628755619</v>
      </c>
      <c r="CU534" s="180">
        <f t="shared" si="985"/>
        <v>0.53081877405981637</v>
      </c>
      <c r="CV534" s="180">
        <f t="shared" si="986"/>
        <v>0.88811215519385678</v>
      </c>
      <c r="CW534" s="180">
        <f t="shared" si="987"/>
        <v>0.42953609753547711</v>
      </c>
      <c r="CX534" s="181">
        <f>INDEX('State Tax Lookup'!$D$7:$Z$91,MATCH(Calculation!$C534,'State Tax Lookup'!$B$7:$B$91,0),MATCH($H534,'State Tax Lookup'!$D$6:$Z$6,0))</f>
        <v>0.40134999999999998</v>
      </c>
      <c r="CY534" s="72">
        <v>0.37</v>
      </c>
      <c r="CZ534" s="70">
        <f t="shared" si="989"/>
        <v>14.781123983037377</v>
      </c>
      <c r="DA534" s="70"/>
      <c r="DB534" s="69">
        <f t="shared" si="994"/>
        <v>0.10396185581648325</v>
      </c>
      <c r="DC534" s="111">
        <f>VLOOKUP($H534,RoR!$E:$F,2,FALSE)</f>
        <v>5.6283333333333331E-2</v>
      </c>
      <c r="DD534" s="216">
        <f>HLOOKUP($H534,'GDP-PI'!$D$8:$CQ$11,3,FALSE)</f>
        <v>2.6778252812867276E-2</v>
      </c>
      <c r="DE534" s="111">
        <f>VLOOKUP(H534,'HW Dx Data'!$E:$F,2,FALSE)</f>
        <v>414.88719135228365</v>
      </c>
      <c r="DF534" s="72">
        <f>VLOOKUP(G534,EG$8:EH$27,2,FALSE)</f>
        <v>94.35</v>
      </c>
      <c r="DG534" s="69"/>
      <c r="DH534" s="66">
        <f>HLOOKUP(H534,'GDP-PI'!$8:$9,2,FALSE)</f>
        <v>84.778000000000006</v>
      </c>
      <c r="DI534" s="69">
        <f t="shared" si="995"/>
        <v>2.6425990216022755E-2</v>
      </c>
      <c r="EB534"/>
    </row>
    <row r="535" spans="1:132" s="160" customFormat="1" ht="21">
      <c r="A535" s="160" t="s">
        <v>191</v>
      </c>
      <c r="B535" s="161" t="s">
        <v>191</v>
      </c>
      <c r="C535" s="161">
        <v>4008754</v>
      </c>
      <c r="D535" s="161" t="s">
        <v>192</v>
      </c>
      <c r="E535" s="161"/>
      <c r="F535" s="161"/>
      <c r="G535" s="161" t="s">
        <v>116</v>
      </c>
      <c r="H535" s="162">
        <v>2005</v>
      </c>
      <c r="I535" s="163"/>
      <c r="J535" s="159">
        <f>IFERROR(INDEX('Labor Expenditures'!$F$7:$X$91,MATCH($C535,'Labor Expenditures'!$D$7:$D$91,0),MATCH($G535,'Labor Expenditures'!$F$5:$X$5,0)),"NA")</f>
        <v>10422.09279407416</v>
      </c>
      <c r="K535" s="159">
        <f t="shared" si="996"/>
        <v>105.03494879389429</v>
      </c>
      <c r="L535" s="165">
        <f t="shared" ref="L535:L551" si="1002">LN(K535/K534)</f>
        <v>-8.7466261566732553E-2</v>
      </c>
      <c r="M535" s="76"/>
      <c r="N535" s="62">
        <v>100</v>
      </c>
      <c r="O535" s="77"/>
      <c r="P535" s="77"/>
      <c r="Q535" s="159">
        <f>IFERROR(INDEX('Non-Labor Expenditures'!$F$7:$AB$91,MATCH($C535,'Non-Labor Expenditures'!$D$7:$D$91,0),MATCH($G535,'Non-Labor Expenditures'!$F$5:$AB$5,0)),"NA")</f>
        <v>15093.13694424327</v>
      </c>
      <c r="R535" s="159">
        <f t="shared" si="997"/>
        <v>172.67652412556512</v>
      </c>
      <c r="S535" s="165">
        <f>LN(R535/R534)</f>
        <v>-6.7626830522896281E-2</v>
      </c>
      <c r="T535" s="165"/>
      <c r="U535" s="165"/>
      <c r="V535" s="165"/>
      <c r="W535" s="159">
        <f t="shared" si="977"/>
        <v>8581.4062925522539</v>
      </c>
      <c r="X535" s="163"/>
      <c r="Y535" s="167">
        <v>535.10730064519134</v>
      </c>
      <c r="Z535" s="168">
        <v>3.5620560920215642E-2</v>
      </c>
      <c r="AA535" s="76">
        <f t="shared" si="998"/>
        <v>0</v>
      </c>
      <c r="AB535" s="168"/>
      <c r="AC535" s="168"/>
      <c r="AD535" s="163">
        <f t="shared" si="928"/>
        <v>34096.636030869682</v>
      </c>
      <c r="AE535" s="168">
        <f>LN(AD535/AD534)</f>
        <v>6.9269055062345349E-3</v>
      </c>
      <c r="AF535" s="163"/>
      <c r="AG535" s="163"/>
      <c r="AH535" s="163"/>
      <c r="AI535" s="163"/>
      <c r="AJ535" s="116"/>
      <c r="AK535" s="114"/>
      <c r="AL535" s="115">
        <f t="shared" si="999"/>
        <v>0.30566337349638917</v>
      </c>
      <c r="AM535" s="115">
        <f t="shared" si="1000"/>
        <v>0.44265765486596886</v>
      </c>
      <c r="AN535" s="115">
        <f t="shared" si="1001"/>
        <v>0.25167897163764202</v>
      </c>
      <c r="AO535" s="115">
        <f t="shared" ref="AO535:AO551" si="1003">+(((AL535+AL534)/2)*L535+((AM534+AM535)/2)*S535+((AN534+AN535)/2)*Z535)</f>
        <v>-4.9580557767466796E-2</v>
      </c>
      <c r="AP535" s="166">
        <v>100</v>
      </c>
      <c r="AQ535" s="168"/>
      <c r="AR535" s="16"/>
      <c r="AS535" s="115"/>
      <c r="AT535" s="115"/>
      <c r="AU535" s="115"/>
      <c r="AV535" s="113">
        <f>IFERROR(INDEX('Total Customers'!$F$7:$AB$91,MATCH($C535,'Total Customers'!$D$7:$D$91,0),MATCH($G535,'Total Customers'!$F$5:$AB$5,0)),"NA")</f>
        <v>134495</v>
      </c>
      <c r="AW535" s="68">
        <f t="shared" si="972"/>
        <v>2.1197852745139273E-2</v>
      </c>
      <c r="AX535" s="114"/>
      <c r="AY535" s="114"/>
      <c r="AZ535" s="116"/>
      <c r="BA535" s="116"/>
      <c r="BB535" s="166"/>
      <c r="BC535" s="166"/>
      <c r="BD535" s="166"/>
      <c r="BE535" s="166"/>
      <c r="BF535" s="166"/>
      <c r="BG535" s="166"/>
      <c r="BH535" s="166"/>
      <c r="BI535" s="113"/>
      <c r="BJ535" s="113"/>
      <c r="BK535" s="113">
        <f>INDEX('Dist. Plant Gas Additions'!$F$7:$AE$91,MATCH($C535,'Dist. Plant Gas Additions'!$D$7:$D$91,0),MATCH(Calculation!$G535,'Dist. Plant Gas Additions'!$F$5:$AE$5,0))</f>
        <v>10180</v>
      </c>
      <c r="BL535" s="113">
        <f>INDEX('Gen. Plant Additions'!$F$7:$AE$91,MATCH($C535,'Gen. Plant Additions'!$D$7:$D$91,0),MATCH(Calculation!$G535,'Gen. Plant Additions'!$F$5:$AE$5,0))</f>
        <v>55</v>
      </c>
      <c r="BM535" s="231">
        <f t="shared" si="978"/>
        <v>0.98509900601963574</v>
      </c>
      <c r="BN535" s="61">
        <f t="shared" si="993"/>
        <v>54.180445331079966</v>
      </c>
      <c r="BO535" s="113">
        <f>INDEX('Dist Plant Depreciation'!$E$7:$AD$94,MATCH($C535,'Dist Plant Depreciation'!$D$7:$D$94,0),MATCH(Calculation!$G535,'Dist Plant Depreciation'!$E$5:$AD$5,0))</f>
        <v>126627</v>
      </c>
      <c r="BP535" s="113">
        <f>INDEX('Gen. Plant Depreciation'!$E$7:$AD$94,MATCH($C535,'Gen. Plant Depreciation'!$D$7:$D$94,0),MATCH(Calculation!$G535,'Gen. Plant Depreciation'!$E$5:$AD$5,0))</f>
        <v>1524</v>
      </c>
      <c r="BQ535" s="113"/>
      <c r="BR535" s="113"/>
      <c r="BS535" s="113"/>
      <c r="BT535" s="113"/>
      <c r="BU535" s="113"/>
      <c r="BV535" s="113"/>
      <c r="BW535" s="113">
        <f>INDEX('Gross Dx Plant'!$E$7:$AD$91,MATCH($C535,'Gross Dx Plant'!$D$7:$D$91,0),MATCH(Calculation!$G535,'Gross Dx Plant'!$E$5:$AD$5,0))</f>
        <v>226161</v>
      </c>
      <c r="BX535" s="113">
        <f>INDEX('Gross Gen Plant'!$E$7:$AD$91,MATCH($C535,'Gross Gen Plant'!$D$7:$D$91,0),MATCH(Calculation!$G535,'Gross Gen Plant'!$E$5:$AD$5,0))</f>
        <v>3421</v>
      </c>
      <c r="BY535" s="113">
        <f t="shared" si="959"/>
        <v>101431</v>
      </c>
      <c r="BZ535" s="113"/>
      <c r="CA535" s="116">
        <v>2005</v>
      </c>
      <c r="CB535" s="113"/>
      <c r="CC535" s="113"/>
      <c r="CD535" s="113"/>
      <c r="CE535" s="175"/>
      <c r="CF535" s="113">
        <f t="shared" si="979"/>
        <v>10235</v>
      </c>
      <c r="CG535" s="113">
        <f t="shared" si="980"/>
        <v>21.813486511207408</v>
      </c>
      <c r="CH535" s="178">
        <v>0.96174863387978138</v>
      </c>
      <c r="CI535" s="61">
        <f>+CI528*CH535+CG529*CH534+CG530*CH533+CG531*CH532+CG532*CH531+CG533*CH530+CG534*CH529+CG535</f>
        <v>535.10730064519134</v>
      </c>
      <c r="CJ535" s="114">
        <f t="shared" si="981"/>
        <v>3.5620560920215642E-2</v>
      </c>
      <c r="CK535" s="114"/>
      <c r="CL535" s="169">
        <f t="shared" si="982"/>
        <v>5.9803555541001162E-3</v>
      </c>
      <c r="CM535" s="169">
        <f t="shared" si="990"/>
        <v>5.8048223859504004E-3</v>
      </c>
      <c r="CN535" s="114">
        <f>VLOOKUP($H535,RoR!$E:$F,2,FALSE)</f>
        <v>5.2350000000000001E-2</v>
      </c>
      <c r="CO535" s="169">
        <v>3.1010403642454332E-2</v>
      </c>
      <c r="CP535" s="169">
        <f t="shared" si="988"/>
        <v>2.1339596357545669E-2</v>
      </c>
      <c r="CQ535" s="169">
        <f t="shared" si="991"/>
        <v>2.5097119222583224E-2</v>
      </c>
      <c r="CR535" s="169">
        <f t="shared" si="992"/>
        <v>9.2129610649277341E-2</v>
      </c>
      <c r="CS535" s="179">
        <f t="shared" si="983"/>
        <v>0.85150049999999999</v>
      </c>
      <c r="CT535" s="180">
        <f t="shared" si="984"/>
        <v>0.97959983346802826</v>
      </c>
      <c r="CU535" s="180">
        <f t="shared" si="985"/>
        <v>0.49744508118433622</v>
      </c>
      <c r="CV535" s="180">
        <f t="shared" si="986"/>
        <v>0.87010519444335932</v>
      </c>
      <c r="CW535" s="180">
        <f t="shared" si="987"/>
        <v>0.42399975420741998</v>
      </c>
      <c r="CX535" s="181">
        <f>INDEX('State Tax Lookup'!$D$7:$Z$91,MATCH(Calculation!$C535,'State Tax Lookup'!$B$7:$B$91,0),MATCH($H535,'State Tax Lookup'!$D$6:$Z$6,0))</f>
        <v>0.40134999999999998</v>
      </c>
      <c r="CY535" s="72">
        <v>0.37</v>
      </c>
      <c r="CZ535" s="70">
        <f t="shared" si="989"/>
        <v>16.618330860192305</v>
      </c>
      <c r="DA535" s="70"/>
      <c r="DB535" s="69">
        <f t="shared" si="994"/>
        <v>0.11715539459720474</v>
      </c>
      <c r="DC535" s="111">
        <f>VLOOKUP($H535,RoR!$E:$F,2,FALSE)</f>
        <v>5.2350000000000001E-2</v>
      </c>
      <c r="DD535" s="216">
        <f>HLOOKUP($H535,'GDP-PI'!$D$8:$CQ$11,3,FALSE)</f>
        <v>3.1010403642454332E-2</v>
      </c>
      <c r="DE535" s="111">
        <f>VLOOKUP(H535,'HW Dx Data'!$E:$F,2,FALSE)</f>
        <v>469.20514034936258</v>
      </c>
      <c r="DF535" s="72">
        <f t="shared" ref="DF535:DF553" si="1004">VLOOKUP(G535,EG$8:EH$27,2,FALSE)</f>
        <v>99.224999999999994</v>
      </c>
      <c r="DG535" s="69">
        <f t="shared" ref="DG535:DG553" si="1005">LN(DF535/DF534)</f>
        <v>5.0378726854569796E-2</v>
      </c>
      <c r="DH535" s="66">
        <f>HLOOKUP(H535,'GDP-PI'!$8:$9,2,FALSE)</f>
        <v>87.406999999999996</v>
      </c>
      <c r="DI535" s="69">
        <f t="shared" si="995"/>
        <v>3.0539295810733648E-2</v>
      </c>
      <c r="EB535"/>
    </row>
    <row r="536" spans="1:132" s="160" customFormat="1" ht="21">
      <c r="A536" s="160" t="s">
        <v>191</v>
      </c>
      <c r="B536" s="161" t="s">
        <v>191</v>
      </c>
      <c r="C536" s="161">
        <v>4008754</v>
      </c>
      <c r="D536" s="161" t="s">
        <v>192</v>
      </c>
      <c r="E536" s="161"/>
      <c r="F536" s="161"/>
      <c r="G536" s="161" t="s">
        <v>117</v>
      </c>
      <c r="H536" s="162">
        <v>2006</v>
      </c>
      <c r="I536" s="163"/>
      <c r="J536" s="159">
        <f>IFERROR(INDEX('Labor Expenditures'!$F$7:$X$91,MATCH($C536,'Labor Expenditures'!$D$7:$D$91,0),MATCH($G536,'Labor Expenditures'!$F$5:$X$5,0)),"NA")</f>
        <v>11360.205791449089</v>
      </c>
      <c r="K536" s="159">
        <f t="shared" si="996"/>
        <v>103.84100357814523</v>
      </c>
      <c r="L536" s="165">
        <f t="shared" si="1002"/>
        <v>-1.1432222865191648E-2</v>
      </c>
      <c r="M536" s="76">
        <f t="shared" ref="M536:M552" si="1006">+L536*$AR536</f>
        <v>-5.2420722274838432E-5</v>
      </c>
      <c r="N536" s="62">
        <f>+N535*EXP(O536)</f>
        <v>107.94609124056203</v>
      </c>
      <c r="O536" s="96">
        <f t="shared" ref="O536:O552" si="1007">+M536+M561+M586+M611+M636+M661+M686+M711+M736+M761+M786+M811+M836+M861+M886+M911+M936+M961+M986+M1011+M1036+M1061+M1086+M1111+M1136+M1161+M1186+M1211+M1236+M1261+M1286+M1311+M1336+M1361+M1386+M1411+M1436+M1461+M1486+M1511+M1536+M1561+M1586+M1611+M1636+M1661+M1686+M1711+M1736+M1761+M1786+M1811+M1836+M1861</f>
        <v>7.6461761336728815E-2</v>
      </c>
      <c r="P536" s="96"/>
      <c r="Q536" s="159">
        <f>IFERROR(INDEX('Non-Labor Expenditures'!$F$7:$AB$91,MATCH($C536,'Non-Labor Expenditures'!$D$7:$D$91,0),MATCH($G536,'Non-Labor Expenditures'!$F$5:$AB$5,0)),"NA")</f>
        <v>16451.69977978096</v>
      </c>
      <c r="R536" s="159">
        <f t="shared" si="997"/>
        <v>182.64648821836445</v>
      </c>
      <c r="S536" s="165">
        <f t="shared" ref="S536:S551" si="1008">LN(R536/R535)</f>
        <v>5.6132484728105725E-2</v>
      </c>
      <c r="T536" s="165">
        <f t="shared" ref="T536:T552" si="1009">+S536*AR536</f>
        <v>2.5738698652279224E-4</v>
      </c>
      <c r="U536" s="165"/>
      <c r="V536" s="165"/>
      <c r="W536" s="159">
        <f t="shared" si="977"/>
        <v>8685.7506757255596</v>
      </c>
      <c r="X536" s="163"/>
      <c r="Y536" s="167">
        <v>548.56304138901794</v>
      </c>
      <c r="Z536" s="168">
        <v>2.4834918535201141E-2</v>
      </c>
      <c r="AA536" s="76">
        <f t="shared" si="998"/>
        <v>1.1387674843322713E-4</v>
      </c>
      <c r="AB536" s="168"/>
      <c r="AC536" s="168"/>
      <c r="AD536" s="163">
        <f t="shared" si="928"/>
        <v>36497.656246955608</v>
      </c>
      <c r="AE536" s="168">
        <f t="shared" ref="AE536:AE552" si="1010">LN(AD536/AD535)</f>
        <v>6.8049316812461291E-2</v>
      </c>
      <c r="AF536" s="163"/>
      <c r="AG536" s="163"/>
      <c r="AH536" s="163"/>
      <c r="AI536" s="163"/>
      <c r="AJ536" s="116">
        <f t="shared" ref="AJ536:AJ552" si="1011">+(AD536*1000)/AV536</f>
        <v>265.55530996991837</v>
      </c>
      <c r="AK536" s="114">
        <f>+AV536/$AX$11</f>
        <v>3.9628967059594311E-3</v>
      </c>
      <c r="AL536" s="115">
        <f t="shared" si="999"/>
        <v>0.3112585014934125</v>
      </c>
      <c r="AM536" s="115">
        <f t="shared" si="1000"/>
        <v>0.45076044523141817</v>
      </c>
      <c r="AN536" s="115">
        <f t="shared" si="1001"/>
        <v>0.23798105327516933</v>
      </c>
      <c r="AO536" s="115">
        <f t="shared" si="1003"/>
        <v>2.7628828161444366E-2</v>
      </c>
      <c r="AP536" s="166">
        <f>+AP535*EXP(AO536)</f>
        <v>102.80140437359945</v>
      </c>
      <c r="AQ536" s="168">
        <f>LN(AP536/AP535)</f>
        <v>2.7628828161444342E-2</v>
      </c>
      <c r="AR536" s="69">
        <f>+AD536/$AF$11</f>
        <v>4.5853481770764676E-3</v>
      </c>
      <c r="AS536" s="169">
        <f>+AR536*AQ536</f>
        <v>1.2668779684483778E-4</v>
      </c>
      <c r="AT536" s="115"/>
      <c r="AU536" s="115"/>
      <c r="AV536" s="113">
        <f>IFERROR(INDEX('Total Customers'!$F$7:$AB$91,MATCH($C536,'Total Customers'!$D$7:$D$91,0),MATCH($G536,'Total Customers'!$F$5:$AB$5,0)),"NA")</f>
        <v>137439</v>
      </c>
      <c r="AW536" s="68">
        <f t="shared" si="972"/>
        <v>2.1653158677556742E-2</v>
      </c>
      <c r="AX536" s="114"/>
      <c r="AY536" s="114"/>
      <c r="AZ536" s="116"/>
      <c r="BA536" s="116"/>
      <c r="BB536" s="166"/>
      <c r="BC536" s="166"/>
      <c r="BD536" s="166"/>
      <c r="BE536" s="166"/>
      <c r="BF536" s="166"/>
      <c r="BG536" s="166"/>
      <c r="BH536" s="166"/>
      <c r="BI536" s="113"/>
      <c r="BJ536" s="113"/>
      <c r="BK536" s="113">
        <f>INDEX('Dist. Plant Gas Additions'!$F$7:$AE$91,MATCH($C536,'Dist. Plant Gas Additions'!$D$7:$D$91,0),MATCH(Calculation!$G536,'Dist. Plant Gas Additions'!$F$5:$AE$5,0))</f>
        <v>7622</v>
      </c>
      <c r="BL536" s="113">
        <f>INDEX('Gen. Plant Additions'!$F$7:$AE$91,MATCH($C536,'Gen. Plant Additions'!$D$7:$D$91,0),MATCH(Calculation!$G536,'Gen. Plant Additions'!$F$5:$AE$5,0))</f>
        <v>103</v>
      </c>
      <c r="BM536" s="231">
        <f t="shared" si="978"/>
        <v>0.98515003771485876</v>
      </c>
      <c r="BN536" s="61">
        <f t="shared" si="993"/>
        <v>101.47045388463046</v>
      </c>
      <c r="BO536" s="113">
        <f>INDEX('Dist Plant Depreciation'!$E$7:$AD$94,MATCH($C536,'Dist Plant Depreciation'!$D$7:$D$94,0),MATCH(Calculation!$G536,'Dist Plant Depreciation'!$E$5:$AD$5,0))</f>
        <v>133885</v>
      </c>
      <c r="BP536" s="113">
        <f>INDEX('Gen. Plant Depreciation'!$E$7:$AD$94,MATCH($C536,'Gen. Plant Depreciation'!$D$7:$D$94,0),MATCH(Calculation!$G536,'Gen. Plant Depreciation'!$E$5:$AD$5,0))</f>
        <v>1684</v>
      </c>
      <c r="BQ536" s="113"/>
      <c r="BR536" s="113"/>
      <c r="BS536" s="113"/>
      <c r="BT536" s="113"/>
      <c r="BU536" s="113"/>
      <c r="BV536" s="113"/>
      <c r="BW536" s="113">
        <f>INDEX('Gross Dx Plant'!$E$7:$AD$91,MATCH($C536,'Gross Dx Plant'!$D$7:$D$91,0),MATCH(Calculation!$G536,'Gross Dx Plant'!$E$5:$AD$5,0))</f>
        <v>233783</v>
      </c>
      <c r="BX536" s="113">
        <f>INDEX('Gross Gen Plant'!$E$7:$AD$91,MATCH($C536,'Gross Gen Plant'!$D$7:$D$91,0),MATCH(Calculation!$G536,'Gross Gen Plant'!$E$5:$AD$5,0))</f>
        <v>3524</v>
      </c>
      <c r="BY536" s="113">
        <f t="shared" si="959"/>
        <v>101738</v>
      </c>
      <c r="BZ536" s="114"/>
      <c r="CA536" s="116">
        <v>2006</v>
      </c>
      <c r="CB536" s="113"/>
      <c r="CC536" s="113"/>
      <c r="CD536" s="113"/>
      <c r="CE536" s="175"/>
      <c r="CF536" s="113">
        <f t="shared" si="979"/>
        <v>7725</v>
      </c>
      <c r="CG536" s="113">
        <f t="shared" si="980"/>
        <v>16.753936322216379</v>
      </c>
      <c r="CH536" s="178">
        <v>0.9555555555555556</v>
      </c>
      <c r="CI536" s="61">
        <f>+CI528*CH536+CG529*CH535+CG530*CH534+CG531*CH533+CG532*CH532+CG533*CH531+CG534*CH530+CG535*CH529+CG536</f>
        <v>548.56304138901794</v>
      </c>
      <c r="CJ536" s="114">
        <f t="shared" si="981"/>
        <v>2.4834918535201141E-2</v>
      </c>
      <c r="CK536" s="114"/>
      <c r="CL536" s="169">
        <f t="shared" si="982"/>
        <v>6.1636153616537702E-3</v>
      </c>
      <c r="CM536" s="169">
        <f t="shared" si="990"/>
        <v>5.980545681213513E-3</v>
      </c>
      <c r="CN536" s="114">
        <f>VLOOKUP($H536,RoR!$E:$F,2,FALSE)</f>
        <v>5.5874999999999994E-2</v>
      </c>
      <c r="CO536" s="169">
        <v>3.0512430354548314E-2</v>
      </c>
      <c r="CP536" s="169">
        <f t="shared" si="988"/>
        <v>2.536256964545168E-2</v>
      </c>
      <c r="CQ536" s="169">
        <f t="shared" si="991"/>
        <v>2.4921395927320112E-2</v>
      </c>
      <c r="CR536" s="169">
        <f t="shared" si="992"/>
        <v>7.9087823893859641E-2</v>
      </c>
      <c r="CS536" s="179">
        <f t="shared" si="983"/>
        <v>0.85150049999999999</v>
      </c>
      <c r="CT536" s="180">
        <f t="shared" si="984"/>
        <v>0.91779957551769631</v>
      </c>
      <c r="CU536" s="180">
        <f t="shared" si="985"/>
        <v>0.52757270693512304</v>
      </c>
      <c r="CV536" s="180">
        <f t="shared" si="986"/>
        <v>0.88636824549024895</v>
      </c>
      <c r="CW536" s="180">
        <f t="shared" si="987"/>
        <v>0.42918482841932087</v>
      </c>
      <c r="CX536" s="181">
        <f>INDEX('State Tax Lookup'!$D$7:$Z$91,MATCH(Calculation!$C536,'State Tax Lookup'!$B$7:$B$91,0),MATCH($H536,'State Tax Lookup'!$D$6:$Z$6,0))</f>
        <v>0.40134999999999998</v>
      </c>
      <c r="CY536" s="72">
        <v>0.37</v>
      </c>
      <c r="CZ536" s="70">
        <f t="shared" si="989"/>
        <v>16.231792511993291</v>
      </c>
      <c r="DA536" s="70">
        <v>14.788696346247992</v>
      </c>
      <c r="DB536" s="69">
        <f t="shared" si="994"/>
        <v>-2.3534535002746666E-2</v>
      </c>
      <c r="DC536" s="111">
        <f>VLOOKUP($H536,RoR!$E:$F,2,FALSE)</f>
        <v>5.5874999999999994E-2</v>
      </c>
      <c r="DD536" s="216">
        <f>HLOOKUP($H536,'GDP-PI'!$D$8:$CQ$11,3,FALSE)</f>
        <v>3.0512430354548314E-2</v>
      </c>
      <c r="DE536" s="111">
        <f>VLOOKUP(H536,'HW Dx Data'!$E:$F,2,FALSE)</f>
        <v>461.08567272971823</v>
      </c>
      <c r="DF536" s="72">
        <f t="shared" si="1004"/>
        <v>109.4</v>
      </c>
      <c r="DG536" s="69">
        <f t="shared" si="1005"/>
        <v>9.7620891318751846E-2</v>
      </c>
      <c r="DH536" s="66">
        <f>HLOOKUP(H536,'GDP-PI'!$8:$9,2,FALSE)</f>
        <v>90.073999999999998</v>
      </c>
      <c r="DI536" s="69">
        <f t="shared" si="995"/>
        <v>3.005618372545445E-2</v>
      </c>
      <c r="EB536"/>
    </row>
    <row r="537" spans="1:132" s="160" customFormat="1" ht="21">
      <c r="A537" s="160" t="s">
        <v>191</v>
      </c>
      <c r="B537" s="161" t="s">
        <v>191</v>
      </c>
      <c r="C537" s="161">
        <v>4008754</v>
      </c>
      <c r="D537" s="161" t="s">
        <v>192</v>
      </c>
      <c r="E537" s="161"/>
      <c r="F537" s="161"/>
      <c r="G537" s="161" t="s">
        <v>118</v>
      </c>
      <c r="H537" s="162">
        <v>2007</v>
      </c>
      <c r="I537" s="163"/>
      <c r="J537" s="159">
        <f>IFERROR(INDEX('Labor Expenditures'!$F$7:$X$91,MATCH($C537,'Labor Expenditures'!$D$7:$D$91,0),MATCH($G537,'Labor Expenditures'!$F$5:$X$5,0)),"NA")</f>
        <v>11656.771732028126</v>
      </c>
      <c r="K537" s="159">
        <f t="shared" si="996"/>
        <v>111.52137509713587</v>
      </c>
      <c r="L537" s="165">
        <f t="shared" si="1002"/>
        <v>7.135535986654315E-2</v>
      </c>
      <c r="M537" s="76">
        <f t="shared" si="1006"/>
        <v>3.2333428732613439E-4</v>
      </c>
      <c r="N537" s="62">
        <f t="shared" ref="N537:N550" si="1012">+N536*EXP(O537)</f>
        <v>118.13334234655825</v>
      </c>
      <c r="O537" s="96">
        <f t="shared" si="1007"/>
        <v>9.0182059035043768E-2</v>
      </c>
      <c r="P537" s="96"/>
      <c r="Q537" s="159">
        <f>IFERROR(INDEX('Non-Labor Expenditures'!$F$7:$AB$91,MATCH($C537,'Non-Labor Expenditures'!$D$7:$D$91,0),MATCH($G537,'Non-Labor Expenditures'!$F$5:$AB$5,0)),"NA")</f>
        <v>16881.182652616517</v>
      </c>
      <c r="R537" s="159">
        <f t="shared" si="997"/>
        <v>182.50321793570149</v>
      </c>
      <c r="S537" s="165">
        <f t="shared" si="1008"/>
        <v>-7.8472082874694014E-4</v>
      </c>
      <c r="T537" s="165">
        <f t="shared" si="1009"/>
        <v>-3.5558246834913958E-6</v>
      </c>
      <c r="U537" s="165"/>
      <c r="V537" s="165"/>
      <c r="W537" s="159">
        <f t="shared" si="977"/>
        <v>9560.2721878221237</v>
      </c>
      <c r="X537" s="163"/>
      <c r="Y537" s="167">
        <v>560.54679739539313</v>
      </c>
      <c r="Z537" s="168">
        <v>2.1610523982808744E-2</v>
      </c>
      <c r="AA537" s="76">
        <f t="shared" si="998"/>
        <v>9.7924295859406615E-5</v>
      </c>
      <c r="AB537" s="168"/>
      <c r="AC537" s="168"/>
      <c r="AD537" s="163">
        <f t="shared" si="928"/>
        <v>38098.226572466767</v>
      </c>
      <c r="AE537" s="168">
        <f t="shared" si="1010"/>
        <v>4.2919688280345085E-2</v>
      </c>
      <c r="AF537" s="163"/>
      <c r="AG537" s="163"/>
      <c r="AH537" s="163"/>
      <c r="AI537" s="163"/>
      <c r="AJ537" s="116">
        <f t="shared" si="1011"/>
        <v>273.82989105567248</v>
      </c>
      <c r="AK537" s="114">
        <f>+AV537/$AX$12</f>
        <v>3.9814793431730937E-3</v>
      </c>
      <c r="AL537" s="115">
        <f t="shared" si="999"/>
        <v>0.30596625566955832</v>
      </c>
      <c r="AM537" s="115">
        <f t="shared" si="1000"/>
        <v>0.44309628482330438</v>
      </c>
      <c r="AN537" s="115">
        <f t="shared" si="1001"/>
        <v>0.25093745950713736</v>
      </c>
      <c r="AO537" s="115">
        <f t="shared" si="1003"/>
        <v>2.695332595901757E-2</v>
      </c>
      <c r="AP537" s="166">
        <f>+AP536*EXP(AO537)</f>
        <v>105.60992357536911</v>
      </c>
      <c r="AQ537" s="168">
        <f>LN(AP537/AP536)</f>
        <v>2.6953325959017498E-2</v>
      </c>
      <c r="AR537" s="69">
        <f>+AD537/$AF$12</f>
        <v>4.5313244573479926E-3</v>
      </c>
      <c r="AS537" s="169">
        <f t="shared" ref="AS537:AS551" si="1013">+AR537*AQ537</f>
        <v>1.2213426512496854E-4</v>
      </c>
      <c r="AT537" s="115"/>
      <c r="AU537" s="115"/>
      <c r="AV537" s="113">
        <f>IFERROR(INDEX('Total Customers'!$F$7:$AB$91,MATCH($C537,'Total Customers'!$D$7:$D$91,0),MATCH($G537,'Total Customers'!$F$5:$AB$5,0)),"NA")</f>
        <v>139131</v>
      </c>
      <c r="AW537" s="68">
        <f t="shared" si="972"/>
        <v>1.2235753043152416E-2</v>
      </c>
      <c r="AX537" s="114"/>
      <c r="AY537" s="114"/>
      <c r="AZ537" s="116"/>
      <c r="BA537" s="116"/>
      <c r="BB537" s="166"/>
      <c r="BC537" s="166"/>
      <c r="BD537" s="166"/>
      <c r="BE537" s="166"/>
      <c r="BF537" s="166"/>
      <c r="BG537" s="166"/>
      <c r="BH537" s="166"/>
      <c r="BI537" s="113"/>
      <c r="BJ537" s="113"/>
      <c r="BK537" s="113">
        <f>INDEX('Dist. Plant Gas Additions'!$F$7:$AE$91,MATCH($C537,'Dist. Plant Gas Additions'!$D$7:$D$91,0),MATCH(Calculation!$G537,'Dist. Plant Gas Additions'!$F$5:$AE$5,0))</f>
        <v>7492</v>
      </c>
      <c r="BL537" s="113">
        <f>INDEX('Gen. Plant Additions'!$F$7:$AE$91,MATCH($C537,'Gen. Plant Additions'!$D$7:$D$91,0),MATCH(Calculation!$G537,'Gen. Plant Additions'!$F$5:$AE$5,0))</f>
        <v>215</v>
      </c>
      <c r="BM537" s="231">
        <f t="shared" si="978"/>
        <v>0.98502068863905179</v>
      </c>
      <c r="BN537" s="61">
        <f t="shared" si="993"/>
        <v>211.77944805739614</v>
      </c>
      <c r="BO537" s="113">
        <f>INDEX('Dist Plant Depreciation'!$E$7:$AD$94,MATCH($C537,'Dist Plant Depreciation'!$D$7:$D$94,0),MATCH(Calculation!$G537,'Dist Plant Depreciation'!$E$5:$AD$5,0))</f>
        <v>140280</v>
      </c>
      <c r="BP537" s="113">
        <f>INDEX('Gen. Plant Depreciation'!$E$7:$AD$94,MATCH($C537,'Gen. Plant Depreciation'!$D$7:$D$94,0),MATCH(Calculation!$G537,'Gen. Plant Depreciation'!$E$5:$AD$5,0))</f>
        <v>1539</v>
      </c>
      <c r="BQ537" s="113"/>
      <c r="BR537" s="113"/>
      <c r="BS537" s="113"/>
      <c r="BT537" s="113"/>
      <c r="BU537" s="113"/>
      <c r="BV537" s="113"/>
      <c r="BW537" s="113">
        <f>INDEX('Gross Dx Plant'!$E$7:$AD$91,MATCH($C537,'Gross Dx Plant'!$D$7:$D$91,0),MATCH(Calculation!$G537,'Gross Dx Plant'!$E$5:$AD$5,0))</f>
        <v>240677</v>
      </c>
      <c r="BX537" s="113">
        <f>INDEX('Gross Gen Plant'!$E$7:$AD$91,MATCH($C537,'Gross Gen Plant'!$D$7:$D$91,0),MATCH(Calculation!$G537,'Gross Gen Plant'!$E$5:$AD$5,0))</f>
        <v>3660</v>
      </c>
      <c r="BY537" s="113">
        <f t="shared" si="959"/>
        <v>102518</v>
      </c>
      <c r="BZ537" s="113"/>
      <c r="CA537" s="116">
        <v>2007</v>
      </c>
      <c r="CB537" s="113"/>
      <c r="CC537" s="113"/>
      <c r="CD537" s="113"/>
      <c r="CE537" s="175"/>
      <c r="CF537" s="113">
        <f t="shared" si="979"/>
        <v>7707</v>
      </c>
      <c r="CG537" s="113">
        <f t="shared" si="980"/>
        <v>15.475210167267793</v>
      </c>
      <c r="CH537" s="178">
        <v>0.94915254237288138</v>
      </c>
      <c r="CI537" s="61">
        <f>+CI528*CH537+CG529*CH536+CG530*CH535+CG531*CH534+CG532*CH533+CG533*CH532+CG534*CH531+CG535*CH530+CG536*CH529+CG537</f>
        <v>560.54679739539313</v>
      </c>
      <c r="CJ537" s="114">
        <f t="shared" si="981"/>
        <v>2.1610523982808744E-2</v>
      </c>
      <c r="CK537" s="114"/>
      <c r="CL537" s="169">
        <f t="shared" si="982"/>
        <v>6.3647272919660882E-3</v>
      </c>
      <c r="CM537" s="169">
        <f t="shared" si="990"/>
        <v>6.1695660692399909E-3</v>
      </c>
      <c r="CN537" s="114">
        <f>VLOOKUP($H537,RoR!$E:$F,2,FALSE)</f>
        <v>5.5558333333333321E-2</v>
      </c>
      <c r="CO537" s="169">
        <v>2.691120634145272E-2</v>
      </c>
      <c r="CP537" s="169">
        <f t="shared" si="988"/>
        <v>2.86471269918806E-2</v>
      </c>
      <c r="CQ537" s="169">
        <f t="shared" si="991"/>
        <v>2.4732375539293635E-2</v>
      </c>
      <c r="CR537" s="169">
        <f t="shared" si="992"/>
        <v>6.4575155250632399E-2</v>
      </c>
      <c r="CS537" s="179">
        <f t="shared" si="983"/>
        <v>0.85150049999999999</v>
      </c>
      <c r="CT537" s="180">
        <f t="shared" si="984"/>
        <v>0.92303077153834634</v>
      </c>
      <c r="CU537" s="180">
        <f t="shared" si="985"/>
        <v>0.52502249887505614</v>
      </c>
      <c r="CV537" s="180">
        <f t="shared" si="986"/>
        <v>0.88499666072084604</v>
      </c>
      <c r="CW537" s="180">
        <f t="shared" si="987"/>
        <v>0.42887993290280618</v>
      </c>
      <c r="CX537" s="181">
        <f>INDEX('State Tax Lookup'!$D$7:$Z$91,MATCH(Calculation!$C537,'State Tax Lookup'!$B$7:$B$91,0),MATCH($H537,'State Tax Lookup'!$D$6:$Z$6,0))</f>
        <v>0.40134999999999998</v>
      </c>
      <c r="CY537" s="72">
        <v>0.37</v>
      </c>
      <c r="CZ537" s="70">
        <f t="shared" si="989"/>
        <v>17.427845965733553</v>
      </c>
      <c r="DA537" s="70">
        <v>16.108943221861779</v>
      </c>
      <c r="DB537" s="69">
        <f t="shared" si="994"/>
        <v>7.1097450104825974E-2</v>
      </c>
      <c r="DC537" s="111">
        <f>VLOOKUP($H537,RoR!$E:$F,2,FALSE)</f>
        <v>5.5558333333333321E-2</v>
      </c>
      <c r="DD537" s="216">
        <f>HLOOKUP($H537,'GDP-PI'!$D$8:$CQ$11,3,FALSE)</f>
        <v>2.691120634145272E-2</v>
      </c>
      <c r="DE537" s="111">
        <f>VLOOKUP(H537,'HW Dx Data'!$E:$F,2,FALSE)</f>
        <v>498.0223154772637</v>
      </c>
      <c r="DF537" s="72">
        <f t="shared" si="1004"/>
        <v>104.52499999999999</v>
      </c>
      <c r="DG537" s="69">
        <f t="shared" si="1005"/>
        <v>-4.5584612745252218E-2</v>
      </c>
      <c r="DH537" s="66">
        <f>HLOOKUP(H537,'GDP-PI'!$8:$9,2,FALSE)</f>
        <v>92.498000000000005</v>
      </c>
      <c r="DI537" s="69">
        <f t="shared" si="995"/>
        <v>2.6555467950038037E-2</v>
      </c>
      <c r="EB537"/>
    </row>
    <row r="538" spans="1:132" s="160" customFormat="1" ht="21">
      <c r="A538" s="160" t="s">
        <v>191</v>
      </c>
      <c r="B538" s="161" t="s">
        <v>191</v>
      </c>
      <c r="C538" s="161">
        <v>4008754</v>
      </c>
      <c r="D538" s="161" t="s">
        <v>192</v>
      </c>
      <c r="E538" s="161"/>
      <c r="F538" s="161"/>
      <c r="G538" s="161" t="s">
        <v>120</v>
      </c>
      <c r="H538" s="162">
        <v>2008</v>
      </c>
      <c r="I538" s="163"/>
      <c r="J538" s="159">
        <f>IFERROR(INDEX('Labor Expenditures'!$F$7:$X$91,MATCH($C538,'Labor Expenditures'!$D$7:$D$91,0),MATCH($G538,'Labor Expenditures'!$F$5:$X$5,0)),"NA")</f>
        <v>12371.819194316275</v>
      </c>
      <c r="K538" s="159">
        <f t="shared" si="996"/>
        <v>114.66004814009521</v>
      </c>
      <c r="L538" s="165">
        <f t="shared" si="1002"/>
        <v>2.7755369896786269E-2</v>
      </c>
      <c r="M538" s="76">
        <f t="shared" si="1006"/>
        <v>1.2777187108847625E-4</v>
      </c>
      <c r="N538" s="62">
        <f t="shared" si="1012"/>
        <v>109.8580112787627</v>
      </c>
      <c r="O538" s="96">
        <f t="shared" si="1007"/>
        <v>-7.2625280932534578E-2</v>
      </c>
      <c r="P538" s="96"/>
      <c r="Q538" s="159">
        <f>IFERROR(INDEX('Non-Labor Expenditures'!$F$7:$AB$91,MATCH($C538,'Non-Labor Expenditures'!$D$7:$D$91,0),MATCH($G538,'Non-Labor Expenditures'!$F$5:$AB$5,0)),"NA")</f>
        <v>17916.704930453558</v>
      </c>
      <c r="R538" s="159">
        <f t="shared" si="997"/>
        <v>190.06943191943435</v>
      </c>
      <c r="S538" s="165">
        <f t="shared" si="1008"/>
        <v>4.0621631170214723E-2</v>
      </c>
      <c r="T538" s="165">
        <f t="shared" si="1009"/>
        <v>1.8700171680598919E-4</v>
      </c>
      <c r="U538" s="165"/>
      <c r="V538" s="165"/>
      <c r="W538" s="159">
        <f t="shared" si="977"/>
        <v>11092.27303659602</v>
      </c>
      <c r="X538" s="163"/>
      <c r="Y538" s="167">
        <v>575.66073750935129</v>
      </c>
      <c r="Z538" s="168">
        <v>2.6605758531409479E-2</v>
      </c>
      <c r="AA538" s="76">
        <f t="shared" si="998"/>
        <v>1.2247963410064283E-4</v>
      </c>
      <c r="AB538" s="168"/>
      <c r="AC538" s="168"/>
      <c r="AD538" s="163">
        <f t="shared" si="928"/>
        <v>41380.797161365852</v>
      </c>
      <c r="AE538" s="168">
        <f t="shared" si="1010"/>
        <v>8.2649202148864523E-2</v>
      </c>
      <c r="AF538" s="163"/>
      <c r="AG538" s="163"/>
      <c r="AH538" s="163"/>
      <c r="AI538" s="163"/>
      <c r="AJ538" s="116">
        <f t="shared" si="1011"/>
        <v>292.46859918414179</v>
      </c>
      <c r="AK538" s="114">
        <f>+AV538/$AX$13</f>
        <v>4.0272811522883431E-3</v>
      </c>
      <c r="AL538" s="115">
        <f t="shared" si="999"/>
        <v>0.29897488794311855</v>
      </c>
      <c r="AM538" s="115">
        <f t="shared" si="1000"/>
        <v>0.43297147854805085</v>
      </c>
      <c r="AN538" s="115">
        <f t="shared" si="1001"/>
        <v>0.2680536335088306</v>
      </c>
      <c r="AO538" s="115">
        <f t="shared" si="1003"/>
        <v>3.3092909235638006E-2</v>
      </c>
      <c r="AP538" s="166">
        <f t="shared" ref="AP538:AP551" si="1014">+AP537*EXP(AO538)</f>
        <v>109.16333527145433</v>
      </c>
      <c r="AQ538" s="168">
        <f t="shared" ref="AQ538:AQ551" si="1015">LN(AP538/AP537)</f>
        <v>3.309290923563811E-2</v>
      </c>
      <c r="AR538" s="69">
        <f>+AD538/$AF$13</f>
        <v>4.6035009284192841E-3</v>
      </c>
      <c r="AS538" s="169">
        <f t="shared" si="1013"/>
        <v>1.5234323839035513E-4</v>
      </c>
      <c r="AT538" s="115"/>
      <c r="AU538" s="115"/>
      <c r="AV538" s="113">
        <f>IFERROR(INDEX('Total Customers'!$F$7:$AB$91,MATCH($C538,'Total Customers'!$D$7:$D$91,0),MATCH($G538,'Total Customers'!$F$5:$AB$5,0)),"NA")</f>
        <v>141488</v>
      </c>
      <c r="AW538" s="68">
        <f t="shared" si="972"/>
        <v>1.679897248296305E-2</v>
      </c>
      <c r="AX538" s="114"/>
      <c r="AY538" s="114"/>
      <c r="AZ538" s="116"/>
      <c r="BA538" s="116"/>
      <c r="BB538" s="166"/>
      <c r="BC538" s="166"/>
      <c r="BD538" s="166"/>
      <c r="BE538" s="166"/>
      <c r="BF538" s="166"/>
      <c r="BG538" s="166"/>
      <c r="BH538" s="166"/>
      <c r="BI538" s="113"/>
      <c r="BJ538" s="113"/>
      <c r="BK538" s="113">
        <f>INDEX('Dist. Plant Gas Additions'!$F$7:$AE$91,MATCH($C538,'Dist. Plant Gas Additions'!$D$7:$D$91,0),MATCH(Calculation!$G538,'Dist. Plant Gas Additions'!$F$5:$AE$5,0))</f>
        <v>10456</v>
      </c>
      <c r="BL538" s="113">
        <f>INDEX('Gen. Plant Additions'!$F$7:$AE$91,MATCH($C538,'Gen. Plant Additions'!$D$7:$D$91,0),MATCH(Calculation!$G538,'Gen. Plant Additions'!$F$5:$AE$5,0))</f>
        <v>258</v>
      </c>
      <c r="BM538" s="231">
        <f t="shared" si="978"/>
        <v>0.9849007322770027</v>
      </c>
      <c r="BN538" s="61">
        <f t="shared" si="993"/>
        <v>254.10438892746669</v>
      </c>
      <c r="BO538" s="113">
        <f>INDEX('Dist Plant Depreciation'!$E$7:$AD$94,MATCH($C538,'Dist Plant Depreciation'!$D$7:$D$94,0),MATCH(Calculation!$G538,'Dist Plant Depreciation'!$E$5:$AD$5,0))</f>
        <v>146572</v>
      </c>
      <c r="BP538" s="113">
        <f>INDEX('Gen. Plant Depreciation'!$E$7:$AD$94,MATCH($C538,'Gen. Plant Depreciation'!$D$7:$D$94,0),MATCH(Calculation!$G538,'Gen. Plant Depreciation'!$E$5:$AD$5,0))</f>
        <v>1661</v>
      </c>
      <c r="BQ538" s="113"/>
      <c r="BR538" s="113"/>
      <c r="BS538" s="113"/>
      <c r="BT538" s="113"/>
      <c r="BU538" s="113"/>
      <c r="BV538" s="113"/>
      <c r="BW538" s="113">
        <f>INDEX('Gross Dx Plant'!$E$7:$AD$91,MATCH($C538,'Gross Dx Plant'!$D$7:$D$91,0),MATCH(Calculation!$G538,'Gross Dx Plant'!$E$5:$AD$5,0))</f>
        <v>249629</v>
      </c>
      <c r="BX538" s="113">
        <f>INDEX('Gross Gen Plant'!$E$7:$AD$91,MATCH($C538,'Gross Gen Plant'!$D$7:$D$91,0),MATCH(Calculation!$G538,'Gross Gen Plant'!$E$5:$AD$5,0))</f>
        <v>3827</v>
      </c>
      <c r="BY538" s="113">
        <f t="shared" si="959"/>
        <v>105223</v>
      </c>
      <c r="BZ538" s="113"/>
      <c r="CA538" s="116">
        <v>2008</v>
      </c>
      <c r="CB538" s="113"/>
      <c r="CC538" s="113"/>
      <c r="CD538" s="113"/>
      <c r="CE538" s="175"/>
      <c r="CF538" s="113">
        <f t="shared" si="979"/>
        <v>10714</v>
      </c>
      <c r="CG538" s="113">
        <f t="shared" si="980"/>
        <v>18.800409519208213</v>
      </c>
      <c r="CH538" s="178">
        <v>0.94252873563218387</v>
      </c>
      <c r="CI538" s="61">
        <f>+CI528*CH538+CG529*CH537+CG530*CH536+CG531*CH535+CG532*CH534+CG533*CH533+CG534*CH532+CG535*CH531+CG536*CH530+CG537*CH529+CG538</f>
        <v>575.66073750935129</v>
      </c>
      <c r="CJ538" s="114">
        <f t="shared" si="981"/>
        <v>2.6605758531409479E-2</v>
      </c>
      <c r="CK538" s="114"/>
      <c r="CL538" s="169">
        <f t="shared" si="982"/>
        <v>6.5765595707252275E-3</v>
      </c>
      <c r="CM538" s="169">
        <f t="shared" si="990"/>
        <v>6.3683007414483614E-3</v>
      </c>
      <c r="CN538" s="114">
        <f>VLOOKUP($H538,RoR!$E:$F,2,FALSE)</f>
        <v>5.6316666666666668E-2</v>
      </c>
      <c r="CO538" s="169">
        <v>1.9092304698479889E-2</v>
      </c>
      <c r="CP538" s="169">
        <f t="shared" si="988"/>
        <v>3.7224361968186778E-2</v>
      </c>
      <c r="CQ538" s="169">
        <f t="shared" si="991"/>
        <v>2.4533640867085264E-2</v>
      </c>
      <c r="CR538" s="169">
        <f t="shared" si="992"/>
        <v>6.9030581091053131E-2</v>
      </c>
      <c r="CS538" s="179">
        <f t="shared" si="983"/>
        <v>0.85150049999999999</v>
      </c>
      <c r="CT538" s="180">
        <f t="shared" si="984"/>
        <v>0.91060168006009956</v>
      </c>
      <c r="CU538" s="180">
        <f t="shared" si="985"/>
        <v>0.53108168097070152</v>
      </c>
      <c r="CV538" s="180">
        <f t="shared" si="986"/>
        <v>0.88825329850328805</v>
      </c>
      <c r="CW538" s="180">
        <f t="shared" si="987"/>
        <v>0.4295627335323573</v>
      </c>
      <c r="CX538" s="181">
        <f>INDEX('State Tax Lookup'!$D$7:$Z$91,MATCH(Calculation!$C538,'State Tax Lookup'!$B$7:$B$91,0),MATCH($H538,'State Tax Lookup'!$D$6:$Z$6,0))</f>
        <v>0.40134999999999998</v>
      </c>
      <c r="CY538" s="72">
        <v>0.37</v>
      </c>
      <c r="CZ538" s="70">
        <f t="shared" si="989"/>
        <v>19.788308644589147</v>
      </c>
      <c r="DA538" s="70">
        <v>18.300102035478151</v>
      </c>
      <c r="DB538" s="69">
        <f t="shared" si="994"/>
        <v>0.12702202091277826</v>
      </c>
      <c r="DC538" s="111">
        <f>VLOOKUP($H538,RoR!$E:$F,2,FALSE)</f>
        <v>5.6316666666666668E-2</v>
      </c>
      <c r="DD538" s="216">
        <f>HLOOKUP($H538,'GDP-PI'!$D$8:$CQ$11,3,FALSE)</f>
        <v>1.9092304698479889E-2</v>
      </c>
      <c r="DE538" s="111">
        <f>VLOOKUP(H538,'HW Dx Data'!$E:$F,2,FALSE)</f>
        <v>569.88120333515076</v>
      </c>
      <c r="DF538" s="72">
        <f t="shared" si="1004"/>
        <v>107.9</v>
      </c>
      <c r="DG538" s="69">
        <f t="shared" si="1005"/>
        <v>3.1778595021460486E-2</v>
      </c>
      <c r="DH538" s="66">
        <f>HLOOKUP(H538,'GDP-PI'!$8:$9,2,FALSE)</f>
        <v>94.263999999999996</v>
      </c>
      <c r="DI538" s="69">
        <f t="shared" si="995"/>
        <v>1.8912333748032254E-2</v>
      </c>
      <c r="EB538"/>
    </row>
    <row r="539" spans="1:132" s="160" customFormat="1" ht="21">
      <c r="A539" s="160" t="s">
        <v>191</v>
      </c>
      <c r="B539" s="161" t="s">
        <v>191</v>
      </c>
      <c r="C539" s="161">
        <v>4008754</v>
      </c>
      <c r="D539" s="161" t="s">
        <v>192</v>
      </c>
      <c r="E539" s="161"/>
      <c r="F539" s="161"/>
      <c r="G539" s="161" t="s">
        <v>125</v>
      </c>
      <c r="H539" s="162">
        <v>2009</v>
      </c>
      <c r="I539" s="163"/>
      <c r="J539" s="159">
        <f>IFERROR(INDEX('Labor Expenditures'!$F$7:$X$91,MATCH($C539,'Labor Expenditures'!$D$7:$D$91,0),MATCH($G539,'Labor Expenditures'!$F$5:$X$5,0)),"NA")</f>
        <v>12072.858683316259</v>
      </c>
      <c r="K539" s="159">
        <f t="shared" si="996"/>
        <v>108.83803185320045</v>
      </c>
      <c r="L539" s="165">
        <f t="shared" si="1002"/>
        <v>-5.211081651583923E-2</v>
      </c>
      <c r="M539" s="76">
        <f t="shared" si="1006"/>
        <v>-2.2498253273063284E-4</v>
      </c>
      <c r="N539" s="62">
        <f t="shared" si="1012"/>
        <v>118.0426774380596</v>
      </c>
      <c r="O539" s="96">
        <f t="shared" si="1007"/>
        <v>7.185750685424265E-2</v>
      </c>
      <c r="P539" s="96"/>
      <c r="Q539" s="159">
        <f>IFERROR(INDEX('Non-Labor Expenditures'!$F$7:$AB$91,MATCH($C539,'Non-Labor Expenditures'!$D$7:$D$91,0),MATCH($G539,'Non-Labor Expenditures'!$F$5:$AB$5,0)),"NA")</f>
        <v>17483.754272404363</v>
      </c>
      <c r="R539" s="159">
        <f t="shared" si="997"/>
        <v>184.04145593537157</v>
      </c>
      <c r="S539" s="165">
        <f t="shared" si="1008"/>
        <v>-3.2228400333264962E-2</v>
      </c>
      <c r="T539" s="165">
        <f t="shared" si="1009"/>
        <v>-1.3914245866078137E-4</v>
      </c>
      <c r="U539" s="165"/>
      <c r="V539" s="165"/>
      <c r="W539" s="159">
        <f t="shared" si="977"/>
        <v>10921.624933375891</v>
      </c>
      <c r="X539" s="163"/>
      <c r="Y539" s="167">
        <v>600.63942557531368</v>
      </c>
      <c r="Z539" s="168">
        <v>4.2476307254125968E-2</v>
      </c>
      <c r="AA539" s="76">
        <f t="shared" si="998"/>
        <v>1.8338663306442549E-4</v>
      </c>
      <c r="AB539" s="168"/>
      <c r="AC539" s="168"/>
      <c r="AD539" s="163">
        <f t="shared" si="928"/>
        <v>40478.237889096512</v>
      </c>
      <c r="AE539" s="168">
        <f t="shared" si="1010"/>
        <v>-2.2052442919735533E-2</v>
      </c>
      <c r="AF539" s="163"/>
      <c r="AG539" s="163"/>
      <c r="AH539" s="163"/>
      <c r="AI539" s="163"/>
      <c r="AJ539" s="116">
        <f t="shared" si="1011"/>
        <v>284.29122780877293</v>
      </c>
      <c r="AK539" s="114">
        <f>+AV539/$AX$14</f>
        <v>4.0475898756098761E-3</v>
      </c>
      <c r="AL539" s="115">
        <f t="shared" si="999"/>
        <v>0.29825553959126971</v>
      </c>
      <c r="AM539" s="115">
        <f t="shared" si="1000"/>
        <v>0.43192972777883454</v>
      </c>
      <c r="AN539" s="115">
        <f t="shared" si="1001"/>
        <v>0.26981473262989575</v>
      </c>
      <c r="AO539" s="115">
        <f t="shared" si="1003"/>
        <v>-1.8074942785382062E-2</v>
      </c>
      <c r="AP539" s="166">
        <f t="shared" si="1014"/>
        <v>107.20793930323045</v>
      </c>
      <c r="AQ539" s="168">
        <f t="shared" si="1015"/>
        <v>-1.8074942785382027E-2</v>
      </c>
      <c r="AR539" s="69">
        <f>+AD539/$AF$14</f>
        <v>4.3173864424528594E-3</v>
      </c>
      <c r="AS539" s="169">
        <f t="shared" si="1013"/>
        <v>-7.8036512929719487E-5</v>
      </c>
      <c r="AT539" s="115"/>
      <c r="AU539" s="115"/>
      <c r="AV539" s="113">
        <f>IFERROR(INDEX('Total Customers'!$F$7:$AB$91,MATCH($C539,'Total Customers'!$D$7:$D$91,0),MATCH($G539,'Total Customers'!$F$5:$AB$5,0)),"NA")</f>
        <v>142383</v>
      </c>
      <c r="AW539" s="68">
        <f t="shared" si="972"/>
        <v>6.3057019954234003E-3</v>
      </c>
      <c r="AX539" s="114"/>
      <c r="AY539" s="114"/>
      <c r="AZ539" s="116"/>
      <c r="BA539" s="116"/>
      <c r="BB539" s="166"/>
      <c r="BC539" s="166"/>
      <c r="BD539" s="166"/>
      <c r="BE539" s="166"/>
      <c r="BF539" s="166"/>
      <c r="BG539" s="166"/>
      <c r="BH539" s="166"/>
      <c r="BI539" s="113"/>
      <c r="BJ539" s="113"/>
      <c r="BK539" s="113">
        <f>INDEX('Dist. Plant Gas Additions'!$F$7:$AE$91,MATCH($C539,'Dist. Plant Gas Additions'!$D$7:$D$91,0),MATCH(Calculation!$G539,'Dist. Plant Gas Additions'!$F$5:$AE$5,0))</f>
        <v>15675</v>
      </c>
      <c r="BL539" s="113">
        <f>INDEX('Gen. Plant Additions'!$F$7:$AE$91,MATCH($C539,'Gen. Plant Additions'!$D$7:$D$91,0),MATCH(Calculation!$G539,'Gen. Plant Additions'!$F$5:$AE$5,0))</f>
        <v>239</v>
      </c>
      <c r="BM539" s="231">
        <f t="shared" si="978"/>
        <v>0.98497354894383371</v>
      </c>
      <c r="BN539" s="61">
        <f t="shared" si="993"/>
        <v>235.40867819757625</v>
      </c>
      <c r="BO539" s="113">
        <f>INDEX('Dist Plant Depreciation'!$E$7:$AD$94,MATCH($C539,'Dist Plant Depreciation'!$D$7:$D$94,0),MATCH(Calculation!$G539,'Dist Plant Depreciation'!$E$5:$AD$5,0))</f>
        <v>151858</v>
      </c>
      <c r="BP539" s="113">
        <f>INDEX('Gen. Plant Depreciation'!$E$7:$AD$94,MATCH($C539,'Gen. Plant Depreciation'!$D$7:$D$94,0),MATCH(Calculation!$G539,'Gen. Plant Depreciation'!$E$5:$AD$5,0))</f>
        <v>1797</v>
      </c>
      <c r="BQ539" s="113"/>
      <c r="BR539" s="113"/>
      <c r="BS539" s="113"/>
      <c r="BT539" s="113"/>
      <c r="BU539" s="113"/>
      <c r="BV539" s="113"/>
      <c r="BW539" s="113">
        <f>INDEX('Gross Dx Plant'!$E$7:$AD$91,MATCH($C539,'Gross Dx Plant'!$D$7:$D$91,0),MATCH(Calculation!$G539,'Gross Dx Plant'!$E$5:$AD$5,0))</f>
        <v>262525</v>
      </c>
      <c r="BX539" s="113">
        <f>INDEX('Gross Gen Plant'!$E$7:$AD$91,MATCH($C539,'Gross Gen Plant'!$D$7:$D$91,0),MATCH(Calculation!$G539,'Gross Gen Plant'!$E$5:$AD$5,0))</f>
        <v>4005</v>
      </c>
      <c r="BY539" s="113">
        <f t="shared" si="959"/>
        <v>112875</v>
      </c>
      <c r="BZ539" s="113"/>
      <c r="CA539" s="116">
        <v>2009</v>
      </c>
      <c r="CB539" s="113"/>
      <c r="CC539" s="113"/>
      <c r="CD539" s="113"/>
      <c r="CE539" s="175"/>
      <c r="CF539" s="113">
        <f t="shared" si="979"/>
        <v>15914</v>
      </c>
      <c r="CG539" s="113">
        <f t="shared" si="980"/>
        <v>28.885144672793054</v>
      </c>
      <c r="CH539" s="178">
        <v>0.93567251461988299</v>
      </c>
      <c r="CI539" s="61">
        <f>+CI528*CH539+CG529*CH538+CG530*CH537+CG531*CH536+CG532*CH535+CG533*CH534+CG534*CH533+CG535*CH532+CG536*CH531+CG537*CH530+CG538*CH529+CG539</f>
        <v>600.63942557531368</v>
      </c>
      <c r="CJ539" s="114">
        <f t="shared" si="981"/>
        <v>4.2476307254125968E-2</v>
      </c>
      <c r="CK539" s="114"/>
      <c r="CL539" s="169">
        <f t="shared" si="982"/>
        <v>6.7860396797813707E-3</v>
      </c>
      <c r="CM539" s="169">
        <f t="shared" si="990"/>
        <v>6.5757755141575619E-3</v>
      </c>
      <c r="CN539" s="114">
        <f>VLOOKUP($H539,RoR!$E:$F,2,FALSE)</f>
        <v>5.3133333333333324E-2</v>
      </c>
      <c r="CO539" s="169">
        <v>7.7972502758210105E-3</v>
      </c>
      <c r="CP539" s="169">
        <f t="shared" si="988"/>
        <v>4.5336083057512314E-2</v>
      </c>
      <c r="CQ539" s="169">
        <f t="shared" si="991"/>
        <v>2.4326166094376062E-2</v>
      </c>
      <c r="CR539" s="169">
        <f t="shared" si="992"/>
        <v>6.3720160300892073E-2</v>
      </c>
      <c r="CS539" s="179">
        <f t="shared" si="983"/>
        <v>0.85150049999999999</v>
      </c>
      <c r="CT539" s="180">
        <f t="shared" si="984"/>
        <v>0.96515780330083989</v>
      </c>
      <c r="CU539" s="180">
        <f t="shared" si="985"/>
        <v>0.50448557089084056</v>
      </c>
      <c r="CV539" s="180">
        <f t="shared" si="986"/>
        <v>0.87391435735465484</v>
      </c>
      <c r="CW539" s="180">
        <f t="shared" si="987"/>
        <v>0.42551605393279146</v>
      </c>
      <c r="CX539" s="181">
        <f>INDEX('State Tax Lookup'!$D$7:$Z$91,MATCH(Calculation!$C539,'State Tax Lookup'!$B$7:$B$91,0),MATCH($H539,'State Tax Lookup'!$D$6:$Z$6,0))</f>
        <v>0.40134999999999998</v>
      </c>
      <c r="CY539" s="72">
        <v>0.37</v>
      </c>
      <c r="CZ539" s="70">
        <f t="shared" si="989"/>
        <v>18.972329050317551</v>
      </c>
      <c r="DA539" s="70">
        <v>17.478615056163342</v>
      </c>
      <c r="DB539" s="69">
        <f t="shared" si="994"/>
        <v>-4.210973894518253E-2</v>
      </c>
      <c r="DC539" s="111">
        <f>VLOOKUP($H539,RoR!$E:$F,2,FALSE)</f>
        <v>5.3133333333333324E-2</v>
      </c>
      <c r="DD539" s="216">
        <f>HLOOKUP($H539,'GDP-PI'!$D$8:$CQ$11,3,FALSE)</f>
        <v>7.7972502758210105E-3</v>
      </c>
      <c r="DE539" s="111">
        <f>VLOOKUP(H539,'HW Dx Data'!$E:$F,2,FALSE)</f>
        <v>550.94063679692806</v>
      </c>
      <c r="DF539" s="72">
        <f t="shared" si="1004"/>
        <v>110.925</v>
      </c>
      <c r="DG539" s="69">
        <f t="shared" si="1005"/>
        <v>2.7649425000884052E-2</v>
      </c>
      <c r="DH539" s="66">
        <f>HLOOKUP(H539,'GDP-PI'!$8:$9,2,FALSE)</f>
        <v>94.998999999999995</v>
      </c>
      <c r="DI539" s="69">
        <f t="shared" si="995"/>
        <v>7.7670088183096342E-3</v>
      </c>
      <c r="EB539"/>
    </row>
    <row r="540" spans="1:132" s="160" customFormat="1" ht="21">
      <c r="A540" s="160" t="s">
        <v>191</v>
      </c>
      <c r="B540" s="161" t="s">
        <v>191</v>
      </c>
      <c r="C540" s="161">
        <v>4008754</v>
      </c>
      <c r="D540" s="161" t="s">
        <v>192</v>
      </c>
      <c r="E540" s="161"/>
      <c r="F540" s="161"/>
      <c r="G540" s="161" t="s">
        <v>126</v>
      </c>
      <c r="H540" s="162">
        <v>2010</v>
      </c>
      <c r="I540" s="163"/>
      <c r="J540" s="159">
        <f>IFERROR(INDEX('Labor Expenditures'!$F$7:$X$91,MATCH($C540,'Labor Expenditures'!$D$7:$D$91,0),MATCH($G540,'Labor Expenditures'!$F$5:$X$5,0)),"NA")</f>
        <v>13584.779786399962</v>
      </c>
      <c r="K540" s="159">
        <f t="shared" si="996"/>
        <v>116.18370567799839</v>
      </c>
      <c r="L540" s="165">
        <f t="shared" si="1002"/>
        <v>6.5311777246772187E-2</v>
      </c>
      <c r="M540" s="76">
        <f t="shared" si="1006"/>
        <v>3.0205446688710168E-4</v>
      </c>
      <c r="N540" s="62">
        <f t="shared" si="1012"/>
        <v>97.441749822938064</v>
      </c>
      <c r="O540" s="96">
        <f t="shared" si="1007"/>
        <v>-0.19179147052825035</v>
      </c>
      <c r="P540" s="96"/>
      <c r="Q540" s="159">
        <f>IFERROR(INDEX('Non-Labor Expenditures'!$F$7:$AB$91,MATCH($C540,'Non-Labor Expenditures'!$D$7:$D$91,0),MATCH($G540,'Non-Labor Expenditures'!$F$5:$AB$5,0)),"NA")</f>
        <v>19673.298417579175</v>
      </c>
      <c r="R540" s="159">
        <f t="shared" si="997"/>
        <v>204.69777458488983</v>
      </c>
      <c r="S540" s="165">
        <f t="shared" si="1008"/>
        <v>0.10637358478659857</v>
      </c>
      <c r="T540" s="165">
        <f t="shared" si="1009"/>
        <v>4.9195746614250774E-4</v>
      </c>
      <c r="U540" s="165"/>
      <c r="V540" s="165"/>
      <c r="W540" s="159">
        <f t="shared" si="977"/>
        <v>11686.1401390355</v>
      </c>
      <c r="X540" s="163"/>
      <c r="Y540" s="167">
        <v>614.94050365754936</v>
      </c>
      <c r="Z540" s="168">
        <v>2.3530724063141082E-2</v>
      </c>
      <c r="AA540" s="76">
        <f t="shared" si="998"/>
        <v>1.0882509421699807E-4</v>
      </c>
      <c r="AB540" s="168"/>
      <c r="AC540" s="168"/>
      <c r="AD540" s="163">
        <f t="shared" si="928"/>
        <v>44944.21834301464</v>
      </c>
      <c r="AE540" s="168">
        <f t="shared" si="1010"/>
        <v>0.10465763483869094</v>
      </c>
      <c r="AF540" s="163"/>
      <c r="AG540" s="163"/>
      <c r="AH540" s="163"/>
      <c r="AI540" s="163"/>
      <c r="AJ540" s="116">
        <f t="shared" si="1011"/>
        <v>313.95493236711707</v>
      </c>
      <c r="AK540" s="114">
        <f>+AV540/$AX$15</f>
        <v>4.0472697814392328E-3</v>
      </c>
      <c r="AL540" s="115">
        <f t="shared" si="999"/>
        <v>0.30225867280015445</v>
      </c>
      <c r="AM540" s="115">
        <f t="shared" si="1000"/>
        <v>0.43772701234744815</v>
      </c>
      <c r="AN540" s="115">
        <f t="shared" si="1001"/>
        <v>0.26001431485239734</v>
      </c>
      <c r="AO540" s="115">
        <f t="shared" si="1003"/>
        <v>7.2098208285616153E-2</v>
      </c>
      <c r="AP540" s="166">
        <f t="shared" si="1014"/>
        <v>115.22290018613995</v>
      </c>
      <c r="AQ540" s="168">
        <f t="shared" si="1015"/>
        <v>7.2098208285616153E-2</v>
      </c>
      <c r="AR540" s="69">
        <f>+AD540/$AF$15</f>
        <v>4.6248085662380237E-3</v>
      </c>
      <c r="AS540" s="169">
        <f t="shared" si="1013"/>
        <v>3.3344041128973085E-4</v>
      </c>
      <c r="AT540" s="115"/>
      <c r="AU540" s="115"/>
      <c r="AV540" s="113">
        <f>IFERROR(INDEX('Total Customers'!$F$7:$AB$91,MATCH($C540,'Total Customers'!$D$7:$D$91,0),MATCH($G540,'Total Customers'!$F$5:$AB$5,0)),"NA")</f>
        <v>143155</v>
      </c>
      <c r="AW540" s="68">
        <f t="shared" si="972"/>
        <v>5.4073495021256628E-3</v>
      </c>
      <c r="AX540" s="114"/>
      <c r="AY540" s="114"/>
      <c r="AZ540" s="116"/>
      <c r="BA540" s="116"/>
      <c r="BB540" s="166"/>
      <c r="BC540" s="166"/>
      <c r="BD540" s="166"/>
      <c r="BE540" s="166"/>
      <c r="BF540" s="166"/>
      <c r="BG540" s="166"/>
      <c r="BH540" s="166"/>
      <c r="BI540" s="113"/>
      <c r="BJ540" s="113"/>
      <c r="BK540" s="113">
        <f>INDEX('Dist. Plant Gas Additions'!$F$7:$AE$91,MATCH($C540,'Dist. Plant Gas Additions'!$D$7:$D$91,0),MATCH(Calculation!$G540,'Dist. Plant Gas Additions'!$F$5:$AE$5,0))</f>
        <v>10446</v>
      </c>
      <c r="BL540" s="113">
        <f>INDEX('Gen. Plant Additions'!$F$7:$AE$91,MATCH($C540,'Gen. Plant Additions'!$D$7:$D$91,0),MATCH(Calculation!$G540,'Gen. Plant Additions'!$F$5:$AE$5,0))</f>
        <v>73</v>
      </c>
      <c r="BM540" s="231">
        <f t="shared" si="978"/>
        <v>0.98532807598466365</v>
      </c>
      <c r="BN540" s="61">
        <f t="shared" si="993"/>
        <v>71.928949546880446</v>
      </c>
      <c r="BO540" s="113">
        <f>INDEX('Dist Plant Depreciation'!$E$7:$AD$94,MATCH($C540,'Dist Plant Depreciation'!$D$7:$D$94,0),MATCH(Calculation!$G540,'Dist Plant Depreciation'!$E$5:$AD$5,0))</f>
        <v>153616</v>
      </c>
      <c r="BP540" s="113">
        <f>INDEX('Gen. Plant Depreciation'!$E$7:$AD$94,MATCH($C540,'Gen. Plant Depreciation'!$D$7:$D$94,0),MATCH(Calculation!$G540,'Gen. Plant Depreciation'!$E$5:$AD$5,0))</f>
        <v>1762</v>
      </c>
      <c r="BQ540" s="113"/>
      <c r="BR540" s="113"/>
      <c r="BS540" s="113"/>
      <c r="BT540" s="113"/>
      <c r="BU540" s="113"/>
      <c r="BV540" s="113"/>
      <c r="BW540" s="113">
        <f>INDEX('Gross Dx Plant'!$E$7:$AD$91,MATCH($C540,'Gross Dx Plant'!$D$7:$D$91,0),MATCH(Calculation!$G540,'Gross Dx Plant'!$E$5:$AD$5,0))</f>
        <v>271383</v>
      </c>
      <c r="BX540" s="113">
        <f>INDEX('Gross Gen Plant'!$E$7:$AD$91,MATCH($C540,'Gross Gen Plant'!$D$7:$D$91,0),MATCH(Calculation!$G540,'Gross Gen Plant'!$E$5:$AD$5,0))</f>
        <v>4041</v>
      </c>
      <c r="BY540" s="113">
        <f t="shared" si="959"/>
        <v>120046</v>
      </c>
      <c r="BZ540" s="113"/>
      <c r="CA540" s="116">
        <v>2010</v>
      </c>
      <c r="CB540" s="113"/>
      <c r="CC540" s="113"/>
      <c r="CD540" s="113"/>
      <c r="CE540" s="175"/>
      <c r="CF540" s="113">
        <f t="shared" si="979"/>
        <v>10519</v>
      </c>
      <c r="CG540" s="113">
        <f t="shared" si="980"/>
        <v>18.487160046686263</v>
      </c>
      <c r="CH540" s="178">
        <v>0.9285714285714286</v>
      </c>
      <c r="CI540" s="61">
        <f>+CI528*CH540+CG529*CH539+CG530*CH538+CG531*CH537+CG532*CH536+CG533*CH535+CG534*CH534+CG535*CH533+CG536*CH532+CG537*CH531+CG538*CH530+CG539*CH529+CG540</f>
        <v>614.94050365754936</v>
      </c>
      <c r="CJ540" s="114">
        <f t="shared" si="981"/>
        <v>2.3530724063141082E-2</v>
      </c>
      <c r="CK540" s="114"/>
      <c r="CL540" s="169">
        <f t="shared" si="982"/>
        <v>6.9693759453785592E-3</v>
      </c>
      <c r="CM540" s="169">
        <f t="shared" si="990"/>
        <v>6.7773250652950522E-3</v>
      </c>
      <c r="CN540" s="114">
        <f>VLOOKUP($H540,RoR!$E:$F,2,FALSE)</f>
        <v>4.9433333333333322E-2</v>
      </c>
      <c r="CO540" s="169">
        <v>1.1684333519300205E-2</v>
      </c>
      <c r="CP540" s="169">
        <f t="shared" si="988"/>
        <v>3.7748999814033117E-2</v>
      </c>
      <c r="CQ540" s="169">
        <f t="shared" si="991"/>
        <v>2.4124616543238574E-2</v>
      </c>
      <c r="CR540" s="169">
        <f t="shared" si="992"/>
        <v>4.7937530248493419E-2</v>
      </c>
      <c r="CS540" s="179">
        <f t="shared" si="983"/>
        <v>0.85150049999999999</v>
      </c>
      <c r="CT540" s="180">
        <f t="shared" si="984"/>
        <v>1.037398205301105</v>
      </c>
      <c r="CU540" s="180">
        <f t="shared" si="985"/>
        <v>0.46926837491571133</v>
      </c>
      <c r="CV540" s="180">
        <f t="shared" si="986"/>
        <v>0.8548537519972772</v>
      </c>
      <c r="CW540" s="180">
        <f t="shared" si="987"/>
        <v>0.41615833911547367</v>
      </c>
      <c r="CX540" s="181">
        <f>INDEX('State Tax Lookup'!$D$7:$Z$91,MATCH(Calculation!$C540,'State Tax Lookup'!$B$7:$B$91,0),MATCH($H540,'State Tax Lookup'!$D$6:$Z$6,0))</f>
        <v>0.40134999999999998</v>
      </c>
      <c r="CY540" s="72">
        <v>0.37</v>
      </c>
      <c r="CZ540" s="70">
        <f t="shared" si="989"/>
        <v>19.456165615239296</v>
      </c>
      <c r="DA540" s="70">
        <v>17.956102603965455</v>
      </c>
      <c r="DB540" s="69">
        <f t="shared" si="994"/>
        <v>2.5182466181683898E-2</v>
      </c>
      <c r="DC540" s="111">
        <f>VLOOKUP($H540,RoR!$E:$F,2,FALSE)</f>
        <v>4.9433333333333322E-2</v>
      </c>
      <c r="DD540" s="216">
        <f>HLOOKUP($H540,'GDP-PI'!$D$8:$CQ$11,3,FALSE)</f>
        <v>1.1684333519300205E-2</v>
      </c>
      <c r="DE540" s="111">
        <f>VLOOKUP(H540,'HW Dx Data'!$E:$F,2,FALSE)</f>
        <v>568.98950262971744</v>
      </c>
      <c r="DF540" s="72">
        <f t="shared" si="1004"/>
        <v>116.925</v>
      </c>
      <c r="DG540" s="69">
        <f t="shared" si="1005"/>
        <v>5.2678406346976722E-2</v>
      </c>
      <c r="DH540" s="66">
        <f>HLOOKUP(H540,'GDP-PI'!$8:$9,2,FALSE)</f>
        <v>96.108999999999995</v>
      </c>
      <c r="DI540" s="69">
        <f t="shared" si="995"/>
        <v>1.1616598807150427E-2</v>
      </c>
      <c r="EB540"/>
    </row>
    <row r="541" spans="1:132" s="160" customFormat="1" ht="21">
      <c r="A541" s="160" t="s">
        <v>191</v>
      </c>
      <c r="B541" s="161" t="s">
        <v>191</v>
      </c>
      <c r="C541" s="161">
        <v>4008754</v>
      </c>
      <c r="D541" s="161" t="s">
        <v>192</v>
      </c>
      <c r="E541" s="161"/>
      <c r="F541" s="161"/>
      <c r="G541" s="161" t="s">
        <v>127</v>
      </c>
      <c r="H541" s="162">
        <v>2011</v>
      </c>
      <c r="I541" s="163"/>
      <c r="J541" s="159">
        <f>IFERROR(INDEX('Labor Expenditures'!$F$7:$X$91,MATCH($C541,'Labor Expenditures'!$D$7:$D$91,0),MATCH($G541,'Labor Expenditures'!$F$5:$X$5,0)),"NA")</f>
        <v>13984.036121772966</v>
      </c>
      <c r="K541" s="159">
        <f t="shared" si="996"/>
        <v>115.69006098674636</v>
      </c>
      <c r="L541" s="165">
        <f t="shared" si="1002"/>
        <v>-4.2578808646505251E-3</v>
      </c>
      <c r="M541" s="76">
        <f t="shared" si="1006"/>
        <v>-1.9611801854933234E-5</v>
      </c>
      <c r="N541" s="62">
        <f t="shared" si="1012"/>
        <v>117.04704943528839</v>
      </c>
      <c r="O541" s="96">
        <f t="shared" si="1007"/>
        <v>0.18332122413660321</v>
      </c>
      <c r="P541" s="96"/>
      <c r="Q541" s="159">
        <f>IFERROR(INDEX('Non-Labor Expenditures'!$F$7:$AB$91,MATCH($C541,'Non-Labor Expenditures'!$D$7:$D$91,0),MATCH($G541,'Non-Labor Expenditures'!$F$5:$AB$5,0)),"NA")</f>
        <v>20251.496161996474</v>
      </c>
      <c r="R541" s="159">
        <f t="shared" si="997"/>
        <v>206.41202056829414</v>
      </c>
      <c r="S541" s="165">
        <f t="shared" si="1008"/>
        <v>8.3396500840086721E-3</v>
      </c>
      <c r="T541" s="165">
        <f t="shared" si="1009"/>
        <v>3.841243336442659E-5</v>
      </c>
      <c r="U541" s="165"/>
      <c r="V541" s="165"/>
      <c r="W541" s="159">
        <f t="shared" si="977"/>
        <v>12773.386172006847</v>
      </c>
      <c r="X541" s="163"/>
      <c r="Y541" s="167">
        <v>636.46279989720574</v>
      </c>
      <c r="Z541" s="168">
        <v>3.440045040252715E-2</v>
      </c>
      <c r="AA541" s="76">
        <f t="shared" si="998"/>
        <v>1.584484954982869E-4</v>
      </c>
      <c r="AB541" s="168"/>
      <c r="AC541" s="168"/>
      <c r="AD541" s="163">
        <f t="shared" si="928"/>
        <v>47008.918455776286</v>
      </c>
      <c r="AE541" s="168">
        <f t="shared" si="1010"/>
        <v>4.4915209624462007E-2</v>
      </c>
      <c r="AF541" s="163"/>
      <c r="AG541" s="163"/>
      <c r="AH541" s="163"/>
      <c r="AI541" s="163"/>
      <c r="AJ541" s="116">
        <f t="shared" si="1011"/>
        <v>326.33524554342762</v>
      </c>
      <c r="AK541" s="114">
        <f>+AV541/$AX$16</f>
        <v>4.0529511793133853E-3</v>
      </c>
      <c r="AL541" s="115">
        <f t="shared" si="999"/>
        <v>0.29747623602377643</v>
      </c>
      <c r="AM541" s="115">
        <f t="shared" si="1000"/>
        <v>0.43080115065927543</v>
      </c>
      <c r="AN541" s="115">
        <f t="shared" si="1001"/>
        <v>0.27172261331694814</v>
      </c>
      <c r="AO541" s="115">
        <f t="shared" si="1003"/>
        <v>1.1490805500060144E-2</v>
      </c>
      <c r="AP541" s="166">
        <f t="shared" si="1014"/>
        <v>116.55454027768231</v>
      </c>
      <c r="AQ541" s="168">
        <f t="shared" si="1015"/>
        <v>1.1490805500060174E-2</v>
      </c>
      <c r="AR541" s="69">
        <f>+AD541/$AF$16</f>
        <v>4.6060006088364134E-3</v>
      </c>
      <c r="AS541" s="169">
        <f t="shared" si="1013"/>
        <v>5.2926657129297965E-5</v>
      </c>
      <c r="AT541" s="115"/>
      <c r="AU541" s="115"/>
      <c r="AV541" s="113">
        <f>IFERROR(INDEX('Total Customers'!$F$7:$AB$91,MATCH($C541,'Total Customers'!$D$7:$D$91,0),MATCH($G541,'Total Customers'!$F$5:$AB$5,0)),"NA")</f>
        <v>144051</v>
      </c>
      <c r="AW541" s="68">
        <f t="shared" si="972"/>
        <v>6.2394442095293585E-3</v>
      </c>
      <c r="AX541" s="114"/>
      <c r="AY541" s="114"/>
      <c r="AZ541" s="116"/>
      <c r="BA541" s="116"/>
      <c r="BB541" s="166"/>
      <c r="BC541" s="166"/>
      <c r="BD541" s="166"/>
      <c r="BE541" s="166"/>
      <c r="BF541" s="166"/>
      <c r="BG541" s="166"/>
      <c r="BH541" s="166"/>
      <c r="BI541" s="113"/>
      <c r="BJ541" s="113"/>
      <c r="BK541" s="113">
        <f>INDEX('Dist. Plant Gas Additions'!$F$7:$AE$91,MATCH($C541,'Dist. Plant Gas Additions'!$D$7:$D$91,0),MATCH(Calculation!$G541,'Dist. Plant Gas Additions'!$F$5:$AE$5,0))</f>
        <v>15740</v>
      </c>
      <c r="BL541" s="113">
        <f>INDEX('Gen. Plant Additions'!$F$7:$AE$91,MATCH($C541,'Gen. Plant Additions'!$D$7:$D$91,0),MATCH(Calculation!$G541,'Gen. Plant Additions'!$F$5:$AE$5,0))</f>
        <v>130</v>
      </c>
      <c r="BM541" s="231">
        <f t="shared" si="978"/>
        <v>0.98569002314086174</v>
      </c>
      <c r="BN541" s="61">
        <f t="shared" si="993"/>
        <v>128.13970300831204</v>
      </c>
      <c r="BO541" s="113">
        <f>INDEX('Dist Plant Depreciation'!$E$7:$AD$94,MATCH($C541,'Dist Plant Depreciation'!$D$7:$D$94,0),MATCH(Calculation!$G541,'Dist Plant Depreciation'!$E$5:$AD$5,0))</f>
        <v>155247</v>
      </c>
      <c r="BP541" s="113">
        <f>INDEX('Gen. Plant Depreciation'!$E$7:$AD$94,MATCH($C541,'Gen. Plant Depreciation'!$D$7:$D$94,0),MATCH(Calculation!$G541,'Gen. Plant Depreciation'!$E$5:$AD$5,0))</f>
        <v>1975</v>
      </c>
      <c r="BQ541" s="113"/>
      <c r="BR541" s="113"/>
      <c r="BS541" s="113"/>
      <c r="BT541" s="113"/>
      <c r="BU541" s="113"/>
      <c r="BV541" s="113"/>
      <c r="BW541" s="113">
        <f>INDEX('Gross Dx Plant'!$E$7:$AD$91,MATCH($C541,'Gross Dx Plant'!$D$7:$D$91,0),MATCH(Calculation!$G541,'Gross Dx Plant'!$E$5:$AD$5,0))</f>
        <v>284962</v>
      </c>
      <c r="BX541" s="113">
        <f>INDEX('Gross Gen Plant'!$E$7:$AD$91,MATCH($C541,'Gross Gen Plant'!$D$7:$D$91,0),MATCH(Calculation!$G541,'Gross Gen Plant'!$E$5:$AD$5,0))</f>
        <v>4137</v>
      </c>
      <c r="BY541" s="113">
        <f t="shared" si="959"/>
        <v>131877</v>
      </c>
      <c r="BZ541" s="113"/>
      <c r="CA541" s="116">
        <v>2011</v>
      </c>
      <c r="CB541" s="113"/>
      <c r="CC541" s="113"/>
      <c r="CD541" s="113"/>
      <c r="CE541" s="175"/>
      <c r="CF541" s="113">
        <f t="shared" si="979"/>
        <v>15870</v>
      </c>
      <c r="CG541" s="113">
        <f t="shared" si="980"/>
        <v>25.947861477014101</v>
      </c>
      <c r="CH541" s="178">
        <v>0.92121212121212126</v>
      </c>
      <c r="CI541" s="61">
        <f>+CI528*CH541+CG529*CH540+CG530*CH539+CG531*CH538+CG532*CH537+CG533*CH536+CG534*CH535+CG535*CH534+CG536*CH533+CG537*CH532+CG538*CH531+CG539*CH530+CG540*CH529+CG541</f>
        <v>636.46279989720574</v>
      </c>
      <c r="CJ541" s="114">
        <f t="shared" si="981"/>
        <v>3.440045040252715E-2</v>
      </c>
      <c r="CK541" s="114"/>
      <c r="CL541" s="169">
        <f t="shared" si="982"/>
        <v>7.1967372632560297E-3</v>
      </c>
      <c r="CM541" s="169">
        <f t="shared" si="990"/>
        <v>6.9840509628053202E-3</v>
      </c>
      <c r="CN541" s="114">
        <f>VLOOKUP($H541,RoR!$E:$F,2,FALSE)</f>
        <v>4.6391666666666664E-2</v>
      </c>
      <c r="CO541" s="169">
        <v>2.0840920205183799E-2</v>
      </c>
      <c r="CP541" s="169">
        <f t="shared" si="988"/>
        <v>2.5550746461482865E-2</v>
      </c>
      <c r="CQ541" s="169">
        <f t="shared" si="991"/>
        <v>2.3917890645728305E-2</v>
      </c>
      <c r="CR541" s="169">
        <f t="shared" si="992"/>
        <v>2.4810540821321614E-2</v>
      </c>
      <c r="CS541" s="179">
        <f t="shared" si="983"/>
        <v>0.85150049999999999</v>
      </c>
      <c r="CT541" s="180">
        <f t="shared" si="984"/>
        <v>1.1054151524782025</v>
      </c>
      <c r="CU541" s="180">
        <f t="shared" si="985"/>
        <v>0.43611011316687626</v>
      </c>
      <c r="CV541" s="180">
        <f t="shared" si="986"/>
        <v>0.83698442246886229</v>
      </c>
      <c r="CW541" s="180">
        <f t="shared" si="987"/>
        <v>0.40349573304423936</v>
      </c>
      <c r="CX541" s="181">
        <f>INDEX('State Tax Lookup'!$D$7:$Z$91,MATCH(Calculation!$C541,'State Tax Lookup'!$B$7:$B$91,0),MATCH($H541,'State Tax Lookup'!$D$6:$Z$6,0))</f>
        <v>0.40134999999999998</v>
      </c>
      <c r="CY541" s="72">
        <v>0.37</v>
      </c>
      <c r="CZ541" s="70">
        <f t="shared" si="989"/>
        <v>20.771743113412064</v>
      </c>
      <c r="DA541" s="70">
        <v>19.146574949201604</v>
      </c>
      <c r="DB541" s="69">
        <f t="shared" si="994"/>
        <v>6.5429540897081737E-2</v>
      </c>
      <c r="DC541" s="111">
        <f>VLOOKUP($H541,RoR!$E:$F,2,FALSE)</f>
        <v>4.6391666666666664E-2</v>
      </c>
      <c r="DD541" s="216">
        <f>HLOOKUP($H541,'GDP-PI'!$D$8:$CQ$11,3,FALSE)</f>
        <v>2.0840920205183799E-2</v>
      </c>
      <c r="DE541" s="111">
        <f>VLOOKUP(H541,'HW Dx Data'!$E:$F,2,FALSE)</f>
        <v>611.61109612283201</v>
      </c>
      <c r="DF541" s="72">
        <f t="shared" si="1004"/>
        <v>120.875</v>
      </c>
      <c r="DG541" s="69">
        <f t="shared" si="1005"/>
        <v>3.3224250161508609E-2</v>
      </c>
      <c r="DH541" s="66">
        <f>HLOOKUP(H541,'GDP-PI'!$8:$9,2,FALSE)</f>
        <v>98.111999999999995</v>
      </c>
      <c r="DI541" s="69">
        <f t="shared" si="995"/>
        <v>2.0626719212849295E-2</v>
      </c>
      <c r="EB541"/>
    </row>
    <row r="542" spans="1:132" s="160" customFormat="1" ht="21">
      <c r="A542" s="160" t="s">
        <v>191</v>
      </c>
      <c r="B542" s="161" t="s">
        <v>191</v>
      </c>
      <c r="C542" s="161">
        <v>4008754</v>
      </c>
      <c r="D542" s="161" t="s">
        <v>192</v>
      </c>
      <c r="E542" s="161"/>
      <c r="F542" s="161"/>
      <c r="G542" s="161" t="s">
        <v>128</v>
      </c>
      <c r="H542" s="162">
        <v>2012</v>
      </c>
      <c r="I542" s="163"/>
      <c r="J542" s="159">
        <f>IFERROR(INDEX('Labor Expenditures'!$F$7:$X$91,MATCH($C542,'Labor Expenditures'!$D$7:$D$91,0),MATCH($G542,'Labor Expenditures'!$F$5:$X$5,0)),"NA")</f>
        <v>14773.152873564637</v>
      </c>
      <c r="K542" s="159">
        <f t="shared" si="996"/>
        <v>118.37462238433201</v>
      </c>
      <c r="L542" s="165">
        <f t="shared" si="1002"/>
        <v>2.2939634308818298E-2</v>
      </c>
      <c r="M542" s="76">
        <f t="shared" si="1006"/>
        <v>1.0825297199140486E-4</v>
      </c>
      <c r="N542" s="62">
        <f t="shared" si="1012"/>
        <v>115.90880338789749</v>
      </c>
      <c r="O542" s="96">
        <f t="shared" si="1007"/>
        <v>-9.7722816738474265E-3</v>
      </c>
      <c r="P542" s="96"/>
      <c r="Q542" s="159">
        <f>IFERROR(INDEX('Non-Labor Expenditures'!$F$7:$AB$91,MATCH($C542,'Non-Labor Expenditures'!$D$7:$D$91,0),MATCH($G542,'Non-Labor Expenditures'!$F$5:$AB$5,0)),"NA")</f>
        <v>21394.284605269604</v>
      </c>
      <c r="R542" s="159">
        <f t="shared" si="997"/>
        <v>213.94284605269604</v>
      </c>
      <c r="S542" s="165">
        <f t="shared" si="1008"/>
        <v>3.5834633731944836E-2</v>
      </c>
      <c r="T542" s="165">
        <f t="shared" si="1009"/>
        <v>1.6910494515665658E-4</v>
      </c>
      <c r="U542" s="165"/>
      <c r="V542" s="165"/>
      <c r="W542" s="159">
        <f t="shared" si="977"/>
        <v>14298.093254564112</v>
      </c>
      <c r="X542" s="163"/>
      <c r="Y542" s="167">
        <v>652.48332921229553</v>
      </c>
      <c r="Z542" s="168">
        <v>2.4859618261545497E-2</v>
      </c>
      <c r="AA542" s="76">
        <f t="shared" si="998"/>
        <v>1.1731344637650116E-4</v>
      </c>
      <c r="AB542" s="168"/>
      <c r="AC542" s="168"/>
      <c r="AD542" s="163">
        <f t="shared" si="928"/>
        <v>50465.530733398351</v>
      </c>
      <c r="AE542" s="168">
        <f t="shared" si="1010"/>
        <v>7.0953205409486728E-2</v>
      </c>
      <c r="AF542" s="163"/>
      <c r="AG542" s="163"/>
      <c r="AH542" s="163"/>
      <c r="AI542" s="163"/>
      <c r="AJ542" s="116">
        <f t="shared" si="1011"/>
        <v>347.84622782877273</v>
      </c>
      <c r="AK542" s="114">
        <f>+AV542/$AX$17</f>
        <v>4.0623408597988669E-3</v>
      </c>
      <c r="AL542" s="115">
        <f t="shared" si="999"/>
        <v>0.29273749148916983</v>
      </c>
      <c r="AM542" s="115">
        <f t="shared" si="1000"/>
        <v>0.42393856349777287</v>
      </c>
      <c r="AN542" s="115">
        <f t="shared" si="1001"/>
        <v>0.28332394501305735</v>
      </c>
      <c r="AO542" s="115">
        <f t="shared" si="1003"/>
        <v>2.8983408611812575E-2</v>
      </c>
      <c r="AP542" s="166">
        <f t="shared" si="1014"/>
        <v>119.98211967315129</v>
      </c>
      <c r="AQ542" s="168">
        <f t="shared" si="1015"/>
        <v>2.8983408611812648E-2</v>
      </c>
      <c r="AR542" s="69">
        <f>+AD542/$AF$17</f>
        <v>4.7190365170638746E-3</v>
      </c>
      <c r="AS542" s="169">
        <f t="shared" si="1013"/>
        <v>1.3677376362812747E-4</v>
      </c>
      <c r="AT542" s="115"/>
      <c r="AU542" s="115"/>
      <c r="AV542" s="113">
        <f>IFERROR(INDEX('Total Customers'!$F$7:$AB$91,MATCH($C542,'Total Customers'!$D$7:$D$91,0),MATCH($G542,'Total Customers'!$F$5:$AB$5,0)),"NA")</f>
        <v>145080</v>
      </c>
      <c r="AW542" s="68">
        <f t="shared" si="972"/>
        <v>7.1179108742438612E-3</v>
      </c>
      <c r="AX542" s="114"/>
      <c r="AY542" s="114"/>
      <c r="AZ542" s="116"/>
      <c r="BA542" s="116"/>
      <c r="BB542" s="166"/>
      <c r="BC542" s="166"/>
      <c r="BD542" s="166"/>
      <c r="BE542" s="166"/>
      <c r="BF542" s="166"/>
      <c r="BG542" s="166"/>
      <c r="BH542" s="166"/>
      <c r="BI542" s="113"/>
      <c r="BJ542" s="113"/>
      <c r="BK542" s="113">
        <f>INDEX('Dist. Plant Gas Additions'!$F$7:$AE$91,MATCH($C542,'Dist. Plant Gas Additions'!$D$7:$D$91,0),MATCH(Calculation!$G542,'Dist. Plant Gas Additions'!$F$5:$AE$5,0))</f>
        <v>13517</v>
      </c>
      <c r="BL542" s="113">
        <f>INDEX('Gen. Plant Additions'!$F$7:$AE$91,MATCH($C542,'Gen. Plant Additions'!$D$7:$D$91,0),MATCH(Calculation!$G542,'Gen. Plant Additions'!$F$5:$AE$5,0))</f>
        <v>352</v>
      </c>
      <c r="BM542" s="231">
        <f t="shared" si="978"/>
        <v>0.98613602838575931</v>
      </c>
      <c r="BN542" s="61">
        <f t="shared" si="993"/>
        <v>347.11988199178728</v>
      </c>
      <c r="BO542" s="113">
        <f>INDEX('Dist Plant Depreciation'!$E$7:$AD$94,MATCH($C542,'Dist Plant Depreciation'!$D$7:$D$94,0),MATCH(Calculation!$G542,'Dist Plant Depreciation'!$E$5:$AD$5,0))</f>
        <v>157591</v>
      </c>
      <c r="BP542" s="113">
        <f>INDEX('Gen. Plant Depreciation'!$E$7:$AD$94,MATCH($C542,'Gen. Plant Depreciation'!$D$7:$D$94,0),MATCH(Calculation!$G542,'Gen. Plant Depreciation'!$E$5:$AD$5,0))</f>
        <v>2090</v>
      </c>
      <c r="BQ542" s="113"/>
      <c r="BR542" s="113"/>
      <c r="BS542" s="113"/>
      <c r="BT542" s="113"/>
      <c r="BU542" s="113"/>
      <c r="BV542" s="113"/>
      <c r="BW542" s="113">
        <f>INDEX('Gross Dx Plant'!$E$7:$AD$91,MATCH($C542,'Gross Dx Plant'!$D$7:$D$91,0),MATCH(Calculation!$G542,'Gross Dx Plant'!$E$5:$AD$5,0))</f>
        <v>296823</v>
      </c>
      <c r="BX542" s="113">
        <f>INDEX('Gross Gen Plant'!$E$7:$AD$91,MATCH($C542,'Gross Gen Plant'!$D$7:$D$91,0),MATCH(Calculation!$G542,'Gross Gen Plant'!$E$5:$AD$5,0))</f>
        <v>4173</v>
      </c>
      <c r="BY542" s="113">
        <f t="shared" si="959"/>
        <v>141315</v>
      </c>
      <c r="BZ542" s="113"/>
      <c r="CA542" s="116">
        <v>2012</v>
      </c>
      <c r="CB542" s="113"/>
      <c r="CC542" s="113"/>
      <c r="CD542" s="113"/>
      <c r="CE542" s="175"/>
      <c r="CF542" s="113">
        <f t="shared" si="979"/>
        <v>13869</v>
      </c>
      <c r="CG542" s="113">
        <f t="shared" si="980"/>
        <v>20.733442048284807</v>
      </c>
      <c r="CH542" s="178">
        <v>0.9135802469135802</v>
      </c>
      <c r="CI542" s="61">
        <f>+CI528*CH542+CG529*CH541+CG530*CH540+CG531*CH539+CG532*CH538+CG533*CH537+CG534*CH536+CG535*CH535+CG536*CH534+CG537*CH533+CG538*CH532+CG539*CH531+CG540*CH530+CG541*CH529+CG542</f>
        <v>652.48332921229553</v>
      </c>
      <c r="CJ542" s="114">
        <f t="shared" si="981"/>
        <v>2.4859618261545497E-2</v>
      </c>
      <c r="CK542" s="114"/>
      <c r="CL542" s="169">
        <f t="shared" si="982"/>
        <v>7.4048518373048587E-3</v>
      </c>
      <c r="CM542" s="169">
        <f t="shared" si="990"/>
        <v>7.1903216819798159E-3</v>
      </c>
      <c r="CN542" s="114">
        <f>VLOOKUP($H542,RoR!$E:$F,2,FALSE)</f>
        <v>3.6733333333333333E-2</v>
      </c>
      <c r="CO542" s="169">
        <v>1.924331376386168E-2</v>
      </c>
      <c r="CP542" s="169">
        <f t="shared" si="988"/>
        <v>1.7490019569471653E-2</v>
      </c>
      <c r="CQ542" s="169">
        <f t="shared" si="991"/>
        <v>2.3711619926553809E-2</v>
      </c>
      <c r="CR542" s="169">
        <f t="shared" si="992"/>
        <v>6.7122682943869583E-2</v>
      </c>
      <c r="CS542" s="179">
        <f t="shared" si="983"/>
        <v>0.85150049999999999</v>
      </c>
      <c r="CT542" s="180">
        <f t="shared" si="984"/>
        <v>1.3960631020522127</v>
      </c>
      <c r="CU542" s="180">
        <f t="shared" si="985"/>
        <v>0.29441923774954631</v>
      </c>
      <c r="CV542" s="180">
        <f t="shared" si="986"/>
        <v>0.76377954189366437</v>
      </c>
      <c r="CW542" s="180">
        <f t="shared" si="987"/>
        <v>0.31393465103033691</v>
      </c>
      <c r="CX542" s="181">
        <f>INDEX('State Tax Lookup'!$D$7:$Z$91,MATCH(Calculation!$C542,'State Tax Lookup'!$B$7:$B$91,0),MATCH($H542,'State Tax Lookup'!$D$6:$Z$6,0))</f>
        <v>0.40134999999999998</v>
      </c>
      <c r="CY542" s="72">
        <v>0.37</v>
      </c>
      <c r="CZ542" s="70">
        <f t="shared" si="989"/>
        <v>22.464931582605264</v>
      </c>
      <c r="DA542" s="70">
        <v>20.759737328210988</v>
      </c>
      <c r="DB542" s="69">
        <f t="shared" si="994"/>
        <v>7.8361938065888939E-2</v>
      </c>
      <c r="DC542" s="111">
        <f>VLOOKUP($H542,RoR!$E:$F,2,FALSE)</f>
        <v>3.6733333333333333E-2</v>
      </c>
      <c r="DD542" s="216">
        <f>HLOOKUP($H542,'GDP-PI'!$D$8:$CQ$11,3,FALSE)</f>
        <v>1.924331376386168E-2</v>
      </c>
      <c r="DE542" s="111">
        <f>VLOOKUP(H542,'HW Dx Data'!$E:$F,2,FALSE)</f>
        <v>668.91932211262167</v>
      </c>
      <c r="DF542" s="72">
        <f t="shared" si="1004"/>
        <v>124.80000000000001</v>
      </c>
      <c r="DG542" s="69">
        <f t="shared" si="1005"/>
        <v>3.1955502161869064E-2</v>
      </c>
      <c r="DH542" s="66">
        <f>HLOOKUP(H542,'GDP-PI'!$8:$9,2,FALSE)</f>
        <v>100</v>
      </c>
      <c r="DI542" s="69">
        <f t="shared" si="995"/>
        <v>1.9060502738742411E-2</v>
      </c>
      <c r="EB542"/>
    </row>
    <row r="543" spans="1:132" s="160" customFormat="1" ht="21">
      <c r="A543" s="160" t="s">
        <v>191</v>
      </c>
      <c r="B543" s="161" t="s">
        <v>191</v>
      </c>
      <c r="C543" s="161">
        <v>4008754</v>
      </c>
      <c r="D543" s="161" t="s">
        <v>192</v>
      </c>
      <c r="E543" s="161"/>
      <c r="F543" s="161"/>
      <c r="G543" s="161" t="s">
        <v>129</v>
      </c>
      <c r="H543" s="162">
        <v>2013</v>
      </c>
      <c r="I543" s="163"/>
      <c r="J543" s="159">
        <f>IFERROR(INDEX('Labor Expenditures'!$F$7:$X$91,MATCH($C543,'Labor Expenditures'!$D$7:$D$91,0),MATCH($G543,'Labor Expenditures'!$F$5:$X$5,0)),"NA")</f>
        <v>14221.391040906536</v>
      </c>
      <c r="K543" s="159">
        <f t="shared" si="996"/>
        <v>112.15608076424714</v>
      </c>
      <c r="L543" s="165">
        <f t="shared" si="1002"/>
        <v>-5.396288208774648E-2</v>
      </c>
      <c r="M543" s="76">
        <f t="shared" si="1006"/>
        <v>-2.3949445832209768E-4</v>
      </c>
      <c r="N543" s="62">
        <f t="shared" si="1012"/>
        <v>108.30033965494206</v>
      </c>
      <c r="O543" s="96">
        <f t="shared" si="1007"/>
        <v>-6.78954139726647E-2</v>
      </c>
      <c r="P543" s="96"/>
      <c r="Q543" s="159">
        <f>IFERROR(INDEX('Non-Labor Expenditures'!$F$7:$AB$91,MATCH($C543,'Non-Labor Expenditures'!$D$7:$D$91,0),MATCH($G543,'Non-Labor Expenditures'!$F$5:$AB$5,0)),"NA")</f>
        <v>20595.23041668567</v>
      </c>
      <c r="R543" s="159">
        <f t="shared" si="997"/>
        <v>202.36438364483379</v>
      </c>
      <c r="S543" s="165">
        <f t="shared" si="1008"/>
        <v>-5.5638953036459063E-2</v>
      </c>
      <c r="T543" s="165">
        <f t="shared" si="1009"/>
        <v>-2.4693308443770457E-4</v>
      </c>
      <c r="U543" s="165"/>
      <c r="V543" s="165"/>
      <c r="W543" s="159">
        <f t="shared" si="977"/>
        <v>14407.750117089032</v>
      </c>
      <c r="X543" s="163"/>
      <c r="Y543" s="167">
        <v>674.40338950393198</v>
      </c>
      <c r="Z543" s="168">
        <v>3.3042842859303249E-2</v>
      </c>
      <c r="AA543" s="76">
        <f t="shared" si="998"/>
        <v>1.466485377697791E-4</v>
      </c>
      <c r="AB543" s="168"/>
      <c r="AC543" s="168"/>
      <c r="AD543" s="163">
        <f t="shared" si="928"/>
        <v>49224.371574681238</v>
      </c>
      <c r="AE543" s="168">
        <f t="shared" si="1010"/>
        <v>-2.4901685438329147E-2</v>
      </c>
      <c r="AF543" s="163"/>
      <c r="AG543" s="163"/>
      <c r="AH543" s="163"/>
      <c r="AI543" s="163"/>
      <c r="AJ543" s="116">
        <f t="shared" si="1011"/>
        <v>336.17234353653885</v>
      </c>
      <c r="AK543" s="114">
        <f>+AV543/$AX$18</f>
        <v>4.0738989794580627E-3</v>
      </c>
      <c r="AL543" s="115">
        <f t="shared" si="999"/>
        <v>0.28890955000472507</v>
      </c>
      <c r="AM543" s="115">
        <f t="shared" si="1000"/>
        <v>0.41839498926744884</v>
      </c>
      <c r="AN543" s="115">
        <f t="shared" si="1001"/>
        <v>0.2926954607278261</v>
      </c>
      <c r="AO543" s="115">
        <f t="shared" si="1003"/>
        <v>-2.9610294496177136E-2</v>
      </c>
      <c r="AP543" s="166">
        <f t="shared" si="1014"/>
        <v>116.48149677898486</v>
      </c>
      <c r="AQ543" s="168">
        <f t="shared" si="1015"/>
        <v>-2.961029449617715E-2</v>
      </c>
      <c r="AR543" s="69">
        <f>+AD543/$AF$18</f>
        <v>4.4381331955670403E-3</v>
      </c>
      <c r="AS543" s="169">
        <f t="shared" si="1013"/>
        <v>-1.3141443093399985E-4</v>
      </c>
      <c r="AT543" s="115"/>
      <c r="AU543" s="115"/>
      <c r="AV543" s="113">
        <f>IFERROR(INDEX('Total Customers'!$F$7:$AB$91,MATCH($C543,'Total Customers'!$D$7:$D$91,0),MATCH($G543,'Total Customers'!$F$5:$AB$5,0)),"NA")</f>
        <v>146426</v>
      </c>
      <c r="AW543" s="68">
        <f t="shared" si="972"/>
        <v>9.2348669726880998E-3</v>
      </c>
      <c r="AX543" s="114"/>
      <c r="AY543" s="114"/>
      <c r="AZ543" s="116"/>
      <c r="BA543" s="116"/>
      <c r="BB543" s="166"/>
      <c r="BC543" s="166"/>
      <c r="BD543" s="166"/>
      <c r="BE543" s="166"/>
      <c r="BF543" s="166"/>
      <c r="BG543" s="166"/>
      <c r="BH543" s="166"/>
      <c r="BI543" s="113"/>
      <c r="BJ543" s="113"/>
      <c r="BK543" s="113">
        <f>INDEX('Dist. Plant Gas Additions'!$F$7:$AE$91,MATCH($C543,'Dist. Plant Gas Additions'!$D$7:$D$91,0),MATCH(Calculation!$G543,'Dist. Plant Gas Additions'!$F$5:$AE$5,0))</f>
        <v>17556</v>
      </c>
      <c r="BL543" s="113">
        <f>INDEX('Gen. Plant Additions'!$F$7:$AE$91,MATCH($C543,'Gen. Plant Additions'!$D$7:$D$91,0),MATCH(Calculation!$G543,'Gen. Plant Additions'!$F$5:$AE$5,0))</f>
        <v>290</v>
      </c>
      <c r="BM543" s="231">
        <f t="shared" si="978"/>
        <v>0.98604902599250133</v>
      </c>
      <c r="BN543" s="61">
        <f t="shared" si="993"/>
        <v>285.9542175378254</v>
      </c>
      <c r="BO543" s="113">
        <f>INDEX('Dist Plant Depreciation'!$E$7:$AD$94,MATCH($C543,'Dist Plant Depreciation'!$D$7:$D$94,0),MATCH(Calculation!$G543,'Dist Plant Depreciation'!$E$5:$AD$5,0))</f>
        <v>159181</v>
      </c>
      <c r="BP543" s="113">
        <f>INDEX('Gen. Plant Depreciation'!$E$7:$AD$94,MATCH($C543,'Gen. Plant Depreciation'!$D$7:$D$94,0),MATCH(Calculation!$G543,'Gen. Plant Depreciation'!$E$5:$AD$5,0))</f>
        <v>2324</v>
      </c>
      <c r="BQ543" s="113"/>
      <c r="BR543" s="113"/>
      <c r="BS543" s="113"/>
      <c r="BT543" s="113"/>
      <c r="BU543" s="113"/>
      <c r="BV543" s="113"/>
      <c r="BW543" s="113">
        <f>INDEX('Gross Dx Plant'!$E$7:$AD$91,MATCH($C543,'Gross Dx Plant'!$D$7:$D$91,0),MATCH(Calculation!$G543,'Gross Dx Plant'!$E$5:$AD$5,0))</f>
        <v>311909</v>
      </c>
      <c r="BX543" s="113">
        <f>INDEX('Gross Gen Plant'!$E$7:$AD$91,MATCH($C543,'Gross Gen Plant'!$D$7:$D$91,0),MATCH(Calculation!$G543,'Gross Gen Plant'!$E$5:$AD$5,0))</f>
        <v>4413</v>
      </c>
      <c r="BY543" s="113">
        <f t="shared" si="959"/>
        <v>154817</v>
      </c>
      <c r="BZ543" s="113"/>
      <c r="CA543" s="116">
        <v>2013</v>
      </c>
      <c r="CB543" s="113"/>
      <c r="CC543" s="113"/>
      <c r="CD543" s="113"/>
      <c r="CE543" s="175"/>
      <c r="CF543" s="113">
        <f t="shared" si="979"/>
        <v>17846</v>
      </c>
      <c r="CG543" s="113">
        <f t="shared" si="980"/>
        <v>26.906962538211676</v>
      </c>
      <c r="CH543" s="178">
        <v>0.90566037735849059</v>
      </c>
      <c r="CI543" s="61">
        <f>+CI528*CH543+CG529*CH542+CG530*CH541+CG531*CH540+CG532*CH539+CG533*CH538+CG534*CH537+CG535*CH536+CG536*CH535+CG537*CH534+CG538*CH533+CG539*CH532+CG540*CH531+CG541*CH530+CG542*CH529+CG543</f>
        <v>674.40338950393198</v>
      </c>
      <c r="CJ543" s="114">
        <f t="shared" si="981"/>
        <v>3.3042842859303249E-2</v>
      </c>
      <c r="CK543" s="114"/>
      <c r="CL543" s="169">
        <f t="shared" si="982"/>
        <v>7.6429573343975267E-3</v>
      </c>
      <c r="CM543" s="169">
        <f t="shared" si="990"/>
        <v>7.4148488116528048E-3</v>
      </c>
      <c r="CN543" s="114">
        <f>VLOOKUP($H543,RoR!$E:$F,2,FALSE)</f>
        <v>4.2350000000000006E-2</v>
      </c>
      <c r="CO543" s="169">
        <v>1.7730000000000024E-2</v>
      </c>
      <c r="CP543" s="169">
        <f t="shared" si="988"/>
        <v>2.4619999999999982E-2</v>
      </c>
      <c r="CQ543" s="169">
        <f t="shared" si="991"/>
        <v>2.3487092796880819E-2</v>
      </c>
      <c r="CR543" s="169">
        <f t="shared" si="992"/>
        <v>5.3376742735721204E-2</v>
      </c>
      <c r="CS543" s="179">
        <f t="shared" si="983"/>
        <v>0.85150049999999999</v>
      </c>
      <c r="CT543" s="180">
        <f t="shared" si="984"/>
        <v>1.2109103018193925</v>
      </c>
      <c r="CU543" s="180">
        <f t="shared" si="985"/>
        <v>0.38468122786304604</v>
      </c>
      <c r="CV543" s="180">
        <f t="shared" si="986"/>
        <v>0.80969194503422559</v>
      </c>
      <c r="CW543" s="180">
        <f t="shared" si="987"/>
        <v>0.37716621754800816</v>
      </c>
      <c r="CX543" s="181">
        <f>INDEX('State Tax Lookup'!$D$7:$Z$91,MATCH(Calculation!$C543,'State Tax Lookup'!$B$7:$B$91,0),MATCH($H543,'State Tax Lookup'!$D$6:$Z$6,0))</f>
        <v>0.40134999999999998</v>
      </c>
      <c r="CY543" s="72">
        <v>0.37</v>
      </c>
      <c r="CZ543" s="70">
        <f t="shared" si="989"/>
        <v>22.081407251404652</v>
      </c>
      <c r="DA543" s="70">
        <v>20.339519021246105</v>
      </c>
      <c r="DB543" s="69">
        <f t="shared" si="994"/>
        <v>-1.7219543416802253E-2</v>
      </c>
      <c r="DC543" s="111">
        <f>VLOOKUP($H543,RoR!$E:$F,2,FALSE)</f>
        <v>4.2350000000000006E-2</v>
      </c>
      <c r="DD543" s="216">
        <f>HLOOKUP($H543,'GDP-PI'!$D$8:$CQ$11,3,FALSE)</f>
        <v>1.7730000000000024E-2</v>
      </c>
      <c r="DE543" s="111">
        <f>VLOOKUP(H543,'HW Dx Data'!$E:$F,2,FALSE)</f>
        <v>663.24840548821396</v>
      </c>
      <c r="DF543" s="72">
        <f t="shared" si="1004"/>
        <v>126.8</v>
      </c>
      <c r="DG543" s="69">
        <f t="shared" si="1005"/>
        <v>1.5898586067798204E-2</v>
      </c>
      <c r="DH543" s="66">
        <f>HLOOKUP(H543,'GDP-PI'!$8:$9,2,FALSE)</f>
        <v>101.773</v>
      </c>
      <c r="DI543" s="69">
        <f t="shared" si="995"/>
        <v>1.7574657016510519E-2</v>
      </c>
      <c r="EB543"/>
    </row>
    <row r="544" spans="1:132" s="160" customFormat="1" ht="21">
      <c r="A544" s="160" t="s">
        <v>191</v>
      </c>
      <c r="B544" s="161" t="s">
        <v>191</v>
      </c>
      <c r="C544" s="161">
        <v>4008754</v>
      </c>
      <c r="D544" s="161" t="s">
        <v>192</v>
      </c>
      <c r="E544" s="161"/>
      <c r="F544" s="161"/>
      <c r="G544" s="161" t="s">
        <v>130</v>
      </c>
      <c r="H544" s="162">
        <v>2014</v>
      </c>
      <c r="I544" s="163"/>
      <c r="J544" s="159">
        <f>IFERROR(INDEX('Labor Expenditures'!$F$7:$X$91,MATCH($C544,'Labor Expenditures'!$D$7:$D$91,0),MATCH($G544,'Labor Expenditures'!$F$5:$X$5,0)),"NA")</f>
        <v>13887.749478179361</v>
      </c>
      <c r="K544" s="159">
        <f t="shared" si="996"/>
        <v>107.3241845299796</v>
      </c>
      <c r="L544" s="165">
        <f t="shared" si="1002"/>
        <v>-4.4037463473257425E-2</v>
      </c>
      <c r="M544" s="76">
        <f t="shared" si="1006"/>
        <v>-1.9045478430150889E-4</v>
      </c>
      <c r="N544" s="62">
        <f t="shared" si="1012"/>
        <v>120.51227539204426</v>
      </c>
      <c r="O544" s="96">
        <f t="shared" si="1007"/>
        <v>0.10684332797224907</v>
      </c>
      <c r="P544" s="96"/>
      <c r="Q544" s="159">
        <f>IFERROR(INDEX('Non-Labor Expenditures'!$F$7:$AB$91,MATCH($C544,'Non-Labor Expenditures'!$D$7:$D$91,0),MATCH($G544,'Non-Labor Expenditures'!$F$5:$AB$5,0)),"NA")</f>
        <v>20112.055118208595</v>
      </c>
      <c r="R544" s="159">
        <f t="shared" si="997"/>
        <v>194.04377471811623</v>
      </c>
      <c r="S544" s="165">
        <f t="shared" si="1008"/>
        <v>-4.1986175307838644E-2</v>
      </c>
      <c r="T544" s="165">
        <f t="shared" si="1009"/>
        <v>-1.8158330047223889E-4</v>
      </c>
      <c r="U544" s="165"/>
      <c r="V544" s="165"/>
      <c r="W544" s="159">
        <f t="shared" si="977"/>
        <v>15237.328706574015</v>
      </c>
      <c r="X544" s="163"/>
      <c r="Y544" s="167">
        <v>697.94340869879852</v>
      </c>
      <c r="Z544" s="168">
        <v>3.4309590482916055E-2</v>
      </c>
      <c r="AA544" s="76">
        <f t="shared" si="998"/>
        <v>1.4838333408701053E-4</v>
      </c>
      <c r="AB544" s="168"/>
      <c r="AC544" s="168"/>
      <c r="AD544" s="163">
        <f t="shared" si="928"/>
        <v>49237.133302961971</v>
      </c>
      <c r="AE544" s="168">
        <f t="shared" si="1010"/>
        <v>2.5922269557139121E-4</v>
      </c>
      <c r="AF544" s="163"/>
      <c r="AG544" s="163"/>
      <c r="AH544" s="163"/>
      <c r="AI544" s="163"/>
      <c r="AJ544" s="116">
        <f t="shared" si="1011"/>
        <v>332.40483178257386</v>
      </c>
      <c r="AK544" s="114">
        <f>+AV544/$AX$19</f>
        <v>4.0991189567509247E-3</v>
      </c>
      <c r="AL544" s="115">
        <f t="shared" si="999"/>
        <v>0.28205844951870729</v>
      </c>
      <c r="AM544" s="115">
        <f t="shared" si="1000"/>
        <v>0.408473316154633</v>
      </c>
      <c r="AN544" s="115">
        <f t="shared" si="1001"/>
        <v>0.30946823432665971</v>
      </c>
      <c r="AO544" s="115">
        <f t="shared" si="1003"/>
        <v>-1.9600515135180029E-2</v>
      </c>
      <c r="AP544" s="166">
        <f t="shared" si="1014"/>
        <v>114.22062890712836</v>
      </c>
      <c r="AQ544" s="168">
        <f t="shared" si="1015"/>
        <v>-1.9600515135180088E-2</v>
      </c>
      <c r="AR544" s="69">
        <f>+AD544/$AF$19</f>
        <v>4.3248354759843543E-3</v>
      </c>
      <c r="AS544" s="169">
        <f t="shared" si="1013"/>
        <v>-8.4769003204195116E-5</v>
      </c>
      <c r="AT544" s="115"/>
      <c r="AU544" s="115"/>
      <c r="AV544" s="113">
        <f>IFERROR(INDEX('Total Customers'!$F$7:$AB$91,MATCH($C544,'Total Customers'!$D$7:$D$91,0),MATCH($G544,'Total Customers'!$F$5:$AB$5,0)),"NA")</f>
        <v>148124</v>
      </c>
      <c r="AW544" s="68">
        <f t="shared" si="972"/>
        <v>1.152957942436509E-2</v>
      </c>
      <c r="AX544" s="114"/>
      <c r="AY544" s="114"/>
      <c r="AZ544" s="116"/>
      <c r="BA544" s="116"/>
      <c r="BB544" s="166"/>
      <c r="BC544" s="166"/>
      <c r="BD544" s="166"/>
      <c r="BE544" s="166"/>
      <c r="BF544" s="166"/>
      <c r="BG544" s="166"/>
      <c r="BH544" s="166"/>
      <c r="BI544" s="113"/>
      <c r="BJ544" s="113"/>
      <c r="BK544" s="113">
        <f>INDEX('Dist. Plant Gas Additions'!$F$7:$AE$91,MATCH($C544,'Dist. Plant Gas Additions'!$D$7:$D$91,0),MATCH(Calculation!$G544,'Dist. Plant Gas Additions'!$F$5:$AE$5,0))</f>
        <v>19537</v>
      </c>
      <c r="BL544" s="113">
        <f>INDEX('Gen. Plant Additions'!$F$7:$AE$91,MATCH($C544,'Gen. Plant Additions'!$D$7:$D$91,0),MATCH(Calculation!$G544,'Gen. Plant Additions'!$F$5:$AE$5,0))</f>
        <v>206</v>
      </c>
      <c r="BM544" s="231">
        <f t="shared" si="978"/>
        <v>0.98619592224715591</v>
      </c>
      <c r="BN544" s="61">
        <f t="shared" si="993"/>
        <v>203.15635998291413</v>
      </c>
      <c r="BO544" s="113">
        <f>INDEX('Dist Plant Depreciation'!$E$7:$AD$94,MATCH($C544,'Dist Plant Depreciation'!$D$7:$D$94,0),MATCH(Calculation!$G544,'Dist Plant Depreciation'!$E$5:$AD$5,0))</f>
        <v>160010</v>
      </c>
      <c r="BP544" s="113">
        <f>INDEX('Gen. Plant Depreciation'!$E$7:$AD$94,MATCH($C544,'Gen. Plant Depreciation'!$D$7:$D$94,0),MATCH(Calculation!$G544,'Gen. Plant Depreciation'!$E$5:$AD$5,0))</f>
        <v>2643</v>
      </c>
      <c r="BQ544" s="113"/>
      <c r="BR544" s="113"/>
      <c r="BS544" s="113"/>
      <c r="BT544" s="113"/>
      <c r="BU544" s="113"/>
      <c r="BV544" s="113"/>
      <c r="BW544" s="113">
        <f>INDEX('Gross Dx Plant'!$E$7:$AD$91,MATCH($C544,'Gross Dx Plant'!$D$7:$D$91,0),MATCH(Calculation!$G544,'Gross Dx Plant'!$E$5:$AD$5,0))</f>
        <v>327849</v>
      </c>
      <c r="BX544" s="113">
        <f>INDEX('Gross Gen Plant'!$E$7:$AD$91,MATCH($C544,'Gross Gen Plant'!$D$7:$D$91,0),MATCH(Calculation!$G544,'Gross Gen Plant'!$E$5:$AD$5,0))</f>
        <v>4589</v>
      </c>
      <c r="BY544" s="113">
        <f t="shared" si="959"/>
        <v>169785</v>
      </c>
      <c r="BZ544" s="113"/>
      <c r="CA544" s="116">
        <v>2014</v>
      </c>
      <c r="CB544" s="113"/>
      <c r="CC544" s="113"/>
      <c r="CD544" s="113"/>
      <c r="CE544" s="175"/>
      <c r="CF544" s="113">
        <f t="shared" si="979"/>
        <v>19743</v>
      </c>
      <c r="CG544" s="113">
        <f t="shared" si="980"/>
        <v>28.844251353364907</v>
      </c>
      <c r="CH544" s="178">
        <v>0.89743589743589747</v>
      </c>
      <c r="CI544" s="61">
        <f>+CI528*CH544+CG529*CH543+CG530*CH542+CG531*CH541+CG532*CH540+CG533*CH539+CG534*CH538+CG535*CH537+CG536*CH536+CG537*CH535+CG538*CH534+CG539*CH533+CG540*CH532+CG541*CH531+CG542*CH530+CG543*CH529+CG544</f>
        <v>697.94340869879852</v>
      </c>
      <c r="CJ544" s="114">
        <f t="shared" si="981"/>
        <v>3.4309590482916055E-2</v>
      </c>
      <c r="CK544" s="114"/>
      <c r="CL544" s="169">
        <f t="shared" si="982"/>
        <v>7.8650733982816631E-3</v>
      </c>
      <c r="CM544" s="169">
        <f t="shared" si="990"/>
        <v>7.6376275233280165E-3</v>
      </c>
      <c r="CN544" s="114">
        <f>VLOOKUP($H544,RoR!$E:$F,2,FALSE)</f>
        <v>4.1625000000000002E-2</v>
      </c>
      <c r="CO544" s="169">
        <v>1.841352814597208E-2</v>
      </c>
      <c r="CP544" s="169">
        <f t="shared" si="988"/>
        <v>2.3211471854027922E-2</v>
      </c>
      <c r="CQ544" s="169">
        <f t="shared" si="991"/>
        <v>2.3264314085205608E-2</v>
      </c>
      <c r="CR544" s="169">
        <f t="shared" si="992"/>
        <v>3.9072621432650924E-2</v>
      </c>
      <c r="CS544" s="179">
        <f t="shared" si="983"/>
        <v>0.85150049999999999</v>
      </c>
      <c r="CT544" s="180">
        <f t="shared" si="984"/>
        <v>1.2320012320012319</v>
      </c>
      <c r="CU544" s="180">
        <f t="shared" si="985"/>
        <v>0.37439939939939942</v>
      </c>
      <c r="CV544" s="180">
        <f t="shared" si="986"/>
        <v>0.80432100613819935</v>
      </c>
      <c r="CW544" s="180">
        <f t="shared" si="987"/>
        <v>0.37100152660040037</v>
      </c>
      <c r="CX544" s="181">
        <f>INDEX('State Tax Lookup'!$D$7:$Z$91,MATCH(Calculation!$C544,'State Tax Lookup'!$B$7:$B$91,0),MATCH($H544,'State Tax Lookup'!$D$6:$Z$6,0))</f>
        <v>0.40134999999999998</v>
      </c>
      <c r="CY544" s="72">
        <v>0.37</v>
      </c>
      <c r="CZ544" s="70">
        <f t="shared" si="989"/>
        <v>22.593790220689833</v>
      </c>
      <c r="DA544" s="70">
        <v>20.763592984765573</v>
      </c>
      <c r="DB544" s="69">
        <f t="shared" si="994"/>
        <v>2.2939145936175097E-2</v>
      </c>
      <c r="DC544" s="111">
        <f>VLOOKUP($H544,RoR!$E:$F,2,FALSE)</f>
        <v>4.1625000000000002E-2</v>
      </c>
      <c r="DD544" s="216">
        <f>HLOOKUP($H544,'GDP-PI'!$D$8:$CQ$11,3,FALSE)</f>
        <v>1.841352814597208E-2</v>
      </c>
      <c r="DE544" s="111">
        <f>VLOOKUP(H544,'HW Dx Data'!$E:$F,2,FALSE)</f>
        <v>684.46914285042885</v>
      </c>
      <c r="DF544" s="72">
        <f t="shared" si="1004"/>
        <v>129.4</v>
      </c>
      <c r="DG544" s="69">
        <f t="shared" si="1005"/>
        <v>2.0297340063674733E-2</v>
      </c>
      <c r="DH544" s="66">
        <f>HLOOKUP(H544,'GDP-PI'!$8:$9,2,FALSE)</f>
        <v>103.64700000000001</v>
      </c>
      <c r="DI544" s="69">
        <f t="shared" si="995"/>
        <v>1.8246051898256087E-2</v>
      </c>
      <c r="EB544"/>
    </row>
    <row r="545" spans="1:132" s="160" customFormat="1" ht="21">
      <c r="A545" s="160" t="s">
        <v>191</v>
      </c>
      <c r="B545" s="161" t="s">
        <v>191</v>
      </c>
      <c r="C545" s="161">
        <v>4008754</v>
      </c>
      <c r="D545" s="161" t="s">
        <v>192</v>
      </c>
      <c r="E545" s="161"/>
      <c r="F545" s="161"/>
      <c r="G545" s="161" t="s">
        <v>132</v>
      </c>
      <c r="H545" s="162">
        <v>2015</v>
      </c>
      <c r="I545" s="163"/>
      <c r="J545" s="159">
        <f>IFERROR(INDEX('Labor Expenditures'!$F$7:$X$91,MATCH($C545,'Labor Expenditures'!$D$7:$D$91,0),MATCH($G545,'Labor Expenditures'!$F$5:$X$5,0)),"NA")</f>
        <v>14005.674182040924</v>
      </c>
      <c r="K545" s="159">
        <f t="shared" si="996"/>
        <v>104.91141709393951</v>
      </c>
      <c r="L545" s="165">
        <f t="shared" si="1002"/>
        <v>-2.2737668582106081E-2</v>
      </c>
      <c r="M545" s="76">
        <f t="shared" si="1006"/>
        <v>-9.8359493386350924E-5</v>
      </c>
      <c r="N545" s="62">
        <f t="shared" si="1012"/>
        <v>118.83984059196074</v>
      </c>
      <c r="O545" s="96">
        <f t="shared" si="1007"/>
        <v>-1.3974908989028036E-2</v>
      </c>
      <c r="P545" s="96"/>
      <c r="Q545" s="159">
        <f>IFERROR(INDEX('Non-Labor Expenditures'!$F$7:$AB$91,MATCH($C545,'Non-Labor Expenditures'!$D$7:$D$91,0),MATCH($G545,'Non-Labor Expenditures'!$F$5:$AB$5,0)),"NA")</f>
        <v>20282.832114696663</v>
      </c>
      <c r="R545" s="159">
        <f t="shared" si="997"/>
        <v>193.83625717654664</v>
      </c>
      <c r="S545" s="165">
        <f t="shared" si="1008"/>
        <v>-1.070008994044719E-3</v>
      </c>
      <c r="T545" s="165">
        <f t="shared" si="1009"/>
        <v>-4.6286866304271361E-6</v>
      </c>
      <c r="U545" s="165"/>
      <c r="V545" s="165"/>
      <c r="W545" s="159">
        <f t="shared" si="977"/>
        <v>15447.036927318644</v>
      </c>
      <c r="X545" s="163"/>
      <c r="Y545" s="167">
        <v>715.38343203746967</v>
      </c>
      <c r="Z545" s="168">
        <v>2.4680644424517447E-2</v>
      </c>
      <c r="AA545" s="76">
        <f t="shared" si="998"/>
        <v>1.0676449404995893E-4</v>
      </c>
      <c r="AB545" s="168"/>
      <c r="AC545" s="168"/>
      <c r="AD545" s="163">
        <f t="shared" si="928"/>
        <v>49735.54322405623</v>
      </c>
      <c r="AE545" s="168">
        <f t="shared" si="1010"/>
        <v>1.0071752160491099E-2</v>
      </c>
      <c r="AF545" s="163"/>
      <c r="AG545" s="163"/>
      <c r="AH545" s="163"/>
      <c r="AI545" s="163"/>
      <c r="AJ545" s="116">
        <f t="shared" si="1011"/>
        <v>329.20004781609896</v>
      </c>
      <c r="AK545" s="114">
        <f>+AV545/$AX$20</f>
        <v>4.146925675497631E-3</v>
      </c>
      <c r="AL545" s="115">
        <f t="shared" si="999"/>
        <v>0.28160291964533363</v>
      </c>
      <c r="AM545" s="115">
        <f t="shared" si="1000"/>
        <v>0.40781362381674369</v>
      </c>
      <c r="AN545" s="115">
        <f t="shared" si="1001"/>
        <v>0.31058345653792269</v>
      </c>
      <c r="AO545" s="115">
        <f t="shared" si="1003"/>
        <v>8.0674776748542246E-4</v>
      </c>
      <c r="AP545" s="166">
        <f t="shared" si="1014"/>
        <v>114.31281332428655</v>
      </c>
      <c r="AQ545" s="168">
        <f t="shared" si="1015"/>
        <v>8.0674776748545628E-4</v>
      </c>
      <c r="AR545" s="69">
        <f>+AD545/$AF$20</f>
        <v>4.3258389940539965E-3</v>
      </c>
      <c r="AS545" s="169">
        <f t="shared" si="1013"/>
        <v>3.4898609509545937E-6</v>
      </c>
      <c r="AT545" s="115"/>
      <c r="AU545" s="115"/>
      <c r="AV545" s="113">
        <f>IFERROR(INDEX('Total Customers'!$F$7:$AB$91,MATCH($C545,'Total Customers'!$D$7:$D$91,0),MATCH($G545,'Total Customers'!$F$5:$AB$5,0)),"NA")</f>
        <v>151080</v>
      </c>
      <c r="AW545" s="68">
        <f t="shared" si="972"/>
        <v>1.9759737032501237E-2</v>
      </c>
      <c r="AX545" s="114"/>
      <c r="AY545" s="114"/>
      <c r="AZ545" s="116"/>
      <c r="BA545" s="116"/>
      <c r="BB545" s="166"/>
      <c r="BC545" s="166"/>
      <c r="BD545" s="166"/>
      <c r="BE545" s="166"/>
      <c r="BF545" s="166"/>
      <c r="BG545" s="166"/>
      <c r="BH545" s="166"/>
      <c r="BI545" s="113"/>
      <c r="BJ545" s="113"/>
      <c r="BK545" s="113">
        <f>INDEX('Dist. Plant Gas Additions'!$F$7:$AE$91,MATCH($C545,'Dist. Plant Gas Additions'!$D$7:$D$91,0),MATCH(Calculation!$G545,'Dist. Plant Gas Additions'!$F$5:$AE$5,0))</f>
        <v>15330</v>
      </c>
      <c r="BL545" s="113">
        <f>INDEX('Gen. Plant Additions'!$F$7:$AE$91,MATCH($C545,'Gen. Plant Additions'!$D$7:$D$91,0),MATCH(Calculation!$G545,'Gen. Plant Additions'!$F$5:$AE$5,0))</f>
        <v>267</v>
      </c>
      <c r="BM545" s="231">
        <f t="shared" si="978"/>
        <v>0.9860595797763354</v>
      </c>
      <c r="BN545" s="61">
        <f t="shared" si="993"/>
        <v>263.27790780028153</v>
      </c>
      <c r="BO545" s="113">
        <f>INDEX('Dist Plant Depreciation'!$E$7:$AD$94,MATCH($C545,'Dist Plant Depreciation'!$D$7:$D$94,0),MATCH(Calculation!$G545,'Dist Plant Depreciation'!$E$5:$AD$5,0))</f>
        <v>159891</v>
      </c>
      <c r="BP545" s="113">
        <f>INDEX('Gen. Plant Depreciation'!$E$7:$AD$94,MATCH($C545,'Gen. Plant Depreciation'!$D$7:$D$94,0),MATCH(Calculation!$G545,'Gen. Plant Depreciation'!$E$5:$AD$5,0))</f>
        <v>2814</v>
      </c>
      <c r="BQ545" s="113"/>
      <c r="BR545" s="113"/>
      <c r="BS545" s="113"/>
      <c r="BT545" s="113"/>
      <c r="BU545" s="113"/>
      <c r="BV545" s="113"/>
      <c r="BW545" s="113">
        <f>INDEX('Gross Dx Plant'!$E$7:$AD$91,MATCH($C545,'Gross Dx Plant'!$D$7:$D$91,0),MATCH(Calculation!$G545,'Gross Dx Plant'!$E$5:$AD$5,0))</f>
        <v>338320</v>
      </c>
      <c r="BX545" s="113">
        <f>INDEX('Gross Gen Plant'!$E$7:$AD$91,MATCH($C545,'Gross Gen Plant'!$D$7:$D$91,0),MATCH(Calculation!$G545,'Gross Gen Plant'!$E$5:$AD$5,0))</f>
        <v>4783</v>
      </c>
      <c r="BY545" s="113">
        <f t="shared" si="959"/>
        <v>180398</v>
      </c>
      <c r="BZ545" s="113"/>
      <c r="CA545" s="116">
        <v>2015</v>
      </c>
      <c r="CB545" s="113"/>
      <c r="CC545" s="113"/>
      <c r="CD545" s="113"/>
      <c r="CE545" s="175"/>
      <c r="CF545" s="113">
        <f t="shared" si="979"/>
        <v>15597</v>
      </c>
      <c r="CG545" s="113">
        <f t="shared" si="980"/>
        <v>23.085645627215786</v>
      </c>
      <c r="CH545" s="178">
        <v>0.88888888888888884</v>
      </c>
      <c r="CI545" s="61">
        <f>+CI528*CH545+CG529*CH544+CG530*CH543+CG531*CH542+CG532*CH541+CG533*CH540+CG534*CH539+CG535*CH538+CG536*CH537+CG537*CH536+CG538*CH535+CG539*CH534+CG540*CH533+CG541*CH532+CG542*CH531+CG543*CH530+CG544*CH529+CG545</f>
        <v>715.38343203746967</v>
      </c>
      <c r="CJ545" s="114">
        <f t="shared" si="981"/>
        <v>2.4680644424517447E-2</v>
      </c>
      <c r="CK545" s="114"/>
      <c r="CL545" s="169">
        <f t="shared" si="982"/>
        <v>8.0889399028353515E-3</v>
      </c>
      <c r="CM545" s="169">
        <f t="shared" si="990"/>
        <v>7.8656568785048474E-3</v>
      </c>
      <c r="CN545" s="114">
        <f>VLOOKUP($H545,RoR!$E:$F,2,FALSE)</f>
        <v>3.8866666666666674E-2</v>
      </c>
      <c r="CO545" s="169">
        <v>9.5709475431029478E-3</v>
      </c>
      <c r="CP545" s="169">
        <f t="shared" si="988"/>
        <v>2.9295719123563727E-2</v>
      </c>
      <c r="CQ545" s="169">
        <f t="shared" si="991"/>
        <v>2.3036284730028778E-2</v>
      </c>
      <c r="CR545" s="169">
        <f t="shared" si="992"/>
        <v>3.5270373279175926E-3</v>
      </c>
      <c r="CS545" s="179">
        <f t="shared" si="983"/>
        <v>0.85150049999999999</v>
      </c>
      <c r="CT545" s="180">
        <f t="shared" si="984"/>
        <v>1.3194352816994324</v>
      </c>
      <c r="CU545" s="180">
        <f t="shared" si="985"/>
        <v>0.33177530017152673</v>
      </c>
      <c r="CV545" s="180">
        <f t="shared" si="986"/>
        <v>0.78242572977668579</v>
      </c>
      <c r="CW545" s="180">
        <f t="shared" si="987"/>
        <v>0.34251158643433932</v>
      </c>
      <c r="CX545" s="181">
        <f>INDEX('State Tax Lookup'!$D$7:$Z$91,MATCH(Calculation!$C545,'State Tax Lookup'!$B$7:$B$91,0),MATCH($H545,'State Tax Lookup'!$D$6:$Z$6,0))</f>
        <v>0.40134999999999998</v>
      </c>
      <c r="CY545" s="72">
        <v>0.37</v>
      </c>
      <c r="CZ545" s="70">
        <f t="shared" si="989"/>
        <v>22.132219797185449</v>
      </c>
      <c r="DA545" s="70">
        <v>20.279488671080099</v>
      </c>
      <c r="DB545" s="69">
        <f t="shared" si="994"/>
        <v>-2.0640643345756091E-2</v>
      </c>
      <c r="DC545" s="111">
        <f>VLOOKUP($H545,RoR!$E:$F,2,FALSE)</f>
        <v>3.8866666666666674E-2</v>
      </c>
      <c r="DD545" s="216">
        <f>HLOOKUP($H545,'GDP-PI'!$D$8:$CQ$11,3,FALSE)</f>
        <v>9.5709475431029478E-3</v>
      </c>
      <c r="DE545" s="111">
        <f>VLOOKUP(H545,'HW Dx Data'!$E:$F,2,FALSE)</f>
        <v>675.61463308665782</v>
      </c>
      <c r="DF545" s="72">
        <f t="shared" si="1004"/>
        <v>133.5</v>
      </c>
      <c r="DG545" s="69">
        <f t="shared" si="1005"/>
        <v>3.1193095773504077E-2</v>
      </c>
      <c r="DH545" s="66">
        <f>HLOOKUP(H545,'GDP-PI'!$8:$9,2,FALSE)</f>
        <v>104.639</v>
      </c>
      <c r="DI545" s="69">
        <f t="shared" si="995"/>
        <v>9.5254361854427965E-3</v>
      </c>
      <c r="EB545"/>
    </row>
    <row r="546" spans="1:132" s="160" customFormat="1" ht="21">
      <c r="A546" s="160" t="s">
        <v>191</v>
      </c>
      <c r="B546" s="161" t="s">
        <v>191</v>
      </c>
      <c r="C546" s="161">
        <v>4008754</v>
      </c>
      <c r="D546" s="161" t="s">
        <v>192</v>
      </c>
      <c r="E546" s="161"/>
      <c r="F546" s="161"/>
      <c r="G546" s="161" t="s">
        <v>133</v>
      </c>
      <c r="H546" s="162">
        <v>2016</v>
      </c>
      <c r="I546" s="163"/>
      <c r="J546" s="159">
        <f>IFERROR(INDEX('Labor Expenditures'!$F$7:$X$91,MATCH($C546,'Labor Expenditures'!$D$7:$D$91,0),MATCH($G546,'Labor Expenditures'!$F$5:$X$5,0)),"NA")</f>
        <v>14360.171588439667</v>
      </c>
      <c r="K546" s="159">
        <f t="shared" si="996"/>
        <v>104.85703971113303</v>
      </c>
      <c r="L546" s="165">
        <f t="shared" si="1002"/>
        <v>-5.1845148553511023E-4</v>
      </c>
      <c r="M546" s="76">
        <f t="shared" si="1006"/>
        <v>-2.2105878481871435E-6</v>
      </c>
      <c r="N546" s="62">
        <f t="shared" si="1012"/>
        <v>298.423677229041</v>
      </c>
      <c r="O546" s="96">
        <f t="shared" si="1007"/>
        <v>0.92073750323745207</v>
      </c>
      <c r="P546" s="96"/>
      <c r="Q546" s="159">
        <f>IFERROR(INDEX('Non-Labor Expenditures'!$F$7:$AB$91,MATCH($C546,'Non-Labor Expenditures'!$D$7:$D$91,0),MATCH($G546,'Non-Labor Expenditures'!$F$5:$AB$5,0)),"NA")</f>
        <v>20796.210570144445</v>
      </c>
      <c r="R546" s="159">
        <f t="shared" si="997"/>
        <v>196.68051155845166</v>
      </c>
      <c r="S546" s="165">
        <f t="shared" si="1008"/>
        <v>1.4566876016042531E-2</v>
      </c>
      <c r="T546" s="165">
        <f t="shared" si="1009"/>
        <v>6.2110650669418613E-5</v>
      </c>
      <c r="U546" s="165"/>
      <c r="V546" s="165"/>
      <c r="W546" s="159">
        <f t="shared" si="977"/>
        <v>15573.545427151716</v>
      </c>
      <c r="X546" s="163"/>
      <c r="Y546" s="167">
        <v>733.41539514578983</v>
      </c>
      <c r="Z546" s="168">
        <v>2.4893579351943591E-2</v>
      </c>
      <c r="AA546" s="76">
        <f t="shared" si="998"/>
        <v>1.0614193526032864E-4</v>
      </c>
      <c r="AB546" s="168"/>
      <c r="AC546" s="168"/>
      <c r="AD546" s="163">
        <f t="shared" si="928"/>
        <v>50729.92758573583</v>
      </c>
      <c r="AE546" s="168">
        <f t="shared" si="1010"/>
        <v>1.9796191218574913E-2</v>
      </c>
      <c r="AF546" s="163"/>
      <c r="AG546" s="163"/>
      <c r="AH546" s="163"/>
      <c r="AI546" s="163"/>
      <c r="AJ546" s="116">
        <f t="shared" si="1011"/>
        <v>328.90253880793455</v>
      </c>
      <c r="AK546" s="114">
        <f>+AV546/$AX$21</f>
        <v>4.1970782958098826E-3</v>
      </c>
      <c r="AL546" s="115">
        <f t="shared" si="999"/>
        <v>0.28307100506245231</v>
      </c>
      <c r="AM546" s="115">
        <f t="shared" si="1000"/>
        <v>0.40993968570126432</v>
      </c>
      <c r="AN546" s="115">
        <f t="shared" si="1001"/>
        <v>0.30698930923628331</v>
      </c>
      <c r="AO546" s="115">
        <f t="shared" si="1003"/>
        <v>1.3496475843374527E-2</v>
      </c>
      <c r="AP546" s="166">
        <f t="shared" si="1014"/>
        <v>115.86609176233473</v>
      </c>
      <c r="AQ546" s="168">
        <f t="shared" si="1015"/>
        <v>1.3496475843374545E-2</v>
      </c>
      <c r="AR546" s="69">
        <f>+AD546/$AF$21</f>
        <v>4.2638277830480617E-3</v>
      </c>
      <c r="AS546" s="169">
        <f t="shared" si="1013"/>
        <v>5.7546648674217403E-5</v>
      </c>
      <c r="AT546" s="115"/>
      <c r="AU546" s="115"/>
      <c r="AV546" s="113">
        <f>IFERROR(INDEX('Total Customers'!$F$7:$AB$91,MATCH($C546,'Total Customers'!$D$7:$D$91,0),MATCH($G546,'Total Customers'!$F$5:$AB$5,0)),"NA")</f>
        <v>154240</v>
      </c>
      <c r="AW546" s="68">
        <f t="shared" si="972"/>
        <v>2.0700333017979321E-2</v>
      </c>
      <c r="AX546" s="114"/>
      <c r="AY546" s="114"/>
      <c r="AZ546" s="116"/>
      <c r="BA546" s="116"/>
      <c r="BB546" s="166"/>
      <c r="BC546" s="166"/>
      <c r="BD546" s="166"/>
      <c r="BE546" s="166"/>
      <c r="BF546" s="166"/>
      <c r="BG546" s="166"/>
      <c r="BH546" s="166"/>
      <c r="BI546" s="113"/>
      <c r="BJ546" s="113"/>
      <c r="BK546" s="113">
        <f>INDEX('Dist. Plant Gas Additions'!$F$7:$AE$91,MATCH($C546,'Dist. Plant Gas Additions'!$D$7:$D$91,0),MATCH(Calculation!$G546,'Dist. Plant Gas Additions'!$F$5:$AE$5,0))</f>
        <v>16001</v>
      </c>
      <c r="BL546" s="113">
        <f>INDEX('Gen. Plant Additions'!$F$7:$AE$91,MATCH($C546,'Gen. Plant Additions'!$D$7:$D$91,0),MATCH(Calculation!$G546,'Gen. Plant Additions'!$F$5:$AE$5,0))</f>
        <v>118</v>
      </c>
      <c r="BM546" s="231">
        <f t="shared" si="978"/>
        <v>0.99070751161561044</v>
      </c>
      <c r="BN546" s="61">
        <f t="shared" si="993"/>
        <v>116.90348637064203</v>
      </c>
      <c r="BO546" s="113">
        <f>INDEX('Dist Plant Depreciation'!$E$7:$AD$94,MATCH($C546,'Dist Plant Depreciation'!$D$7:$D$94,0),MATCH(Calculation!$G546,'Dist Plant Depreciation'!$E$5:$AD$5,0))</f>
        <v>163925</v>
      </c>
      <c r="BP546" s="113">
        <f>INDEX('Gen. Plant Depreciation'!$E$7:$AD$94,MATCH($C546,'Gen. Plant Depreciation'!$D$7:$D$94,0),MATCH(Calculation!$G546,'Gen. Plant Depreciation'!$E$5:$AD$5,0))</f>
        <v>1535</v>
      </c>
      <c r="BQ546" s="113"/>
      <c r="BR546" s="113"/>
      <c r="BS546" s="113"/>
      <c r="BT546" s="113"/>
      <c r="BU546" s="113"/>
      <c r="BV546" s="113"/>
      <c r="BW546" s="113">
        <f>INDEX('Gross Dx Plant'!$E$7:$AD$91,MATCH($C546,'Gross Dx Plant'!$D$7:$D$91,0),MATCH(Calculation!$G546,'Gross Dx Plant'!$E$5:$AD$5,0))</f>
        <v>352252</v>
      </c>
      <c r="BX546" s="113">
        <f>INDEX('Gross Gen Plant'!$E$7:$AD$91,MATCH($C546,'Gross Gen Plant'!$D$7:$D$91,0),MATCH(Calculation!$G546,'Gross Gen Plant'!$E$5:$AD$5,0))</f>
        <v>3304</v>
      </c>
      <c r="BY546" s="113">
        <f t="shared" si="959"/>
        <v>190096</v>
      </c>
      <c r="BZ546" s="113"/>
      <c r="CA546" s="116">
        <v>2016</v>
      </c>
      <c r="CB546" s="113"/>
      <c r="CC546" s="113"/>
      <c r="CD546" s="113"/>
      <c r="CE546" s="175"/>
      <c r="CF546" s="113">
        <f t="shared" si="979"/>
        <v>16119</v>
      </c>
      <c r="CG546" s="113">
        <f t="shared" si="980"/>
        <v>24.006026522949089</v>
      </c>
      <c r="CH546" s="178">
        <v>0.88</v>
      </c>
      <c r="CI546" s="61">
        <f>+CI528*CH546+CG529*CH545+CG530*CH544+CG531*CH543+CG532*CH542+CG533*CH541+CG534*CH540+CG535*CH539+CG536*CH538+CG537*CH537+CG538*CH536+CG539*CH535+CG540*CH534+CG541*CH533+CG542*CH532+CG543*CH531+CG544*CH530+CG545*CH529+CG546</f>
        <v>733.41539514578983</v>
      </c>
      <c r="CJ546" s="114">
        <f t="shared" si="981"/>
        <v>2.4893579351943591E-2</v>
      </c>
      <c r="CK546" s="114"/>
      <c r="CL546" s="169">
        <f t="shared" si="982"/>
        <v>8.3508551457703167E-3</v>
      </c>
      <c r="CM546" s="169">
        <f t="shared" si="990"/>
        <v>8.1016228156291104E-3</v>
      </c>
      <c r="CN546" s="114">
        <f>VLOOKUP($H546,RoR!$E:$F,2,FALSE)</f>
        <v>3.6658333333333334E-2</v>
      </c>
      <c r="CO546" s="169">
        <v>1.0483662879041455E-2</v>
      </c>
      <c r="CP546" s="169">
        <f t="shared" si="988"/>
        <v>2.6174670454291879E-2</v>
      </c>
      <c r="CQ546" s="169">
        <f t="shared" si="991"/>
        <v>2.2800318792904513E-2</v>
      </c>
      <c r="CR546" s="169">
        <f t="shared" si="992"/>
        <v>4.301363574220729E-3</v>
      </c>
      <c r="CS546" s="179">
        <f t="shared" si="983"/>
        <v>0.85150049999999999</v>
      </c>
      <c r="CT546" s="180">
        <f t="shared" si="984"/>
        <v>1.3989193348138562</v>
      </c>
      <c r="CU546" s="180">
        <f t="shared" si="985"/>
        <v>0.29302682427824522</v>
      </c>
      <c r="CV546" s="180">
        <f t="shared" si="986"/>
        <v>0.76309497491941802</v>
      </c>
      <c r="CW546" s="180">
        <f t="shared" si="987"/>
        <v>0.31280857135128509</v>
      </c>
      <c r="CX546" s="181">
        <f>INDEX('State Tax Lookup'!$D$7:$Z$91,MATCH(Calculation!$C546,'State Tax Lookup'!$B$7:$B$91,0),MATCH($H546,'State Tax Lookup'!$D$6:$Z$6,0))</f>
        <v>0.40134999999999998</v>
      </c>
      <c r="CY546" s="72">
        <v>0.37</v>
      </c>
      <c r="CZ546" s="70">
        <f t="shared" si="989"/>
        <v>21.76950811230979</v>
      </c>
      <c r="DA546" s="70">
        <v>19.909765876209278</v>
      </c>
      <c r="DB546" s="69">
        <f t="shared" si="994"/>
        <v>-1.6524175938557019E-2</v>
      </c>
      <c r="DC546" s="111">
        <f>VLOOKUP($H546,RoR!$E:$F,2,FALSE)</f>
        <v>3.6658333333333334E-2</v>
      </c>
      <c r="DD546" s="216">
        <f>HLOOKUP($H546,'GDP-PI'!$D$8:$CQ$11,3,FALSE)</f>
        <v>1.0483662879041455E-2</v>
      </c>
      <c r="DE546" s="111">
        <f>VLOOKUP(H546,'HW Dx Data'!$E:$F,2,FALSE)</f>
        <v>671.45639385971219</v>
      </c>
      <c r="DF546" s="72">
        <f t="shared" si="1004"/>
        <v>136.94999999999999</v>
      </c>
      <c r="DG546" s="69">
        <f t="shared" si="1005"/>
        <v>2.5514417868782811E-2</v>
      </c>
      <c r="DH546" s="66">
        <f>HLOOKUP(H546,'GDP-PI'!$8:$9,2,FALSE)</f>
        <v>105.736</v>
      </c>
      <c r="DI546" s="69">
        <f t="shared" si="995"/>
        <v>1.0429090367205095E-2</v>
      </c>
      <c r="EB546"/>
    </row>
    <row r="547" spans="1:132" s="160" customFormat="1" ht="21">
      <c r="A547" s="160" t="s">
        <v>191</v>
      </c>
      <c r="B547" s="161" t="s">
        <v>191</v>
      </c>
      <c r="C547" s="161">
        <v>4008754</v>
      </c>
      <c r="D547" s="161" t="s">
        <v>192</v>
      </c>
      <c r="E547" s="161"/>
      <c r="F547" s="161"/>
      <c r="G547" s="161" t="s">
        <v>135</v>
      </c>
      <c r="H547" s="162">
        <v>2017</v>
      </c>
      <c r="I547" s="163"/>
      <c r="J547" s="159">
        <f>IFERROR(INDEX('Labor Expenditures'!$F$7:$X$91,MATCH($C547,'Labor Expenditures'!$D$7:$D$91,0),MATCH($G547,'Labor Expenditures'!$F$5:$X$5,0)),"NA")</f>
        <v>14769.824568999353</v>
      </c>
      <c r="K547" s="159">
        <f t="shared" si="996"/>
        <v>105.16073028835424</v>
      </c>
      <c r="L547" s="165">
        <f t="shared" si="1002"/>
        <v>2.8920485051609022E-3</v>
      </c>
      <c r="M547" s="76">
        <f t="shared" si="1006"/>
        <v>1.2347695036967767E-5</v>
      </c>
      <c r="N547" s="62">
        <f t="shared" si="1012"/>
        <v>165.60646005066033</v>
      </c>
      <c r="O547" s="96">
        <f t="shared" si="1007"/>
        <v>-0.58889996130603972</v>
      </c>
      <c r="P547" s="96"/>
      <c r="Q547" s="159">
        <f>IFERROR(INDEX('Non-Labor Expenditures'!$F$7:$AB$91,MATCH($C547,'Non-Labor Expenditures'!$D$7:$D$91,0),MATCH($G547,'Non-Labor Expenditures'!$F$5:$AB$5,0)),"NA")</f>
        <v>21389.464598617527</v>
      </c>
      <c r="R547" s="159">
        <f t="shared" si="997"/>
        <v>198.50826998002364</v>
      </c>
      <c r="S547" s="165">
        <f t="shared" si="1008"/>
        <v>9.2501181185814154E-3</v>
      </c>
      <c r="T547" s="165">
        <f t="shared" si="1009"/>
        <v>3.9493679784536925E-5</v>
      </c>
      <c r="U547" s="165"/>
      <c r="V547" s="165"/>
      <c r="W547" s="159">
        <f t="shared" si="977"/>
        <v>14395.259180553498</v>
      </c>
      <c r="X547" s="163"/>
      <c r="Y547" s="167">
        <v>755.16678107156577</v>
      </c>
      <c r="Z547" s="168">
        <v>2.922638004608202E-2</v>
      </c>
      <c r="AA547" s="76">
        <f t="shared" si="998"/>
        <v>1.2478297898515462E-4</v>
      </c>
      <c r="AB547" s="168"/>
      <c r="AC547" s="168"/>
      <c r="AD547" s="163">
        <f t="shared" si="928"/>
        <v>50554.548348170378</v>
      </c>
      <c r="AE547" s="168">
        <f t="shared" si="1010"/>
        <v>-3.4631055001608274E-3</v>
      </c>
      <c r="AF547" s="163"/>
      <c r="AG547" s="163"/>
      <c r="AH547" s="163"/>
      <c r="AI547" s="163"/>
      <c r="AJ547" s="116">
        <f t="shared" si="1011"/>
        <v>322.86515189052551</v>
      </c>
      <c r="AK547" s="114">
        <f>+AV547/$AX$22</f>
        <v>4.2287681437787111E-3</v>
      </c>
      <c r="AL547" s="115">
        <f t="shared" si="999"/>
        <v>0.29215619665473458</v>
      </c>
      <c r="AM547" s="115">
        <f t="shared" si="1000"/>
        <v>0.42309674000661179</v>
      </c>
      <c r="AN547" s="115">
        <f t="shared" si="1001"/>
        <v>0.28474706333865363</v>
      </c>
      <c r="AO547" s="115">
        <f t="shared" si="1003"/>
        <v>1.3331791207848949E-2</v>
      </c>
      <c r="AP547" s="166">
        <f t="shared" si="1014"/>
        <v>117.42113704296884</v>
      </c>
      <c r="AQ547" s="168">
        <f t="shared" si="1015"/>
        <v>1.3331791207848845E-2</v>
      </c>
      <c r="AR547" s="69">
        <f>+AD547/$AF$22</f>
        <v>4.2695324836126113E-3</v>
      </c>
      <c r="AS547" s="169">
        <f t="shared" si="1013"/>
        <v>5.692051562665165E-5</v>
      </c>
      <c r="AT547" s="115"/>
      <c r="AU547" s="115"/>
      <c r="AV547" s="113">
        <f>IFERROR(INDEX('Total Customers'!$F$7:$AB$91,MATCH($C547,'Total Customers'!$D$7:$D$91,0),MATCH($G547,'Total Customers'!$F$5:$AB$5,0)),"NA")</f>
        <v>156581</v>
      </c>
      <c r="AW547" s="68">
        <f t="shared" si="972"/>
        <v>1.506361710882626E-2</v>
      </c>
      <c r="AX547" s="114"/>
      <c r="AY547" s="114"/>
      <c r="AZ547" s="116"/>
      <c r="BA547" s="116"/>
      <c r="BB547" s="166"/>
      <c r="BC547" s="166"/>
      <c r="BD547" s="166"/>
      <c r="BE547" s="166"/>
      <c r="BF547" s="166"/>
      <c r="BG547" s="166"/>
      <c r="BH547" s="166"/>
      <c r="BI547" s="113"/>
      <c r="BJ547" s="113"/>
      <c r="BK547" s="113">
        <f>INDEX('Dist. Plant Gas Additions'!$F$7:$AE$91,MATCH($C547,'Dist. Plant Gas Additions'!$D$7:$D$91,0),MATCH(Calculation!$G547,'Dist. Plant Gas Additions'!$F$5:$AE$5,0))</f>
        <v>19801</v>
      </c>
      <c r="BL547" s="113">
        <f>INDEX('Gen. Plant Additions'!$F$7:$AE$91,MATCH($C547,'Gen. Plant Additions'!$D$7:$D$91,0),MATCH(Calculation!$G547,'Gen. Plant Additions'!$F$5:$AE$5,0))</f>
        <v>200</v>
      </c>
      <c r="BM547" s="231">
        <f t="shared" si="978"/>
        <v>0.99096222273505463</v>
      </c>
      <c r="BN547" s="61">
        <f t="shared" si="993"/>
        <v>198.19244454701092</v>
      </c>
      <c r="BO547" s="113">
        <f>INDEX('Dist Plant Depreciation'!$E$7:$AD$94,MATCH($C547,'Dist Plant Depreciation'!$D$7:$D$94,0),MATCH(Calculation!$G547,'Dist Plant Depreciation'!$E$5:$AD$5,0))</f>
        <v>167411</v>
      </c>
      <c r="BP547" s="113">
        <f>INDEX('Gen. Plant Depreciation'!$E$7:$AD$94,MATCH($C547,'Gen. Plant Depreciation'!$D$7:$D$94,0),MATCH(Calculation!$G547,'Gen. Plant Depreciation'!$E$5:$AD$5,0))</f>
        <v>1531</v>
      </c>
      <c r="BQ547" s="113"/>
      <c r="BR547" s="113"/>
      <c r="BS547" s="113"/>
      <c r="BT547" s="113"/>
      <c r="BU547" s="113"/>
      <c r="BV547" s="113"/>
      <c r="BW547" s="113">
        <f>INDEX('Gross Dx Plant'!$E$7:$AD$91,MATCH($C547,'Gross Dx Plant'!$D$7:$D$91,0),MATCH(Calculation!$G547,'Gross Dx Plant'!$E$5:$AD$5,0))</f>
        <v>369290</v>
      </c>
      <c r="BX547" s="113">
        <f>INDEX('Gross Gen Plant'!$E$7:$AD$91,MATCH($C547,'Gross Gen Plant'!$D$7:$D$91,0),MATCH(Calculation!$G547,'Gross Gen Plant'!$E$5:$AD$5,0))</f>
        <v>3368</v>
      </c>
      <c r="BY547" s="113">
        <f t="shared" si="959"/>
        <v>203716</v>
      </c>
      <c r="BZ547" s="113"/>
      <c r="CA547" s="116">
        <v>2017</v>
      </c>
      <c r="CB547" s="113"/>
      <c r="CC547" s="113"/>
      <c r="CD547" s="113"/>
      <c r="CE547" s="175"/>
      <c r="CF547" s="113">
        <f t="shared" si="979"/>
        <v>20001</v>
      </c>
      <c r="CG547" s="113">
        <f t="shared" si="980"/>
        <v>28.074392939233643</v>
      </c>
      <c r="CH547" s="178">
        <v>0.87074829931972786</v>
      </c>
      <c r="CI547" s="61">
        <f>+CI528*CH547+CG529*CH546+CG530*CH545+CG531*CH544+CG532*CH543+CG533*CH542+CG534*CH541+CG535*CH540+CG536*CH539+CG537*CH538+CG538*CH537+CG539*CH536+CG540*CH535+CG541*CH534+CG542*CH533+CG543*CH532+CG544*CH531+CG545*CH530+CG546*CH529+CG547</f>
        <v>755.16678107156577</v>
      </c>
      <c r="CJ547" s="114">
        <f t="shared" si="981"/>
        <v>2.922638004608202E-2</v>
      </c>
      <c r="CK547" s="114"/>
      <c r="CL547" s="169">
        <f t="shared" si="982"/>
        <v>8.6213175443376235E-3</v>
      </c>
      <c r="CM547" s="169">
        <f t="shared" si="990"/>
        <v>8.3537041976477645E-3</v>
      </c>
      <c r="CN547" s="114">
        <f>VLOOKUP($H547,RoR!$E:$F,2,FALSE)</f>
        <v>3.7433333333333339E-2</v>
      </c>
      <c r="CO547" s="169">
        <v>1.9056896421275615E-2</v>
      </c>
      <c r="CP547" s="169">
        <f t="shared" si="988"/>
        <v>1.8376436912057724E-2</v>
      </c>
      <c r="CQ547" s="169">
        <f t="shared" si="991"/>
        <v>2.2548237410885859E-2</v>
      </c>
      <c r="CR547" s="169">
        <f t="shared" si="992"/>
        <v>1.3976271617800498E-2</v>
      </c>
      <c r="CS547" s="179">
        <f t="shared" si="983"/>
        <v>0.90330050000000006</v>
      </c>
      <c r="CT547" s="180">
        <f t="shared" si="984"/>
        <v>1.3699568463593395</v>
      </c>
      <c r="CU547" s="180">
        <f t="shared" si="985"/>
        <v>0.30714603739982199</v>
      </c>
      <c r="CV547" s="180">
        <f t="shared" si="986"/>
        <v>0.77007188472689425</v>
      </c>
      <c r="CW547" s="180">
        <f t="shared" si="987"/>
        <v>0.32402839633793828</v>
      </c>
      <c r="CX547" s="181">
        <f>INDEX('State Tax Lookup'!$D$7:$Z$91,MATCH(Calculation!$C547,'State Tax Lookup'!$B$7:$B$91,0),MATCH($H547,'State Tax Lookup'!$D$6:$Z$6,0))</f>
        <v>0.26134999999999997</v>
      </c>
      <c r="CY547" s="72">
        <v>0.37</v>
      </c>
      <c r="CZ547" s="70">
        <f t="shared" si="989"/>
        <v>19.627702494153368</v>
      </c>
      <c r="DA547" s="70">
        <v>18.231812616449311</v>
      </c>
      <c r="DB547" s="69">
        <f t="shared" si="994"/>
        <v>-0.10356831934575952</v>
      </c>
      <c r="DC547" s="111">
        <f>VLOOKUP($H547,RoR!$E:$F,2,FALSE)</f>
        <v>3.7433333333333339E-2</v>
      </c>
      <c r="DD547" s="216">
        <f>HLOOKUP($H547,'GDP-PI'!$D$8:$CQ$11,3,FALSE)</f>
        <v>1.9056896421275615E-2</v>
      </c>
      <c r="DE547" s="111">
        <f>VLOOKUP(H547,'HW Dx Data'!$E:$F,2,FALSE)</f>
        <v>712.42858370229726</v>
      </c>
      <c r="DF547" s="72">
        <f t="shared" si="1004"/>
        <v>140.44999999999999</v>
      </c>
      <c r="DG547" s="69">
        <f t="shared" si="1005"/>
        <v>2.5235657841165486E-2</v>
      </c>
      <c r="DH547" s="66">
        <f>HLOOKUP(H547,'GDP-PI'!$8:$9,2,FALSE)</f>
        <v>107.751</v>
      </c>
      <c r="DI547" s="69">
        <f t="shared" si="995"/>
        <v>1.8877588227745139E-2</v>
      </c>
      <c r="EB547"/>
    </row>
    <row r="548" spans="1:132" s="160" customFormat="1" ht="21">
      <c r="A548" s="160" t="s">
        <v>191</v>
      </c>
      <c r="B548" s="161" t="s">
        <v>191</v>
      </c>
      <c r="C548" s="161">
        <v>4008754</v>
      </c>
      <c r="D548" s="161" t="s">
        <v>192</v>
      </c>
      <c r="E548" s="161"/>
      <c r="F548" s="161"/>
      <c r="G548" s="161" t="s">
        <v>136</v>
      </c>
      <c r="H548" s="162">
        <v>2018</v>
      </c>
      <c r="I548" s="163"/>
      <c r="J548" s="159">
        <f>IFERROR(INDEX('Labor Expenditures'!$F$7:$X$91,MATCH($C548,'Labor Expenditures'!$D$7:$D$91,0),MATCH($G548,'Labor Expenditures'!$F$5:$X$5,0)),"NA")</f>
        <v>14706.131845461503</v>
      </c>
      <c r="K548" s="159">
        <f t="shared" si="996"/>
        <v>101.80776632372104</v>
      </c>
      <c r="L548" s="165">
        <f t="shared" si="1002"/>
        <v>-3.2403553159193542E-2</v>
      </c>
      <c r="M548" s="76">
        <f t="shared" si="1006"/>
        <v>-1.296776514163046E-4</v>
      </c>
      <c r="N548" s="62">
        <f t="shared" si="1012"/>
        <v>114.21851110644643</v>
      </c>
      <c r="O548" s="96">
        <f t="shared" si="1007"/>
        <v>-0.37150087332018866</v>
      </c>
      <c r="P548" s="96"/>
      <c r="Q548" s="159">
        <f>IFERROR(INDEX('Non-Labor Expenditures'!$F$7:$AB$91,MATCH($C548,'Non-Labor Expenditures'!$D$7:$D$91,0),MATCH($G548,'Non-Labor Expenditures'!$F$5:$AB$5,0)),"NA")</f>
        <v>21297.225638774915</v>
      </c>
      <c r="R548" s="159">
        <f t="shared" si="997"/>
        <v>193.04604375169879</v>
      </c>
      <c r="S548" s="165">
        <f t="shared" si="1008"/>
        <v>-2.7902032513710644E-2</v>
      </c>
      <c r="T548" s="165">
        <f t="shared" si="1009"/>
        <v>-1.1166275588184348E-4</v>
      </c>
      <c r="U548" s="165"/>
      <c r="V548" s="165"/>
      <c r="W548" s="159">
        <f t="shared" si="977"/>
        <v>15504.104272814069</v>
      </c>
      <c r="X548" s="163"/>
      <c r="Y548" s="167">
        <v>779.97087370371935</v>
      </c>
      <c r="Z548" s="168">
        <v>3.2317950645645174E-2</v>
      </c>
      <c r="AA548" s="76">
        <f t="shared" si="998"/>
        <v>1.2933507377187937E-4</v>
      </c>
      <c r="AB548" s="168"/>
      <c r="AC548" s="168"/>
      <c r="AD548" s="163">
        <f t="shared" si="928"/>
        <v>51507.461757050485</v>
      </c>
      <c r="AE548" s="168">
        <f t="shared" si="1010"/>
        <v>1.8673767027958088E-2</v>
      </c>
      <c r="AF548" s="163"/>
      <c r="AG548" s="163"/>
      <c r="AH548" s="163"/>
      <c r="AI548" s="163"/>
      <c r="AJ548" s="116">
        <f t="shared" si="1011"/>
        <v>322.59707360442479</v>
      </c>
      <c r="AK548" s="114">
        <f>+AV548/$AX$23</f>
        <v>4.2742929701299294E-3</v>
      </c>
      <c r="AL548" s="115">
        <f t="shared" si="999"/>
        <v>0.28551459038744975</v>
      </c>
      <c r="AM548" s="115">
        <f t="shared" si="1000"/>
        <v>0.41347845365064395</v>
      </c>
      <c r="AN548" s="115">
        <f t="shared" si="1001"/>
        <v>0.3010069559619063</v>
      </c>
      <c r="AO548" s="115">
        <f t="shared" si="1003"/>
        <v>-1.1565182411889667E-2</v>
      </c>
      <c r="AP548" s="166">
        <f t="shared" si="1014"/>
        <v>116.07096272933974</v>
      </c>
      <c r="AQ548" s="168">
        <f t="shared" si="1015"/>
        <v>-1.1565182411889629E-2</v>
      </c>
      <c r="AR548" s="69">
        <f>+AD548/$AF$23</f>
        <v>4.0019577723226455E-3</v>
      </c>
      <c r="AS548" s="169">
        <f t="shared" si="1013"/>
        <v>-4.6283371641590858E-5</v>
      </c>
      <c r="AT548" s="115"/>
      <c r="AU548" s="115"/>
      <c r="AV548" s="113">
        <f>IFERROR(INDEX('Total Customers'!$F$7:$AB$91,MATCH($C548,'Total Customers'!$D$7:$D$91,0),MATCH($G548,'Total Customers'!$F$5:$AB$5,0)),"NA")</f>
        <v>159665</v>
      </c>
      <c r="AW548" s="68">
        <f t="shared" si="972"/>
        <v>1.9504422303901914E-2</v>
      </c>
      <c r="AX548" s="114"/>
      <c r="AY548" s="114"/>
      <c r="AZ548" s="116"/>
      <c r="BA548" s="116"/>
      <c r="BB548" s="166"/>
      <c r="BC548" s="166"/>
      <c r="BD548" s="166"/>
      <c r="BE548" s="166"/>
      <c r="BF548" s="166"/>
      <c r="BG548" s="166"/>
      <c r="BH548" s="166"/>
      <c r="BI548" s="113"/>
      <c r="BJ548" s="113"/>
      <c r="BK548" s="113">
        <f>INDEX('Dist. Plant Gas Additions'!$F$7:$AE$91,MATCH($C548,'Dist. Plant Gas Additions'!$D$7:$D$91,0),MATCH(Calculation!$G548,'Dist. Plant Gas Additions'!$F$5:$AE$5,0))</f>
        <v>23442</v>
      </c>
      <c r="BL548" s="113">
        <f>INDEX('Gen. Plant Additions'!$F$7:$AE$91,MATCH($C548,'Gen. Plant Additions'!$D$7:$D$91,0),MATCH(Calculation!$G548,'Gen. Plant Additions'!$F$5:$AE$5,0))</f>
        <v>355</v>
      </c>
      <c r="BM548" s="231">
        <f t="shared" si="978"/>
        <v>0.99092074669163099</v>
      </c>
      <c r="BN548" s="61">
        <f t="shared" si="993"/>
        <v>351.77686507552903</v>
      </c>
      <c r="BO548" s="113">
        <f>INDEX('Dist Plant Depreciation'!$E$7:$AD$94,MATCH($C548,'Dist Plant Depreciation'!$D$7:$D$94,0),MATCH(Calculation!$G548,'Dist Plant Depreciation'!$E$5:$AD$5,0))</f>
        <v>170808</v>
      </c>
      <c r="BP548" s="113">
        <f>INDEX('Gen. Plant Depreciation'!$E$7:$AD$94,MATCH($C548,'Gen. Plant Depreciation'!$D$7:$D$94,0),MATCH(Calculation!$G548,'Gen. Plant Depreciation'!$E$5:$AD$5,0))</f>
        <v>1640</v>
      </c>
      <c r="BQ548" s="113"/>
      <c r="BR548" s="113"/>
      <c r="BS548" s="113"/>
      <c r="BT548" s="113"/>
      <c r="BU548" s="113"/>
      <c r="BV548" s="113"/>
      <c r="BW548" s="113">
        <f>INDEX('Gross Dx Plant'!$E$7:$AD$91,MATCH($C548,'Gross Dx Plant'!$D$7:$D$91,0),MATCH(Calculation!$G548,'Gross Dx Plant'!$E$5:$AD$5,0))</f>
        <v>389525</v>
      </c>
      <c r="BX548" s="113">
        <f>INDEX('Gross Gen Plant'!$E$7:$AD$91,MATCH($C548,'Gross Gen Plant'!$D$7:$D$91,0),MATCH(Calculation!$G548,'Gross Gen Plant'!$E$5:$AD$5,0))</f>
        <v>3569</v>
      </c>
      <c r="BY548" s="113">
        <f t="shared" si="959"/>
        <v>220646</v>
      </c>
      <c r="BZ548" s="113"/>
      <c r="CA548" s="116">
        <v>2018</v>
      </c>
      <c r="CB548" s="113"/>
      <c r="CC548" s="113"/>
      <c r="CD548" s="113"/>
      <c r="CE548" s="175"/>
      <c r="CF548" s="113">
        <f t="shared" si="979"/>
        <v>23797</v>
      </c>
      <c r="CG548" s="113">
        <f t="shared" si="980"/>
        <v>31.513498877807592</v>
      </c>
      <c r="CH548" s="178">
        <v>0.86111111111111116</v>
      </c>
      <c r="CI548" s="61">
        <f>+CI528*CH548++CG529*CH547+CG530*CH546+CG531*CH545+CG532*CH544+CG533*CH543+CG534*CH542+CG535*CH541+CG536*CH540+CG537*CH539+CG538*CH538+CG539*CH537+CG540*CH536+CG541*CH535+CG542*CH534+CG543*CH533+CG544*CH532+CG545*CH531+CG546*CH530+CG547*CH529+CG548</f>
        <v>779.97087370371935</v>
      </c>
      <c r="CJ548" s="114">
        <f t="shared" si="981"/>
        <v>3.2317950645645174E-2</v>
      </c>
      <c r="CK548" s="114"/>
      <c r="CL548" s="169">
        <f t="shared" si="982"/>
        <v>8.8846681472581485E-3</v>
      </c>
      <c r="CM548" s="169">
        <f t="shared" si="990"/>
        <v>8.6189469457886962E-3</v>
      </c>
      <c r="CN548" s="114">
        <f>VLOOKUP($H548,RoR!$E:$F,2,FALSE)</f>
        <v>3.9299999999999995E-2</v>
      </c>
      <c r="CO548" s="169">
        <v>2.386056741932796E-2</v>
      </c>
      <c r="CP548" s="169">
        <f t="shared" si="988"/>
        <v>1.5439432580672034E-2</v>
      </c>
      <c r="CQ548" s="169">
        <f t="shared" si="991"/>
        <v>2.2282994662744929E-2</v>
      </c>
      <c r="CR548" s="169">
        <f t="shared" si="992"/>
        <v>3.8270792163076606E-2</v>
      </c>
      <c r="CS548" s="179">
        <f t="shared" si="983"/>
        <v>0.90330050000000006</v>
      </c>
      <c r="CT548" s="180">
        <f t="shared" si="984"/>
        <v>1.3048868010700074</v>
      </c>
      <c r="CU548" s="180">
        <f t="shared" si="985"/>
        <v>0.33886768447837151</v>
      </c>
      <c r="CV548" s="180">
        <f t="shared" si="986"/>
        <v>0.78602506232557801</v>
      </c>
      <c r="CW548" s="180">
        <f t="shared" si="987"/>
        <v>0.34756768162358759</v>
      </c>
      <c r="CX548" s="181">
        <f>INDEX('State Tax Lookup'!$D$7:$Z$91,MATCH(Calculation!$C548,'State Tax Lookup'!$B$7:$B$91,0),MATCH($H548,'State Tax Lookup'!$D$6:$Z$6,0))</f>
        <v>0.26134999999999997</v>
      </c>
      <c r="CY548" s="72">
        <v>0.37</v>
      </c>
      <c r="CZ548" s="70">
        <f t="shared" si="989"/>
        <v>20.530702172590367</v>
      </c>
      <c r="DA548" s="70">
        <v>19.050901628905343</v>
      </c>
      <c r="DB548" s="69">
        <f t="shared" si="994"/>
        <v>4.4979471819112056E-2</v>
      </c>
      <c r="DC548" s="111">
        <f>VLOOKUP($H548,RoR!$E:$F,2,FALSE)</f>
        <v>3.9299999999999995E-2</v>
      </c>
      <c r="DD548" s="216">
        <f>HLOOKUP($H548,'GDP-PI'!$D$8:$CQ$11,3,FALSE)</f>
        <v>2.386056741932796E-2</v>
      </c>
      <c r="DE548" s="111">
        <f>VLOOKUP(H548,'HW Dx Data'!$E:$F,2,FALSE)</f>
        <v>755.13671434174842</v>
      </c>
      <c r="DF548" s="72">
        <f t="shared" si="1004"/>
        <v>144.44999999999999</v>
      </c>
      <c r="DG548" s="69">
        <f t="shared" si="1005"/>
        <v>2.80818733619915E-2</v>
      </c>
      <c r="DH548" s="66">
        <f>HLOOKUP(H548,'GDP-PI'!$8:$9,2,FALSE)</f>
        <v>110.322</v>
      </c>
      <c r="DI548" s="69">
        <f t="shared" si="995"/>
        <v>2.3580352716508712E-2</v>
      </c>
      <c r="EB548"/>
    </row>
    <row r="549" spans="1:132" s="160" customFormat="1" ht="21">
      <c r="A549" s="160" t="s">
        <v>191</v>
      </c>
      <c r="B549" s="161" t="s">
        <v>191</v>
      </c>
      <c r="C549" s="161">
        <v>4008754</v>
      </c>
      <c r="D549" s="161" t="s">
        <v>192</v>
      </c>
      <c r="E549" s="161"/>
      <c r="F549" s="161"/>
      <c r="G549" s="161" t="s">
        <v>140</v>
      </c>
      <c r="H549" s="162">
        <v>2019</v>
      </c>
      <c r="I549" s="163"/>
      <c r="J549" s="159">
        <f>IFERROR(INDEX('Labor Expenditures'!$F$7:$X$91,MATCH($C549,'Labor Expenditures'!$D$7:$D$91,0),MATCH($G549,'Labor Expenditures'!$F$5:$X$5,0)),"NA")</f>
        <v>16335.394915648687</v>
      </c>
      <c r="K549" s="159">
        <f t="shared" si="996"/>
        <v>109.13910082277391</v>
      </c>
      <c r="L549" s="165">
        <f t="shared" si="1002"/>
        <v>6.9536831750286021E-2</v>
      </c>
      <c r="M549" s="76">
        <f t="shared" si="1006"/>
        <v>2.9446831283812914E-4</v>
      </c>
      <c r="N549" s="62">
        <f t="shared" si="1012"/>
        <v>115.49405342896361</v>
      </c>
      <c r="O549" s="96">
        <f t="shared" si="1007"/>
        <v>1.1105665335050507E-2</v>
      </c>
      <c r="P549" s="96"/>
      <c r="Q549" s="159">
        <f>IFERROR(INDEX('Non-Labor Expenditures'!$F$7:$AB$91,MATCH($C549,'Non-Labor Expenditures'!$D$7:$D$91,0),MATCH($G549,'Non-Labor Expenditures'!$F$5:$AB$5,0)),"NA")</f>
        <v>23656.702868771878</v>
      </c>
      <c r="R549" s="159">
        <f t="shared" si="997"/>
        <v>210.622543748748</v>
      </c>
      <c r="S549" s="165">
        <f t="shared" si="1008"/>
        <v>8.7138910198055766E-2</v>
      </c>
      <c r="T549" s="165">
        <f t="shared" si="1009"/>
        <v>3.6900800946354853E-4</v>
      </c>
      <c r="U549" s="165"/>
      <c r="V549" s="165"/>
      <c r="W549" s="159">
        <f t="shared" si="977"/>
        <v>16199.721981910938</v>
      </c>
      <c r="X549" s="163"/>
      <c r="Y549" s="167">
        <v>799.84459766346913</v>
      </c>
      <c r="Z549" s="168">
        <v>2.5160878296779616E-2</v>
      </c>
      <c r="AA549" s="76">
        <f t="shared" si="998"/>
        <v>1.0654902150539406E-4</v>
      </c>
      <c r="AB549" s="168"/>
      <c r="AC549" s="168"/>
      <c r="AD549" s="163">
        <f t="shared" si="928"/>
        <v>56191.8197663315</v>
      </c>
      <c r="AE549" s="168">
        <f t="shared" si="1010"/>
        <v>8.7044504885367219E-2</v>
      </c>
      <c r="AF549" s="163"/>
      <c r="AG549" s="163"/>
      <c r="AH549" s="163"/>
      <c r="AI549" s="163"/>
      <c r="AJ549" s="116">
        <f t="shared" si="1011"/>
        <v>345.10560274117307</v>
      </c>
      <c r="AK549" s="114">
        <f>+AV549/$AX$24</f>
        <v>4.3229388369665708E-3</v>
      </c>
      <c r="AL549" s="115">
        <f t="shared" si="999"/>
        <v>0.29070770413875047</v>
      </c>
      <c r="AM549" s="115">
        <f t="shared" si="1000"/>
        <v>0.42099905230238305</v>
      </c>
      <c r="AN549" s="115">
        <f t="shared" si="1001"/>
        <v>0.28829324355886654</v>
      </c>
      <c r="AO549" s="115">
        <f t="shared" si="1003"/>
        <v>6.3805721899590301E-2</v>
      </c>
      <c r="AP549" s="166">
        <f t="shared" si="1014"/>
        <v>123.71833298499853</v>
      </c>
      <c r="AQ549" s="168">
        <f t="shared" si="1015"/>
        <v>6.3805721899590287E-2</v>
      </c>
      <c r="AR549" s="69">
        <f>+AD549/$AF$24</f>
        <v>4.2347099432944457E-3</v>
      </c>
      <c r="AS549" s="169">
        <f t="shared" si="1013"/>
        <v>2.7019872496727515E-4</v>
      </c>
      <c r="AT549" s="115"/>
      <c r="AU549" s="115"/>
      <c r="AV549" s="113">
        <f>IFERROR(INDEX('Total Customers'!$F$7:$AB$91,MATCH($C549,'Total Customers'!$D$7:$D$91,0),MATCH($G549,'Total Customers'!$F$5:$AB$5,0)),"NA")</f>
        <v>162825</v>
      </c>
      <c r="AW549" s="68">
        <f t="shared" si="972"/>
        <v>1.9598134157501394E-2</v>
      </c>
      <c r="AX549" s="114"/>
      <c r="AY549" s="114"/>
      <c r="AZ549" s="116"/>
      <c r="BA549" s="116"/>
      <c r="BB549" s="166"/>
      <c r="BC549" s="166"/>
      <c r="BD549" s="166"/>
      <c r="BE549" s="166"/>
      <c r="BF549" s="166"/>
      <c r="BG549" s="166"/>
      <c r="BH549" s="166"/>
      <c r="BI549" s="113"/>
      <c r="BJ549" s="113"/>
      <c r="BK549" s="113">
        <f>INDEX('Dist. Plant Gas Additions'!$F$7:$AE$91,MATCH($C549,'Dist. Plant Gas Additions'!$D$7:$D$91,0),MATCH(Calculation!$G549,'Dist. Plant Gas Additions'!$F$5:$AE$5,0))</f>
        <v>20698</v>
      </c>
      <c r="BL549" s="113">
        <f>INDEX('Gen. Plant Additions'!$F$7:$AE$91,MATCH($C549,'Gen. Plant Additions'!$D$7:$D$91,0),MATCH(Calculation!$G549,'Gen. Plant Additions'!$F$5:$AE$5,0))</f>
        <v>192</v>
      </c>
      <c r="BM549" s="231">
        <f t="shared" si="978"/>
        <v>0.98639159597601478</v>
      </c>
      <c r="BN549" s="61">
        <f t="shared" si="993"/>
        <v>189.38718642739485</v>
      </c>
      <c r="BO549" s="113">
        <f>INDEX('Dist Plant Depreciation'!$E$7:$AD$94,MATCH($C549,'Dist Plant Depreciation'!$D$7:$D$94,0),MATCH(Calculation!$G549,'Dist Plant Depreciation'!$E$5:$AD$5,0))</f>
        <v>175337</v>
      </c>
      <c r="BP549" s="113">
        <f>INDEX('Gen. Plant Depreciation'!$E$7:$AD$94,MATCH($C549,'Gen. Plant Depreciation'!$D$7:$D$94,0),MATCH(Calculation!$G549,'Gen. Plant Depreciation'!$E$5:$AD$5,0))</f>
        <v>2479</v>
      </c>
      <c r="BQ549" s="113"/>
      <c r="BR549" s="113"/>
      <c r="BS549" s="113"/>
      <c r="BT549" s="113"/>
      <c r="BU549" s="113"/>
      <c r="BV549" s="113"/>
      <c r="BW549" s="113">
        <f>INDEX('Gross Dx Plant'!$E$7:$AD$91,MATCH($C549,'Gross Dx Plant'!$D$7:$D$91,0),MATCH(Calculation!$G549,'Gross Dx Plant'!$E$5:$AD$5,0))</f>
        <v>407795</v>
      </c>
      <c r="BX549" s="113">
        <f>INDEX('Gross Gen Plant'!$E$7:$AD$91,MATCH($C549,'Gross Gen Plant'!$D$7:$D$91,0),MATCH(Calculation!$G549,'Gross Gen Plant'!$E$5:$AD$5,0))</f>
        <v>5626</v>
      </c>
      <c r="BY549" s="113">
        <f t="shared" si="959"/>
        <v>235605</v>
      </c>
      <c r="BZ549" s="113"/>
      <c r="CA549" s="116">
        <v>2019</v>
      </c>
      <c r="CB549" s="113"/>
      <c r="CC549" s="113"/>
      <c r="CD549" s="113"/>
      <c r="CE549" s="175"/>
      <c r="CF549" s="113">
        <f t="shared" si="979"/>
        <v>20890</v>
      </c>
      <c r="CG549" s="113">
        <f t="shared" si="980"/>
        <v>27.005738500485197</v>
      </c>
      <c r="CH549" s="178">
        <v>0.85106382978723405</v>
      </c>
      <c r="CI549" s="61">
        <f>CI528*CH549+CG529*CH548+CG530*CH547+CG531*CH546+CG532*CH545+CG533*CH544+CG534*CH543+CG535*CH542+CG536*CH541+CG537*CH540+CG538*CH539+CG539*CH538+CG540*CH537+CG541*CH536+CG542*CH535+CG543*CH534+CG544*CH533+CG545*CH532+CG546*CH531+CG547*CH530+CG548*CH529+CG549</f>
        <v>799.84459766346913</v>
      </c>
      <c r="CJ549" s="114">
        <f t="shared" si="981"/>
        <v>2.5160878296779616E-2</v>
      </c>
      <c r="CK549" s="114"/>
      <c r="CL549" s="169">
        <f t="shared" si="982"/>
        <v>9.1439498334967197E-3</v>
      </c>
      <c r="CM549" s="169">
        <f t="shared" si="990"/>
        <v>8.8833118416974978E-3</v>
      </c>
      <c r="CN549" s="114">
        <f>VLOOKUP($H549,RoR!$E:$F,2,FALSE)</f>
        <v>3.3875000000000009E-2</v>
      </c>
      <c r="CO549" s="169">
        <v>1.8092492884465461E-2</v>
      </c>
      <c r="CP549" s="169">
        <f t="shared" si="988"/>
        <v>1.5782507115534548E-2</v>
      </c>
      <c r="CQ549" s="169">
        <f t="shared" si="991"/>
        <v>2.2018629766836127E-2</v>
      </c>
      <c r="CR549" s="169">
        <f t="shared" si="992"/>
        <v>4.8445665544254078E-2</v>
      </c>
      <c r="CS549" s="179">
        <f t="shared" si="983"/>
        <v>0.90330050000000006</v>
      </c>
      <c r="CT549" s="180">
        <f t="shared" si="984"/>
        <v>1.513861292459078</v>
      </c>
      <c r="CU549" s="180">
        <f t="shared" si="985"/>
        <v>0.23699261992619944</v>
      </c>
      <c r="CV549" s="180">
        <f t="shared" si="986"/>
        <v>0.73619765810468829</v>
      </c>
      <c r="CW549" s="180">
        <f t="shared" si="987"/>
        <v>0.26412854465362851</v>
      </c>
      <c r="CX549" s="181">
        <f>INDEX('State Tax Lookup'!$D$7:$Z$91,MATCH(Calculation!$C549,'State Tax Lookup'!$B$7:$B$91,0),MATCH($H549,'State Tax Lookup'!$D$6:$Z$6,0))</f>
        <v>0.26134999999999997</v>
      </c>
      <c r="CY549" s="72">
        <v>0.37</v>
      </c>
      <c r="CZ549" s="70">
        <f t="shared" si="989"/>
        <v>20.769649903702152</v>
      </c>
      <c r="DA549" s="70">
        <v>19.236104090735289</v>
      </c>
      <c r="DB549" s="69">
        <f t="shared" si="994"/>
        <v>1.1571349166497977E-2</v>
      </c>
      <c r="DC549" s="111">
        <f>VLOOKUP($H549,RoR!$E:$F,2,FALSE)</f>
        <v>3.3875000000000009E-2</v>
      </c>
      <c r="DD549" s="216">
        <f>HLOOKUP($H549,'GDP-PI'!$D$8:$CQ$11,3,FALSE)</f>
        <v>1.8092492884465461E-2</v>
      </c>
      <c r="DE549" s="111">
        <f>VLOOKUP(H549,'HW Dx Data'!$E:$F,2,FALSE)</f>
        <v>773.53929793938721</v>
      </c>
      <c r="DF549" s="72">
        <f t="shared" si="1004"/>
        <v>149.67500000000001</v>
      </c>
      <c r="DG549" s="69">
        <f t="shared" si="1005"/>
        <v>3.5532849899171604E-2</v>
      </c>
      <c r="DH549" s="66">
        <f>HLOOKUP(H549,'GDP-PI'!$8:$9,2,FALSE)</f>
        <v>112.318</v>
      </c>
      <c r="DI549" s="69">
        <f t="shared" si="995"/>
        <v>1.7930771451401852E-2</v>
      </c>
      <c r="EB549"/>
    </row>
    <row r="550" spans="1:132" s="160" customFormat="1" ht="21">
      <c r="A550" s="160" t="s">
        <v>191</v>
      </c>
      <c r="B550" s="160" t="s">
        <v>191</v>
      </c>
      <c r="C550" s="160">
        <v>4008754</v>
      </c>
      <c r="D550" s="160" t="s">
        <v>192</v>
      </c>
      <c r="G550" s="161" t="s">
        <v>141</v>
      </c>
      <c r="H550" s="162">
        <v>2020</v>
      </c>
      <c r="I550" s="163"/>
      <c r="J550" s="159">
        <f>IFERROR(INDEX('Labor Expenditures'!$F$7:$X$91,MATCH($C550,'Labor Expenditures'!$D$7:$D$91,0),MATCH($G550,'Labor Expenditures'!$F$5:$X$5,0)),"NA")</f>
        <v>16863.034662261791</v>
      </c>
      <c r="K550" s="159">
        <f t="shared" si="996"/>
        <v>110.10796384108254</v>
      </c>
      <c r="L550" s="165">
        <f t="shared" si="1002"/>
        <v>8.8381509372708889E-3</v>
      </c>
      <c r="M550" s="76">
        <f t="shared" si="1006"/>
        <v>3.7824810479782072E-5</v>
      </c>
      <c r="N550" s="62">
        <f t="shared" si="1012"/>
        <v>115.57606131303986</v>
      </c>
      <c r="O550" s="96">
        <f t="shared" si="1007"/>
        <v>7.098095537884006E-4</v>
      </c>
      <c r="P550" s="96"/>
      <c r="Q550" s="159">
        <f>IFERROR(INDEX('Non-Labor Expenditures'!$F$7:$AB$91,MATCH($C550,'Non-Labor Expenditures'!$D$7:$D$91,0),MATCH($G550,'Non-Labor Expenditures'!$F$5:$AB$5,0)),"NA")</f>
        <v>24420.823771378451</v>
      </c>
      <c r="R550" s="159">
        <f t="shared" si="997"/>
        <v>214.92852478264479</v>
      </c>
      <c r="S550" s="165">
        <f t="shared" si="1008"/>
        <v>2.0237890673246432E-2</v>
      </c>
      <c r="T550" s="165">
        <f t="shared" si="1009"/>
        <v>8.6612503526950472E-5</v>
      </c>
      <c r="U550" s="165"/>
      <c r="V550" s="165"/>
      <c r="W550" s="159">
        <f t="shared" si="977"/>
        <v>17249.390907196204</v>
      </c>
      <c r="X550" s="163"/>
      <c r="Y550" s="167">
        <v>821.99814735314169</v>
      </c>
      <c r="Z550" s="168">
        <v>2.7320685347623757E-2</v>
      </c>
      <c r="AA550" s="76">
        <f t="shared" si="998"/>
        <v>1.1692488087001698E-4</v>
      </c>
      <c r="AB550" s="168"/>
      <c r="AC550" s="168"/>
      <c r="AD550" s="163">
        <f t="shared" si="928"/>
        <v>58533.249340836446</v>
      </c>
      <c r="AE550" s="168">
        <f t="shared" si="1010"/>
        <v>4.0823767034183792E-2</v>
      </c>
      <c r="AF550" s="163"/>
      <c r="AG550" s="163"/>
      <c r="AH550" s="163"/>
      <c r="AI550" s="163"/>
      <c r="AJ550" s="116">
        <f t="shared" si="1011"/>
        <v>352.89480267707933</v>
      </c>
      <c r="AK550" s="114">
        <f>+AV550/$AX$25</f>
        <v>4.3725793148522048E-3</v>
      </c>
      <c r="AL550" s="115">
        <f t="shared" si="999"/>
        <v>0.28809326070502439</v>
      </c>
      <c r="AM550" s="115">
        <f t="shared" si="1000"/>
        <v>0.41721284989967167</v>
      </c>
      <c r="AN550" s="115">
        <f t="shared" si="1001"/>
        <v>0.29469388939530394</v>
      </c>
      <c r="AO550" s="115">
        <f t="shared" si="1003"/>
        <v>1.9003389574430304E-2</v>
      </c>
      <c r="AP550" s="166">
        <f t="shared" si="1014"/>
        <v>126.0918819729429</v>
      </c>
      <c r="AQ550" s="168">
        <f t="shared" si="1015"/>
        <v>1.9003389574430245E-2</v>
      </c>
      <c r="AR550" s="69">
        <f>+AD550/$AF$25</f>
        <v>4.2797199038854504E-3</v>
      </c>
      <c r="AS550" s="169">
        <f t="shared" si="1013"/>
        <v>8.1329184602978378E-5</v>
      </c>
      <c r="AT550" s="115"/>
      <c r="AU550" s="115"/>
      <c r="AV550" s="113">
        <f>IFERROR(INDEX('Total Customers'!$F$7:$AB$91,MATCH($C550,'Total Customers'!$D$7:$D$91,0),MATCH($G550,'Total Customers'!$F$5:$AB$5,0)),"NA")</f>
        <v>165866</v>
      </c>
      <c r="AW550" s="68">
        <f t="shared" si="972"/>
        <v>1.8504229023712938E-2</v>
      </c>
      <c r="AX550" s="114"/>
      <c r="AY550" s="114"/>
      <c r="AZ550" s="116"/>
      <c r="BA550" s="116"/>
      <c r="BB550" s="166"/>
      <c r="BC550" s="166"/>
      <c r="BD550" s="166"/>
      <c r="BE550" s="166"/>
      <c r="BF550" s="166"/>
      <c r="BG550" s="166"/>
      <c r="BH550" s="166"/>
      <c r="BI550" s="113"/>
      <c r="BJ550" s="113"/>
      <c r="BK550" s="113">
        <f>INDEX('Dist. Plant Gas Additions'!$F$7:$AE$91,MATCH($C550,'Dist. Plant Gas Additions'!$D$7:$D$91,0),MATCH(Calculation!$G550,'Dist. Plant Gas Additions'!$F$5:$AE$5,0))</f>
        <v>23919</v>
      </c>
      <c r="BL550" s="113">
        <f>INDEX('Gen. Plant Additions'!$F$7:$AE$91,MATCH($C550,'Gen. Plant Additions'!$D$7:$D$91,0),MATCH(Calculation!$G550,'Gen. Plant Additions'!$F$5:$AE$5,0))</f>
        <v>235</v>
      </c>
      <c r="BM550" s="231">
        <f t="shared" si="978"/>
        <v>0.98598145897775813</v>
      </c>
      <c r="BN550" s="61">
        <f>+BM550*BL550</f>
        <v>231.70564285977315</v>
      </c>
      <c r="BO550" s="113">
        <f>INDEX('Dist Plant Depreciation'!$E$7:$AD$94,MATCH($C550,'Dist Plant Depreciation'!$D$7:$D$94,0),MATCH(Calculation!$G550,'Dist Plant Depreciation'!$E$5:$AD$5,0))</f>
        <v>179298</v>
      </c>
      <c r="BP550" s="113">
        <f>INDEX('Gen. Plant Depreciation'!$E$7:$AD$94,MATCH($C550,'Gen. Plant Depreciation'!$D$7:$D$94,0),MATCH(Calculation!$G550,'Gen. Plant Depreciation'!$E$5:$AD$5,0))</f>
        <v>2851</v>
      </c>
      <c r="BQ550" s="113"/>
      <c r="BR550" s="113"/>
      <c r="BS550" s="113"/>
      <c r="BT550" s="113"/>
      <c r="BU550" s="113"/>
      <c r="BV550" s="113"/>
      <c r="BW550" s="113">
        <f>INDEX('Gross Dx Plant'!$E$7:$AD$91,MATCH($C550,'Gross Dx Plant'!$D$7:$D$91,0),MATCH(Calculation!$G550,'Gross Dx Plant'!$E$5:$AD$5,0))</f>
        <v>428405</v>
      </c>
      <c r="BX550" s="113">
        <f>INDEX('Gross Gen Plant'!$E$7:$AD$91,MATCH($C550,'Gross Gen Plant'!$D$7:$D$91,0),MATCH(Calculation!$G550,'Gross Gen Plant'!$E$5:$AD$5,0))</f>
        <v>6091</v>
      </c>
      <c r="BY550" s="113">
        <f t="shared" si="959"/>
        <v>252347</v>
      </c>
      <c r="BZ550" s="113"/>
      <c r="CA550" s="116">
        <v>2020</v>
      </c>
      <c r="CB550" s="113"/>
      <c r="CC550" s="113"/>
      <c r="CD550" s="113"/>
      <c r="CE550" s="175"/>
      <c r="CF550" s="113">
        <f t="shared" si="979"/>
        <v>24154</v>
      </c>
      <c r="CG550" s="113">
        <f t="shared" si="980"/>
        <v>29.706787983802197</v>
      </c>
      <c r="CH550" s="178">
        <v>0.84057971014492749</v>
      </c>
      <c r="CI550" s="61">
        <f>CI528*CH550+CG529*CH549+CG530*CH548+CG531*CH547+CG532*CH546+CG533*CH545+CG534*CH544+CG535*CH543+CG536*CH542+CG537*CH541+CG538*CH540+CG539*CH539+CG540*CH538+CG541*CH537+CG542*CH536+CG543*CH535+CG544*CH534+CG545*CH533+CG546*CH532+CG547*CH531+CG548*CH530+CG549*CH529+CG550</f>
        <v>821.99814735314169</v>
      </c>
      <c r="CJ550" s="114">
        <f t="shared" si="981"/>
        <v>2.7320685347623757E-2</v>
      </c>
      <c r="CK550" s="114"/>
      <c r="CL550" s="169">
        <f t="shared" si="982"/>
        <v>9.4433822722493743E-3</v>
      </c>
      <c r="CM550" s="169">
        <f t="shared" si="990"/>
        <v>9.1573334176680808E-3</v>
      </c>
      <c r="CN550" s="114">
        <f>VLOOKUP($H550,RoR!$E:$F,2,FALSE)</f>
        <v>2.4766666666666666E-2</v>
      </c>
      <c r="CO550" s="169">
        <v>1.1618796630994188E-2</v>
      </c>
      <c r="CP550" s="169">
        <f t="shared" si="988"/>
        <v>1.3147870035672478E-2</v>
      </c>
      <c r="CQ550" s="169">
        <f t="shared" si="991"/>
        <v>2.1744608190865544E-2</v>
      </c>
      <c r="CR550" s="169">
        <f t="shared" si="992"/>
        <v>4.5144642961987357E-2</v>
      </c>
      <c r="CS550" s="179">
        <f t="shared" si="983"/>
        <v>0.90330050000000006</v>
      </c>
      <c r="CT550" s="180">
        <f t="shared" si="984"/>
        <v>2.0706077233668081</v>
      </c>
      <c r="CU550" s="180">
        <f t="shared" si="985"/>
        <v>-3.4421265141318998E-2</v>
      </c>
      <c r="CV550" s="180">
        <f t="shared" si="986"/>
        <v>0.62416226176410472</v>
      </c>
      <c r="CW550" s="180">
        <f t="shared" si="987"/>
        <v>-4.4485877841158712E-2</v>
      </c>
      <c r="CX550" s="181">
        <f>INDEX('State Tax Lookup'!$D$7:$Z$91,MATCH(Calculation!$C550,'State Tax Lookup'!$B$7:$B$91,0),MATCH($H550,'State Tax Lookup'!$D$6:$Z$6,0))</f>
        <v>0.26134999999999997</v>
      </c>
      <c r="CY550" s="72">
        <v>0.37</v>
      </c>
      <c r="CZ550" s="70">
        <f t="shared" si="989"/>
        <v>21.565927878472468</v>
      </c>
      <c r="DA550" s="70">
        <v>19.952659173050833</v>
      </c>
      <c r="DB550" s="69">
        <f t="shared" si="994"/>
        <v>3.7621874348789316E-2</v>
      </c>
      <c r="DC550" s="111">
        <f>VLOOKUP($H550,RoR!$E:$F,2,FALSE)</f>
        <v>2.4766666666666666E-2</v>
      </c>
      <c r="DD550" s="216">
        <f>HLOOKUP($H550,'GDP-PI'!$D$8:$CQ$11,3,FALSE)</f>
        <v>1.1618796630994188E-2</v>
      </c>
      <c r="DE550" s="111">
        <f>VLOOKUP(H550,'HW Dx Data'!$E:$F,2,FALSE)</f>
        <v>813.080162458833</v>
      </c>
      <c r="DF550" s="72">
        <f t="shared" si="1004"/>
        <v>153.15</v>
      </c>
      <c r="DG550" s="69">
        <f t="shared" si="1005"/>
        <v>2.2951556467368479E-2</v>
      </c>
      <c r="DH550" s="66">
        <f>HLOOKUP(H550,'GDP-PI'!$8:$9,2,FALSE)</f>
        <v>113.623</v>
      </c>
      <c r="DI550" s="69">
        <f t="shared" si="995"/>
        <v>1.1551816731392881E-2</v>
      </c>
      <c r="EB550"/>
    </row>
    <row r="551" spans="1:132" s="160" customFormat="1" ht="21">
      <c r="A551" s="160" t="s">
        <v>191</v>
      </c>
      <c r="B551" s="160" t="s">
        <v>191</v>
      </c>
      <c r="C551" s="160">
        <v>4008754</v>
      </c>
      <c r="D551" s="160" t="s">
        <v>192</v>
      </c>
      <c r="G551" s="161" t="s">
        <v>142</v>
      </c>
      <c r="H551" s="162">
        <v>2021</v>
      </c>
      <c r="I551" s="163"/>
      <c r="J551" s="159">
        <v>17923.407695417431</v>
      </c>
      <c r="K551" s="159">
        <f t="shared" si="996"/>
        <v>113.98033510599321</v>
      </c>
      <c r="L551" s="164">
        <f t="shared" si="1002"/>
        <v>3.4564560533634485E-2</v>
      </c>
      <c r="M551" s="76">
        <f t="shared" si="1006"/>
        <v>1.4504032101069048E-4</v>
      </c>
      <c r="N551" s="166">
        <f>+N550*EXP(O551)</f>
        <v>119.55657605505529</v>
      </c>
      <c r="O551" s="114">
        <f t="shared" si="1007"/>
        <v>3.38608463988695E-2</v>
      </c>
      <c r="P551" s="114"/>
      <c r="Q551" s="159">
        <v>25265.526510407704</v>
      </c>
      <c r="R551" s="159">
        <f t="shared" si="997"/>
        <v>213.22918820497685</v>
      </c>
      <c r="S551" s="165">
        <f t="shared" si="1008"/>
        <v>-7.9379417872175451E-3</v>
      </c>
      <c r="T551" s="165">
        <f t="shared" si="1009"/>
        <v>-3.3309308933983568E-5</v>
      </c>
      <c r="U551" s="165"/>
      <c r="V551" s="165"/>
      <c r="W551" s="159">
        <f t="shared" si="977"/>
        <v>21106.96780892626</v>
      </c>
      <c r="X551" s="163"/>
      <c r="Y551" s="167">
        <v>842.30168079361761</v>
      </c>
      <c r="Z551" s="168"/>
      <c r="AA551" s="76">
        <f t="shared" si="998"/>
        <v>0</v>
      </c>
      <c r="AB551" s="168"/>
      <c r="AC551" s="168"/>
      <c r="AD551" s="163">
        <f t="shared" si="928"/>
        <v>64295.902014751395</v>
      </c>
      <c r="AE551" s="168">
        <f t="shared" si="1010"/>
        <v>9.3900939357777394E-2</v>
      </c>
      <c r="AF551" s="113"/>
      <c r="AG551" s="114"/>
      <c r="AH551" s="114"/>
      <c r="AI551" s="114"/>
      <c r="AJ551" s="116">
        <f t="shared" si="1011"/>
        <v>383.22923703763036</v>
      </c>
      <c r="AK551" s="114">
        <f>+AV551/$AX$26</f>
        <v>4.3457701483524515E-3</v>
      </c>
      <c r="AL551" s="115">
        <f t="shared" si="999"/>
        <v>0.27876438674591214</v>
      </c>
      <c r="AM551" s="115">
        <f t="shared" si="1000"/>
        <v>0.39295702709965935</v>
      </c>
      <c r="AN551" s="115">
        <f t="shared" si="1001"/>
        <v>0.32827858615442851</v>
      </c>
      <c r="AO551" s="115">
        <f t="shared" si="1003"/>
        <v>6.5810520739468231E-3</v>
      </c>
      <c r="AP551" s="166">
        <f t="shared" si="1014"/>
        <v>126.92443574934697</v>
      </c>
      <c r="AQ551" s="168">
        <f t="shared" si="1015"/>
        <v>6.5810520739468248E-3</v>
      </c>
      <c r="AR551" s="69">
        <f>+AD551/$AF$26</f>
        <v>4.1962148157374361E-3</v>
      </c>
      <c r="AS551" s="169">
        <f t="shared" si="1013"/>
        <v>2.7615508215835246E-5</v>
      </c>
      <c r="AT551" s="115"/>
      <c r="AU551" s="115"/>
      <c r="AV551" s="113">
        <f>INDEX('Total Customers'!$E$7:$E$91,MATCH(Calculation!$C551,'Total Customers'!$D$7:$D$91,0))</f>
        <v>167774</v>
      </c>
      <c r="AW551" s="68">
        <f t="shared" si="972"/>
        <v>1.1437602206779748E-2</v>
      </c>
      <c r="AX551" s="113"/>
      <c r="AY551" s="113"/>
      <c r="AZ551" s="116"/>
      <c r="BA551" s="116"/>
      <c r="BB551" s="166"/>
      <c r="BC551" s="166"/>
      <c r="BD551" s="166"/>
      <c r="BE551" s="166"/>
      <c r="BF551" s="166"/>
      <c r="BG551" s="166"/>
      <c r="BH551" s="166"/>
      <c r="BI551" s="113"/>
      <c r="BJ551" s="113"/>
      <c r="BK551" s="113">
        <f>INDEX('Dist. Plant Gas Additions'!$E$7:$AE$91,MATCH($C551,'Dist. Plant Gas Additions'!$D$7:$D$91,0),MATCH(Calculation!$G551,'Dist. Plant Gas Additions'!$E$5:$AE$5,0))</f>
        <v>23646</v>
      </c>
      <c r="BL551" s="113">
        <f>INDEX('Gen. Plant Additions'!$E$7:$AE$91,MATCH($C551,'Gen. Plant Additions'!$D$7:$D$91,0),MATCH(Calculation!$G551,'Gen. Plant Additions'!$E$5:$AE$5,0))</f>
        <v>180</v>
      </c>
      <c r="BM551" s="232">
        <v>0.98598145897775813</v>
      </c>
      <c r="BN551" s="61">
        <f t="shared" ref="BN551:BN567" si="1016">+BM551*BL551</f>
        <v>177.47666261599647</v>
      </c>
      <c r="BO551" s="113"/>
      <c r="BP551" s="113"/>
      <c r="BQ551" s="175"/>
      <c r="BR551" s="175"/>
      <c r="BS551" s="170"/>
      <c r="BT551" s="176"/>
      <c r="BU551" s="177"/>
      <c r="BV551" s="177"/>
      <c r="BW551" s="113"/>
      <c r="BX551" s="113"/>
      <c r="BY551" s="113"/>
      <c r="BZ551" s="113"/>
      <c r="CA551" s="116">
        <v>2021</v>
      </c>
      <c r="CB551" s="113"/>
      <c r="CC551" s="113"/>
      <c r="CD551" s="113"/>
      <c r="CE551" s="175"/>
      <c r="CF551" s="113">
        <f t="shared" si="979"/>
        <v>23826</v>
      </c>
      <c r="CG551" s="113">
        <f t="shared" si="980"/>
        <v>25.536361684744502</v>
      </c>
      <c r="CH551" s="178">
        <f>+(51-23)/(51-23*0.75)</f>
        <v>0.82962962962962961</v>
      </c>
      <c r="CI551" s="113">
        <f>CI528*CH551+CG529*CH550+CG530*CH549+CG531*CH548+CG532*CH547+CG533*CH546+CG534*CH545+CG535*CH544+CG536*CH543+CG537*CH542+CG538*CH541+CG539*CH540+CG540*CH539+CG541*CH538+CG542*CH537+CG533*CH536+CG544*CH535+CG545*CH534+CG546*CH533+CG547*CH532+CG548*CH531+CG549*CH530+CG551+CG550*CH529</f>
        <v>842.30168079361761</v>
      </c>
      <c r="CJ551" s="114"/>
      <c r="CK551" s="113"/>
      <c r="CL551" s="169">
        <f t="shared" si="982"/>
        <v>6.3659854479215638E-3</v>
      </c>
      <c r="CM551" s="169">
        <f t="shared" si="990"/>
        <v>8.3177725178892187E-3</v>
      </c>
      <c r="CN551" s="114">
        <f>VLOOKUP($H551,RoR!$E:$F,2,FALSE)</f>
        <v>2.7033333333333336E-2</v>
      </c>
      <c r="CO551" s="169"/>
      <c r="CP551" s="169"/>
      <c r="CQ551" s="169">
        <f t="shared" si="991"/>
        <v>2.2584169090644406E-2</v>
      </c>
      <c r="CR551" s="169">
        <f t="shared" si="992"/>
        <v>7.433422950153494E-2</v>
      </c>
      <c r="CS551" s="179">
        <f t="shared" si="983"/>
        <v>0.90330050000000006</v>
      </c>
      <c r="CT551" s="180">
        <f t="shared" si="984"/>
        <v>1.8969932656739068</v>
      </c>
      <c r="CU551" s="180">
        <f t="shared" si="985"/>
        <v>5.0215782983970621E-2</v>
      </c>
      <c r="CV551" s="180">
        <f t="shared" si="986"/>
        <v>0.655952481704143</v>
      </c>
      <c r="CW551" s="180">
        <f t="shared" si="987"/>
        <v>6.2485378865697057E-2</v>
      </c>
      <c r="CX551" s="181">
        <f>CX550</f>
        <v>0.26134999999999997</v>
      </c>
      <c r="CY551" s="72">
        <v>0.37</v>
      </c>
      <c r="CZ551" s="182">
        <f t="shared" si="989"/>
        <v>25.677634282864648</v>
      </c>
      <c r="DA551" s="182"/>
      <c r="DB551" s="169">
        <f t="shared" si="994"/>
        <v>0.17450569540614883</v>
      </c>
      <c r="DC551" s="181">
        <f>VLOOKUP($H551,RoR!$E:$F,2,FALSE)</f>
        <v>2.7033333333333336E-2</v>
      </c>
      <c r="DD551" s="183">
        <f>HLOOKUP($H551,'GDP-PI'!$D$8:$CR$11,3,FALSE)</f>
        <v>4.2834637353352578E-2</v>
      </c>
      <c r="DE551" s="181">
        <f>VLOOKUP(H551,'HW Dx Data'!$E:$F,2,FALSE)</f>
        <v>933.02249921662576</v>
      </c>
      <c r="DF551" s="72">
        <f t="shared" si="1004"/>
        <v>157.25</v>
      </c>
      <c r="DG551" s="69">
        <f t="shared" si="1005"/>
        <v>2.6419062301765574E-2</v>
      </c>
      <c r="DH551" s="175">
        <f>HLOOKUP(H551,'GDP-PI'!$8:$9,2,FALSE)</f>
        <v>118.49</v>
      </c>
      <c r="DI551" s="169">
        <f t="shared" si="995"/>
        <v>4.194261824609434E-2</v>
      </c>
      <c r="EB551"/>
    </row>
    <row r="552" spans="1:132" s="160" customFormat="1" ht="21">
      <c r="G552" s="161" t="s">
        <v>144</v>
      </c>
      <c r="H552" s="162"/>
      <c r="I552" s="163"/>
      <c r="J552" s="159">
        <v>18237.104119265525</v>
      </c>
      <c r="K552" s="159">
        <f t="shared" si="996"/>
        <v>112.1938118687513</v>
      </c>
      <c r="L552" s="164">
        <f t="shared" ref="L552" si="1017">LN(K552/K551)</f>
        <v>-1.5798095561880002E-2</v>
      </c>
      <c r="M552" s="76">
        <f t="shared" si="1006"/>
        <v>-6.450526705564502E-5</v>
      </c>
      <c r="N552" s="166">
        <f>+N551*EXP(O552)</f>
        <v>118.80896892501076</v>
      </c>
      <c r="O552" s="114">
        <f t="shared" si="1007"/>
        <v>-6.2727990449266084E-3</v>
      </c>
      <c r="P552" s="114"/>
      <c r="Q552" s="163">
        <v>25707.725083783938</v>
      </c>
      <c r="R552" s="159">
        <f t="shared" si="997"/>
        <v>202.02534446981483</v>
      </c>
      <c r="S552" s="165">
        <f t="shared" ref="S552" si="1018">LN(R552/R551)</f>
        <v>-5.3974430994498883E-2</v>
      </c>
      <c r="T552" s="165">
        <f t="shared" si="1009"/>
        <v>-2.2038321466276239E-4</v>
      </c>
      <c r="U552" s="166"/>
      <c r="V552" s="114"/>
      <c r="W552" s="159">
        <f t="shared" si="977"/>
        <v>22385.989407438825</v>
      </c>
      <c r="X552" s="168"/>
      <c r="Y552" s="167">
        <v>854.16871177516487</v>
      </c>
      <c r="Z552" s="168">
        <v>1.3990488248758509E-2</v>
      </c>
      <c r="AA552" s="76">
        <f t="shared" si="998"/>
        <v>5.7124618419363242E-5</v>
      </c>
      <c r="AB552" s="166"/>
      <c r="AC552" s="114"/>
      <c r="AD552" s="163">
        <f t="shared" si="928"/>
        <v>66330.818610488292</v>
      </c>
      <c r="AE552" s="168">
        <f t="shared" si="1010"/>
        <v>3.1158728005003529E-2</v>
      </c>
      <c r="AF552" s="113"/>
      <c r="AG552" s="114"/>
      <c r="AH552" s="114"/>
      <c r="AI552" s="114"/>
      <c r="AJ552" s="116">
        <f t="shared" si="1011"/>
        <v>386.79117505678636</v>
      </c>
      <c r="AK552" s="114"/>
      <c r="AL552" s="115">
        <f t="shared" si="999"/>
        <v>0.27494164102449137</v>
      </c>
      <c r="AM552" s="115">
        <f t="shared" si="1000"/>
        <v>0.38756833734777713</v>
      </c>
      <c r="AN552" s="115">
        <f t="shared" si="1001"/>
        <v>0.33749002162773145</v>
      </c>
      <c r="AO552" s="115"/>
      <c r="AP552" s="166"/>
      <c r="AQ552" s="168"/>
      <c r="AR552" s="69">
        <f>+AD552/$AF$27</f>
        <v>4.0831039920592033E-3</v>
      </c>
      <c r="AS552" s="169"/>
      <c r="AT552" s="166"/>
      <c r="AU552" s="168"/>
      <c r="AV552" s="113">
        <v>171490</v>
      </c>
      <c r="AW552" s="68">
        <f t="shared" si="972"/>
        <v>2.1907120205097927E-2</v>
      </c>
      <c r="AX552" s="113"/>
      <c r="AY552" s="113"/>
      <c r="AZ552" s="113"/>
      <c r="BA552" s="113"/>
      <c r="BB552" s="171"/>
      <c r="BC552" s="172"/>
      <c r="BD552" s="173"/>
      <c r="BE552" s="115"/>
      <c r="BF552" s="174"/>
      <c r="BG552" s="174"/>
      <c r="BH552" s="166"/>
      <c r="BI552" s="113"/>
      <c r="BJ552" s="113"/>
      <c r="BK552" s="113"/>
      <c r="BL552" s="113"/>
      <c r="BM552" s="232">
        <v>0.98598145897775813</v>
      </c>
      <c r="BN552" s="61">
        <f t="shared" si="1016"/>
        <v>0</v>
      </c>
      <c r="BO552" s="113"/>
      <c r="BP552" s="113"/>
      <c r="BQ552" s="175"/>
      <c r="BR552" s="175"/>
      <c r="BS552" s="170"/>
      <c r="BT552" s="176"/>
      <c r="BU552" s="177"/>
      <c r="BV552" s="177"/>
      <c r="BW552" s="113"/>
      <c r="BX552" s="113"/>
      <c r="BY552" s="113"/>
      <c r="BZ552" s="113"/>
      <c r="CA552" s="116">
        <v>2022</v>
      </c>
      <c r="CB552" s="113"/>
      <c r="CC552" s="113"/>
      <c r="CD552" s="113"/>
      <c r="CE552" s="175"/>
      <c r="CF552" s="238">
        <v>21082</v>
      </c>
      <c r="CG552" s="113">
        <f>+CF552/DE552</f>
        <v>20.451877649615351</v>
      </c>
      <c r="CH552" s="178">
        <f>+(51-24)/(51-24*0.75)</f>
        <v>0.81818181818181823</v>
      </c>
      <c r="CI552" s="113">
        <f>+CI528*CH552+CG529*CH551+CG530*CH550+CG531*CH549+CG532*CH548+CG533*CH547+CG534*CH546+CG535*CH545+CG536*CH544+CG537*CH543+CG538*CH542+CG539*CH541+CG540*CH540+CG541*CH539+CG542*CH538+CG543*CH537+CG544*CH536+CG545*CH535+CG546*CH534+CG547*CH533+CG548*CH532+CG549*CH531+CG550*CH530+CG551*CH529+CG552*CH528</f>
        <v>851.50672751036336</v>
      </c>
      <c r="CJ552" s="114">
        <f t="shared" ref="CJ552" si="1019">LN(CI552/CI551)</f>
        <v>1.0869160046768533E-2</v>
      </c>
      <c r="CK552" s="113"/>
      <c r="CL552" s="169">
        <f>+(CI551-CI552+CG552)/CI551</f>
        <v>1.3352497316962277E-2</v>
      </c>
      <c r="CM552" s="169">
        <f t="shared" si="990"/>
        <v>9.7206216790444045E-3</v>
      </c>
      <c r="CN552" s="114"/>
      <c r="CO552" s="169"/>
      <c r="CP552" s="169"/>
      <c r="CQ552" s="69">
        <f t="shared" si="991"/>
        <v>2.1181319929489219E-2</v>
      </c>
      <c r="CR552" s="169">
        <f t="shared" si="992"/>
        <v>0.10114668178709289</v>
      </c>
      <c r="CS552" s="179">
        <f t="shared" si="983"/>
        <v>0.90330050000000006</v>
      </c>
      <c r="CT552" s="180"/>
      <c r="CU552" s="180"/>
      <c r="CV552" s="180"/>
      <c r="CW552" s="180"/>
      <c r="CX552" s="181">
        <f>CX551</f>
        <v>0.26134999999999997</v>
      </c>
      <c r="CY552" s="72">
        <v>0.37</v>
      </c>
      <c r="CZ552" s="182">
        <f t="shared" si="989"/>
        <v>26.577163405808143</v>
      </c>
      <c r="DA552" s="182"/>
      <c r="DB552" s="169">
        <f t="shared" si="994"/>
        <v>3.4431976834102623E-2</v>
      </c>
      <c r="DC552" s="181">
        <v>0.04</v>
      </c>
      <c r="DD552" s="183">
        <v>7.0000000000000001E-3</v>
      </c>
      <c r="DE552" s="181">
        <v>1030.81</v>
      </c>
      <c r="DF552" s="72">
        <f t="shared" si="1004"/>
        <v>162.55000000000001</v>
      </c>
      <c r="DG552" s="169">
        <f t="shared" si="1005"/>
        <v>3.3148751169364422E-2</v>
      </c>
      <c r="DH552" s="175">
        <v>127.25</v>
      </c>
      <c r="DI552" s="169">
        <f t="shared" si="995"/>
        <v>7.1325086601983473E-2</v>
      </c>
      <c r="EB552"/>
    </row>
    <row r="553" spans="1:132" s="160" customFormat="1" ht="21">
      <c r="A553" s="160" t="s">
        <v>193</v>
      </c>
      <c r="B553" s="161" t="s">
        <v>193</v>
      </c>
      <c r="C553" s="161">
        <v>4061634</v>
      </c>
      <c r="D553" s="161" t="s">
        <v>168</v>
      </c>
      <c r="E553" s="161"/>
      <c r="F553" s="161"/>
      <c r="G553" s="161" t="s">
        <v>100</v>
      </c>
      <c r="H553" s="162">
        <v>1998</v>
      </c>
      <c r="I553" s="163"/>
      <c r="J553" s="159"/>
      <c r="K553" s="159"/>
      <c r="L553" s="159"/>
      <c r="M553" s="60"/>
      <c r="N553" s="131"/>
      <c r="O553" s="76"/>
      <c r="P553" s="76"/>
      <c r="Q553" s="165"/>
      <c r="R553" s="165"/>
      <c r="S553" s="165"/>
      <c r="T553" s="159"/>
      <c r="U553" s="165"/>
      <c r="V553" s="165"/>
      <c r="W553" s="159"/>
      <c r="X553" s="163"/>
      <c r="Y553" s="167">
        <v>642.2385509428475</v>
      </c>
      <c r="Z553" s="168"/>
      <c r="AA553" s="78"/>
      <c r="AB553" s="168"/>
      <c r="AC553" s="168"/>
      <c r="AD553" s="163">
        <f t="shared" si="928"/>
        <v>0</v>
      </c>
      <c r="AE553" s="163"/>
      <c r="AF553" s="163"/>
      <c r="AG553" s="114"/>
      <c r="AH553" s="114"/>
      <c r="AI553" s="114"/>
      <c r="AJ553" s="166">
        <f>+(AJ550+AJ551+AJ552)/3</f>
        <v>374.3050715904987</v>
      </c>
      <c r="AK553" s="168"/>
      <c r="AL553" s="115"/>
      <c r="AM553" s="115"/>
      <c r="AN553" s="115"/>
      <c r="AO553" s="115"/>
      <c r="AP553" s="115"/>
      <c r="AQ553" s="168">
        <f>AVERAGE(AQ562:AQ576)</f>
        <v>-1.3429076427618738E-3</v>
      </c>
      <c r="AR553" s="79"/>
      <c r="AS553" s="115"/>
      <c r="AT553" s="115"/>
      <c r="AU553" s="115"/>
      <c r="AV553" s="113">
        <f>IFERROR(INDEX('Total Customers'!$F$7:$AB$91,MATCH($C553,'Total Customers'!$D$7:$D$91,0),MATCH($G553,'Total Customers'!$F$5:$AB$5,0)),"NA")</f>
        <v>203573</v>
      </c>
      <c r="AW553" s="68"/>
      <c r="AX553" s="114"/>
      <c r="AY553" s="114"/>
      <c r="AZ553" s="116"/>
      <c r="BA553" s="116"/>
      <c r="BB553" s="166"/>
      <c r="BC553" s="166"/>
      <c r="BD553" s="166"/>
      <c r="BE553" s="166"/>
      <c r="BF553" s="166"/>
      <c r="BG553" s="166"/>
      <c r="BH553" s="166"/>
      <c r="BI553" s="113">
        <f>INDEX('Gross Dx Plant'!$E$7:$AD$91,MATCH($C553,'Gross Dx Plant'!$D$7:$D$91,0),MATCH(Calculation!$G553,'Gross Dx Plant'!$E$5:$AD$5,0))</f>
        <v>217438</v>
      </c>
      <c r="BJ553" s="113">
        <f>INDEX('Gross Gen Plant'!$E$7:$AD$91,MATCH($C553,'Gross Gen Plant'!$D$7:$D$91,0),MATCH(Calculation!$G553,'Gross Gen Plant'!$E$5:$AD$5,0))</f>
        <v>24710</v>
      </c>
      <c r="BK553" s="113">
        <f>INDEX('Dist. Plant Gas Additions'!$F$7:$AE$91,MATCH($C553,'Dist. Plant Gas Additions'!$D$7:$D$91,0),MATCH(Calculation!$G553,'Dist. Plant Gas Additions'!$F$5:$AE$5,0))</f>
        <v>6695</v>
      </c>
      <c r="BL553" s="113">
        <f>INDEX('Gen. Plant Additions'!$F$7:$AE$91,MATCH($C553,'Gen. Plant Additions'!$D$7:$D$91,0),MATCH(Calculation!$G553,'Gen. Plant Additions'!$F$5:$AE$5,0))</f>
        <v>4018</v>
      </c>
      <c r="BM553" s="231">
        <f>+(BW553/(BW553+BX553))</f>
        <v>0.8979549696879594</v>
      </c>
      <c r="BN553" s="61">
        <f t="shared" si="1016"/>
        <v>3607.9830682062211</v>
      </c>
      <c r="BO553" s="113">
        <f>INDEX('Dist Plant Depreciation'!$E$7:$AD$94,MATCH($C553,'Dist Plant Depreciation'!$D$7:$D$94,0),MATCH(Calculation!$G553,'Dist Plant Depreciation'!$E$5:$AD$5,0))</f>
        <v>97658</v>
      </c>
      <c r="BP553" s="113">
        <f>INDEX('Gen. Plant Depreciation'!$E$7:$AD$94,MATCH($C553,'Gen. Plant Depreciation'!$D$7:$D$94,0),MATCH(Calculation!$G553,'Gen. Plant Depreciation'!$E$5:$AD$5,0))</f>
        <v>14938</v>
      </c>
      <c r="BQ553" s="113"/>
      <c r="BR553" s="113"/>
      <c r="BS553" s="113"/>
      <c r="BT553" s="113"/>
      <c r="BU553" s="113"/>
      <c r="BV553" s="113"/>
      <c r="BW553" s="113">
        <f>INDEX('Gross Dx Plant'!$E$7:$AD$91,MATCH($C553,'Gross Dx Plant'!$D$7:$D$91,0),MATCH(Calculation!$G553,'Gross Dx Plant'!$E$5:$AD$5,0))</f>
        <v>217438</v>
      </c>
      <c r="BX553" s="113">
        <f>INDEX('Gross Gen Plant'!$E$7:$AD$91,MATCH($C553,'Gross Gen Plant'!$D$7:$D$91,0),MATCH(Calculation!$G553,'Gross Gen Plant'!$E$5:$AD$5,0))</f>
        <v>24710</v>
      </c>
      <c r="BY553" s="113">
        <f t="shared" si="959"/>
        <v>129552</v>
      </c>
      <c r="BZ553" s="113"/>
      <c r="CA553" s="116">
        <v>1998</v>
      </c>
      <c r="CB553" s="113">
        <f>BI553+BJ553</f>
        <v>242148</v>
      </c>
      <c r="CC553" s="113">
        <f>97658+14938</f>
        <v>112596</v>
      </c>
      <c r="CD553" s="113">
        <f>+CB553-CC553</f>
        <v>129552</v>
      </c>
      <c r="CE553" s="113">
        <f>CD553/$BV$3</f>
        <v>642.2385509428475</v>
      </c>
      <c r="CF553" s="175"/>
      <c r="CG553" s="175"/>
      <c r="CH553" s="178">
        <v>1</v>
      </c>
      <c r="CI553" s="113">
        <f>+CE553</f>
        <v>642.2385509428475</v>
      </c>
      <c r="CJ553" s="114"/>
      <c r="CK553" s="114"/>
      <c r="CL553" s="169"/>
      <c r="CM553" s="169"/>
      <c r="CN553" s="114" t="e">
        <f>VLOOKUP($H553,RoR!$E:$F,2,FALSE)</f>
        <v>#N/A</v>
      </c>
      <c r="CO553" s="169">
        <v>1.1028127770464469E-2</v>
      </c>
      <c r="CP553" s="169"/>
      <c r="CQ553" s="169"/>
      <c r="CR553" s="169"/>
      <c r="CS553" s="179"/>
      <c r="CT553" s="182" t="e">
        <f>2/(DC553*39)</f>
        <v>#N/A</v>
      </c>
      <c r="CU553" s="180" t="e">
        <f>+(DC553*40-(1+DC553))/(DC553*40)</f>
        <v>#N/A</v>
      </c>
      <c r="CV553" s="180" t="e">
        <f>+(1-(1/(1+DC553)^40))</f>
        <v>#N/A</v>
      </c>
      <c r="CW553" s="180" t="e">
        <f>+CV553*CU553*CT553</f>
        <v>#N/A</v>
      </c>
      <c r="CX553" s="181">
        <f>INDEX('State Tax Lookup'!$D$7:$Z$91,MATCH(Calculation!$C553,'State Tax Lookup'!$B$7:$B$91,0),MATCH($H553,'State Tax Lookup'!$D$6:$Z$6,0))</f>
        <v>0.40200000000000002</v>
      </c>
      <c r="CY553" s="72">
        <v>0.37</v>
      </c>
      <c r="CZ553" s="66"/>
      <c r="DA553" s="66"/>
      <c r="DB553" s="69"/>
      <c r="DC553" s="111" t="e">
        <f>VLOOKUP($H553,RoR!$E:$F,2,FALSE)</f>
        <v>#N/A</v>
      </c>
      <c r="DD553" s="216">
        <f>HLOOKUP($H553,'GDP-PI'!$D$8:$CQ$11,3,FALSE)</f>
        <v>1.1028127770464469E-2</v>
      </c>
      <c r="DE553" s="111">
        <f>VLOOKUP(H553,'HW Dx Data'!$E:$F,2,FALSE)</f>
        <v>329.24564746449528</v>
      </c>
      <c r="DF553" s="72" t="e">
        <f t="shared" si="1004"/>
        <v>#N/A</v>
      </c>
      <c r="DG553" s="169" t="e">
        <f t="shared" si="1005"/>
        <v>#N/A</v>
      </c>
      <c r="DH553" s="66">
        <f>HLOOKUP(H553,'GDP-PI'!$8:$9,2,FALSE)</f>
        <v>75.266999999999996</v>
      </c>
      <c r="DI553"/>
      <c r="EB553"/>
    </row>
    <row r="554" spans="1:132" s="160" customFormat="1" ht="21">
      <c r="A554" s="160" t="s">
        <v>193</v>
      </c>
      <c r="B554" s="161" t="s">
        <v>193</v>
      </c>
      <c r="C554" s="161">
        <v>4061634</v>
      </c>
      <c r="D554" s="161" t="s">
        <v>168</v>
      </c>
      <c r="E554" s="161"/>
      <c r="F554" s="161"/>
      <c r="G554" s="161" t="s">
        <v>106</v>
      </c>
      <c r="H554" s="162">
        <v>1999</v>
      </c>
      <c r="I554" s="163"/>
      <c r="J554" s="159"/>
      <c r="K554" s="163"/>
      <c r="L554" s="163"/>
      <c r="M554" s="60"/>
      <c r="N554" s="152"/>
      <c r="O554" s="60"/>
      <c r="P554" s="59"/>
      <c r="Q554" s="169"/>
      <c r="R554" s="169"/>
      <c r="S554" s="169"/>
      <c r="T554" s="187"/>
      <c r="U554" s="169"/>
      <c r="V554" s="169"/>
      <c r="W554" s="159">
        <f t="shared" ref="W554:W577" si="1020">+CI553*CZ554</f>
        <v>0</v>
      </c>
      <c r="X554" s="163"/>
      <c r="Y554" s="167">
        <v>674.75197605098106</v>
      </c>
      <c r="Z554" s="168">
        <v>4.9385371110895915E-2</v>
      </c>
      <c r="AA554" s="78"/>
      <c r="AB554" s="168"/>
      <c r="AC554" s="168"/>
      <c r="AD554" s="163">
        <f t="shared" si="928"/>
        <v>0</v>
      </c>
      <c r="AE554" s="168"/>
      <c r="AF554" s="163"/>
      <c r="AG554" s="114"/>
      <c r="AH554" s="114"/>
      <c r="AI554" s="114"/>
      <c r="AJ554" s="167"/>
      <c r="AK554" s="168"/>
      <c r="AL554" s="115"/>
      <c r="AM554" s="115"/>
      <c r="AN554" s="115"/>
      <c r="AO554" s="115"/>
      <c r="AP554" s="115"/>
      <c r="AQ554" s="168"/>
      <c r="AR554" s="79"/>
      <c r="AS554" s="115"/>
      <c r="AT554" s="115"/>
      <c r="AU554" s="115"/>
      <c r="AV554" s="113">
        <f>IFERROR(INDEX('Total Customers'!$F$7:$AB$91,MATCH($C554,'Total Customers'!$D$7:$D$91,0),MATCH($G554,'Total Customers'!$F$5:$AB$5,0)),"NA")</f>
        <v>201549</v>
      </c>
      <c r="AW554" s="68">
        <f t="shared" si="972"/>
        <v>-9.992134913026236E-3</v>
      </c>
      <c r="AX554" s="114"/>
      <c r="AY554" s="114"/>
      <c r="AZ554" s="116"/>
      <c r="BA554" s="116"/>
      <c r="BB554" s="166"/>
      <c r="BC554" s="166"/>
      <c r="BD554" s="166"/>
      <c r="BE554" s="166"/>
      <c r="BF554" s="166"/>
      <c r="BG554" s="166"/>
      <c r="BH554" s="166"/>
      <c r="BI554" s="113"/>
      <c r="BJ554" s="113"/>
      <c r="BK554" s="113">
        <f>INDEX('Dist. Plant Gas Additions'!$F$7:$AE$91,MATCH($C554,'Dist. Plant Gas Additions'!$D$7:$D$91,0),MATCH(Calculation!$G554,'Dist. Plant Gas Additions'!$F$5:$AE$5,0))</f>
        <v>7613</v>
      </c>
      <c r="BL554" s="113">
        <f>INDEX('Gen. Plant Additions'!$F$7:$AE$91,MATCH($C554,'Gen. Plant Additions'!$D$7:$D$91,0),MATCH(Calculation!$G554,'Gen. Plant Additions'!$F$5:$AE$5,0))</f>
        <v>4361</v>
      </c>
      <c r="BM554" s="231">
        <f t="shared" ref="BM554:BM575" si="1021">+(BW554/(BW554+BX554))</f>
        <v>0.88648486806338</v>
      </c>
      <c r="BN554" s="61">
        <f t="shared" si="1016"/>
        <v>3865.9605096244004</v>
      </c>
      <c r="BO554" s="113">
        <f>INDEX('Dist Plant Depreciation'!$E$7:$AD$94,MATCH($C554,'Dist Plant Depreciation'!$D$7:$D$94,0),MATCH(Calculation!$G554,'Dist Plant Depreciation'!$E$5:$AD$5,0))</f>
        <v>103705</v>
      </c>
      <c r="BP554" s="113">
        <f>INDEX('Gen. Plant Depreciation'!$E$7:$AD$94,MATCH($C554,'Gen. Plant Depreciation'!$D$7:$D$94,0),MATCH(Calculation!$G554,'Gen. Plant Depreciation'!$E$5:$AD$5,0))</f>
        <v>18124</v>
      </c>
      <c r="BQ554" s="113"/>
      <c r="BR554" s="113"/>
      <c r="BS554" s="113"/>
      <c r="BT554" s="113"/>
      <c r="BU554" s="113"/>
      <c r="BV554" s="113"/>
      <c r="BW554" s="113">
        <f>INDEX('Gross Dx Plant'!$E$7:$AD$91,MATCH($C554,'Gross Dx Plant'!$D$7:$D$91,0),MATCH(Calculation!$G554,'Gross Dx Plant'!$E$5:$AD$5,0))</f>
        <v>225020</v>
      </c>
      <c r="BX554" s="113">
        <f>INDEX('Gross Gen Plant'!$E$7:$AD$91,MATCH($C554,'Gross Gen Plant'!$D$7:$D$91,0),MATCH(Calculation!$G554,'Gross Gen Plant'!$E$5:$AD$5,0))</f>
        <v>28814</v>
      </c>
      <c r="BY554" s="113">
        <f t="shared" si="959"/>
        <v>132005</v>
      </c>
      <c r="BZ554" s="113"/>
      <c r="CA554" s="116">
        <v>1999</v>
      </c>
      <c r="CB554" s="113"/>
      <c r="CC554" s="113"/>
      <c r="CD554" s="113"/>
      <c r="CE554" s="175"/>
      <c r="CF554" s="113">
        <f t="shared" ref="CF554:CF576" si="1022">+BL554+BK554</f>
        <v>11974</v>
      </c>
      <c r="CG554" s="113">
        <f t="shared" ref="CG554:CG576" si="1023">+CF554/$DE554</f>
        <v>35.708641779491018</v>
      </c>
      <c r="CH554" s="178">
        <v>0.99502487562189057</v>
      </c>
      <c r="CI554" s="61">
        <f>+CI553*CH554+CG554</f>
        <v>674.75197605098106</v>
      </c>
      <c r="CJ554" s="114">
        <f t="shared" ref="CJ554:CJ575" si="1024">LN(CI554/CI553)</f>
        <v>4.9385371110895915E-2</v>
      </c>
      <c r="CK554" s="114"/>
      <c r="CL554" s="169">
        <f t="shared" ref="CL554:CL576" si="1025">+(CI553-CI554+CG554)/CI553</f>
        <v>4.975124378109463E-3</v>
      </c>
      <c r="CM554" s="169"/>
      <c r="CN554" s="114">
        <f>VLOOKUP($H554,RoR!$E:$F,2,FALSE)</f>
        <v>7.0416666666666669E-2</v>
      </c>
      <c r="CO554" s="169">
        <v>1.4335631817396832E-2</v>
      </c>
      <c r="CP554" s="169">
        <f>+CN554-CO554</f>
        <v>5.6081034849269837E-2</v>
      </c>
      <c r="CQ554" s="169"/>
      <c r="CR554" s="169"/>
      <c r="CS554" s="179">
        <f t="shared" ref="CS554:CS577" si="1026">1-CX554*CY554</f>
        <v>0.85126000000000002</v>
      </c>
      <c r="CT554" s="180">
        <f t="shared" ref="CT554:CT576" si="1027">2/(DC554*39)</f>
        <v>0.72826581702321336</v>
      </c>
      <c r="CU554" s="180">
        <f t="shared" ref="CU554:CU576" si="1028">+(DC554*40-(1+DC554))/(DC554*40)</f>
        <v>0.61997041420118348</v>
      </c>
      <c r="CV554" s="180">
        <f t="shared" ref="CV554:CV576" si="1029">+(1-(1/(1+DC554)^40))</f>
        <v>0.93425155319585029</v>
      </c>
      <c r="CW554" s="180">
        <f t="shared" ref="CW554:CW576" si="1030">+CV554*CU554*CT554</f>
        <v>0.42181762214141483</v>
      </c>
      <c r="CX554" s="181">
        <f>INDEX('State Tax Lookup'!$D$7:$Z$91,MATCH(Calculation!$C554,'State Tax Lookup'!$B$7:$B$91,0),MATCH($H554,'State Tax Lookup'!$D$6:$Z$6,0))</f>
        <v>0.40200000000000002</v>
      </c>
      <c r="CY554" s="72">
        <v>0.37</v>
      </c>
      <c r="CZ554" s="70"/>
      <c r="DA554" s="70"/>
      <c r="DB554" s="69"/>
      <c r="DC554" s="111">
        <f>VLOOKUP($H554,RoR!$E:$F,2,FALSE)</f>
        <v>7.0416666666666669E-2</v>
      </c>
      <c r="DD554" s="216">
        <f>HLOOKUP($H554,'GDP-PI'!$D$8:$CQ$11,3,FALSE)</f>
        <v>1.4335631817396832E-2</v>
      </c>
      <c r="DE554" s="111">
        <f>VLOOKUP(H554,'HW Dx Data'!$E:$F,2,FALSE)</f>
        <v>335.32499146683239</v>
      </c>
      <c r="DF554" s="66"/>
      <c r="DG554" s="69"/>
      <c r="DH554" s="66">
        <f>HLOOKUP(H554,'GDP-PI'!$8:$9,2,FALSE)</f>
        <v>76.346000000000004</v>
      </c>
      <c r="DI554"/>
      <c r="EB554"/>
    </row>
    <row r="555" spans="1:132" s="160" customFormat="1" ht="21">
      <c r="A555" s="160" t="s">
        <v>193</v>
      </c>
      <c r="B555" s="161" t="s">
        <v>193</v>
      </c>
      <c r="C555" s="161">
        <v>4061634</v>
      </c>
      <c r="D555" s="161" t="s">
        <v>168</v>
      </c>
      <c r="E555" s="161"/>
      <c r="F555" s="161"/>
      <c r="G555" s="161" t="s">
        <v>107</v>
      </c>
      <c r="H555" s="162">
        <v>2000</v>
      </c>
      <c r="I555" s="163"/>
      <c r="J555" s="159"/>
      <c r="K555" s="159"/>
      <c r="L555" s="159"/>
      <c r="M555" s="60"/>
      <c r="N555" s="152"/>
      <c r="O555" s="60"/>
      <c r="P555" s="60"/>
      <c r="Q555" s="159"/>
      <c r="R555" s="159"/>
      <c r="S555" s="159"/>
      <c r="T555" s="159"/>
      <c r="U555" s="159"/>
      <c r="V555" s="159"/>
      <c r="W555" s="159">
        <f t="shared" si="1020"/>
        <v>0</v>
      </c>
      <c r="X555" s="163"/>
      <c r="Y555" s="167">
        <v>705.43768620311971</v>
      </c>
      <c r="Z555" s="168">
        <v>4.4473261208493944E-2</v>
      </c>
      <c r="AA555" s="78"/>
      <c r="AB555" s="168"/>
      <c r="AC555" s="168"/>
      <c r="AD555" s="163">
        <f t="shared" si="928"/>
        <v>0</v>
      </c>
      <c r="AE555" s="168"/>
      <c r="AF555" s="163"/>
      <c r="AG555" s="163"/>
      <c r="AH555" s="163"/>
      <c r="AI555" s="163"/>
      <c r="AJ555" s="167"/>
      <c r="AK555" s="168"/>
      <c r="AL555" s="115"/>
      <c r="AM555" s="115"/>
      <c r="AN555" s="115"/>
      <c r="AO555" s="115"/>
      <c r="AP555" s="115"/>
      <c r="AQ555" s="168"/>
      <c r="AR555" s="79"/>
      <c r="AS555" s="115"/>
      <c r="AT555" s="115"/>
      <c r="AU555" s="115"/>
      <c r="AV555" s="113">
        <f>IFERROR(INDEX('Total Customers'!$F$7:$AB$91,MATCH($C555,'Total Customers'!$D$7:$D$91,0),MATCH($G555,'Total Customers'!$F$5:$AB$5,0)),"NA")</f>
        <v>211411</v>
      </c>
      <c r="AW555" s="68">
        <f t="shared" si="972"/>
        <v>4.7771578138205893E-2</v>
      </c>
      <c r="AX555" s="114"/>
      <c r="AY555" s="114"/>
      <c r="AZ555" s="116"/>
      <c r="BA555" s="116"/>
      <c r="BB555" s="166"/>
      <c r="BC555" s="166"/>
      <c r="BD555" s="166"/>
      <c r="BE555" s="166"/>
      <c r="BF555" s="166"/>
      <c r="BG555" s="166"/>
      <c r="BH555" s="166"/>
      <c r="BI555" s="113"/>
      <c r="BJ555" s="113"/>
      <c r="BK555" s="113">
        <f>INDEX('Dist. Plant Gas Additions'!$F$7:$AE$91,MATCH($C555,'Dist. Plant Gas Additions'!$D$7:$D$91,0),MATCH(Calculation!$G555,'Dist. Plant Gas Additions'!$F$5:$AE$5,0))</f>
        <v>9021</v>
      </c>
      <c r="BL555" s="113">
        <f>INDEX('Gen. Plant Additions'!$F$7:$AE$91,MATCH($C555,'Gen. Plant Additions'!$D$7:$D$91,0),MATCH(Calculation!$G555,'Gen. Plant Additions'!$F$5:$AE$5,0))</f>
        <v>2815</v>
      </c>
      <c r="BM555" s="231">
        <f t="shared" si="1021"/>
        <v>0.88674134557468665</v>
      </c>
      <c r="BN555" s="61">
        <f t="shared" si="1016"/>
        <v>2496.1768877927429</v>
      </c>
      <c r="BO555" s="113"/>
      <c r="BP555" s="113"/>
      <c r="BQ555" s="113"/>
      <c r="BR555" s="113"/>
      <c r="BS555" s="113"/>
      <c r="BT555" s="113"/>
      <c r="BU555" s="113"/>
      <c r="BV555" s="113"/>
      <c r="BW555" s="113">
        <f>INDEX('Gross Dx Plant'!$E$7:$AD$91,MATCH($C555,'Gross Dx Plant'!$D$7:$D$91,0),MATCH(Calculation!$G555,'Gross Dx Plant'!$E$5:$AD$5,0))</f>
        <v>248801</v>
      </c>
      <c r="BX555" s="113">
        <f>INDEX('Gross Gen Plant'!$E$7:$AD$91,MATCH($C555,'Gross Gen Plant'!$D$7:$D$91,0),MATCH(Calculation!$G555,'Gross Gen Plant'!$E$5:$AD$5,0))</f>
        <v>31778</v>
      </c>
      <c r="BY555" s="113">
        <f t="shared" si="959"/>
        <v>280579</v>
      </c>
      <c r="BZ555" s="113"/>
      <c r="CA555" s="116">
        <v>2000</v>
      </c>
      <c r="CB555" s="113"/>
      <c r="CC555" s="113"/>
      <c r="CD555" s="113"/>
      <c r="CE555" s="175"/>
      <c r="CF555" s="113">
        <f t="shared" si="1022"/>
        <v>11836</v>
      </c>
      <c r="CG555" s="113">
        <f t="shared" si="1023"/>
        <v>34.155406505339329</v>
      </c>
      <c r="CH555" s="178">
        <v>0.98989898989898994</v>
      </c>
      <c r="CI555" s="61">
        <f>+CI553*CH555+CG554*CH554+CG555</f>
        <v>705.43768620311971</v>
      </c>
      <c r="CJ555" s="114">
        <f t="shared" si="1024"/>
        <v>4.4473261208493944E-2</v>
      </c>
      <c r="CK555" s="114"/>
      <c r="CL555" s="169">
        <f t="shared" si="1025"/>
        <v>5.1421803512265978E-3</v>
      </c>
      <c r="CM555" s="169"/>
      <c r="CN555" s="114">
        <f>VLOOKUP($H555,RoR!$E:$F,2,FALSE)</f>
        <v>7.6225000000000001E-2</v>
      </c>
      <c r="CO555" s="169">
        <v>2.2568307442433211E-2</v>
      </c>
      <c r="CP555" s="169">
        <f t="shared" ref="CP555:CP575" si="1031">+CN555-CO555</f>
        <v>5.365669255756679E-2</v>
      </c>
      <c r="CQ555" s="169"/>
      <c r="CR555" s="169"/>
      <c r="CS555" s="179">
        <f t="shared" si="1026"/>
        <v>0.85126000000000002</v>
      </c>
      <c r="CT555" s="180">
        <f t="shared" si="1027"/>
        <v>0.67277207323124022</v>
      </c>
      <c r="CU555" s="180">
        <f t="shared" si="1028"/>
        <v>0.6470236142997704</v>
      </c>
      <c r="CV555" s="180">
        <f t="shared" si="1029"/>
        <v>0.94704866037543145</v>
      </c>
      <c r="CW555" s="180">
        <f t="shared" si="1030"/>
        <v>0.41224973107878493</v>
      </c>
      <c r="CX555" s="181">
        <f>INDEX('State Tax Lookup'!$D$7:$Z$91,MATCH(Calculation!$C555,'State Tax Lookup'!$B$7:$B$91,0),MATCH($H555,'State Tax Lookup'!$D$6:$Z$6,0))</f>
        <v>0.40200000000000002</v>
      </c>
      <c r="CY555" s="72">
        <v>0.37</v>
      </c>
      <c r="CZ555" s="70"/>
      <c r="DA555" s="70"/>
      <c r="DB555" s="69"/>
      <c r="DC555" s="111">
        <f>VLOOKUP($H555,RoR!$E:$F,2,FALSE)</f>
        <v>7.6225000000000001E-2</v>
      </c>
      <c r="DD555" s="216">
        <f>HLOOKUP($H555,'GDP-PI'!$D$8:$CQ$11,3,FALSE)</f>
        <v>2.2568307442433211E-2</v>
      </c>
      <c r="DE555" s="111">
        <f>VLOOKUP(H555,'HW Dx Data'!$E:$F,2,FALSE)</f>
        <v>346.53371782150339</v>
      </c>
      <c r="DF555" s="66"/>
      <c r="DG555" s="69"/>
      <c r="DH555" s="66">
        <f>HLOOKUP(H555,'GDP-PI'!$8:$9,2,FALSE)</f>
        <v>78.069000000000003</v>
      </c>
      <c r="DI555"/>
      <c r="EB555"/>
    </row>
    <row r="556" spans="1:132" s="160" customFormat="1" ht="21">
      <c r="A556" s="160" t="s">
        <v>193</v>
      </c>
      <c r="B556" s="161" t="s">
        <v>193</v>
      </c>
      <c r="C556" s="161">
        <v>4061634</v>
      </c>
      <c r="D556" s="161" t="s">
        <v>168</v>
      </c>
      <c r="E556" s="161"/>
      <c r="F556" s="161"/>
      <c r="G556" s="161" t="s">
        <v>111</v>
      </c>
      <c r="H556" s="162">
        <v>2001</v>
      </c>
      <c r="I556" s="163"/>
      <c r="J556" s="159"/>
      <c r="K556" s="159"/>
      <c r="L556" s="159"/>
      <c r="M556" s="60"/>
      <c r="N556" s="152"/>
      <c r="O556" s="60"/>
      <c r="P556" s="60"/>
      <c r="Q556" s="159"/>
      <c r="R556" s="159"/>
      <c r="S556" s="159"/>
      <c r="T556" s="159"/>
      <c r="U556" s="159"/>
      <c r="V556" s="159"/>
      <c r="W556" s="159">
        <f t="shared" si="1020"/>
        <v>9147.2382163916482</v>
      </c>
      <c r="X556" s="163"/>
      <c r="Y556" s="167">
        <v>737.81574536190396</v>
      </c>
      <c r="Z556" s="168">
        <v>4.487568422714111E-2</v>
      </c>
      <c r="AA556" s="78"/>
      <c r="AB556" s="168"/>
      <c r="AC556" s="168"/>
      <c r="AD556" s="163">
        <f t="shared" si="928"/>
        <v>9147.2382163916482</v>
      </c>
      <c r="AE556" s="168"/>
      <c r="AF556" s="163"/>
      <c r="AG556" s="163"/>
      <c r="AH556" s="163"/>
      <c r="AI556" s="163"/>
      <c r="AJ556" s="167"/>
      <c r="AK556" s="168"/>
      <c r="AL556" s="115"/>
      <c r="AM556" s="115"/>
      <c r="AN556" s="115"/>
      <c r="AO556" s="115"/>
      <c r="AP556" s="115"/>
      <c r="AQ556" s="168"/>
      <c r="AR556" s="79"/>
      <c r="AS556" s="115"/>
      <c r="AT556" s="115"/>
      <c r="AU556" s="115"/>
      <c r="AV556" s="113">
        <f>IFERROR(INDEX('Total Customers'!$F$7:$AB$91,MATCH($C556,'Total Customers'!$D$7:$D$91,0),MATCH($G556,'Total Customers'!$F$5:$AB$5,0)),"NA")</f>
        <v>206630</v>
      </c>
      <c r="AW556" s="68">
        <f t="shared" si="972"/>
        <v>-2.2874351865555885E-2</v>
      </c>
      <c r="AX556" s="114"/>
      <c r="AY556" s="114"/>
      <c r="AZ556" s="116"/>
      <c r="BA556" s="116"/>
      <c r="BB556" s="166"/>
      <c r="BC556" s="166"/>
      <c r="BD556" s="166"/>
      <c r="BE556" s="166"/>
      <c r="BF556" s="166"/>
      <c r="BG556" s="166"/>
      <c r="BH556" s="166"/>
      <c r="BI556" s="113"/>
      <c r="BJ556" s="113"/>
      <c r="BK556" s="113">
        <f>INDEX('Dist. Plant Gas Additions'!$F$7:$AE$91,MATCH($C556,'Dist. Plant Gas Additions'!$D$7:$D$91,0),MATCH(Calculation!$G556,'Dist. Plant Gas Additions'!$F$5:$AE$5,0))</f>
        <v>5359</v>
      </c>
      <c r="BL556" s="113">
        <f>INDEX('Gen. Plant Additions'!$F$7:$AE$91,MATCH($C556,'Gen. Plant Additions'!$D$7:$D$91,0),MATCH(Calculation!$G556,'Gen. Plant Additions'!$F$5:$AE$5,0))</f>
        <v>7349</v>
      </c>
      <c r="BM556" s="231">
        <f t="shared" si="1021"/>
        <v>0.87009680780397014</v>
      </c>
      <c r="BN556" s="61">
        <f t="shared" si="1016"/>
        <v>6394.3414405513768</v>
      </c>
      <c r="BO556" s="113"/>
      <c r="BP556" s="113"/>
      <c r="BQ556" s="113"/>
      <c r="BR556" s="113"/>
      <c r="BS556" s="113"/>
      <c r="BT556" s="113"/>
      <c r="BU556" s="113"/>
      <c r="BV556" s="113"/>
      <c r="BW556" s="113">
        <f>INDEX('Gross Dx Plant'!$E$7:$AD$91,MATCH($C556,'Gross Dx Plant'!$D$7:$D$91,0),MATCH(Calculation!$G556,'Gross Dx Plant'!$E$5:$AD$5,0))</f>
        <v>258042</v>
      </c>
      <c r="BX556" s="113">
        <f>INDEX('Gross Gen Plant'!$E$7:$AD$91,MATCH($C556,'Gross Gen Plant'!$D$7:$D$91,0),MATCH(Calculation!$G556,'Gross Gen Plant'!$E$5:$AD$5,0))</f>
        <v>38525</v>
      </c>
      <c r="BY556" s="113">
        <f t="shared" si="959"/>
        <v>296567</v>
      </c>
      <c r="BZ556" s="113"/>
      <c r="CA556" s="116">
        <v>2001</v>
      </c>
      <c r="CB556" s="113"/>
      <c r="CC556" s="113"/>
      <c r="CD556" s="113"/>
      <c r="CE556" s="175"/>
      <c r="CF556" s="113">
        <f t="shared" si="1022"/>
        <v>12708</v>
      </c>
      <c r="CG556" s="113">
        <f t="shared" si="1023"/>
        <v>35.954432576962482</v>
      </c>
      <c r="CH556" s="178">
        <v>0.98461538461538467</v>
      </c>
      <c r="CI556" s="61">
        <f>+CI553*CH556+CG554*CH555+CG555*CH553+CG556</f>
        <v>737.81574536190396</v>
      </c>
      <c r="CJ556" s="114">
        <f t="shared" si="1024"/>
        <v>4.487568422714111E-2</v>
      </c>
      <c r="CK556" s="114"/>
      <c r="CL556" s="169">
        <f t="shared" si="1025"/>
        <v>5.0697226532188241E-3</v>
      </c>
      <c r="CM556" s="169">
        <f>+(CL556+CL555+CL554)/3</f>
        <v>5.0623424608516277E-3</v>
      </c>
      <c r="CN556" s="114">
        <f>VLOOKUP($H556,RoR!$E:$F,2,FALSE)</f>
        <v>7.0824999999999999E-2</v>
      </c>
      <c r="CO556" s="169">
        <v>2.2454495382290052E-2</v>
      </c>
      <c r="CP556" s="169">
        <f t="shared" si="1031"/>
        <v>4.8370504617709947E-2</v>
      </c>
      <c r="CQ556" s="169">
        <f>+$CP$2-CM556</f>
        <v>2.5839599147681996E-2</v>
      </c>
      <c r="CR556" s="169">
        <f>+((DE554/DE553-1)+(DE555/DE554-1)+(DE556/DE555-1))/3</f>
        <v>2.3947275901631187E-2</v>
      </c>
      <c r="CS556" s="179">
        <f t="shared" si="1026"/>
        <v>0.85126000000000002</v>
      </c>
      <c r="CT556" s="180">
        <f t="shared" si="1027"/>
        <v>0.72406708481540816</v>
      </c>
      <c r="CU556" s="180">
        <f t="shared" si="1028"/>
        <v>0.62201729615248857</v>
      </c>
      <c r="CV556" s="180">
        <f t="shared" si="1029"/>
        <v>0.9352469954311422</v>
      </c>
      <c r="CW556" s="180">
        <f t="shared" si="1030"/>
        <v>0.42121864641655071</v>
      </c>
      <c r="CX556" s="181">
        <f>INDEX('State Tax Lookup'!$D$7:$Z$91,MATCH(Calculation!$C556,'State Tax Lookup'!$B$7:$B$91,0),MATCH($H556,'State Tax Lookup'!$D$6:$Z$6,0))</f>
        <v>0.40200000000000002</v>
      </c>
      <c r="CY556" s="72">
        <v>0.37</v>
      </c>
      <c r="CZ556" s="70">
        <f t="shared" ref="CZ556:CZ577" si="1032">+(DE556*CQ556-CR556)*CS556/(1-CX556)</f>
        <v>12.966755810318084</v>
      </c>
      <c r="DA556" s="70"/>
      <c r="DB556" s="69"/>
      <c r="DC556" s="111">
        <f>VLOOKUP($H556,RoR!$E:$F,2,FALSE)</f>
        <v>7.0824999999999999E-2</v>
      </c>
      <c r="DD556" s="216">
        <f>HLOOKUP($H556,'GDP-PI'!$D$8:$CQ$11,3,FALSE)</f>
        <v>2.2454495382290052E-2</v>
      </c>
      <c r="DE556" s="111">
        <f>VLOOKUP(H556,'HW Dx Data'!$E:$F,2,FALSE)</f>
        <v>353.44738017483138</v>
      </c>
      <c r="DF556" s="66"/>
      <c r="DG556" s="69"/>
      <c r="DH556" s="66">
        <f>HLOOKUP(H556,'GDP-PI'!$8:$9,2,FALSE)</f>
        <v>79.822000000000003</v>
      </c>
      <c r="DI556"/>
      <c r="EB556"/>
    </row>
    <row r="557" spans="1:132" s="160" customFormat="1" ht="21">
      <c r="A557" s="160" t="s">
        <v>193</v>
      </c>
      <c r="B557" s="161" t="s">
        <v>193</v>
      </c>
      <c r="C557" s="161">
        <v>4061634</v>
      </c>
      <c r="D557" s="161" t="s">
        <v>168</v>
      </c>
      <c r="E557" s="161"/>
      <c r="F557" s="161"/>
      <c r="G557" s="161" t="s">
        <v>113</v>
      </c>
      <c r="H557" s="162">
        <v>2002</v>
      </c>
      <c r="I557" s="163"/>
      <c r="J557" s="159"/>
      <c r="K557" s="159"/>
      <c r="L557" s="159"/>
      <c r="M557" s="60"/>
      <c r="N557" s="152"/>
      <c r="O557" s="60"/>
      <c r="P557" s="60"/>
      <c r="Q557" s="159"/>
      <c r="R557" s="159"/>
      <c r="S557" s="159"/>
      <c r="T557" s="159"/>
      <c r="U557" s="159"/>
      <c r="V557" s="159"/>
      <c r="W557" s="159">
        <f t="shared" si="1020"/>
        <v>9687.3395073082065</v>
      </c>
      <c r="X557" s="163"/>
      <c r="Y557" s="167">
        <v>764.45771592099663</v>
      </c>
      <c r="Z557" s="168">
        <v>3.5472588486584286E-2</v>
      </c>
      <c r="AA557" s="78"/>
      <c r="AB557" s="168"/>
      <c r="AC557" s="168"/>
      <c r="AD557" s="163">
        <f t="shared" si="928"/>
        <v>9687.3395073082065</v>
      </c>
      <c r="AE557" s="168"/>
      <c r="AF557" s="163"/>
      <c r="AG557" s="163"/>
      <c r="AH557" s="163"/>
      <c r="AI557" s="163"/>
      <c r="AJ557" s="167"/>
      <c r="AK557" s="168"/>
      <c r="AL557" s="115"/>
      <c r="AM557" s="115"/>
      <c r="AN557" s="115"/>
      <c r="AO557" s="115"/>
      <c r="AP557" s="115"/>
      <c r="AQ557" s="168"/>
      <c r="AR557" s="79"/>
      <c r="AS557" s="115"/>
      <c r="AT557" s="115"/>
      <c r="AU557" s="115"/>
      <c r="AV557" s="113">
        <f>IFERROR(INDEX('Total Customers'!$F$7:$AB$91,MATCH($C557,'Total Customers'!$D$7:$D$91,0),MATCH($G557,'Total Customers'!$F$5:$AB$5,0)),"NA")</f>
        <v>205740</v>
      </c>
      <c r="AW557" s="68">
        <f t="shared" si="972"/>
        <v>-4.3165185726292896E-3</v>
      </c>
      <c r="AX557" s="114"/>
      <c r="AY557" s="114"/>
      <c r="AZ557" s="116"/>
      <c r="BA557" s="116"/>
      <c r="BB557" s="166"/>
      <c r="BC557" s="166"/>
      <c r="BD557" s="166"/>
      <c r="BE557" s="166"/>
      <c r="BF557" s="166"/>
      <c r="BG557" s="166"/>
      <c r="BH557" s="166"/>
      <c r="BI557" s="113"/>
      <c r="BJ557" s="113"/>
      <c r="BK557" s="113">
        <f>INDEX('Dist. Plant Gas Additions'!$F$7:$AE$91,MATCH($C557,'Dist. Plant Gas Additions'!$D$7:$D$91,0),MATCH(Calculation!$G557,'Dist. Plant Gas Additions'!$F$5:$AE$5,0))</f>
        <v>10629</v>
      </c>
      <c r="BL557" s="113">
        <f>INDEX('Gen. Plant Additions'!$F$7:$AE$91,MATCH($C557,'Gen. Plant Additions'!$D$7:$D$91,0),MATCH(Calculation!$G557,'Gen. Plant Additions'!$F$5:$AE$5,0))</f>
        <v>520</v>
      </c>
      <c r="BM557" s="231">
        <f t="shared" si="1021"/>
        <v>0.87826769849969732</v>
      </c>
      <c r="BN557" s="61">
        <f t="shared" si="1016"/>
        <v>456.69920321984262</v>
      </c>
      <c r="BO557" s="113"/>
      <c r="BP557" s="113"/>
      <c r="BQ557" s="113"/>
      <c r="BR557" s="113"/>
      <c r="BS557" s="113"/>
      <c r="BT557" s="113"/>
      <c r="BU557" s="113"/>
      <c r="BV557" s="113"/>
      <c r="BW557" s="113">
        <f>INDEX('Gross Dx Plant'!$E$7:$AD$91,MATCH($C557,'Gross Dx Plant'!$D$7:$D$91,0),MATCH(Calculation!$G557,'Gross Dx Plant'!$E$5:$AD$5,0))</f>
        <v>268403</v>
      </c>
      <c r="BX557" s="113">
        <f>INDEX('Gross Gen Plant'!$E$7:$AD$91,MATCH($C557,'Gross Gen Plant'!$D$7:$D$91,0),MATCH(Calculation!$G557,'Gross Gen Plant'!$E$5:$AD$5,0))</f>
        <v>37202</v>
      </c>
      <c r="BY557" s="113">
        <f t="shared" si="959"/>
        <v>305605</v>
      </c>
      <c r="BZ557" s="113"/>
      <c r="CA557" s="116">
        <v>2002</v>
      </c>
      <c r="CB557" s="113"/>
      <c r="CC557" s="113"/>
      <c r="CD557" s="113"/>
      <c r="CE557" s="175"/>
      <c r="CF557" s="113">
        <f t="shared" si="1022"/>
        <v>11149</v>
      </c>
      <c r="CG557" s="113">
        <f t="shared" si="1023"/>
        <v>30.853899527479381</v>
      </c>
      <c r="CH557" s="178">
        <v>0.97916666666666663</v>
      </c>
      <c r="CI557" s="61">
        <f>+CI553*CH557+CG554*CH556+CG555*CH555+CG556*CH554+CG557</f>
        <v>764.45771592099663</v>
      </c>
      <c r="CJ557" s="114">
        <f t="shared" si="1024"/>
        <v>3.5472588486584286E-2</v>
      </c>
      <c r="CK557" s="114"/>
      <c r="CL557" s="169">
        <f t="shared" si="1025"/>
        <v>5.7086460879480555E-3</v>
      </c>
      <c r="CM557" s="169">
        <f t="shared" ref="CM557:CM577" si="1033">+(CL557+CL556+CL555)/3</f>
        <v>5.3068496974644922E-3</v>
      </c>
      <c r="CN557" s="114">
        <f>VLOOKUP($H557,RoR!$E:$F,2,FALSE)</f>
        <v>6.4916666666666664E-2</v>
      </c>
      <c r="CO557" s="169">
        <v>1.5246423291824351E-2</v>
      </c>
      <c r="CP557" s="169">
        <f t="shared" si="1031"/>
        <v>4.9670243374842313E-2</v>
      </c>
      <c r="CQ557" s="169">
        <f t="shared" ref="CQ557:CQ577" si="1034">+$CP$2-CM557</f>
        <v>2.5595091911069134E-2</v>
      </c>
      <c r="CR557" s="169">
        <f t="shared" ref="CR557:CR577" si="1035">+((DE555/DE554-1)+(DE556/DE555-1)+(DE557/DE556-1))/3</f>
        <v>2.5243621214759093E-2</v>
      </c>
      <c r="CS557" s="179">
        <f t="shared" si="1026"/>
        <v>0.85126000000000002</v>
      </c>
      <c r="CT557" s="180">
        <f t="shared" si="1027"/>
        <v>0.78996741384417901</v>
      </c>
      <c r="CU557" s="180">
        <f t="shared" si="1028"/>
        <v>0.58989088575096271</v>
      </c>
      <c r="CV557" s="180">
        <f t="shared" si="1029"/>
        <v>0.91920675783645744</v>
      </c>
      <c r="CW557" s="180">
        <f t="shared" si="1030"/>
        <v>0.42834536472275586</v>
      </c>
      <c r="CX557" s="181">
        <f>INDEX('State Tax Lookup'!$D$7:$Z$91,MATCH(Calculation!$C557,'State Tax Lookup'!$B$7:$B$91,0),MATCH($H557,'State Tax Lookup'!$D$6:$Z$6,0))</f>
        <v>0.40200000000000002</v>
      </c>
      <c r="CY557" s="72">
        <v>0.37</v>
      </c>
      <c r="CZ557" s="70">
        <f t="shared" si="1032"/>
        <v>13.129754370525795</v>
      </c>
      <c r="DA557" s="70"/>
      <c r="DB557" s="69">
        <f>LN(CZ557/CZ556)</f>
        <v>1.2492143875389819E-2</v>
      </c>
      <c r="DC557" s="111">
        <f>VLOOKUP($H557,RoR!$E:$F,2,FALSE)</f>
        <v>6.4916666666666664E-2</v>
      </c>
      <c r="DD557" s="216">
        <f>HLOOKUP($H557,'GDP-PI'!$D$8:$CQ$11,3,FALSE)</f>
        <v>1.5246423291824351E-2</v>
      </c>
      <c r="DE557" s="111">
        <f>VLOOKUP(H557,'HW Dx Data'!$E:$F,2,FALSE)</f>
        <v>361.34816573413599</v>
      </c>
      <c r="DF557" s="66"/>
      <c r="DG557" s="69"/>
      <c r="DH557" s="66">
        <f>HLOOKUP(H557,'GDP-PI'!$8:$9,2,FALSE)</f>
        <v>81.039000000000001</v>
      </c>
      <c r="DI557" s="69">
        <f>LN(DH557/DH556)</f>
        <v>1.513136459537477E-2</v>
      </c>
      <c r="EB557"/>
    </row>
    <row r="558" spans="1:132" s="160" customFormat="1" ht="21">
      <c r="A558" s="160" t="s">
        <v>193</v>
      </c>
      <c r="B558" s="161" t="s">
        <v>193</v>
      </c>
      <c r="C558" s="161">
        <v>4061634</v>
      </c>
      <c r="D558" s="161" t="s">
        <v>168</v>
      </c>
      <c r="E558" s="161"/>
      <c r="F558" s="161"/>
      <c r="G558" s="161" t="s">
        <v>114</v>
      </c>
      <c r="H558" s="162">
        <v>2003</v>
      </c>
      <c r="I558" s="163"/>
      <c r="J558" s="159"/>
      <c r="K558" s="159"/>
      <c r="L558" s="159"/>
      <c r="M558" s="76"/>
      <c r="N558" s="152"/>
      <c r="O558" s="76"/>
      <c r="P558" s="76"/>
      <c r="Q558" s="159"/>
      <c r="R558" s="159"/>
      <c r="S558" s="159"/>
      <c r="T558" s="159"/>
      <c r="U558" s="159"/>
      <c r="V558" s="159"/>
      <c r="W558" s="159">
        <f t="shared" si="1020"/>
        <v>10192.232860594559</v>
      </c>
      <c r="X558" s="163"/>
      <c r="Y558" s="167">
        <v>785.25405672953605</v>
      </c>
      <c r="Z558" s="168">
        <v>2.6840590184827977E-2</v>
      </c>
      <c r="AA558" s="78"/>
      <c r="AB558" s="168"/>
      <c r="AC558" s="168"/>
      <c r="AD558" s="163">
        <f t="shared" si="928"/>
        <v>10192.232860594559</v>
      </c>
      <c r="AE558" s="168"/>
      <c r="AF558" s="163"/>
      <c r="AG558" s="163"/>
      <c r="AH558" s="163"/>
      <c r="AI558" s="163"/>
      <c r="AJ558" s="167"/>
      <c r="AK558" s="168"/>
      <c r="AL558" s="115"/>
      <c r="AM558" s="115"/>
      <c r="AN558" s="115"/>
      <c r="AO558" s="115"/>
      <c r="AP558" s="115"/>
      <c r="AQ558" s="168"/>
      <c r="AR558" s="79"/>
      <c r="AS558" s="115"/>
      <c r="AT558" s="115"/>
      <c r="AU558" s="115"/>
      <c r="AV558" s="113">
        <f>IFERROR(INDEX('Total Customers'!$F$7:$AB$91,MATCH($C558,'Total Customers'!$D$7:$D$91,0),MATCH($G558,'Total Customers'!$F$5:$AB$5,0)),"NA")</f>
        <v>204788</v>
      </c>
      <c r="AW558" s="68">
        <f t="shared" si="972"/>
        <v>-4.6379380042120373E-3</v>
      </c>
      <c r="AX558" s="114"/>
      <c r="AY558" s="114"/>
      <c r="AZ558" s="116"/>
      <c r="BA558" s="116"/>
      <c r="BB558" s="166"/>
      <c r="BC558" s="166"/>
      <c r="BD558" s="166"/>
      <c r="BE558" s="166"/>
      <c r="BF558" s="166"/>
      <c r="BG558" s="166"/>
      <c r="BH558" s="166"/>
      <c r="BI558" s="113"/>
      <c r="BJ558" s="113"/>
      <c r="BK558" s="113">
        <f>INDEX('Dist. Plant Gas Additions'!$F$7:$AE$91,MATCH($C558,'Dist. Plant Gas Additions'!$D$7:$D$91,0),MATCH(Calculation!$G558,'Dist. Plant Gas Additions'!$F$5:$AE$5,0))</f>
        <v>9272</v>
      </c>
      <c r="BL558" s="113">
        <f>INDEX('Gen. Plant Additions'!$F$7:$AE$91,MATCH($C558,'Gen. Plant Additions'!$D$7:$D$91,0),MATCH(Calculation!$G558,'Gen. Plant Additions'!$F$5:$AE$5,0))</f>
        <v>3</v>
      </c>
      <c r="BM558" s="231">
        <f t="shared" si="1021"/>
        <v>0.88399018555436282</v>
      </c>
      <c r="BN558" s="61">
        <f t="shared" si="1016"/>
        <v>2.6519705566630885</v>
      </c>
      <c r="BO558" s="113"/>
      <c r="BP558" s="113"/>
      <c r="BQ558" s="113"/>
      <c r="BR558" s="113"/>
      <c r="BS558" s="113"/>
      <c r="BT558" s="113"/>
      <c r="BU558" s="113"/>
      <c r="BV558" s="113"/>
      <c r="BW558" s="113">
        <f>INDEX('Gross Dx Plant'!$E$7:$AD$91,MATCH($C558,'Gross Dx Plant'!$D$7:$D$91,0),MATCH(Calculation!$G558,'Gross Dx Plant'!$E$5:$AD$5,0))</f>
        <v>276696</v>
      </c>
      <c r="BX558" s="113">
        <f>INDEX('Gross Gen Plant'!$E$7:$AD$91,MATCH($C558,'Gross Gen Plant'!$D$7:$D$91,0),MATCH(Calculation!$G558,'Gross Gen Plant'!$E$5:$AD$5,0))</f>
        <v>36312</v>
      </c>
      <c r="BY558" s="113">
        <f t="shared" si="959"/>
        <v>313008</v>
      </c>
      <c r="BZ558" s="113"/>
      <c r="CA558" s="116">
        <v>2003</v>
      </c>
      <c r="CB558" s="113"/>
      <c r="CC558" s="113"/>
      <c r="CD558" s="113"/>
      <c r="CE558" s="175"/>
      <c r="CF558" s="113">
        <f t="shared" si="1022"/>
        <v>9275</v>
      </c>
      <c r="CG558" s="113">
        <f t="shared" si="1023"/>
        <v>25.119639156844684</v>
      </c>
      <c r="CH558" s="178">
        <v>0.97354497354497349</v>
      </c>
      <c r="CI558" s="61">
        <f>+CI553*CH558+CG554*CH557+CG555*CH556+CG556*CH555+CG557*CH554+CG558</f>
        <v>785.25405672953605</v>
      </c>
      <c r="CJ558" s="114">
        <f t="shared" si="1024"/>
        <v>2.6840590184827977E-2</v>
      </c>
      <c r="CK558" s="114"/>
      <c r="CL558" s="169">
        <f t="shared" si="1025"/>
        <v>5.6553793077968829E-3</v>
      </c>
      <c r="CM558" s="169">
        <f t="shared" si="1033"/>
        <v>5.4779160163212536E-3</v>
      </c>
      <c r="CN558" s="114">
        <f>VLOOKUP($H558,RoR!$E:$F,2,FALSE)</f>
        <v>5.6666666666666671E-2</v>
      </c>
      <c r="CO558" s="169">
        <v>1.8855119140166909E-2</v>
      </c>
      <c r="CP558" s="169">
        <f t="shared" si="1031"/>
        <v>3.7811547526499761E-2</v>
      </c>
      <c r="CQ558" s="169">
        <f t="shared" si="1034"/>
        <v>2.5424025592212372E-2</v>
      </c>
      <c r="CR558" s="169">
        <f t="shared" si="1035"/>
        <v>2.1375012817671957E-2</v>
      </c>
      <c r="CS558" s="179">
        <f t="shared" si="1026"/>
        <v>0.85126000000000002</v>
      </c>
      <c r="CT558" s="180">
        <f t="shared" si="1027"/>
        <v>0.90497737556561086</v>
      </c>
      <c r="CU558" s="180">
        <f t="shared" si="1028"/>
        <v>0.5338235294117647</v>
      </c>
      <c r="CV558" s="180">
        <f t="shared" si="1029"/>
        <v>0.88972433127405692</v>
      </c>
      <c r="CW558" s="180">
        <f t="shared" si="1030"/>
        <v>0.42982423775949252</v>
      </c>
      <c r="CX558" s="181">
        <f>INDEX('State Tax Lookup'!$D$7:$Z$91,MATCH(Calculation!$C558,'State Tax Lookup'!$B$7:$B$91,0),MATCH($H558,'State Tax Lookup'!$D$6:$Z$6,0))</f>
        <v>0.40200000000000002</v>
      </c>
      <c r="CY558" s="72">
        <v>0.37</v>
      </c>
      <c r="CZ558" s="70">
        <f t="shared" si="1032"/>
        <v>13.332631286630747</v>
      </c>
      <c r="DA558" s="70"/>
      <c r="DB558" s="69">
        <f t="shared" ref="DB558:DB577" si="1036">LN(CZ558/CZ557)</f>
        <v>1.5333529917110404E-2</v>
      </c>
      <c r="DC558" s="111">
        <f>VLOOKUP($H558,RoR!$E:$F,2,FALSE)</f>
        <v>5.6666666666666671E-2</v>
      </c>
      <c r="DD558" s="216">
        <f>HLOOKUP($H558,'GDP-PI'!$D$8:$CQ$11,3,FALSE)</f>
        <v>1.8855119140166909E-2</v>
      </c>
      <c r="DE558" s="111">
        <f>VLOOKUP(H558,'HW Dx Data'!$E:$F,2,FALSE)</f>
        <v>369.23301095560191</v>
      </c>
      <c r="DF558" s="66"/>
      <c r="DG558" s="69"/>
      <c r="DH558" s="66">
        <f>HLOOKUP(H558,'GDP-PI'!$8:$9,2,FALSE)</f>
        <v>82.566999999999993</v>
      </c>
      <c r="DI558" s="69">
        <f t="shared" ref="DI558:DI577" si="1037">LN(DH558/DH557)</f>
        <v>1.8679564681853753E-2</v>
      </c>
      <c r="EB558"/>
    </row>
    <row r="559" spans="1:132" s="160" customFormat="1" ht="21">
      <c r="A559" s="160" t="s">
        <v>193</v>
      </c>
      <c r="B559" s="161" t="s">
        <v>193</v>
      </c>
      <c r="C559" s="161">
        <v>4061634</v>
      </c>
      <c r="D559" s="161" t="s">
        <v>168</v>
      </c>
      <c r="E559" s="161"/>
      <c r="F559" s="161"/>
      <c r="G559" s="161" t="s">
        <v>115</v>
      </c>
      <c r="H559" s="162">
        <v>2004</v>
      </c>
      <c r="I559" s="163"/>
      <c r="J559" s="159">
        <f>IFERROR(INDEX('Labor Expenditures'!$F$7:$X$91,MATCH($C559,'Labor Expenditures'!$D$7:$D$91,0),MATCH($G559,'Labor Expenditures'!$F$5:$X$5,0)),"NA")</f>
        <v>18736.705090680451</v>
      </c>
      <c r="K559" s="159">
        <f t="shared" ref="K559:K577" si="1038">+J559/DF559</f>
        <v>198.58722936598252</v>
      </c>
      <c r="L559" s="165"/>
      <c r="M559" s="76"/>
      <c r="N559" s="152"/>
      <c r="O559" s="76"/>
      <c r="P559" s="76"/>
      <c r="Q559" s="159">
        <f>IFERROR(INDEX('Non-Labor Expenditures'!$F$7:$AB$91,MATCH($C559,'Non-Labor Expenditures'!$D$7:$D$91,0),MATCH($G559,'Non-Labor Expenditures'!$F$5:$AB$5,0)),"NA")</f>
        <v>27134.248505092306</v>
      </c>
      <c r="R559" s="159">
        <f t="shared" ref="R559:R577" si="1039">+Q559/DH559</f>
        <v>320.06238063049733</v>
      </c>
      <c r="S559" s="159"/>
      <c r="T559" s="159"/>
      <c r="U559" s="159"/>
      <c r="V559" s="159"/>
      <c r="W559" s="159">
        <f t="shared" si="1020"/>
        <v>11609.059403909781</v>
      </c>
      <c r="X559" s="163"/>
      <c r="Y559" s="167">
        <v>817.01199915060886</v>
      </c>
      <c r="Z559" s="168">
        <v>3.9646477026540054E-2</v>
      </c>
      <c r="AA559" s="76">
        <f t="shared" ref="AA559:AA577" si="1040">+Z559*$AR559</f>
        <v>0</v>
      </c>
      <c r="AB559" s="168"/>
      <c r="AC559" s="168"/>
      <c r="AD559" s="163">
        <f t="shared" si="928"/>
        <v>57480.012999682542</v>
      </c>
      <c r="AE559" s="168"/>
      <c r="AF559" s="163"/>
      <c r="AG559" s="163"/>
      <c r="AH559" s="163"/>
      <c r="AI559" s="163"/>
      <c r="AJ559" s="167"/>
      <c r="AK559" s="168"/>
      <c r="AL559" s="115">
        <f t="shared" ref="AL559:AL577" si="1041">+J559/AD559</f>
        <v>0.32596904755021422</v>
      </c>
      <c r="AM559" s="115">
        <f t="shared" ref="AM559:AM577" si="1042">+Q559/AD559</f>
        <v>0.47206406347267471</v>
      </c>
      <c r="AN559" s="115">
        <f t="shared" ref="AN559:AN577" si="1043">+W559/AD559</f>
        <v>0.20196688897711101</v>
      </c>
      <c r="AO559" s="115"/>
      <c r="AP559" s="115"/>
      <c r="AQ559" s="168"/>
      <c r="AR559" s="79"/>
      <c r="AS559" s="115"/>
      <c r="AT559" s="115"/>
      <c r="AU559" s="115"/>
      <c r="AV559" s="113">
        <f>IFERROR(INDEX('Total Customers'!$F$7:$AB$91,MATCH($C559,'Total Customers'!$D$7:$D$91,0),MATCH($G559,'Total Customers'!$F$5:$AB$5,0)),"NA")</f>
        <v>202850</v>
      </c>
      <c r="AW559" s="68">
        <f t="shared" si="972"/>
        <v>-9.5085080462156898E-3</v>
      </c>
      <c r="AX559" s="114"/>
      <c r="AY559" s="114"/>
      <c r="AZ559" s="116"/>
      <c r="BA559" s="116"/>
      <c r="BB559" s="166"/>
      <c r="BC559" s="166"/>
      <c r="BD559" s="166"/>
      <c r="BE559" s="166"/>
      <c r="BF559" s="166"/>
      <c r="BG559" s="166"/>
      <c r="BH559" s="166"/>
      <c r="BI559" s="113"/>
      <c r="BJ559" s="113"/>
      <c r="BK559" s="113">
        <f>INDEX('Dist. Plant Gas Additions'!$F$7:$AE$91,MATCH($C559,'Dist. Plant Gas Additions'!$D$7:$D$91,0),MATCH(Calculation!$G559,'Dist. Plant Gas Additions'!$F$5:$AE$5,0))</f>
        <v>14431</v>
      </c>
      <c r="BL559" s="113">
        <f>INDEX('Gen. Plant Additions'!$F$7:$AE$91,MATCH($C559,'Gen. Plant Additions'!$D$7:$D$91,0),MATCH(Calculation!$G559,'Gen. Plant Additions'!$F$5:$AE$5,0))</f>
        <v>648</v>
      </c>
      <c r="BM559" s="231">
        <f t="shared" si="1021"/>
        <v>0.89079358832048561</v>
      </c>
      <c r="BN559" s="61">
        <f t="shared" si="1016"/>
        <v>577.23424523167466</v>
      </c>
      <c r="BO559" s="113">
        <f>INDEX('Dist Plant Depreciation'!$E$7:$AD$94,MATCH($C559,'Dist Plant Depreciation'!$D$7:$D$94,0),MATCH(Calculation!$G559,'Dist Plant Depreciation'!$E$5:$AD$5,0))</f>
        <v>143255</v>
      </c>
      <c r="BP559" s="113">
        <f>INDEX('Gen. Plant Depreciation'!$E$7:$AD$94,MATCH($C559,'Gen. Plant Depreciation'!$D$7:$D$94,0),MATCH(Calculation!$G559,'Gen. Plant Depreciation'!$E$5:$AD$5,0))</f>
        <v>30024</v>
      </c>
      <c r="BQ559" s="113"/>
      <c r="BR559" s="113"/>
      <c r="BS559" s="113"/>
      <c r="BT559" s="113"/>
      <c r="BU559" s="113"/>
      <c r="BV559" s="113"/>
      <c r="BW559" s="113">
        <f>INDEX('Gross Dx Plant'!$E$7:$AD$91,MATCH($C559,'Gross Dx Plant'!$D$7:$D$91,0),MATCH(Calculation!$G559,'Gross Dx Plant'!$E$5:$AD$5,0))</f>
        <v>289703</v>
      </c>
      <c r="BX559" s="113">
        <f>INDEX('Gross Gen Plant'!$E$7:$AD$91,MATCH($C559,'Gross Gen Plant'!$D$7:$D$91,0),MATCH(Calculation!$G559,'Gross Gen Plant'!$E$5:$AD$5,0))</f>
        <v>35516</v>
      </c>
      <c r="BY559" s="113">
        <f t="shared" si="959"/>
        <v>151940</v>
      </c>
      <c r="BZ559" s="113"/>
      <c r="CA559" s="116">
        <v>2004</v>
      </c>
      <c r="CB559" s="113"/>
      <c r="CC559" s="113"/>
      <c r="CD559" s="113"/>
      <c r="CE559" s="175"/>
      <c r="CF559" s="113">
        <f t="shared" si="1022"/>
        <v>15079</v>
      </c>
      <c r="CG559" s="113">
        <f t="shared" si="1023"/>
        <v>36.344819301004435</v>
      </c>
      <c r="CH559" s="178">
        <v>0.967741935483871</v>
      </c>
      <c r="CI559" s="61">
        <f>+CI553*CH559+CG554*CH558+CG555*CH557+CG556*CH556+CG557*CH555+CG558*CH554+CG559</f>
        <v>817.01199915060886</v>
      </c>
      <c r="CJ559" s="114">
        <f t="shared" si="1024"/>
        <v>3.9646477026540054E-2</v>
      </c>
      <c r="CK559" s="114"/>
      <c r="CL559" s="169">
        <f t="shared" si="1025"/>
        <v>5.8412647991087988E-3</v>
      </c>
      <c r="CM559" s="169">
        <f t="shared" si="1033"/>
        <v>5.7350967316179132E-3</v>
      </c>
      <c r="CN559" s="114">
        <f>VLOOKUP($H559,RoR!$E:$F,2,FALSE)</f>
        <v>5.6283333333333331E-2</v>
      </c>
      <c r="CO559" s="169">
        <v>2.6778252812867276E-2</v>
      </c>
      <c r="CP559" s="169">
        <f t="shared" si="1031"/>
        <v>2.9505080520466055E-2</v>
      </c>
      <c r="CQ559" s="169">
        <f t="shared" si="1034"/>
        <v>2.5166844876915711E-2</v>
      </c>
      <c r="CR559" s="169">
        <f t="shared" si="1035"/>
        <v>5.5940039414565046E-2</v>
      </c>
      <c r="CS559" s="179">
        <f t="shared" si="1026"/>
        <v>0.85126000000000002</v>
      </c>
      <c r="CT559" s="180">
        <f t="shared" si="1027"/>
        <v>0.91114097628755619</v>
      </c>
      <c r="CU559" s="180">
        <f t="shared" si="1028"/>
        <v>0.53081877405981637</v>
      </c>
      <c r="CV559" s="180">
        <f t="shared" si="1029"/>
        <v>0.88811215519385678</v>
      </c>
      <c r="CW559" s="180">
        <f t="shared" si="1030"/>
        <v>0.42953609753547711</v>
      </c>
      <c r="CX559" s="181">
        <f>INDEX('State Tax Lookup'!$D$7:$Z$91,MATCH(Calculation!$C559,'State Tax Lookup'!$B$7:$B$91,0),MATCH($H559,'State Tax Lookup'!$D$6:$Z$6,0))</f>
        <v>0.40200000000000002</v>
      </c>
      <c r="CY559" s="72">
        <v>0.37</v>
      </c>
      <c r="CZ559" s="70">
        <f t="shared" si="1032"/>
        <v>14.783826080771554</v>
      </c>
      <c r="DA559" s="70"/>
      <c r="DB559" s="69">
        <f t="shared" si="1036"/>
        <v>0.10331924025616795</v>
      </c>
      <c r="DC559" s="111">
        <f>VLOOKUP($H559,RoR!$E:$F,2,FALSE)</f>
        <v>5.6283333333333331E-2</v>
      </c>
      <c r="DD559" s="216">
        <f>HLOOKUP($H559,'GDP-PI'!$D$8:$CQ$11,3,FALSE)</f>
        <v>2.6778252812867276E-2</v>
      </c>
      <c r="DE559" s="111">
        <f>VLOOKUP(H559,'HW Dx Data'!$E:$F,2,FALSE)</f>
        <v>414.88719135228365</v>
      </c>
      <c r="DF559" s="72">
        <f>VLOOKUP(G559,EG$8:EH$27,2,FALSE)</f>
        <v>94.35</v>
      </c>
      <c r="DG559" s="69"/>
      <c r="DH559" s="66">
        <f>HLOOKUP(H559,'GDP-PI'!$8:$9,2,FALSE)</f>
        <v>84.778000000000006</v>
      </c>
      <c r="DI559" s="69">
        <f t="shared" si="1037"/>
        <v>2.6425990216022755E-2</v>
      </c>
      <c r="EB559"/>
    </row>
    <row r="560" spans="1:132" s="160" customFormat="1" ht="21">
      <c r="A560" s="160" t="s">
        <v>193</v>
      </c>
      <c r="B560" s="161" t="s">
        <v>193</v>
      </c>
      <c r="C560" s="161">
        <v>4061634</v>
      </c>
      <c r="D560" s="161" t="s">
        <v>168</v>
      </c>
      <c r="E560" s="161"/>
      <c r="F560" s="161"/>
      <c r="G560" s="161" t="s">
        <v>116</v>
      </c>
      <c r="H560" s="162">
        <v>2005</v>
      </c>
      <c r="I560" s="163"/>
      <c r="J560" s="159">
        <f>IFERROR(INDEX('Labor Expenditures'!$F$7:$X$91,MATCH($C560,'Labor Expenditures'!$D$7:$D$91,0),MATCH($G560,'Labor Expenditures'!$F$5:$X$5,0)),"NA")</f>
        <v>18769.828791956479</v>
      </c>
      <c r="K560" s="159">
        <f t="shared" si="1038"/>
        <v>189.16431133239084</v>
      </c>
      <c r="L560" s="165">
        <f t="shared" ref="L560:L576" si="1044">LN(K560/K559)</f>
        <v>-4.8612436746758997E-2</v>
      </c>
      <c r="M560" s="76"/>
      <c r="N560" s="62">
        <v>100</v>
      </c>
      <c r="O560" s="77"/>
      <c r="P560" s="77"/>
      <c r="Q560" s="159">
        <f>IFERROR(INDEX('Non-Labor Expenditures'!$F$7:$AB$91,MATCH($C560,'Non-Labor Expenditures'!$D$7:$D$91,0),MATCH($G560,'Non-Labor Expenditures'!$F$5:$AB$5,0)),"NA")</f>
        <v>27182.217811194012</v>
      </c>
      <c r="R560" s="159">
        <f t="shared" si="1039"/>
        <v>310.98444988609623</v>
      </c>
      <c r="S560" s="165">
        <f>LN(R560/R559)</f>
        <v>-2.8773005702922693E-2</v>
      </c>
      <c r="T560" s="165"/>
      <c r="U560" s="165"/>
      <c r="V560" s="165"/>
      <c r="W560" s="159">
        <f t="shared" si="1020"/>
        <v>13570.053313124225</v>
      </c>
      <c r="X560" s="163"/>
      <c r="Y560" s="167">
        <v>829.23049635154837</v>
      </c>
      <c r="Z560" s="168">
        <v>1.484437633126736E-2</v>
      </c>
      <c r="AA560" s="76">
        <f t="shared" si="1040"/>
        <v>0</v>
      </c>
      <c r="AB560" s="168"/>
      <c r="AC560" s="168"/>
      <c r="AD560" s="163">
        <f t="shared" si="928"/>
        <v>59522.099916274718</v>
      </c>
      <c r="AE560" s="168">
        <f>LN(AD560/AD559)</f>
        <v>3.4910383382973073E-2</v>
      </c>
      <c r="AF560" s="163"/>
      <c r="AG560" s="163"/>
      <c r="AH560" s="163"/>
      <c r="AI560" s="163"/>
      <c r="AJ560" s="116"/>
      <c r="AK560" s="114"/>
      <c r="AL560" s="115">
        <f t="shared" si="1041"/>
        <v>0.31534218077585624</v>
      </c>
      <c r="AM560" s="115">
        <f t="shared" si="1042"/>
        <v>0.45667437555847668</v>
      </c>
      <c r="AN560" s="115">
        <f t="shared" si="1043"/>
        <v>0.22798344366566708</v>
      </c>
      <c r="AO560" s="115">
        <f t="shared" ref="AO560:AO576" si="1045">+(((AL560+AL559)/2)*L560+((AM559+AM560)/2)*S560+((AN559+AN560)/2)*Z560)</f>
        <v>-2.5757976691625634E-2</v>
      </c>
      <c r="AP560" s="166">
        <v>100</v>
      </c>
      <c r="AQ560" s="168"/>
      <c r="AR560" s="16"/>
      <c r="AS560" s="115"/>
      <c r="AT560" s="115"/>
      <c r="AU560" s="115"/>
      <c r="AV560" s="113">
        <f>IFERROR(INDEX('Total Customers'!$F$7:$AB$91,MATCH($C560,'Total Customers'!$D$7:$D$91,0),MATCH($G560,'Total Customers'!$F$5:$AB$5,0)),"NA")</f>
        <v>221844</v>
      </c>
      <c r="AW560" s="68">
        <f t="shared" si="972"/>
        <v>8.9507642505852553E-2</v>
      </c>
      <c r="AX560" s="114"/>
      <c r="AY560" s="114"/>
      <c r="AZ560" s="116"/>
      <c r="BA560" s="116"/>
      <c r="BB560" s="166"/>
      <c r="BC560" s="166"/>
      <c r="BD560" s="166"/>
      <c r="BE560" s="166"/>
      <c r="BF560" s="166"/>
      <c r="BG560" s="166"/>
      <c r="BH560" s="166"/>
      <c r="BI560" s="113"/>
      <c r="BJ560" s="113"/>
      <c r="BK560" s="113">
        <f>INDEX('Dist. Plant Gas Additions'!$F$7:$AE$91,MATCH($C560,'Dist. Plant Gas Additions'!$D$7:$D$91,0),MATCH(Calculation!$G560,'Dist. Plant Gas Additions'!$F$5:$AE$5,0))</f>
        <v>8032</v>
      </c>
      <c r="BL560" s="113">
        <f>INDEX('Gen. Plant Additions'!$F$7:$AE$91,MATCH($C560,'Gen. Plant Additions'!$D$7:$D$91,0),MATCH(Calculation!$G560,'Gen. Plant Additions'!$F$5:$AE$5,0))</f>
        <v>8</v>
      </c>
      <c r="BM560" s="231">
        <f t="shared" si="1021"/>
        <v>0.90295961067707986</v>
      </c>
      <c r="BN560" s="61">
        <f t="shared" si="1016"/>
        <v>7.2236768854166389</v>
      </c>
      <c r="BO560" s="113"/>
      <c r="BP560" s="113"/>
      <c r="BQ560" s="113"/>
      <c r="BR560" s="113"/>
      <c r="BS560" s="113"/>
      <c r="BT560" s="113"/>
      <c r="BU560" s="113"/>
      <c r="BV560" s="113"/>
      <c r="BW560" s="113">
        <f>INDEX('Gross Dx Plant'!$E$7:$AD$91,MATCH($C560,'Gross Dx Plant'!$D$7:$D$91,0),MATCH(Calculation!$G560,'Gross Dx Plant'!$E$5:$AD$5,0))</f>
        <v>338990</v>
      </c>
      <c r="BX560" s="113">
        <f>INDEX('Gross Gen Plant'!$E$7:$AD$91,MATCH($C560,'Gross Gen Plant'!$D$7:$D$91,0),MATCH(Calculation!$G560,'Gross Gen Plant'!$E$5:$AD$5,0))</f>
        <v>36431</v>
      </c>
      <c r="BY560" s="113">
        <f t="shared" si="959"/>
        <v>375421</v>
      </c>
      <c r="BZ560" s="113"/>
      <c r="CA560" s="116">
        <v>2005</v>
      </c>
      <c r="CB560" s="113"/>
      <c r="CC560" s="113"/>
      <c r="CD560" s="113"/>
      <c r="CE560" s="175"/>
      <c r="CF560" s="113">
        <f t="shared" si="1022"/>
        <v>8040</v>
      </c>
      <c r="CG560" s="113">
        <f t="shared" si="1023"/>
        <v>17.135362144612365</v>
      </c>
      <c r="CH560" s="178">
        <v>0.96174863387978138</v>
      </c>
      <c r="CI560" s="61">
        <f>+CI553*CH560+CG554*CH559+CG555*CH558+CG556*CH557+CG557*CH556+CG558*CH555+CG559*CH554+CG560</f>
        <v>829.23049635154837</v>
      </c>
      <c r="CJ560" s="114">
        <f t="shared" si="1024"/>
        <v>1.484437633126736E-2</v>
      </c>
      <c r="CK560" s="114"/>
      <c r="CL560" s="169">
        <f t="shared" si="1025"/>
        <v>6.0181061585198037E-3</v>
      </c>
      <c r="CM560" s="169">
        <f t="shared" si="1033"/>
        <v>5.8382500884751618E-3</v>
      </c>
      <c r="CN560" s="114">
        <f>VLOOKUP($H560,RoR!$E:$F,2,FALSE)</f>
        <v>5.2350000000000001E-2</v>
      </c>
      <c r="CO560" s="169">
        <v>3.1010403642454332E-2</v>
      </c>
      <c r="CP560" s="169">
        <f t="shared" si="1031"/>
        <v>2.1339596357545669E-2</v>
      </c>
      <c r="CQ560" s="169">
        <f t="shared" si="1034"/>
        <v>2.5063691520058464E-2</v>
      </c>
      <c r="CR560" s="169">
        <f t="shared" si="1035"/>
        <v>9.2129610649277341E-2</v>
      </c>
      <c r="CS560" s="179">
        <f t="shared" si="1026"/>
        <v>0.85126000000000002</v>
      </c>
      <c r="CT560" s="180">
        <f t="shared" si="1027"/>
        <v>0.97959983346802826</v>
      </c>
      <c r="CU560" s="180">
        <f t="shared" si="1028"/>
        <v>0.49744508118433622</v>
      </c>
      <c r="CV560" s="180">
        <f t="shared" si="1029"/>
        <v>0.87010519444335932</v>
      </c>
      <c r="CW560" s="180">
        <f t="shared" si="1030"/>
        <v>0.42399975420741998</v>
      </c>
      <c r="CX560" s="181">
        <f>INDEX('State Tax Lookup'!$D$7:$Z$91,MATCH(Calculation!$C560,'State Tax Lookup'!$B$7:$B$91,0),MATCH($H560,'State Tax Lookup'!$D$6:$Z$6,0))</f>
        <v>0.40200000000000002</v>
      </c>
      <c r="CY560" s="72">
        <v>0.37</v>
      </c>
      <c r="CZ560" s="70">
        <f t="shared" si="1032"/>
        <v>16.609368439180912</v>
      </c>
      <c r="DA560" s="70"/>
      <c r="DB560" s="69">
        <f t="shared" si="1036"/>
        <v>0.1164331491621602</v>
      </c>
      <c r="DC560" s="111">
        <f>VLOOKUP($H560,RoR!$E:$F,2,FALSE)</f>
        <v>5.2350000000000001E-2</v>
      </c>
      <c r="DD560" s="216">
        <f>HLOOKUP($H560,'GDP-PI'!$D$8:$CQ$11,3,FALSE)</f>
        <v>3.1010403642454332E-2</v>
      </c>
      <c r="DE560" s="111">
        <f>VLOOKUP(H560,'HW Dx Data'!$E:$F,2,FALSE)</f>
        <v>469.20514034936258</v>
      </c>
      <c r="DF560" s="72">
        <f t="shared" ref="DF560:DF578" si="1046">VLOOKUP(G560,EG$8:EH$27,2,FALSE)</f>
        <v>99.224999999999994</v>
      </c>
      <c r="DG560" s="69">
        <f t="shared" ref="DG560:DG578" si="1047">LN(DF560/DF559)</f>
        <v>5.0378726854569796E-2</v>
      </c>
      <c r="DH560" s="66">
        <f>HLOOKUP(H560,'GDP-PI'!$8:$9,2,FALSE)</f>
        <v>87.406999999999996</v>
      </c>
      <c r="DI560" s="69">
        <f t="shared" si="1037"/>
        <v>3.0539295810733648E-2</v>
      </c>
      <c r="EB560"/>
    </row>
    <row r="561" spans="1:132" s="160" customFormat="1" ht="21">
      <c r="A561" s="160" t="s">
        <v>193</v>
      </c>
      <c r="B561" s="161" t="s">
        <v>193</v>
      </c>
      <c r="C561" s="161">
        <v>4061634</v>
      </c>
      <c r="D561" s="161" t="s">
        <v>168</v>
      </c>
      <c r="E561" s="161"/>
      <c r="F561" s="161"/>
      <c r="G561" s="161" t="s">
        <v>117</v>
      </c>
      <c r="H561" s="162">
        <v>2006</v>
      </c>
      <c r="I561" s="163"/>
      <c r="J561" s="159">
        <f>IFERROR(INDEX('Labor Expenditures'!$F$7:$X$91,MATCH($C561,'Labor Expenditures'!$D$7:$D$91,0),MATCH($G561,'Labor Expenditures'!$F$5:$X$5,0)),"NA")</f>
        <v>19578.568464778393</v>
      </c>
      <c r="K561" s="159">
        <f t="shared" si="1038"/>
        <v>178.96314867256299</v>
      </c>
      <c r="L561" s="165">
        <f t="shared" si="1044"/>
        <v>-5.543609819533498E-2</v>
      </c>
      <c r="M561" s="76">
        <f t="shared" ref="M561:M577" si="1048">+L561*$AR561</f>
        <v>-4.2746539439855833E-4</v>
      </c>
      <c r="N561" s="62">
        <f>+N560*EXP(O561)</f>
        <v>107.95175000094845</v>
      </c>
      <c r="O561" s="96">
        <f t="shared" ref="O561:O577" si="1049">+M561+M586+M611+M636+M661+M686+M711+M736+M761+M786+M811+M836+M861+M886+M911+M936+M961+M986+M1011+M1036+M1061+M1086+M1111+M1136+M1161+M1186+M1211+M1236+M1261+M1286+M1311+M1336+M1361+M1386+M1411+M1436+M1461+M1486+M1511+M1536+M1561+M1586+M1611+M1636+M1661+M1686+M1711+M1736+M1761+M1786+M1811+M1836+M1861+M1886</f>
        <v>7.6514182059003663E-2</v>
      </c>
      <c r="P561" s="96"/>
      <c r="Q561" s="159">
        <f>IFERROR(INDEX('Non-Labor Expenditures'!$F$7:$AB$91,MATCH($C561,'Non-Labor Expenditures'!$D$7:$D$91,0),MATCH($G561,'Non-Labor Expenditures'!$F$5:$AB$5,0)),"NA")</f>
        <v>28353.423909175021</v>
      </c>
      <c r="R561" s="159">
        <f t="shared" si="1039"/>
        <v>314.77922496142082</v>
      </c>
      <c r="S561" s="165">
        <f t="shared" ref="S561:S576" si="1050">LN(R561/R560)</f>
        <v>1.2128609397962281E-2</v>
      </c>
      <c r="T561" s="165">
        <f t="shared" ref="T561:T577" si="1051">+S561*AR561</f>
        <v>9.3523190999800468E-5</v>
      </c>
      <c r="U561" s="165"/>
      <c r="V561" s="165"/>
      <c r="W561" s="159">
        <f t="shared" si="1020"/>
        <v>13444.344490787726</v>
      </c>
      <c r="X561" s="163"/>
      <c r="Y561" s="167">
        <v>850.28488857760829</v>
      </c>
      <c r="Z561" s="168">
        <v>2.5073298435990182E-2</v>
      </c>
      <c r="AA561" s="76">
        <f t="shared" si="1040"/>
        <v>1.9333913738025721E-4</v>
      </c>
      <c r="AB561" s="168"/>
      <c r="AC561" s="168"/>
      <c r="AD561" s="163">
        <f t="shared" si="928"/>
        <v>61376.336864741141</v>
      </c>
      <c r="AE561" s="168">
        <f t="shared" ref="AE561:AE577" si="1052">LN(AD561/AD560)</f>
        <v>3.0676697033833362E-2</v>
      </c>
      <c r="AF561" s="163"/>
      <c r="AG561" s="163"/>
      <c r="AH561" s="163"/>
      <c r="AI561" s="163"/>
      <c r="AJ561" s="116">
        <f t="shared" ref="AJ561:AJ577" si="1053">+(AD561*1000)/AV561</f>
        <v>276.59707101795033</v>
      </c>
      <c r="AK561" s="114">
        <f>+AV561/$AX$11</f>
        <v>6.3981755779581179E-3</v>
      </c>
      <c r="AL561" s="115">
        <f t="shared" si="1041"/>
        <v>0.31899213059790299</v>
      </c>
      <c r="AM561" s="115">
        <f t="shared" si="1042"/>
        <v>0.46196018461739136</v>
      </c>
      <c r="AN561" s="115">
        <f t="shared" si="1043"/>
        <v>0.21904768478470563</v>
      </c>
      <c r="AO561" s="115">
        <f t="shared" si="1045"/>
        <v>-6.407357260165134E-3</v>
      </c>
      <c r="AP561" s="166">
        <f>+AP560*EXP(AO561)</f>
        <v>99.361312608198503</v>
      </c>
      <c r="AQ561" s="168">
        <f>LN(AP561/AP560)</f>
        <v>-6.4073572601651852E-3</v>
      </c>
      <c r="AR561" s="69">
        <f>+AD561/$AF$11</f>
        <v>7.7109574503663406E-3</v>
      </c>
      <c r="AS561" s="169">
        <f>+AR561*AQ561</f>
        <v>-4.9406859202429596E-5</v>
      </c>
      <c r="AT561" s="115"/>
      <c r="AU561" s="115"/>
      <c r="AV561" s="113">
        <f>IFERROR(INDEX('Total Customers'!$F$7:$AB$91,MATCH($C561,'Total Customers'!$D$7:$D$91,0),MATCH($G561,'Total Customers'!$F$5:$AB$5,0)),"NA")</f>
        <v>221898</v>
      </c>
      <c r="AW561" s="68">
        <f t="shared" si="972"/>
        <v>2.4338467067143568E-4</v>
      </c>
      <c r="AX561" s="114"/>
      <c r="AY561" s="114"/>
      <c r="AZ561" s="116"/>
      <c r="BA561" s="116"/>
      <c r="BB561" s="166"/>
      <c r="BC561" s="166"/>
      <c r="BD561" s="166"/>
      <c r="BE561" s="166"/>
      <c r="BF561" s="166"/>
      <c r="BG561" s="166"/>
      <c r="BH561" s="166"/>
      <c r="BI561" s="113"/>
      <c r="BJ561" s="113"/>
      <c r="BK561" s="113">
        <f>INDEX('Dist. Plant Gas Additions'!$F$7:$AE$91,MATCH($C561,'Dist. Plant Gas Additions'!$D$7:$D$91,0),MATCH(Calculation!$G561,'Dist. Plant Gas Additions'!$F$5:$AE$5,0))</f>
        <v>11302</v>
      </c>
      <c r="BL561" s="113">
        <f>INDEX('Gen. Plant Additions'!$F$7:$AE$91,MATCH($C561,'Gen. Plant Additions'!$D$7:$D$91,0),MATCH(Calculation!$G561,'Gen. Plant Additions'!$F$5:$AE$5,0))</f>
        <v>787</v>
      </c>
      <c r="BM561" s="231">
        <f t="shared" si="1021"/>
        <v>0.90358180960917711</v>
      </c>
      <c r="BN561" s="61">
        <f t="shared" si="1016"/>
        <v>711.11888416242243</v>
      </c>
      <c r="BO561" s="113"/>
      <c r="BP561" s="113"/>
      <c r="BQ561" s="113"/>
      <c r="BR561" s="113"/>
      <c r="BS561" s="113"/>
      <c r="BT561" s="113"/>
      <c r="BU561" s="113"/>
      <c r="BV561" s="113"/>
      <c r="BW561" s="113">
        <f>INDEX('Gross Dx Plant'!$E$7:$AD$91,MATCH($C561,'Gross Dx Plant'!$D$7:$D$91,0),MATCH(Calculation!$G561,'Gross Dx Plant'!$E$5:$AD$5,0))</f>
        <v>348788</v>
      </c>
      <c r="BX561" s="113">
        <f>INDEX('Gross Gen Plant'!$E$7:$AD$91,MATCH($C561,'Gross Gen Plant'!$D$7:$D$91,0),MATCH(Calculation!$G561,'Gross Gen Plant'!$E$5:$AD$5,0))</f>
        <v>37218</v>
      </c>
      <c r="BY561" s="113">
        <f t="shared" si="959"/>
        <v>386006</v>
      </c>
      <c r="BZ561" s="114"/>
      <c r="CA561" s="116">
        <v>2006</v>
      </c>
      <c r="CB561" s="113"/>
      <c r="CC561" s="113"/>
      <c r="CD561" s="113"/>
      <c r="CE561" s="175"/>
      <c r="CF561" s="113">
        <f t="shared" si="1022"/>
        <v>12089</v>
      </c>
      <c r="CG561" s="113">
        <f t="shared" si="1023"/>
        <v>26.218554847802434</v>
      </c>
      <c r="CH561" s="178">
        <v>0.9555555555555556</v>
      </c>
      <c r="CI561" s="61">
        <f>+CI553*CH561+CG554*CH560+CG555*CH559+CG556*CH558+CG557*CH557+CG558*CH556+CG559*CH555+CG560*CH554+CG561</f>
        <v>850.28488857760829</v>
      </c>
      <c r="CJ561" s="114">
        <f t="shared" si="1024"/>
        <v>2.5073298435990182E-2</v>
      </c>
      <c r="CK561" s="114"/>
      <c r="CL561" s="169">
        <f t="shared" si="1025"/>
        <v>6.2276564169598432E-3</v>
      </c>
      <c r="CM561" s="169">
        <f t="shared" si="1033"/>
        <v>6.0290091248628155E-3</v>
      </c>
      <c r="CN561" s="114">
        <f>VLOOKUP($H561,RoR!$E:$F,2,FALSE)</f>
        <v>5.5874999999999994E-2</v>
      </c>
      <c r="CO561" s="169">
        <v>3.0512430354548314E-2</v>
      </c>
      <c r="CP561" s="169">
        <f t="shared" si="1031"/>
        <v>2.536256964545168E-2</v>
      </c>
      <c r="CQ561" s="169">
        <f t="shared" si="1034"/>
        <v>2.4872932483670809E-2</v>
      </c>
      <c r="CR561" s="169">
        <f t="shared" si="1035"/>
        <v>7.9087823893859641E-2</v>
      </c>
      <c r="CS561" s="179">
        <f t="shared" si="1026"/>
        <v>0.85126000000000002</v>
      </c>
      <c r="CT561" s="180">
        <f t="shared" si="1027"/>
        <v>0.91779957551769631</v>
      </c>
      <c r="CU561" s="180">
        <f t="shared" si="1028"/>
        <v>0.52757270693512304</v>
      </c>
      <c r="CV561" s="180">
        <f t="shared" si="1029"/>
        <v>0.88636824549024895</v>
      </c>
      <c r="CW561" s="180">
        <f t="shared" si="1030"/>
        <v>0.42918482841932087</v>
      </c>
      <c r="CX561" s="181">
        <f>INDEX('State Tax Lookup'!$D$7:$Z$91,MATCH(Calculation!$C561,'State Tax Lookup'!$B$7:$B$91,0),MATCH($H561,'State Tax Lookup'!$D$6:$Z$6,0))</f>
        <v>0.40200000000000002</v>
      </c>
      <c r="CY561" s="72">
        <v>0.37</v>
      </c>
      <c r="CZ561" s="70">
        <f t="shared" si="1032"/>
        <v>16.213036724939816</v>
      </c>
      <c r="DA561" s="70">
        <v>14.788696346247992</v>
      </c>
      <c r="DB561" s="69">
        <f t="shared" si="1036"/>
        <v>-2.4151245255972217E-2</v>
      </c>
      <c r="DC561" s="111">
        <f>VLOOKUP($H561,RoR!$E:$F,2,FALSE)</f>
        <v>5.5874999999999994E-2</v>
      </c>
      <c r="DD561" s="216">
        <f>HLOOKUP($H561,'GDP-PI'!$D$8:$CQ$11,3,FALSE)</f>
        <v>3.0512430354548314E-2</v>
      </c>
      <c r="DE561" s="111">
        <f>VLOOKUP(H561,'HW Dx Data'!$E:$F,2,FALSE)</f>
        <v>461.08567272971823</v>
      </c>
      <c r="DF561" s="72">
        <f t="shared" si="1046"/>
        <v>109.4</v>
      </c>
      <c r="DG561" s="69">
        <f t="shared" si="1047"/>
        <v>9.7620891318751846E-2</v>
      </c>
      <c r="DH561" s="66">
        <f>HLOOKUP(H561,'GDP-PI'!$8:$9,2,FALSE)</f>
        <v>90.073999999999998</v>
      </c>
      <c r="DI561" s="69">
        <f t="shared" si="1037"/>
        <v>3.005618372545445E-2</v>
      </c>
      <c r="EB561"/>
    </row>
    <row r="562" spans="1:132" s="160" customFormat="1" ht="21">
      <c r="A562" s="160" t="s">
        <v>193</v>
      </c>
      <c r="B562" s="161" t="s">
        <v>193</v>
      </c>
      <c r="C562" s="161">
        <v>4061634</v>
      </c>
      <c r="D562" s="161" t="s">
        <v>168</v>
      </c>
      <c r="E562" s="161"/>
      <c r="F562" s="161"/>
      <c r="G562" s="161" t="s">
        <v>118</v>
      </c>
      <c r="H562" s="162">
        <v>2007</v>
      </c>
      <c r="I562" s="163"/>
      <c r="J562" s="159">
        <f>IFERROR(INDEX('Labor Expenditures'!$F$7:$X$91,MATCH($C562,'Labor Expenditures'!$D$7:$D$91,0),MATCH($G562,'Labor Expenditures'!$F$5:$X$5,0)),"NA")</f>
        <v>21279.504651490384</v>
      </c>
      <c r="K562" s="159">
        <f t="shared" si="1038"/>
        <v>203.58291941153203</v>
      </c>
      <c r="L562" s="165">
        <f t="shared" si="1044"/>
        <v>0.12889347697820269</v>
      </c>
      <c r="M562" s="76">
        <f t="shared" si="1048"/>
        <v>1.0254940122870694E-3</v>
      </c>
      <c r="N562" s="62">
        <f t="shared" ref="N562:N575" si="1054">+N561*EXP(O562)</f>
        <v>118.10134275638896</v>
      </c>
      <c r="O562" s="96">
        <f t="shared" si="1049"/>
        <v>8.9858724747717639E-2</v>
      </c>
      <c r="P562" s="96"/>
      <c r="Q562" s="159">
        <f>IFERROR(INDEX('Non-Labor Expenditures'!$F$7:$AB$91,MATCH($C562,'Non-Labor Expenditures'!$D$7:$D$91,0),MATCH($G562,'Non-Labor Expenditures'!$F$5:$AB$5,0)),"NA")</f>
        <v>30816.697198591519</v>
      </c>
      <c r="R562" s="159">
        <f t="shared" si="1039"/>
        <v>333.16068670232346</v>
      </c>
      <c r="S562" s="165">
        <f t="shared" si="1050"/>
        <v>5.6753396282912566E-2</v>
      </c>
      <c r="T562" s="165">
        <f t="shared" si="1051"/>
        <v>4.5153773045415139E-4</v>
      </c>
      <c r="U562" s="165"/>
      <c r="V562" s="165"/>
      <c r="W562" s="159">
        <f t="shared" si="1020"/>
        <v>14796.970089353177</v>
      </c>
      <c r="X562" s="163"/>
      <c r="Y562" s="167">
        <v>864.81660835471587</v>
      </c>
      <c r="Z562" s="168">
        <v>1.6946014628831482E-2</v>
      </c>
      <c r="AA562" s="76">
        <f t="shared" si="1040"/>
        <v>1.3482479440704814E-4</v>
      </c>
      <c r="AB562" s="168"/>
      <c r="AC562" s="168"/>
      <c r="AD562" s="163">
        <f t="shared" si="928"/>
        <v>66893.17193943508</v>
      </c>
      <c r="AE562" s="168">
        <f t="shared" si="1052"/>
        <v>8.6072530452051238E-2</v>
      </c>
      <c r="AF562" s="163"/>
      <c r="AG562" s="163"/>
      <c r="AH562" s="163"/>
      <c r="AI562" s="163"/>
      <c r="AJ562" s="116">
        <f t="shared" si="1053"/>
        <v>305.4747760738835</v>
      </c>
      <c r="AK562" s="114">
        <f>+AV562/$AX$12</f>
        <v>6.2665281500699863E-3</v>
      </c>
      <c r="AL562" s="115">
        <f t="shared" si="1041"/>
        <v>0.31811175990812335</v>
      </c>
      <c r="AM562" s="115">
        <f t="shared" si="1042"/>
        <v>0.46068524342802708</v>
      </c>
      <c r="AN562" s="115">
        <f t="shared" si="1043"/>
        <v>0.22120299666384963</v>
      </c>
      <c r="AO562" s="115">
        <f t="shared" si="1045"/>
        <v>7.0971145869160632E-2</v>
      </c>
      <c r="AP562" s="166">
        <f>+AP561*EXP(AO562)</f>
        <v>106.66936189766928</v>
      </c>
      <c r="AQ562" s="168">
        <f>LN(AP562/AP561)</f>
        <v>7.0971145869160632E-2</v>
      </c>
      <c r="AR562" s="69">
        <f>+AD562/$AF$12</f>
        <v>7.9561358443336252E-3</v>
      </c>
      <c r="AS562" s="169">
        <f t="shared" ref="AS562:AS576" si="1055">+AR562*AQ562</f>
        <v>5.6465607756305924E-4</v>
      </c>
      <c r="AT562" s="115"/>
      <c r="AU562" s="115"/>
      <c r="AV562" s="113">
        <f>IFERROR(INDEX('Total Customers'!$F$7:$AB$91,MATCH($C562,'Total Customers'!$D$7:$D$91,0),MATCH($G562,'Total Customers'!$F$5:$AB$5,0)),"NA")</f>
        <v>218981</v>
      </c>
      <c r="AW562" s="68">
        <f t="shared" si="972"/>
        <v>-1.3232848767039252E-2</v>
      </c>
      <c r="AX562" s="114"/>
      <c r="AY562" s="114"/>
      <c r="AZ562" s="116"/>
      <c r="BA562" s="116"/>
      <c r="BB562" s="166"/>
      <c r="BC562" s="166"/>
      <c r="BD562" s="166"/>
      <c r="BE562" s="166"/>
      <c r="BF562" s="166"/>
      <c r="BG562" s="166"/>
      <c r="BH562" s="166"/>
      <c r="BI562" s="113"/>
      <c r="BJ562" s="113"/>
      <c r="BK562" s="113">
        <f>INDEX('Dist. Plant Gas Additions'!$F$7:$AE$91,MATCH($C562,'Dist. Plant Gas Additions'!$D$7:$D$91,0),MATCH(Calculation!$G562,'Dist. Plant Gas Additions'!$F$5:$AE$5,0))</f>
        <v>9453</v>
      </c>
      <c r="BL562" s="113">
        <f>INDEX('Gen. Plant Additions'!$F$7:$AE$91,MATCH($C562,'Gen. Plant Additions'!$D$7:$D$91,0),MATCH(Calculation!$G562,'Gen. Plant Additions'!$F$5:$AE$5,0))</f>
        <v>507</v>
      </c>
      <c r="BM562" s="231">
        <f t="shared" si="1021"/>
        <v>0.94334184498623319</v>
      </c>
      <c r="BN562" s="61">
        <f t="shared" si="1016"/>
        <v>478.27431540802024</v>
      </c>
      <c r="BO562" s="113"/>
      <c r="BP562" s="113"/>
      <c r="BQ562" s="113"/>
      <c r="BR562" s="113"/>
      <c r="BS562" s="113"/>
      <c r="BT562" s="113"/>
      <c r="BU562" s="113"/>
      <c r="BV562" s="113"/>
      <c r="BW562" s="113">
        <f>INDEX('Gross Dx Plant'!$E$7:$AD$91,MATCH($C562,'Gross Dx Plant'!$D$7:$D$91,0),MATCH(Calculation!$G562,'Gross Dx Plant'!$E$5:$AD$5,0))</f>
        <v>358718</v>
      </c>
      <c r="BX562" s="113">
        <f>INDEX('Gross Gen Plant'!$E$7:$AD$91,MATCH($C562,'Gross Gen Plant'!$D$7:$D$91,0),MATCH(Calculation!$G562,'Gross Gen Plant'!$E$5:$AD$5,0))</f>
        <v>21545</v>
      </c>
      <c r="BY562" s="113">
        <f t="shared" si="959"/>
        <v>380263</v>
      </c>
      <c r="BZ562" s="113"/>
      <c r="CA562" s="116">
        <v>2007</v>
      </c>
      <c r="CB562" s="113"/>
      <c r="CC562" s="113"/>
      <c r="CD562" s="113"/>
      <c r="CE562" s="175"/>
      <c r="CF562" s="113">
        <f t="shared" si="1022"/>
        <v>9960</v>
      </c>
      <c r="CG562" s="113">
        <f t="shared" si="1023"/>
        <v>19.999103836251098</v>
      </c>
      <c r="CH562" s="178">
        <v>0.94915254237288138</v>
      </c>
      <c r="CI562" s="61">
        <f>+CI553*CH562+CG554*CH561+CG555*CH560+CG556*CH559+CG557*CH558+CG558*CH557+CG559*CH556+CG560*CH555+CG561*CH554+CG562</f>
        <v>864.81660835471587</v>
      </c>
      <c r="CJ562" s="114">
        <f t="shared" si="1024"/>
        <v>1.6946014628831482E-2</v>
      </c>
      <c r="CK562" s="114"/>
      <c r="CL562" s="169">
        <f t="shared" si="1025"/>
        <v>6.4300614212838498E-3</v>
      </c>
      <c r="CM562" s="169">
        <f t="shared" si="1033"/>
        <v>6.2252746655878316E-3</v>
      </c>
      <c r="CN562" s="114">
        <f>VLOOKUP($H562,RoR!$E:$F,2,FALSE)</f>
        <v>5.5558333333333321E-2</v>
      </c>
      <c r="CO562" s="169">
        <v>2.691120634145272E-2</v>
      </c>
      <c r="CP562" s="169">
        <f t="shared" si="1031"/>
        <v>2.86471269918806E-2</v>
      </c>
      <c r="CQ562" s="169">
        <f t="shared" si="1034"/>
        <v>2.4676666942945794E-2</v>
      </c>
      <c r="CR562" s="169">
        <f t="shared" si="1035"/>
        <v>6.4575155250632399E-2</v>
      </c>
      <c r="CS562" s="179">
        <f t="shared" si="1026"/>
        <v>0.85126000000000002</v>
      </c>
      <c r="CT562" s="180">
        <f t="shared" si="1027"/>
        <v>0.92303077153834634</v>
      </c>
      <c r="CU562" s="180">
        <f t="shared" si="1028"/>
        <v>0.52502249887505614</v>
      </c>
      <c r="CV562" s="180">
        <f t="shared" si="1029"/>
        <v>0.88499666072084604</v>
      </c>
      <c r="CW562" s="180">
        <f t="shared" si="1030"/>
        <v>0.42887993290280618</v>
      </c>
      <c r="CX562" s="181">
        <f>INDEX('State Tax Lookup'!$D$7:$Z$91,MATCH(Calculation!$C562,'State Tax Lookup'!$B$7:$B$91,0),MATCH($H562,'State Tax Lookup'!$D$6:$Z$6,0))</f>
        <v>0.40200000000000002</v>
      </c>
      <c r="CY562" s="72">
        <v>0.37</v>
      </c>
      <c r="CZ562" s="70">
        <f t="shared" si="1032"/>
        <v>17.402367474866171</v>
      </c>
      <c r="DA562" s="70">
        <v>16.108943221861779</v>
      </c>
      <c r="DB562" s="69">
        <f t="shared" si="1036"/>
        <v>7.0790604019593487E-2</v>
      </c>
      <c r="DC562" s="111">
        <f>VLOOKUP($H562,RoR!$E:$F,2,FALSE)</f>
        <v>5.5558333333333321E-2</v>
      </c>
      <c r="DD562" s="216">
        <f>HLOOKUP($H562,'GDP-PI'!$D$8:$CQ$11,3,FALSE)</f>
        <v>2.691120634145272E-2</v>
      </c>
      <c r="DE562" s="111">
        <f>VLOOKUP(H562,'HW Dx Data'!$E:$F,2,FALSE)</f>
        <v>498.0223154772637</v>
      </c>
      <c r="DF562" s="72">
        <f t="shared" si="1046"/>
        <v>104.52499999999999</v>
      </c>
      <c r="DG562" s="69">
        <f t="shared" si="1047"/>
        <v>-4.5584612745252218E-2</v>
      </c>
      <c r="DH562" s="66">
        <f>HLOOKUP(H562,'GDP-PI'!$8:$9,2,FALSE)</f>
        <v>92.498000000000005</v>
      </c>
      <c r="DI562" s="69">
        <f t="shared" si="1037"/>
        <v>2.6555467950038037E-2</v>
      </c>
      <c r="EB562"/>
    </row>
    <row r="563" spans="1:132" s="160" customFormat="1" ht="21">
      <c r="A563" s="160" t="s">
        <v>193</v>
      </c>
      <c r="B563" s="161" t="s">
        <v>193</v>
      </c>
      <c r="C563" s="161">
        <v>4061634</v>
      </c>
      <c r="D563" s="161" t="s">
        <v>168</v>
      </c>
      <c r="E563" s="161"/>
      <c r="F563" s="161"/>
      <c r="G563" s="161" t="s">
        <v>120</v>
      </c>
      <c r="H563" s="162">
        <v>2008</v>
      </c>
      <c r="I563" s="163"/>
      <c r="J563" s="159">
        <f>IFERROR(INDEX('Labor Expenditures'!$F$7:$X$91,MATCH($C563,'Labor Expenditures'!$D$7:$D$91,0),MATCH($G563,'Labor Expenditures'!$F$5:$X$5,0)),"NA")</f>
        <v>21696.453749073775</v>
      </c>
      <c r="K563" s="159">
        <f t="shared" si="1038"/>
        <v>201.07927478288946</v>
      </c>
      <c r="L563" s="165">
        <f t="shared" si="1044"/>
        <v>-1.2374156078484938E-2</v>
      </c>
      <c r="M563" s="76">
        <f t="shared" si="1048"/>
        <v>-9.6631440564409909E-5</v>
      </c>
      <c r="N563" s="62">
        <f t="shared" si="1054"/>
        <v>109.81422121943207</v>
      </c>
      <c r="O563" s="96">
        <f t="shared" si="1049"/>
        <v>-7.2753052803623056E-2</v>
      </c>
      <c r="P563" s="96"/>
      <c r="Q563" s="159">
        <f>IFERROR(INDEX('Non-Labor Expenditures'!$F$7:$AB$91,MATCH($C563,'Non-Labor Expenditures'!$D$7:$D$91,0),MATCH($G563,'Non-Labor Expenditures'!$F$5:$AB$5,0)),"NA")</f>
        <v>31420.517367241609</v>
      </c>
      <c r="R563" s="159">
        <f t="shared" si="1039"/>
        <v>333.32467715396768</v>
      </c>
      <c r="S563" s="165">
        <f t="shared" si="1050"/>
        <v>4.9210519494328239E-4</v>
      </c>
      <c r="T563" s="165">
        <f t="shared" si="1051"/>
        <v>3.8429153143849303E-6</v>
      </c>
      <c r="U563" s="165"/>
      <c r="V563" s="165"/>
      <c r="W563" s="159">
        <f t="shared" si="1020"/>
        <v>17079.209376351802</v>
      </c>
      <c r="X563" s="163"/>
      <c r="Y563" s="167">
        <v>887.0103420664235</v>
      </c>
      <c r="Z563" s="168">
        <v>2.5339170851894393E-2</v>
      </c>
      <c r="AA563" s="76">
        <f t="shared" si="1040"/>
        <v>1.9787697573845836E-4</v>
      </c>
      <c r="AB563" s="168"/>
      <c r="AC563" s="168"/>
      <c r="AD563" s="163">
        <f t="shared" ref="AD563:AD629" si="1056">+J563+Q563+W563</f>
        <v>70196.18049266719</v>
      </c>
      <c r="AE563" s="168">
        <f t="shared" si="1052"/>
        <v>4.8197002375424632E-2</v>
      </c>
      <c r="AF563" s="163"/>
      <c r="AG563" s="163"/>
      <c r="AH563" s="163"/>
      <c r="AI563" s="163"/>
      <c r="AJ563" s="116">
        <f t="shared" si="1053"/>
        <v>319.51505941240254</v>
      </c>
      <c r="AK563" s="114">
        <f>+AV563/$AX$13</f>
        <v>6.2533752688082363E-3</v>
      </c>
      <c r="AL563" s="115">
        <f t="shared" si="1041"/>
        <v>0.30908310960509061</v>
      </c>
      <c r="AM563" s="115">
        <f t="shared" si="1042"/>
        <v>0.44761007146996906</v>
      </c>
      <c r="AN563" s="115">
        <f t="shared" si="1043"/>
        <v>0.2433068189249403</v>
      </c>
      <c r="AO563" s="115">
        <f t="shared" si="1045"/>
        <v>2.2281316078043754E-3</v>
      </c>
      <c r="AP563" s="166">
        <f t="shared" ref="AP563:AP576" si="1057">+AP562*EXP(AO563)</f>
        <v>106.90730025504672</v>
      </c>
      <c r="AQ563" s="168">
        <f t="shared" ref="AQ563:AQ576" si="1058">LN(AP563/AP562)</f>
        <v>2.2281316078044716E-3</v>
      </c>
      <c r="AR563" s="69">
        <f>+AD563/$AF$13</f>
        <v>7.8091338069045295E-3</v>
      </c>
      <c r="AS563" s="169">
        <f t="shared" si="1055"/>
        <v>1.7399777864738442E-5</v>
      </c>
      <c r="AT563" s="115"/>
      <c r="AU563" s="115"/>
      <c r="AV563" s="113">
        <f>IFERROR(INDEX('Total Customers'!$F$7:$AB$91,MATCH($C563,'Total Customers'!$D$7:$D$91,0),MATCH($G563,'Total Customers'!$F$5:$AB$5,0)),"NA")</f>
        <v>219696</v>
      </c>
      <c r="AW563" s="68">
        <f t="shared" si="972"/>
        <v>3.2598045174548462E-3</v>
      </c>
      <c r="AX563" s="114"/>
      <c r="AY563" s="114"/>
      <c r="AZ563" s="116"/>
      <c r="BA563" s="116"/>
      <c r="BB563" s="166"/>
      <c r="BC563" s="166"/>
      <c r="BD563" s="166"/>
      <c r="BE563" s="166"/>
      <c r="BF563" s="166"/>
      <c r="BG563" s="166"/>
      <c r="BH563" s="166"/>
      <c r="BI563" s="113"/>
      <c r="BJ563" s="113"/>
      <c r="BK563" s="113">
        <f>INDEX('Dist. Plant Gas Additions'!$F$7:$AE$91,MATCH($C563,'Dist. Plant Gas Additions'!$D$7:$D$91,0),MATCH(Calculation!$G563,'Dist. Plant Gas Additions'!$F$5:$AE$5,0))</f>
        <v>15381</v>
      </c>
      <c r="BL563" s="113">
        <f>INDEX('Gen. Plant Additions'!$F$7:$AE$91,MATCH($C563,'Gen. Plant Additions'!$D$7:$D$91,0),MATCH(Calculation!$G563,'Gen. Plant Additions'!$F$5:$AE$5,0))</f>
        <v>545</v>
      </c>
      <c r="BM563" s="231">
        <f t="shared" si="1021"/>
        <v>0.94593723294835252</v>
      </c>
      <c r="BN563" s="61">
        <f t="shared" si="1016"/>
        <v>515.53579195685211</v>
      </c>
      <c r="BO563" s="113">
        <f>INDEX('Dist Plant Depreciation'!$E$7:$AD$94,MATCH($C563,'Dist Plant Depreciation'!$D$7:$D$94,0),MATCH(Calculation!$G563,'Dist Plant Depreciation'!$E$5:$AD$5,0))</f>
        <v>191857</v>
      </c>
      <c r="BP563" s="113">
        <f>INDEX('Gen. Plant Depreciation'!$E$7:$AD$94,MATCH($C563,'Gen. Plant Depreciation'!$D$7:$D$94,0),MATCH(Calculation!$G563,'Gen. Plant Depreciation'!$E$5:$AD$5,0))</f>
        <v>20162</v>
      </c>
      <c r="BQ563" s="113"/>
      <c r="BR563" s="113"/>
      <c r="BS563" s="113"/>
      <c r="BT563" s="113"/>
      <c r="BU563" s="113"/>
      <c r="BV563" s="113"/>
      <c r="BW563" s="113">
        <f>INDEX('Gross Dx Plant'!$E$7:$AD$91,MATCH($C563,'Gross Dx Plant'!$D$7:$D$91,0),MATCH(Calculation!$G563,'Gross Dx Plant'!$E$5:$AD$5,0))</f>
        <v>369712</v>
      </c>
      <c r="BX563" s="113">
        <f>INDEX('Gross Gen Plant'!$E$7:$AD$91,MATCH($C563,'Gross Gen Plant'!$D$7:$D$91,0),MATCH(Calculation!$G563,'Gross Gen Plant'!$E$5:$AD$5,0))</f>
        <v>21130</v>
      </c>
      <c r="BY563" s="113">
        <f t="shared" si="959"/>
        <v>178823</v>
      </c>
      <c r="BZ563" s="113"/>
      <c r="CA563" s="116">
        <v>2008</v>
      </c>
      <c r="CB563" s="113"/>
      <c r="CC563" s="113"/>
      <c r="CD563" s="113"/>
      <c r="CE563" s="175"/>
      <c r="CF563" s="113">
        <f t="shared" si="1022"/>
        <v>15926</v>
      </c>
      <c r="CG563" s="113">
        <f t="shared" si="1023"/>
        <v>27.946175284945866</v>
      </c>
      <c r="CH563" s="178">
        <v>0.94252873563218387</v>
      </c>
      <c r="CI563" s="61">
        <f>+CI553*CH563+CG554*CH562+CG555*CH561+CG556*CH560+CG557*CH559+CG558*CH558+CG559*CH557+CG560*CH556+CG561*CH555+CG562*CH554+CG563</f>
        <v>887.0103420664235</v>
      </c>
      <c r="CJ563" s="114">
        <f t="shared" si="1024"/>
        <v>2.5339170851894393E-2</v>
      </c>
      <c r="CK563" s="114"/>
      <c r="CL563" s="169">
        <f t="shared" si="1025"/>
        <v>6.6516317074229803E-3</v>
      </c>
      <c r="CM563" s="169">
        <f t="shared" si="1033"/>
        <v>6.4364498485555586E-3</v>
      </c>
      <c r="CN563" s="114">
        <f>VLOOKUP($H563,RoR!$E:$F,2,FALSE)</f>
        <v>5.6316666666666668E-2</v>
      </c>
      <c r="CO563" s="169">
        <v>1.9092304698479889E-2</v>
      </c>
      <c r="CP563" s="169">
        <f t="shared" si="1031"/>
        <v>3.7224361968186778E-2</v>
      </c>
      <c r="CQ563" s="169">
        <f t="shared" si="1034"/>
        <v>2.4465491759978066E-2</v>
      </c>
      <c r="CR563" s="169">
        <f t="shared" si="1035"/>
        <v>6.9030581091053131E-2</v>
      </c>
      <c r="CS563" s="179">
        <f t="shared" si="1026"/>
        <v>0.85126000000000002</v>
      </c>
      <c r="CT563" s="180">
        <f t="shared" si="1027"/>
        <v>0.91060168006009956</v>
      </c>
      <c r="CU563" s="180">
        <f t="shared" si="1028"/>
        <v>0.53108168097070152</v>
      </c>
      <c r="CV563" s="180">
        <f t="shared" si="1029"/>
        <v>0.88825329850328805</v>
      </c>
      <c r="CW563" s="180">
        <f t="shared" si="1030"/>
        <v>0.4295627335323573</v>
      </c>
      <c r="CX563" s="181">
        <f>INDEX('State Tax Lookup'!$D$7:$Z$91,MATCH(Calculation!$C563,'State Tax Lookup'!$B$7:$B$91,0),MATCH($H563,'State Tax Lookup'!$D$6:$Z$6,0))</f>
        <v>0.40200000000000002</v>
      </c>
      <c r="CY563" s="72">
        <v>0.37</v>
      </c>
      <c r="CZ563" s="70">
        <f t="shared" si="1032"/>
        <v>19.748937764787399</v>
      </c>
      <c r="DA563" s="70">
        <v>18.300102035478151</v>
      </c>
      <c r="DB563" s="69">
        <f t="shared" si="1036"/>
        <v>0.12649344710048122</v>
      </c>
      <c r="DC563" s="111">
        <f>VLOOKUP($H563,RoR!$E:$F,2,FALSE)</f>
        <v>5.6316666666666668E-2</v>
      </c>
      <c r="DD563" s="216">
        <f>HLOOKUP($H563,'GDP-PI'!$D$8:$CQ$11,3,FALSE)</f>
        <v>1.9092304698479889E-2</v>
      </c>
      <c r="DE563" s="111">
        <f>VLOOKUP(H563,'HW Dx Data'!$E:$F,2,FALSE)</f>
        <v>569.88120333515076</v>
      </c>
      <c r="DF563" s="72">
        <f t="shared" si="1046"/>
        <v>107.9</v>
      </c>
      <c r="DG563" s="69">
        <f t="shared" si="1047"/>
        <v>3.1778595021460486E-2</v>
      </c>
      <c r="DH563" s="66">
        <f>HLOOKUP(H563,'GDP-PI'!$8:$9,2,FALSE)</f>
        <v>94.263999999999996</v>
      </c>
      <c r="DI563" s="69">
        <f t="shared" si="1037"/>
        <v>1.8912333748032254E-2</v>
      </c>
      <c r="EB563"/>
    </row>
    <row r="564" spans="1:132" s="160" customFormat="1" ht="21">
      <c r="A564" s="160" t="s">
        <v>193</v>
      </c>
      <c r="B564" s="161" t="s">
        <v>193</v>
      </c>
      <c r="C564" s="161">
        <v>4061634</v>
      </c>
      <c r="D564" s="161" t="s">
        <v>168</v>
      </c>
      <c r="E564" s="161"/>
      <c r="F564" s="161"/>
      <c r="G564" s="161" t="s">
        <v>125</v>
      </c>
      <c r="H564" s="162">
        <v>2009</v>
      </c>
      <c r="I564" s="163"/>
      <c r="J564" s="159">
        <f>IFERROR(INDEX('Labor Expenditures'!$F$7:$X$91,MATCH($C564,'Labor Expenditures'!$D$7:$D$91,0),MATCH($G564,'Labor Expenditures'!$F$5:$X$5,0)),"NA")</f>
        <v>21723.059065277001</v>
      </c>
      <c r="K564" s="159">
        <f t="shared" si="1038"/>
        <v>195.83555614403426</v>
      </c>
      <c r="L564" s="165">
        <f t="shared" si="1044"/>
        <v>-2.6423924399495469E-2</v>
      </c>
      <c r="M564" s="76">
        <f t="shared" si="1048"/>
        <v>-1.9721012391479964E-4</v>
      </c>
      <c r="N564" s="62">
        <f t="shared" si="1054"/>
        <v>118.02217486299239</v>
      </c>
      <c r="O564" s="96">
        <f t="shared" si="1049"/>
        <v>7.2082489386973286E-2</v>
      </c>
      <c r="P564" s="96"/>
      <c r="Q564" s="159">
        <f>IFERROR(INDEX('Non-Labor Expenditures'!$F$7:$AB$91,MATCH($C564,'Non-Labor Expenditures'!$D$7:$D$91,0),MATCH($G564,'Non-Labor Expenditures'!$F$5:$AB$5,0)),"NA")</f>
        <v>31459.046834291501</v>
      </c>
      <c r="R564" s="159">
        <f t="shared" si="1039"/>
        <v>331.15134721724968</v>
      </c>
      <c r="S564" s="165">
        <f t="shared" si="1050"/>
        <v>-6.5415082169209063E-3</v>
      </c>
      <c r="T564" s="165">
        <f t="shared" si="1051"/>
        <v>-4.8821349415958961E-5</v>
      </c>
      <c r="U564" s="165"/>
      <c r="V564" s="165"/>
      <c r="W564" s="159">
        <f t="shared" si="1020"/>
        <v>16791.22741032287</v>
      </c>
      <c r="X564" s="163"/>
      <c r="Y564" s="167">
        <v>903.71622928224258</v>
      </c>
      <c r="Z564" s="168">
        <v>1.8658763609259332E-2</v>
      </c>
      <c r="AA564" s="76">
        <f t="shared" si="1040"/>
        <v>1.392562674584872E-4</v>
      </c>
      <c r="AB564" s="168"/>
      <c r="AC564" s="168"/>
      <c r="AD564" s="163">
        <f t="shared" si="1056"/>
        <v>69973.333309891372</v>
      </c>
      <c r="AE564" s="168">
        <f t="shared" si="1052"/>
        <v>-3.179683862578987E-3</v>
      </c>
      <c r="AF564" s="163"/>
      <c r="AG564" s="163"/>
      <c r="AH564" s="163"/>
      <c r="AI564" s="163"/>
      <c r="AJ564" s="116">
        <f t="shared" si="1053"/>
        <v>322.73736375242777</v>
      </c>
      <c r="AK564" s="114">
        <f>+AV564/$AX$14</f>
        <v>6.1634187797049399E-3</v>
      </c>
      <c r="AL564" s="115">
        <f t="shared" si="1041"/>
        <v>0.31044768110548548</v>
      </c>
      <c r="AM564" s="115">
        <f t="shared" si="1042"/>
        <v>0.44958622586934094</v>
      </c>
      <c r="AN564" s="115">
        <f t="shared" si="1043"/>
        <v>0.23996609302517358</v>
      </c>
      <c r="AO564" s="115">
        <f t="shared" si="1045"/>
        <v>-6.6110883526482225E-3</v>
      </c>
      <c r="AP564" s="166">
        <f t="shared" si="1057"/>
        <v>106.20285777896564</v>
      </c>
      <c r="AQ564" s="168">
        <f t="shared" si="1058"/>
        <v>-6.6110883526482415E-3</v>
      </c>
      <c r="AR564" s="69">
        <f>+AD564/$AF$14</f>
        <v>7.4633169900593984E-3</v>
      </c>
      <c r="AS564" s="169">
        <f t="shared" si="1055"/>
        <v>-4.9340648025103418E-5</v>
      </c>
      <c r="AT564" s="115"/>
      <c r="AU564" s="115"/>
      <c r="AV564" s="113">
        <f>IFERROR(INDEX('Total Customers'!$F$7:$AB$91,MATCH($C564,'Total Customers'!$D$7:$D$91,0),MATCH($G564,'Total Customers'!$F$5:$AB$5,0)),"NA")</f>
        <v>216812</v>
      </c>
      <c r="AW564" s="68">
        <f t="shared" si="972"/>
        <v>-1.3214153992184629E-2</v>
      </c>
      <c r="AX564" s="114"/>
      <c r="AY564" s="114"/>
      <c r="AZ564" s="116"/>
      <c r="BA564" s="116"/>
      <c r="BB564" s="166"/>
      <c r="BC564" s="166"/>
      <c r="BD564" s="166"/>
      <c r="BE564" s="166"/>
      <c r="BF564" s="166"/>
      <c r="BG564" s="166"/>
      <c r="BH564" s="166"/>
      <c r="BI564" s="113"/>
      <c r="BJ564" s="113"/>
      <c r="BK564" s="113">
        <f>INDEX('Dist. Plant Gas Additions'!$F$7:$AE$91,MATCH($C564,'Dist. Plant Gas Additions'!$D$7:$D$91,0),MATCH(Calculation!$G564,'Dist. Plant Gas Additions'!$F$5:$AE$5,0))</f>
        <v>11861</v>
      </c>
      <c r="BL564" s="113">
        <f>INDEX('Gen. Plant Additions'!$F$7:$AE$91,MATCH($C564,'Gen. Plant Additions'!$D$7:$D$91,0),MATCH(Calculation!$G564,'Gen. Plant Additions'!$F$5:$AE$5,0))</f>
        <v>698</v>
      </c>
      <c r="BM564" s="231">
        <f t="shared" si="1021"/>
        <v>0.94663622887936583</v>
      </c>
      <c r="BN564" s="61">
        <f t="shared" si="1016"/>
        <v>660.75208775779731</v>
      </c>
      <c r="BO564" s="113">
        <f>INDEX('Dist Plant Depreciation'!$E$7:$AD$94,MATCH($C564,'Dist Plant Depreciation'!$D$7:$D$94,0),MATCH(Calculation!$G564,'Dist Plant Depreciation'!$E$5:$AD$5,0))</f>
        <v>194603</v>
      </c>
      <c r="BP564" s="113">
        <f>INDEX('Gen. Plant Depreciation'!$E$7:$AD$94,MATCH($C564,'Gen. Plant Depreciation'!$D$7:$D$94,0),MATCH(Calculation!$G564,'Gen. Plant Depreciation'!$E$5:$AD$5,0))</f>
        <v>19848</v>
      </c>
      <c r="BQ564" s="113"/>
      <c r="BR564" s="113"/>
      <c r="BS564" s="113"/>
      <c r="BT564" s="113"/>
      <c r="BU564" s="113"/>
      <c r="BV564" s="113"/>
      <c r="BW564" s="113">
        <f>INDEX('Gross Dx Plant'!$E$7:$AD$91,MATCH($C564,'Gross Dx Plant'!$D$7:$D$91,0),MATCH(Calculation!$G564,'Gross Dx Plant'!$E$5:$AD$5,0))</f>
        <v>374867</v>
      </c>
      <c r="BX564" s="113">
        <f>INDEX('Gross Gen Plant'!$E$7:$AD$91,MATCH($C564,'Gross Gen Plant'!$D$7:$D$91,0),MATCH(Calculation!$G564,'Gross Gen Plant'!$E$5:$AD$5,0))</f>
        <v>21132</v>
      </c>
      <c r="BY564" s="113">
        <f t="shared" si="959"/>
        <v>181548</v>
      </c>
      <c r="BZ564" s="113"/>
      <c r="CA564" s="116">
        <v>2009</v>
      </c>
      <c r="CB564" s="113"/>
      <c r="CC564" s="113"/>
      <c r="CD564" s="113"/>
      <c r="CE564" s="175"/>
      <c r="CF564" s="113">
        <f t="shared" si="1022"/>
        <v>12559</v>
      </c>
      <c r="CG564" s="113">
        <f t="shared" si="1023"/>
        <v>22.795559378258638</v>
      </c>
      <c r="CH564" s="178">
        <v>0.93567251461988299</v>
      </c>
      <c r="CI564" s="61">
        <f>+CI553*CH564+CG554*CH563+CG555*CH562+CG556*CH561+CG557*CH560+CG558*CH559+CG559*CH558+CG560*CH557+CG561*CH556+CG562*CH555+CG563*CH554+CG564</f>
        <v>903.71622928224258</v>
      </c>
      <c r="CJ564" s="114">
        <f t="shared" si="1024"/>
        <v>1.8658763609259332E-2</v>
      </c>
      <c r="CK564" s="114"/>
      <c r="CL564" s="169">
        <f t="shared" si="1025"/>
        <v>6.8653902594334563E-3</v>
      </c>
      <c r="CM564" s="169">
        <f t="shared" si="1033"/>
        <v>6.6490277960467616E-3</v>
      </c>
      <c r="CN564" s="114">
        <f>VLOOKUP($H564,RoR!$E:$F,2,FALSE)</f>
        <v>5.3133333333333324E-2</v>
      </c>
      <c r="CO564" s="169">
        <v>7.7972502758210105E-3</v>
      </c>
      <c r="CP564" s="169">
        <f t="shared" si="1031"/>
        <v>4.5336083057512314E-2</v>
      </c>
      <c r="CQ564" s="169">
        <f t="shared" si="1034"/>
        <v>2.4252913812486863E-2</v>
      </c>
      <c r="CR564" s="169">
        <f t="shared" si="1035"/>
        <v>6.3720160300892073E-2</v>
      </c>
      <c r="CS564" s="179">
        <f t="shared" si="1026"/>
        <v>0.85126000000000002</v>
      </c>
      <c r="CT564" s="180">
        <f t="shared" si="1027"/>
        <v>0.96515780330083989</v>
      </c>
      <c r="CU564" s="180">
        <f t="shared" si="1028"/>
        <v>0.50448557089084056</v>
      </c>
      <c r="CV564" s="180">
        <f t="shared" si="1029"/>
        <v>0.87391435735465484</v>
      </c>
      <c r="CW564" s="180">
        <f t="shared" si="1030"/>
        <v>0.42551605393279146</v>
      </c>
      <c r="CX564" s="181">
        <f>INDEX('State Tax Lookup'!$D$7:$Z$91,MATCH(Calculation!$C564,'State Tax Lookup'!$B$7:$B$91,0),MATCH($H564,'State Tax Lookup'!$D$6:$Z$6,0))</f>
        <v>0.40200000000000002</v>
      </c>
      <c r="CY564" s="72">
        <v>0.37</v>
      </c>
      <c r="CZ564" s="70">
        <f t="shared" si="1032"/>
        <v>18.930137129185201</v>
      </c>
      <c r="DA564" s="70">
        <v>17.478615056163342</v>
      </c>
      <c r="DB564" s="69">
        <f t="shared" si="1036"/>
        <v>-4.2344496630315538E-2</v>
      </c>
      <c r="DC564" s="111">
        <f>VLOOKUP($H564,RoR!$E:$F,2,FALSE)</f>
        <v>5.3133333333333324E-2</v>
      </c>
      <c r="DD564" s="216">
        <f>HLOOKUP($H564,'GDP-PI'!$D$8:$CQ$11,3,FALSE)</f>
        <v>7.7972502758210105E-3</v>
      </c>
      <c r="DE564" s="111">
        <f>VLOOKUP(H564,'HW Dx Data'!$E:$F,2,FALSE)</f>
        <v>550.94063679692806</v>
      </c>
      <c r="DF564" s="72">
        <f t="shared" si="1046"/>
        <v>110.925</v>
      </c>
      <c r="DG564" s="69">
        <f t="shared" si="1047"/>
        <v>2.7649425000884052E-2</v>
      </c>
      <c r="DH564" s="66">
        <f>HLOOKUP(H564,'GDP-PI'!$8:$9,2,FALSE)</f>
        <v>94.998999999999995</v>
      </c>
      <c r="DI564" s="69">
        <f t="shared" si="1037"/>
        <v>7.7670088183096342E-3</v>
      </c>
      <c r="EB564"/>
    </row>
    <row r="565" spans="1:132" s="160" customFormat="1" ht="21">
      <c r="A565" s="160" t="s">
        <v>193</v>
      </c>
      <c r="B565" s="161" t="s">
        <v>193</v>
      </c>
      <c r="C565" s="161">
        <v>4061634</v>
      </c>
      <c r="D565" s="161" t="s">
        <v>168</v>
      </c>
      <c r="E565" s="161"/>
      <c r="F565" s="161"/>
      <c r="G565" s="161" t="s">
        <v>126</v>
      </c>
      <c r="H565" s="162">
        <v>2010</v>
      </c>
      <c r="I565" s="163"/>
      <c r="J565" s="159">
        <f>IFERROR(INDEX('Labor Expenditures'!$F$7:$X$91,MATCH($C565,'Labor Expenditures'!$D$7:$D$91,0),MATCH($G565,'Labor Expenditures'!$F$5:$X$5,0)),"NA")</f>
        <v>22388.331472164828</v>
      </c>
      <c r="K565" s="159">
        <f t="shared" si="1038"/>
        <v>191.47600147243813</v>
      </c>
      <c r="L565" s="165">
        <f t="shared" si="1044"/>
        <v>-2.2512825722642456E-2</v>
      </c>
      <c r="M565" s="76">
        <f t="shared" si="1048"/>
        <v>-1.675786710200574E-4</v>
      </c>
      <c r="N565" s="62">
        <f t="shared" si="1054"/>
        <v>97.395402218266725</v>
      </c>
      <c r="O565" s="96">
        <f t="shared" si="1049"/>
        <v>-0.19209352499513746</v>
      </c>
      <c r="P565" s="96"/>
      <c r="Q565" s="159">
        <f>IFERROR(INDEX('Non-Labor Expenditures'!$F$7:$AB$91,MATCH($C565,'Non-Labor Expenditures'!$D$7:$D$91,0),MATCH($G565,'Non-Labor Expenditures'!$F$5:$AB$5,0)),"NA")</f>
        <v>32422.485535210908</v>
      </c>
      <c r="R565" s="159">
        <f t="shared" si="1039"/>
        <v>337.35119016128471</v>
      </c>
      <c r="S565" s="165">
        <f t="shared" si="1050"/>
        <v>1.8548981817183934E-2</v>
      </c>
      <c r="T565" s="165">
        <f t="shared" si="1051"/>
        <v>1.3807301491134368E-4</v>
      </c>
      <c r="U565" s="165"/>
      <c r="V565" s="165"/>
      <c r="W565" s="159">
        <f t="shared" si="1020"/>
        <v>17527.567132285778</v>
      </c>
      <c r="X565" s="163"/>
      <c r="Y565" s="167">
        <v>924.79289997223736</v>
      </c>
      <c r="Z565" s="168">
        <v>2.3054415070736196E-2</v>
      </c>
      <c r="AA565" s="76">
        <f t="shared" si="1040"/>
        <v>1.7161009845214945E-4</v>
      </c>
      <c r="AB565" s="168"/>
      <c r="AC565" s="168"/>
      <c r="AD565" s="163">
        <f t="shared" si="1056"/>
        <v>72338.384139661517</v>
      </c>
      <c r="AE565" s="168">
        <f t="shared" si="1052"/>
        <v>3.3240672497566418E-2</v>
      </c>
      <c r="AF565" s="163"/>
      <c r="AG565" s="163"/>
      <c r="AH565" s="163"/>
      <c r="AI565" s="163"/>
      <c r="AJ565" s="116">
        <f t="shared" si="1053"/>
        <v>332.62085773248816</v>
      </c>
      <c r="AK565" s="114">
        <f>+AV565/$AX$15</f>
        <v>6.1485818313534585E-3</v>
      </c>
      <c r="AL565" s="115">
        <f t="shared" si="1041"/>
        <v>0.30949449228697667</v>
      </c>
      <c r="AM565" s="115">
        <f t="shared" si="1042"/>
        <v>0.44820583042902645</v>
      </c>
      <c r="AN565" s="115">
        <f t="shared" si="1043"/>
        <v>0.24229967728399679</v>
      </c>
      <c r="AO565" s="115">
        <f t="shared" si="1045"/>
        <v>6.9074168316529197E-3</v>
      </c>
      <c r="AP565" s="166">
        <f t="shared" si="1057"/>
        <v>106.93898462698483</v>
      </c>
      <c r="AQ565" s="168">
        <f t="shared" si="1058"/>
        <v>6.9074168316530255E-3</v>
      </c>
      <c r="AR565" s="69">
        <f>+AD565/$AF$15</f>
        <v>7.4436977874134122E-3</v>
      </c>
      <c r="AS565" s="169">
        <f t="shared" si="1055"/>
        <v>5.1416723386517791E-5</v>
      </c>
      <c r="AT565" s="115"/>
      <c r="AU565" s="115"/>
      <c r="AV565" s="113">
        <f>IFERROR(INDEX('Total Customers'!$F$7:$AB$91,MATCH($C565,'Total Customers'!$D$7:$D$91,0),MATCH($G565,'Total Customers'!$F$5:$AB$5,0)),"NA")</f>
        <v>217480</v>
      </c>
      <c r="AW565" s="68">
        <f t="shared" si="972"/>
        <v>3.0762736905086386E-3</v>
      </c>
      <c r="AX565" s="114"/>
      <c r="AY565" s="114"/>
      <c r="AZ565" s="116"/>
      <c r="BA565" s="116"/>
      <c r="BB565" s="166"/>
      <c r="BC565" s="166"/>
      <c r="BD565" s="166"/>
      <c r="BE565" s="166"/>
      <c r="BF565" s="166"/>
      <c r="BG565" s="166"/>
      <c r="BH565" s="166"/>
      <c r="BI565" s="113"/>
      <c r="BJ565" s="113"/>
      <c r="BK565" s="113">
        <f>INDEX('Dist. Plant Gas Additions'!$F$7:$AE$91,MATCH($C565,'Dist. Plant Gas Additions'!$D$7:$D$91,0),MATCH(Calculation!$G565,'Dist. Plant Gas Additions'!$F$5:$AE$5,0))</f>
        <v>11418</v>
      </c>
      <c r="BL565" s="113">
        <f>INDEX('Gen. Plant Additions'!$F$7:$AE$91,MATCH($C565,'Gen. Plant Additions'!$D$7:$D$91,0),MATCH(Calculation!$G565,'Gen. Plant Additions'!$F$5:$AE$5,0))</f>
        <v>4225</v>
      </c>
      <c r="BM565" s="231">
        <f t="shared" si="1021"/>
        <v>0.93684099002891874</v>
      </c>
      <c r="BN565" s="61">
        <f t="shared" si="1016"/>
        <v>3958.1531828721818</v>
      </c>
      <c r="BO565" s="113">
        <f>INDEX('Dist Plant Depreciation'!$E$7:$AD$94,MATCH($C565,'Dist Plant Depreciation'!$D$7:$D$94,0),MATCH(Calculation!$G565,'Dist Plant Depreciation'!$E$5:$AD$5,0))</f>
        <v>201782</v>
      </c>
      <c r="BP565" s="113">
        <f>INDEX('Gen. Plant Depreciation'!$E$7:$AD$94,MATCH($C565,'Gen. Plant Depreciation'!$D$7:$D$94,0),MATCH(Calculation!$G565,'Gen. Plant Depreciation'!$E$5:$AD$5,0))</f>
        <v>20724</v>
      </c>
      <c r="BQ565" s="113"/>
      <c r="BR565" s="113"/>
      <c r="BS565" s="113"/>
      <c r="BT565" s="113"/>
      <c r="BU565" s="113"/>
      <c r="BV565" s="113"/>
      <c r="BW565" s="113">
        <f>INDEX('Gross Dx Plant'!$E$7:$AD$91,MATCH($C565,'Gross Dx Plant'!$D$7:$D$91,0),MATCH(Calculation!$G565,'Gross Dx Plant'!$E$5:$AD$5,0))</f>
        <v>389071</v>
      </c>
      <c r="BX565" s="113">
        <f>INDEX('Gross Gen Plant'!$E$7:$AD$91,MATCH($C565,'Gross Gen Plant'!$D$7:$D$91,0),MATCH(Calculation!$G565,'Gross Gen Plant'!$E$5:$AD$5,0))</f>
        <v>26230</v>
      </c>
      <c r="BY565" s="113">
        <f t="shared" si="959"/>
        <v>192795</v>
      </c>
      <c r="BZ565" s="113"/>
      <c r="CA565" s="116">
        <v>2010</v>
      </c>
      <c r="CB565" s="113"/>
      <c r="CC565" s="113"/>
      <c r="CD565" s="113"/>
      <c r="CE565" s="175"/>
      <c r="CF565" s="113">
        <f t="shared" si="1022"/>
        <v>15643</v>
      </c>
      <c r="CG565" s="113">
        <f t="shared" si="1023"/>
        <v>27.492598594002587</v>
      </c>
      <c r="CH565" s="178">
        <v>0.9285714285714286</v>
      </c>
      <c r="CI565" s="61">
        <f>+CI553*CH565+CG554*CH564+CG555*CH563+CG556*CH562+CG557*CH561+CG558*CH560+CG559*CH559+CG560*CH558+CG561*CH557+CG562*CH556+CG563*CH555+CG564*CH554+CG565</f>
        <v>924.79289997223736</v>
      </c>
      <c r="CJ565" s="114">
        <f t="shared" si="1024"/>
        <v>2.3054415070736196E-2</v>
      </c>
      <c r="CK565" s="114"/>
      <c r="CL565" s="169">
        <f t="shared" si="1025"/>
        <v>7.0994939518830109E-3</v>
      </c>
      <c r="CM565" s="169">
        <f t="shared" si="1033"/>
        <v>6.8721719729131492E-3</v>
      </c>
      <c r="CN565" s="114">
        <f>VLOOKUP($H565,RoR!$E:$F,2,FALSE)</f>
        <v>4.9433333333333322E-2</v>
      </c>
      <c r="CO565" s="169">
        <v>1.1684333519300205E-2</v>
      </c>
      <c r="CP565" s="169">
        <f t="shared" si="1031"/>
        <v>3.7748999814033117E-2</v>
      </c>
      <c r="CQ565" s="169">
        <f t="shared" si="1034"/>
        <v>2.4029769635620476E-2</v>
      </c>
      <c r="CR565" s="169">
        <f t="shared" si="1035"/>
        <v>4.7937530248493419E-2</v>
      </c>
      <c r="CS565" s="179">
        <f t="shared" si="1026"/>
        <v>0.85126000000000002</v>
      </c>
      <c r="CT565" s="180">
        <f t="shared" si="1027"/>
        <v>1.037398205301105</v>
      </c>
      <c r="CU565" s="180">
        <f t="shared" si="1028"/>
        <v>0.46926837491571133</v>
      </c>
      <c r="CV565" s="180">
        <f t="shared" si="1029"/>
        <v>0.8548537519972772</v>
      </c>
      <c r="CW565" s="180">
        <f t="shared" si="1030"/>
        <v>0.41615833911547367</v>
      </c>
      <c r="CX565" s="181">
        <f>INDEX('State Tax Lookup'!$D$7:$Z$91,MATCH(Calculation!$C565,'State Tax Lookup'!$B$7:$B$91,0),MATCH($H565,'State Tax Lookup'!$D$6:$Z$6,0))</f>
        <v>0.40200000000000002</v>
      </c>
      <c r="CY565" s="72">
        <v>0.37</v>
      </c>
      <c r="CZ565" s="70">
        <f t="shared" si="1032"/>
        <v>19.394989892133147</v>
      </c>
      <c r="DA565" s="70">
        <v>17.956102603965455</v>
      </c>
      <c r="DB565" s="69">
        <f t="shared" si="1036"/>
        <v>2.425957052440763E-2</v>
      </c>
      <c r="DC565" s="111">
        <f>VLOOKUP($H565,RoR!$E:$F,2,FALSE)</f>
        <v>4.9433333333333322E-2</v>
      </c>
      <c r="DD565" s="216">
        <f>HLOOKUP($H565,'GDP-PI'!$D$8:$CQ$11,3,FALSE)</f>
        <v>1.1684333519300205E-2</v>
      </c>
      <c r="DE565" s="111">
        <f>VLOOKUP(H565,'HW Dx Data'!$E:$F,2,FALSE)</f>
        <v>568.98950262971744</v>
      </c>
      <c r="DF565" s="72">
        <f t="shared" si="1046"/>
        <v>116.925</v>
      </c>
      <c r="DG565" s="69">
        <f t="shared" si="1047"/>
        <v>5.2678406346976722E-2</v>
      </c>
      <c r="DH565" s="66">
        <f>HLOOKUP(H565,'GDP-PI'!$8:$9,2,FALSE)</f>
        <v>96.108999999999995</v>
      </c>
      <c r="DI565" s="69">
        <f t="shared" si="1037"/>
        <v>1.1616598807150427E-2</v>
      </c>
      <c r="EB565"/>
    </row>
    <row r="566" spans="1:132" s="160" customFormat="1" ht="21">
      <c r="A566" s="160" t="s">
        <v>193</v>
      </c>
      <c r="B566" s="161" t="s">
        <v>193</v>
      </c>
      <c r="C566" s="161">
        <v>4061634</v>
      </c>
      <c r="D566" s="161" t="s">
        <v>168</v>
      </c>
      <c r="E566" s="161"/>
      <c r="F566" s="161"/>
      <c r="G566" s="161" t="s">
        <v>127</v>
      </c>
      <c r="H566" s="162">
        <v>2011</v>
      </c>
      <c r="I566" s="163"/>
      <c r="J566" s="159">
        <f>IFERROR(INDEX('Labor Expenditures'!$F$7:$X$91,MATCH($C566,'Labor Expenditures'!$D$7:$D$91,0),MATCH($G566,'Labor Expenditures'!$F$5:$X$5,0)),"NA")</f>
        <v>23572.922745313786</v>
      </c>
      <c r="K566" s="159">
        <f t="shared" si="1038"/>
        <v>195.01900926836637</v>
      </c>
      <c r="L566" s="165">
        <f t="shared" si="1044"/>
        <v>1.8334555154192803E-2</v>
      </c>
      <c r="M566" s="76">
        <f t="shared" si="1048"/>
        <v>1.3804512216725813E-4</v>
      </c>
      <c r="N566" s="62">
        <f t="shared" si="1054"/>
        <v>116.99367111745646</v>
      </c>
      <c r="O566" s="96">
        <f t="shared" si="1049"/>
        <v>0.18334083593845812</v>
      </c>
      <c r="P566" s="96"/>
      <c r="Q566" s="159">
        <f>IFERROR(INDEX('Non-Labor Expenditures'!$F$7:$AB$91,MATCH($C566,'Non-Labor Expenditures'!$D$7:$D$91,0),MATCH($G566,'Non-Labor Expenditures'!$F$5:$AB$5,0)),"NA")</f>
        <v>34137.994949861153</v>
      </c>
      <c r="R566" s="159">
        <f t="shared" si="1039"/>
        <v>347.94923097950459</v>
      </c>
      <c r="S566" s="165">
        <f t="shared" si="1050"/>
        <v>3.0932086102852047E-2</v>
      </c>
      <c r="T566" s="165">
        <f t="shared" si="1051"/>
        <v>2.3289485722700375E-4</v>
      </c>
      <c r="U566" s="165"/>
      <c r="V566" s="165"/>
      <c r="W566" s="159">
        <f t="shared" si="1020"/>
        <v>19132.55028194152</v>
      </c>
      <c r="X566" s="163"/>
      <c r="Y566" s="167">
        <v>936.84312664836568</v>
      </c>
      <c r="Z566" s="168">
        <v>1.2946026832797669E-2</v>
      </c>
      <c r="AA566" s="76">
        <f t="shared" si="1040"/>
        <v>9.747364147558651E-5</v>
      </c>
      <c r="AB566" s="168"/>
      <c r="AC566" s="168"/>
      <c r="AD566" s="163">
        <f t="shared" si="1056"/>
        <v>76843.467977116466</v>
      </c>
      <c r="AE566" s="168">
        <f t="shared" si="1052"/>
        <v>6.0415580077304652E-2</v>
      </c>
      <c r="AF566" s="163"/>
      <c r="AG566" s="163"/>
      <c r="AH566" s="163"/>
      <c r="AI566" s="163"/>
      <c r="AJ566" s="116">
        <f t="shared" si="1053"/>
        <v>348.37795750704504</v>
      </c>
      <c r="AK566" s="114">
        <f>+AV566/$AX$16</f>
        <v>6.2059944490288161E-3</v>
      </c>
      <c r="AL566" s="115">
        <f t="shared" si="1041"/>
        <v>0.30676547227584344</v>
      </c>
      <c r="AM566" s="115">
        <f t="shared" si="1042"/>
        <v>0.44425369974227669</v>
      </c>
      <c r="AN566" s="115">
        <f t="shared" si="1043"/>
        <v>0.24898082798187973</v>
      </c>
      <c r="AO566" s="115">
        <f t="shared" si="1045"/>
        <v>2.2632308971885E-2</v>
      </c>
      <c r="AP566" s="166">
        <f t="shared" si="1057"/>
        <v>109.38685678083888</v>
      </c>
      <c r="AQ566" s="168">
        <f t="shared" si="1058"/>
        <v>2.2632308971885066E-2</v>
      </c>
      <c r="AR566" s="69">
        <f>+AD566/$AF$16</f>
        <v>7.5292321524195556E-3</v>
      </c>
      <c r="AS566" s="169">
        <f t="shared" si="1055"/>
        <v>1.7040390839461061E-4</v>
      </c>
      <c r="AT566" s="115"/>
      <c r="AU566" s="115"/>
      <c r="AV566" s="113">
        <f>IFERROR(INDEX('Total Customers'!$F$7:$AB$91,MATCH($C566,'Total Customers'!$D$7:$D$91,0),MATCH($G566,'Total Customers'!$F$5:$AB$5,0)),"NA")</f>
        <v>220575</v>
      </c>
      <c r="AW566" s="68">
        <f t="shared" si="972"/>
        <v>1.4130880830448393E-2</v>
      </c>
      <c r="AX566" s="114"/>
      <c r="AY566" s="114"/>
      <c r="AZ566" s="116"/>
      <c r="BA566" s="116"/>
      <c r="BB566" s="166"/>
      <c r="BC566" s="166"/>
      <c r="BD566" s="166"/>
      <c r="BE566" s="166"/>
      <c r="BF566" s="166"/>
      <c r="BG566" s="166"/>
      <c r="BH566" s="166"/>
      <c r="BI566" s="113"/>
      <c r="BJ566" s="113"/>
      <c r="BK566" s="113">
        <f>INDEX('Dist. Plant Gas Additions'!$F$7:$AE$91,MATCH($C566,'Dist. Plant Gas Additions'!$D$7:$D$91,0),MATCH(Calculation!$G566,'Dist. Plant Gas Additions'!$F$5:$AE$5,0))</f>
        <v>10551</v>
      </c>
      <c r="BL566" s="113">
        <f>INDEX('Gen. Plant Additions'!$F$7:$AE$91,MATCH($C566,'Gen. Plant Additions'!$D$7:$D$91,0),MATCH(Calculation!$G566,'Gen. Plant Additions'!$F$5:$AE$5,0))</f>
        <v>966</v>
      </c>
      <c r="BM566" s="231">
        <f t="shared" si="1021"/>
        <v>0.94031146562483048</v>
      </c>
      <c r="BN566" s="61">
        <f t="shared" si="1016"/>
        <v>908.34087579358629</v>
      </c>
      <c r="BO566" s="113">
        <f>INDEX('Dist Plant Depreciation'!$E$7:$AD$94,MATCH($C566,'Dist Plant Depreciation'!$D$7:$D$94,0),MATCH(Calculation!$G566,'Dist Plant Depreciation'!$E$5:$AD$5,0))</f>
        <v>210720</v>
      </c>
      <c r="BP566" s="113">
        <f>INDEX('Gen. Plant Depreciation'!$E$7:$AD$94,MATCH($C566,'Gen. Plant Depreciation'!$D$7:$D$94,0),MATCH(Calculation!$G566,'Gen. Plant Depreciation'!$E$5:$AD$5,0))</f>
        <v>19613</v>
      </c>
      <c r="BQ566" s="113"/>
      <c r="BR566" s="113"/>
      <c r="BS566" s="113"/>
      <c r="BT566" s="113"/>
      <c r="BU566" s="113"/>
      <c r="BV566" s="113"/>
      <c r="BW566" s="113">
        <f>INDEX('Gross Dx Plant'!$E$7:$AD$91,MATCH($C566,'Gross Dx Plant'!$D$7:$D$91,0),MATCH(Calculation!$G566,'Gross Dx Plant'!$E$5:$AD$5,0))</f>
        <v>398567</v>
      </c>
      <c r="BX566" s="113">
        <f>INDEX('Gross Gen Plant'!$E$7:$AD$91,MATCH($C566,'Gross Gen Plant'!$D$7:$D$91,0),MATCH(Calculation!$G566,'Gross Gen Plant'!$E$5:$AD$5,0))</f>
        <v>25300</v>
      </c>
      <c r="BY566" s="113">
        <f t="shared" si="959"/>
        <v>193534</v>
      </c>
      <c r="BZ566" s="113"/>
      <c r="CA566" s="116">
        <v>2011</v>
      </c>
      <c r="CB566" s="113"/>
      <c r="CC566" s="113"/>
      <c r="CD566" s="113"/>
      <c r="CE566" s="175"/>
      <c r="CF566" s="113">
        <f t="shared" si="1022"/>
        <v>11517</v>
      </c>
      <c r="CG566" s="113">
        <f t="shared" si="1023"/>
        <v>18.830593612524975</v>
      </c>
      <c r="CH566" s="178">
        <v>0.92121212121212126</v>
      </c>
      <c r="CI566" s="61">
        <f>+CI553*CH566+CG554*CH565+CG555*CH564+CG556*CH563+CG557*CH562+CG558*CH561+CG559*CH560+CG560*CH559+CG561*CH558+CG562*CH557+CG563*CH556+CG564*CH555+CG565*CH554+CG566</f>
        <v>936.84312664836568</v>
      </c>
      <c r="CJ566" s="114">
        <f t="shared" si="1024"/>
        <v>1.2946026832797669E-2</v>
      </c>
      <c r="CK566" s="114"/>
      <c r="CL566" s="169">
        <f t="shared" si="1025"/>
        <v>7.3317679413414678E-3</v>
      </c>
      <c r="CM566" s="169">
        <f t="shared" si="1033"/>
        <v>7.0988840508859783E-3</v>
      </c>
      <c r="CN566" s="114">
        <f>VLOOKUP($H566,RoR!$E:$F,2,FALSE)</f>
        <v>4.6391666666666664E-2</v>
      </c>
      <c r="CO566" s="169">
        <v>2.0840920205183799E-2</v>
      </c>
      <c r="CP566" s="169">
        <f t="shared" si="1031"/>
        <v>2.5550746461482865E-2</v>
      </c>
      <c r="CQ566" s="169">
        <f t="shared" si="1034"/>
        <v>2.3803057557647646E-2</v>
      </c>
      <c r="CR566" s="169">
        <f t="shared" si="1035"/>
        <v>2.4810540821321614E-2</v>
      </c>
      <c r="CS566" s="179">
        <f t="shared" si="1026"/>
        <v>0.85126000000000002</v>
      </c>
      <c r="CT566" s="180">
        <f t="shared" si="1027"/>
        <v>1.1054151524782025</v>
      </c>
      <c r="CU566" s="180">
        <f t="shared" si="1028"/>
        <v>0.43611011316687626</v>
      </c>
      <c r="CV566" s="180">
        <f t="shared" si="1029"/>
        <v>0.83698442246886229</v>
      </c>
      <c r="CW566" s="180">
        <f t="shared" si="1030"/>
        <v>0.40349573304423936</v>
      </c>
      <c r="CX566" s="181">
        <f>INDEX('State Tax Lookup'!$D$7:$Z$91,MATCH(Calculation!$C566,'State Tax Lookup'!$B$7:$B$91,0),MATCH($H566,'State Tax Lookup'!$D$6:$Z$6,0))</f>
        <v>0.40200000000000002</v>
      </c>
      <c r="CY566" s="72">
        <v>0.37</v>
      </c>
      <c r="CZ566" s="70">
        <f t="shared" si="1032"/>
        <v>20.688470123976824</v>
      </c>
      <c r="DA566" s="70">
        <v>19.146574949201604</v>
      </c>
      <c r="DB566" s="69">
        <f t="shared" si="1036"/>
        <v>6.456176651473168E-2</v>
      </c>
      <c r="DC566" s="111">
        <f>VLOOKUP($H566,RoR!$E:$F,2,FALSE)</f>
        <v>4.6391666666666664E-2</v>
      </c>
      <c r="DD566" s="216">
        <f>HLOOKUP($H566,'GDP-PI'!$D$8:$CQ$11,3,FALSE)</f>
        <v>2.0840920205183799E-2</v>
      </c>
      <c r="DE566" s="111">
        <f>VLOOKUP(H566,'HW Dx Data'!$E:$F,2,FALSE)</f>
        <v>611.61109612283201</v>
      </c>
      <c r="DF566" s="72">
        <f t="shared" si="1046"/>
        <v>120.875</v>
      </c>
      <c r="DG566" s="69">
        <f t="shared" si="1047"/>
        <v>3.3224250161508609E-2</v>
      </c>
      <c r="DH566" s="66">
        <f>HLOOKUP(H566,'GDP-PI'!$8:$9,2,FALSE)</f>
        <v>98.111999999999995</v>
      </c>
      <c r="DI566" s="69">
        <f t="shared" si="1037"/>
        <v>2.0626719212849295E-2</v>
      </c>
      <c r="EB566"/>
    </row>
    <row r="567" spans="1:132" s="160" customFormat="1" ht="21">
      <c r="A567" s="160" t="s">
        <v>193</v>
      </c>
      <c r="B567" s="161" t="s">
        <v>193</v>
      </c>
      <c r="C567" s="161">
        <v>4061634</v>
      </c>
      <c r="D567" s="161" t="s">
        <v>168</v>
      </c>
      <c r="E567" s="161"/>
      <c r="F567" s="161"/>
      <c r="G567" s="161" t="s">
        <v>128</v>
      </c>
      <c r="H567" s="162">
        <v>2012</v>
      </c>
      <c r="I567" s="163"/>
      <c r="J567" s="159">
        <f>IFERROR(INDEX('Labor Expenditures'!$F$7:$X$91,MATCH($C567,'Labor Expenditures'!$D$7:$D$91,0),MATCH($G567,'Labor Expenditures'!$F$5:$X$5,0)),"NA")</f>
        <v>23333.752708710697</v>
      </c>
      <c r="K567" s="159">
        <f t="shared" si="1038"/>
        <v>186.96917234543827</v>
      </c>
      <c r="L567" s="165">
        <f t="shared" si="1044"/>
        <v>-4.2153287743065204E-2</v>
      </c>
      <c r="M567" s="76">
        <f t="shared" si="1048"/>
        <v>-3.0766256461493195E-4</v>
      </c>
      <c r="N567" s="62">
        <f t="shared" si="1054"/>
        <v>115.84340308609562</v>
      </c>
      <c r="O567" s="96">
        <f t="shared" si="1049"/>
        <v>-9.8805346458388302E-3</v>
      </c>
      <c r="P567" s="96"/>
      <c r="Q567" s="159">
        <f>IFERROR(INDEX('Non-Labor Expenditures'!$F$7:$AB$91,MATCH($C567,'Non-Labor Expenditures'!$D$7:$D$91,0),MATCH($G567,'Non-Labor Expenditures'!$F$5:$AB$5,0)),"NA")</f>
        <v>33791.632066058912</v>
      </c>
      <c r="R567" s="159">
        <f t="shared" si="1039"/>
        <v>337.91632066058912</v>
      </c>
      <c r="S567" s="165">
        <f t="shared" si="1050"/>
        <v>-2.9258288319938798E-2</v>
      </c>
      <c r="T567" s="165">
        <f t="shared" si="1051"/>
        <v>-2.1354633298410701E-4</v>
      </c>
      <c r="U567" s="165"/>
      <c r="V567" s="165"/>
      <c r="W567" s="159">
        <f t="shared" si="1020"/>
        <v>20926.736345096677</v>
      </c>
      <c r="X567" s="163"/>
      <c r="Y567" s="167">
        <v>948.96788469178591</v>
      </c>
      <c r="Z567" s="168">
        <v>1.2859109471601824E-2</v>
      </c>
      <c r="AA567" s="76">
        <f t="shared" si="1040"/>
        <v>9.385428303508876E-5</v>
      </c>
      <c r="AB567" s="168"/>
      <c r="AC567" s="168"/>
      <c r="AD567" s="163">
        <f t="shared" si="1056"/>
        <v>78052.121119866293</v>
      </c>
      <c r="AE567" s="168">
        <f t="shared" si="1052"/>
        <v>1.5606353688351006E-2</v>
      </c>
      <c r="AF567" s="163"/>
      <c r="AG567" s="163"/>
      <c r="AH567" s="163"/>
      <c r="AI567" s="163"/>
      <c r="AJ567" s="116">
        <f t="shared" si="1053"/>
        <v>356.68251375448432</v>
      </c>
      <c r="AK567" s="114">
        <f>+AV567/$AX$17</f>
        <v>6.1273361295014232E-3</v>
      </c>
      <c r="AL567" s="115">
        <f t="shared" si="1041"/>
        <v>0.29895091092882103</v>
      </c>
      <c r="AM567" s="115">
        <f t="shared" si="1042"/>
        <v>0.43293675535305937</v>
      </c>
      <c r="AN567" s="115">
        <f t="shared" si="1043"/>
        <v>0.26811233371811954</v>
      </c>
      <c r="AO567" s="115">
        <f t="shared" si="1045"/>
        <v>-2.2274335332637823E-2</v>
      </c>
      <c r="AP567" s="166">
        <f t="shared" si="1057"/>
        <v>106.97727281716168</v>
      </c>
      <c r="AQ567" s="168">
        <f t="shared" si="1058"/>
        <v>-2.2274335332637868E-2</v>
      </c>
      <c r="AR567" s="69">
        <f>+AD567/$AF$17</f>
        <v>7.2986611741938604E-3</v>
      </c>
      <c r="AS567" s="169">
        <f t="shared" si="1055"/>
        <v>-1.625728264732985E-4</v>
      </c>
      <c r="AT567" s="115"/>
      <c r="AU567" s="115"/>
      <c r="AV567" s="113">
        <f>IFERROR(INDEX('Total Customers'!$F$7:$AB$91,MATCH($C567,'Total Customers'!$D$7:$D$91,0),MATCH($G567,'Total Customers'!$F$5:$AB$5,0)),"NA")</f>
        <v>218828</v>
      </c>
      <c r="AW567" s="68">
        <f t="shared" si="972"/>
        <v>-7.9517399983571688E-3</v>
      </c>
      <c r="AX567" s="114"/>
      <c r="AY567" s="114"/>
      <c r="AZ567" s="116"/>
      <c r="BA567" s="116"/>
      <c r="BB567" s="166"/>
      <c r="BC567" s="166"/>
      <c r="BD567" s="166"/>
      <c r="BE567" s="166"/>
      <c r="BF567" s="166"/>
      <c r="BG567" s="166"/>
      <c r="BH567" s="166"/>
      <c r="BI567" s="113"/>
      <c r="BJ567" s="113"/>
      <c r="BK567" s="113">
        <f>INDEX('Dist. Plant Gas Additions'!$F$7:$AE$91,MATCH($C567,'Dist. Plant Gas Additions'!$D$7:$D$91,0),MATCH(Calculation!$G567,'Dist. Plant Gas Additions'!$F$5:$AE$5,0))</f>
        <v>10956</v>
      </c>
      <c r="BL567" s="113">
        <f>INDEX('Gen. Plant Additions'!$F$7:$AE$91,MATCH($C567,'Gen. Plant Additions'!$D$7:$D$91,0),MATCH(Calculation!$G567,'Gen. Plant Additions'!$F$5:$AE$5,0))</f>
        <v>1916</v>
      </c>
      <c r="BM567" s="231">
        <f t="shared" si="1021"/>
        <v>0.94271580303880609</v>
      </c>
      <c r="BN567" s="61">
        <f t="shared" si="1016"/>
        <v>1806.2434786223525</v>
      </c>
      <c r="BO567" s="113">
        <f>INDEX('Dist Plant Depreciation'!$E$7:$AD$94,MATCH($C567,'Dist Plant Depreciation'!$D$7:$D$94,0),MATCH(Calculation!$G567,'Dist Plant Depreciation'!$E$5:$AD$5,0))</f>
        <v>219839</v>
      </c>
      <c r="BP567" s="113">
        <f>INDEX('Gen. Plant Depreciation'!$E$7:$AD$94,MATCH($C567,'Gen. Plant Depreciation'!$D$7:$D$94,0),MATCH(Calculation!$G567,'Gen. Plant Depreciation'!$E$5:$AD$5,0))</f>
        <v>18099</v>
      </c>
      <c r="BQ567" s="113"/>
      <c r="BR567" s="113"/>
      <c r="BS567" s="113"/>
      <c r="BT567" s="113"/>
      <c r="BU567" s="113"/>
      <c r="BV567" s="113"/>
      <c r="BW567" s="113">
        <f>INDEX('Gross Dx Plant'!$E$7:$AD$91,MATCH($C567,'Gross Dx Plant'!$D$7:$D$91,0),MATCH(Calculation!$G567,'Gross Dx Plant'!$E$5:$AD$5,0))</f>
        <v>408195</v>
      </c>
      <c r="BX567" s="113">
        <f>INDEX('Gross Gen Plant'!$E$7:$AD$91,MATCH($C567,'Gross Gen Plant'!$D$7:$D$91,0),MATCH(Calculation!$G567,'Gross Gen Plant'!$E$5:$AD$5,0))</f>
        <v>24804</v>
      </c>
      <c r="BY567" s="113">
        <f t="shared" si="959"/>
        <v>195061</v>
      </c>
      <c r="BZ567" s="113"/>
      <c r="CA567" s="116">
        <v>2012</v>
      </c>
      <c r="CB567" s="113"/>
      <c r="CC567" s="113"/>
      <c r="CD567" s="113"/>
      <c r="CE567" s="175"/>
      <c r="CF567" s="113">
        <f t="shared" si="1022"/>
        <v>12872</v>
      </c>
      <c r="CG567" s="113">
        <f t="shared" si="1023"/>
        <v>19.242978300203479</v>
      </c>
      <c r="CH567" s="178">
        <v>0.9135802469135802</v>
      </c>
      <c r="CI567" s="61">
        <f>+CI553*CH567+CG554*CH566+CG555*CH565+CG556*CH564+CG557*CH563+CG558*CH562+CG559*CH561+CG560*CH560+CG561*CH559+CG562*CH558+CG563*CH557+CG564*CH556+CG565*CH555+CG566*CH554+CG567</f>
        <v>948.96788469178591</v>
      </c>
      <c r="CJ567" s="114">
        <f t="shared" si="1024"/>
        <v>1.2859109471601824E-2</v>
      </c>
      <c r="CK567" s="114"/>
      <c r="CL567" s="169">
        <f t="shared" si="1025"/>
        <v>7.5980919903306287E-3</v>
      </c>
      <c r="CM567" s="169">
        <f t="shared" si="1033"/>
        <v>7.3431179611850366E-3</v>
      </c>
      <c r="CN567" s="114">
        <f>VLOOKUP($H567,RoR!$E:$F,2,FALSE)</f>
        <v>3.6733333333333333E-2</v>
      </c>
      <c r="CO567" s="169">
        <v>1.924331376386168E-2</v>
      </c>
      <c r="CP567" s="169">
        <f t="shared" si="1031"/>
        <v>1.7490019569471653E-2</v>
      </c>
      <c r="CQ567" s="169">
        <f t="shared" si="1034"/>
        <v>2.3558823647348587E-2</v>
      </c>
      <c r="CR567" s="169">
        <f t="shared" si="1035"/>
        <v>6.7122682943869583E-2</v>
      </c>
      <c r="CS567" s="179">
        <f t="shared" si="1026"/>
        <v>0.85126000000000002</v>
      </c>
      <c r="CT567" s="180">
        <f t="shared" si="1027"/>
        <v>1.3960631020522127</v>
      </c>
      <c r="CU567" s="180">
        <f t="shared" si="1028"/>
        <v>0.29441923774954631</v>
      </c>
      <c r="CV567" s="180">
        <f t="shared" si="1029"/>
        <v>0.76377954189366437</v>
      </c>
      <c r="CW567" s="180">
        <f t="shared" si="1030"/>
        <v>0.31393465103033691</v>
      </c>
      <c r="CX567" s="181">
        <f>INDEX('State Tax Lookup'!$D$7:$Z$91,MATCH(Calculation!$C567,'State Tax Lookup'!$B$7:$B$91,0),MATCH($H567,'State Tax Lookup'!$D$6:$Z$6,0))</f>
        <v>0.40200000000000002</v>
      </c>
      <c r="CY567" s="72">
        <v>0.37</v>
      </c>
      <c r="CZ567" s="70">
        <f t="shared" si="1032"/>
        <v>22.337503206074448</v>
      </c>
      <c r="DA567" s="70">
        <v>20.759737328210988</v>
      </c>
      <c r="DB567" s="69">
        <f t="shared" si="1036"/>
        <v>7.6690477766187995E-2</v>
      </c>
      <c r="DC567" s="111">
        <f>VLOOKUP($H567,RoR!$E:$F,2,FALSE)</f>
        <v>3.6733333333333333E-2</v>
      </c>
      <c r="DD567" s="216">
        <f>HLOOKUP($H567,'GDP-PI'!$D$8:$CQ$11,3,FALSE)</f>
        <v>1.924331376386168E-2</v>
      </c>
      <c r="DE567" s="111">
        <f>VLOOKUP(H567,'HW Dx Data'!$E:$F,2,FALSE)</f>
        <v>668.91932211262167</v>
      </c>
      <c r="DF567" s="72">
        <f t="shared" si="1046"/>
        <v>124.80000000000001</v>
      </c>
      <c r="DG567" s="69">
        <f t="shared" si="1047"/>
        <v>3.1955502161869064E-2</v>
      </c>
      <c r="DH567" s="66">
        <f>HLOOKUP(H567,'GDP-PI'!$8:$9,2,FALSE)</f>
        <v>100</v>
      </c>
      <c r="DI567" s="69">
        <f t="shared" si="1037"/>
        <v>1.9060502738742411E-2</v>
      </c>
      <c r="EB567"/>
    </row>
    <row r="568" spans="1:132" s="160" customFormat="1" ht="21">
      <c r="A568" s="160" t="s">
        <v>193</v>
      </c>
      <c r="B568" s="161" t="s">
        <v>193</v>
      </c>
      <c r="C568" s="161">
        <v>4061634</v>
      </c>
      <c r="D568" s="161" t="s">
        <v>168</v>
      </c>
      <c r="E568" s="161"/>
      <c r="F568" s="161"/>
      <c r="G568" s="161" t="s">
        <v>129</v>
      </c>
      <c r="H568" s="162">
        <v>2013</v>
      </c>
      <c r="I568" s="163"/>
      <c r="J568" s="159">
        <f>IFERROR(INDEX('Labor Expenditures'!$F$7:$X$91,MATCH($C568,'Labor Expenditures'!$D$7:$D$91,0),MATCH($G568,'Labor Expenditures'!$F$5:$X$5,0)),"NA")</f>
        <v>24167.487427380493</v>
      </c>
      <c r="K568" s="159">
        <f t="shared" si="1038"/>
        <v>190.59532671435721</v>
      </c>
      <c r="L568" s="165">
        <f t="shared" si="1044"/>
        <v>1.9208722610113263E-2</v>
      </c>
      <c r="M568" s="76">
        <f t="shared" si="1048"/>
        <v>1.3849900408781021E-4</v>
      </c>
      <c r="N568" s="62">
        <f t="shared" si="1054"/>
        <v>108.26515814811133</v>
      </c>
      <c r="O568" s="96">
        <f t="shared" si="1049"/>
        <v>-6.7655919514342605E-2</v>
      </c>
      <c r="P568" s="96"/>
      <c r="Q568" s="159">
        <f>IFERROR(INDEX('Non-Labor Expenditures'!$F$7:$AB$91,MATCH($C568,'Non-Labor Expenditures'!$D$7:$D$91,0),MATCH($G568,'Non-Labor Expenditures'!$F$5:$AB$5,0)),"NA")</f>
        <v>34999.035658858265</v>
      </c>
      <c r="R568" s="159">
        <f t="shared" si="1039"/>
        <v>343.89313136940314</v>
      </c>
      <c r="S568" s="165">
        <f t="shared" si="1050"/>
        <v>1.753265166140092E-2</v>
      </c>
      <c r="T568" s="165">
        <f t="shared" si="1051"/>
        <v>1.2641417357154498E-4</v>
      </c>
      <c r="U568" s="165"/>
      <c r="V568" s="165"/>
      <c r="W568" s="159">
        <f t="shared" si="1020"/>
        <v>20803.645934850902</v>
      </c>
      <c r="X568" s="163"/>
      <c r="Y568" s="167">
        <v>965.56286476781077</v>
      </c>
      <c r="Z568" s="168">
        <v>1.7336254022340236E-2</v>
      </c>
      <c r="AA568" s="76">
        <f t="shared" si="1040"/>
        <v>1.2499810453003667E-4</v>
      </c>
      <c r="AB568" s="168"/>
      <c r="AC568" s="168"/>
      <c r="AD568" s="163">
        <f t="shared" si="1056"/>
        <v>79970.169021089649</v>
      </c>
      <c r="AE568" s="168">
        <f t="shared" si="1052"/>
        <v>2.4276854881945122E-2</v>
      </c>
      <c r="AF568" s="163"/>
      <c r="AG568" s="163"/>
      <c r="AH568" s="163"/>
      <c r="AI568" s="163"/>
      <c r="AJ568" s="116">
        <f t="shared" si="1053"/>
        <v>365.51274982329846</v>
      </c>
      <c r="AK568" s="114">
        <f>+AV568/$AX$18</f>
        <v>6.0871995671304968E-3</v>
      </c>
      <c r="AL568" s="115">
        <f t="shared" si="1041"/>
        <v>0.30220628170745856</v>
      </c>
      <c r="AM568" s="115">
        <f t="shared" si="1042"/>
        <v>0.43765114025991814</v>
      </c>
      <c r="AN568" s="115">
        <f t="shared" si="1043"/>
        <v>0.26014257803262347</v>
      </c>
      <c r="AO568" s="115">
        <f t="shared" si="1045"/>
        <v>1.7984568705749462E-2</v>
      </c>
      <c r="AP568" s="166">
        <f t="shared" si="1057"/>
        <v>108.91861772937658</v>
      </c>
      <c r="AQ568" s="168">
        <f t="shared" si="1058"/>
        <v>1.798456870574941E-2</v>
      </c>
      <c r="AR568" s="69">
        <f>+AD568/$AF$18</f>
        <v>7.2102141771203162E-3</v>
      </c>
      <c r="AS568" s="169">
        <f t="shared" si="1055"/>
        <v>1.2967259225158878E-4</v>
      </c>
      <c r="AT568" s="115"/>
      <c r="AU568" s="115"/>
      <c r="AV568" s="113">
        <f>IFERROR(INDEX('Total Customers'!$F$7:$AB$91,MATCH($C568,'Total Customers'!$D$7:$D$91,0),MATCH($G568,'Total Customers'!$F$5:$AB$5,0)),"NA")</f>
        <v>218789</v>
      </c>
      <c r="AW568" s="68">
        <f t="shared" si="972"/>
        <v>-1.7823804881089895E-4</v>
      </c>
      <c r="AX568" s="114"/>
      <c r="AY568" s="114"/>
      <c r="AZ568" s="116"/>
      <c r="BA568" s="116"/>
      <c r="BB568" s="166"/>
      <c r="BC568" s="166"/>
      <c r="BD568" s="166"/>
      <c r="BE568" s="166"/>
      <c r="BF568" s="166"/>
      <c r="BG568" s="166"/>
      <c r="BH568" s="166"/>
      <c r="BI568" s="113"/>
      <c r="BJ568" s="113"/>
      <c r="BK568" s="113">
        <f>INDEX('Dist. Plant Gas Additions'!$F$7:$AE$91,MATCH($C568,'Dist. Plant Gas Additions'!$D$7:$D$91,0),MATCH(Calculation!$G568,'Dist. Plant Gas Additions'!$F$5:$AE$5,0))</f>
        <v>11404</v>
      </c>
      <c r="BL568" s="113">
        <f>INDEX('Gen. Plant Additions'!$F$7:$AE$91,MATCH($C568,'Gen. Plant Additions'!$D$7:$D$91,0),MATCH(Calculation!$G568,'Gen. Plant Additions'!$F$5:$AE$5,0))</f>
        <v>4560</v>
      </c>
      <c r="BM568" s="231">
        <f t="shared" si="1021"/>
        <v>0.93681177962632833</v>
      </c>
      <c r="BN568" s="61">
        <f>+BM568*BL568</f>
        <v>4271.8617150960572</v>
      </c>
      <c r="BO568" s="113">
        <f>INDEX('Dist Plant Depreciation'!$E$7:$AD$94,MATCH($C568,'Dist Plant Depreciation'!$D$7:$D$94,0),MATCH(Calculation!$G568,'Dist Plant Depreciation'!$E$5:$AD$5,0))</f>
        <v>229840</v>
      </c>
      <c r="BP568" s="113">
        <f>INDEX('Gen. Plant Depreciation'!$E$7:$AD$94,MATCH($C568,'Gen. Plant Depreciation'!$D$7:$D$94,0),MATCH(Calculation!$G568,'Gen. Plant Depreciation'!$E$5:$AD$5,0))</f>
        <v>17835</v>
      </c>
      <c r="BQ568" s="113"/>
      <c r="BR568" s="113"/>
      <c r="BS568" s="113"/>
      <c r="BT568" s="113"/>
      <c r="BU568" s="113"/>
      <c r="BV568" s="113"/>
      <c r="BW568" s="113">
        <f>INDEX('Gross Dx Plant'!$E$7:$AD$91,MATCH($C568,'Gross Dx Plant'!$D$7:$D$91,0),MATCH(Calculation!$G568,'Gross Dx Plant'!$E$5:$AD$5,0))</f>
        <v>418827</v>
      </c>
      <c r="BX568" s="113">
        <f>INDEX('Gross Gen Plant'!$E$7:$AD$91,MATCH($C568,'Gross Gen Plant'!$D$7:$D$91,0),MATCH(Calculation!$G568,'Gross Gen Plant'!$E$5:$AD$5,0))</f>
        <v>28250</v>
      </c>
      <c r="BY568" s="113">
        <f t="shared" si="959"/>
        <v>199402</v>
      </c>
      <c r="BZ568" s="113"/>
      <c r="CA568" s="116">
        <v>2013</v>
      </c>
      <c r="CB568" s="113"/>
      <c r="CC568" s="113"/>
      <c r="CD568" s="113"/>
      <c r="CE568" s="175"/>
      <c r="CF568" s="113">
        <f t="shared" si="1022"/>
        <v>15964</v>
      </c>
      <c r="CG568" s="113">
        <f t="shared" si="1023"/>
        <v>24.069413311667105</v>
      </c>
      <c r="CH568" s="178">
        <v>0.90566037735849059</v>
      </c>
      <c r="CI568" s="61">
        <f>+CI553*CH568+CG554*CH567+CG555*CH566+CG556*CH565+CG557*CH564+CG558*CH563+CG559*CH562+CG560*CH561+CG561*CH560+CG562*CH559+CG563*CH558+CG564*CH557+CG565*CH556+CG566*CH555+CG567*CH554+CG568</f>
        <v>965.56286476781077</v>
      </c>
      <c r="CJ568" s="114">
        <f t="shared" si="1024"/>
        <v>1.7336254022340236E-2</v>
      </c>
      <c r="CK568" s="114"/>
      <c r="CL568" s="169">
        <f t="shared" si="1025"/>
        <v>7.8763816523357514E-3</v>
      </c>
      <c r="CM568" s="169">
        <f t="shared" si="1033"/>
        <v>7.6020805280026154E-3</v>
      </c>
      <c r="CN568" s="114">
        <f>VLOOKUP($H568,RoR!$E:$F,2,FALSE)</f>
        <v>4.2350000000000006E-2</v>
      </c>
      <c r="CO568" s="169">
        <v>1.7730000000000024E-2</v>
      </c>
      <c r="CP568" s="169">
        <f t="shared" si="1031"/>
        <v>2.4619999999999982E-2</v>
      </c>
      <c r="CQ568" s="169">
        <f t="shared" si="1034"/>
        <v>2.3299861080531011E-2</v>
      </c>
      <c r="CR568" s="169">
        <f t="shared" si="1035"/>
        <v>5.3376742735721204E-2</v>
      </c>
      <c r="CS568" s="179">
        <f t="shared" si="1026"/>
        <v>0.85126000000000002</v>
      </c>
      <c r="CT568" s="180">
        <f t="shared" si="1027"/>
        <v>1.2109103018193925</v>
      </c>
      <c r="CU568" s="180">
        <f t="shared" si="1028"/>
        <v>0.38468122786304604</v>
      </c>
      <c r="CV568" s="180">
        <f t="shared" si="1029"/>
        <v>0.80969194503422559</v>
      </c>
      <c r="CW568" s="180">
        <f t="shared" si="1030"/>
        <v>0.37716621754800816</v>
      </c>
      <c r="CX568" s="181">
        <f>INDEX('State Tax Lookup'!$D$7:$Z$91,MATCH(Calculation!$C568,'State Tax Lookup'!$B$7:$B$91,0),MATCH($H568,'State Tax Lookup'!$D$6:$Z$6,0))</f>
        <v>0.40200000000000002</v>
      </c>
      <c r="CY568" s="72">
        <v>0.37</v>
      </c>
      <c r="CZ568" s="70">
        <f t="shared" si="1032"/>
        <v>21.922391969679449</v>
      </c>
      <c r="DA568" s="70">
        <v>20.339519021246105</v>
      </c>
      <c r="DB568" s="69">
        <f t="shared" si="1036"/>
        <v>-1.8758445183610695E-2</v>
      </c>
      <c r="DC568" s="111">
        <f>VLOOKUP($H568,RoR!$E:$F,2,FALSE)</f>
        <v>4.2350000000000006E-2</v>
      </c>
      <c r="DD568" s="216">
        <f>HLOOKUP($H568,'GDP-PI'!$D$8:$CQ$11,3,FALSE)</f>
        <v>1.7730000000000024E-2</v>
      </c>
      <c r="DE568" s="111">
        <f>VLOOKUP(H568,'HW Dx Data'!$E:$F,2,FALSE)</f>
        <v>663.24840548821396</v>
      </c>
      <c r="DF568" s="72">
        <f t="shared" si="1046"/>
        <v>126.8</v>
      </c>
      <c r="DG568" s="69">
        <f t="shared" si="1047"/>
        <v>1.5898586067798204E-2</v>
      </c>
      <c r="DH568" s="66">
        <f>HLOOKUP(H568,'GDP-PI'!$8:$9,2,FALSE)</f>
        <v>101.773</v>
      </c>
      <c r="DI568" s="69">
        <f t="shared" si="1037"/>
        <v>1.7574657016510519E-2</v>
      </c>
      <c r="EB568"/>
    </row>
    <row r="569" spans="1:132" s="160" customFormat="1" ht="21">
      <c r="A569" s="160" t="s">
        <v>193</v>
      </c>
      <c r="B569" s="161" t="s">
        <v>193</v>
      </c>
      <c r="C569" s="161">
        <v>4061634</v>
      </c>
      <c r="D569" s="161" t="s">
        <v>168</v>
      </c>
      <c r="E569" s="161"/>
      <c r="F569" s="161"/>
      <c r="G569" s="161" t="s">
        <v>130</v>
      </c>
      <c r="H569" s="162">
        <v>2014</v>
      </c>
      <c r="I569" s="163"/>
      <c r="J569" s="159">
        <f>IFERROR(INDEX('Labor Expenditures'!$F$7:$X$91,MATCH($C569,'Labor Expenditures'!$D$7:$D$91,0),MATCH($G569,'Labor Expenditures'!$F$5:$X$5,0)),"NA")</f>
        <v>24070.297402937969</v>
      </c>
      <c r="K569" s="159">
        <f t="shared" si="1038"/>
        <v>186.01466308298276</v>
      </c>
      <c r="L569" s="165">
        <f t="shared" si="1044"/>
        <v>-2.432696772165481E-2</v>
      </c>
      <c r="M569" s="76">
        <f t="shared" si="1048"/>
        <v>-1.7209349562606892E-4</v>
      </c>
      <c r="N569" s="62">
        <f t="shared" si="1054"/>
        <v>120.49607369041858</v>
      </c>
      <c r="O569" s="96">
        <f t="shared" si="1049"/>
        <v>0.10703378275655059</v>
      </c>
      <c r="P569" s="96"/>
      <c r="Q569" s="159">
        <f>IFERROR(INDEX('Non-Labor Expenditures'!$F$7:$AB$91,MATCH($C569,'Non-Labor Expenditures'!$D$7:$D$91,0),MATCH($G569,'Non-Labor Expenditures'!$F$5:$AB$5,0)),"NA")</f>
        <v>34858.286350872884</v>
      </c>
      <c r="R569" s="159">
        <f t="shared" si="1039"/>
        <v>336.31736905914192</v>
      </c>
      <c r="S569" s="165">
        <f t="shared" si="1050"/>
        <v>-2.2275679556236116E-2</v>
      </c>
      <c r="T569" s="165">
        <f t="shared" si="1051"/>
        <v>-1.5758230150757417E-4</v>
      </c>
      <c r="U569" s="165"/>
      <c r="V569" s="165"/>
      <c r="W569" s="159">
        <f t="shared" si="1020"/>
        <v>21609.194699909898</v>
      </c>
      <c r="X569" s="163"/>
      <c r="Y569" s="167">
        <v>988.40062415172724</v>
      </c>
      <c r="Z569" s="168">
        <v>2.3376894741393012E-2</v>
      </c>
      <c r="AA569" s="76">
        <f t="shared" si="1040"/>
        <v>1.6537250260532395E-4</v>
      </c>
      <c r="AB569" s="168"/>
      <c r="AC569" s="168"/>
      <c r="AD569" s="163">
        <f t="shared" si="1056"/>
        <v>80537.778453720748</v>
      </c>
      <c r="AE569" s="168">
        <f t="shared" si="1052"/>
        <v>7.0726940028368584E-3</v>
      </c>
      <c r="AF569" s="163"/>
      <c r="AG569" s="163"/>
      <c r="AH569" s="163"/>
      <c r="AI569" s="163"/>
      <c r="AJ569" s="116">
        <f t="shared" si="1053"/>
        <v>368.93671673784223</v>
      </c>
      <c r="AK569" s="114">
        <f>+AV569/$AX$19</f>
        <v>6.0410559457066814E-3</v>
      </c>
      <c r="AL569" s="115">
        <f t="shared" si="1041"/>
        <v>0.29886964683002071</v>
      </c>
      <c r="AM569" s="115">
        <f t="shared" si="1042"/>
        <v>0.43281906975995654</v>
      </c>
      <c r="AN569" s="115">
        <f t="shared" si="1043"/>
        <v>0.26831128341002286</v>
      </c>
      <c r="AO569" s="115">
        <f t="shared" si="1045"/>
        <v>-1.08295299394099E-2</v>
      </c>
      <c r="AP569" s="166">
        <f t="shared" si="1057"/>
        <v>107.74544422219529</v>
      </c>
      <c r="AQ569" s="168">
        <f t="shared" si="1058"/>
        <v>-1.0829529939409907E-2</v>
      </c>
      <c r="AR569" s="69">
        <f>+AD569/$AF$19</f>
        <v>7.0741860471528785E-3</v>
      </c>
      <c r="AS569" s="169">
        <f t="shared" si="1055"/>
        <v>-7.6610109594597923E-5</v>
      </c>
      <c r="AT569" s="115"/>
      <c r="AU569" s="115"/>
      <c r="AV569" s="113">
        <f>IFERROR(INDEX('Total Customers'!$F$7:$AB$91,MATCH($C569,'Total Customers'!$D$7:$D$91,0),MATCH($G569,'Total Customers'!$F$5:$AB$5,0)),"NA")</f>
        <v>218297</v>
      </c>
      <c r="AW569" s="68">
        <f t="shared" si="972"/>
        <v>-2.2512741556472652E-3</v>
      </c>
      <c r="AX569" s="114"/>
      <c r="AY569" s="114"/>
      <c r="AZ569" s="116"/>
      <c r="BA569" s="116"/>
      <c r="BB569" s="166"/>
      <c r="BC569" s="166"/>
      <c r="BD569" s="166"/>
      <c r="BE569" s="166"/>
      <c r="BF569" s="166"/>
      <c r="BG569" s="166"/>
      <c r="BH569" s="166"/>
      <c r="BI569" s="113"/>
      <c r="BJ569" s="113"/>
      <c r="BK569" s="113">
        <f>INDEX('Dist. Plant Gas Additions'!$F$7:$AE$91,MATCH($C569,'Dist. Plant Gas Additions'!$D$7:$D$91,0),MATCH(Calculation!$G569,'Dist. Plant Gas Additions'!$F$5:$AE$5,0))</f>
        <v>14265</v>
      </c>
      <c r="BL569" s="113">
        <f>INDEX('Gen. Plant Additions'!$F$7:$AE$91,MATCH($C569,'Gen. Plant Additions'!$D$7:$D$91,0),MATCH(Calculation!$G569,'Gen. Plant Additions'!$F$5:$AE$5,0))</f>
        <v>6755</v>
      </c>
      <c r="BM569" s="231">
        <f t="shared" si="1021"/>
        <v>0.92631484261724195</v>
      </c>
      <c r="BN569" s="61">
        <f t="shared" ref="BN569:BN585" si="1059">+BM569*BL569</f>
        <v>6257.2567618794692</v>
      </c>
      <c r="BO569" s="113">
        <f>INDEX('Dist Plant Depreciation'!$E$7:$AD$94,MATCH($C569,'Dist Plant Depreciation'!$D$7:$D$94,0),MATCH(Calculation!$G569,'Dist Plant Depreciation'!$E$5:$AD$5,0))</f>
        <v>240343</v>
      </c>
      <c r="BP569" s="113">
        <f>INDEX('Gen. Plant Depreciation'!$E$7:$AD$94,MATCH($C569,'Gen. Plant Depreciation'!$D$7:$D$94,0),MATCH(Calculation!$G569,'Gen. Plant Depreciation'!$E$5:$AD$5,0))</f>
        <v>18360</v>
      </c>
      <c r="BQ569" s="113"/>
      <c r="BR569" s="113"/>
      <c r="BS569" s="113"/>
      <c r="BT569" s="113"/>
      <c r="BU569" s="113"/>
      <c r="BV569" s="113"/>
      <c r="BW569" s="113">
        <f>INDEX('Gross Dx Plant'!$E$7:$AD$91,MATCH($C569,'Gross Dx Plant'!$D$7:$D$91,0),MATCH(Calculation!$G569,'Gross Dx Plant'!$E$5:$AD$5,0))</f>
        <v>432514</v>
      </c>
      <c r="BX569" s="113">
        <f>INDEX('Gross Gen Plant'!$E$7:$AD$91,MATCH($C569,'Gross Gen Plant'!$D$7:$D$91,0),MATCH(Calculation!$G569,'Gross Gen Plant'!$E$5:$AD$5,0))</f>
        <v>34405</v>
      </c>
      <c r="BY569" s="113">
        <f t="shared" si="959"/>
        <v>208216</v>
      </c>
      <c r="BZ569" s="113"/>
      <c r="CA569" s="116">
        <v>2014</v>
      </c>
      <c r="CB569" s="113"/>
      <c r="CC569" s="113"/>
      <c r="CD569" s="113"/>
      <c r="CE569" s="175"/>
      <c r="CF569" s="113">
        <f t="shared" si="1022"/>
        <v>21020</v>
      </c>
      <c r="CG569" s="113">
        <f t="shared" si="1023"/>
        <v>30.709930782947392</v>
      </c>
      <c r="CH569" s="178">
        <v>0.89743589743589747</v>
      </c>
      <c r="CI569" s="61">
        <f>+CI553*CH569+CG554*CH568+CG555*CH567+CG556*CH566+CG557*CH565+CG558*CH564+CG559*CH563+CG560*CH562+CG561*CH561+CG562*CH560+CG563*CH559+CG564*CH558+CG565*CH557+CG566*CH556+CG567*CH555+CG568*CH554+CG569</f>
        <v>988.40062415172724</v>
      </c>
      <c r="CJ569" s="114">
        <f t="shared" si="1024"/>
        <v>2.3376894741393012E-2</v>
      </c>
      <c r="CK569" s="114"/>
      <c r="CL569" s="169">
        <f t="shared" si="1025"/>
        <v>8.1529351285935577E-3</v>
      </c>
      <c r="CM569" s="169">
        <f t="shared" si="1033"/>
        <v>7.8758029237533129E-3</v>
      </c>
      <c r="CN569" s="114">
        <f>VLOOKUP($H569,RoR!$E:$F,2,FALSE)</f>
        <v>4.1625000000000002E-2</v>
      </c>
      <c r="CO569" s="169">
        <v>1.841352814597208E-2</v>
      </c>
      <c r="CP569" s="169">
        <f t="shared" si="1031"/>
        <v>2.3211471854027922E-2</v>
      </c>
      <c r="CQ569" s="169">
        <f t="shared" si="1034"/>
        <v>2.302613868478031E-2</v>
      </c>
      <c r="CR569" s="169">
        <f t="shared" si="1035"/>
        <v>3.9072621432650924E-2</v>
      </c>
      <c r="CS569" s="179">
        <f t="shared" si="1026"/>
        <v>0.85126000000000002</v>
      </c>
      <c r="CT569" s="180">
        <f t="shared" si="1027"/>
        <v>1.2320012320012319</v>
      </c>
      <c r="CU569" s="180">
        <f t="shared" si="1028"/>
        <v>0.37439939939939942</v>
      </c>
      <c r="CV569" s="180">
        <f t="shared" si="1029"/>
        <v>0.80432100613819935</v>
      </c>
      <c r="CW569" s="180">
        <f t="shared" si="1030"/>
        <v>0.37100152660040037</v>
      </c>
      <c r="CX569" s="181">
        <f>INDEX('State Tax Lookup'!$D$7:$Z$91,MATCH(Calculation!$C569,'State Tax Lookup'!$B$7:$B$91,0),MATCH($H569,'State Tax Lookup'!$D$6:$Z$6,0))</f>
        <v>0.40200000000000002</v>
      </c>
      <c r="CY569" s="72">
        <v>0.37</v>
      </c>
      <c r="CZ569" s="70">
        <f t="shared" si="1032"/>
        <v>22.379894140922939</v>
      </c>
      <c r="DA569" s="70">
        <v>20.763592984765573</v>
      </c>
      <c r="DB569" s="69">
        <f t="shared" si="1036"/>
        <v>2.0654393966936656E-2</v>
      </c>
      <c r="DC569" s="111">
        <f>VLOOKUP($H569,RoR!$E:$F,2,FALSE)</f>
        <v>4.1625000000000002E-2</v>
      </c>
      <c r="DD569" s="216">
        <f>HLOOKUP($H569,'GDP-PI'!$D$8:$CQ$11,3,FALSE)</f>
        <v>1.841352814597208E-2</v>
      </c>
      <c r="DE569" s="111">
        <f>VLOOKUP(H569,'HW Dx Data'!$E:$F,2,FALSE)</f>
        <v>684.46914285042885</v>
      </c>
      <c r="DF569" s="72">
        <f t="shared" si="1046"/>
        <v>129.4</v>
      </c>
      <c r="DG569" s="69">
        <f t="shared" si="1047"/>
        <v>2.0297340063674733E-2</v>
      </c>
      <c r="DH569" s="66">
        <f>HLOOKUP(H569,'GDP-PI'!$8:$9,2,FALSE)</f>
        <v>103.64700000000001</v>
      </c>
      <c r="DI569" s="69">
        <f t="shared" si="1037"/>
        <v>1.8246051898256087E-2</v>
      </c>
      <c r="EB569"/>
    </row>
    <row r="570" spans="1:132" s="160" customFormat="1" ht="21">
      <c r="A570" s="160" t="s">
        <v>193</v>
      </c>
      <c r="B570" s="161" t="s">
        <v>193</v>
      </c>
      <c r="C570" s="161">
        <v>4061634</v>
      </c>
      <c r="D570" s="161" t="s">
        <v>168</v>
      </c>
      <c r="E570" s="161"/>
      <c r="F570" s="161"/>
      <c r="G570" s="161" t="s">
        <v>132</v>
      </c>
      <c r="H570" s="162">
        <v>2015</v>
      </c>
      <c r="I570" s="163"/>
      <c r="J570" s="159">
        <f>IFERROR(INDEX('Labor Expenditures'!$F$7:$X$91,MATCH($C570,'Labor Expenditures'!$D$7:$D$91,0),MATCH($G570,'Labor Expenditures'!$F$5:$X$5,0)),"NA")</f>
        <v>26525.671827148006</v>
      </c>
      <c r="K570" s="159">
        <f t="shared" si="1038"/>
        <v>198.6941709898727</v>
      </c>
      <c r="L570" s="165">
        <f t="shared" si="1044"/>
        <v>6.5941309009110508E-2</v>
      </c>
      <c r="M570" s="76">
        <f t="shared" si="1048"/>
        <v>4.964691262998622E-4</v>
      </c>
      <c r="N570" s="62">
        <f t="shared" si="1054"/>
        <v>118.83555176274817</v>
      </c>
      <c r="O570" s="96">
        <f t="shared" si="1049"/>
        <v>-1.3876549495641684E-2</v>
      </c>
      <c r="P570" s="96"/>
      <c r="Q570" s="159">
        <f>IFERROR(INDEX('Non-Labor Expenditures'!$F$7:$AB$91,MATCH($C570,'Non-Labor Expenditures'!$D$7:$D$91,0),MATCH($G570,'Non-Labor Expenditures'!$F$5:$AB$5,0)),"NA")</f>
        <v>38414.127117812313</v>
      </c>
      <c r="R570" s="159">
        <f t="shared" si="1039"/>
        <v>367.11099224775</v>
      </c>
      <c r="S570" s="165">
        <f t="shared" si="1050"/>
        <v>8.7608968597171585E-2</v>
      </c>
      <c r="T570" s="165">
        <f t="shared" si="1051"/>
        <v>6.5960395310715649E-4</v>
      </c>
      <c r="U570" s="165"/>
      <c r="V570" s="165"/>
      <c r="W570" s="159">
        <f t="shared" si="1020"/>
        <v>21622.981328030743</v>
      </c>
      <c r="X570" s="163"/>
      <c r="Y570" s="167">
        <v>1013.0437236431599</v>
      </c>
      <c r="Z570" s="168">
        <v>2.462656025636014E-2</v>
      </c>
      <c r="AA570" s="76">
        <f t="shared" si="1040"/>
        <v>1.8541225580700604E-4</v>
      </c>
      <c r="AB570" s="168"/>
      <c r="AC570" s="168"/>
      <c r="AD570" s="163">
        <f t="shared" si="1056"/>
        <v>86562.780272991062</v>
      </c>
      <c r="AE570" s="168">
        <f t="shared" si="1052"/>
        <v>7.2143562286537025E-2</v>
      </c>
      <c r="AF570" s="163"/>
      <c r="AG570" s="163"/>
      <c r="AH570" s="163"/>
      <c r="AI570" s="163"/>
      <c r="AJ570" s="116">
        <f t="shared" si="1053"/>
        <v>397.54929146550745</v>
      </c>
      <c r="AK570" s="114">
        <f>+AV570/$AX$20</f>
        <v>5.9766729117588678E-3</v>
      </c>
      <c r="AL570" s="115">
        <f t="shared" si="1041"/>
        <v>0.30643276178854933</v>
      </c>
      <c r="AM570" s="115">
        <f t="shared" si="1042"/>
        <v>0.44377187281492758</v>
      </c>
      <c r="AN570" s="115">
        <f t="shared" si="1043"/>
        <v>0.24979536539652308</v>
      </c>
      <c r="AO570" s="115">
        <f t="shared" si="1045"/>
        <v>6.473542306866964E-2</v>
      </c>
      <c r="AP570" s="166">
        <f t="shared" si="1057"/>
        <v>114.951105703501</v>
      </c>
      <c r="AQ570" s="168">
        <f t="shared" si="1058"/>
        <v>6.4735423068669612E-2</v>
      </c>
      <c r="AR570" s="69">
        <f>+AD570/$AF$20</f>
        <v>7.5289546683289165E-3</v>
      </c>
      <c r="AS570" s="169">
        <f t="shared" si="1055"/>
        <v>4.8739006571910749E-4</v>
      </c>
      <c r="AT570" s="115"/>
      <c r="AU570" s="115"/>
      <c r="AV570" s="113">
        <f>IFERROR(INDEX('Total Customers'!$F$7:$AB$91,MATCH($C570,'Total Customers'!$D$7:$D$91,0),MATCH($G570,'Total Customers'!$F$5:$AB$5,0)),"NA")</f>
        <v>217741</v>
      </c>
      <c r="AW570" s="68">
        <f t="shared" si="972"/>
        <v>-2.5502378294491451E-3</v>
      </c>
      <c r="AX570" s="114"/>
      <c r="AY570" s="114"/>
      <c r="AZ570" s="116"/>
      <c r="BA570" s="116"/>
      <c r="BB570" s="166"/>
      <c r="BC570" s="166"/>
      <c r="BD570" s="166"/>
      <c r="BE570" s="166"/>
      <c r="BF570" s="166"/>
      <c r="BG570" s="166"/>
      <c r="BH570" s="166"/>
      <c r="BI570" s="113"/>
      <c r="BJ570" s="113"/>
      <c r="BK570" s="113">
        <f>INDEX('Dist. Plant Gas Additions'!$F$7:$AE$91,MATCH($C570,'Dist. Plant Gas Additions'!$D$7:$D$91,0),MATCH(Calculation!$G570,'Dist. Plant Gas Additions'!$F$5:$AE$5,0))</f>
        <v>18247</v>
      </c>
      <c r="BL570" s="113">
        <f>INDEX('Gen. Plant Additions'!$F$7:$AE$91,MATCH($C570,'Gen. Plant Additions'!$D$7:$D$91,0),MATCH(Calculation!$G570,'Gen. Plant Additions'!$F$5:$AE$5,0))</f>
        <v>4025</v>
      </c>
      <c r="BM570" s="231">
        <f t="shared" si="1021"/>
        <v>0.92800963445969076</v>
      </c>
      <c r="BN570" s="61">
        <f t="shared" si="1059"/>
        <v>3735.2387787002554</v>
      </c>
      <c r="BO570" s="113">
        <f>INDEX('Dist Plant Depreciation'!$E$7:$AD$94,MATCH($C570,'Dist Plant Depreciation'!$D$7:$D$94,0),MATCH(Calculation!$G570,'Dist Plant Depreciation'!$E$5:$AD$5,0))</f>
        <v>250736</v>
      </c>
      <c r="BP570" s="113">
        <f>INDEX('Gen. Plant Depreciation'!$E$7:$AD$94,MATCH($C570,'Gen. Plant Depreciation'!$D$7:$D$94,0),MATCH(Calculation!$G570,'Gen. Plant Depreciation'!$E$5:$AD$5,0))</f>
        <v>17518</v>
      </c>
      <c r="BQ570" s="113"/>
      <c r="BR570" s="113"/>
      <c r="BS570" s="113"/>
      <c r="BT570" s="113"/>
      <c r="BU570" s="113"/>
      <c r="BV570" s="113"/>
      <c r="BW570" s="113">
        <f>INDEX('Gross Dx Plant'!$E$7:$AD$91,MATCH($C570,'Gross Dx Plant'!$D$7:$D$91,0),MATCH(Calculation!$G570,'Gross Dx Plant'!$E$5:$AD$5,0))</f>
        <v>450016</v>
      </c>
      <c r="BX570" s="113">
        <f>INDEX('Gross Gen Plant'!$E$7:$AD$91,MATCH($C570,'Gross Gen Plant'!$D$7:$D$91,0),MATCH(Calculation!$G570,'Gross Gen Plant'!$E$5:$AD$5,0))</f>
        <v>34910</v>
      </c>
      <c r="BY570" s="113">
        <f t="shared" si="959"/>
        <v>216672</v>
      </c>
      <c r="BZ570" s="113"/>
      <c r="CA570" s="116">
        <v>2015</v>
      </c>
      <c r="CB570" s="113"/>
      <c r="CC570" s="113"/>
      <c r="CD570" s="113"/>
      <c r="CE570" s="175"/>
      <c r="CF570" s="113">
        <f t="shared" si="1022"/>
        <v>22272</v>
      </c>
      <c r="CG570" s="113">
        <f t="shared" si="1023"/>
        <v>32.965538206664746</v>
      </c>
      <c r="CH570" s="178">
        <v>0.88888888888888884</v>
      </c>
      <c r="CI570" s="61">
        <f>+CI553*CH570+CG554*CH569+CG555*CH568+CG556*CH567+CG557*CH566+CG558*CH565+CG559*CH564+CG560*CH563+CG561*CH562+CG562*CH561+CG563*CH560+CG564*CH559+CG565*CH558+CG566*CH557+CG567*CH556+CG568*CH555+CG569*CH554+CG570</f>
        <v>1013.0437236431599</v>
      </c>
      <c r="CJ570" s="114">
        <f t="shared" si="1024"/>
        <v>2.462656025636014E-2</v>
      </c>
      <c r="CK570" s="114"/>
      <c r="CL570" s="169">
        <f t="shared" si="1025"/>
        <v>8.4201066974989736E-3</v>
      </c>
      <c r="CM570" s="169">
        <f t="shared" si="1033"/>
        <v>8.1498078261427603E-3</v>
      </c>
      <c r="CN570" s="114">
        <f>VLOOKUP($H570,RoR!$E:$F,2,FALSE)</f>
        <v>3.8866666666666674E-2</v>
      </c>
      <c r="CO570" s="169">
        <v>9.5709475431029478E-3</v>
      </c>
      <c r="CP570" s="169">
        <f t="shared" si="1031"/>
        <v>2.9295719123563727E-2</v>
      </c>
      <c r="CQ570" s="169">
        <f t="shared" si="1034"/>
        <v>2.2752133782390865E-2</v>
      </c>
      <c r="CR570" s="169">
        <f t="shared" si="1035"/>
        <v>3.5270373279175926E-3</v>
      </c>
      <c r="CS570" s="179">
        <f t="shared" si="1026"/>
        <v>0.85126000000000002</v>
      </c>
      <c r="CT570" s="180">
        <f t="shared" si="1027"/>
        <v>1.3194352816994324</v>
      </c>
      <c r="CU570" s="180">
        <f t="shared" si="1028"/>
        <v>0.33177530017152673</v>
      </c>
      <c r="CV570" s="180">
        <f t="shared" si="1029"/>
        <v>0.78242572977668579</v>
      </c>
      <c r="CW570" s="180">
        <f t="shared" si="1030"/>
        <v>0.34251158643433932</v>
      </c>
      <c r="CX570" s="181">
        <f>INDEX('State Tax Lookup'!$D$7:$Z$91,MATCH(Calculation!$C570,'State Tax Lookup'!$B$7:$B$91,0),MATCH($H570,'State Tax Lookup'!$D$6:$Z$6,0))</f>
        <v>0.40200000000000002</v>
      </c>
      <c r="CY570" s="72">
        <v>0.37</v>
      </c>
      <c r="CZ570" s="70">
        <f t="shared" si="1032"/>
        <v>21.876737832483851</v>
      </c>
      <c r="DA570" s="70">
        <v>20.279488671080099</v>
      </c>
      <c r="DB570" s="69">
        <f t="shared" si="1036"/>
        <v>-2.2739099938777405E-2</v>
      </c>
      <c r="DC570" s="111">
        <f>VLOOKUP($H570,RoR!$E:$F,2,FALSE)</f>
        <v>3.8866666666666674E-2</v>
      </c>
      <c r="DD570" s="216">
        <f>HLOOKUP($H570,'GDP-PI'!$D$8:$CQ$11,3,FALSE)</f>
        <v>9.5709475431029478E-3</v>
      </c>
      <c r="DE570" s="111">
        <f>VLOOKUP(H570,'HW Dx Data'!$E:$F,2,FALSE)</f>
        <v>675.61463308665782</v>
      </c>
      <c r="DF570" s="72">
        <f t="shared" si="1046"/>
        <v>133.5</v>
      </c>
      <c r="DG570" s="69">
        <f t="shared" si="1047"/>
        <v>3.1193095773504077E-2</v>
      </c>
      <c r="DH570" s="66">
        <f>HLOOKUP(H570,'GDP-PI'!$8:$9,2,FALSE)</f>
        <v>104.639</v>
      </c>
      <c r="DI570" s="69">
        <f t="shared" si="1037"/>
        <v>9.5254361854427965E-3</v>
      </c>
      <c r="EB570"/>
    </row>
    <row r="571" spans="1:132" s="160" customFormat="1" ht="21">
      <c r="A571" s="160" t="s">
        <v>193</v>
      </c>
      <c r="B571" s="161" t="s">
        <v>193</v>
      </c>
      <c r="C571" s="161">
        <v>4061634</v>
      </c>
      <c r="D571" s="161" t="s">
        <v>168</v>
      </c>
      <c r="E571" s="161"/>
      <c r="F571" s="161"/>
      <c r="G571" s="161" t="s">
        <v>133</v>
      </c>
      <c r="H571" s="162">
        <v>2016</v>
      </c>
      <c r="I571" s="163"/>
      <c r="J571" s="159">
        <f>IFERROR(INDEX('Labor Expenditures'!$F$7:$X$91,MATCH($C571,'Labor Expenditures'!$D$7:$D$91,0),MATCH($G571,'Labor Expenditures'!$F$5:$X$5,0)),"NA")</f>
        <v>24930.057352994634</v>
      </c>
      <c r="K571" s="159">
        <f t="shared" si="1038"/>
        <v>182.0376586564048</v>
      </c>
      <c r="L571" s="165">
        <f t="shared" si="1044"/>
        <v>-8.7553232027342345E-2</v>
      </c>
      <c r="M571" s="76">
        <f t="shared" si="1048"/>
        <v>-6.092696168254095E-4</v>
      </c>
      <c r="N571" s="62">
        <f t="shared" si="1054"/>
        <v>298.41356703991289</v>
      </c>
      <c r="O571" s="96">
        <f t="shared" si="1049"/>
        <v>0.92073971382530018</v>
      </c>
      <c r="P571" s="96"/>
      <c r="Q571" s="159">
        <f>IFERROR(INDEX('Non-Labor Expenditures'!$F$7:$AB$91,MATCH($C571,'Non-Labor Expenditures'!$D$7:$D$91,0),MATCH($G571,'Non-Labor Expenditures'!$F$5:$AB$5,0)),"NA")</f>
        <v>36103.379339563144</v>
      </c>
      <c r="R571" s="159">
        <f t="shared" si="1039"/>
        <v>341.44831788192425</v>
      </c>
      <c r="S571" s="165">
        <f t="shared" si="1050"/>
        <v>-7.2467904525764432E-2</v>
      </c>
      <c r="T571" s="165">
        <f t="shared" si="1051"/>
        <v>-5.0429311859971431E-4</v>
      </c>
      <c r="U571" s="165"/>
      <c r="V571" s="165"/>
      <c r="W571" s="159">
        <f t="shared" si="1020"/>
        <v>21761.14680626414</v>
      </c>
      <c r="X571" s="163"/>
      <c r="Y571" s="167">
        <v>1034.9025874280685</v>
      </c>
      <c r="Z571" s="168">
        <v>2.1347916995590795E-2</v>
      </c>
      <c r="AA571" s="76">
        <f t="shared" si="1040"/>
        <v>1.4855690540198856E-4</v>
      </c>
      <c r="AB571" s="168"/>
      <c r="AC571" s="168"/>
      <c r="AD571" s="163">
        <f t="shared" si="1056"/>
        <v>82794.583498821914</v>
      </c>
      <c r="AE571" s="168">
        <f t="shared" si="1052"/>
        <v>-4.4507291616588167E-2</v>
      </c>
      <c r="AF571" s="163"/>
      <c r="AG571" s="163"/>
      <c r="AH571" s="163"/>
      <c r="AI571" s="163"/>
      <c r="AJ571" s="116">
        <f t="shared" si="1053"/>
        <v>381.62099743643574</v>
      </c>
      <c r="AK571" s="114">
        <f>+AV571/$AX$21</f>
        <v>5.9036379776156184E-3</v>
      </c>
      <c r="AL571" s="115">
        <f t="shared" si="1041"/>
        <v>0.30110734663396627</v>
      </c>
      <c r="AM571" s="115">
        <f t="shared" si="1042"/>
        <v>0.43605967702074205</v>
      </c>
      <c r="AN571" s="115">
        <f t="shared" si="1043"/>
        <v>0.26283297634529174</v>
      </c>
      <c r="AO571" s="115">
        <f t="shared" si="1045"/>
        <v>-5.3004050770894144E-2</v>
      </c>
      <c r="AP571" s="166">
        <f t="shared" si="1057"/>
        <v>109.01688945860305</v>
      </c>
      <c r="AQ571" s="168">
        <f t="shared" si="1058"/>
        <v>-5.3004050770894165E-2</v>
      </c>
      <c r="AR571" s="69">
        <f>+AD571/$AF$21</f>
        <v>6.9588478085553518E-3</v>
      </c>
      <c r="AS571" s="169">
        <f t="shared" si="1055"/>
        <v>-3.6884712255159344E-4</v>
      </c>
      <c r="AT571" s="115"/>
      <c r="AU571" s="115"/>
      <c r="AV571" s="113">
        <f>IFERROR(INDEX('Total Customers'!$F$7:$AB$91,MATCH($C571,'Total Customers'!$D$7:$D$91,0),MATCH($G571,'Total Customers'!$F$5:$AB$5,0)),"NA")</f>
        <v>216955</v>
      </c>
      <c r="AW571" s="68">
        <f t="shared" si="972"/>
        <v>-3.6163243121437524E-3</v>
      </c>
      <c r="AX571" s="114"/>
      <c r="AY571" s="114"/>
      <c r="AZ571" s="116"/>
      <c r="BA571" s="116"/>
      <c r="BB571" s="166"/>
      <c r="BC571" s="166"/>
      <c r="BD571" s="166"/>
      <c r="BE571" s="166"/>
      <c r="BF571" s="166"/>
      <c r="BG571" s="166"/>
      <c r="BH571" s="166"/>
      <c r="BI571" s="113"/>
      <c r="BJ571" s="113"/>
      <c r="BK571" s="113">
        <f>INDEX('Dist. Plant Gas Additions'!$F$7:$AE$91,MATCH($C571,'Dist. Plant Gas Additions'!$D$7:$D$91,0),MATCH(Calculation!$G571,'Dist. Plant Gas Additions'!$F$5:$AE$5,0))</f>
        <v>18926</v>
      </c>
      <c r="BL571" s="113">
        <f>INDEX('Gen. Plant Additions'!$F$7:$AE$91,MATCH($C571,'Gen. Plant Additions'!$D$7:$D$91,0),MATCH(Calculation!$G571,'Gen. Plant Additions'!$F$5:$AE$5,0))</f>
        <v>1664</v>
      </c>
      <c r="BM571" s="231">
        <f t="shared" si="1021"/>
        <v>0.93581100685752472</v>
      </c>
      <c r="BN571" s="61">
        <f t="shared" si="1059"/>
        <v>1557.1895154109211</v>
      </c>
      <c r="BO571" s="113">
        <f>INDEX('Dist Plant Depreciation'!$E$7:$AD$94,MATCH($C571,'Dist Plant Depreciation'!$D$7:$D$94,0),MATCH(Calculation!$G571,'Dist Plant Depreciation'!$E$5:$AD$5,0))</f>
        <v>259270</v>
      </c>
      <c r="BP571" s="113">
        <f>INDEX('Gen. Plant Depreciation'!$E$7:$AD$94,MATCH($C571,'Gen. Plant Depreciation'!$D$7:$D$94,0),MATCH(Calculation!$G571,'Gen. Plant Depreciation'!$E$5:$AD$5,0))</f>
        <v>14706</v>
      </c>
      <c r="BQ571" s="113"/>
      <c r="BR571" s="113"/>
      <c r="BS571" s="113"/>
      <c r="BT571" s="113"/>
      <c r="BU571" s="113"/>
      <c r="BV571" s="113"/>
      <c r="BW571" s="113">
        <f>INDEX('Gross Dx Plant'!$E$7:$AD$91,MATCH($C571,'Gross Dx Plant'!$D$7:$D$91,0),MATCH(Calculation!$G571,'Gross Dx Plant'!$E$5:$AD$5,0))</f>
        <v>467665</v>
      </c>
      <c r="BX571" s="113">
        <f>INDEX('Gross Gen Plant'!$E$7:$AD$91,MATCH($C571,'Gross Gen Plant'!$D$7:$D$91,0),MATCH(Calculation!$G571,'Gross Gen Plant'!$E$5:$AD$5,0))</f>
        <v>32078</v>
      </c>
      <c r="BY571" s="113">
        <f t="shared" si="959"/>
        <v>225767</v>
      </c>
      <c r="BZ571" s="113"/>
      <c r="CA571" s="116">
        <v>2016</v>
      </c>
      <c r="CB571" s="113"/>
      <c r="CC571" s="113"/>
      <c r="CD571" s="113"/>
      <c r="CE571" s="175"/>
      <c r="CF571" s="113">
        <f t="shared" si="1022"/>
        <v>20590</v>
      </c>
      <c r="CG571" s="113">
        <f t="shared" si="1023"/>
        <v>30.664686773839676</v>
      </c>
      <c r="CH571" s="178">
        <v>0.88</v>
      </c>
      <c r="CI571" s="61">
        <f>+CI553*CH571+CG554*CH570+CG555*CH569+CG556*CH568+CG557*CH567+CG558*CH566+CG559*CH565+CG560*CH564+CG561*CH563+CG562*CH562+CG563*CH561+CG564*CH560+CG565*CH559+CG566*CH558+CG567*CH557+CG568*CH556+CG569*CH555+CG570*CH554+CG571</f>
        <v>1034.9025874280685</v>
      </c>
      <c r="CJ571" s="114">
        <f t="shared" si="1024"/>
        <v>2.1347916995590795E-2</v>
      </c>
      <c r="CK571" s="114"/>
      <c r="CL571" s="169">
        <f t="shared" si="1025"/>
        <v>8.6924411882866107E-3</v>
      </c>
      <c r="CM571" s="169">
        <f t="shared" si="1033"/>
        <v>8.421827671459714E-3</v>
      </c>
      <c r="CN571" s="114">
        <f>VLOOKUP($H571,RoR!$E:$F,2,FALSE)</f>
        <v>3.6658333333333334E-2</v>
      </c>
      <c r="CO571" s="169">
        <v>1.0483662879041455E-2</v>
      </c>
      <c r="CP571" s="169">
        <f t="shared" si="1031"/>
        <v>2.6174670454291879E-2</v>
      </c>
      <c r="CQ571" s="169">
        <f t="shared" si="1034"/>
        <v>2.2480113937073911E-2</v>
      </c>
      <c r="CR571" s="169">
        <f t="shared" si="1035"/>
        <v>4.301363574220729E-3</v>
      </c>
      <c r="CS571" s="179">
        <f t="shared" si="1026"/>
        <v>0.85126000000000002</v>
      </c>
      <c r="CT571" s="180">
        <f t="shared" si="1027"/>
        <v>1.3989193348138562</v>
      </c>
      <c r="CU571" s="180">
        <f t="shared" si="1028"/>
        <v>0.29302682427824522</v>
      </c>
      <c r="CV571" s="180">
        <f t="shared" si="1029"/>
        <v>0.76309497491941802</v>
      </c>
      <c r="CW571" s="180">
        <f t="shared" si="1030"/>
        <v>0.31280857135128509</v>
      </c>
      <c r="CX571" s="181">
        <f>INDEX('State Tax Lookup'!$D$7:$Z$91,MATCH(Calculation!$C571,'State Tax Lookup'!$B$7:$B$91,0),MATCH($H571,'State Tax Lookup'!$D$6:$Z$6,0))</f>
        <v>0.40200000000000002</v>
      </c>
      <c r="CY571" s="72">
        <v>0.37</v>
      </c>
      <c r="CZ571" s="70">
        <f t="shared" si="1032"/>
        <v>21.480955163520076</v>
      </c>
      <c r="DA571" s="70">
        <v>19.909765876209278</v>
      </c>
      <c r="DB571" s="69">
        <f t="shared" si="1036"/>
        <v>-1.8257136631446104E-2</v>
      </c>
      <c r="DC571" s="111">
        <f>VLOOKUP($H571,RoR!$E:$F,2,FALSE)</f>
        <v>3.6658333333333334E-2</v>
      </c>
      <c r="DD571" s="216">
        <f>HLOOKUP($H571,'GDP-PI'!$D$8:$CQ$11,3,FALSE)</f>
        <v>1.0483662879041455E-2</v>
      </c>
      <c r="DE571" s="111">
        <f>VLOOKUP(H571,'HW Dx Data'!$E:$F,2,FALSE)</f>
        <v>671.45639385971219</v>
      </c>
      <c r="DF571" s="72">
        <f t="shared" si="1046"/>
        <v>136.94999999999999</v>
      </c>
      <c r="DG571" s="69">
        <f t="shared" si="1047"/>
        <v>2.5514417868782811E-2</v>
      </c>
      <c r="DH571" s="66">
        <f>HLOOKUP(H571,'GDP-PI'!$8:$9,2,FALSE)</f>
        <v>105.736</v>
      </c>
      <c r="DI571" s="69">
        <f t="shared" si="1037"/>
        <v>1.0429090367205095E-2</v>
      </c>
      <c r="EB571"/>
    </row>
    <row r="572" spans="1:132" s="160" customFormat="1" ht="21">
      <c r="A572" s="160" t="s">
        <v>193</v>
      </c>
      <c r="B572" s="161" t="s">
        <v>193</v>
      </c>
      <c r="C572" s="161">
        <v>4061634</v>
      </c>
      <c r="D572" s="161" t="s">
        <v>168</v>
      </c>
      <c r="E572" s="161"/>
      <c r="F572" s="161"/>
      <c r="G572" s="161" t="s">
        <v>135</v>
      </c>
      <c r="H572" s="162">
        <v>2017</v>
      </c>
      <c r="I572" s="163"/>
      <c r="J572" s="159">
        <f>IFERROR(INDEX('Labor Expenditures'!$F$7:$X$91,MATCH($C572,'Labor Expenditures'!$D$7:$D$91,0),MATCH($G572,'Labor Expenditures'!$F$5:$X$5,0)),"NA")</f>
        <v>25427.765915720975</v>
      </c>
      <c r="K572" s="159">
        <f t="shared" si="1038"/>
        <v>181.04496914005679</v>
      </c>
      <c r="L572" s="165">
        <f t="shared" si="1044"/>
        <v>-5.4681326719598303E-3</v>
      </c>
      <c r="M572" s="76">
        <f t="shared" si="1048"/>
        <v>-3.7990248920373023E-5</v>
      </c>
      <c r="N572" s="62">
        <f t="shared" si="1054"/>
        <v>165.59880475241107</v>
      </c>
      <c r="O572" s="96">
        <f t="shared" si="1049"/>
        <v>-0.58891230900107672</v>
      </c>
      <c r="P572" s="96"/>
      <c r="Q572" s="159">
        <f>IFERROR(INDEX('Non-Labor Expenditures'!$F$7:$AB$91,MATCH($C572,'Non-Labor Expenditures'!$D$7:$D$91,0),MATCH($G572,'Non-Labor Expenditures'!$F$5:$AB$5,0)),"NA")</f>
        <v>36824.154297527668</v>
      </c>
      <c r="R572" s="159">
        <f t="shared" si="1039"/>
        <v>341.75232060516993</v>
      </c>
      <c r="S572" s="165">
        <f t="shared" si="1050"/>
        <v>8.8993694146058963E-4</v>
      </c>
      <c r="T572" s="165">
        <f t="shared" si="1051"/>
        <v>6.1829015420369819E-6</v>
      </c>
      <c r="U572" s="165"/>
      <c r="V572" s="165"/>
      <c r="W572" s="159">
        <f t="shared" si="1020"/>
        <v>20012.683245018488</v>
      </c>
      <c r="X572" s="163"/>
      <c r="Y572" s="167">
        <v>1064.4048998270864</v>
      </c>
      <c r="Z572" s="168">
        <v>2.81085596199281E-2</v>
      </c>
      <c r="AA572" s="76">
        <f t="shared" si="1040"/>
        <v>1.952862596458338E-4</v>
      </c>
      <c r="AB572" s="168"/>
      <c r="AC572" s="168"/>
      <c r="AD572" s="163">
        <f t="shared" si="1056"/>
        <v>82264.603458267127</v>
      </c>
      <c r="AE572" s="168">
        <f t="shared" si="1052"/>
        <v>-6.4217190405611527E-3</v>
      </c>
      <c r="AF572" s="163"/>
      <c r="AG572" s="163"/>
      <c r="AH572" s="163"/>
      <c r="AI572" s="163"/>
      <c r="AJ572" s="116">
        <f t="shared" si="1053"/>
        <v>379.80315357605849</v>
      </c>
      <c r="AK572" s="114">
        <f>+AV572/$AX$22</f>
        <v>5.8496415427553867E-3</v>
      </c>
      <c r="AL572" s="115">
        <f t="shared" si="1041"/>
        <v>0.30909728907427958</v>
      </c>
      <c r="AM572" s="115">
        <f t="shared" si="1042"/>
        <v>0.44763060598971438</v>
      </c>
      <c r="AN572" s="115">
        <f t="shared" si="1043"/>
        <v>0.24327210493600607</v>
      </c>
      <c r="AO572" s="115">
        <f t="shared" si="1045"/>
        <v>5.8378167868535398E-3</v>
      </c>
      <c r="AP572" s="166">
        <f t="shared" si="1057"/>
        <v>109.6551713596081</v>
      </c>
      <c r="AQ572" s="168">
        <f t="shared" si="1058"/>
        <v>5.837816786853519E-3</v>
      </c>
      <c r="AR572" s="69">
        <f>+AD572/$AF$22</f>
        <v>6.9475726357526293E-3</v>
      </c>
      <c r="AS572" s="169">
        <f t="shared" si="1055"/>
        <v>4.0558656160880845E-5</v>
      </c>
      <c r="AT572" s="115"/>
      <c r="AU572" s="115"/>
      <c r="AV572" s="113">
        <f>IFERROR(INDEX('Total Customers'!$F$7:$AB$91,MATCH($C572,'Total Customers'!$D$7:$D$91,0),MATCH($G572,'Total Customers'!$F$5:$AB$5,0)),"NA")</f>
        <v>216598</v>
      </c>
      <c r="AW572" s="68">
        <f t="shared" si="972"/>
        <v>-1.6468578498415589E-3</v>
      </c>
      <c r="AX572" s="114"/>
      <c r="AY572" s="114"/>
      <c r="AZ572" s="116"/>
      <c r="BA572" s="116"/>
      <c r="BB572" s="166"/>
      <c r="BC572" s="166"/>
      <c r="BD572" s="166"/>
      <c r="BE572" s="166"/>
      <c r="BF572" s="166"/>
      <c r="BG572" s="166"/>
      <c r="BH572" s="166"/>
      <c r="BI572" s="113"/>
      <c r="BJ572" s="113"/>
      <c r="BK572" s="113">
        <f>INDEX('Dist. Plant Gas Additions'!$F$7:$AE$91,MATCH($C572,'Dist. Plant Gas Additions'!$D$7:$D$91,0),MATCH(Calculation!$G572,'Dist. Plant Gas Additions'!$F$5:$AE$5,0))</f>
        <v>25315</v>
      </c>
      <c r="BL572" s="113">
        <f>INDEX('Gen. Plant Additions'!$F$7:$AE$91,MATCH($C572,'Gen. Plant Additions'!$D$7:$D$91,0),MATCH(Calculation!$G572,'Gen. Plant Additions'!$F$5:$AE$5,0))</f>
        <v>2330</v>
      </c>
      <c r="BM572" s="231">
        <f t="shared" si="1021"/>
        <v>0.93646072732188723</v>
      </c>
      <c r="BN572" s="61">
        <f t="shared" si="1059"/>
        <v>2181.9534946599974</v>
      </c>
      <c r="BO572" s="113">
        <f>INDEX('Dist Plant Depreciation'!$E$7:$AD$94,MATCH($C572,'Dist Plant Depreciation'!$D$7:$D$94,0),MATCH(Calculation!$G572,'Dist Plant Depreciation'!$E$5:$AD$5,0))</f>
        <v>268482</v>
      </c>
      <c r="BP572" s="113">
        <f>INDEX('Gen. Plant Depreciation'!$E$7:$AD$94,MATCH($C572,'Gen. Plant Depreciation'!$D$7:$D$94,0),MATCH(Calculation!$G572,'Gen. Plant Depreciation'!$E$5:$AD$5,0))</f>
        <v>15161</v>
      </c>
      <c r="BQ572" s="113"/>
      <c r="BR572" s="113"/>
      <c r="BS572" s="113"/>
      <c r="BT572" s="113"/>
      <c r="BU572" s="113"/>
      <c r="BV572" s="113"/>
      <c r="BW572" s="113">
        <f>INDEX('Gross Dx Plant'!$E$7:$AD$91,MATCH($C572,'Gross Dx Plant'!$D$7:$D$91,0),MATCH(Calculation!$G572,'Gross Dx Plant'!$E$5:$AD$5,0))</f>
        <v>491817</v>
      </c>
      <c r="BX572" s="113">
        <f>INDEX('Gross Gen Plant'!$E$7:$AD$91,MATCH($C572,'Gross Gen Plant'!$D$7:$D$91,0),MATCH(Calculation!$G572,'Gross Gen Plant'!$E$5:$AD$5,0))</f>
        <v>33370</v>
      </c>
      <c r="BY572" s="113">
        <f t="shared" si="959"/>
        <v>241544</v>
      </c>
      <c r="BZ572" s="113"/>
      <c r="CA572" s="116">
        <v>2017</v>
      </c>
      <c r="CB572" s="113"/>
      <c r="CC572" s="113"/>
      <c r="CD572" s="113"/>
      <c r="CE572" s="175"/>
      <c r="CF572" s="113">
        <f t="shared" si="1022"/>
        <v>27645</v>
      </c>
      <c r="CG572" s="113">
        <f t="shared" si="1023"/>
        <v>38.803889445783419</v>
      </c>
      <c r="CH572" s="178">
        <v>0.87074829931972786</v>
      </c>
      <c r="CI572" s="61">
        <f>+CI553*CH572+CG554*CH571+CG555*CH570+CG556*CH569+CG557*CH568+CG558*CH567+CG559*CH566+CG560*CH565+CG561*CH564+CG562*CH563+CG563*CH562+CG564*CH561+CG565*CH560+CG566*CH559+CG567*CH558+CG568*CH557+CG569*CH556+CG570*CH555+CG571*CH554+CG572</f>
        <v>1064.4048998270864</v>
      </c>
      <c r="CJ572" s="114">
        <f t="shared" si="1024"/>
        <v>2.81085596199281E-2</v>
      </c>
      <c r="CK572" s="114"/>
      <c r="CL572" s="169">
        <f t="shared" si="1025"/>
        <v>8.9878768878931033E-3</v>
      </c>
      <c r="CM572" s="169">
        <f t="shared" si="1033"/>
        <v>8.7001415912262292E-3</v>
      </c>
      <c r="CN572" s="114">
        <f>VLOOKUP($H572,RoR!$E:$F,2,FALSE)</f>
        <v>3.7433333333333339E-2</v>
      </c>
      <c r="CO572" s="169">
        <v>1.9056896421275615E-2</v>
      </c>
      <c r="CP572" s="169">
        <f t="shared" si="1031"/>
        <v>1.8376436912057724E-2</v>
      </c>
      <c r="CQ572" s="169">
        <f t="shared" si="1034"/>
        <v>2.2201800017307396E-2</v>
      </c>
      <c r="CR572" s="169">
        <f t="shared" si="1035"/>
        <v>1.3976271617800498E-2</v>
      </c>
      <c r="CS572" s="179">
        <f t="shared" si="1026"/>
        <v>0.90305999999999997</v>
      </c>
      <c r="CT572" s="180">
        <f t="shared" si="1027"/>
        <v>1.3699568463593395</v>
      </c>
      <c r="CU572" s="180">
        <f t="shared" si="1028"/>
        <v>0.30714603739982199</v>
      </c>
      <c r="CV572" s="180">
        <f t="shared" si="1029"/>
        <v>0.77007188472689425</v>
      </c>
      <c r="CW572" s="180">
        <f t="shared" si="1030"/>
        <v>0.32402839633793828</v>
      </c>
      <c r="CX572" s="181">
        <f>INDEX('State Tax Lookup'!$D$7:$Z$91,MATCH(Calculation!$C572,'State Tax Lookup'!$B$7:$B$91,0),MATCH($H572,'State Tax Lookup'!$D$6:$Z$6,0))</f>
        <v>0.26200000000000001</v>
      </c>
      <c r="CY572" s="72">
        <v>0.37</v>
      </c>
      <c r="CZ572" s="70">
        <f t="shared" si="1032"/>
        <v>19.33774587882116</v>
      </c>
      <c r="DA572" s="70">
        <v>18.231812616449311</v>
      </c>
      <c r="DB572" s="69">
        <f t="shared" si="1036"/>
        <v>-0.1051078052793549</v>
      </c>
      <c r="DC572" s="111">
        <f>VLOOKUP($H572,RoR!$E:$F,2,FALSE)</f>
        <v>3.7433333333333339E-2</v>
      </c>
      <c r="DD572" s="216">
        <f>HLOOKUP($H572,'GDP-PI'!$D$8:$CQ$11,3,FALSE)</f>
        <v>1.9056896421275615E-2</v>
      </c>
      <c r="DE572" s="111">
        <f>VLOOKUP(H572,'HW Dx Data'!$E:$F,2,FALSE)</f>
        <v>712.42858370229726</v>
      </c>
      <c r="DF572" s="72">
        <f t="shared" si="1046"/>
        <v>140.44999999999999</v>
      </c>
      <c r="DG572" s="69">
        <f t="shared" si="1047"/>
        <v>2.5235657841165486E-2</v>
      </c>
      <c r="DH572" s="66">
        <f>HLOOKUP(H572,'GDP-PI'!$8:$9,2,FALSE)</f>
        <v>107.751</v>
      </c>
      <c r="DI572" s="69">
        <f t="shared" si="1037"/>
        <v>1.8877588227745139E-2</v>
      </c>
      <c r="EB572"/>
    </row>
    <row r="573" spans="1:132" s="160" customFormat="1" ht="21">
      <c r="A573" s="160" t="s">
        <v>193</v>
      </c>
      <c r="B573" s="161" t="s">
        <v>193</v>
      </c>
      <c r="C573" s="161">
        <v>4061634</v>
      </c>
      <c r="D573" s="161" t="s">
        <v>168</v>
      </c>
      <c r="E573" s="161"/>
      <c r="F573" s="161"/>
      <c r="G573" s="161" t="s">
        <v>136</v>
      </c>
      <c r="H573" s="162">
        <v>2018</v>
      </c>
      <c r="I573" s="163"/>
      <c r="J573" s="159">
        <f>IFERROR(INDEX('Labor Expenditures'!$F$7:$X$91,MATCH($C573,'Labor Expenditures'!$D$7:$D$91,0),MATCH($G573,'Labor Expenditures'!$F$5:$X$5,0)),"NA")</f>
        <v>28321.855585047429</v>
      </c>
      <c r="K573" s="159">
        <f t="shared" si="1038"/>
        <v>196.0668437871058</v>
      </c>
      <c r="L573" s="165">
        <f t="shared" si="1044"/>
        <v>7.971019212455116E-2</v>
      </c>
      <c r="M573" s="76">
        <f t="shared" si="1048"/>
        <v>5.6263092959798686E-4</v>
      </c>
      <c r="N573" s="62">
        <f t="shared" si="1054"/>
        <v>114.2280431234191</v>
      </c>
      <c r="O573" s="96">
        <f t="shared" si="1049"/>
        <v>-0.37137119566877236</v>
      </c>
      <c r="P573" s="96"/>
      <c r="Q573" s="159">
        <f>IFERROR(INDEX('Non-Labor Expenditures'!$F$7:$AB$91,MATCH($C573,'Non-Labor Expenditures'!$D$7:$D$91,0),MATCH($G573,'Non-Labor Expenditures'!$F$5:$AB$5,0)),"NA")</f>
        <v>41015.336680100598</v>
      </c>
      <c r="R573" s="159">
        <f t="shared" si="1039"/>
        <v>371.77840031997783</v>
      </c>
      <c r="S573" s="165">
        <f t="shared" si="1050"/>
        <v>8.4211712770034017E-2</v>
      </c>
      <c r="T573" s="165">
        <f t="shared" si="1051"/>
        <v>5.944047175900555E-4</v>
      </c>
      <c r="U573" s="165"/>
      <c r="V573" s="165"/>
      <c r="W573" s="159">
        <f t="shared" si="1020"/>
        <v>21509.139135855879</v>
      </c>
      <c r="X573" s="163"/>
      <c r="Y573" s="167">
        <v>1136.8594001145098</v>
      </c>
      <c r="Z573" s="168">
        <v>6.5853684990793984E-2</v>
      </c>
      <c r="AA573" s="76">
        <f t="shared" si="1040"/>
        <v>4.6482537573023125E-4</v>
      </c>
      <c r="AB573" s="168"/>
      <c r="AC573" s="168"/>
      <c r="AD573" s="163">
        <f t="shared" si="1056"/>
        <v>90846.331401003903</v>
      </c>
      <c r="AE573" s="168">
        <f t="shared" si="1052"/>
        <v>9.9228489660357869E-2</v>
      </c>
      <c r="AF573" s="163"/>
      <c r="AG573" s="163"/>
      <c r="AH573" s="163"/>
      <c r="AI573" s="163"/>
      <c r="AJ573" s="116">
        <f t="shared" si="1053"/>
        <v>419.93552285356856</v>
      </c>
      <c r="AK573" s="114">
        <f>+AV573/$AX$23</f>
        <v>5.7913437221688421E-3</v>
      </c>
      <c r="AL573" s="115">
        <f t="shared" si="1041"/>
        <v>0.31175563336765028</v>
      </c>
      <c r="AM573" s="115">
        <f t="shared" si="1042"/>
        <v>0.45148038503674082</v>
      </c>
      <c r="AN573" s="115">
        <f t="shared" si="1043"/>
        <v>0.23676398159560894</v>
      </c>
      <c r="AO573" s="115">
        <f t="shared" si="1045"/>
        <v>7.8408063740151135E-2</v>
      </c>
      <c r="AP573" s="166">
        <f t="shared" si="1057"/>
        <v>118.59907650698111</v>
      </c>
      <c r="AQ573" s="168">
        <f t="shared" si="1058"/>
        <v>7.8408063740151163E-2</v>
      </c>
      <c r="AR573" s="69">
        <f>+AD573/$AF$23</f>
        <v>7.0584565737697369E-3</v>
      </c>
      <c r="AS573" s="169">
        <f t="shared" si="1055"/>
        <v>5.5343991294322652E-4</v>
      </c>
      <c r="AT573" s="115"/>
      <c r="AU573" s="115"/>
      <c r="AV573" s="113">
        <f>IFERROR(INDEX('Total Customers'!$F$7:$AB$91,MATCH($C573,'Total Customers'!$D$7:$D$91,0),MATCH($G573,'Total Customers'!$F$5:$AB$5,0)),"NA")</f>
        <v>216334</v>
      </c>
      <c r="AW573" s="68">
        <f t="shared" si="972"/>
        <v>-1.219591218587966E-3</v>
      </c>
      <c r="AX573" s="114"/>
      <c r="AY573" s="114"/>
      <c r="AZ573" s="116"/>
      <c r="BA573" s="116"/>
      <c r="BB573" s="166"/>
      <c r="BC573" s="166"/>
      <c r="BD573" s="166"/>
      <c r="BE573" s="166"/>
      <c r="BF573" s="166"/>
      <c r="BG573" s="166"/>
      <c r="BH573" s="166"/>
      <c r="BI573" s="113"/>
      <c r="BJ573" s="113"/>
      <c r="BK573" s="113">
        <f>INDEX('Dist. Plant Gas Additions'!$F$7:$AE$91,MATCH($C573,'Dist. Plant Gas Additions'!$D$7:$D$91,0),MATCH(Calculation!$G573,'Dist. Plant Gas Additions'!$F$5:$AE$5,0))</f>
        <v>59885</v>
      </c>
      <c r="BL573" s="113">
        <f>INDEX('Gen. Plant Additions'!$F$7:$AE$91,MATCH($C573,'Gen. Plant Additions'!$D$7:$D$91,0),MATCH(Calculation!$G573,'Gen. Plant Additions'!$F$5:$AE$5,0))</f>
        <v>2276</v>
      </c>
      <c r="BM573" s="231">
        <f t="shared" si="1021"/>
        <v>0.9402706413967078</v>
      </c>
      <c r="BN573" s="61">
        <f t="shared" si="1059"/>
        <v>2140.055979818907</v>
      </c>
      <c r="BO573" s="113">
        <f>INDEX('Dist Plant Depreciation'!$E$7:$AD$94,MATCH($C573,'Dist Plant Depreciation'!$D$7:$D$94,0),MATCH(Calculation!$G573,'Dist Plant Depreciation'!$E$5:$AD$5,0))</f>
        <v>274798</v>
      </c>
      <c r="BP573" s="113">
        <f>INDEX('Gen. Plant Depreciation'!$E$7:$AD$94,MATCH($C573,'Gen. Plant Depreciation'!$D$7:$D$94,0),MATCH(Calculation!$G573,'Gen. Plant Depreciation'!$E$5:$AD$5,0))</f>
        <v>15621</v>
      </c>
      <c r="BQ573" s="113"/>
      <c r="BR573" s="113"/>
      <c r="BS573" s="113"/>
      <c r="BT573" s="113"/>
      <c r="BU573" s="113"/>
      <c r="BV573" s="113"/>
      <c r="BW573" s="113">
        <f>INDEX('Gross Dx Plant'!$E$7:$AD$91,MATCH($C573,'Gross Dx Plant'!$D$7:$D$91,0),MATCH(Calculation!$G573,'Gross Dx Plant'!$E$5:$AD$5,0))</f>
        <v>546427</v>
      </c>
      <c r="BX573" s="113">
        <f>INDEX('Gross Gen Plant'!$E$7:$AD$91,MATCH($C573,'Gross Gen Plant'!$D$7:$D$91,0),MATCH(Calculation!$G573,'Gross Gen Plant'!$E$5:$AD$5,0))</f>
        <v>34711</v>
      </c>
      <c r="BY573" s="113">
        <f t="shared" si="959"/>
        <v>290719</v>
      </c>
      <c r="BZ573" s="113"/>
      <c r="CA573" s="116">
        <v>2018</v>
      </c>
      <c r="CB573" s="113"/>
      <c r="CC573" s="113"/>
      <c r="CD573" s="113"/>
      <c r="CE573" s="175"/>
      <c r="CF573" s="113">
        <f t="shared" si="1022"/>
        <v>62161</v>
      </c>
      <c r="CG573" s="113">
        <f t="shared" si="1023"/>
        <v>82.317544385569505</v>
      </c>
      <c r="CH573" s="178">
        <v>0.86111111111111116</v>
      </c>
      <c r="CI573" s="61">
        <f>+CI553*CH573++CG554*CH572+CG555*CH571+CG556*CH570+CG557*CH569+CG558*CH568+CG559*CH567+CG560*CH566+CG561*CH565+CG562*CH564+CG563*CH563+CG564*CH562+CG565*CH561+CG566*CH560+CG567*CH559+CG568*CH558+CG569*CH557+CG570*CH556+CG571*CH555+CG572*CH554+CG573</f>
        <v>1136.8594001145098</v>
      </c>
      <c r="CJ573" s="114">
        <f t="shared" si="1024"/>
        <v>6.5853684990793984E-2</v>
      </c>
      <c r="CK573" s="114"/>
      <c r="CL573" s="169">
        <f t="shared" si="1025"/>
        <v>9.2662520623011252E-3</v>
      </c>
      <c r="CM573" s="169">
        <f t="shared" si="1033"/>
        <v>8.9821900461602797E-3</v>
      </c>
      <c r="CN573" s="114">
        <f>VLOOKUP($H573,RoR!$E:$F,2,FALSE)</f>
        <v>3.9299999999999995E-2</v>
      </c>
      <c r="CO573" s="169">
        <v>2.386056741932796E-2</v>
      </c>
      <c r="CP573" s="169">
        <f t="shared" si="1031"/>
        <v>1.5439432580672034E-2</v>
      </c>
      <c r="CQ573" s="169">
        <f t="shared" si="1034"/>
        <v>2.1919751562373344E-2</v>
      </c>
      <c r="CR573" s="169">
        <f t="shared" si="1035"/>
        <v>3.8270792163076606E-2</v>
      </c>
      <c r="CS573" s="179">
        <f t="shared" si="1026"/>
        <v>0.90305999999999997</v>
      </c>
      <c r="CT573" s="180">
        <f t="shared" si="1027"/>
        <v>1.3048868010700074</v>
      </c>
      <c r="CU573" s="180">
        <f t="shared" si="1028"/>
        <v>0.33886768447837151</v>
      </c>
      <c r="CV573" s="180">
        <f t="shared" si="1029"/>
        <v>0.78602506232557801</v>
      </c>
      <c r="CW573" s="180">
        <f t="shared" si="1030"/>
        <v>0.34756768162358759</v>
      </c>
      <c r="CX573" s="181">
        <f>INDEX('State Tax Lookup'!$D$7:$Z$91,MATCH(Calculation!$C573,'State Tax Lookup'!$B$7:$B$91,0),MATCH($H573,'State Tax Lookup'!$D$6:$Z$6,0))</f>
        <v>0.26200000000000001</v>
      </c>
      <c r="CY573" s="72">
        <v>0.37</v>
      </c>
      <c r="CZ573" s="70">
        <f t="shared" si="1032"/>
        <v>20.20766640528436</v>
      </c>
      <c r="DA573" s="70">
        <v>19.050901628905343</v>
      </c>
      <c r="DB573" s="69">
        <f t="shared" si="1036"/>
        <v>4.4003126471756859E-2</v>
      </c>
      <c r="DC573" s="111">
        <f>VLOOKUP($H573,RoR!$E:$F,2,FALSE)</f>
        <v>3.9299999999999995E-2</v>
      </c>
      <c r="DD573" s="216">
        <f>HLOOKUP($H573,'GDP-PI'!$D$8:$CQ$11,3,FALSE)</f>
        <v>2.386056741932796E-2</v>
      </c>
      <c r="DE573" s="111">
        <f>VLOOKUP(H573,'HW Dx Data'!$E:$F,2,FALSE)</f>
        <v>755.13671434174842</v>
      </c>
      <c r="DF573" s="72">
        <f t="shared" si="1046"/>
        <v>144.44999999999999</v>
      </c>
      <c r="DG573" s="69">
        <f t="shared" si="1047"/>
        <v>2.80818733619915E-2</v>
      </c>
      <c r="DH573" s="66">
        <f>HLOOKUP(H573,'GDP-PI'!$8:$9,2,FALSE)</f>
        <v>110.322</v>
      </c>
      <c r="DI573" s="69">
        <f t="shared" si="1037"/>
        <v>2.3580352716508712E-2</v>
      </c>
      <c r="EB573"/>
    </row>
    <row r="574" spans="1:132" s="160" customFormat="1" ht="21">
      <c r="A574" s="160" t="s">
        <v>193</v>
      </c>
      <c r="B574" s="161" t="s">
        <v>193</v>
      </c>
      <c r="C574" s="161">
        <v>4061634</v>
      </c>
      <c r="D574" s="161" t="s">
        <v>168</v>
      </c>
      <c r="E574" s="161"/>
      <c r="F574" s="161"/>
      <c r="G574" s="161" t="s">
        <v>140</v>
      </c>
      <c r="H574" s="162">
        <v>2019</v>
      </c>
      <c r="I574" s="163"/>
      <c r="J574" s="159">
        <f>IFERROR(INDEX('Labor Expenditures'!$F$7:$X$91,MATCH($C574,'Labor Expenditures'!$D$7:$D$91,0),MATCH($G574,'Labor Expenditures'!$F$5:$X$5,0)),"NA")</f>
        <v>28404.912946926677</v>
      </c>
      <c r="K574" s="159">
        <f t="shared" si="1038"/>
        <v>189.77727039870837</v>
      </c>
      <c r="L574" s="165">
        <f t="shared" si="1044"/>
        <v>-3.260451735420257E-2</v>
      </c>
      <c r="M574" s="76">
        <f t="shared" si="1048"/>
        <v>-2.2805227289841897E-4</v>
      </c>
      <c r="N574" s="62">
        <f t="shared" si="1054"/>
        <v>115.46968472531204</v>
      </c>
      <c r="O574" s="96">
        <f t="shared" si="1049"/>
        <v>1.0811197022212378E-2</v>
      </c>
      <c r="P574" s="96"/>
      <c r="Q574" s="159">
        <f>IFERROR(INDEX('Non-Labor Expenditures'!$F$7:$AB$91,MATCH($C574,'Non-Labor Expenditures'!$D$7:$D$91,0),MATCH($G574,'Non-Labor Expenditures'!$F$5:$AB$5,0)),"NA")</f>
        <v>41135.619253077093</v>
      </c>
      <c r="R574" s="159">
        <f t="shared" si="1039"/>
        <v>366.24244780958611</v>
      </c>
      <c r="S574" s="165">
        <f t="shared" si="1050"/>
        <v>-1.5002438906432755E-2</v>
      </c>
      <c r="T574" s="165">
        <f t="shared" si="1051"/>
        <v>-1.049345480095158E-4</v>
      </c>
      <c r="U574" s="165"/>
      <c r="V574" s="165"/>
      <c r="W574" s="159">
        <f t="shared" si="1020"/>
        <v>23271.879443737336</v>
      </c>
      <c r="X574" s="163"/>
      <c r="Y574" s="167">
        <v>1197.2995610667167</v>
      </c>
      <c r="Z574" s="168">
        <v>5.1799106666351256E-2</v>
      </c>
      <c r="AA574" s="76">
        <f t="shared" si="1040"/>
        <v>3.6230881386889848E-4</v>
      </c>
      <c r="AB574" s="168"/>
      <c r="AC574" s="168"/>
      <c r="AD574" s="163">
        <f t="shared" si="1056"/>
        <v>92812.411643741099</v>
      </c>
      <c r="AE574" s="168">
        <f t="shared" si="1052"/>
        <v>2.1410963819586241E-2</v>
      </c>
      <c r="AF574" s="163"/>
      <c r="AG574" s="163"/>
      <c r="AH574" s="163"/>
      <c r="AI574" s="163"/>
      <c r="AJ574" s="116">
        <f t="shared" si="1053"/>
        <v>430.64407778276308</v>
      </c>
      <c r="AK574" s="114">
        <f>+AV574/$AX$24</f>
        <v>5.7219700791833897E-3</v>
      </c>
      <c r="AL574" s="115">
        <f t="shared" si="1041"/>
        <v>0.30604649145373425</v>
      </c>
      <c r="AM574" s="115">
        <f t="shared" si="1042"/>
        <v>0.44321248122476858</v>
      </c>
      <c r="AN574" s="115">
        <f t="shared" si="1043"/>
        <v>0.25074102732149722</v>
      </c>
      <c r="AO574" s="115">
        <f t="shared" si="1045"/>
        <v>-4.1566956045169315E-3</v>
      </c>
      <c r="AP574" s="166">
        <f t="shared" si="1057"/>
        <v>118.1071194132502</v>
      </c>
      <c r="AQ574" s="168">
        <f t="shared" si="1058"/>
        <v>-4.1566956045169384E-3</v>
      </c>
      <c r="AR574" s="69">
        <f>+AD574/$AF$24</f>
        <v>6.9944992720164922E-3</v>
      </c>
      <c r="AS574" s="169">
        <f t="shared" si="1055"/>
        <v>-2.907400437978788E-5</v>
      </c>
      <c r="AT574" s="115"/>
      <c r="AU574" s="115"/>
      <c r="AV574" s="113">
        <f>IFERROR(INDEX('Total Customers'!$F$7:$AB$91,MATCH($C574,'Total Customers'!$D$7:$D$91,0),MATCH($G574,'Total Customers'!$F$5:$AB$5,0)),"NA")</f>
        <v>215520</v>
      </c>
      <c r="AW574" s="68">
        <f t="shared" si="972"/>
        <v>-3.7697970332767725E-3</v>
      </c>
      <c r="AX574" s="114"/>
      <c r="AY574" s="114"/>
      <c r="AZ574" s="116"/>
      <c r="BA574" s="116"/>
      <c r="BB574" s="166"/>
      <c r="BC574" s="166"/>
      <c r="BD574" s="166"/>
      <c r="BE574" s="166"/>
      <c r="BF574" s="166"/>
      <c r="BG574" s="166"/>
      <c r="BH574" s="166"/>
      <c r="BI574" s="113"/>
      <c r="BJ574" s="113"/>
      <c r="BK574" s="113">
        <f>INDEX('Dist. Plant Gas Additions'!$F$7:$AE$91,MATCH($C574,'Dist. Plant Gas Additions'!$D$7:$D$91,0),MATCH(Calculation!$G574,'Dist. Plant Gas Additions'!$F$5:$AE$5,0))</f>
        <v>53712</v>
      </c>
      <c r="BL574" s="113">
        <f>INDEX('Gen. Plant Additions'!$F$7:$AE$91,MATCH($C574,'Gen. Plant Additions'!$D$7:$D$91,0),MATCH(Calculation!$G574,'Gen. Plant Additions'!$F$5:$AE$5,0))</f>
        <v>1294</v>
      </c>
      <c r="BM574" s="231">
        <f t="shared" si="1021"/>
        <v>0.94504640294248687</v>
      </c>
      <c r="BN574" s="61">
        <f t="shared" si="1059"/>
        <v>1222.8900454075781</v>
      </c>
      <c r="BO574" s="113">
        <f>INDEX('Dist Plant Depreciation'!$E$7:$AD$94,MATCH($C574,'Dist Plant Depreciation'!$D$7:$D$94,0),MATCH(Calculation!$G574,'Dist Plant Depreciation'!$E$5:$AD$5,0))</f>
        <v>285654</v>
      </c>
      <c r="BP574" s="113">
        <f>INDEX('Gen. Plant Depreciation'!$E$7:$AD$94,MATCH($C574,'Gen. Plant Depreciation'!$D$7:$D$94,0),MATCH(Calculation!$G574,'Gen. Plant Depreciation'!$E$5:$AD$5,0))</f>
        <v>16057</v>
      </c>
      <c r="BQ574" s="113"/>
      <c r="BR574" s="113"/>
      <c r="BS574" s="113"/>
      <c r="BT574" s="113"/>
      <c r="BU574" s="113"/>
      <c r="BV574" s="113"/>
      <c r="BW574" s="113">
        <f>INDEX('Gross Dx Plant'!$E$7:$AD$91,MATCH($C574,'Gross Dx Plant'!$D$7:$D$91,0),MATCH(Calculation!$G574,'Gross Dx Plant'!$E$5:$AD$5,0))</f>
        <v>598152</v>
      </c>
      <c r="BX574" s="113">
        <f>INDEX('Gross Gen Plant'!$E$7:$AD$91,MATCH($C574,'Gross Gen Plant'!$D$7:$D$91,0),MATCH(Calculation!$G574,'Gross Gen Plant'!$E$5:$AD$5,0))</f>
        <v>34782</v>
      </c>
      <c r="BY574" s="113">
        <f t="shared" si="959"/>
        <v>331223</v>
      </c>
      <c r="BZ574" s="113"/>
      <c r="CA574" s="116">
        <v>2019</v>
      </c>
      <c r="CB574" s="113"/>
      <c r="CC574" s="113"/>
      <c r="CD574" s="113"/>
      <c r="CE574" s="175"/>
      <c r="CF574" s="113">
        <f t="shared" si="1022"/>
        <v>55006</v>
      </c>
      <c r="CG574" s="113">
        <f t="shared" si="1023"/>
        <v>71.109509428324017</v>
      </c>
      <c r="CH574" s="178">
        <v>0.85106382978723405</v>
      </c>
      <c r="CI574" s="61">
        <f>CI553*CH574+CG554*CH573+CG555*CH572+CG556*CH571+CG557*CH570+CG558*CH569+CG559*CH568+CG560*CH567+CG561*CH566+CG562*CH565+CG563*CH564+CG564*CH563+CG565*CH562+CG566*CH561+CG567*CH560+CG568*CH559+CG569*CH558+CG570*CH557+CG571*CH556+CG572*CH555+CG573*CH554+CG574</f>
        <v>1197.2995610667167</v>
      </c>
      <c r="CJ574" s="114">
        <f t="shared" si="1024"/>
        <v>5.1799106666351256E-2</v>
      </c>
      <c r="CK574" s="114"/>
      <c r="CL574" s="169">
        <f t="shared" si="1025"/>
        <v>9.3849322748638924E-3</v>
      </c>
      <c r="CM574" s="169">
        <f t="shared" si="1033"/>
        <v>9.2130204083527081E-3</v>
      </c>
      <c r="CN574" s="114">
        <f>VLOOKUP($H574,RoR!$E:$F,2,FALSE)</f>
        <v>3.3875000000000009E-2</v>
      </c>
      <c r="CO574" s="169">
        <v>1.8092492884465461E-2</v>
      </c>
      <c r="CP574" s="169">
        <f t="shared" si="1031"/>
        <v>1.5782507115534548E-2</v>
      </c>
      <c r="CQ574" s="169">
        <f t="shared" si="1034"/>
        <v>2.1688921200180917E-2</v>
      </c>
      <c r="CR574" s="169">
        <f t="shared" si="1035"/>
        <v>4.8445665544254078E-2</v>
      </c>
      <c r="CS574" s="179">
        <f t="shared" si="1026"/>
        <v>0.90305999999999997</v>
      </c>
      <c r="CT574" s="180">
        <f t="shared" si="1027"/>
        <v>1.513861292459078</v>
      </c>
      <c r="CU574" s="180">
        <f t="shared" si="1028"/>
        <v>0.23699261992619944</v>
      </c>
      <c r="CV574" s="180">
        <f t="shared" si="1029"/>
        <v>0.73619765810468829</v>
      </c>
      <c r="CW574" s="180">
        <f t="shared" si="1030"/>
        <v>0.26412854465362851</v>
      </c>
      <c r="CX574" s="181">
        <f>INDEX('State Tax Lookup'!$D$7:$Z$91,MATCH(Calculation!$C574,'State Tax Lookup'!$B$7:$B$91,0),MATCH($H574,'State Tax Lookup'!$D$6:$Z$6,0))</f>
        <v>0.26200000000000001</v>
      </c>
      <c r="CY574" s="72">
        <v>0.37</v>
      </c>
      <c r="CZ574" s="70">
        <f t="shared" si="1032"/>
        <v>20.470323279548275</v>
      </c>
      <c r="DA574" s="70">
        <v>19.236104090735289</v>
      </c>
      <c r="DB574" s="69">
        <f t="shared" si="1036"/>
        <v>1.2914134974200801E-2</v>
      </c>
      <c r="DC574" s="111">
        <f>VLOOKUP($H574,RoR!$E:$F,2,FALSE)</f>
        <v>3.3875000000000009E-2</v>
      </c>
      <c r="DD574" s="216">
        <f>HLOOKUP($H574,'GDP-PI'!$D$8:$CQ$11,3,FALSE)</f>
        <v>1.8092492884465461E-2</v>
      </c>
      <c r="DE574" s="111">
        <f>VLOOKUP(H574,'HW Dx Data'!$E:$F,2,FALSE)</f>
        <v>773.53929793938721</v>
      </c>
      <c r="DF574" s="72">
        <f t="shared" si="1046"/>
        <v>149.67500000000001</v>
      </c>
      <c r="DG574" s="69">
        <f t="shared" si="1047"/>
        <v>3.5532849899171604E-2</v>
      </c>
      <c r="DH574" s="66">
        <f>HLOOKUP(H574,'GDP-PI'!$8:$9,2,FALSE)</f>
        <v>112.318</v>
      </c>
      <c r="DI574" s="69">
        <f t="shared" si="1037"/>
        <v>1.7930771451401852E-2</v>
      </c>
      <c r="EB574"/>
    </row>
    <row r="575" spans="1:132" s="160" customFormat="1" ht="21">
      <c r="A575" s="160" t="s">
        <v>193</v>
      </c>
      <c r="B575" s="160" t="s">
        <v>193</v>
      </c>
      <c r="C575" s="160">
        <v>4061634</v>
      </c>
      <c r="D575" s="160" t="s">
        <v>168</v>
      </c>
      <c r="G575" s="161" t="s">
        <v>141</v>
      </c>
      <c r="H575" s="162">
        <v>2020</v>
      </c>
      <c r="I575" s="163"/>
      <c r="J575" s="159">
        <f>IFERROR(INDEX('Labor Expenditures'!$F$7:$X$91,MATCH($C575,'Labor Expenditures'!$D$7:$D$91,0),MATCH($G575,'Labor Expenditures'!$F$5:$X$5,0)),"NA")</f>
        <v>28622.795985642188</v>
      </c>
      <c r="K575" s="159">
        <f t="shared" si="1038"/>
        <v>186.89386866237143</v>
      </c>
      <c r="L575" s="165">
        <f t="shared" si="1044"/>
        <v>-1.5310214986984984E-2</v>
      </c>
      <c r="M575" s="76">
        <f t="shared" si="1048"/>
        <v>-1.0703200985014597E-4</v>
      </c>
      <c r="N575" s="62">
        <f t="shared" si="1054"/>
        <v>115.54730466855005</v>
      </c>
      <c r="O575" s="96">
        <f t="shared" si="1049"/>
        <v>6.7198474330861793E-4</v>
      </c>
      <c r="P575" s="96"/>
      <c r="Q575" s="159">
        <f>IFERROR(INDEX('Non-Labor Expenditures'!$F$7:$AB$91,MATCH($C575,'Non-Labor Expenditures'!$D$7:$D$91,0),MATCH($G575,'Non-Labor Expenditures'!$F$5:$AB$5,0)),"NA")</f>
        <v>41451.154588075347</v>
      </c>
      <c r="R575" s="159">
        <f t="shared" si="1039"/>
        <v>364.81306239120022</v>
      </c>
      <c r="S575" s="165">
        <f t="shared" si="1050"/>
        <v>-3.9104752510093124E-3</v>
      </c>
      <c r="T575" s="165">
        <f t="shared" si="1051"/>
        <v>-2.7337697474567227E-5</v>
      </c>
      <c r="U575" s="165"/>
      <c r="V575" s="165"/>
      <c r="W575" s="159">
        <f t="shared" si="1020"/>
        <v>25539.651258536862</v>
      </c>
      <c r="X575" s="163"/>
      <c r="Y575" s="167">
        <v>1246.9399015660283</v>
      </c>
      <c r="Z575" s="168">
        <v>4.0623815984739235E-2</v>
      </c>
      <c r="AA575" s="76">
        <f t="shared" si="1040"/>
        <v>2.8399657851475938E-4</v>
      </c>
      <c r="AB575" s="168"/>
      <c r="AC575" s="168"/>
      <c r="AD575" s="163">
        <f t="shared" si="1056"/>
        <v>95613.601832254397</v>
      </c>
      <c r="AE575" s="168">
        <f t="shared" si="1052"/>
        <v>2.9734711506847658E-2</v>
      </c>
      <c r="AF575" s="163"/>
      <c r="AG575" s="163"/>
      <c r="AH575" s="163"/>
      <c r="AI575" s="163"/>
      <c r="AJ575" s="116">
        <f t="shared" si="1053"/>
        <v>443.64143389130658</v>
      </c>
      <c r="AK575" s="114">
        <f>+AV575/$AX$25</f>
        <v>5.6815639970635764E-3</v>
      </c>
      <c r="AL575" s="115">
        <f t="shared" si="1041"/>
        <v>0.29935903926993934</v>
      </c>
      <c r="AM575" s="115">
        <f t="shared" si="1042"/>
        <v>0.43352780141885805</v>
      </c>
      <c r="AN575" s="115">
        <f t="shared" si="1043"/>
        <v>0.26711315931120261</v>
      </c>
      <c r="AO575" s="115">
        <f t="shared" si="1045"/>
        <v>4.1699265890818024E-3</v>
      </c>
      <c r="AP575" s="166">
        <f t="shared" si="1057"/>
        <v>118.60064569991273</v>
      </c>
      <c r="AQ575" s="168">
        <f t="shared" si="1058"/>
        <v>4.1699265890817426E-3</v>
      </c>
      <c r="AR575" s="69">
        <f>+AD575/$AF$25</f>
        <v>6.9908887589842789E-3</v>
      </c>
      <c r="AS575" s="169">
        <f t="shared" si="1055"/>
        <v>2.9151492917401211E-5</v>
      </c>
      <c r="AT575" s="115"/>
      <c r="AU575" s="115"/>
      <c r="AV575" s="113">
        <v>215520</v>
      </c>
      <c r="AW575" s="68">
        <f t="shared" si="972"/>
        <v>0</v>
      </c>
      <c r="AX575" s="114"/>
      <c r="AY575" s="114"/>
      <c r="AZ575" s="116"/>
      <c r="BA575" s="116"/>
      <c r="BB575" s="166"/>
      <c r="BC575" s="166"/>
      <c r="BD575" s="166"/>
      <c r="BE575" s="166"/>
      <c r="BF575" s="166"/>
      <c r="BG575" s="166"/>
      <c r="BH575" s="166"/>
      <c r="BI575" s="113"/>
      <c r="BJ575" s="113"/>
      <c r="BK575" s="113">
        <f>INDEX('Dist. Plant Gas Additions'!$F$7:$AE$91,MATCH($C575,'Dist. Plant Gas Additions'!$D$7:$D$91,0),MATCH(Calculation!$G575,'Dist. Plant Gas Additions'!$F$5:$AE$5,0))</f>
        <v>47499</v>
      </c>
      <c r="BL575" s="113">
        <f>INDEX('Gen. Plant Additions'!$F$7:$AE$91,MATCH($C575,'Gen. Plant Additions'!$D$7:$D$91,0),MATCH(Calculation!$G575,'Gen. Plant Additions'!$F$5:$AE$5,0))</f>
        <v>2178</v>
      </c>
      <c r="BM575" s="231">
        <f t="shared" si="1021"/>
        <v>0.9464394301910406</v>
      </c>
      <c r="BN575" s="61">
        <f t="shared" si="1059"/>
        <v>2061.3450789560866</v>
      </c>
      <c r="BO575" s="113">
        <f>INDEX('Dist Plant Depreciation'!$E$7:$AD$94,MATCH($C575,'Dist Plant Depreciation'!$D$7:$D$94,0),MATCH(Calculation!$G575,'Dist Plant Depreciation'!$E$5:$AD$5,0))</f>
        <v>296436</v>
      </c>
      <c r="BP575" s="113">
        <f>INDEX('Gen. Plant Depreciation'!$E$7:$AD$94,MATCH($C575,'Gen. Plant Depreciation'!$D$7:$D$94,0),MATCH(Calculation!$G575,'Gen. Plant Depreciation'!$E$5:$AD$5,0))</f>
        <v>16969</v>
      </c>
      <c r="BQ575" s="113"/>
      <c r="BR575" s="113"/>
      <c r="BS575" s="113"/>
      <c r="BT575" s="113"/>
      <c r="BU575" s="113"/>
      <c r="BV575" s="113"/>
      <c r="BW575" s="113">
        <f>INDEX('Gross Dx Plant'!$E$7:$AD$91,MATCH($C575,'Gross Dx Plant'!$D$7:$D$91,0),MATCH(Calculation!$G575,'Gross Dx Plant'!$E$5:$AD$5,0))</f>
        <v>642798</v>
      </c>
      <c r="BX575" s="113">
        <f>INDEX('Gross Gen Plant'!$E$7:$AD$91,MATCH($C575,'Gross Gen Plant'!$D$7:$D$91,0),MATCH(Calculation!$G575,'Gross Gen Plant'!$E$5:$AD$5,0))</f>
        <v>36377</v>
      </c>
      <c r="BY575" s="113">
        <f t="shared" si="959"/>
        <v>365770</v>
      </c>
      <c r="BZ575" s="113"/>
      <c r="CA575" s="116">
        <v>2020</v>
      </c>
      <c r="CB575" s="113"/>
      <c r="CC575" s="113"/>
      <c r="CD575" s="113"/>
      <c r="CE575" s="175"/>
      <c r="CF575" s="113">
        <f t="shared" si="1022"/>
        <v>49677</v>
      </c>
      <c r="CG575" s="113">
        <f t="shared" si="1023"/>
        <v>61.097296790235234</v>
      </c>
      <c r="CH575" s="178">
        <v>0.84057971014492749</v>
      </c>
      <c r="CI575" s="61">
        <f>CI553*CH575+CG554*CH574+CG555*CH573+CG556*CH572+CG557*CH571+CG558*CH570+CG559*CH569+CG560*CH568+CG561*CH567+CG562*CH566+CG563*CH565+CG564*CH564+CG565*CH563+CG566*CH562+CG567*CH561+CG568*CH560+CG569*CH559+CG570*CH558+CG571*CH557+CG572*CH556+CG573*CH555+CG574*CH554+CG575</f>
        <v>1246.9399015660283</v>
      </c>
      <c r="CJ575" s="114">
        <f t="shared" si="1024"/>
        <v>4.0623815984739235E-2</v>
      </c>
      <c r="CK575" s="114"/>
      <c r="CL575" s="169">
        <f t="shared" si="1025"/>
        <v>9.5689973198655638E-3</v>
      </c>
      <c r="CM575" s="169">
        <f t="shared" si="1033"/>
        <v>9.4067272190101938E-3</v>
      </c>
      <c r="CN575" s="114">
        <f>VLOOKUP($H575,RoR!$E:$F,2,FALSE)</f>
        <v>2.4766666666666666E-2</v>
      </c>
      <c r="CO575" s="169">
        <v>1.1618796630994188E-2</v>
      </c>
      <c r="CP575" s="169">
        <f t="shared" si="1031"/>
        <v>1.3147870035672478E-2</v>
      </c>
      <c r="CQ575" s="169">
        <f t="shared" si="1034"/>
        <v>2.1495214389523433E-2</v>
      </c>
      <c r="CR575" s="169">
        <f t="shared" si="1035"/>
        <v>4.5144642961987357E-2</v>
      </c>
      <c r="CS575" s="179">
        <f t="shared" si="1026"/>
        <v>0.90305999999999997</v>
      </c>
      <c r="CT575" s="180">
        <f t="shared" si="1027"/>
        <v>2.0706077233668081</v>
      </c>
      <c r="CU575" s="180">
        <f t="shared" si="1028"/>
        <v>-3.4421265141318998E-2</v>
      </c>
      <c r="CV575" s="180">
        <f t="shared" si="1029"/>
        <v>0.62416226176410472</v>
      </c>
      <c r="CW575" s="180">
        <f t="shared" si="1030"/>
        <v>-4.4485877841158712E-2</v>
      </c>
      <c r="CX575" s="181">
        <f>INDEX('State Tax Lookup'!$D$7:$Z$91,MATCH(Calculation!$C575,'State Tax Lookup'!$B$7:$B$91,0),MATCH($H575,'State Tax Lookup'!$D$6:$Z$6,0))</f>
        <v>0.26200000000000001</v>
      </c>
      <c r="CY575" s="72">
        <v>0.37</v>
      </c>
      <c r="CZ575" s="70">
        <f t="shared" si="1032"/>
        <v>21.331045369951259</v>
      </c>
      <c r="DA575" s="70">
        <v>19.952659173050833</v>
      </c>
      <c r="DB575" s="69">
        <f t="shared" si="1036"/>
        <v>4.1187348262483055E-2</v>
      </c>
      <c r="DC575" s="111">
        <f>VLOOKUP($H575,RoR!$E:$F,2,FALSE)</f>
        <v>2.4766666666666666E-2</v>
      </c>
      <c r="DD575" s="216">
        <f>HLOOKUP($H575,'GDP-PI'!$D$8:$CQ$11,3,FALSE)</f>
        <v>1.1618796630994188E-2</v>
      </c>
      <c r="DE575" s="111">
        <f>VLOOKUP(H575,'HW Dx Data'!$E:$F,2,FALSE)</f>
        <v>813.080162458833</v>
      </c>
      <c r="DF575" s="72">
        <f t="shared" si="1046"/>
        <v>153.15</v>
      </c>
      <c r="DG575" s="69">
        <f t="shared" si="1047"/>
        <v>2.2951556467368479E-2</v>
      </c>
      <c r="DH575" s="66">
        <f>HLOOKUP(H575,'GDP-PI'!$8:$9,2,FALSE)</f>
        <v>113.623</v>
      </c>
      <c r="DI575" s="69">
        <f t="shared" si="1037"/>
        <v>1.1551816731392881E-2</v>
      </c>
      <c r="EB575"/>
    </row>
    <row r="576" spans="1:132" s="160" customFormat="1" ht="21">
      <c r="A576" s="160" t="s">
        <v>193</v>
      </c>
      <c r="B576" s="160" t="s">
        <v>193</v>
      </c>
      <c r="C576" s="160">
        <v>4061634</v>
      </c>
      <c r="D576" s="160" t="s">
        <v>168</v>
      </c>
      <c r="G576" s="161" t="s">
        <v>142</v>
      </c>
      <c r="H576" s="162">
        <v>2021</v>
      </c>
      <c r="I576" s="163"/>
      <c r="J576" s="159">
        <v>22612.428286168732</v>
      </c>
      <c r="K576" s="159">
        <f t="shared" si="1038"/>
        <v>143.79922598517476</v>
      </c>
      <c r="L576" s="164">
        <f t="shared" si="1044"/>
        <v>-0.26212284578492778</v>
      </c>
      <c r="M576" s="76">
        <f t="shared" si="1048"/>
        <v>-1.4558137596350578E-3</v>
      </c>
      <c r="N576" s="166">
        <f>+N575*EXP(O576)</f>
        <v>119.50949406053552</v>
      </c>
      <c r="O576" s="114">
        <f t="shared" si="1049"/>
        <v>3.3715806077858811E-2</v>
      </c>
      <c r="P576" s="114"/>
      <c r="Q576" s="159">
        <v>31875.350716647496</v>
      </c>
      <c r="R576" s="159">
        <f t="shared" si="1039"/>
        <v>269.0130029255422</v>
      </c>
      <c r="S576" s="165">
        <f t="shared" si="1050"/>
        <v>-0.30462534810577985</v>
      </c>
      <c r="T576" s="165">
        <f t="shared" si="1051"/>
        <v>-1.6918699779029859E-3</v>
      </c>
      <c r="U576" s="165"/>
      <c r="V576" s="165"/>
      <c r="W576" s="159">
        <f t="shared" si="1020"/>
        <v>30611.626498813788</v>
      </c>
      <c r="X576" s="163"/>
      <c r="Y576" s="167">
        <v>1277.1866042047593</v>
      </c>
      <c r="Z576" s="168"/>
      <c r="AA576" s="76">
        <f t="shared" si="1040"/>
        <v>0</v>
      </c>
      <c r="AB576" s="168"/>
      <c r="AC576" s="168"/>
      <c r="AD576" s="163">
        <f t="shared" si="1056"/>
        <v>85099.405501630012</v>
      </c>
      <c r="AE576" s="168">
        <f t="shared" si="1052"/>
        <v>-0.11649503884164661</v>
      </c>
      <c r="AF576" s="113"/>
      <c r="AG576" s="114"/>
      <c r="AH576" s="114"/>
      <c r="AI576" s="114"/>
      <c r="AJ576" s="116">
        <f t="shared" si="1053"/>
        <v>393.91672376399089</v>
      </c>
      <c r="AK576" s="114">
        <f>+AV576/$AX$26</f>
        <v>5.5958259815535993E-3</v>
      </c>
      <c r="AL576" s="115">
        <f t="shared" si="1041"/>
        <v>0.26571781733229155</v>
      </c>
      <c r="AM576" s="115">
        <f t="shared" si="1042"/>
        <v>0.37456607985395324</v>
      </c>
      <c r="AN576" s="115">
        <f t="shared" si="1043"/>
        <v>0.35971610281375521</v>
      </c>
      <c r="AO576" s="115">
        <f t="shared" si="1045"/>
        <v>-0.19714271681232959</v>
      </c>
      <c r="AP576" s="166">
        <f t="shared" si="1057"/>
        <v>97.379840621395061</v>
      </c>
      <c r="AQ576" s="168">
        <f t="shared" si="1058"/>
        <v>-0.19714271681232962</v>
      </c>
      <c r="AR576" s="69">
        <f>+AD576/$AF$26</f>
        <v>5.5539369537806532E-3</v>
      </c>
      <c r="AS576" s="169">
        <f t="shared" si="1055"/>
        <v>-1.0949182200727119E-3</v>
      </c>
      <c r="AT576" s="115"/>
      <c r="AU576" s="115"/>
      <c r="AV576" s="113">
        <f>INDEX('Total Customers'!$E$7:$E$91,MATCH(Calculation!$C576,'Total Customers'!$D$7:$D$91,0))</f>
        <v>216034</v>
      </c>
      <c r="AW576" s="68">
        <f t="shared" si="972"/>
        <v>2.3820900422725426E-3</v>
      </c>
      <c r="AX576" s="113"/>
      <c r="AY576" s="113"/>
      <c r="AZ576" s="116"/>
      <c r="BA576" s="116"/>
      <c r="BB576" s="166"/>
      <c r="BC576" s="166"/>
      <c r="BD576" s="166"/>
      <c r="BE576" s="166"/>
      <c r="BF576" s="166"/>
      <c r="BG576" s="166"/>
      <c r="BH576" s="166"/>
      <c r="BI576" s="113"/>
      <c r="BJ576" s="113"/>
      <c r="BK576" s="113">
        <f>INDEX('Dist. Plant Gas Additions'!$E$7:$AE$91,MATCH($C576,'Dist. Plant Gas Additions'!$D$7:$D$91,0),MATCH(Calculation!$G576,'Dist. Plant Gas Additions'!$E$5:$AE$5,0))</f>
        <v>34726</v>
      </c>
      <c r="BL576" s="113">
        <f>INDEX('Gen. Plant Additions'!$E$7:$AE$91,MATCH($C576,'Gen. Plant Additions'!$D$7:$D$91,0),MATCH(Calculation!$G576,'Gen. Plant Additions'!$E$5:$AE$5,0))</f>
        <v>3972</v>
      </c>
      <c r="BM576" s="232">
        <v>0.9464394301910406</v>
      </c>
      <c r="BN576" s="61">
        <f t="shared" si="1059"/>
        <v>3759.2574167188131</v>
      </c>
      <c r="BO576" s="113"/>
      <c r="BP576" s="113"/>
      <c r="BQ576" s="175"/>
      <c r="BR576" s="175"/>
      <c r="BS576" s="170"/>
      <c r="BT576" s="176"/>
      <c r="BU576" s="177"/>
      <c r="BV576" s="177"/>
      <c r="BW576" s="113"/>
      <c r="BX576" s="113"/>
      <c r="BY576" s="113"/>
      <c r="BZ576" s="113"/>
      <c r="CA576" s="116">
        <v>2021</v>
      </c>
      <c r="CB576" s="113"/>
      <c r="CC576" s="113"/>
      <c r="CD576" s="113"/>
      <c r="CE576" s="175"/>
      <c r="CF576" s="113">
        <f t="shared" si="1022"/>
        <v>38698</v>
      </c>
      <c r="CG576" s="113">
        <f t="shared" si="1023"/>
        <v>41.475955866542549</v>
      </c>
      <c r="CH576" s="178">
        <f>+(51-23)/(51-23*0.75)</f>
        <v>0.82962962962962961</v>
      </c>
      <c r="CI576" s="113">
        <f>CI553*CH576+CG554*CH575+CG555*CH574+CG556*CH573+CG557*CH572+CG558*CH571+CG559*CH570+CG560*CH569+CG561*CH568+CG562*CH567+CG563*CH566+CG564*CH565+CG565*CH564+CG566*CH563+CG567*CH562+CG558*CH561+CG569*CH560+CG570*CH559+CG571*CH558+CG572*CH557+CG573*CH556+CG574*CH555+CG576+CG575*CH554</f>
        <v>1277.1866042047593</v>
      </c>
      <c r="CJ576" s="114"/>
      <c r="CK576" s="113"/>
      <c r="CL576" s="169">
        <f t="shared" si="1025"/>
        <v>9.0054486296482824E-3</v>
      </c>
      <c r="CM576" s="169">
        <f t="shared" si="1033"/>
        <v>9.3197927414592468E-3</v>
      </c>
      <c r="CN576" s="114">
        <f>VLOOKUP($H576,RoR!$E:$F,2,FALSE)</f>
        <v>2.7033333333333336E-2</v>
      </c>
      <c r="CO576" s="169"/>
      <c r="CP576" s="169"/>
      <c r="CQ576" s="169">
        <f t="shared" si="1034"/>
        <v>2.158214886707438E-2</v>
      </c>
      <c r="CR576" s="169">
        <f t="shared" si="1035"/>
        <v>7.433422950153494E-2</v>
      </c>
      <c r="CS576" s="179">
        <f t="shared" si="1026"/>
        <v>0.90305999999999997</v>
      </c>
      <c r="CT576" s="180">
        <f t="shared" si="1027"/>
        <v>1.8969932656739068</v>
      </c>
      <c r="CU576" s="180">
        <f t="shared" si="1028"/>
        <v>5.0215782983970621E-2</v>
      </c>
      <c r="CV576" s="180">
        <f t="shared" si="1029"/>
        <v>0.655952481704143</v>
      </c>
      <c r="CW576" s="180">
        <f t="shared" si="1030"/>
        <v>6.2485378865697057E-2</v>
      </c>
      <c r="CX576" s="181">
        <f>CX575</f>
        <v>0.26200000000000001</v>
      </c>
      <c r="CY576" s="72">
        <v>0.37</v>
      </c>
      <c r="CZ576" s="182">
        <f t="shared" si="1032"/>
        <v>24.54940006360269</v>
      </c>
      <c r="DA576" s="182"/>
      <c r="DB576" s="169">
        <f t="shared" si="1036"/>
        <v>0.1405238759576215</v>
      </c>
      <c r="DC576" s="181">
        <f>VLOOKUP($H576,RoR!$E:$F,2,FALSE)</f>
        <v>2.7033333333333336E-2</v>
      </c>
      <c r="DD576" s="183">
        <f>HLOOKUP($H576,'GDP-PI'!$D$8:$CR$11,3,FALSE)</f>
        <v>4.2834637353352578E-2</v>
      </c>
      <c r="DE576" s="181">
        <f>VLOOKUP(H576,'HW Dx Data'!$E:$F,2,FALSE)</f>
        <v>933.02249921662576</v>
      </c>
      <c r="DF576" s="72">
        <f t="shared" si="1046"/>
        <v>157.25</v>
      </c>
      <c r="DG576" s="69">
        <f t="shared" si="1047"/>
        <v>2.6419062301765574E-2</v>
      </c>
      <c r="DH576" s="175">
        <f>HLOOKUP(H576,'GDP-PI'!$8:$9,2,FALSE)</f>
        <v>118.49</v>
      </c>
      <c r="DI576" s="169">
        <f t="shared" si="1037"/>
        <v>4.194261824609434E-2</v>
      </c>
      <c r="EB576"/>
    </row>
    <row r="577" spans="1:132" s="160" customFormat="1" ht="21">
      <c r="G577" s="161" t="s">
        <v>144</v>
      </c>
      <c r="H577" s="162"/>
      <c r="I577" s="163"/>
      <c r="J577" s="159">
        <v>29776.193274120276</v>
      </c>
      <c r="K577" s="159">
        <f t="shared" si="1038"/>
        <v>183.18174884109675</v>
      </c>
      <c r="L577" s="164">
        <f t="shared" ref="L577" si="1060">LN(K577/K576)</f>
        <v>0.24206076035368221</v>
      </c>
      <c r="M577" s="76">
        <f t="shared" si="1048"/>
        <v>1.6599123488721956E-3</v>
      </c>
      <c r="N577" s="166">
        <f>+N576*EXP(O577)</f>
        <v>118.76984237533311</v>
      </c>
      <c r="O577" s="114">
        <f t="shared" si="1049"/>
        <v>-6.2082937778709622E-3</v>
      </c>
      <c r="P577" s="114"/>
      <c r="Q577" s="163">
        <v>41973.670037012926</v>
      </c>
      <c r="R577" s="159">
        <f t="shared" si="1039"/>
        <v>329.85202386650627</v>
      </c>
      <c r="S577" s="165">
        <f t="shared" ref="S577" si="1061">LN(R577/R576)</f>
        <v>0.20388442492106301</v>
      </c>
      <c r="T577" s="165">
        <f t="shared" si="1051"/>
        <v>1.3981211749260307E-3</v>
      </c>
      <c r="U577" s="166"/>
      <c r="V577" s="114"/>
      <c r="W577" s="159">
        <f t="shared" si="1020"/>
        <v>39650.261847153357</v>
      </c>
      <c r="X577" s="168"/>
      <c r="Y577" s="167">
        <v>1300.7739718275184</v>
      </c>
      <c r="Z577" s="168">
        <v>1.8299756858469365E-2</v>
      </c>
      <c r="AA577" s="76">
        <f t="shared" si="1040"/>
        <v>1.2548912242673569E-4</v>
      </c>
      <c r="AB577" s="166"/>
      <c r="AC577" s="114"/>
      <c r="AD577" s="163">
        <f t="shared" si="1056"/>
        <v>111400.12515828657</v>
      </c>
      <c r="AE577" s="168">
        <f t="shared" si="1052"/>
        <v>0.26930840132088385</v>
      </c>
      <c r="AF577" s="113"/>
      <c r="AG577" s="114"/>
      <c r="AH577" s="114"/>
      <c r="AI577" s="114"/>
      <c r="AJ577" s="116">
        <f t="shared" si="1053"/>
        <v>515.76042241511982</v>
      </c>
      <c r="AK577" s="114"/>
      <c r="AL577" s="115">
        <f t="shared" si="1041"/>
        <v>0.26729048312837878</v>
      </c>
      <c r="AM577" s="115">
        <f t="shared" si="1042"/>
        <v>0.37678297019301588</v>
      </c>
      <c r="AN577" s="115">
        <f t="shared" si="1043"/>
        <v>0.35592654667860529</v>
      </c>
      <c r="AO577" s="115"/>
      <c r="AP577" s="166"/>
      <c r="AQ577" s="168"/>
      <c r="AR577" s="69">
        <f>+AD577/$AF$27</f>
        <v>6.8574202049388267E-3</v>
      </c>
      <c r="AS577" s="169"/>
      <c r="AT577" s="166"/>
      <c r="AU577" s="168"/>
      <c r="AV577" s="113">
        <v>215992</v>
      </c>
      <c r="AW577" s="68">
        <f t="shared" si="972"/>
        <v>-1.9443274308638772E-4</v>
      </c>
      <c r="AX577" s="113"/>
      <c r="AY577" s="113"/>
      <c r="AZ577" s="113"/>
      <c r="BA577" s="113"/>
      <c r="BB577" s="171"/>
      <c r="BC577" s="172"/>
      <c r="BD577" s="173"/>
      <c r="BE577" s="115"/>
      <c r="BF577" s="174"/>
      <c r="BG577" s="174"/>
      <c r="BH577" s="166"/>
      <c r="BI577" s="113"/>
      <c r="BJ577" s="113"/>
      <c r="BK577" s="113"/>
      <c r="BL577" s="113"/>
      <c r="BM577" s="232">
        <v>0.9464394301910406</v>
      </c>
      <c r="BN577" s="61">
        <f t="shared" si="1059"/>
        <v>0</v>
      </c>
      <c r="BO577" s="113"/>
      <c r="BP577" s="113"/>
      <c r="BQ577" s="175"/>
      <c r="BR577" s="175"/>
      <c r="BS577" s="170"/>
      <c r="BT577" s="176"/>
      <c r="BU577" s="177"/>
      <c r="BV577" s="177"/>
      <c r="BW577" s="113"/>
      <c r="BX577" s="113"/>
      <c r="BY577" s="113"/>
      <c r="BZ577" s="113"/>
      <c r="CA577" s="116">
        <v>2022</v>
      </c>
      <c r="CB577" s="113"/>
      <c r="CC577" s="113"/>
      <c r="CD577" s="113"/>
      <c r="CE577" s="175"/>
      <c r="CF577" s="238">
        <v>73915</v>
      </c>
      <c r="CG577" s="113">
        <f>+CF577/DE577</f>
        <v>71.705745966763999</v>
      </c>
      <c r="CH577" s="178">
        <f>+(51-24)/(51-24*0.75)</f>
        <v>0.81818181818181823</v>
      </c>
      <c r="CI577" s="113">
        <f>+CI553*CH577+CG554*CH576+CG555*CH575+CG556*CH574+CG557*CH573+CG558*CH572+CG559*CH571+CG560*CH570+CG561*CH569+CG562*CH568+CG563*CH567+CG564*CH566+CG565*CH565+CG566*CH564+CG567*CH563+CG568*CH562+CG569*CH561+CG570*CH560+CG571*CH559+CG572*CH558+CG573*CH557+CG574*CH556+CG575*CH555+CG576*CH554+CG577*CH553</f>
        <v>1334.9383668178657</v>
      </c>
      <c r="CJ577" s="114">
        <f t="shared" ref="CJ577" si="1062">LN(CI577/CI576)</f>
        <v>4.4225430213786346E-2</v>
      </c>
      <c r="CK577" s="113"/>
      <c r="CL577" s="169"/>
      <c r="CM577" s="169">
        <f t="shared" si="1033"/>
        <v>6.1914819831712818E-3</v>
      </c>
      <c r="CN577" s="114"/>
      <c r="CO577" s="169"/>
      <c r="CP577" s="169"/>
      <c r="CQ577" s="69">
        <f t="shared" si="1034"/>
        <v>2.4710459625362342E-2</v>
      </c>
      <c r="CR577" s="169">
        <f t="shared" si="1035"/>
        <v>0.10114668178709289</v>
      </c>
      <c r="CS577" s="179">
        <f t="shared" si="1026"/>
        <v>0.90305999999999997</v>
      </c>
      <c r="CT577" s="180"/>
      <c r="CU577" s="180"/>
      <c r="CV577" s="180"/>
      <c r="CW577" s="180"/>
      <c r="CX577" s="181">
        <f>CX576</f>
        <v>0.26200000000000001</v>
      </c>
      <c r="CY577" s="72">
        <v>0.37</v>
      </c>
      <c r="CZ577" s="182">
        <f t="shared" si="1032"/>
        <v>31.045002912351723</v>
      </c>
      <c r="DA577" s="182"/>
      <c r="DB577" s="169">
        <f t="shared" si="1036"/>
        <v>0.2347504420133642</v>
      </c>
      <c r="DC577" s="181">
        <v>0.04</v>
      </c>
      <c r="DD577" s="183">
        <v>7.0000000000000001E-3</v>
      </c>
      <c r="DE577" s="181">
        <v>1030.81</v>
      </c>
      <c r="DF577" s="72">
        <f t="shared" si="1046"/>
        <v>162.55000000000001</v>
      </c>
      <c r="DG577" s="169">
        <f t="shared" si="1047"/>
        <v>3.3148751169364422E-2</v>
      </c>
      <c r="DH577" s="175">
        <v>127.25</v>
      </c>
      <c r="DI577" s="169">
        <f t="shared" si="1037"/>
        <v>7.1325086601983473E-2</v>
      </c>
      <c r="EB577"/>
    </row>
    <row r="578" spans="1:132" s="160" customFormat="1" ht="21">
      <c r="A578" s="160" t="s">
        <v>194</v>
      </c>
      <c r="B578" s="161" t="s">
        <v>194</v>
      </c>
      <c r="C578" s="161">
        <v>4061687</v>
      </c>
      <c r="D578" s="161" t="s">
        <v>171</v>
      </c>
      <c r="E578" s="161" t="s">
        <v>3</v>
      </c>
      <c r="F578" s="161"/>
      <c r="G578" s="161" t="s">
        <v>100</v>
      </c>
      <c r="H578" s="162">
        <v>1998</v>
      </c>
      <c r="I578" s="163"/>
      <c r="J578" s="159"/>
      <c r="K578" s="159"/>
      <c r="L578" s="159"/>
      <c r="M578" s="60"/>
      <c r="N578" s="131"/>
      <c r="O578" s="76"/>
      <c r="P578" s="76"/>
      <c r="Q578" s="165"/>
      <c r="R578" s="165"/>
      <c r="S578" s="165"/>
      <c r="T578" s="159"/>
      <c r="U578" s="165"/>
      <c r="V578" s="165"/>
      <c r="W578" s="159"/>
      <c r="X578" s="163"/>
      <c r="Y578" s="167">
        <v>4286.1412148641784</v>
      </c>
      <c r="Z578" s="168"/>
      <c r="AA578" s="78"/>
      <c r="AB578" s="168"/>
      <c r="AC578" s="168"/>
      <c r="AD578" s="163">
        <f t="shared" si="1056"/>
        <v>0</v>
      </c>
      <c r="AE578" s="163"/>
      <c r="AF578" s="163"/>
      <c r="AG578" s="114"/>
      <c r="AH578" s="114"/>
      <c r="AI578" s="114"/>
      <c r="AJ578" s="166">
        <f>+(AJ575+AJ576+AJ577)/3</f>
        <v>451.10619335680576</v>
      </c>
      <c r="AK578" s="168"/>
      <c r="AL578" s="115"/>
      <c r="AM578" s="115"/>
      <c r="AN578" s="115"/>
      <c r="AO578" s="115"/>
      <c r="AP578" s="115"/>
      <c r="AQ578" s="168">
        <f>AVERAGE(AQ587:AQ601)</f>
        <v>-1.1391690105574019E-2</v>
      </c>
      <c r="AR578" s="79"/>
      <c r="AS578" s="115"/>
      <c r="AT578" s="115"/>
      <c r="AU578" s="115"/>
      <c r="AV578" s="113">
        <f>IFERROR(INDEX('Total Customers'!$F$7:$AB$91,MATCH($C578,'Total Customers'!$D$7:$D$91,0),MATCH($G578,'Total Customers'!$F$5:$AB$5,0)),"NA")</f>
        <v>735546</v>
      </c>
      <c r="AW578" s="68"/>
      <c r="AX578" s="114"/>
      <c r="AY578" s="114"/>
      <c r="AZ578" s="116"/>
      <c r="BA578" s="116"/>
      <c r="BB578" s="166"/>
      <c r="BC578" s="166"/>
      <c r="BD578" s="166"/>
      <c r="BE578" s="166"/>
      <c r="BF578" s="166"/>
      <c r="BG578" s="166"/>
      <c r="BH578" s="166"/>
      <c r="BI578" s="113">
        <f>INDEX('Gross Dx Plant'!$E$7:$AD$91,MATCH($C578,'Gross Dx Plant'!$D$7:$D$91,0),MATCH(Calculation!$G578,'Gross Dx Plant'!$E$5:$AD$5,0))</f>
        <v>1102672</v>
      </c>
      <c r="BJ578" s="113">
        <f>INDEX('Gross Gen Plant'!$E$7:$AD$91,MATCH($C578,'Gross Gen Plant'!$D$7:$D$91,0),MATCH(Calculation!$G578,'Gross Gen Plant'!$E$5:$AD$5,0))</f>
        <v>53228</v>
      </c>
      <c r="BK578" s="113">
        <f>INDEX('Dist. Plant Gas Additions'!$F$7:$AE$91,MATCH($C578,'Dist. Plant Gas Additions'!$D$7:$D$91,0),MATCH(Calculation!$G578,'Dist. Plant Gas Additions'!$F$5:$AE$5,0))</f>
        <v>43375</v>
      </c>
      <c r="BL578" s="113">
        <f>INDEX('Gen. Plant Additions'!$F$7:$AE$91,MATCH($C578,'Gen. Plant Additions'!$D$7:$D$91,0),MATCH(Calculation!$G578,'Gen. Plant Additions'!$F$5:$AE$5,0))</f>
        <v>2718</v>
      </c>
      <c r="BM578" s="231">
        <f>+(BW578/(BW578+BX578))</f>
        <v>0.95395103382645563</v>
      </c>
      <c r="BN578" s="61">
        <f t="shared" si="1059"/>
        <v>2592.8389099403066</v>
      </c>
      <c r="BO578" s="113">
        <f>INDEX('Dist Plant Depreciation'!$E$7:$AD$94,MATCH($C578,'Dist Plant Depreciation'!$D$7:$D$94,0),MATCH(Calculation!$G578,'Dist Plant Depreciation'!$E$5:$AD$5,0))</f>
        <v>283296</v>
      </c>
      <c r="BP578" s="113">
        <f>INDEX('Gen. Plant Depreciation'!$E$7:$AD$94,MATCH($C578,'Gen. Plant Depreciation'!$D$7:$D$94,0),MATCH(Calculation!$G578,'Gen. Plant Depreciation'!$E$5:$AD$5,0))</f>
        <v>8006</v>
      </c>
      <c r="BQ578" s="113"/>
      <c r="BR578" s="113"/>
      <c r="BS578" s="113"/>
      <c r="BT578" s="113"/>
      <c r="BU578" s="113"/>
      <c r="BV578" s="113"/>
      <c r="BW578" s="113">
        <f>INDEX('Gross Dx Plant'!$E$7:$AD$91,MATCH($C578,'Gross Dx Plant'!$D$7:$D$91,0),MATCH(Calculation!$G578,'Gross Dx Plant'!$E$5:$AD$5,0))</f>
        <v>1102672</v>
      </c>
      <c r="BX578" s="113">
        <f>INDEX('Gross Gen Plant'!$E$7:$AD$91,MATCH($C578,'Gross Gen Plant'!$D$7:$D$91,0),MATCH(Calculation!$G578,'Gross Gen Plant'!$E$5:$AD$5,0))</f>
        <v>53228</v>
      </c>
      <c r="BY578" s="113">
        <f t="shared" si="959"/>
        <v>864598</v>
      </c>
      <c r="BZ578" s="113"/>
      <c r="CA578" s="116">
        <v>1998</v>
      </c>
      <c r="CB578" s="113">
        <f>BI578+BJ578</f>
        <v>1155900</v>
      </c>
      <c r="CC578" s="113">
        <f>283296+8006</f>
        <v>291302</v>
      </c>
      <c r="CD578" s="113">
        <f>+CB578-CC578</f>
        <v>864598</v>
      </c>
      <c r="CE578" s="113">
        <f>CD578/$BV$3</f>
        <v>4286.1412148641784</v>
      </c>
      <c r="CF578" s="175"/>
      <c r="CG578" s="175"/>
      <c r="CH578" s="178">
        <v>1</v>
      </c>
      <c r="CI578" s="113">
        <f>+CE578</f>
        <v>4286.1412148641784</v>
      </c>
      <c r="CJ578" s="114"/>
      <c r="CK578" s="114"/>
      <c r="CL578" s="169"/>
      <c r="CM578" s="169"/>
      <c r="CN578" s="114" t="e">
        <f>VLOOKUP($H578,RoR!$E:$F,2,FALSE)</f>
        <v>#N/A</v>
      </c>
      <c r="CO578" s="169">
        <v>1.1028127770464469E-2</v>
      </c>
      <c r="CP578" s="169"/>
      <c r="CQ578" s="169"/>
      <c r="CR578" s="169"/>
      <c r="CS578" s="179"/>
      <c r="CT578" s="182" t="e">
        <f>2/(DC578*39)</f>
        <v>#N/A</v>
      </c>
      <c r="CU578" s="180" t="e">
        <f>+(DC578*40-(1+DC578))/(DC578*40)</f>
        <v>#N/A</v>
      </c>
      <c r="CV578" s="180" t="e">
        <f>+(1-(1/(1+DC578)^40))</f>
        <v>#N/A</v>
      </c>
      <c r="CW578" s="180" t="e">
        <f>+CV578*CU578*CT578</f>
        <v>#N/A</v>
      </c>
      <c r="CX578" s="181">
        <f>INDEX('State Tax Lookup'!$D$7:$Z$91,MATCH(Calculation!$C578,'State Tax Lookup'!$B$7:$B$91,0),MATCH($H578,'State Tax Lookup'!$D$6:$Z$6,0))</f>
        <v>0.39649667</v>
      </c>
      <c r="CY578" s="72">
        <v>0.37</v>
      </c>
      <c r="CZ578" s="66"/>
      <c r="DA578" s="66"/>
      <c r="DB578" s="69"/>
      <c r="DC578" s="111" t="e">
        <f>VLOOKUP($H578,RoR!$E:$F,2,FALSE)</f>
        <v>#N/A</v>
      </c>
      <c r="DD578" s="216">
        <f>HLOOKUP($H578,'GDP-PI'!$D$8:$CQ$11,3,FALSE)</f>
        <v>1.1028127770464469E-2</v>
      </c>
      <c r="DE578" s="111">
        <f>VLOOKUP(H578,'HW Dx Data'!$E:$F,2,FALSE)</f>
        <v>329.24564746449528</v>
      </c>
      <c r="DF578" s="72" t="e">
        <f t="shared" si="1046"/>
        <v>#N/A</v>
      </c>
      <c r="DG578" s="169" t="e">
        <f t="shared" si="1047"/>
        <v>#N/A</v>
      </c>
      <c r="DH578" s="66">
        <f>HLOOKUP(H578,'GDP-PI'!$8:$9,2,FALSE)</f>
        <v>75.266999999999996</v>
      </c>
      <c r="DI578"/>
      <c r="EB578"/>
    </row>
    <row r="579" spans="1:132" s="160" customFormat="1" ht="21">
      <c r="A579" s="160" t="s">
        <v>194</v>
      </c>
      <c r="B579" s="161" t="s">
        <v>194</v>
      </c>
      <c r="C579" s="161">
        <v>4061687</v>
      </c>
      <c r="D579" s="161" t="s">
        <v>171</v>
      </c>
      <c r="E579" s="161" t="s">
        <v>3</v>
      </c>
      <c r="F579" s="161"/>
      <c r="G579" s="161" t="s">
        <v>106</v>
      </c>
      <c r="H579" s="162">
        <v>1999</v>
      </c>
      <c r="I579" s="163"/>
      <c r="J579" s="159"/>
      <c r="K579" s="163"/>
      <c r="L579" s="163"/>
      <c r="M579" s="60"/>
      <c r="N579" s="152"/>
      <c r="O579" s="60"/>
      <c r="P579" s="59"/>
      <c r="Q579" s="169"/>
      <c r="R579" s="169"/>
      <c r="S579" s="169"/>
      <c r="T579" s="187"/>
      <c r="U579" s="169"/>
      <c r="V579" s="169"/>
      <c r="W579" s="159">
        <f t="shared" ref="W579:W602" si="1063">+CI578*CZ579</f>
        <v>0</v>
      </c>
      <c r="X579" s="163"/>
      <c r="Y579" s="167">
        <v>4405.1973609272891</v>
      </c>
      <c r="Z579" s="168">
        <v>2.7398217780165494E-2</v>
      </c>
      <c r="AA579" s="78"/>
      <c r="AB579" s="168"/>
      <c r="AC579" s="168"/>
      <c r="AD579" s="163">
        <f t="shared" si="1056"/>
        <v>0</v>
      </c>
      <c r="AE579" s="168"/>
      <c r="AF579" s="163"/>
      <c r="AG579" s="114"/>
      <c r="AH579" s="114"/>
      <c r="AI579" s="114"/>
      <c r="AJ579" s="167"/>
      <c r="AK579" s="168"/>
      <c r="AL579" s="115"/>
      <c r="AM579" s="115"/>
      <c r="AN579" s="115"/>
      <c r="AO579" s="115"/>
      <c r="AP579" s="115"/>
      <c r="AQ579" s="168"/>
      <c r="AR579" s="79"/>
      <c r="AS579" s="115"/>
      <c r="AT579" s="115"/>
      <c r="AU579" s="115"/>
      <c r="AV579" s="113">
        <f>IFERROR(INDEX('Total Customers'!$F$7:$AB$91,MATCH($C579,'Total Customers'!$D$7:$D$91,0),MATCH($G579,'Total Customers'!$F$5:$AB$5,0)),"NA")</f>
        <v>745094</v>
      </c>
      <c r="AW579" s="68">
        <f t="shared" si="972"/>
        <v>1.2897304342975931E-2</v>
      </c>
      <c r="AX579" s="114"/>
      <c r="AY579" s="114"/>
      <c r="AZ579" s="116"/>
      <c r="BA579" s="116"/>
      <c r="BB579" s="166"/>
      <c r="BC579" s="166"/>
      <c r="BD579" s="166"/>
      <c r="BE579" s="166"/>
      <c r="BF579" s="166"/>
      <c r="BG579" s="166"/>
      <c r="BH579" s="166"/>
      <c r="BI579" s="113"/>
      <c r="BJ579" s="113"/>
      <c r="BK579" s="113">
        <f>INDEX('Dist. Plant Gas Additions'!$F$7:$AE$91,MATCH($C579,'Dist. Plant Gas Additions'!$D$7:$D$91,0),MATCH(Calculation!$G579,'Dist. Plant Gas Additions'!$F$5:$AE$5,0))</f>
        <v>45387</v>
      </c>
      <c r="BL579" s="113">
        <f>INDEX('Gen. Plant Additions'!$F$7:$AE$91,MATCH($C579,'Gen. Plant Additions'!$D$7:$D$91,0),MATCH(Calculation!$G579,'Gen. Plant Additions'!$F$5:$AE$5,0))</f>
        <v>1686</v>
      </c>
      <c r="BM579" s="231">
        <f t="shared" ref="BM579:BM600" si="1064">+(BW579/(BW579+BX579))</f>
        <v>0.95467899612999918</v>
      </c>
      <c r="BN579" s="61">
        <f t="shared" si="1059"/>
        <v>1609.5887874751786</v>
      </c>
      <c r="BO579" s="113">
        <f>INDEX('Dist Plant Depreciation'!$E$7:$AD$94,MATCH($C579,'Dist Plant Depreciation'!$D$7:$D$94,0),MATCH(Calculation!$G579,'Dist Plant Depreciation'!$E$5:$AD$5,0))</f>
        <v>302879</v>
      </c>
      <c r="BP579" s="113">
        <f>INDEX('Gen. Plant Depreciation'!$E$7:$AD$94,MATCH($C579,'Gen. Plant Depreciation'!$D$7:$D$94,0),MATCH(Calculation!$G579,'Gen. Plant Depreciation'!$E$5:$AD$5,0))</f>
        <v>9189</v>
      </c>
      <c r="BQ579" s="113"/>
      <c r="BR579" s="113"/>
      <c r="BS579" s="113"/>
      <c r="BT579" s="113"/>
      <c r="BU579" s="113"/>
      <c r="BV579" s="113"/>
      <c r="BW579" s="113">
        <f>INDEX('Gross Dx Plant'!$E$7:$AD$91,MATCH($C579,'Gross Dx Plant'!$D$7:$D$91,0),MATCH(Calculation!$G579,'Gross Dx Plant'!$E$5:$AD$5,0))</f>
        <v>1138954</v>
      </c>
      <c r="BX579" s="113">
        <f>INDEX('Gross Gen Plant'!$E$7:$AD$91,MATCH($C579,'Gross Gen Plant'!$D$7:$D$91,0),MATCH(Calculation!$G579,'Gross Gen Plant'!$E$5:$AD$5,0))</f>
        <v>54069</v>
      </c>
      <c r="BY579" s="113">
        <f t="shared" si="959"/>
        <v>880955</v>
      </c>
      <c r="BZ579" s="113"/>
      <c r="CA579" s="116">
        <v>1999</v>
      </c>
      <c r="CB579" s="113"/>
      <c r="CC579" s="113"/>
      <c r="CD579" s="113"/>
      <c r="CE579" s="175"/>
      <c r="CF579" s="113">
        <f t="shared" ref="CF579:CF601" si="1065">+BL579+BK579</f>
        <v>47073</v>
      </c>
      <c r="CG579" s="113">
        <f t="shared" ref="CG579:CG601" si="1066">+CF579/$DE579</f>
        <v>140.38023170920167</v>
      </c>
      <c r="CH579" s="178">
        <v>0.99502487562189057</v>
      </c>
      <c r="CI579" s="61">
        <f>+CI578*CH579+CG579</f>
        <v>4405.1973609272891</v>
      </c>
      <c r="CJ579" s="114">
        <f t="shared" ref="CJ579:CJ600" si="1067">LN(CI579/CI578)</f>
        <v>2.7398217780165494E-2</v>
      </c>
      <c r="CK579" s="114"/>
      <c r="CL579" s="169">
        <f t="shared" ref="CL579:CL601" si="1068">+(CI578-CI579+CG579)/CI578</f>
        <v>4.9751243781095879E-3</v>
      </c>
      <c r="CM579" s="169"/>
      <c r="CN579" s="114">
        <f>VLOOKUP($H579,RoR!$E:$F,2,FALSE)</f>
        <v>7.0416666666666669E-2</v>
      </c>
      <c r="CO579" s="169">
        <v>1.4335631817396832E-2</v>
      </c>
      <c r="CP579" s="169">
        <f>+CN579-CO579</f>
        <v>5.6081034849269837E-2</v>
      </c>
      <c r="CQ579" s="169"/>
      <c r="CR579" s="169"/>
      <c r="CS579" s="179">
        <f t="shared" ref="CS579:CS602" si="1069">1-CX579*CY579</f>
        <v>0.85329623209999994</v>
      </c>
      <c r="CT579" s="180">
        <f t="shared" ref="CT579:CT601" si="1070">2/(DC579*39)</f>
        <v>0.72826581702321336</v>
      </c>
      <c r="CU579" s="180">
        <f t="shared" ref="CU579:CU601" si="1071">+(DC579*40-(1+DC579))/(DC579*40)</f>
        <v>0.61997041420118348</v>
      </c>
      <c r="CV579" s="180">
        <f t="shared" ref="CV579:CV601" si="1072">+(1-(1/(1+DC579)^40))</f>
        <v>0.93425155319585029</v>
      </c>
      <c r="CW579" s="180">
        <f t="shared" ref="CW579:CW601" si="1073">+CV579*CU579*CT579</f>
        <v>0.42181762214141483</v>
      </c>
      <c r="CX579" s="181">
        <f>INDEX('State Tax Lookup'!$D$7:$Z$91,MATCH(Calculation!$C579,'State Tax Lookup'!$B$7:$B$91,0),MATCH($H579,'State Tax Lookup'!$D$6:$Z$6,0))</f>
        <v>0.39649667</v>
      </c>
      <c r="CY579" s="72">
        <v>0.37</v>
      </c>
      <c r="CZ579" s="70"/>
      <c r="DA579" s="70"/>
      <c r="DB579" s="69"/>
      <c r="DC579" s="111">
        <f>VLOOKUP($H579,RoR!$E:$F,2,FALSE)</f>
        <v>7.0416666666666669E-2</v>
      </c>
      <c r="DD579" s="216">
        <f>HLOOKUP($H579,'GDP-PI'!$D$8:$CQ$11,3,FALSE)</f>
        <v>1.4335631817396832E-2</v>
      </c>
      <c r="DE579" s="111">
        <f>VLOOKUP(H579,'HW Dx Data'!$E:$F,2,FALSE)</f>
        <v>335.32499146683239</v>
      </c>
      <c r="DF579" s="66"/>
      <c r="DG579" s="69"/>
      <c r="DH579" s="66">
        <f>HLOOKUP(H579,'GDP-PI'!$8:$9,2,FALSE)</f>
        <v>76.346000000000004</v>
      </c>
      <c r="DI579"/>
      <c r="EB579"/>
    </row>
    <row r="580" spans="1:132" s="160" customFormat="1" ht="21">
      <c r="A580" s="160" t="s">
        <v>194</v>
      </c>
      <c r="B580" s="161" t="s">
        <v>194</v>
      </c>
      <c r="C580" s="161">
        <v>4061687</v>
      </c>
      <c r="D580" s="161" t="s">
        <v>171</v>
      </c>
      <c r="E580" s="161" t="s">
        <v>3</v>
      </c>
      <c r="F580" s="161"/>
      <c r="G580" s="161" t="s">
        <v>107</v>
      </c>
      <c r="H580" s="162">
        <v>2000</v>
      </c>
      <c r="I580" s="163"/>
      <c r="J580" s="159"/>
      <c r="K580" s="159"/>
      <c r="L580" s="159"/>
      <c r="M580" s="60"/>
      <c r="N580" s="152"/>
      <c r="O580" s="60"/>
      <c r="P580" s="60"/>
      <c r="Q580" s="159"/>
      <c r="R580" s="159"/>
      <c r="S580" s="159"/>
      <c r="T580" s="159"/>
      <c r="U580" s="159"/>
      <c r="V580" s="159"/>
      <c r="W580" s="159">
        <f t="shared" si="1063"/>
        <v>0</v>
      </c>
      <c r="X580" s="163"/>
      <c r="Y580" s="167">
        <v>4521.6810860377327</v>
      </c>
      <c r="Z580" s="168">
        <v>2.6098784160951093E-2</v>
      </c>
      <c r="AA580" s="78"/>
      <c r="AB580" s="168"/>
      <c r="AC580" s="168"/>
      <c r="AD580" s="163">
        <f t="shared" si="1056"/>
        <v>0</v>
      </c>
      <c r="AE580" s="168"/>
      <c r="AF580" s="163"/>
      <c r="AG580" s="163"/>
      <c r="AH580" s="163"/>
      <c r="AI580" s="163"/>
      <c r="AJ580" s="167"/>
      <c r="AK580" s="168"/>
      <c r="AL580" s="115"/>
      <c r="AM580" s="115"/>
      <c r="AN580" s="115"/>
      <c r="AO580" s="115"/>
      <c r="AP580" s="115"/>
      <c r="AQ580" s="168"/>
      <c r="AR580" s="79"/>
      <c r="AS580" s="115"/>
      <c r="AT580" s="115"/>
      <c r="AU580" s="115"/>
      <c r="AV580" s="113">
        <f>IFERROR(INDEX('Total Customers'!$F$7:$AB$91,MATCH($C580,'Total Customers'!$D$7:$D$91,0),MATCH($G580,'Total Customers'!$F$5:$AB$5,0)),"NA")</f>
        <v>736113</v>
      </c>
      <c r="AW580" s="68">
        <f t="shared" ref="AW580:AW643" si="1074">LN(AV580/AV579)</f>
        <v>-1.2126745364224353E-2</v>
      </c>
      <c r="AX580" s="114"/>
      <c r="AY580" s="114"/>
      <c r="AZ580" s="116"/>
      <c r="BA580" s="116"/>
      <c r="BB580" s="166"/>
      <c r="BC580" s="166"/>
      <c r="BD580" s="166"/>
      <c r="BE580" s="166"/>
      <c r="BF580" s="166"/>
      <c r="BG580" s="166"/>
      <c r="BH580" s="166"/>
      <c r="BI580" s="113"/>
      <c r="BJ580" s="113"/>
      <c r="BK580" s="113">
        <f>INDEX('Dist. Plant Gas Additions'!$F$7:$AE$91,MATCH($C580,'Dist. Plant Gas Additions'!$D$7:$D$91,0),MATCH(Calculation!$G580,'Dist. Plant Gas Additions'!$F$5:$AE$5,0))</f>
        <v>45762</v>
      </c>
      <c r="BL580" s="113">
        <f>INDEX('Gen. Plant Additions'!$F$7:$AE$91,MATCH($C580,'Gen. Plant Additions'!$D$7:$D$91,0),MATCH(Calculation!$G580,'Gen. Plant Additions'!$F$5:$AE$5,0))</f>
        <v>2459</v>
      </c>
      <c r="BM580" s="231">
        <f t="shared" si="1064"/>
        <v>0.94945538738423463</v>
      </c>
      <c r="BN580" s="61">
        <f t="shared" si="1059"/>
        <v>2334.7107975778331</v>
      </c>
      <c r="BO580" s="113"/>
      <c r="BP580" s="113"/>
      <c r="BQ580" s="113"/>
      <c r="BR580" s="113"/>
      <c r="BS580" s="113"/>
      <c r="BT580" s="113"/>
      <c r="BU580" s="113"/>
      <c r="BV580" s="113"/>
      <c r="BW580" s="113">
        <f>INDEX('Gross Dx Plant'!$E$7:$AD$91,MATCH($C580,'Gross Dx Plant'!$D$7:$D$91,0),MATCH(Calculation!$G580,'Gross Dx Plant'!$E$5:$AD$5,0))</f>
        <v>1215470</v>
      </c>
      <c r="BX580" s="113">
        <f>INDEX('Gross Gen Plant'!$E$7:$AD$91,MATCH($C580,'Gross Gen Plant'!$D$7:$D$91,0),MATCH(Calculation!$G580,'Gross Gen Plant'!$E$5:$AD$5,0))</f>
        <v>64706</v>
      </c>
      <c r="BY580" s="113">
        <f t="shared" ref="BY580:BY647" si="1075">IF(OR(BO580="NA",BP580="NA"),"NA",(SUM(BW580:BX580)-SUM(BO580:BP580)))</f>
        <v>1280176</v>
      </c>
      <c r="BZ580" s="113"/>
      <c r="CA580" s="116">
        <v>2000</v>
      </c>
      <c r="CB580" s="113"/>
      <c r="CC580" s="113"/>
      <c r="CD580" s="113"/>
      <c r="CE580" s="175"/>
      <c r="CF580" s="113">
        <f t="shared" si="1065"/>
        <v>48221</v>
      </c>
      <c r="CG580" s="113">
        <f t="shared" si="1066"/>
        <v>139.1524042830321</v>
      </c>
      <c r="CH580" s="178">
        <v>0.98989898989898994</v>
      </c>
      <c r="CI580" s="61">
        <f>+CI578*CH580+CG579*CH579+CG580</f>
        <v>4521.6810860377327</v>
      </c>
      <c r="CJ580" s="114">
        <f t="shared" si="1067"/>
        <v>2.6098784160951093E-2</v>
      </c>
      <c r="CK580" s="114"/>
      <c r="CL580" s="169">
        <f t="shared" si="1068"/>
        <v>5.1458941144504671E-3</v>
      </c>
      <c r="CM580" s="169"/>
      <c r="CN580" s="114">
        <f>VLOOKUP($H580,RoR!$E:$F,2,FALSE)</f>
        <v>7.6225000000000001E-2</v>
      </c>
      <c r="CO580" s="169">
        <v>2.2568307442433211E-2</v>
      </c>
      <c r="CP580" s="169">
        <f t="shared" ref="CP580:CP600" si="1076">+CN580-CO580</f>
        <v>5.365669255756679E-2</v>
      </c>
      <c r="CQ580" s="169"/>
      <c r="CR580" s="169"/>
      <c r="CS580" s="179">
        <f t="shared" si="1069"/>
        <v>0.85329623209999994</v>
      </c>
      <c r="CT580" s="180">
        <f t="shared" si="1070"/>
        <v>0.67277207323124022</v>
      </c>
      <c r="CU580" s="180">
        <f t="shared" si="1071"/>
        <v>0.6470236142997704</v>
      </c>
      <c r="CV580" s="180">
        <f t="shared" si="1072"/>
        <v>0.94704866037543145</v>
      </c>
      <c r="CW580" s="180">
        <f t="shared" si="1073"/>
        <v>0.41224973107878493</v>
      </c>
      <c r="CX580" s="181">
        <f>INDEX('State Tax Lookup'!$D$7:$Z$91,MATCH(Calculation!$C580,'State Tax Lookup'!$B$7:$B$91,0),MATCH($H580,'State Tax Lookup'!$D$6:$Z$6,0))</f>
        <v>0.39649667</v>
      </c>
      <c r="CY580" s="72">
        <v>0.37</v>
      </c>
      <c r="CZ580" s="70"/>
      <c r="DA580" s="70"/>
      <c r="DB580" s="69"/>
      <c r="DC580" s="111">
        <f>VLOOKUP($H580,RoR!$E:$F,2,FALSE)</f>
        <v>7.6225000000000001E-2</v>
      </c>
      <c r="DD580" s="216">
        <f>HLOOKUP($H580,'GDP-PI'!$D$8:$CQ$11,3,FALSE)</f>
        <v>2.2568307442433211E-2</v>
      </c>
      <c r="DE580" s="111">
        <f>VLOOKUP(H580,'HW Dx Data'!$E:$F,2,FALSE)</f>
        <v>346.53371782150339</v>
      </c>
      <c r="DF580" s="66"/>
      <c r="DG580" s="69"/>
      <c r="DH580" s="66">
        <f>HLOOKUP(H580,'GDP-PI'!$8:$9,2,FALSE)</f>
        <v>78.069000000000003</v>
      </c>
      <c r="DI580"/>
      <c r="EB580"/>
    </row>
    <row r="581" spans="1:132" s="160" customFormat="1" ht="21">
      <c r="A581" s="160" t="s">
        <v>194</v>
      </c>
      <c r="B581" s="161" t="s">
        <v>194</v>
      </c>
      <c r="C581" s="161">
        <v>4061687</v>
      </c>
      <c r="D581" s="161" t="s">
        <v>171</v>
      </c>
      <c r="E581" s="161" t="s">
        <v>3</v>
      </c>
      <c r="F581" s="161"/>
      <c r="G581" s="161" t="s">
        <v>111</v>
      </c>
      <c r="H581" s="162">
        <v>2001</v>
      </c>
      <c r="I581" s="163"/>
      <c r="J581" s="159"/>
      <c r="K581" s="159"/>
      <c r="L581" s="159"/>
      <c r="M581" s="60"/>
      <c r="N581" s="152"/>
      <c r="O581" s="60"/>
      <c r="P581" s="60"/>
      <c r="Q581" s="159"/>
      <c r="R581" s="159"/>
      <c r="S581" s="159"/>
      <c r="T581" s="159"/>
      <c r="U581" s="159"/>
      <c r="V581" s="159"/>
      <c r="W581" s="159">
        <f t="shared" si="1063"/>
        <v>58159.387968906929</v>
      </c>
      <c r="X581" s="163"/>
      <c r="Y581" s="167">
        <v>4535.820110173493</v>
      </c>
      <c r="Z581" s="168">
        <v>3.1220609998721927E-3</v>
      </c>
      <c r="AA581" s="78"/>
      <c r="AB581" s="168"/>
      <c r="AC581" s="168"/>
      <c r="AD581" s="163">
        <f t="shared" si="1056"/>
        <v>58159.387968906929</v>
      </c>
      <c r="AE581" s="168"/>
      <c r="AF581" s="163"/>
      <c r="AG581" s="163"/>
      <c r="AH581" s="163"/>
      <c r="AI581" s="163"/>
      <c r="AJ581" s="167"/>
      <c r="AK581" s="168"/>
      <c r="AL581" s="115"/>
      <c r="AM581" s="115"/>
      <c r="AN581" s="115"/>
      <c r="AO581" s="115"/>
      <c r="AP581" s="115"/>
      <c r="AQ581" s="168"/>
      <c r="AR581" s="79"/>
      <c r="AS581" s="115"/>
      <c r="AT581" s="115"/>
      <c r="AU581" s="115"/>
      <c r="AV581" s="113">
        <f>IFERROR(INDEX('Total Customers'!$F$7:$AB$91,MATCH($C581,'Total Customers'!$D$7:$D$91,0),MATCH($G581,'Total Customers'!$F$5:$AB$5,0)),"NA")</f>
        <v>732604</v>
      </c>
      <c r="AW581" s="68">
        <f t="shared" si="1074"/>
        <v>-4.778329217378972E-3</v>
      </c>
      <c r="AX581" s="114"/>
      <c r="AY581" s="114"/>
      <c r="AZ581" s="116"/>
      <c r="BA581" s="116"/>
      <c r="BB581" s="166"/>
      <c r="BC581" s="166"/>
      <c r="BD581" s="166"/>
      <c r="BE581" s="166"/>
      <c r="BF581" s="166"/>
      <c r="BG581" s="166"/>
      <c r="BH581" s="166"/>
      <c r="BI581" s="113"/>
      <c r="BJ581" s="113"/>
      <c r="BK581" s="113">
        <f>INDEX('Dist. Plant Gas Additions'!$F$7:$AE$91,MATCH($C581,'Dist. Plant Gas Additions'!$D$7:$D$91,0),MATCH(Calculation!$G581,'Dist. Plant Gas Additions'!$F$5:$AE$5,0))</f>
        <v>12458</v>
      </c>
      <c r="BL581" s="113">
        <f>INDEX('Gen. Plant Additions'!$F$7:$AE$91,MATCH($C581,'Gen. Plant Additions'!$D$7:$D$91,0),MATCH(Calculation!$G581,'Gen. Plant Additions'!$F$5:$AE$5,0))</f>
        <v>798</v>
      </c>
      <c r="BM581" s="231">
        <f t="shared" si="1064"/>
        <v>0.95736872976002907</v>
      </c>
      <c r="BN581" s="61">
        <f t="shared" si="1059"/>
        <v>763.98024634850321</v>
      </c>
      <c r="BO581" s="113">
        <f>INDEX('Dist Plant Depreciation'!$E$7:$AD$94,MATCH($C581,'Dist Plant Depreciation'!$D$7:$D$94,0),MATCH(Calculation!$G581,'Dist Plant Depreciation'!$E$5:$AD$5,0))</f>
        <v>245661</v>
      </c>
      <c r="BP581" s="113">
        <f>INDEX('Gen. Plant Depreciation'!$E$7:$AD$94,MATCH($C581,'Gen. Plant Depreciation'!$D$7:$D$94,0),MATCH(Calculation!$G581,'Gen. Plant Depreciation'!$E$5:$AD$5,0))</f>
        <v>7116</v>
      </c>
      <c r="BQ581" s="113"/>
      <c r="BR581" s="113"/>
      <c r="BS581" s="113"/>
      <c r="BT581" s="113"/>
      <c r="BU581" s="113"/>
      <c r="BV581" s="113"/>
      <c r="BW581" s="113">
        <f>INDEX('Gross Dx Plant'!$E$7:$AD$91,MATCH($C581,'Gross Dx Plant'!$D$7:$D$91,0),MATCH(Calculation!$G581,'Gross Dx Plant'!$E$5:$AD$5,0))</f>
        <v>1196417</v>
      </c>
      <c r="BX581" s="113">
        <f>INDEX('Gross Gen Plant'!$E$7:$AD$91,MATCH($C581,'Gross Gen Plant'!$D$7:$D$91,0),MATCH(Calculation!$G581,'Gross Gen Plant'!$E$5:$AD$5,0))</f>
        <v>53276</v>
      </c>
      <c r="BY581" s="113">
        <f t="shared" si="1075"/>
        <v>996916</v>
      </c>
      <c r="BZ581" s="113"/>
      <c r="CA581" s="116">
        <v>2001</v>
      </c>
      <c r="CB581" s="113"/>
      <c r="CC581" s="113"/>
      <c r="CD581" s="113"/>
      <c r="CE581" s="175"/>
      <c r="CF581" s="113">
        <f t="shared" si="1065"/>
        <v>13256</v>
      </c>
      <c r="CG581" s="113">
        <f t="shared" si="1066"/>
        <v>37.504875530391459</v>
      </c>
      <c r="CH581" s="178">
        <v>0.98461538461538467</v>
      </c>
      <c r="CI581" s="61">
        <f>+CI578*CH581+CG579*CH580+CG580*CH578+CG581</f>
        <v>4535.820110173493</v>
      </c>
      <c r="CJ581" s="114">
        <f t="shared" si="1067"/>
        <v>3.1220609998721927E-3</v>
      </c>
      <c r="CK581" s="114"/>
      <c r="CL581" s="169">
        <f t="shared" si="1068"/>
        <v>5.1675142386271638E-3</v>
      </c>
      <c r="CM581" s="169">
        <f>+(CL581+CL580+CL579)/3</f>
        <v>5.096177577062406E-3</v>
      </c>
      <c r="CN581" s="114">
        <f>VLOOKUP($H581,RoR!$E:$F,2,FALSE)</f>
        <v>7.0824999999999999E-2</v>
      </c>
      <c r="CO581" s="169">
        <v>2.2454495382290052E-2</v>
      </c>
      <c r="CP581" s="169">
        <f t="shared" si="1076"/>
        <v>4.8370504617709947E-2</v>
      </c>
      <c r="CQ581" s="169">
        <f>+$CP$2-CM581</f>
        <v>2.580576403147122E-2</v>
      </c>
      <c r="CR581" s="169">
        <f>+((DE579/DE578-1)+(DE580/DE579-1)+(DE581/DE580-1))/3</f>
        <v>2.3947275901631187E-2</v>
      </c>
      <c r="CS581" s="179">
        <f t="shared" si="1069"/>
        <v>0.85329623209999994</v>
      </c>
      <c r="CT581" s="180">
        <f t="shared" si="1070"/>
        <v>0.72406708481540816</v>
      </c>
      <c r="CU581" s="180">
        <f t="shared" si="1071"/>
        <v>0.62201729615248857</v>
      </c>
      <c r="CV581" s="180">
        <f t="shared" si="1072"/>
        <v>0.9352469954311422</v>
      </c>
      <c r="CW581" s="180">
        <f t="shared" si="1073"/>
        <v>0.42121864641655071</v>
      </c>
      <c r="CX581" s="181">
        <f>INDEX('State Tax Lookup'!$D$7:$Z$91,MATCH(Calculation!$C581,'State Tax Lookup'!$B$7:$B$91,0),MATCH($H581,'State Tax Lookup'!$D$6:$Z$6,0))</f>
        <v>0.39649667</v>
      </c>
      <c r="CY581" s="72">
        <v>0.37</v>
      </c>
      <c r="CZ581" s="70">
        <f t="shared" ref="CZ581:CZ602" si="1077">+(DE581*CQ581-CR581)*CS581/(1-CX581)</f>
        <v>12.862337449780419</v>
      </c>
      <c r="DA581" s="70"/>
      <c r="DB581" s="69"/>
      <c r="DC581" s="111">
        <f>VLOOKUP($H581,RoR!$E:$F,2,FALSE)</f>
        <v>7.0824999999999999E-2</v>
      </c>
      <c r="DD581" s="216">
        <f>HLOOKUP($H581,'GDP-PI'!$D$8:$CQ$11,3,FALSE)</f>
        <v>2.2454495382290052E-2</v>
      </c>
      <c r="DE581" s="111">
        <f>VLOOKUP(H581,'HW Dx Data'!$E:$F,2,FALSE)</f>
        <v>353.44738017483138</v>
      </c>
      <c r="DF581" s="66"/>
      <c r="DG581" s="69"/>
      <c r="DH581" s="66">
        <f>HLOOKUP(H581,'GDP-PI'!$8:$9,2,FALSE)</f>
        <v>79.822000000000003</v>
      </c>
      <c r="DI581"/>
      <c r="EB581"/>
    </row>
    <row r="582" spans="1:132" s="160" customFormat="1" ht="21">
      <c r="A582" s="160" t="s">
        <v>194</v>
      </c>
      <c r="B582" s="161" t="s">
        <v>194</v>
      </c>
      <c r="C582" s="161">
        <v>4061687</v>
      </c>
      <c r="D582" s="161" t="s">
        <v>171</v>
      </c>
      <c r="E582" s="161" t="s">
        <v>3</v>
      </c>
      <c r="F582" s="161"/>
      <c r="G582" s="161" t="s">
        <v>113</v>
      </c>
      <c r="H582" s="162">
        <v>2002</v>
      </c>
      <c r="I582" s="163"/>
      <c r="J582" s="159"/>
      <c r="K582" s="159"/>
      <c r="L582" s="159"/>
      <c r="M582" s="60"/>
      <c r="N582" s="152"/>
      <c r="O582" s="60"/>
      <c r="P582" s="60"/>
      <c r="Q582" s="159"/>
      <c r="R582" s="159"/>
      <c r="S582" s="159"/>
      <c r="T582" s="159"/>
      <c r="U582" s="159"/>
      <c r="V582" s="159"/>
      <c r="W582" s="159">
        <f t="shared" si="1063"/>
        <v>59108.879973315365</v>
      </c>
      <c r="X582" s="163"/>
      <c r="Y582" s="167">
        <v>4637.8677820912944</v>
      </c>
      <c r="Z582" s="168">
        <v>2.224882351227226E-2</v>
      </c>
      <c r="AA582" s="78"/>
      <c r="AB582" s="168"/>
      <c r="AC582" s="168"/>
      <c r="AD582" s="163">
        <f t="shared" si="1056"/>
        <v>59108.879973315365</v>
      </c>
      <c r="AE582" s="168"/>
      <c r="AF582" s="163"/>
      <c r="AG582" s="163"/>
      <c r="AH582" s="163"/>
      <c r="AI582" s="163"/>
      <c r="AJ582" s="167"/>
      <c r="AK582" s="168"/>
      <c r="AL582" s="115"/>
      <c r="AM582" s="115"/>
      <c r="AN582" s="115"/>
      <c r="AO582" s="115"/>
      <c r="AP582" s="115"/>
      <c r="AQ582" s="168"/>
      <c r="AR582" s="79"/>
      <c r="AS582" s="115"/>
      <c r="AT582" s="115"/>
      <c r="AU582" s="115"/>
      <c r="AV582" s="113">
        <f>IFERROR(INDEX('Total Customers'!$F$7:$AB$91,MATCH($C582,'Total Customers'!$D$7:$D$91,0),MATCH($G582,'Total Customers'!$F$5:$AB$5,0)),"NA")</f>
        <v>736698</v>
      </c>
      <c r="AW582" s="68">
        <f t="shared" si="1074"/>
        <v>5.5727285405299054E-3</v>
      </c>
      <c r="AX582" s="114"/>
      <c r="AY582" s="114"/>
      <c r="AZ582" s="116"/>
      <c r="BA582" s="116"/>
      <c r="BB582" s="166"/>
      <c r="BC582" s="166"/>
      <c r="BD582" s="166"/>
      <c r="BE582" s="166"/>
      <c r="BF582" s="166"/>
      <c r="BG582" s="166"/>
      <c r="BH582" s="166"/>
      <c r="BI582" s="113"/>
      <c r="BJ582" s="113"/>
      <c r="BK582" s="113">
        <f>INDEX('Dist. Plant Gas Additions'!$F$7:$AE$91,MATCH($C582,'Dist. Plant Gas Additions'!$D$7:$D$91,0),MATCH(Calculation!$G582,'Dist. Plant Gas Additions'!$F$5:$AE$5,0))</f>
        <v>45547</v>
      </c>
      <c r="BL582" s="113">
        <f>INDEX('Gen. Plant Additions'!$F$7:$AE$91,MATCH($C582,'Gen. Plant Additions'!$D$7:$D$91,0),MATCH(Calculation!$G582,'Gen. Plant Additions'!$F$5:$AE$5,0))</f>
        <v>610</v>
      </c>
      <c r="BM582" s="231">
        <f t="shared" si="1064"/>
        <v>0.95850799311630397</v>
      </c>
      <c r="BN582" s="61">
        <f t="shared" si="1059"/>
        <v>584.6898758009454</v>
      </c>
      <c r="BO582" s="113">
        <f>INDEX('Dist Plant Depreciation'!$E$7:$AD$94,MATCH($C582,'Dist Plant Depreciation'!$D$7:$D$94,0),MATCH(Calculation!$G582,'Dist Plant Depreciation'!$E$5:$AD$5,0))</f>
        <v>364851</v>
      </c>
      <c r="BP582" s="113">
        <f>INDEX('Gen. Plant Depreciation'!$E$7:$AD$94,MATCH($C582,'Gen. Plant Depreciation'!$D$7:$D$94,0),MATCH(Calculation!$G582,'Gen. Plant Depreciation'!$E$5:$AD$5,0))</f>
        <v>12062</v>
      </c>
      <c r="BQ582" s="113"/>
      <c r="BR582" s="113"/>
      <c r="BS582" s="113"/>
      <c r="BT582" s="113"/>
      <c r="BU582" s="113"/>
      <c r="BV582" s="113"/>
      <c r="BW582" s="113">
        <f>INDEX('Gross Dx Plant'!$E$7:$AD$91,MATCH($C582,'Gross Dx Plant'!$D$7:$D$91,0),MATCH(Calculation!$G582,'Gross Dx Plant'!$E$5:$AD$5,0))</f>
        <v>1232024</v>
      </c>
      <c r="BX582" s="113">
        <f>INDEX('Gross Gen Plant'!$E$7:$AD$91,MATCH($C582,'Gross Gen Plant'!$D$7:$D$91,0),MATCH(Calculation!$G582,'Gross Gen Plant'!$E$5:$AD$5,0))</f>
        <v>53332</v>
      </c>
      <c r="BY582" s="113">
        <f t="shared" si="1075"/>
        <v>908443</v>
      </c>
      <c r="BZ582" s="113"/>
      <c r="CA582" s="116">
        <v>2002</v>
      </c>
      <c r="CB582" s="113"/>
      <c r="CC582" s="113"/>
      <c r="CD582" s="113"/>
      <c r="CE582" s="175"/>
      <c r="CF582" s="113">
        <f t="shared" si="1065"/>
        <v>46157</v>
      </c>
      <c r="CG582" s="113">
        <f t="shared" si="1066"/>
        <v>127.73553148173521</v>
      </c>
      <c r="CH582" s="178">
        <v>0.97916666666666663</v>
      </c>
      <c r="CI582" s="61">
        <f>+CI578*CH582+CG579*CH581+CG580*CH580+CG581*CH579+CG582</f>
        <v>4637.8677820912944</v>
      </c>
      <c r="CJ582" s="114">
        <f t="shared" si="1067"/>
        <v>2.224882351227226E-2</v>
      </c>
      <c r="CK582" s="114"/>
      <c r="CL582" s="169">
        <f t="shared" si="1068"/>
        <v>5.6633329673542272E-3</v>
      </c>
      <c r="CM582" s="169">
        <f t="shared" ref="CM582:CM602" si="1078">+(CL582+CL581+CL580)/3</f>
        <v>5.3255804401439524E-3</v>
      </c>
      <c r="CN582" s="114">
        <f>VLOOKUP($H582,RoR!$E:$F,2,FALSE)</f>
        <v>6.4916666666666664E-2</v>
      </c>
      <c r="CO582" s="169">
        <v>1.5246423291824351E-2</v>
      </c>
      <c r="CP582" s="169">
        <f t="shared" si="1076"/>
        <v>4.9670243374842313E-2</v>
      </c>
      <c r="CQ582" s="169">
        <f t="shared" ref="CQ582:CQ602" si="1079">+$CP$2-CM582</f>
        <v>2.5576361168389673E-2</v>
      </c>
      <c r="CR582" s="169">
        <f t="shared" ref="CR582:CR602" si="1080">+((DE580/DE579-1)+(DE581/DE580-1)+(DE582/DE581-1))/3</f>
        <v>2.5243621214759093E-2</v>
      </c>
      <c r="CS582" s="179">
        <f t="shared" si="1069"/>
        <v>0.85329623209999994</v>
      </c>
      <c r="CT582" s="180">
        <f t="shared" si="1070"/>
        <v>0.78996741384417901</v>
      </c>
      <c r="CU582" s="180">
        <f t="shared" si="1071"/>
        <v>0.58989088575096271</v>
      </c>
      <c r="CV582" s="180">
        <f t="shared" si="1072"/>
        <v>0.91920675783645744</v>
      </c>
      <c r="CW582" s="180">
        <f t="shared" si="1073"/>
        <v>0.42834536472275586</v>
      </c>
      <c r="CX582" s="181">
        <f>INDEX('State Tax Lookup'!$D$7:$Z$91,MATCH(Calculation!$C582,'State Tax Lookup'!$B$7:$B$91,0),MATCH($H582,'State Tax Lookup'!$D$6:$Z$6,0))</f>
        <v>0.39649667</v>
      </c>
      <c r="CY582" s="72">
        <v>0.37</v>
      </c>
      <c r="CZ582" s="70">
        <f t="shared" si="1077"/>
        <v>13.031575004647721</v>
      </c>
      <c r="DA582" s="70"/>
      <c r="DB582" s="69">
        <f>LN(CZ582/CZ581)</f>
        <v>1.307179554159478E-2</v>
      </c>
      <c r="DC582" s="111">
        <f>VLOOKUP($H582,RoR!$E:$F,2,FALSE)</f>
        <v>6.4916666666666664E-2</v>
      </c>
      <c r="DD582" s="216">
        <f>HLOOKUP($H582,'GDP-PI'!$D$8:$CQ$11,3,FALSE)</f>
        <v>1.5246423291824351E-2</v>
      </c>
      <c r="DE582" s="111">
        <f>VLOOKUP(H582,'HW Dx Data'!$E:$F,2,FALSE)</f>
        <v>361.34816573413599</v>
      </c>
      <c r="DF582" s="66"/>
      <c r="DG582" s="69"/>
      <c r="DH582" s="66">
        <f>HLOOKUP(H582,'GDP-PI'!$8:$9,2,FALSE)</f>
        <v>81.039000000000001</v>
      </c>
      <c r="DI582" s="69">
        <f>LN(DH582/DH581)</f>
        <v>1.513136459537477E-2</v>
      </c>
      <c r="EB582"/>
    </row>
    <row r="583" spans="1:132" s="160" customFormat="1" ht="21">
      <c r="A583" s="160" t="s">
        <v>194</v>
      </c>
      <c r="B583" s="161" t="s">
        <v>194</v>
      </c>
      <c r="C583" s="161">
        <v>4061687</v>
      </c>
      <c r="D583" s="161" t="s">
        <v>171</v>
      </c>
      <c r="E583" s="161" t="s">
        <v>3</v>
      </c>
      <c r="F583" s="161"/>
      <c r="G583" s="161" t="s">
        <v>114</v>
      </c>
      <c r="H583" s="162">
        <v>2003</v>
      </c>
      <c r="I583" s="163"/>
      <c r="J583" s="159"/>
      <c r="K583" s="159"/>
      <c r="L583" s="159"/>
      <c r="M583" s="76"/>
      <c r="N583" s="152"/>
      <c r="O583" s="76"/>
      <c r="P583" s="76"/>
      <c r="Q583" s="159"/>
      <c r="R583" s="159"/>
      <c r="S583" s="159"/>
      <c r="T583" s="159"/>
      <c r="U583" s="159"/>
      <c r="V583" s="159"/>
      <c r="W583" s="159">
        <f t="shared" si="1063"/>
        <v>61341.499038168397</v>
      </c>
      <c r="X583" s="163"/>
      <c r="Y583" s="167">
        <v>4742.1777115838768</v>
      </c>
      <c r="Z583" s="168">
        <v>2.2241732123322047E-2</v>
      </c>
      <c r="AA583" s="78"/>
      <c r="AB583" s="168"/>
      <c r="AC583" s="168"/>
      <c r="AD583" s="163">
        <f t="shared" si="1056"/>
        <v>61341.499038168397</v>
      </c>
      <c r="AE583" s="168"/>
      <c r="AF583" s="163"/>
      <c r="AG583" s="163"/>
      <c r="AH583" s="163"/>
      <c r="AI583" s="163"/>
      <c r="AJ583" s="167"/>
      <c r="AK583" s="168"/>
      <c r="AL583" s="115"/>
      <c r="AM583" s="115"/>
      <c r="AN583" s="115"/>
      <c r="AO583" s="115"/>
      <c r="AP583" s="115"/>
      <c r="AQ583" s="168"/>
      <c r="AR583" s="79"/>
      <c r="AS583" s="115"/>
      <c r="AT583" s="115"/>
      <c r="AU583" s="115"/>
      <c r="AV583" s="113">
        <f>IFERROR(INDEX('Total Customers'!$F$7:$AB$91,MATCH($C583,'Total Customers'!$D$7:$D$91,0),MATCH($G583,'Total Customers'!$F$5:$AB$5,0)),"NA")</f>
        <v>735360</v>
      </c>
      <c r="AW583" s="68">
        <f t="shared" si="1074"/>
        <v>-1.8178636554620111E-3</v>
      </c>
      <c r="AX583" s="114"/>
      <c r="AY583" s="114"/>
      <c r="AZ583" s="116"/>
      <c r="BA583" s="116"/>
      <c r="BB583" s="166"/>
      <c r="BC583" s="166"/>
      <c r="BD583" s="166"/>
      <c r="BE583" s="166"/>
      <c r="BF583" s="166"/>
      <c r="BG583" s="166"/>
      <c r="BH583" s="166"/>
      <c r="BI583" s="113"/>
      <c r="BJ583" s="113"/>
      <c r="BK583" s="113">
        <f>INDEX('Dist. Plant Gas Additions'!$F$7:$AE$91,MATCH($C583,'Dist. Plant Gas Additions'!$D$7:$D$91,0),MATCH(Calculation!$G583,'Dist. Plant Gas Additions'!$F$5:$AE$5,0))</f>
        <v>46370</v>
      </c>
      <c r="BL583" s="113">
        <f>INDEX('Gen. Plant Additions'!$F$7:$AE$91,MATCH($C583,'Gen. Plant Additions'!$D$7:$D$91,0),MATCH(Calculation!$G583,'Gen. Plant Additions'!$F$5:$AE$5,0))</f>
        <v>1901</v>
      </c>
      <c r="BM583" s="231">
        <f t="shared" si="1064"/>
        <v>0.96047193461393843</v>
      </c>
      <c r="BN583" s="61">
        <f t="shared" si="1059"/>
        <v>1825.8571477010969</v>
      </c>
      <c r="BO583" s="113">
        <f>INDEX('Dist Plant Depreciation'!$E$7:$AD$94,MATCH($C583,'Dist Plant Depreciation'!$D$7:$D$94,0),MATCH(Calculation!$G583,'Dist Plant Depreciation'!$E$5:$AD$5,0))</f>
        <v>385956</v>
      </c>
      <c r="BP583" s="113">
        <f>INDEX('Gen. Plant Depreciation'!$E$7:$AD$94,MATCH($C583,'Gen. Plant Depreciation'!$D$7:$D$94,0),MATCH(Calculation!$G583,'Gen. Plant Depreciation'!$E$5:$AD$5,0))</f>
        <v>12420</v>
      </c>
      <c r="BQ583" s="113"/>
      <c r="BR583" s="113"/>
      <c r="BS583" s="113"/>
      <c r="BT583" s="113"/>
      <c r="BU583" s="113"/>
      <c r="BV583" s="113"/>
      <c r="BW583" s="113">
        <f>INDEX('Gross Dx Plant'!$E$7:$AD$91,MATCH($C583,'Gross Dx Plant'!$D$7:$D$91,0),MATCH(Calculation!$G583,'Gross Dx Plant'!$E$5:$AD$5,0))</f>
        <v>1274674</v>
      </c>
      <c r="BX583" s="113">
        <f>INDEX('Gross Gen Plant'!$E$7:$AD$91,MATCH($C583,'Gross Gen Plant'!$D$7:$D$91,0),MATCH(Calculation!$G583,'Gross Gen Plant'!$E$5:$AD$5,0))</f>
        <v>52459</v>
      </c>
      <c r="BY583" s="113">
        <f t="shared" si="1075"/>
        <v>928757</v>
      </c>
      <c r="BZ583" s="113"/>
      <c r="CA583" s="116">
        <v>2003</v>
      </c>
      <c r="CB583" s="113"/>
      <c r="CC583" s="113"/>
      <c r="CD583" s="113"/>
      <c r="CE583" s="175"/>
      <c r="CF583" s="113">
        <f t="shared" si="1065"/>
        <v>48271</v>
      </c>
      <c r="CG583" s="113">
        <f t="shared" si="1066"/>
        <v>130.73316460809161</v>
      </c>
      <c r="CH583" s="178">
        <v>0.97354497354497349</v>
      </c>
      <c r="CI583" s="61">
        <f>+CI578*CH583+CG579*CH582+CG580*CH581+CG581*CH580+CG582*CH579+CG583</f>
        <v>4742.1777115838768</v>
      </c>
      <c r="CJ583" s="114">
        <f t="shared" si="1067"/>
        <v>2.2241732123322047E-2</v>
      </c>
      <c r="CK583" s="114"/>
      <c r="CL583" s="169">
        <f t="shared" si="1068"/>
        <v>5.6972808102766954E-3</v>
      </c>
      <c r="CM583" s="169">
        <f t="shared" si="1078"/>
        <v>5.5093760054193627E-3</v>
      </c>
      <c r="CN583" s="114">
        <f>VLOOKUP($H583,RoR!$E:$F,2,FALSE)</f>
        <v>5.6666666666666671E-2</v>
      </c>
      <c r="CO583" s="169">
        <v>1.8855119140166909E-2</v>
      </c>
      <c r="CP583" s="169">
        <f t="shared" si="1076"/>
        <v>3.7811547526499761E-2</v>
      </c>
      <c r="CQ583" s="169">
        <f t="shared" si="1079"/>
        <v>2.5392565603114262E-2</v>
      </c>
      <c r="CR583" s="169">
        <f t="shared" si="1080"/>
        <v>2.1375012817671957E-2</v>
      </c>
      <c r="CS583" s="179">
        <f t="shared" si="1069"/>
        <v>0.85329623209999994</v>
      </c>
      <c r="CT583" s="180">
        <f t="shared" si="1070"/>
        <v>0.90497737556561086</v>
      </c>
      <c r="CU583" s="180">
        <f t="shared" si="1071"/>
        <v>0.5338235294117647</v>
      </c>
      <c r="CV583" s="180">
        <f t="shared" si="1072"/>
        <v>0.88972433127405692</v>
      </c>
      <c r="CW583" s="180">
        <f t="shared" si="1073"/>
        <v>0.42982423775949252</v>
      </c>
      <c r="CX583" s="181">
        <f>INDEX('State Tax Lookup'!$D$7:$Z$91,MATCH(Calculation!$C583,'State Tax Lookup'!$B$7:$B$91,0),MATCH($H583,'State Tax Lookup'!$D$6:$Z$6,0))</f>
        <v>0.39649667</v>
      </c>
      <c r="CY583" s="72">
        <v>0.37</v>
      </c>
      <c r="CZ583" s="70">
        <f t="shared" si="1077"/>
        <v>13.226228499879412</v>
      </c>
      <c r="DA583" s="70"/>
      <c r="DB583" s="69">
        <f t="shared" ref="DB583:DB602" si="1081">LN(CZ583/CZ582)</f>
        <v>1.4826606577865825E-2</v>
      </c>
      <c r="DC583" s="111">
        <f>VLOOKUP($H583,RoR!$E:$F,2,FALSE)</f>
        <v>5.6666666666666671E-2</v>
      </c>
      <c r="DD583" s="216">
        <f>HLOOKUP($H583,'GDP-PI'!$D$8:$CQ$11,3,FALSE)</f>
        <v>1.8855119140166909E-2</v>
      </c>
      <c r="DE583" s="111">
        <f>VLOOKUP(H583,'HW Dx Data'!$E:$F,2,FALSE)</f>
        <v>369.23301095560191</v>
      </c>
      <c r="DF583" s="66"/>
      <c r="DG583" s="69"/>
      <c r="DH583" s="66">
        <f>HLOOKUP(H583,'GDP-PI'!$8:$9,2,FALSE)</f>
        <v>82.566999999999993</v>
      </c>
      <c r="DI583" s="69">
        <f t="shared" ref="DI583:DI602" si="1082">LN(DH583/DH582)</f>
        <v>1.8679564681853753E-2</v>
      </c>
      <c r="EB583"/>
    </row>
    <row r="584" spans="1:132" s="160" customFormat="1" ht="21">
      <c r="A584" s="160" t="s">
        <v>194</v>
      </c>
      <c r="B584" s="161" t="s">
        <v>194</v>
      </c>
      <c r="C584" s="161">
        <v>4061687</v>
      </c>
      <c r="D584" s="161" t="s">
        <v>171</v>
      </c>
      <c r="E584" s="161" t="s">
        <v>3</v>
      </c>
      <c r="F584" s="161"/>
      <c r="G584" s="161" t="s">
        <v>115</v>
      </c>
      <c r="H584" s="162">
        <v>2004</v>
      </c>
      <c r="I584" s="163"/>
      <c r="J584" s="159">
        <f>IFERROR(INDEX('Labor Expenditures'!$F$7:$X$91,MATCH($C584,'Labor Expenditures'!$D$7:$D$91,0),MATCH($G584,'Labor Expenditures'!$F$5:$X$5,0)),"NA")</f>
        <v>78635.857707008021</v>
      </c>
      <c r="K584" s="159">
        <f t="shared" ref="K584:K602" si="1083">+J584/DF584</f>
        <v>833.44841236892444</v>
      </c>
      <c r="L584" s="165"/>
      <c r="M584" s="76"/>
      <c r="N584" s="152"/>
      <c r="O584" s="76"/>
      <c r="P584" s="76"/>
      <c r="Q584" s="159">
        <f>IFERROR(INDEX('Non-Labor Expenditures'!$F$7:$AB$91,MATCH($C584,'Non-Labor Expenditures'!$D$7:$D$91,0),MATCH($G584,'Non-Labor Expenditures'!$F$5:$AB$5,0)),"NA")</f>
        <v>113879.40911202892</v>
      </c>
      <c r="R584" s="159">
        <f t="shared" ref="R584:R602" si="1084">+Q584/DH584</f>
        <v>1343.2660491168572</v>
      </c>
      <c r="S584" s="159"/>
      <c r="T584" s="159"/>
      <c r="U584" s="159"/>
      <c r="V584" s="159"/>
      <c r="W584" s="159">
        <f t="shared" si="1063"/>
        <v>69593.94346850476</v>
      </c>
      <c r="X584" s="163"/>
      <c r="Y584" s="167">
        <v>4837.4179615481644</v>
      </c>
      <c r="Z584" s="168">
        <v>1.9884636335362072E-2</v>
      </c>
      <c r="AA584" s="76">
        <f t="shared" ref="AA584:AA602" si="1085">+Z584*$AR584</f>
        <v>0</v>
      </c>
      <c r="AB584" s="168"/>
      <c r="AC584" s="168"/>
      <c r="AD584" s="163">
        <f t="shared" si="1056"/>
        <v>262109.2102875417</v>
      </c>
      <c r="AE584" s="168"/>
      <c r="AF584" s="163"/>
      <c r="AG584" s="163"/>
      <c r="AH584" s="163"/>
      <c r="AI584" s="163"/>
      <c r="AJ584" s="167"/>
      <c r="AK584" s="168"/>
      <c r="AL584" s="115">
        <f t="shared" ref="AL584:AL602" si="1086">+J584/AD584</f>
        <v>0.30001180660817722</v>
      </c>
      <c r="AM584" s="115">
        <f t="shared" ref="AM584:AM602" si="1087">+Q584/AD584</f>
        <v>0.43447313044474772</v>
      </c>
      <c r="AN584" s="115">
        <f t="shared" ref="AN584:AN602" si="1088">+W584/AD584</f>
        <v>0.265515062947075</v>
      </c>
      <c r="AO584" s="115"/>
      <c r="AP584" s="115"/>
      <c r="AQ584" s="168"/>
      <c r="AR584" s="79"/>
      <c r="AS584" s="115"/>
      <c r="AT584" s="115"/>
      <c r="AU584" s="115"/>
      <c r="AV584" s="113">
        <f>IFERROR(INDEX('Total Customers'!$F$7:$AB$91,MATCH($C584,'Total Customers'!$D$7:$D$91,0),MATCH($G584,'Total Customers'!$F$5:$AB$5,0)),"NA")</f>
        <v>734567</v>
      </c>
      <c r="AW584" s="68">
        <f t="shared" si="1074"/>
        <v>-1.0789652505627078E-3</v>
      </c>
      <c r="AX584" s="114"/>
      <c r="AY584" s="114"/>
      <c r="AZ584" s="116"/>
      <c r="BA584" s="116"/>
      <c r="BB584" s="166"/>
      <c r="BC584" s="166"/>
      <c r="BD584" s="166"/>
      <c r="BE584" s="166"/>
      <c r="BF584" s="166"/>
      <c r="BG584" s="166"/>
      <c r="BH584" s="166"/>
      <c r="BI584" s="113"/>
      <c r="BJ584" s="113"/>
      <c r="BK584" s="113">
        <f>INDEX('Dist. Plant Gas Additions'!$F$7:$AE$91,MATCH($C584,'Dist. Plant Gas Additions'!$D$7:$D$91,0),MATCH(Calculation!$G584,'Dist. Plant Gas Additions'!$F$5:$AE$5,0))</f>
        <v>43937</v>
      </c>
      <c r="BL584" s="113">
        <f>INDEX('Gen. Plant Additions'!$F$7:$AE$91,MATCH($C584,'Gen. Plant Additions'!$D$7:$D$91,0),MATCH(Calculation!$G584,'Gen. Plant Additions'!$F$5:$AE$5,0))</f>
        <v>7162</v>
      </c>
      <c r="BM584" s="231">
        <f t="shared" si="1064"/>
        <v>0.95894246064395805</v>
      </c>
      <c r="BN584" s="61">
        <f t="shared" si="1059"/>
        <v>6867.9459031320275</v>
      </c>
      <c r="BO584" s="113">
        <f>INDEX('Dist Plant Depreciation'!$E$7:$AD$94,MATCH($C584,'Dist Plant Depreciation'!$D$7:$D$94,0),MATCH(Calculation!$G584,'Dist Plant Depreciation'!$E$5:$AD$5,0))</f>
        <v>409857</v>
      </c>
      <c r="BP584" s="113">
        <f>INDEX('Gen. Plant Depreciation'!$E$7:$AD$94,MATCH($C584,'Gen. Plant Depreciation'!$D$7:$D$94,0),MATCH(Calculation!$G584,'Gen. Plant Depreciation'!$E$5:$AD$5,0))</f>
        <v>12120</v>
      </c>
      <c r="BQ584" s="113"/>
      <c r="BR584" s="113"/>
      <c r="BS584" s="113"/>
      <c r="BT584" s="113"/>
      <c r="BU584" s="113"/>
      <c r="BV584" s="113"/>
      <c r="BW584" s="113">
        <f>INDEX('Gross Dx Plant'!$E$7:$AD$91,MATCH($C584,'Gross Dx Plant'!$D$7:$D$91,0),MATCH(Calculation!$G584,'Gross Dx Plant'!$E$5:$AD$5,0))</f>
        <v>1311186</v>
      </c>
      <c r="BX584" s="113">
        <f>INDEX('Gross Gen Plant'!$E$7:$AD$91,MATCH($C584,'Gross Gen Plant'!$D$7:$D$91,0),MATCH(Calculation!$G584,'Gross Gen Plant'!$E$5:$AD$5,0))</f>
        <v>56139</v>
      </c>
      <c r="BY584" s="113">
        <f t="shared" si="1075"/>
        <v>945348</v>
      </c>
      <c r="BZ584" s="113"/>
      <c r="CA584" s="116">
        <v>2004</v>
      </c>
      <c r="CB584" s="113"/>
      <c r="CC584" s="113"/>
      <c r="CD584" s="113"/>
      <c r="CE584" s="175"/>
      <c r="CF584" s="113">
        <f t="shared" si="1065"/>
        <v>51099</v>
      </c>
      <c r="CG584" s="113">
        <f t="shared" si="1066"/>
        <v>123.1635998051612</v>
      </c>
      <c r="CH584" s="178">
        <v>0.967741935483871</v>
      </c>
      <c r="CI584" s="61">
        <f>+CI578*CH584+CG579*CH583+CG580*CH582+CG581*CH581+CG582*CH580+CG583*CH579+CG584</f>
        <v>4837.4179615481644</v>
      </c>
      <c r="CJ584" s="114">
        <f t="shared" si="1067"/>
        <v>1.9884636335362072E-2</v>
      </c>
      <c r="CK584" s="114"/>
      <c r="CL584" s="169">
        <f t="shared" si="1068"/>
        <v>5.8882967993089501E-3</v>
      </c>
      <c r="CM584" s="169">
        <f t="shared" si="1078"/>
        <v>5.7496368589799582E-3</v>
      </c>
      <c r="CN584" s="114">
        <f>VLOOKUP($H584,RoR!$E:$F,2,FALSE)</f>
        <v>5.6283333333333331E-2</v>
      </c>
      <c r="CO584" s="169">
        <v>2.6778252812867276E-2</v>
      </c>
      <c r="CP584" s="169">
        <f t="shared" si="1076"/>
        <v>2.9505080520466055E-2</v>
      </c>
      <c r="CQ584" s="169">
        <f t="shared" si="1079"/>
        <v>2.5152304749553666E-2</v>
      </c>
      <c r="CR584" s="169">
        <f t="shared" si="1080"/>
        <v>5.5940039414565046E-2</v>
      </c>
      <c r="CS584" s="179">
        <f t="shared" si="1069"/>
        <v>0.85329623209999994</v>
      </c>
      <c r="CT584" s="180">
        <f t="shared" si="1070"/>
        <v>0.91114097628755619</v>
      </c>
      <c r="CU584" s="180">
        <f t="shared" si="1071"/>
        <v>0.53081877405981637</v>
      </c>
      <c r="CV584" s="180">
        <f t="shared" si="1072"/>
        <v>0.88811215519385678</v>
      </c>
      <c r="CW584" s="180">
        <f t="shared" si="1073"/>
        <v>0.42953609753547711</v>
      </c>
      <c r="CX584" s="181">
        <f>INDEX('State Tax Lookup'!$D$7:$Z$91,MATCH(Calculation!$C584,'State Tax Lookup'!$B$7:$B$91,0),MATCH($H584,'State Tax Lookup'!$D$6:$Z$6,0))</f>
        <v>0.39649667</v>
      </c>
      <c r="CY584" s="72">
        <v>0.37</v>
      </c>
      <c r="CZ584" s="70">
        <f t="shared" si="1077"/>
        <v>14.675524137044738</v>
      </c>
      <c r="DA584" s="70"/>
      <c r="DB584" s="69">
        <f t="shared" si="1081"/>
        <v>0.10397921572911326</v>
      </c>
      <c r="DC584" s="111">
        <f>VLOOKUP($H584,RoR!$E:$F,2,FALSE)</f>
        <v>5.6283333333333331E-2</v>
      </c>
      <c r="DD584" s="216">
        <f>HLOOKUP($H584,'GDP-PI'!$D$8:$CQ$11,3,FALSE)</f>
        <v>2.6778252812867276E-2</v>
      </c>
      <c r="DE584" s="111">
        <f>VLOOKUP(H584,'HW Dx Data'!$E:$F,2,FALSE)</f>
        <v>414.88719135228365</v>
      </c>
      <c r="DF584" s="72">
        <f>VLOOKUP(G584,EG$8:EH$27,2,FALSE)</f>
        <v>94.35</v>
      </c>
      <c r="DG584" s="69"/>
      <c r="DH584" s="66">
        <f>HLOOKUP(H584,'GDP-PI'!$8:$9,2,FALSE)</f>
        <v>84.778000000000006</v>
      </c>
      <c r="DI584" s="69">
        <f t="shared" si="1082"/>
        <v>2.6425990216022755E-2</v>
      </c>
      <c r="EB584"/>
    </row>
    <row r="585" spans="1:132" s="160" customFormat="1" ht="21">
      <c r="A585" s="160" t="s">
        <v>194</v>
      </c>
      <c r="B585" s="161" t="s">
        <v>194</v>
      </c>
      <c r="C585" s="161">
        <v>4061687</v>
      </c>
      <c r="D585" s="161" t="s">
        <v>171</v>
      </c>
      <c r="E585" s="161" t="s">
        <v>3</v>
      </c>
      <c r="F585" s="161"/>
      <c r="G585" s="161" t="s">
        <v>116</v>
      </c>
      <c r="H585" s="162">
        <v>2005</v>
      </c>
      <c r="I585" s="163"/>
      <c r="J585" s="159">
        <f>IFERROR(INDEX('Labor Expenditures'!$F$7:$X$91,MATCH($C585,'Labor Expenditures'!$D$7:$D$91,0),MATCH($G585,'Labor Expenditures'!$F$5:$X$5,0)),"NA")</f>
        <v>81900.523692741204</v>
      </c>
      <c r="K585" s="159">
        <f t="shared" si="1083"/>
        <v>825.40210322742462</v>
      </c>
      <c r="L585" s="165">
        <f t="shared" ref="L585:L601" si="1089">LN(K585/K584)</f>
        <v>-9.7011420503240013E-3</v>
      </c>
      <c r="M585" s="76"/>
      <c r="N585" s="62">
        <v>100</v>
      </c>
      <c r="O585" s="77"/>
      <c r="P585" s="77"/>
      <c r="Q585" s="159">
        <f>IFERROR(INDEX('Non-Labor Expenditures'!$F$7:$AB$91,MATCH($C585,'Non-Labor Expenditures'!$D$7:$D$91,0),MATCH($G585,'Non-Labor Expenditures'!$F$5:$AB$5,0)),"NA")</f>
        <v>118607.25521486733</v>
      </c>
      <c r="R585" s="159">
        <f t="shared" si="1084"/>
        <v>1356.9537361408964</v>
      </c>
      <c r="S585" s="165">
        <f>LN(R585/R584)</f>
        <v>1.0138288993511962E-2</v>
      </c>
      <c r="T585" s="165"/>
      <c r="U585" s="165"/>
      <c r="V585" s="165"/>
      <c r="W585" s="159">
        <f t="shared" si="1063"/>
        <v>79634.984001825505</v>
      </c>
      <c r="X585" s="163"/>
      <c r="Y585" s="167">
        <v>4903.8307753489407</v>
      </c>
      <c r="Z585" s="168">
        <v>1.3635591205802123E-2</v>
      </c>
      <c r="AA585" s="76">
        <f t="shared" si="1085"/>
        <v>0</v>
      </c>
      <c r="AB585" s="168"/>
      <c r="AC585" s="168"/>
      <c r="AD585" s="163">
        <f t="shared" si="1056"/>
        <v>280142.76290943404</v>
      </c>
      <c r="AE585" s="168">
        <f>LN(AD585/AD584)</f>
        <v>6.6538090695811278E-2</v>
      </c>
      <c r="AF585" s="163"/>
      <c r="AG585" s="163"/>
      <c r="AH585" s="163"/>
      <c r="AI585" s="163"/>
      <c r="AJ585" s="116"/>
      <c r="AK585" s="114"/>
      <c r="AL585" s="115">
        <f t="shared" si="1086"/>
        <v>0.29235280912546158</v>
      </c>
      <c r="AM585" s="115">
        <f t="shared" si="1087"/>
        <v>0.42338147158636857</v>
      </c>
      <c r="AN585" s="115">
        <f t="shared" si="1088"/>
        <v>0.2842657192881699</v>
      </c>
      <c r="AO585" s="115">
        <f t="shared" ref="AO585:AO601" si="1090">+(((AL585+AL584)/2)*L585+((AM584+AM585)/2)*S585+((AN584+AN585)/2)*Z585)</f>
        <v>5.2235752931769734E-3</v>
      </c>
      <c r="AP585" s="166">
        <v>100</v>
      </c>
      <c r="AQ585" s="168"/>
      <c r="AR585" s="16"/>
      <c r="AS585" s="115"/>
      <c r="AT585" s="115"/>
      <c r="AU585" s="115"/>
      <c r="AV585" s="113">
        <f>IFERROR(INDEX('Total Customers'!$F$7:$AB$91,MATCH($C585,'Total Customers'!$D$7:$D$91,0),MATCH($G585,'Total Customers'!$F$5:$AB$5,0)),"NA")</f>
        <v>733212</v>
      </c>
      <c r="AW585" s="68">
        <f t="shared" si="1074"/>
        <v>-1.8463275260437444E-3</v>
      </c>
      <c r="AX585" s="114"/>
      <c r="AY585" s="114"/>
      <c r="AZ585" s="116"/>
      <c r="BA585" s="116"/>
      <c r="BB585" s="166"/>
      <c r="BC585" s="166"/>
      <c r="BD585" s="166"/>
      <c r="BE585" s="166"/>
      <c r="BF585" s="166"/>
      <c r="BG585" s="166"/>
      <c r="BH585" s="166"/>
      <c r="BI585" s="113"/>
      <c r="BJ585" s="113"/>
      <c r="BK585" s="113">
        <f>INDEX('Dist. Plant Gas Additions'!$F$7:$AE$91,MATCH($C585,'Dist. Plant Gas Additions'!$D$7:$D$91,0),MATCH(Calculation!$G585,'Dist. Plant Gas Additions'!$F$5:$AE$5,0))</f>
        <v>40851</v>
      </c>
      <c r="BL585" s="113">
        <f>INDEX('Gen. Plant Additions'!$F$7:$AE$91,MATCH($C585,'Gen. Plant Additions'!$D$7:$D$91,0),MATCH(Calculation!$G585,'Gen. Plant Additions'!$F$5:$AE$5,0))</f>
        <v>4127</v>
      </c>
      <c r="BM585" s="231">
        <f t="shared" si="1064"/>
        <v>0.95936884952266233</v>
      </c>
      <c r="BN585" s="61">
        <f t="shared" si="1059"/>
        <v>3959.3152419800276</v>
      </c>
      <c r="BO585" s="113">
        <f>INDEX('Dist Plant Depreciation'!$E$7:$AD$94,MATCH($C585,'Dist Plant Depreciation'!$D$7:$D$94,0),MATCH(Calculation!$G585,'Dist Plant Depreciation'!$E$5:$AD$5,0))</f>
        <v>433559</v>
      </c>
      <c r="BP585" s="113">
        <f>INDEX('Gen. Plant Depreciation'!$E$7:$AD$94,MATCH($C585,'Gen. Plant Depreciation'!$D$7:$D$94,0),MATCH(Calculation!$G585,'Gen. Plant Depreciation'!$E$5:$AD$5,0))</f>
        <v>14008</v>
      </c>
      <c r="BQ585" s="113"/>
      <c r="BR585" s="113"/>
      <c r="BS585" s="113"/>
      <c r="BT585" s="113"/>
      <c r="BU585" s="113"/>
      <c r="BV585" s="113"/>
      <c r="BW585" s="113">
        <f>INDEX('Gross Dx Plant'!$E$7:$AD$91,MATCH($C585,'Gross Dx Plant'!$D$7:$D$91,0),MATCH(Calculation!$G585,'Gross Dx Plant'!$E$5:$AD$5,0))</f>
        <v>1344377</v>
      </c>
      <c r="BX585" s="113">
        <f>INDEX('Gross Gen Plant'!$E$7:$AD$91,MATCH($C585,'Gross Gen Plant'!$D$7:$D$91,0),MATCH(Calculation!$G585,'Gross Gen Plant'!$E$5:$AD$5,0))</f>
        <v>56937</v>
      </c>
      <c r="BY585" s="113">
        <f t="shared" si="1075"/>
        <v>953747</v>
      </c>
      <c r="BZ585" s="113"/>
      <c r="CA585" s="116">
        <v>2005</v>
      </c>
      <c r="CB585" s="113"/>
      <c r="CC585" s="113"/>
      <c r="CD585" s="113"/>
      <c r="CE585" s="175"/>
      <c r="CF585" s="113">
        <f t="shared" si="1065"/>
        <v>44978</v>
      </c>
      <c r="CG585" s="113">
        <f t="shared" si="1066"/>
        <v>95.859989868205844</v>
      </c>
      <c r="CH585" s="178">
        <v>0.96174863387978138</v>
      </c>
      <c r="CI585" s="61">
        <f>+CI578*CH585+CG579*CH584+CG580*CH583+CG581*CH582+CG582*CH581+CG583*CH580+CG584*CH579+CG585</f>
        <v>4903.8307753489407</v>
      </c>
      <c r="CJ585" s="114">
        <f t="shared" si="1067"/>
        <v>1.3635591205802123E-2</v>
      </c>
      <c r="CK585" s="114"/>
      <c r="CL585" s="169">
        <f t="shared" si="1068"/>
        <v>6.0873747733812189E-3</v>
      </c>
      <c r="CM585" s="169">
        <f t="shared" si="1078"/>
        <v>5.8909841276556215E-3</v>
      </c>
      <c r="CN585" s="114">
        <f>VLOOKUP($H585,RoR!$E:$F,2,FALSE)</f>
        <v>5.2350000000000001E-2</v>
      </c>
      <c r="CO585" s="169">
        <v>3.1010403642454332E-2</v>
      </c>
      <c r="CP585" s="169">
        <f t="shared" si="1076"/>
        <v>2.1339596357545669E-2</v>
      </c>
      <c r="CQ585" s="169">
        <f t="shared" si="1079"/>
        <v>2.5010957480878004E-2</v>
      </c>
      <c r="CR585" s="169">
        <f t="shared" si="1080"/>
        <v>9.2129610649277341E-2</v>
      </c>
      <c r="CS585" s="179">
        <f t="shared" si="1069"/>
        <v>0.85329623209999994</v>
      </c>
      <c r="CT585" s="180">
        <f t="shared" si="1070"/>
        <v>0.97959983346802826</v>
      </c>
      <c r="CU585" s="180">
        <f t="shared" si="1071"/>
        <v>0.49744508118433622</v>
      </c>
      <c r="CV585" s="180">
        <f t="shared" si="1072"/>
        <v>0.87010519444335932</v>
      </c>
      <c r="CW585" s="180">
        <f t="shared" si="1073"/>
        <v>0.42399975420741998</v>
      </c>
      <c r="CX585" s="181">
        <f>INDEX('State Tax Lookup'!$D$7:$Z$91,MATCH(Calculation!$C585,'State Tax Lookup'!$B$7:$B$91,0),MATCH($H585,'State Tax Lookup'!$D$6:$Z$6,0))</f>
        <v>0.39649667</v>
      </c>
      <c r="CY585" s="72">
        <v>0.37</v>
      </c>
      <c r="CZ585" s="70">
        <f t="shared" si="1077"/>
        <v>16.462291378340847</v>
      </c>
      <c r="DA585" s="70"/>
      <c r="DB585" s="69">
        <f t="shared" si="1081"/>
        <v>0.11489131305129222</v>
      </c>
      <c r="DC585" s="111">
        <f>VLOOKUP($H585,RoR!$E:$F,2,FALSE)</f>
        <v>5.2350000000000001E-2</v>
      </c>
      <c r="DD585" s="216">
        <f>HLOOKUP($H585,'GDP-PI'!$D$8:$CQ$11,3,FALSE)</f>
        <v>3.1010403642454332E-2</v>
      </c>
      <c r="DE585" s="111">
        <f>VLOOKUP(H585,'HW Dx Data'!$E:$F,2,FALSE)</f>
        <v>469.20514034936258</v>
      </c>
      <c r="DF585" s="72">
        <f t="shared" ref="DF585:DF603" si="1091">VLOOKUP(G585,EG$8:EH$27,2,FALSE)</f>
        <v>99.224999999999994</v>
      </c>
      <c r="DG585" s="69">
        <f t="shared" ref="DG585:DG603" si="1092">LN(DF585/DF584)</f>
        <v>5.0378726854569796E-2</v>
      </c>
      <c r="DH585" s="66">
        <f>HLOOKUP(H585,'GDP-PI'!$8:$9,2,FALSE)</f>
        <v>87.406999999999996</v>
      </c>
      <c r="DI585" s="69">
        <f t="shared" si="1082"/>
        <v>3.0539295810733648E-2</v>
      </c>
      <c r="EB585"/>
    </row>
    <row r="586" spans="1:132" s="160" customFormat="1" ht="21">
      <c r="A586" s="160" t="s">
        <v>194</v>
      </c>
      <c r="B586" s="161" t="s">
        <v>194</v>
      </c>
      <c r="C586" s="161">
        <v>4061687</v>
      </c>
      <c r="D586" s="161" t="s">
        <v>171</v>
      </c>
      <c r="E586" s="161" t="s">
        <v>3</v>
      </c>
      <c r="F586" s="161"/>
      <c r="G586" s="161" t="s">
        <v>117</v>
      </c>
      <c r="H586" s="162">
        <v>2006</v>
      </c>
      <c r="I586" s="163"/>
      <c r="J586" s="159">
        <f>IFERROR(INDEX('Labor Expenditures'!$F$7:$X$91,MATCH($C586,'Labor Expenditures'!$D$7:$D$91,0),MATCH($G586,'Labor Expenditures'!$F$5:$X$5,0)),"NA")</f>
        <v>79587.267063006031</v>
      </c>
      <c r="K586" s="159">
        <f t="shared" si="1083"/>
        <v>727.48873000919582</v>
      </c>
      <c r="L586" s="165">
        <f t="shared" si="1089"/>
        <v>-0.12627215791699248</v>
      </c>
      <c r="M586" s="76">
        <f t="shared" ref="M586:M602" si="1093">+L586*$AR586</f>
        <v>-4.3406002273404945E-3</v>
      </c>
      <c r="N586" s="62">
        <f>+N585*EXP(O586)</f>
        <v>107.99790550257566</v>
      </c>
      <c r="O586" s="96">
        <f t="shared" ref="O586:O602" si="1094">+M586+M611+M636+M661+M686+M711+M736+M761+M786+M811+M836+M861+M886+M911+M936+M961+M986+M1011+M1036+M1061+M1086+M1111+M1136+M1161+M1186+M1211+M1236+M1261+M1286+M1311+M1336+M1361+M1386+M1411+M1436+M1461+M1486+M1511+M1536+M1561+M1586+M1611+M1636+M1661+M1686+M1711+M1736+M1761+M1786+M1811+M1836+M1861+M1886+M1911</f>
        <v>7.694164745340222E-2</v>
      </c>
      <c r="P586" s="96"/>
      <c r="Q586" s="159">
        <f>IFERROR(INDEX('Non-Labor Expenditures'!$F$7:$AB$91,MATCH($C586,'Non-Labor Expenditures'!$D$7:$D$91,0),MATCH($G586,'Non-Labor Expenditures'!$F$5:$AB$5,0)),"NA")</f>
        <v>115257.22755827004</v>
      </c>
      <c r="R586" s="159">
        <f t="shared" si="1084"/>
        <v>1279.5837595562541</v>
      </c>
      <c r="S586" s="165">
        <f t="shared" ref="S586:S601" si="1095">LN(R586/R585)</f>
        <v>-5.8707450323695148E-2</v>
      </c>
      <c r="T586" s="165">
        <f t="shared" ref="T586:T602" si="1096">+S586*AR586</f>
        <v>-2.0180661867608743E-3</v>
      </c>
      <c r="U586" s="165"/>
      <c r="V586" s="165"/>
      <c r="W586" s="159">
        <f t="shared" si="1063"/>
        <v>78767.318861062216</v>
      </c>
      <c r="X586" s="163"/>
      <c r="Y586" s="167">
        <v>4985.0236701713447</v>
      </c>
      <c r="Z586" s="168">
        <v>1.642146111682825E-2</v>
      </c>
      <c r="AA586" s="76">
        <f t="shared" si="1085"/>
        <v>5.6448704950322033E-4</v>
      </c>
      <c r="AB586" s="168"/>
      <c r="AC586" s="168"/>
      <c r="AD586" s="163">
        <f t="shared" si="1056"/>
        <v>273611.81348233827</v>
      </c>
      <c r="AE586" s="168">
        <f t="shared" ref="AE586:AE602" si="1097">LN(AD586/AD585)</f>
        <v>-2.3588978015879055E-2</v>
      </c>
      <c r="AF586" s="163"/>
      <c r="AG586" s="163"/>
      <c r="AH586" s="163"/>
      <c r="AI586" s="163"/>
      <c r="AJ586" s="116">
        <f t="shared" ref="AJ586:AJ602" si="1098">+(AD586*1000)/AV586</f>
        <v>380.41584425082203</v>
      </c>
      <c r="AK586" s="114">
        <f>+AV586/$AX$11</f>
        <v>2.0738579867294472E-2</v>
      </c>
      <c r="AL586" s="115">
        <f t="shared" si="1086"/>
        <v>0.29087657455310645</v>
      </c>
      <c r="AM586" s="115">
        <f t="shared" si="1087"/>
        <v>0.42124360820301326</v>
      </c>
      <c r="AN586" s="115">
        <f t="shared" si="1088"/>
        <v>0.28787981724388034</v>
      </c>
      <c r="AO586" s="115">
        <f t="shared" si="1090"/>
        <v>-5.691797603512231E-2</v>
      </c>
      <c r="AP586" s="166">
        <f>+AP585*EXP(AO586)</f>
        <v>94.46715518949614</v>
      </c>
      <c r="AQ586" s="168">
        <f>LN(AP586/AP585)</f>
        <v>-5.6917976035122268E-2</v>
      </c>
      <c r="AR586" s="69">
        <f>+AD586/$AF$11</f>
        <v>3.437495881074492E-2</v>
      </c>
      <c r="AS586" s="169">
        <f>+AR586*AQ586</f>
        <v>-1.9565530817982945E-3</v>
      </c>
      <c r="AT586" s="115"/>
      <c r="AU586" s="115"/>
      <c r="AV586" s="113">
        <f>IFERROR(INDEX('Total Customers'!$F$7:$AB$91,MATCH($C586,'Total Customers'!$D$7:$D$91,0),MATCH($G586,'Total Customers'!$F$5:$AB$5,0)),"NA")</f>
        <v>719244</v>
      </c>
      <c r="AW586" s="68">
        <f t="shared" si="1074"/>
        <v>-1.9234222069807884E-2</v>
      </c>
      <c r="AX586" s="114"/>
      <c r="AY586" s="114"/>
      <c r="AZ586" s="116">
        <v>8247377</v>
      </c>
      <c r="BA586" s="116"/>
      <c r="BB586" s="166"/>
      <c r="BC586" s="166"/>
      <c r="BD586" s="166"/>
      <c r="BE586" s="166"/>
      <c r="BF586" s="166"/>
      <c r="BG586" s="166"/>
      <c r="BH586" s="166"/>
      <c r="BI586" s="113"/>
      <c r="BJ586" s="113"/>
      <c r="BK586" s="113">
        <f>INDEX('Dist. Plant Gas Additions'!$F$7:$AE$91,MATCH($C586,'Dist. Plant Gas Additions'!$D$7:$D$91,0),MATCH(Calculation!$G586,'Dist. Plant Gas Additions'!$F$5:$AE$5,0))</f>
        <v>46149</v>
      </c>
      <c r="BL586" s="113">
        <f>INDEX('Gen. Plant Additions'!$F$7:$AE$91,MATCH($C586,'Gen. Plant Additions'!$D$7:$D$91,0),MATCH(Calculation!$G586,'Gen. Plant Additions'!$F$5:$AE$5,0))</f>
        <v>5535</v>
      </c>
      <c r="BM586" s="231">
        <f t="shared" si="1064"/>
        <v>0.96564533049120871</v>
      </c>
      <c r="BN586" s="61">
        <f>+BM586*BL586</f>
        <v>5344.8469042688403</v>
      </c>
      <c r="BO586" s="113">
        <f>INDEX('Dist Plant Depreciation'!$E$7:$AD$94,MATCH($C586,'Dist Plant Depreciation'!$D$7:$D$94,0),MATCH(Calculation!$G586,'Dist Plant Depreciation'!$E$5:$AD$5,0))</f>
        <v>452594</v>
      </c>
      <c r="BP586" s="113">
        <f>INDEX('Gen. Plant Depreciation'!$E$7:$AD$94,MATCH($C586,'Gen. Plant Depreciation'!$D$7:$D$94,0),MATCH(Calculation!$G586,'Gen. Plant Depreciation'!$E$5:$AD$5,0))</f>
        <v>7734</v>
      </c>
      <c r="BQ586" s="113"/>
      <c r="BR586" s="113"/>
      <c r="BS586" s="113"/>
      <c r="BT586" s="113"/>
      <c r="BU586" s="113"/>
      <c r="BV586" s="113"/>
      <c r="BW586" s="113">
        <f>INDEX('Gross Dx Plant'!$E$7:$AD$91,MATCH($C586,'Gross Dx Plant'!$D$7:$D$91,0),MATCH(Calculation!$G586,'Gross Dx Plant'!$E$5:$AD$5,0))</f>
        <v>1383510</v>
      </c>
      <c r="BX586" s="113">
        <f>INDEX('Gross Gen Plant'!$E$7:$AD$91,MATCH($C586,'Gross Gen Plant'!$D$7:$D$91,0),MATCH(Calculation!$G586,'Gross Gen Plant'!$E$5:$AD$5,0))</f>
        <v>49221</v>
      </c>
      <c r="BY586" s="113">
        <f t="shared" si="1075"/>
        <v>972403</v>
      </c>
      <c r="BZ586" s="114"/>
      <c r="CA586" s="116">
        <v>2006</v>
      </c>
      <c r="CB586" s="113"/>
      <c r="CC586" s="113"/>
      <c r="CD586" s="113"/>
      <c r="CE586" s="175"/>
      <c r="CF586" s="113">
        <f t="shared" si="1065"/>
        <v>51684</v>
      </c>
      <c r="CG586" s="113">
        <f t="shared" si="1066"/>
        <v>112.09196697442476</v>
      </c>
      <c r="CH586" s="178">
        <v>0.9555555555555556</v>
      </c>
      <c r="CI586" s="61">
        <f>+CI578*CH586+CG579*CH585+CG580*CH584+CG581*CH583+CG582*CH582+CG583*CH581+CG584*CH580+CG585*CH579+CG586</f>
        <v>4985.0236701713447</v>
      </c>
      <c r="CJ586" s="114">
        <f t="shared" si="1067"/>
        <v>1.642146111682825E-2</v>
      </c>
      <c r="CK586" s="114"/>
      <c r="CL586" s="169">
        <f t="shared" si="1068"/>
        <v>6.3010070223767194E-3</v>
      </c>
      <c r="CM586" s="169">
        <f t="shared" si="1078"/>
        <v>6.0922261983556297E-3</v>
      </c>
      <c r="CN586" s="114">
        <f>VLOOKUP($H586,RoR!$E:$F,2,FALSE)</f>
        <v>5.5874999999999994E-2</v>
      </c>
      <c r="CO586" s="169">
        <v>3.0512430354548314E-2</v>
      </c>
      <c r="CP586" s="169">
        <f t="shared" si="1076"/>
        <v>2.536256964545168E-2</v>
      </c>
      <c r="CQ586" s="169">
        <f t="shared" si="1079"/>
        <v>2.4809715410177995E-2</v>
      </c>
      <c r="CR586" s="169">
        <f t="shared" si="1080"/>
        <v>7.9087823893859641E-2</v>
      </c>
      <c r="CS586" s="179">
        <f t="shared" si="1069"/>
        <v>0.85329623209999994</v>
      </c>
      <c r="CT586" s="180">
        <f t="shared" si="1070"/>
        <v>0.91779957551769631</v>
      </c>
      <c r="CU586" s="180">
        <f t="shared" si="1071"/>
        <v>0.52757270693512304</v>
      </c>
      <c r="CV586" s="180">
        <f t="shared" si="1072"/>
        <v>0.88636824549024895</v>
      </c>
      <c r="CW586" s="180">
        <f t="shared" si="1073"/>
        <v>0.42918482841932087</v>
      </c>
      <c r="CX586" s="181">
        <f>INDEX('State Tax Lookup'!$D$7:$Z$91,MATCH(Calculation!$C586,'State Tax Lookup'!$B$7:$B$91,0),MATCH($H586,'State Tax Lookup'!$D$6:$Z$6,0))</f>
        <v>0.39649667</v>
      </c>
      <c r="CY586" s="72">
        <v>0.37</v>
      </c>
      <c r="CZ586" s="70">
        <f t="shared" si="1077"/>
        <v>16.062405590547197</v>
      </c>
      <c r="DA586" s="70">
        <v>14.788696346247992</v>
      </c>
      <c r="DB586" s="69">
        <f t="shared" si="1081"/>
        <v>-2.4590909444098471E-2</v>
      </c>
      <c r="DC586" s="111">
        <f>VLOOKUP($H586,RoR!$E:$F,2,FALSE)</f>
        <v>5.5874999999999994E-2</v>
      </c>
      <c r="DD586" s="216">
        <f>HLOOKUP($H586,'GDP-PI'!$D$8:$CQ$11,3,FALSE)</f>
        <v>3.0512430354548314E-2</v>
      </c>
      <c r="DE586" s="111">
        <f>VLOOKUP(H586,'HW Dx Data'!$E:$F,2,FALSE)</f>
        <v>461.08567272971823</v>
      </c>
      <c r="DF586" s="72">
        <f t="shared" si="1091"/>
        <v>109.4</v>
      </c>
      <c r="DG586" s="69">
        <f t="shared" si="1092"/>
        <v>9.7620891318751846E-2</v>
      </c>
      <c r="DH586" s="66">
        <f>HLOOKUP(H586,'GDP-PI'!$8:$9,2,FALSE)</f>
        <v>90.073999999999998</v>
      </c>
      <c r="DI586" s="69">
        <f t="shared" si="1082"/>
        <v>3.005618372545445E-2</v>
      </c>
      <c r="EB586"/>
    </row>
    <row r="587" spans="1:132" s="160" customFormat="1" ht="21">
      <c r="A587" s="160" t="s">
        <v>194</v>
      </c>
      <c r="B587" s="161" t="s">
        <v>194</v>
      </c>
      <c r="C587" s="161">
        <v>4061687</v>
      </c>
      <c r="D587" s="161" t="s">
        <v>171</v>
      </c>
      <c r="E587" s="161" t="s">
        <v>3</v>
      </c>
      <c r="F587" s="161"/>
      <c r="G587" s="161" t="s">
        <v>118</v>
      </c>
      <c r="H587" s="162">
        <v>2007</v>
      </c>
      <c r="I587" s="163"/>
      <c r="J587" s="159">
        <f>IFERROR(INDEX('Labor Expenditures'!$F$7:$X$91,MATCH($C587,'Labor Expenditures'!$D$7:$D$91,0),MATCH($G587,'Labor Expenditures'!$F$5:$X$5,0)),"NA")</f>
        <v>79049.444214847972</v>
      </c>
      <c r="K587" s="159">
        <f t="shared" si="1083"/>
        <v>756.2730850499687</v>
      </c>
      <c r="L587" s="165">
        <f t="shared" si="1089"/>
        <v>3.8804027035700732E-2</v>
      </c>
      <c r="M587" s="76">
        <f t="shared" si="1093"/>
        <v>1.2896131555729755E-3</v>
      </c>
      <c r="N587" s="62">
        <f t="shared" ref="N587:N600" si="1099">+N586*EXP(O587)</f>
        <v>118.0307358881778</v>
      </c>
      <c r="O587" s="96">
        <f t="shared" si="1094"/>
        <v>8.8833230735430563E-2</v>
      </c>
      <c r="P587" s="96"/>
      <c r="Q587" s="159">
        <f>IFERROR(INDEX('Non-Labor Expenditures'!$F$7:$AB$91,MATCH($C587,'Non-Labor Expenditures'!$D$7:$D$91,0),MATCH($G587,'Non-Labor Expenditures'!$F$5:$AB$5,0)),"NA")</f>
        <v>114478.35962268537</v>
      </c>
      <c r="R587" s="159">
        <f t="shared" si="1084"/>
        <v>1237.63064739438</v>
      </c>
      <c r="S587" s="165">
        <f t="shared" si="1095"/>
        <v>-3.333605365958936E-2</v>
      </c>
      <c r="T587" s="165">
        <f t="shared" si="1096"/>
        <v>-1.1078905113312226E-3</v>
      </c>
      <c r="U587" s="165"/>
      <c r="V587" s="165"/>
      <c r="W587" s="159">
        <f t="shared" si="1063"/>
        <v>85895.263897676603</v>
      </c>
      <c r="X587" s="163"/>
      <c r="Y587" s="167">
        <v>5054.0116406908537</v>
      </c>
      <c r="Z587" s="168">
        <v>1.3744160544646108E-2</v>
      </c>
      <c r="AA587" s="76">
        <f t="shared" si="1085"/>
        <v>4.5677347442252589E-4</v>
      </c>
      <c r="AB587" s="168"/>
      <c r="AC587" s="168"/>
      <c r="AD587" s="163">
        <f t="shared" si="1056"/>
        <v>279423.06773520994</v>
      </c>
      <c r="AE587" s="168">
        <f t="shared" si="1097"/>
        <v>2.1016642352561319E-2</v>
      </c>
      <c r="AF587" s="163"/>
      <c r="AG587" s="163"/>
      <c r="AH587" s="163"/>
      <c r="AI587" s="163"/>
      <c r="AJ587" s="116">
        <f t="shared" si="1098"/>
        <v>385.21400460620833</v>
      </c>
      <c r="AK587" s="114">
        <f>+AV587/$AX$12</f>
        <v>2.075777254987609E-2</v>
      </c>
      <c r="AL587" s="115">
        <f t="shared" si="1086"/>
        <v>0.2829023561138399</v>
      </c>
      <c r="AM587" s="115">
        <f t="shared" si="1087"/>
        <v>0.40969545052439499</v>
      </c>
      <c r="AN587" s="115">
        <f t="shared" si="1088"/>
        <v>0.30740219336176511</v>
      </c>
      <c r="AO587" s="115">
        <f t="shared" si="1090"/>
        <v>1.3731778058169025E-3</v>
      </c>
      <c r="AP587" s="166">
        <f>+AP586*EXP(AO587)</f>
        <v>94.596964495612525</v>
      </c>
      <c r="AQ587" s="168">
        <f>LN(AP587/AP586)</f>
        <v>1.3731778058168453E-3</v>
      </c>
      <c r="AR587" s="69">
        <f>+AD587/$AF$12</f>
        <v>3.3234003119998273E-2</v>
      </c>
      <c r="AS587" s="169">
        <f t="shared" ref="AS587:AS601" si="1100">+AR587*AQ587</f>
        <v>4.5636195482829422E-5</v>
      </c>
      <c r="AT587" s="115"/>
      <c r="AU587" s="115"/>
      <c r="AV587" s="113">
        <f>IFERROR(INDEX('Total Customers'!$F$7:$AB$91,MATCH($C587,'Total Customers'!$D$7:$D$91,0),MATCH($G587,'Total Customers'!$F$5:$AB$5,0)),"NA")</f>
        <v>725371</v>
      </c>
      <c r="AW587" s="68">
        <f t="shared" si="1074"/>
        <v>8.4825877325371592E-3</v>
      </c>
      <c r="AX587" s="114"/>
      <c r="AY587" s="114"/>
      <c r="AZ587" s="116">
        <v>8187757</v>
      </c>
      <c r="BA587" s="116"/>
      <c r="BB587" s="166"/>
      <c r="BC587" s="166"/>
      <c r="BD587" s="166"/>
      <c r="BE587" s="166"/>
      <c r="BF587" s="166"/>
      <c r="BG587" s="166"/>
      <c r="BH587" s="166"/>
      <c r="BI587" s="113"/>
      <c r="BJ587" s="113"/>
      <c r="BK587" s="113">
        <f>INDEX('Dist. Plant Gas Additions'!$F$7:$AE$91,MATCH($C587,'Dist. Plant Gas Additions'!$D$7:$D$91,0),MATCH(Calculation!$G587,'Dist. Plant Gas Additions'!$F$5:$AE$5,0))</f>
        <v>45253</v>
      </c>
      <c r="BL587" s="113">
        <f>INDEX('Gen. Plant Additions'!$F$7:$AE$91,MATCH($C587,'Gen. Plant Additions'!$D$7:$D$91,0),MATCH(Calculation!$G587,'Gen. Plant Additions'!$F$5:$AE$5,0))</f>
        <v>5288</v>
      </c>
      <c r="BM587" s="231">
        <f t="shared" si="1064"/>
        <v>0.95930524445165188</v>
      </c>
      <c r="BN587" s="61">
        <f t="shared" ref="BN587:BN603" si="1101">+BM587*BL587</f>
        <v>5072.8061326603356</v>
      </c>
      <c r="BO587" s="113">
        <f>INDEX('Dist Plant Depreciation'!$E$7:$AD$94,MATCH($C587,'Dist Plant Depreciation'!$D$7:$D$94,0),MATCH(Calculation!$G587,'Dist Plant Depreciation'!$E$5:$AD$5,0))</f>
        <v>473629</v>
      </c>
      <c r="BP587" s="113">
        <f>INDEX('Gen. Plant Depreciation'!$E$7:$AD$94,MATCH($C587,'Gen. Plant Depreciation'!$D$7:$D$94,0),MATCH(Calculation!$G587,'Gen. Plant Depreciation'!$E$5:$AD$5,0))</f>
        <v>20454</v>
      </c>
      <c r="BQ587" s="113"/>
      <c r="BR587" s="113"/>
      <c r="BS587" s="113"/>
      <c r="BT587" s="113"/>
      <c r="BU587" s="113"/>
      <c r="BV587" s="113"/>
      <c r="BW587" s="113">
        <f>INDEX('Gross Dx Plant'!$E$7:$AD$91,MATCH($C587,'Gross Dx Plant'!$D$7:$D$91,0),MATCH(Calculation!$G587,'Gross Dx Plant'!$E$5:$AD$5,0))</f>
        <v>1419719</v>
      </c>
      <c r="BX587" s="113">
        <f>INDEX('Gross Gen Plant'!$E$7:$AD$91,MATCH($C587,'Gross Gen Plant'!$D$7:$D$91,0),MATCH(Calculation!$G587,'Gross Gen Plant'!$E$5:$AD$5,0))</f>
        <v>60226</v>
      </c>
      <c r="BY587" s="113">
        <f t="shared" si="1075"/>
        <v>985862</v>
      </c>
      <c r="BZ587" s="113"/>
      <c r="CA587" s="116">
        <v>2007</v>
      </c>
      <c r="CB587" s="113"/>
      <c r="CC587" s="113"/>
      <c r="CD587" s="113"/>
      <c r="CE587" s="175"/>
      <c r="CF587" s="113">
        <f t="shared" si="1065"/>
        <v>50541</v>
      </c>
      <c r="CG587" s="113">
        <f t="shared" si="1066"/>
        <v>101.48340431606093</v>
      </c>
      <c r="CH587" s="178">
        <v>0.94915254237288138</v>
      </c>
      <c r="CI587" s="61">
        <f>+CI578*CH587+CG579*CH586+CG580*CH585+CG581*CH584+CG582*CH583+CG583*CH582+CG584*CH581+CG585*CH580+CG586*CH579+CG587</f>
        <v>5054.0116406908537</v>
      </c>
      <c r="CJ587" s="114">
        <f t="shared" si="1067"/>
        <v>1.3744160544646108E-2</v>
      </c>
      <c r="CK587" s="114"/>
      <c r="CL587" s="169">
        <f t="shared" si="1068"/>
        <v>6.5186117351846064E-3</v>
      </c>
      <c r="CM587" s="169">
        <f t="shared" si="1078"/>
        <v>6.3023311769808479E-3</v>
      </c>
      <c r="CN587" s="114">
        <f>VLOOKUP($H587,RoR!$E:$F,2,FALSE)</f>
        <v>5.5558333333333321E-2</v>
      </c>
      <c r="CO587" s="169">
        <v>2.691120634145272E-2</v>
      </c>
      <c r="CP587" s="169">
        <f t="shared" si="1076"/>
        <v>2.86471269918806E-2</v>
      </c>
      <c r="CQ587" s="169">
        <f t="shared" si="1079"/>
        <v>2.4599610431552777E-2</v>
      </c>
      <c r="CR587" s="169">
        <f t="shared" si="1080"/>
        <v>6.4575155250632399E-2</v>
      </c>
      <c r="CS587" s="179">
        <f t="shared" si="1069"/>
        <v>0.85329623209999994</v>
      </c>
      <c r="CT587" s="180">
        <f t="shared" si="1070"/>
        <v>0.92303077153834634</v>
      </c>
      <c r="CU587" s="180">
        <f t="shared" si="1071"/>
        <v>0.52502249887505614</v>
      </c>
      <c r="CV587" s="180">
        <f t="shared" si="1072"/>
        <v>0.88499666072084604</v>
      </c>
      <c r="CW587" s="180">
        <f t="shared" si="1073"/>
        <v>0.42887993290280618</v>
      </c>
      <c r="CX587" s="181">
        <f>INDEX('State Tax Lookup'!$D$7:$Z$91,MATCH(Calculation!$C587,'State Tax Lookup'!$B$7:$B$91,0),MATCH($H587,'State Tax Lookup'!$D$6:$Z$6,0))</f>
        <v>0.39649667</v>
      </c>
      <c r="CY587" s="72">
        <v>0.37</v>
      </c>
      <c r="CZ587" s="70">
        <f t="shared" si="1077"/>
        <v>17.230663198581006</v>
      </c>
      <c r="DA587" s="70">
        <v>16.108943221861779</v>
      </c>
      <c r="DB587" s="69">
        <f t="shared" si="1081"/>
        <v>7.0209055713926133E-2</v>
      </c>
      <c r="DC587" s="111">
        <f>VLOOKUP($H587,RoR!$E:$F,2,FALSE)</f>
        <v>5.5558333333333321E-2</v>
      </c>
      <c r="DD587" s="216">
        <f>HLOOKUP($H587,'GDP-PI'!$D$8:$CQ$11,3,FALSE)</f>
        <v>2.691120634145272E-2</v>
      </c>
      <c r="DE587" s="111">
        <f>VLOOKUP(H587,'HW Dx Data'!$E:$F,2,FALSE)</f>
        <v>498.0223154772637</v>
      </c>
      <c r="DF587" s="72">
        <f t="shared" si="1091"/>
        <v>104.52499999999999</v>
      </c>
      <c r="DG587" s="69">
        <f t="shared" si="1092"/>
        <v>-4.5584612745252218E-2</v>
      </c>
      <c r="DH587" s="66">
        <f>HLOOKUP(H587,'GDP-PI'!$8:$9,2,FALSE)</f>
        <v>92.498000000000005</v>
      </c>
      <c r="DI587" s="69">
        <f t="shared" si="1082"/>
        <v>2.6555467950038037E-2</v>
      </c>
      <c r="EB587"/>
    </row>
    <row r="588" spans="1:132" s="160" customFormat="1" ht="21">
      <c r="A588" s="160" t="s">
        <v>194</v>
      </c>
      <c r="B588" s="161" t="s">
        <v>194</v>
      </c>
      <c r="C588" s="161">
        <v>4061687</v>
      </c>
      <c r="D588" s="161" t="s">
        <v>171</v>
      </c>
      <c r="E588" s="161" t="s">
        <v>3</v>
      </c>
      <c r="F588" s="161"/>
      <c r="G588" s="161" t="s">
        <v>120</v>
      </c>
      <c r="H588" s="162">
        <v>2008</v>
      </c>
      <c r="I588" s="163"/>
      <c r="J588" s="159">
        <f>IFERROR(INDEX('Labor Expenditures'!$F$7:$X$91,MATCH($C588,'Labor Expenditures'!$D$7:$D$91,0),MATCH($G588,'Labor Expenditures'!$F$5:$X$5,0)),"NA")</f>
        <v>78282.179322125361</v>
      </c>
      <c r="K588" s="159">
        <f t="shared" si="1083"/>
        <v>725.50675924119889</v>
      </c>
      <c r="L588" s="165">
        <f t="shared" si="1089"/>
        <v>-4.1532145618196417E-2</v>
      </c>
      <c r="M588" s="76">
        <f t="shared" si="1093"/>
        <v>-1.3419092414369376E-3</v>
      </c>
      <c r="N588" s="62">
        <f t="shared" si="1099"/>
        <v>109.75917448017567</v>
      </c>
      <c r="O588" s="96">
        <f t="shared" si="1094"/>
        <v>-7.2656421363058638E-2</v>
      </c>
      <c r="P588" s="96"/>
      <c r="Q588" s="159">
        <f>IFERROR(INDEX('Non-Labor Expenditures'!$F$7:$AB$91,MATCH($C588,'Non-Labor Expenditures'!$D$7:$D$91,0),MATCH($G588,'Non-Labor Expenditures'!$F$5:$AB$5,0)),"NA")</f>
        <v>113367.21675270851</v>
      </c>
      <c r="R588" s="159">
        <f t="shared" si="1084"/>
        <v>1202.656547066839</v>
      </c>
      <c r="S588" s="165">
        <f t="shared" si="1095"/>
        <v>-2.8665884344768522E-2</v>
      </c>
      <c r="T588" s="165">
        <f t="shared" si="1096"/>
        <v>-9.2619859975049822E-4</v>
      </c>
      <c r="U588" s="165"/>
      <c r="V588" s="165"/>
      <c r="W588" s="159">
        <f t="shared" si="1063"/>
        <v>98785.899392467196</v>
      </c>
      <c r="X588" s="163"/>
      <c r="Y588" s="167">
        <v>5115.5521836809212</v>
      </c>
      <c r="Z588" s="168">
        <v>1.210303514952827E-2</v>
      </c>
      <c r="AA588" s="76">
        <f t="shared" si="1085"/>
        <v>3.9105070240995089E-4</v>
      </c>
      <c r="AB588" s="168"/>
      <c r="AC588" s="168"/>
      <c r="AD588" s="163">
        <f t="shared" si="1056"/>
        <v>290435.29546730104</v>
      </c>
      <c r="AE588" s="168">
        <f t="shared" si="1097"/>
        <v>3.8653811329170659E-2</v>
      </c>
      <c r="AF588" s="163"/>
      <c r="AG588" s="163"/>
      <c r="AH588" s="163"/>
      <c r="AI588" s="163"/>
      <c r="AJ588" s="116">
        <f t="shared" si="1098"/>
        <v>399.09485659931295</v>
      </c>
      <c r="AK588" s="114">
        <f>+AV588/$AX$13</f>
        <v>2.0714077867808982E-2</v>
      </c>
      <c r="AL588" s="115">
        <f t="shared" si="1086"/>
        <v>0.26953397381048971</v>
      </c>
      <c r="AM588" s="115">
        <f t="shared" si="1087"/>
        <v>0.39033553607974647</v>
      </c>
      <c r="AN588" s="115">
        <f t="shared" si="1088"/>
        <v>0.34013049010976393</v>
      </c>
      <c r="AO588" s="115">
        <f t="shared" si="1090"/>
        <v>-1.9020175502450175E-2</v>
      </c>
      <c r="AP588" s="166">
        <f t="shared" ref="AP588:AP601" si="1102">+AP587*EXP(AO588)</f>
        <v>92.814716691476164</v>
      </c>
      <c r="AQ588" s="168">
        <f t="shared" ref="AQ588:AQ601" si="1103">LN(AP588/AP587)</f>
        <v>-1.9020175502450033E-2</v>
      </c>
      <c r="AR588" s="69">
        <f>+AD588/$AF$13</f>
        <v>3.2310135232912429E-2</v>
      </c>
      <c r="AS588" s="169">
        <f t="shared" si="1100"/>
        <v>-6.1454444263788865E-4</v>
      </c>
      <c r="AT588" s="115"/>
      <c r="AU588" s="115"/>
      <c r="AV588" s="113">
        <f>IFERROR(INDEX('Total Customers'!$F$7:$AB$91,MATCH($C588,'Total Customers'!$D$7:$D$91,0),MATCH($G588,'Total Customers'!$F$5:$AB$5,0)),"NA")</f>
        <v>727735</v>
      </c>
      <c r="AW588" s="68">
        <f t="shared" si="1074"/>
        <v>3.2537228331338611E-3</v>
      </c>
      <c r="AX588" s="114"/>
      <c r="AY588" s="114"/>
      <c r="AZ588" s="116">
        <v>8244107</v>
      </c>
      <c r="BA588" s="116"/>
      <c r="BB588" s="166"/>
      <c r="BC588" s="166"/>
      <c r="BD588" s="166"/>
      <c r="BE588" s="166"/>
      <c r="BF588" s="166"/>
      <c r="BG588" s="166"/>
      <c r="BH588" s="166"/>
      <c r="BI588" s="113"/>
      <c r="BJ588" s="113"/>
      <c r="BK588" s="113">
        <f>INDEX('Dist. Plant Gas Additions'!$F$7:$AE$91,MATCH($C588,'Dist. Plant Gas Additions'!$D$7:$D$91,0),MATCH(Calculation!$G588,'Dist. Plant Gas Additions'!$F$5:$AE$5,0))</f>
        <v>50025</v>
      </c>
      <c r="BL588" s="113">
        <f>INDEX('Gen. Plant Additions'!$F$7:$AE$91,MATCH($C588,'Gen. Plant Additions'!$D$7:$D$91,0),MATCH(Calculation!$G588,'Gen. Plant Additions'!$F$5:$AE$5,0))</f>
        <v>4484</v>
      </c>
      <c r="BM588" s="231">
        <f t="shared" si="1064"/>
        <v>0.95857305966035855</v>
      </c>
      <c r="BN588" s="61">
        <f t="shared" si="1101"/>
        <v>4298.2415995170477</v>
      </c>
      <c r="BO588" s="113">
        <f>INDEX('Dist Plant Depreciation'!$E$7:$AD$94,MATCH($C588,'Dist Plant Depreciation'!$D$7:$D$94,0),MATCH(Calculation!$G588,'Dist Plant Depreciation'!$E$5:$AD$5,0))</f>
        <v>495063</v>
      </c>
      <c r="BP588" s="113">
        <f>INDEX('Gen. Plant Depreciation'!$E$7:$AD$94,MATCH($C588,'Gen. Plant Depreciation'!$D$7:$D$94,0),MATCH(Calculation!$G588,'Gen. Plant Depreciation'!$E$5:$AD$5,0))</f>
        <v>24536</v>
      </c>
      <c r="BQ588" s="113"/>
      <c r="BR588" s="113"/>
      <c r="BS588" s="113"/>
      <c r="BT588" s="113"/>
      <c r="BU588" s="113"/>
      <c r="BV588" s="113"/>
      <c r="BW588" s="113">
        <f>INDEX('Gross Dx Plant'!$E$7:$AD$91,MATCH($C588,'Gross Dx Plant'!$D$7:$D$91,0),MATCH(Calculation!$G588,'Gross Dx Plant'!$E$5:$AD$5,0))</f>
        <v>1460827</v>
      </c>
      <c r="BX588" s="113">
        <f>INDEX('Gross Gen Plant'!$E$7:$AD$91,MATCH($C588,'Gross Gen Plant'!$D$7:$D$91,0),MATCH(Calculation!$G588,'Gross Gen Plant'!$E$5:$AD$5,0))</f>
        <v>63133</v>
      </c>
      <c r="BY588" s="113">
        <f t="shared" si="1075"/>
        <v>1004361</v>
      </c>
      <c r="BZ588" s="113"/>
      <c r="CA588" s="116">
        <v>2008</v>
      </c>
      <c r="CB588" s="113"/>
      <c r="CC588" s="113"/>
      <c r="CD588" s="113"/>
      <c r="CE588" s="175"/>
      <c r="CF588" s="113">
        <f t="shared" si="1065"/>
        <v>54509</v>
      </c>
      <c r="CG588" s="113">
        <f t="shared" si="1066"/>
        <v>95.649759425286589</v>
      </c>
      <c r="CH588" s="178">
        <v>0.94252873563218387</v>
      </c>
      <c r="CI588" s="61">
        <f>+CI578*CH588+CG579*CH587+CG580*CH586+CG581*CH585+CG582*CH584+CG583*CH583+CG584*CH582+CG585*CH581+CG586*CH580+CG587*CH579+CG588</f>
        <v>5115.5521836809212</v>
      </c>
      <c r="CJ588" s="114">
        <f t="shared" si="1067"/>
        <v>1.210303514952827E-2</v>
      </c>
      <c r="CK588" s="114"/>
      <c r="CL588" s="169">
        <f t="shared" si="1068"/>
        <v>6.748939033024582E-3</v>
      </c>
      <c r="CM588" s="169">
        <f t="shared" si="1078"/>
        <v>6.5228525968619696E-3</v>
      </c>
      <c r="CN588" s="114">
        <f>VLOOKUP($H588,RoR!$E:$F,2,FALSE)</f>
        <v>5.6316666666666668E-2</v>
      </c>
      <c r="CO588" s="169">
        <v>1.9092304698479889E-2</v>
      </c>
      <c r="CP588" s="169">
        <f t="shared" si="1076"/>
        <v>3.7224361968186778E-2</v>
      </c>
      <c r="CQ588" s="169">
        <f t="shared" si="1079"/>
        <v>2.4379089011671656E-2</v>
      </c>
      <c r="CR588" s="169">
        <f t="shared" si="1080"/>
        <v>6.9030581091053131E-2</v>
      </c>
      <c r="CS588" s="179">
        <f t="shared" si="1069"/>
        <v>0.85329623209999994</v>
      </c>
      <c r="CT588" s="180">
        <f t="shared" si="1070"/>
        <v>0.91060168006009956</v>
      </c>
      <c r="CU588" s="180">
        <f t="shared" si="1071"/>
        <v>0.53108168097070152</v>
      </c>
      <c r="CV588" s="180">
        <f t="shared" si="1072"/>
        <v>0.88825329850328805</v>
      </c>
      <c r="CW588" s="180">
        <f t="shared" si="1073"/>
        <v>0.4295627335323573</v>
      </c>
      <c r="CX588" s="181">
        <f>INDEX('State Tax Lookup'!$D$7:$Z$91,MATCH(Calculation!$C588,'State Tax Lookup'!$B$7:$B$91,0),MATCH($H588,'State Tax Lookup'!$D$6:$Z$6,0))</f>
        <v>0.39649667</v>
      </c>
      <c r="CY588" s="72">
        <v>0.37</v>
      </c>
      <c r="CZ588" s="70">
        <f t="shared" si="1077"/>
        <v>19.546037171169584</v>
      </c>
      <c r="DA588" s="70">
        <v>18.300102035478151</v>
      </c>
      <c r="DB588" s="69">
        <f t="shared" si="1081"/>
        <v>0.12608202292174517</v>
      </c>
      <c r="DC588" s="111">
        <f>VLOOKUP($H588,RoR!$E:$F,2,FALSE)</f>
        <v>5.6316666666666668E-2</v>
      </c>
      <c r="DD588" s="216">
        <f>HLOOKUP($H588,'GDP-PI'!$D$8:$CQ$11,3,FALSE)</f>
        <v>1.9092304698479889E-2</v>
      </c>
      <c r="DE588" s="111">
        <f>VLOOKUP(H588,'HW Dx Data'!$E:$F,2,FALSE)</f>
        <v>569.88120333515076</v>
      </c>
      <c r="DF588" s="72">
        <f t="shared" si="1091"/>
        <v>107.9</v>
      </c>
      <c r="DG588" s="69">
        <f t="shared" si="1092"/>
        <v>3.1778595021460486E-2</v>
      </c>
      <c r="DH588" s="66">
        <f>HLOOKUP(H588,'GDP-PI'!$8:$9,2,FALSE)</f>
        <v>94.263999999999996</v>
      </c>
      <c r="DI588" s="69">
        <f t="shared" si="1082"/>
        <v>1.8912333748032254E-2</v>
      </c>
      <c r="EB588"/>
    </row>
    <row r="589" spans="1:132" s="160" customFormat="1" ht="21">
      <c r="A589" s="160" t="s">
        <v>194</v>
      </c>
      <c r="B589" s="161" t="s">
        <v>194</v>
      </c>
      <c r="C589" s="161">
        <v>4061687</v>
      </c>
      <c r="D589" s="161" t="s">
        <v>171</v>
      </c>
      <c r="E589" s="161" t="s">
        <v>3</v>
      </c>
      <c r="F589" s="161"/>
      <c r="G589" s="161" t="s">
        <v>125</v>
      </c>
      <c r="H589" s="162">
        <v>2009</v>
      </c>
      <c r="I589" s="163"/>
      <c r="J589" s="159">
        <f>IFERROR(INDEX('Labor Expenditures'!$F$7:$X$91,MATCH($C589,'Labor Expenditures'!$D$7:$D$91,0),MATCH($G589,'Labor Expenditures'!$F$5:$X$5,0)),"NA")</f>
        <v>73179.388002868116</v>
      </c>
      <c r="K589" s="159">
        <f t="shared" si="1083"/>
        <v>659.7195222255408</v>
      </c>
      <c r="L589" s="165">
        <f t="shared" si="1089"/>
        <v>-9.5055610575110805E-2</v>
      </c>
      <c r="M589" s="76">
        <f t="shared" si="1093"/>
        <v>-2.7873645174057221E-3</v>
      </c>
      <c r="N589" s="62">
        <f t="shared" si="1099"/>
        <v>117.98627950511219</v>
      </c>
      <c r="O589" s="96">
        <f t="shared" si="1094"/>
        <v>7.2279699510888085E-2</v>
      </c>
      <c r="P589" s="96"/>
      <c r="Q589" s="159">
        <f>IFERROR(INDEX('Non-Labor Expenditures'!$F$7:$AB$91,MATCH($C589,'Non-Labor Expenditures'!$D$7:$D$91,0),MATCH($G589,'Non-Labor Expenditures'!$F$5:$AB$5,0)),"NA")</f>
        <v>105977.42185247158</v>
      </c>
      <c r="R589" s="159">
        <f t="shared" si="1084"/>
        <v>1115.5635517476142</v>
      </c>
      <c r="S589" s="165">
        <f t="shared" si="1095"/>
        <v>-7.5173194392536086E-2</v>
      </c>
      <c r="T589" s="165">
        <f t="shared" si="1096"/>
        <v>-2.2043422102289057E-3</v>
      </c>
      <c r="U589" s="165"/>
      <c r="V589" s="165"/>
      <c r="W589" s="159">
        <f t="shared" si="1063"/>
        <v>95769.742809893578</v>
      </c>
      <c r="X589" s="163"/>
      <c r="Y589" s="167">
        <v>5162.8521404236335</v>
      </c>
      <c r="Z589" s="168">
        <v>9.203819805136574E-3</v>
      </c>
      <c r="AA589" s="76">
        <f t="shared" si="1085"/>
        <v>2.6988833793416332E-4</v>
      </c>
      <c r="AB589" s="168"/>
      <c r="AC589" s="168"/>
      <c r="AD589" s="163">
        <f t="shared" si="1056"/>
        <v>274926.55266523326</v>
      </c>
      <c r="AE589" s="168">
        <f t="shared" si="1097"/>
        <v>-5.4876835653812531E-2</v>
      </c>
      <c r="AF589" s="163"/>
      <c r="AG589" s="163"/>
      <c r="AH589" s="163"/>
      <c r="AI589" s="163"/>
      <c r="AJ589" s="116">
        <f t="shared" si="1098"/>
        <v>377.93708438528711</v>
      </c>
      <c r="AK589" s="114">
        <f>+AV589/$AX$14</f>
        <v>2.0679286004042955E-2</v>
      </c>
      <c r="AL589" s="115">
        <f t="shared" si="1086"/>
        <v>0.26617795659765042</v>
      </c>
      <c r="AM589" s="115">
        <f t="shared" si="1087"/>
        <v>0.38547539633800276</v>
      </c>
      <c r="AN589" s="115">
        <f t="shared" si="1088"/>
        <v>0.34834664706434687</v>
      </c>
      <c r="AO589" s="115">
        <f t="shared" si="1090"/>
        <v>-5.145299558065218E-2</v>
      </c>
      <c r="AP589" s="166">
        <f t="shared" si="1102"/>
        <v>88.159900491314502</v>
      </c>
      <c r="AQ589" s="168">
        <f t="shared" si="1103"/>
        <v>-5.1452995580652167E-2</v>
      </c>
      <c r="AR589" s="69">
        <f>+AD589/$AF$14</f>
        <v>2.9323513894040053E-2</v>
      </c>
      <c r="AS589" s="169">
        <f t="shared" si="1100"/>
        <v>-1.5087826307992353E-3</v>
      </c>
      <c r="AT589" s="115"/>
      <c r="AU589" s="115"/>
      <c r="AV589" s="113">
        <f>IFERROR(INDEX('Total Customers'!$F$7:$AB$91,MATCH($C589,'Total Customers'!$D$7:$D$91,0),MATCH($G589,'Total Customers'!$F$5:$AB$5,0)),"NA")</f>
        <v>727440</v>
      </c>
      <c r="AW589" s="68">
        <f t="shared" si="1074"/>
        <v>-4.0544952193553705E-4</v>
      </c>
      <c r="AX589" s="114"/>
      <c r="AY589" s="114"/>
      <c r="AZ589" s="116">
        <v>8336812</v>
      </c>
      <c r="BA589" s="116"/>
      <c r="BB589" s="166"/>
      <c r="BC589" s="166"/>
      <c r="BD589" s="166"/>
      <c r="BE589" s="166"/>
      <c r="BF589" s="166"/>
      <c r="BG589" s="166"/>
      <c r="BH589" s="166"/>
      <c r="BI589" s="113"/>
      <c r="BJ589" s="113"/>
      <c r="BK589" s="113">
        <f>INDEX('Dist. Plant Gas Additions'!$F$7:$AE$91,MATCH($C589,'Dist. Plant Gas Additions'!$D$7:$D$91,0),MATCH(Calculation!$G589,'Dist. Plant Gas Additions'!$F$5:$AE$5,0))</f>
        <v>41216</v>
      </c>
      <c r="BL589" s="113">
        <f>INDEX('Gen. Plant Additions'!$F$7:$AE$91,MATCH($C589,'Gen. Plant Additions'!$D$7:$D$91,0),MATCH(Calculation!$G589,'Gen. Plant Additions'!$F$5:$AE$5,0))</f>
        <v>4549</v>
      </c>
      <c r="BM589" s="231">
        <f t="shared" si="1064"/>
        <v>0.95896927256410569</v>
      </c>
      <c r="BN589" s="61">
        <f t="shared" si="1101"/>
        <v>4362.3512208941165</v>
      </c>
      <c r="BO589" s="113">
        <f>INDEX('Dist Plant Depreciation'!$E$7:$AD$94,MATCH($C589,'Dist Plant Depreciation'!$D$7:$D$94,0),MATCH(Calculation!$G589,'Dist Plant Depreciation'!$E$5:$AD$5,0))</f>
        <v>517248</v>
      </c>
      <c r="BP589" s="113">
        <f>INDEX('Gen. Plant Depreciation'!$E$7:$AD$94,MATCH($C589,'Gen. Plant Depreciation'!$D$7:$D$94,0),MATCH(Calculation!$G589,'Gen. Plant Depreciation'!$E$5:$AD$5,0))</f>
        <v>26368</v>
      </c>
      <c r="BQ589" s="113"/>
      <c r="BR589" s="113"/>
      <c r="BS589" s="113"/>
      <c r="BT589" s="113"/>
      <c r="BU589" s="113"/>
      <c r="BV589" s="113"/>
      <c r="BW589" s="113">
        <f>INDEX('Gross Dx Plant'!$E$7:$AD$91,MATCH($C589,'Gross Dx Plant'!$D$7:$D$91,0),MATCH(Calculation!$G589,'Gross Dx Plant'!$E$5:$AD$5,0))</f>
        <v>1492815</v>
      </c>
      <c r="BX589" s="113">
        <f>INDEX('Gross Gen Plant'!$E$7:$AD$91,MATCH($C589,'Gross Gen Plant'!$D$7:$D$91,0),MATCH(Calculation!$G589,'Gross Gen Plant'!$E$5:$AD$5,0))</f>
        <v>63872</v>
      </c>
      <c r="BY589" s="113">
        <f t="shared" si="1075"/>
        <v>1013071</v>
      </c>
      <c r="BZ589" s="113"/>
      <c r="CA589" s="116">
        <v>2009</v>
      </c>
      <c r="CB589" s="113"/>
      <c r="CC589" s="113"/>
      <c r="CD589" s="113"/>
      <c r="CE589" s="175"/>
      <c r="CF589" s="113">
        <f t="shared" si="1065"/>
        <v>45765</v>
      </c>
      <c r="CG589" s="113">
        <f t="shared" si="1066"/>
        <v>83.067025634684811</v>
      </c>
      <c r="CH589" s="178">
        <v>0.93567251461988299</v>
      </c>
      <c r="CI589" s="61">
        <f>+CI578*CH589+CG579*CH588+CG580*CH587+CG581*CH586+CG582*CH585+CG583*CH584+CG584*CH583+CG585*CH582+CG586*CH581+CG587*CH580+CG588*CH579+CG589</f>
        <v>5162.8521404236335</v>
      </c>
      <c r="CJ589" s="114">
        <f t="shared" si="1067"/>
        <v>9.203819805136574E-3</v>
      </c>
      <c r="CK589" s="114"/>
      <c r="CL589" s="169">
        <f t="shared" si="1068"/>
        <v>6.9918295440466261E-3</v>
      </c>
      <c r="CM589" s="169">
        <f t="shared" si="1078"/>
        <v>6.753126770751937E-3</v>
      </c>
      <c r="CN589" s="114">
        <f>VLOOKUP($H589,RoR!$E:$F,2,FALSE)</f>
        <v>5.3133333333333324E-2</v>
      </c>
      <c r="CO589" s="169">
        <v>7.7972502758210105E-3</v>
      </c>
      <c r="CP589" s="169">
        <f t="shared" si="1076"/>
        <v>4.5336083057512314E-2</v>
      </c>
      <c r="CQ589" s="169">
        <f t="shared" si="1079"/>
        <v>2.4148814837781689E-2</v>
      </c>
      <c r="CR589" s="169">
        <f t="shared" si="1080"/>
        <v>6.3720160300892073E-2</v>
      </c>
      <c r="CS589" s="179">
        <f t="shared" si="1069"/>
        <v>0.85329623209999994</v>
      </c>
      <c r="CT589" s="180">
        <f t="shared" si="1070"/>
        <v>0.96515780330083989</v>
      </c>
      <c r="CU589" s="180">
        <f t="shared" si="1071"/>
        <v>0.50448557089084056</v>
      </c>
      <c r="CV589" s="180">
        <f t="shared" si="1072"/>
        <v>0.87391435735465484</v>
      </c>
      <c r="CW589" s="180">
        <f t="shared" si="1073"/>
        <v>0.42551605393279146</v>
      </c>
      <c r="CX589" s="181">
        <f>INDEX('State Tax Lookup'!$D$7:$Z$91,MATCH(Calculation!$C589,'State Tax Lookup'!$B$7:$B$91,0),MATCH($H589,'State Tax Lookup'!$D$6:$Z$6,0))</f>
        <v>0.39649667</v>
      </c>
      <c r="CY589" s="72">
        <v>0.37</v>
      </c>
      <c r="CZ589" s="70">
        <f t="shared" si="1077"/>
        <v>18.721291342781686</v>
      </c>
      <c r="DA589" s="70">
        <v>17.478615056163342</v>
      </c>
      <c r="DB589" s="69">
        <f t="shared" si="1081"/>
        <v>-4.3111112986034282E-2</v>
      </c>
      <c r="DC589" s="111">
        <f>VLOOKUP($H589,RoR!$E:$F,2,FALSE)</f>
        <v>5.3133333333333324E-2</v>
      </c>
      <c r="DD589" s="216">
        <f>HLOOKUP($H589,'GDP-PI'!$D$8:$CQ$11,3,FALSE)</f>
        <v>7.7972502758210105E-3</v>
      </c>
      <c r="DE589" s="111">
        <f>VLOOKUP(H589,'HW Dx Data'!$E:$F,2,FALSE)</f>
        <v>550.94063679692806</v>
      </c>
      <c r="DF589" s="72">
        <f t="shared" si="1091"/>
        <v>110.925</v>
      </c>
      <c r="DG589" s="69">
        <f t="shared" si="1092"/>
        <v>2.7649425000884052E-2</v>
      </c>
      <c r="DH589" s="66">
        <f>HLOOKUP(H589,'GDP-PI'!$8:$9,2,FALSE)</f>
        <v>94.998999999999995</v>
      </c>
      <c r="DI589" s="69">
        <f t="shared" si="1082"/>
        <v>7.7670088183096342E-3</v>
      </c>
      <c r="EB589"/>
    </row>
    <row r="590" spans="1:132" s="160" customFormat="1" ht="21">
      <c r="A590" s="160" t="s">
        <v>194</v>
      </c>
      <c r="B590" s="161" t="s">
        <v>194</v>
      </c>
      <c r="C590" s="161">
        <v>4061687</v>
      </c>
      <c r="D590" s="161" t="s">
        <v>171</v>
      </c>
      <c r="E590" s="161" t="s">
        <v>3</v>
      </c>
      <c r="F590" s="161"/>
      <c r="G590" s="161" t="s">
        <v>126</v>
      </c>
      <c r="H590" s="162">
        <v>2010</v>
      </c>
      <c r="I590" s="163"/>
      <c r="J590" s="159">
        <f>IFERROR(INDEX('Labor Expenditures'!$F$7:$X$91,MATCH($C590,'Labor Expenditures'!$D$7:$D$91,0),MATCH($G590,'Labor Expenditures'!$F$5:$X$5,0)),"NA")</f>
        <v>74609.391093335405</v>
      </c>
      <c r="K590" s="159">
        <f t="shared" si="1083"/>
        <v>638.09613934860306</v>
      </c>
      <c r="L590" s="165">
        <f t="shared" si="1089"/>
        <v>-3.3325817745181639E-2</v>
      </c>
      <c r="M590" s="76">
        <f t="shared" si="1093"/>
        <v>-9.6566299660279275E-4</v>
      </c>
      <c r="N590" s="62">
        <f t="shared" si="1099"/>
        <v>97.382098098665338</v>
      </c>
      <c r="O590" s="96">
        <f t="shared" si="1094"/>
        <v>-0.19192594632411741</v>
      </c>
      <c r="P590" s="96"/>
      <c r="Q590" s="159">
        <f>IFERROR(INDEX('Non-Labor Expenditures'!$F$7:$AB$91,MATCH($C590,'Non-Labor Expenditures'!$D$7:$D$91,0),MATCH($G590,'Non-Labor Expenditures'!$F$5:$AB$5,0)),"NA")</f>
        <v>108048.33341520358</v>
      </c>
      <c r="R590" s="159">
        <f t="shared" si="1084"/>
        <v>1124.2270069941794</v>
      </c>
      <c r="S590" s="165">
        <f t="shared" si="1095"/>
        <v>7.7359897946446847E-3</v>
      </c>
      <c r="T590" s="165">
        <f t="shared" si="1096"/>
        <v>2.2416131372696171E-4</v>
      </c>
      <c r="U590" s="165"/>
      <c r="V590" s="165"/>
      <c r="W590" s="159">
        <f t="shared" si="1063"/>
        <v>98937.215028810271</v>
      </c>
      <c r="X590" s="163"/>
      <c r="Y590" s="167">
        <v>5219.0929212916344</v>
      </c>
      <c r="Z590" s="168">
        <v>1.0834449746365793E-2</v>
      </c>
      <c r="AA590" s="76">
        <f t="shared" si="1085"/>
        <v>3.1394360038263885E-4</v>
      </c>
      <c r="AB590" s="168"/>
      <c r="AC590" s="168"/>
      <c r="AD590" s="163">
        <f t="shared" si="1056"/>
        <v>281594.93953734927</v>
      </c>
      <c r="AE590" s="168">
        <f t="shared" si="1097"/>
        <v>2.3965672952784459E-2</v>
      </c>
      <c r="AF590" s="163"/>
      <c r="AG590" s="163"/>
      <c r="AH590" s="163"/>
      <c r="AI590" s="163"/>
      <c r="AJ590" s="116">
        <f t="shared" si="1098"/>
        <v>386.10456483252176</v>
      </c>
      <c r="AK590" s="114">
        <f>+AV590/$AX$15</f>
        <v>2.0619377170260248E-2</v>
      </c>
      <c r="AL590" s="115">
        <f t="shared" si="1086"/>
        <v>0.26495288308772896</v>
      </c>
      <c r="AM590" s="115">
        <f t="shared" si="1087"/>
        <v>0.38370126108346708</v>
      </c>
      <c r="AN590" s="115">
        <f t="shared" si="1088"/>
        <v>0.3513458558288039</v>
      </c>
      <c r="AO590" s="115">
        <f t="shared" si="1090"/>
        <v>-2.084621764802046E-3</v>
      </c>
      <c r="AP590" s="166">
        <f t="shared" si="1102"/>
        <v>87.976311866872948</v>
      </c>
      <c r="AQ590" s="168">
        <f t="shared" si="1103"/>
        <v>-2.08462176480216E-3</v>
      </c>
      <c r="AR590" s="69">
        <f>+AD590/$AF$15</f>
        <v>2.8976423143957559E-2</v>
      </c>
      <c r="AS590" s="169">
        <f t="shared" si="1100"/>
        <v>-6.0404882352010961E-5</v>
      </c>
      <c r="AT590" s="115"/>
      <c r="AU590" s="115"/>
      <c r="AV590" s="113">
        <f>IFERROR(INDEX('Total Customers'!$F$7:$AB$91,MATCH($C590,'Total Customers'!$D$7:$D$91,0),MATCH($G590,'Total Customers'!$F$5:$AB$5,0)),"NA")</f>
        <v>729323</v>
      </c>
      <c r="AW590" s="68">
        <f t="shared" si="1074"/>
        <v>2.5851851656069108E-3</v>
      </c>
      <c r="AX590" s="114"/>
      <c r="AY590" s="114"/>
      <c r="AZ590" s="116">
        <v>8403441</v>
      </c>
      <c r="BA590" s="116"/>
      <c r="BB590" s="166"/>
      <c r="BC590" s="166"/>
      <c r="BD590" s="166"/>
      <c r="BE590" s="166"/>
      <c r="BF590" s="166"/>
      <c r="BG590" s="166"/>
      <c r="BH590" s="166"/>
      <c r="BI590" s="113"/>
      <c r="BJ590" s="113"/>
      <c r="BK590" s="113">
        <f>INDEX('Dist. Plant Gas Additions'!$F$7:$AE$91,MATCH($C590,'Dist. Plant Gas Additions'!$D$7:$D$91,0),MATCH(Calculation!$G590,'Dist. Plant Gas Additions'!$F$5:$AE$5,0))</f>
        <v>48215</v>
      </c>
      <c r="BL590" s="113">
        <f>INDEX('Gen. Plant Additions'!$F$7:$AE$91,MATCH($C590,'Gen. Plant Additions'!$D$7:$D$91,0),MATCH(Calculation!$G590,'Gen. Plant Additions'!$F$5:$AE$5,0))</f>
        <v>5088</v>
      </c>
      <c r="BM590" s="231">
        <f t="shared" si="1064"/>
        <v>0.95858267726390101</v>
      </c>
      <c r="BN590" s="61">
        <f t="shared" si="1101"/>
        <v>4877.268661918728</v>
      </c>
      <c r="BO590" s="113">
        <f>INDEX('Dist Plant Depreciation'!$E$7:$AD$94,MATCH($C590,'Dist Plant Depreciation'!$D$7:$D$94,0),MATCH(Calculation!$G590,'Dist Plant Depreciation'!$E$5:$AD$5,0))</f>
        <v>539014</v>
      </c>
      <c r="BP590" s="113">
        <f>INDEX('Gen. Plant Depreciation'!$E$7:$AD$94,MATCH($C590,'Gen. Plant Depreciation'!$D$7:$D$94,0),MATCH(Calculation!$G590,'Gen. Plant Depreciation'!$E$5:$AD$5,0))</f>
        <v>29457</v>
      </c>
      <c r="BQ590" s="113"/>
      <c r="BR590" s="113"/>
      <c r="BS590" s="113"/>
      <c r="BT590" s="113"/>
      <c r="BU590" s="113"/>
      <c r="BV590" s="113"/>
      <c r="BW590" s="113">
        <f>INDEX('Gross Dx Plant'!$E$7:$AD$91,MATCH($C590,'Gross Dx Plant'!$D$7:$D$91,0),MATCH(Calculation!$G590,'Gross Dx Plant'!$E$5:$AD$5,0))</f>
        <v>1531841</v>
      </c>
      <c r="BX590" s="113">
        <f>INDEX('Gross Gen Plant'!$E$7:$AD$91,MATCH($C590,'Gross Gen Plant'!$D$7:$D$91,0),MATCH(Calculation!$G590,'Gross Gen Plant'!$E$5:$AD$5,0))</f>
        <v>66186</v>
      </c>
      <c r="BY590" s="113">
        <f t="shared" si="1075"/>
        <v>1029556</v>
      </c>
      <c r="BZ590" s="113"/>
      <c r="CA590" s="116">
        <v>2010</v>
      </c>
      <c r="CB590" s="113"/>
      <c r="CC590" s="113"/>
      <c r="CD590" s="113"/>
      <c r="CE590" s="175"/>
      <c r="CF590" s="113">
        <f t="shared" si="1065"/>
        <v>53303</v>
      </c>
      <c r="CG590" s="113">
        <f t="shared" si="1066"/>
        <v>93.680111414442237</v>
      </c>
      <c r="CH590" s="178">
        <v>0.9285714285714286</v>
      </c>
      <c r="CI590" s="61">
        <f>+CI578*CH590+CG579*CH589+CG580*CH588+CG581*CH587+CG582*CH586+CG583*CH585+CG584*CH584+CG585*CH583+CG586*CH582+CG587*CH581+CG588*CH580+CG589*CH579+CG590</f>
        <v>5219.0929212916344</v>
      </c>
      <c r="CJ590" s="114">
        <f t="shared" si="1067"/>
        <v>1.0834449746365793E-2</v>
      </c>
      <c r="CK590" s="114"/>
      <c r="CL590" s="169">
        <f t="shared" si="1068"/>
        <v>7.2516759202345222E-3</v>
      </c>
      <c r="CM590" s="169">
        <f t="shared" si="1078"/>
        <v>6.9974814991019098E-3</v>
      </c>
      <c r="CN590" s="114">
        <f>VLOOKUP($H590,RoR!$E:$F,2,FALSE)</f>
        <v>4.9433333333333322E-2</v>
      </c>
      <c r="CO590" s="169">
        <v>1.1684333519300205E-2</v>
      </c>
      <c r="CP590" s="169">
        <f t="shared" si="1076"/>
        <v>3.7748999814033117E-2</v>
      </c>
      <c r="CQ590" s="169">
        <f t="shared" si="1079"/>
        <v>2.3904460109431716E-2</v>
      </c>
      <c r="CR590" s="169">
        <f t="shared" si="1080"/>
        <v>4.7937530248493419E-2</v>
      </c>
      <c r="CS590" s="179">
        <f t="shared" si="1069"/>
        <v>0.85329623209999994</v>
      </c>
      <c r="CT590" s="180">
        <f t="shared" si="1070"/>
        <v>1.037398205301105</v>
      </c>
      <c r="CU590" s="180">
        <f t="shared" si="1071"/>
        <v>0.46926837491571133</v>
      </c>
      <c r="CV590" s="180">
        <f t="shared" si="1072"/>
        <v>0.8548537519972772</v>
      </c>
      <c r="CW590" s="180">
        <f t="shared" si="1073"/>
        <v>0.41615833911547367</v>
      </c>
      <c r="CX590" s="181">
        <f>INDEX('State Tax Lookup'!$D$7:$Z$91,MATCH(Calculation!$C590,'State Tax Lookup'!$B$7:$B$91,0),MATCH($H590,'State Tax Lookup'!$D$6:$Z$6,0))</f>
        <v>0.39649667</v>
      </c>
      <c r="CY590" s="72">
        <v>0.37</v>
      </c>
      <c r="CZ590" s="70">
        <f t="shared" si="1077"/>
        <v>19.163286559024343</v>
      </c>
      <c r="DA590" s="70">
        <v>17.956102603965455</v>
      </c>
      <c r="DB590" s="69">
        <f t="shared" si="1081"/>
        <v>2.3334839484390659E-2</v>
      </c>
      <c r="DC590" s="111">
        <f>VLOOKUP($H590,RoR!$E:$F,2,FALSE)</f>
        <v>4.9433333333333322E-2</v>
      </c>
      <c r="DD590" s="216">
        <f>HLOOKUP($H590,'GDP-PI'!$D$8:$CQ$11,3,FALSE)</f>
        <v>1.1684333519300205E-2</v>
      </c>
      <c r="DE590" s="111">
        <f>VLOOKUP(H590,'HW Dx Data'!$E:$F,2,FALSE)</f>
        <v>568.98950262971744</v>
      </c>
      <c r="DF590" s="72">
        <f t="shared" si="1091"/>
        <v>116.925</v>
      </c>
      <c r="DG590" s="69">
        <f t="shared" si="1092"/>
        <v>5.2678406346976722E-2</v>
      </c>
      <c r="DH590" s="66">
        <f>HLOOKUP(H590,'GDP-PI'!$8:$9,2,FALSE)</f>
        <v>96.108999999999995</v>
      </c>
      <c r="DI590" s="69">
        <f t="shared" si="1082"/>
        <v>1.1616598807150427E-2</v>
      </c>
      <c r="EB590"/>
    </row>
    <row r="591" spans="1:132" s="160" customFormat="1" ht="21">
      <c r="A591" s="160" t="s">
        <v>194</v>
      </c>
      <c r="B591" s="161" t="s">
        <v>194</v>
      </c>
      <c r="C591" s="161">
        <v>4061687</v>
      </c>
      <c r="D591" s="161" t="s">
        <v>171</v>
      </c>
      <c r="E591" s="161" t="s">
        <v>3</v>
      </c>
      <c r="F591" s="161"/>
      <c r="G591" s="161" t="s">
        <v>127</v>
      </c>
      <c r="H591" s="162">
        <v>2011</v>
      </c>
      <c r="I591" s="163"/>
      <c r="J591" s="159">
        <f>IFERROR(INDEX('Labor Expenditures'!$F$7:$X$91,MATCH($C591,'Labor Expenditures'!$D$7:$D$91,0),MATCH($G591,'Labor Expenditures'!$F$5:$X$5,0)),"NA")</f>
        <v>75160.351402953835</v>
      </c>
      <c r="K591" s="159">
        <f t="shared" si="1083"/>
        <v>621.80228668420955</v>
      </c>
      <c r="L591" s="165">
        <f t="shared" si="1089"/>
        <v>-2.5866785485024392E-2</v>
      </c>
      <c r="M591" s="76">
        <f t="shared" si="1093"/>
        <v>-7.3639223007852426E-4</v>
      </c>
      <c r="N591" s="62">
        <f t="shared" si="1099"/>
        <v>116.96154280795147</v>
      </c>
      <c r="O591" s="96">
        <f t="shared" si="1094"/>
        <v>0.18320279081629087</v>
      </c>
      <c r="P591" s="96"/>
      <c r="Q591" s="159">
        <f>IFERROR(INDEX('Non-Labor Expenditures'!$F$7:$AB$91,MATCH($C591,'Non-Labor Expenditures'!$D$7:$D$91,0),MATCH($G591,'Non-Labor Expenditures'!$F$5:$AB$5,0)),"NA")</f>
        <v>108846.22684872222</v>
      </c>
      <c r="R591" s="159">
        <f t="shared" si="1084"/>
        <v>1109.4078894398465</v>
      </c>
      <c r="S591" s="165">
        <f t="shared" si="1095"/>
        <v>-1.3269254536364999E-2</v>
      </c>
      <c r="T591" s="165">
        <f t="shared" si="1096"/>
        <v>-3.7775764387772679E-4</v>
      </c>
      <c r="U591" s="165"/>
      <c r="V591" s="165"/>
      <c r="W591" s="159">
        <f t="shared" si="1063"/>
        <v>106544.84313972689</v>
      </c>
      <c r="X591" s="163"/>
      <c r="Y591" s="167">
        <v>5265.3453869782097</v>
      </c>
      <c r="Z591" s="168">
        <v>8.8231270726659549E-3</v>
      </c>
      <c r="AA591" s="76">
        <f t="shared" si="1085"/>
        <v>2.5118243722507745E-4</v>
      </c>
      <c r="AB591" s="168"/>
      <c r="AC591" s="168"/>
      <c r="AD591" s="163">
        <f t="shared" si="1056"/>
        <v>290551.42139140295</v>
      </c>
      <c r="AE591" s="168">
        <f t="shared" si="1097"/>
        <v>3.1310916851264865E-2</v>
      </c>
      <c r="AF591" s="163"/>
      <c r="AG591" s="163"/>
      <c r="AH591" s="163"/>
      <c r="AI591" s="163"/>
      <c r="AJ591" s="116">
        <f t="shared" si="1098"/>
        <v>396.90377147771375</v>
      </c>
      <c r="AK591" s="114">
        <f>+AV591/$AX$16</f>
        <v>2.0596473790952283E-2</v>
      </c>
      <c r="AL591" s="115">
        <f t="shared" si="1086"/>
        <v>0.2586817543105564</v>
      </c>
      <c r="AM591" s="115">
        <f t="shared" si="1087"/>
        <v>0.37461949532883215</v>
      </c>
      <c r="AN591" s="115">
        <f t="shared" si="1088"/>
        <v>0.36669875036061145</v>
      </c>
      <c r="AO591" s="115">
        <f t="shared" si="1090"/>
        <v>-8.6358485854510121E-3</v>
      </c>
      <c r="AP591" s="166">
        <f t="shared" si="1102"/>
        <v>87.21983287886097</v>
      </c>
      <c r="AQ591" s="168">
        <f t="shared" si="1103"/>
        <v>-8.6358485854508768E-3</v>
      </c>
      <c r="AR591" s="69">
        <f>+AD591/$AF$16</f>
        <v>2.8468641010877038E-2</v>
      </c>
      <c r="AS591" s="169">
        <f t="shared" si="1100"/>
        <v>-2.4585087320349127E-4</v>
      </c>
      <c r="AT591" s="115"/>
      <c r="AU591" s="115"/>
      <c r="AV591" s="113">
        <f>IFERROR(INDEX('Total Customers'!$F$7:$AB$91,MATCH($C591,'Total Customers'!$D$7:$D$91,0),MATCH($G591,'Total Customers'!$F$5:$AB$5,0)),"NA")</f>
        <v>732045</v>
      </c>
      <c r="AW591" s="68">
        <f t="shared" si="1074"/>
        <v>3.7252808983477543E-3</v>
      </c>
      <c r="AX591" s="114"/>
      <c r="AY591" s="114"/>
      <c r="AZ591" s="116">
        <v>8437841</v>
      </c>
      <c r="BA591" s="116"/>
      <c r="BB591" s="166"/>
      <c r="BC591" s="166"/>
      <c r="BD591" s="166"/>
      <c r="BE591" s="166"/>
      <c r="BF591" s="166"/>
      <c r="BG591" s="166"/>
      <c r="BH591" s="166"/>
      <c r="BI591" s="113"/>
      <c r="BJ591" s="113"/>
      <c r="BK591" s="113">
        <f>INDEX('Dist. Plant Gas Additions'!$F$7:$AE$91,MATCH($C591,'Dist. Plant Gas Additions'!$D$7:$D$91,0),MATCH(Calculation!$G591,'Dist. Plant Gas Additions'!$F$5:$AE$5,0))</f>
        <v>45129</v>
      </c>
      <c r="BL591" s="113">
        <f>INDEX('Gen. Plant Additions'!$F$7:$AE$91,MATCH($C591,'Gen. Plant Additions'!$D$7:$D$91,0),MATCH(Calculation!$G591,'Gen. Plant Additions'!$F$5:$AE$5,0))</f>
        <v>7162</v>
      </c>
      <c r="BM591" s="231">
        <f t="shared" si="1064"/>
        <v>0.95658974765523042</v>
      </c>
      <c r="BN591" s="61">
        <f t="shared" si="1101"/>
        <v>6851.0957727067598</v>
      </c>
      <c r="BO591" s="113">
        <f>INDEX('Dist Plant Depreciation'!$E$7:$AD$94,MATCH($C591,'Dist Plant Depreciation'!$D$7:$D$94,0),MATCH(Calculation!$G591,'Dist Plant Depreciation'!$E$5:$AD$5,0))</f>
        <v>562862</v>
      </c>
      <c r="BP591" s="113">
        <f>INDEX('Gen. Plant Depreciation'!$E$7:$AD$94,MATCH($C591,'Gen. Plant Depreciation'!$D$7:$D$94,0),MATCH(Calculation!$G591,'Gen. Plant Depreciation'!$E$5:$AD$5,0))</f>
        <v>32935</v>
      </c>
      <c r="BQ591" s="113"/>
      <c r="BR591" s="113"/>
      <c r="BS591" s="113"/>
      <c r="BT591" s="113"/>
      <c r="BU591" s="113"/>
      <c r="BV591" s="113"/>
      <c r="BW591" s="113">
        <f>INDEX('Gross Dx Plant'!$E$7:$AD$91,MATCH($C591,'Gross Dx Plant'!$D$7:$D$91,0),MATCH(Calculation!$G591,'Gross Dx Plant'!$E$5:$AD$5,0))</f>
        <v>1568635</v>
      </c>
      <c r="BX591" s="113">
        <f>INDEX('Gross Gen Plant'!$E$7:$AD$91,MATCH($C591,'Gross Gen Plant'!$D$7:$D$91,0),MATCH(Calculation!$G591,'Gross Gen Plant'!$E$5:$AD$5,0))</f>
        <v>71185</v>
      </c>
      <c r="BY591" s="113">
        <f t="shared" si="1075"/>
        <v>1044023</v>
      </c>
      <c r="BZ591" s="113"/>
      <c r="CA591" s="116">
        <v>2011</v>
      </c>
      <c r="CB591" s="113"/>
      <c r="CC591" s="113"/>
      <c r="CD591" s="113"/>
      <c r="CE591" s="175"/>
      <c r="CF591" s="113">
        <f t="shared" si="1065"/>
        <v>52291</v>
      </c>
      <c r="CG591" s="113">
        <f t="shared" si="1066"/>
        <v>85.497140799908266</v>
      </c>
      <c r="CH591" s="178">
        <v>0.92121212121212126</v>
      </c>
      <c r="CI591" s="61">
        <f>+CI578*CH591+CG579*CH590+CG580*CH589+CG581*CH588+CG582*CH587+CG583*CH586+CG584*CH585+CG585*CH584+CG586*CH583+CG587*CH582+CG588*CH581+CG589*CH580+CG590*CH579+CG591</f>
        <v>5265.3453869782097</v>
      </c>
      <c r="CJ591" s="114">
        <f t="shared" si="1067"/>
        <v>8.8231270726659549E-3</v>
      </c>
      <c r="CK591" s="114"/>
      <c r="CL591" s="169">
        <f t="shared" si="1068"/>
        <v>7.5194436476177145E-3</v>
      </c>
      <c r="CM591" s="169">
        <f t="shared" si="1078"/>
        <v>7.2543163706329543E-3</v>
      </c>
      <c r="CN591" s="114">
        <f>VLOOKUP($H591,RoR!$E:$F,2,FALSE)</f>
        <v>4.6391666666666664E-2</v>
      </c>
      <c r="CO591" s="169">
        <v>2.0840920205183799E-2</v>
      </c>
      <c r="CP591" s="169">
        <f t="shared" si="1076"/>
        <v>2.5550746461482865E-2</v>
      </c>
      <c r="CQ591" s="169">
        <f t="shared" si="1079"/>
        <v>2.364762523790067E-2</v>
      </c>
      <c r="CR591" s="169">
        <f t="shared" si="1080"/>
        <v>2.4810540821321614E-2</v>
      </c>
      <c r="CS591" s="179">
        <f t="shared" si="1069"/>
        <v>0.85329623209999994</v>
      </c>
      <c r="CT591" s="180">
        <f t="shared" si="1070"/>
        <v>1.1054151524782025</v>
      </c>
      <c r="CU591" s="180">
        <f t="shared" si="1071"/>
        <v>0.43611011316687626</v>
      </c>
      <c r="CV591" s="180">
        <f t="shared" si="1072"/>
        <v>0.83698442246886229</v>
      </c>
      <c r="CW591" s="180">
        <f t="shared" si="1073"/>
        <v>0.40349573304423936</v>
      </c>
      <c r="CX591" s="181">
        <f>INDEX('State Tax Lookup'!$D$7:$Z$91,MATCH(Calculation!$C591,'State Tax Lookup'!$B$7:$B$91,0),MATCH($H591,'State Tax Lookup'!$D$6:$Z$6,0))</f>
        <v>0.39649667</v>
      </c>
      <c r="CY591" s="72">
        <v>0.37</v>
      </c>
      <c r="CZ591" s="70">
        <f t="shared" si="1077"/>
        <v>20.414436904365154</v>
      </c>
      <c r="DA591" s="70">
        <v>19.146574949201604</v>
      </c>
      <c r="DB591" s="69">
        <f t="shared" si="1081"/>
        <v>6.3246051804258185E-2</v>
      </c>
      <c r="DC591" s="111">
        <f>VLOOKUP($H591,RoR!$E:$F,2,FALSE)</f>
        <v>4.6391666666666664E-2</v>
      </c>
      <c r="DD591" s="216">
        <f>HLOOKUP($H591,'GDP-PI'!$D$8:$CQ$11,3,FALSE)</f>
        <v>2.0840920205183799E-2</v>
      </c>
      <c r="DE591" s="111">
        <f>VLOOKUP(H591,'HW Dx Data'!$E:$F,2,FALSE)</f>
        <v>611.61109612283201</v>
      </c>
      <c r="DF591" s="72">
        <f t="shared" si="1091"/>
        <v>120.875</v>
      </c>
      <c r="DG591" s="69">
        <f t="shared" si="1092"/>
        <v>3.3224250161508609E-2</v>
      </c>
      <c r="DH591" s="66">
        <f>HLOOKUP(H591,'GDP-PI'!$8:$9,2,FALSE)</f>
        <v>98.111999999999995</v>
      </c>
      <c r="DI591" s="69">
        <f t="shared" si="1082"/>
        <v>2.0626719212849295E-2</v>
      </c>
      <c r="EB591"/>
    </row>
    <row r="592" spans="1:132" s="160" customFormat="1" ht="21">
      <c r="A592" s="160" t="s">
        <v>194</v>
      </c>
      <c r="B592" s="161" t="s">
        <v>194</v>
      </c>
      <c r="C592" s="161">
        <v>4061687</v>
      </c>
      <c r="D592" s="161" t="s">
        <v>171</v>
      </c>
      <c r="E592" s="161" t="s">
        <v>3</v>
      </c>
      <c r="F592" s="161"/>
      <c r="G592" s="161" t="s">
        <v>128</v>
      </c>
      <c r="H592" s="162">
        <v>2012</v>
      </c>
      <c r="I592" s="163"/>
      <c r="J592" s="159">
        <f>IFERROR(INDEX('Labor Expenditures'!$F$7:$X$91,MATCH($C592,'Labor Expenditures'!$D$7:$D$91,0),MATCH($G592,'Labor Expenditures'!$F$5:$X$5,0)),"NA")</f>
        <v>75270.925039561829</v>
      </c>
      <c r="K592" s="159">
        <f t="shared" si="1083"/>
        <v>603.13241217597613</v>
      </c>
      <c r="L592" s="165">
        <f t="shared" si="1089"/>
        <v>-3.0485413505615327E-2</v>
      </c>
      <c r="M592" s="76">
        <f t="shared" si="1093"/>
        <v>-8.5575083267023816E-4</v>
      </c>
      <c r="N592" s="62">
        <f t="shared" si="1099"/>
        <v>115.84722703105751</v>
      </c>
      <c r="O592" s="96">
        <f t="shared" si="1094"/>
        <v>-9.5728720812238988E-3</v>
      </c>
      <c r="P592" s="96"/>
      <c r="Q592" s="159">
        <f>IFERROR(INDEX('Non-Labor Expenditures'!$F$7:$AB$91,MATCH($C592,'Non-Labor Expenditures'!$D$7:$D$91,0),MATCH($G592,'Non-Labor Expenditures'!$F$5:$AB$5,0)),"NA")</f>
        <v>109006.35812683713</v>
      </c>
      <c r="R592" s="159">
        <f t="shared" si="1084"/>
        <v>1090.0635812683713</v>
      </c>
      <c r="S592" s="165">
        <f t="shared" si="1095"/>
        <v>-1.7590414082489032E-2</v>
      </c>
      <c r="T592" s="165">
        <f t="shared" si="1096"/>
        <v>-4.9377750757199175E-4</v>
      </c>
      <c r="U592" s="165"/>
      <c r="V592" s="165"/>
      <c r="W592" s="159">
        <f t="shared" si="1063"/>
        <v>115913.08063346191</v>
      </c>
      <c r="X592" s="163"/>
      <c r="Y592" s="167">
        <v>5311.5177807307828</v>
      </c>
      <c r="Z592" s="168">
        <v>8.7308848235734451E-3</v>
      </c>
      <c r="AA592" s="76">
        <f t="shared" si="1085"/>
        <v>2.4508317580618347E-4</v>
      </c>
      <c r="AB592" s="168"/>
      <c r="AC592" s="168"/>
      <c r="AD592" s="163">
        <f t="shared" si="1056"/>
        <v>300190.36379986088</v>
      </c>
      <c r="AE592" s="168">
        <f t="shared" si="1097"/>
        <v>3.2636248835803475E-2</v>
      </c>
      <c r="AF592" s="163"/>
      <c r="AG592" s="163"/>
      <c r="AH592" s="163"/>
      <c r="AI592" s="163"/>
      <c r="AJ592" s="116">
        <f t="shared" si="1098"/>
        <v>409.4668218923934</v>
      </c>
      <c r="AK592" s="114">
        <f>+AV592/$AX$17</f>
        <v>2.0528009669424072E-2</v>
      </c>
      <c r="AL592" s="115">
        <f t="shared" si="1086"/>
        <v>0.25074397487903877</v>
      </c>
      <c r="AM592" s="115">
        <f t="shared" si="1087"/>
        <v>0.36312410813930213</v>
      </c>
      <c r="AN592" s="115">
        <f t="shared" si="1088"/>
        <v>0.38613191698165905</v>
      </c>
      <c r="AO592" s="115">
        <f t="shared" si="1090"/>
        <v>-1.0967195814118598E-2</v>
      </c>
      <c r="AP592" s="166">
        <f t="shared" si="1102"/>
        <v>86.268502143470428</v>
      </c>
      <c r="AQ592" s="168">
        <f t="shared" si="1103"/>
        <v>-1.0967195814118709E-2</v>
      </c>
      <c r="AR592" s="69">
        <f>+AD592/$AF$17</f>
        <v>2.8070829103650219E-2</v>
      </c>
      <c r="AS592" s="169">
        <f t="shared" si="1100"/>
        <v>-3.0785827944439432E-4</v>
      </c>
      <c r="AT592" s="115"/>
      <c r="AU592" s="115"/>
      <c r="AV592" s="113">
        <f>IFERROR(INDEX('Total Customers'!$F$7:$AB$91,MATCH($C592,'Total Customers'!$D$7:$D$91,0),MATCH($G592,'Total Customers'!$F$5:$AB$5,0)),"NA")</f>
        <v>733125</v>
      </c>
      <c r="AW592" s="68">
        <f t="shared" si="1074"/>
        <v>1.474231926127875E-3</v>
      </c>
      <c r="AX592" s="114"/>
      <c r="AY592" s="114"/>
      <c r="AZ592" s="116">
        <v>8485072</v>
      </c>
      <c r="BA592" s="116"/>
      <c r="BB592" s="166"/>
      <c r="BC592" s="166"/>
      <c r="BD592" s="166"/>
      <c r="BE592" s="166"/>
      <c r="BF592" s="166"/>
      <c r="BG592" s="166"/>
      <c r="BH592" s="166"/>
      <c r="BI592" s="113"/>
      <c r="BJ592" s="113"/>
      <c r="BK592" s="113">
        <f>INDEX('Dist. Plant Gas Additions'!$F$7:$AE$91,MATCH($C592,'Dist. Plant Gas Additions'!$D$7:$D$91,0),MATCH(Calculation!$G592,'Dist. Plant Gas Additions'!$F$5:$AE$5,0))</f>
        <v>51368</v>
      </c>
      <c r="BL592" s="113">
        <f>INDEX('Gen. Plant Additions'!$F$7:$AE$91,MATCH($C592,'Gen. Plant Additions'!$D$7:$D$91,0),MATCH(Calculation!$G592,'Gen. Plant Additions'!$F$5:$AE$5,0))</f>
        <v>7008</v>
      </c>
      <c r="BM592" s="231">
        <f t="shared" si="1064"/>
        <v>0.95677550930325084</v>
      </c>
      <c r="BN592" s="61">
        <f t="shared" si="1101"/>
        <v>6705.0827691971817</v>
      </c>
      <c r="BO592" s="113">
        <f>INDEX('Dist Plant Depreciation'!$E$7:$AD$94,MATCH($C592,'Dist Plant Depreciation'!$D$7:$D$94,0),MATCH(Calculation!$G592,'Dist Plant Depreciation'!$E$5:$AD$5,0))</f>
        <v>578188</v>
      </c>
      <c r="BP592" s="113">
        <f>INDEX('Gen. Plant Depreciation'!$E$7:$AD$94,MATCH($C592,'Gen. Plant Depreciation'!$D$7:$D$94,0),MATCH(Calculation!$G592,'Gen. Plant Depreciation'!$E$5:$AD$5,0))</f>
        <v>33495</v>
      </c>
      <c r="BQ592" s="113"/>
      <c r="BR592" s="113"/>
      <c r="BS592" s="113"/>
      <c r="BT592" s="113"/>
      <c r="BU592" s="113"/>
      <c r="BV592" s="113"/>
      <c r="BW592" s="113">
        <f>INDEX('Gross Dx Plant'!$E$7:$AD$91,MATCH($C592,'Gross Dx Plant'!$D$7:$D$91,0),MATCH(Calculation!$G592,'Gross Dx Plant'!$E$5:$AD$5,0))</f>
        <v>1603993</v>
      </c>
      <c r="BX592" s="113">
        <f>INDEX('Gross Gen Plant'!$E$7:$AD$91,MATCH($C592,'Gross Gen Plant'!$D$7:$D$91,0),MATCH(Calculation!$G592,'Gross Gen Plant'!$E$5:$AD$5,0))</f>
        <v>72464</v>
      </c>
      <c r="BY592" s="113">
        <f t="shared" si="1075"/>
        <v>1064774</v>
      </c>
      <c r="BZ592" s="113"/>
      <c r="CA592" s="116">
        <v>2012</v>
      </c>
      <c r="CB592" s="113"/>
      <c r="CC592" s="113"/>
      <c r="CD592" s="113"/>
      <c r="CE592" s="175"/>
      <c r="CF592" s="113">
        <f t="shared" si="1065"/>
        <v>58376</v>
      </c>
      <c r="CG592" s="113">
        <f t="shared" si="1066"/>
        <v>87.269119115341695</v>
      </c>
      <c r="CH592" s="178">
        <v>0.9135802469135802</v>
      </c>
      <c r="CI592" s="61">
        <f>+CI578*CH592+CG579*CH591+CG580*CH590+CG581*CH589+CG582*CH588+CG583*CH587+CG584*CH586+CG585*CH585+CG586*CH584+CG587*CH583+CG588*CH582+CG589*CH581+CG590*CH580+CG591*CH579+CG592</f>
        <v>5311.5177807307828</v>
      </c>
      <c r="CJ592" s="114">
        <f t="shared" si="1067"/>
        <v>8.7308848235734451E-3</v>
      </c>
      <c r="CK592" s="114"/>
      <c r="CL592" s="169">
        <f t="shared" si="1068"/>
        <v>7.8051338216872665E-3</v>
      </c>
      <c r="CM592" s="169">
        <f t="shared" si="1078"/>
        <v>7.5254177965131674E-3</v>
      </c>
      <c r="CN592" s="114">
        <f>VLOOKUP($H592,RoR!$E:$F,2,FALSE)</f>
        <v>3.6733333333333333E-2</v>
      </c>
      <c r="CO592" s="169">
        <v>1.924331376386168E-2</v>
      </c>
      <c r="CP592" s="169">
        <f t="shared" si="1076"/>
        <v>1.7490019569471653E-2</v>
      </c>
      <c r="CQ592" s="169">
        <f t="shared" si="1079"/>
        <v>2.3376523812020458E-2</v>
      </c>
      <c r="CR592" s="169">
        <f t="shared" si="1080"/>
        <v>6.7122682943869583E-2</v>
      </c>
      <c r="CS592" s="179">
        <f t="shared" si="1069"/>
        <v>0.85329623209999994</v>
      </c>
      <c r="CT592" s="180">
        <f t="shared" si="1070"/>
        <v>1.3960631020522127</v>
      </c>
      <c r="CU592" s="180">
        <f t="shared" si="1071"/>
        <v>0.29441923774954631</v>
      </c>
      <c r="CV592" s="180">
        <f t="shared" si="1072"/>
        <v>0.76377954189366437</v>
      </c>
      <c r="CW592" s="180">
        <f t="shared" si="1073"/>
        <v>0.31393465103033691</v>
      </c>
      <c r="CX592" s="181">
        <f>INDEX('State Tax Lookup'!$D$7:$Z$91,MATCH(Calculation!$C592,'State Tax Lookup'!$B$7:$B$91,0),MATCH($H592,'State Tax Lookup'!$D$6:$Z$6,0))</f>
        <v>0.39649667</v>
      </c>
      <c r="CY592" s="72">
        <v>0.37</v>
      </c>
      <c r="CZ592" s="70">
        <f t="shared" si="1077"/>
        <v>22.014335644557711</v>
      </c>
      <c r="DA592" s="70">
        <v>20.759737328210988</v>
      </c>
      <c r="DB592" s="69">
        <f t="shared" si="1081"/>
        <v>7.5451519408071821E-2</v>
      </c>
      <c r="DC592" s="111">
        <f>VLOOKUP($H592,RoR!$E:$F,2,FALSE)</f>
        <v>3.6733333333333333E-2</v>
      </c>
      <c r="DD592" s="216">
        <f>HLOOKUP($H592,'GDP-PI'!$D$8:$CQ$11,3,FALSE)</f>
        <v>1.924331376386168E-2</v>
      </c>
      <c r="DE592" s="111">
        <f>VLOOKUP(H592,'HW Dx Data'!$E:$F,2,FALSE)</f>
        <v>668.91932211262167</v>
      </c>
      <c r="DF592" s="72">
        <f t="shared" si="1091"/>
        <v>124.80000000000001</v>
      </c>
      <c r="DG592" s="69">
        <f t="shared" si="1092"/>
        <v>3.1955502161869064E-2</v>
      </c>
      <c r="DH592" s="66">
        <f>HLOOKUP(H592,'GDP-PI'!$8:$9,2,FALSE)</f>
        <v>100</v>
      </c>
      <c r="DI592" s="69">
        <f t="shared" si="1082"/>
        <v>1.9060502738742411E-2</v>
      </c>
      <c r="EB592"/>
    </row>
    <row r="593" spans="1:132" s="160" customFormat="1" ht="21">
      <c r="A593" s="160" t="s">
        <v>194</v>
      </c>
      <c r="B593" s="161" t="s">
        <v>194</v>
      </c>
      <c r="C593" s="161">
        <v>4061687</v>
      </c>
      <c r="D593" s="161" t="s">
        <v>171</v>
      </c>
      <c r="E593" s="161" t="s">
        <v>3</v>
      </c>
      <c r="F593" s="161"/>
      <c r="G593" s="161" t="s">
        <v>129</v>
      </c>
      <c r="H593" s="162">
        <v>2013</v>
      </c>
      <c r="I593" s="163"/>
      <c r="J593" s="159">
        <f>IFERROR(INDEX('Labor Expenditures'!$F$7:$X$91,MATCH($C593,'Labor Expenditures'!$D$7:$D$91,0),MATCH($G593,'Labor Expenditures'!$F$5:$X$5,0)),"NA")</f>
        <v>78873.083559726889</v>
      </c>
      <c r="K593" s="159">
        <f t="shared" si="1083"/>
        <v>622.02747286850865</v>
      </c>
      <c r="L593" s="165">
        <f t="shared" si="1089"/>
        <v>3.0847498726731822E-2</v>
      </c>
      <c r="M593" s="76">
        <f t="shared" si="1093"/>
        <v>8.5583647353412479E-4</v>
      </c>
      <c r="N593" s="62">
        <f t="shared" si="1099"/>
        <v>108.25373786501105</v>
      </c>
      <c r="O593" s="96">
        <f t="shared" si="1094"/>
        <v>-6.7794418518430419E-2</v>
      </c>
      <c r="P593" s="96"/>
      <c r="Q593" s="159">
        <f>IFERROR(INDEX('Non-Labor Expenditures'!$F$7:$AB$91,MATCH($C593,'Non-Labor Expenditures'!$D$7:$D$91,0),MATCH($G593,'Non-Labor Expenditures'!$F$5:$AB$5,0)),"NA")</f>
        <v>114222.95645444334</v>
      </c>
      <c r="R593" s="159">
        <f t="shared" si="1084"/>
        <v>1122.330642257213</v>
      </c>
      <c r="S593" s="165">
        <f t="shared" si="1095"/>
        <v>2.9171427778019364E-2</v>
      </c>
      <c r="T593" s="165">
        <f t="shared" si="1096"/>
        <v>8.0933537265569266E-4</v>
      </c>
      <c r="U593" s="165"/>
      <c r="V593" s="165"/>
      <c r="W593" s="159">
        <f t="shared" si="1063"/>
        <v>114620.38943096166</v>
      </c>
      <c r="X593" s="163"/>
      <c r="Y593" s="167">
        <v>5341.8551835645367</v>
      </c>
      <c r="Z593" s="168">
        <v>5.6953764672850737E-3</v>
      </c>
      <c r="AA593" s="76">
        <f t="shared" si="1085"/>
        <v>1.5801316516423161E-4</v>
      </c>
      <c r="AB593" s="168"/>
      <c r="AC593" s="168"/>
      <c r="AD593" s="163">
        <f t="shared" si="1056"/>
        <v>307716.42944513191</v>
      </c>
      <c r="AE593" s="168">
        <f t="shared" si="1097"/>
        <v>2.476185584783722E-2</v>
      </c>
      <c r="AF593" s="163"/>
      <c r="AG593" s="163"/>
      <c r="AH593" s="163"/>
      <c r="AI593" s="163"/>
      <c r="AJ593" s="116">
        <f t="shared" si="1098"/>
        <v>418.28734200556767</v>
      </c>
      <c r="AK593" s="114">
        <f>+AV593/$AX$18</f>
        <v>2.0467651751944052E-2</v>
      </c>
      <c r="AL593" s="115">
        <f t="shared" si="1086"/>
        <v>0.25631742738582158</v>
      </c>
      <c r="AM593" s="115">
        <f t="shared" si="1087"/>
        <v>0.37119550834646003</v>
      </c>
      <c r="AN593" s="115">
        <f t="shared" si="1088"/>
        <v>0.37248706426771833</v>
      </c>
      <c r="AO593" s="115">
        <f t="shared" si="1090"/>
        <v>2.0691674156240451E-2</v>
      </c>
      <c r="AP593" s="166">
        <f t="shared" si="1102"/>
        <v>88.07213764778794</v>
      </c>
      <c r="AQ593" s="168">
        <f t="shared" si="1103"/>
        <v>2.0691674156240399E-2</v>
      </c>
      <c r="AR593" s="69">
        <f>+AD593/$AF$18</f>
        <v>2.7744112451894655E-2</v>
      </c>
      <c r="AS593" s="169">
        <f t="shared" si="1100"/>
        <v>5.7407213460869606E-4</v>
      </c>
      <c r="AT593" s="115"/>
      <c r="AU593" s="115"/>
      <c r="AV593" s="113">
        <f>IFERROR(INDEX('Total Customers'!$F$7:$AB$91,MATCH($C593,'Total Customers'!$D$7:$D$91,0),MATCH($G593,'Total Customers'!$F$5:$AB$5,0)),"NA")</f>
        <v>735658</v>
      </c>
      <c r="AW593" s="68">
        <f t="shared" si="1074"/>
        <v>3.4491174137140103E-3</v>
      </c>
      <c r="AX593" s="114"/>
      <c r="AY593" s="114"/>
      <c r="AZ593" s="116">
        <v>8534921</v>
      </c>
      <c r="BA593" s="116"/>
      <c r="BB593" s="166"/>
      <c r="BC593" s="166"/>
      <c r="BD593" s="166"/>
      <c r="BE593" s="166"/>
      <c r="BF593" s="166"/>
      <c r="BG593" s="166"/>
      <c r="BH593" s="166"/>
      <c r="BI593" s="113"/>
      <c r="BJ593" s="113"/>
      <c r="BK593" s="113">
        <f>INDEX('Dist. Plant Gas Additions'!$F$7:$AE$91,MATCH($C593,'Dist. Plant Gas Additions'!$D$7:$D$91,0),MATCH(Calculation!$G593,'Dist. Plant Gas Additions'!$F$5:$AE$5,0))</f>
        <v>43554</v>
      </c>
      <c r="BL593" s="113">
        <f>INDEX('Gen. Plant Additions'!$F$7:$AE$91,MATCH($C593,'Gen. Plant Additions'!$D$7:$D$91,0),MATCH(Calculation!$G593,'Gen. Plant Additions'!$F$5:$AE$5,0))</f>
        <v>5120</v>
      </c>
      <c r="BM593" s="231">
        <f t="shared" si="1064"/>
        <v>0.95709607631783189</v>
      </c>
      <c r="BN593" s="61">
        <f t="shared" si="1101"/>
        <v>4900.3319107472989</v>
      </c>
      <c r="BO593" s="113">
        <f>INDEX('Dist Plant Depreciation'!$E$7:$AD$94,MATCH($C593,'Dist Plant Depreciation'!$D$7:$D$94,0),MATCH(Calculation!$G593,'Dist Plant Depreciation'!$E$5:$AD$5,0))</f>
        <v>609331</v>
      </c>
      <c r="BP593" s="113">
        <f>INDEX('Gen. Plant Depreciation'!$E$7:$AD$94,MATCH($C593,'Gen. Plant Depreciation'!$D$7:$D$94,0),MATCH(Calculation!$G593,'Gen. Plant Depreciation'!$E$5:$AD$5,0))</f>
        <v>35772</v>
      </c>
      <c r="BQ593" s="113"/>
      <c r="BR593" s="113"/>
      <c r="BS593" s="113"/>
      <c r="BT593" s="113"/>
      <c r="BU593" s="113"/>
      <c r="BV593" s="113"/>
      <c r="BW593" s="113">
        <f>INDEX('Gross Dx Plant'!$E$7:$AD$91,MATCH($C593,'Gross Dx Plant'!$D$7:$D$91,0),MATCH(Calculation!$G593,'Gross Dx Plant'!$E$5:$AD$5,0))</f>
        <v>1636440</v>
      </c>
      <c r="BX593" s="113">
        <f>INDEX('Gross Gen Plant'!$E$7:$AD$91,MATCH($C593,'Gross Gen Plant'!$D$7:$D$91,0),MATCH(Calculation!$G593,'Gross Gen Plant'!$E$5:$AD$5,0))</f>
        <v>73357</v>
      </c>
      <c r="BY593" s="113">
        <f t="shared" si="1075"/>
        <v>1064694</v>
      </c>
      <c r="BZ593" s="113"/>
      <c r="CA593" s="116">
        <v>2013</v>
      </c>
      <c r="CB593" s="113"/>
      <c r="CC593" s="113"/>
      <c r="CD593" s="113"/>
      <c r="CE593" s="175"/>
      <c r="CF593" s="113">
        <f t="shared" si="1065"/>
        <v>48674</v>
      </c>
      <c r="CG593" s="113">
        <f t="shared" si="1066"/>
        <v>73.387285362821643</v>
      </c>
      <c r="CH593" s="178">
        <v>0.90566037735849059</v>
      </c>
      <c r="CI593" s="61">
        <f>+CI578*CH593+CG579*CH592+CG580*CH591+CG581*CH590+CG582*CH589+CG583*CH588+CG584*CH587+CG585*CH586+CG586*CH585+CG587*CH584+CG588*CH583+CG589*CH582+CG590*CH581+CG591*CH580+CG592*CH579+CG593</f>
        <v>5341.8551835645367</v>
      </c>
      <c r="CJ593" s="114">
        <f t="shared" si="1067"/>
        <v>5.6953764672850737E-3</v>
      </c>
      <c r="CK593" s="114"/>
      <c r="CL593" s="169">
        <f t="shared" si="1068"/>
        <v>8.1050058206045827E-3</v>
      </c>
      <c r="CM593" s="169">
        <f t="shared" si="1078"/>
        <v>7.8098610966365204E-3</v>
      </c>
      <c r="CN593" s="114">
        <f>VLOOKUP($H593,RoR!$E:$F,2,FALSE)</f>
        <v>4.2350000000000006E-2</v>
      </c>
      <c r="CO593" s="169">
        <v>1.7730000000000024E-2</v>
      </c>
      <c r="CP593" s="169">
        <f t="shared" si="1076"/>
        <v>2.4619999999999982E-2</v>
      </c>
      <c r="CQ593" s="169">
        <f t="shared" si="1079"/>
        <v>2.3092080511897106E-2</v>
      </c>
      <c r="CR593" s="169">
        <f t="shared" si="1080"/>
        <v>5.3376742735721204E-2</v>
      </c>
      <c r="CS593" s="179">
        <f t="shared" si="1069"/>
        <v>0.85329623209999994</v>
      </c>
      <c r="CT593" s="180">
        <f t="shared" si="1070"/>
        <v>1.2109103018193925</v>
      </c>
      <c r="CU593" s="180">
        <f t="shared" si="1071"/>
        <v>0.38468122786304604</v>
      </c>
      <c r="CV593" s="180">
        <f t="shared" si="1072"/>
        <v>0.80969194503422559</v>
      </c>
      <c r="CW593" s="180">
        <f t="shared" si="1073"/>
        <v>0.37716621754800816</v>
      </c>
      <c r="CX593" s="181">
        <f>INDEX('State Tax Lookup'!$D$7:$Z$91,MATCH(Calculation!$C593,'State Tax Lookup'!$B$7:$B$91,0),MATCH($H593,'State Tax Lookup'!$D$6:$Z$6,0))</f>
        <v>0.39649667</v>
      </c>
      <c r="CY593" s="72">
        <v>0.37</v>
      </c>
      <c r="CZ593" s="70">
        <f t="shared" si="1077"/>
        <v>21.579592531306872</v>
      </c>
      <c r="DA593" s="70">
        <v>20.339519021246105</v>
      </c>
      <c r="DB593" s="69">
        <f t="shared" si="1081"/>
        <v>-1.9945783475967604E-2</v>
      </c>
      <c r="DC593" s="111">
        <f>VLOOKUP($H593,RoR!$E:$F,2,FALSE)</f>
        <v>4.2350000000000006E-2</v>
      </c>
      <c r="DD593" s="216">
        <f>HLOOKUP($H593,'GDP-PI'!$D$8:$CQ$11,3,FALSE)</f>
        <v>1.7730000000000024E-2</v>
      </c>
      <c r="DE593" s="111">
        <f>VLOOKUP(H593,'HW Dx Data'!$E:$F,2,FALSE)</f>
        <v>663.24840548821396</v>
      </c>
      <c r="DF593" s="72">
        <f t="shared" si="1091"/>
        <v>126.8</v>
      </c>
      <c r="DG593" s="69">
        <f t="shared" si="1092"/>
        <v>1.5898586067798204E-2</v>
      </c>
      <c r="DH593" s="66">
        <f>HLOOKUP(H593,'GDP-PI'!$8:$9,2,FALSE)</f>
        <v>101.773</v>
      </c>
      <c r="DI593" s="69">
        <f t="shared" si="1082"/>
        <v>1.7574657016510519E-2</v>
      </c>
      <c r="EB593"/>
    </row>
    <row r="594" spans="1:132" s="160" customFormat="1" ht="21">
      <c r="A594" s="160" t="s">
        <v>194</v>
      </c>
      <c r="B594" s="161" t="s">
        <v>194</v>
      </c>
      <c r="C594" s="161">
        <v>4061687</v>
      </c>
      <c r="D594" s="161" t="s">
        <v>171</v>
      </c>
      <c r="E594" s="161" t="s">
        <v>3</v>
      </c>
      <c r="F594" s="161"/>
      <c r="G594" s="161" t="s">
        <v>130</v>
      </c>
      <c r="H594" s="162">
        <v>2014</v>
      </c>
      <c r="I594" s="163"/>
      <c r="J594" s="159">
        <f>IFERROR(INDEX('Labor Expenditures'!$F$7:$X$91,MATCH($C594,'Labor Expenditures'!$D$7:$D$91,0),MATCH($G594,'Labor Expenditures'!$F$5:$X$5,0)),"NA")</f>
        <v>82248.839151750057</v>
      </c>
      <c r="K594" s="159">
        <f t="shared" si="1083"/>
        <v>635.61699499034046</v>
      </c>
      <c r="L594" s="165">
        <f t="shared" si="1089"/>
        <v>2.1611912442021076E-2</v>
      </c>
      <c r="M594" s="76">
        <f t="shared" si="1093"/>
        <v>6.0532807965956576E-4</v>
      </c>
      <c r="N594" s="62">
        <f t="shared" si="1099"/>
        <v>120.50409942414801</v>
      </c>
      <c r="O594" s="96">
        <f t="shared" si="1094"/>
        <v>0.10720587625217666</v>
      </c>
      <c r="P594" s="96"/>
      <c r="Q594" s="159">
        <f>IFERROR(INDEX('Non-Labor Expenditures'!$F$7:$AB$91,MATCH($C594,'Non-Labor Expenditures'!$D$7:$D$91,0),MATCH($G594,'Non-Labor Expenditures'!$F$5:$AB$5,0)),"NA")</f>
        <v>119111.68105586604</v>
      </c>
      <c r="R594" s="159">
        <f t="shared" si="1084"/>
        <v>1149.2052935045494</v>
      </c>
      <c r="S594" s="165">
        <f t="shared" si="1095"/>
        <v>2.3663200607439851E-2</v>
      </c>
      <c r="T594" s="165">
        <f t="shared" si="1096"/>
        <v>6.6278261216947169E-4</v>
      </c>
      <c r="U594" s="165"/>
      <c r="V594" s="165"/>
      <c r="W594" s="159">
        <f t="shared" si="1063"/>
        <v>117514.71312326471</v>
      </c>
      <c r="X594" s="163"/>
      <c r="Y594" s="167">
        <v>5395.7527231223321</v>
      </c>
      <c r="Z594" s="168">
        <v>1.0039106045093549E-2</v>
      </c>
      <c r="AA594" s="76">
        <f t="shared" si="1085"/>
        <v>2.8118533239841867E-4</v>
      </c>
      <c r="AB594" s="168"/>
      <c r="AC594" s="168"/>
      <c r="AD594" s="163">
        <f t="shared" si="1056"/>
        <v>318875.23333088082</v>
      </c>
      <c r="AE594" s="168">
        <f t="shared" si="1097"/>
        <v>3.5621232928816284E-2</v>
      </c>
      <c r="AF594" s="163"/>
      <c r="AG594" s="163"/>
      <c r="AH594" s="163"/>
      <c r="AI594" s="163"/>
      <c r="AJ594" s="116">
        <f t="shared" si="1098"/>
        <v>431.8421051410412</v>
      </c>
      <c r="AK594" s="114">
        <f>+AV594/$AX$19</f>
        <v>2.0434353187178175E-2</v>
      </c>
      <c r="AL594" s="115">
        <f t="shared" si="1086"/>
        <v>0.25793423431666945</v>
      </c>
      <c r="AM594" s="115">
        <f t="shared" si="1087"/>
        <v>0.37353694676020771</v>
      </c>
      <c r="AN594" s="115">
        <f t="shared" si="1088"/>
        <v>0.36852881892312278</v>
      </c>
      <c r="AO594" s="115">
        <f t="shared" si="1090"/>
        <v>1.8087926201194933E-2</v>
      </c>
      <c r="AP594" s="166">
        <f t="shared" si="1102"/>
        <v>89.679674650952464</v>
      </c>
      <c r="AQ594" s="168">
        <f t="shared" si="1103"/>
        <v>1.808792620119504E-2</v>
      </c>
      <c r="AR594" s="69">
        <f>+AD594/$AF$19</f>
        <v>2.8009001113783776E-2</v>
      </c>
      <c r="AS594" s="169">
        <f t="shared" si="1100"/>
        <v>5.066247451153106E-4</v>
      </c>
      <c r="AT594" s="115"/>
      <c r="AU594" s="115"/>
      <c r="AV594" s="113">
        <f>IFERROR(INDEX('Total Customers'!$F$7:$AB$91,MATCH($C594,'Total Customers'!$D$7:$D$91,0),MATCH($G594,'Total Customers'!$F$5:$AB$5,0)),"NA")</f>
        <v>738407</v>
      </c>
      <c r="AW594" s="68">
        <f t="shared" si="1074"/>
        <v>3.7298262789169884E-3</v>
      </c>
      <c r="AX594" s="114"/>
      <c r="AY594" s="114"/>
      <c r="AZ594" s="116">
        <v>8599754</v>
      </c>
      <c r="BA594" s="116"/>
      <c r="BB594" s="166"/>
      <c r="BC594" s="166"/>
      <c r="BD594" s="166"/>
      <c r="BE594" s="166"/>
      <c r="BF594" s="166"/>
      <c r="BG594" s="166"/>
      <c r="BH594" s="166"/>
      <c r="BI594" s="113"/>
      <c r="BJ594" s="113"/>
      <c r="BK594" s="113">
        <f>INDEX('Dist. Plant Gas Additions'!$F$7:$AE$91,MATCH($C594,'Dist. Plant Gas Additions'!$D$7:$D$91,0),MATCH(Calculation!$G594,'Dist. Plant Gas Additions'!$F$5:$AE$5,0))</f>
        <v>53890</v>
      </c>
      <c r="BL594" s="113">
        <f>INDEX('Gen. Plant Additions'!$F$7:$AE$91,MATCH($C594,'Gen. Plant Additions'!$D$7:$D$91,0),MATCH(Calculation!$G594,'Gen. Plant Additions'!$F$5:$AE$5,0))</f>
        <v>13825</v>
      </c>
      <c r="BM594" s="231">
        <f t="shared" si="1064"/>
        <v>0.9529971528026161</v>
      </c>
      <c r="BN594" s="61">
        <f t="shared" si="1101"/>
        <v>13175.185637496168</v>
      </c>
      <c r="BO594" s="113">
        <f>INDEX('Dist Plant Depreciation'!$E$7:$AD$94,MATCH($C594,'Dist Plant Depreciation'!$D$7:$D$94,0),MATCH(Calculation!$G594,'Dist Plant Depreciation'!$E$5:$AD$5,0))</f>
        <v>634858</v>
      </c>
      <c r="BP594" s="113">
        <f>INDEX('Gen. Plant Depreciation'!$E$7:$AD$94,MATCH($C594,'Gen. Plant Depreciation'!$D$7:$D$94,0),MATCH(Calculation!$G594,'Gen. Plant Depreciation'!$E$5:$AD$5,0))</f>
        <v>38572</v>
      </c>
      <c r="BQ594" s="113"/>
      <c r="BR594" s="113"/>
      <c r="BS594" s="113"/>
      <c r="BT594" s="113"/>
      <c r="BU594" s="113"/>
      <c r="BV594" s="113"/>
      <c r="BW594" s="113">
        <f>INDEX('Gross Dx Plant'!$E$7:$AD$91,MATCH($C594,'Gross Dx Plant'!$D$7:$D$91,0),MATCH(Calculation!$G594,'Gross Dx Plant'!$E$5:$AD$5,0))</f>
        <v>1681269</v>
      </c>
      <c r="BX594" s="113">
        <f>INDEX('Gross Gen Plant'!$E$7:$AD$91,MATCH($C594,'Gross Gen Plant'!$D$7:$D$91,0),MATCH(Calculation!$G594,'Gross Gen Plant'!$E$5:$AD$5,0))</f>
        <v>82922</v>
      </c>
      <c r="BY594" s="113">
        <f t="shared" si="1075"/>
        <v>1090761</v>
      </c>
      <c r="BZ594" s="113"/>
      <c r="CA594" s="116">
        <v>2014</v>
      </c>
      <c r="CB594" s="113"/>
      <c r="CC594" s="113"/>
      <c r="CD594" s="113"/>
      <c r="CE594" s="175"/>
      <c r="CF594" s="113">
        <f t="shared" si="1065"/>
        <v>67715</v>
      </c>
      <c r="CG594" s="113">
        <f t="shared" si="1066"/>
        <v>98.93068330006102</v>
      </c>
      <c r="CH594" s="178">
        <v>0.89743589743589747</v>
      </c>
      <c r="CI594" s="61">
        <f>+CI578*CH594+CG579*CH593+CG580*CH592+CG581*CH591+CG582*CH590+CG583*CH589+CG584*CH588+CG585*CH587+CG586*CH586+CG587*CH585+CG588*CH584+CG589*CH583+CG590*CH582+CG591*CH581+CG592*CH580+CG593*CH579+CG594</f>
        <v>5395.7527231223321</v>
      </c>
      <c r="CJ594" s="114">
        <f t="shared" si="1067"/>
        <v>1.0039106045093549E-2</v>
      </c>
      <c r="CK594" s="114"/>
      <c r="CL594" s="169">
        <f t="shared" si="1068"/>
        <v>8.4302442119398076E-3</v>
      </c>
      <c r="CM594" s="169">
        <f t="shared" si="1078"/>
        <v>8.1134612847438854E-3</v>
      </c>
      <c r="CN594" s="114">
        <f>VLOOKUP($H594,RoR!$E:$F,2,FALSE)</f>
        <v>4.1625000000000002E-2</v>
      </c>
      <c r="CO594" s="169">
        <v>1.841352814597208E-2</v>
      </c>
      <c r="CP594" s="169">
        <f t="shared" si="1076"/>
        <v>2.3211471854027922E-2</v>
      </c>
      <c r="CQ594" s="169">
        <f t="shared" si="1079"/>
        <v>2.2788480323789738E-2</v>
      </c>
      <c r="CR594" s="169">
        <f t="shared" si="1080"/>
        <v>3.9072621432650924E-2</v>
      </c>
      <c r="CS594" s="179">
        <f t="shared" si="1069"/>
        <v>0.85329623209999994</v>
      </c>
      <c r="CT594" s="180">
        <f t="shared" si="1070"/>
        <v>1.2320012320012319</v>
      </c>
      <c r="CU594" s="180">
        <f t="shared" si="1071"/>
        <v>0.37439939939939942</v>
      </c>
      <c r="CV594" s="180">
        <f t="shared" si="1072"/>
        <v>0.80432100613819935</v>
      </c>
      <c r="CW594" s="180">
        <f t="shared" si="1073"/>
        <v>0.37100152660040037</v>
      </c>
      <c r="CX594" s="181">
        <f>INDEX('State Tax Lookup'!$D$7:$Z$91,MATCH(Calculation!$C594,'State Tax Lookup'!$B$7:$B$91,0),MATCH($H594,'State Tax Lookup'!$D$6:$Z$6,0))</f>
        <v>0.39649667</v>
      </c>
      <c r="CY594" s="72">
        <v>0.37</v>
      </c>
      <c r="CZ594" s="70">
        <f t="shared" si="1077"/>
        <v>21.998857903304106</v>
      </c>
      <c r="DA594" s="70">
        <v>20.763592984765573</v>
      </c>
      <c r="DB594" s="69">
        <f t="shared" si="1081"/>
        <v>1.9242460647334533E-2</v>
      </c>
      <c r="DC594" s="111">
        <f>VLOOKUP($H594,RoR!$E:$F,2,FALSE)</f>
        <v>4.1625000000000002E-2</v>
      </c>
      <c r="DD594" s="216">
        <f>HLOOKUP($H594,'GDP-PI'!$D$8:$CQ$11,3,FALSE)</f>
        <v>1.841352814597208E-2</v>
      </c>
      <c r="DE594" s="111">
        <f>VLOOKUP(H594,'HW Dx Data'!$E:$F,2,FALSE)</f>
        <v>684.46914285042885</v>
      </c>
      <c r="DF594" s="72">
        <f t="shared" si="1091"/>
        <v>129.4</v>
      </c>
      <c r="DG594" s="69">
        <f t="shared" si="1092"/>
        <v>2.0297340063674733E-2</v>
      </c>
      <c r="DH594" s="66">
        <f>HLOOKUP(H594,'GDP-PI'!$8:$9,2,FALSE)</f>
        <v>103.64700000000001</v>
      </c>
      <c r="DI594" s="69">
        <f t="shared" si="1082"/>
        <v>1.8246051898256087E-2</v>
      </c>
      <c r="EB594"/>
    </row>
    <row r="595" spans="1:132" s="160" customFormat="1" ht="21">
      <c r="A595" s="160" t="s">
        <v>194</v>
      </c>
      <c r="B595" s="161" t="s">
        <v>194</v>
      </c>
      <c r="C595" s="161">
        <v>4061687</v>
      </c>
      <c r="D595" s="161" t="s">
        <v>171</v>
      </c>
      <c r="E595" s="161" t="s">
        <v>3</v>
      </c>
      <c r="F595" s="161"/>
      <c r="G595" s="161" t="s">
        <v>132</v>
      </c>
      <c r="H595" s="162">
        <v>2015</v>
      </c>
      <c r="I595" s="163"/>
      <c r="J595" s="159">
        <f>IFERROR(INDEX('Labor Expenditures'!$F$7:$X$91,MATCH($C595,'Labor Expenditures'!$D$7:$D$91,0),MATCH($G595,'Labor Expenditures'!$F$5:$X$5,0)),"NA")</f>
        <v>83719.991389992079</v>
      </c>
      <c r="K595" s="159">
        <f t="shared" si="1083"/>
        <v>627.1160403744725</v>
      </c>
      <c r="L595" s="165">
        <f t="shared" si="1089"/>
        <v>-1.3464576927962719E-2</v>
      </c>
      <c r="M595" s="76">
        <f t="shared" si="1093"/>
        <v>-3.7564376203620762E-4</v>
      </c>
      <c r="N595" s="62">
        <f t="shared" si="1099"/>
        <v>118.78447942790021</v>
      </c>
      <c r="O595" s="96">
        <f t="shared" si="1094"/>
        <v>-1.4373018621941546E-2</v>
      </c>
      <c r="P595" s="96"/>
      <c r="Q595" s="159">
        <f>IFERROR(INDEX('Non-Labor Expenditures'!$F$7:$AB$91,MATCH($C595,'Non-Labor Expenditures'!$D$7:$D$91,0),MATCH($G595,'Non-Labor Expenditures'!$F$5:$AB$5,0)),"NA")</f>
        <v>121242.1842701765</v>
      </c>
      <c r="R595" s="159">
        <f t="shared" si="1084"/>
        <v>1158.6710907995728</v>
      </c>
      <c r="S595" s="165">
        <f t="shared" si="1095"/>
        <v>8.203082660098393E-3</v>
      </c>
      <c r="T595" s="165">
        <f t="shared" si="1096"/>
        <v>2.2885508005334585E-4</v>
      </c>
      <c r="U595" s="165"/>
      <c r="V595" s="165"/>
      <c r="W595" s="159">
        <f t="shared" si="1063"/>
        <v>115797.66126225457</v>
      </c>
      <c r="X595" s="163"/>
      <c r="Y595" s="167">
        <v>5378.3162940991515</v>
      </c>
      <c r="Z595" s="168">
        <v>-3.2367426304844567E-3</v>
      </c>
      <c r="AA595" s="76">
        <f t="shared" si="1085"/>
        <v>-9.0300808184555411E-5</v>
      </c>
      <c r="AB595" s="168"/>
      <c r="AC595" s="168"/>
      <c r="AD595" s="163">
        <f t="shared" si="1056"/>
        <v>320759.83692242316</v>
      </c>
      <c r="AE595" s="168">
        <f t="shared" si="1097"/>
        <v>5.8927633355407641E-3</v>
      </c>
      <c r="AF595" s="163"/>
      <c r="AG595" s="163"/>
      <c r="AH595" s="163"/>
      <c r="AI595" s="163"/>
      <c r="AJ595" s="116">
        <f t="shared" si="1098"/>
        <v>433.07590838166647</v>
      </c>
      <c r="AK595" s="114">
        <f>+AV595/$AX$20</f>
        <v>2.0329899630564589E-2</v>
      </c>
      <c r="AL595" s="115">
        <f t="shared" si="1086"/>
        <v>0.2610052187120922</v>
      </c>
      <c r="AM595" s="115">
        <f t="shared" si="1087"/>
        <v>0.37798430574554548</v>
      </c>
      <c r="AN595" s="115">
        <f t="shared" si="1088"/>
        <v>0.36101047554236232</v>
      </c>
      <c r="AO595" s="115">
        <f t="shared" si="1090"/>
        <v>-1.5919200830726379E-3</v>
      </c>
      <c r="AP595" s="166">
        <f t="shared" si="1102"/>
        <v>89.537025349101683</v>
      </c>
      <c r="AQ595" s="168">
        <f t="shared" si="1103"/>
        <v>-1.5919200830726654E-3</v>
      </c>
      <c r="AR595" s="69">
        <f>+AD595/$AF$20</f>
        <v>2.7898668041777458E-2</v>
      </c>
      <c r="AS595" s="169">
        <f t="shared" si="1100"/>
        <v>-4.441244994668309E-5</v>
      </c>
      <c r="AT595" s="115"/>
      <c r="AU595" s="115"/>
      <c r="AV595" s="113">
        <f>IFERROR(INDEX('Total Customers'!$F$7:$AB$91,MATCH($C595,'Total Customers'!$D$7:$D$91,0),MATCH($G595,'Total Customers'!$F$5:$AB$5,0)),"NA")</f>
        <v>740655</v>
      </c>
      <c r="AW595" s="68">
        <f t="shared" si="1074"/>
        <v>3.0397667318798668E-3</v>
      </c>
      <c r="AX595" s="114"/>
      <c r="AY595" s="114"/>
      <c r="AZ595" s="116">
        <v>8659109</v>
      </c>
      <c r="BA595" s="116"/>
      <c r="BB595" s="166"/>
      <c r="BC595" s="166"/>
      <c r="BD595" s="166"/>
      <c r="BE595" s="166"/>
      <c r="BF595" s="166"/>
      <c r="BG595" s="166"/>
      <c r="BH595" s="166"/>
      <c r="BI595" s="113"/>
      <c r="BJ595" s="113"/>
      <c r="BK595" s="113">
        <f>INDEX('Dist. Plant Gas Additions'!$F$7:$AE$91,MATCH($C595,'Dist. Plant Gas Additions'!$D$7:$D$91,0),MATCH(Calculation!$G595,'Dist. Plant Gas Additions'!$F$5:$AE$5,0))</f>
        <v>13136</v>
      </c>
      <c r="BL595" s="113">
        <f>INDEX('Gen. Plant Additions'!$F$7:$AE$91,MATCH($C595,'Gen. Plant Additions'!$D$7:$D$91,0),MATCH(Calculation!$G595,'Gen. Plant Additions'!$F$5:$AE$5,0))</f>
        <v>7005</v>
      </c>
      <c r="BM595" s="231">
        <f t="shared" si="1064"/>
        <v>0.95049956116828105</v>
      </c>
      <c r="BN595" s="61">
        <f t="shared" si="1101"/>
        <v>6658.2494259838086</v>
      </c>
      <c r="BO595" s="113">
        <f>INDEX('Dist Plant Depreciation'!$E$7:$AD$94,MATCH($C595,'Dist Plant Depreciation'!$D$7:$D$94,0),MATCH(Calculation!$G595,'Dist Plant Depreciation'!$E$5:$AD$5,0))</f>
        <v>656825</v>
      </c>
      <c r="BP595" s="113">
        <f>INDEX('Gen. Plant Depreciation'!$E$7:$AD$94,MATCH($C595,'Gen. Plant Depreciation'!$D$7:$D$94,0),MATCH(Calculation!$G595,'Gen. Plant Depreciation'!$E$5:$AD$5,0))</f>
        <v>42604</v>
      </c>
      <c r="BQ595" s="113"/>
      <c r="BR595" s="113"/>
      <c r="BS595" s="113"/>
      <c r="BT595" s="113"/>
      <c r="BU595" s="113"/>
      <c r="BV595" s="113"/>
      <c r="BW595" s="113">
        <f>INDEX('Gross Dx Plant'!$E$7:$AD$91,MATCH($C595,'Gross Dx Plant'!$D$7:$D$91,0),MATCH(Calculation!$G595,'Gross Dx Plant'!$E$5:$AD$5,0))</f>
        <v>1720869</v>
      </c>
      <c r="BX595" s="113">
        <f>INDEX('Gross Gen Plant'!$E$7:$AD$91,MATCH($C595,'Gross Gen Plant'!$D$7:$D$91,0),MATCH(Calculation!$G595,'Gross Gen Plant'!$E$5:$AD$5,0))</f>
        <v>89620</v>
      </c>
      <c r="BY595" s="113">
        <f t="shared" si="1075"/>
        <v>1111060</v>
      </c>
      <c r="BZ595" s="113"/>
      <c r="CA595" s="116">
        <v>2015</v>
      </c>
      <c r="CB595" s="113"/>
      <c r="CC595" s="113"/>
      <c r="CD595" s="113"/>
      <c r="CE595" s="175"/>
      <c r="CF595" s="113">
        <f t="shared" si="1065"/>
        <v>20141</v>
      </c>
      <c r="CG595" s="113">
        <f t="shared" si="1066"/>
        <v>29.811373249839914</v>
      </c>
      <c r="CH595" s="178">
        <v>0.88888888888888884</v>
      </c>
      <c r="CI595" s="61">
        <f>+CI578*CH595+CG579*CH594+CG580*CH593+CG581*CH592+CG582*CH591+CG583*CH590+CG584*CH589+CG585*CH588+CG586*CH587+CG587*CH586+CG588*CH585+CG589*CH584+CG590*CH583+CG591*CH582+CG592*CH581+CG593*CH580+CG594*CH579+CG595</f>
        <v>5378.3162940991515</v>
      </c>
      <c r="CJ595" s="114">
        <f t="shared" si="1067"/>
        <v>-3.2367426304844567E-3</v>
      </c>
      <c r="CK595" s="114"/>
      <c r="CL595" s="169">
        <f t="shared" si="1068"/>
        <v>8.7564802720759023E-3</v>
      </c>
      <c r="CM595" s="169">
        <f t="shared" si="1078"/>
        <v>8.4305767682067642E-3</v>
      </c>
      <c r="CN595" s="114">
        <f>VLOOKUP($H595,RoR!$E:$F,2,FALSE)</f>
        <v>3.8866666666666674E-2</v>
      </c>
      <c r="CO595" s="169">
        <v>9.5709475431029478E-3</v>
      </c>
      <c r="CP595" s="169">
        <f t="shared" si="1076"/>
        <v>2.9295719123563727E-2</v>
      </c>
      <c r="CQ595" s="169">
        <f t="shared" si="1079"/>
        <v>2.2471364840326861E-2</v>
      </c>
      <c r="CR595" s="169">
        <f t="shared" si="1080"/>
        <v>3.5270373279175926E-3</v>
      </c>
      <c r="CS595" s="179">
        <f t="shared" si="1069"/>
        <v>0.85329623209999994</v>
      </c>
      <c r="CT595" s="180">
        <f t="shared" si="1070"/>
        <v>1.3194352816994324</v>
      </c>
      <c r="CU595" s="180">
        <f t="shared" si="1071"/>
        <v>0.33177530017152673</v>
      </c>
      <c r="CV595" s="180">
        <f t="shared" si="1072"/>
        <v>0.78242572977668579</v>
      </c>
      <c r="CW595" s="180">
        <f t="shared" si="1073"/>
        <v>0.34251158643433932</v>
      </c>
      <c r="CX595" s="181">
        <f>INDEX('State Tax Lookup'!$D$7:$Z$91,MATCH(Calculation!$C595,'State Tax Lookup'!$B$7:$B$91,0),MATCH($H595,'State Tax Lookup'!$D$6:$Z$6,0))</f>
        <v>0.39649667</v>
      </c>
      <c r="CY595" s="72">
        <v>0.37</v>
      </c>
      <c r="CZ595" s="70">
        <f t="shared" si="1077"/>
        <v>21.460891038617969</v>
      </c>
      <c r="DA595" s="70">
        <v>20.279488671080099</v>
      </c>
      <c r="DB595" s="69">
        <f t="shared" si="1081"/>
        <v>-2.475828127915888E-2</v>
      </c>
      <c r="DC595" s="111">
        <f>VLOOKUP($H595,RoR!$E:$F,2,FALSE)</f>
        <v>3.8866666666666674E-2</v>
      </c>
      <c r="DD595" s="216">
        <f>HLOOKUP($H595,'GDP-PI'!$D$8:$CQ$11,3,FALSE)</f>
        <v>9.5709475431029478E-3</v>
      </c>
      <c r="DE595" s="111">
        <f>VLOOKUP(H595,'HW Dx Data'!$E:$F,2,FALSE)</f>
        <v>675.61463308665782</v>
      </c>
      <c r="DF595" s="72">
        <f t="shared" si="1091"/>
        <v>133.5</v>
      </c>
      <c r="DG595" s="69">
        <f t="shared" si="1092"/>
        <v>3.1193095773504077E-2</v>
      </c>
      <c r="DH595" s="66">
        <f>HLOOKUP(H595,'GDP-PI'!$8:$9,2,FALSE)</f>
        <v>104.639</v>
      </c>
      <c r="DI595" s="69">
        <f t="shared" si="1082"/>
        <v>9.5254361854427965E-3</v>
      </c>
      <c r="EB595"/>
    </row>
    <row r="596" spans="1:132" s="160" customFormat="1" ht="21">
      <c r="A596" s="160" t="s">
        <v>194</v>
      </c>
      <c r="B596" s="161" t="s">
        <v>194</v>
      </c>
      <c r="C596" s="161">
        <v>4061687</v>
      </c>
      <c r="D596" s="161" t="s">
        <v>171</v>
      </c>
      <c r="E596" s="161" t="s">
        <v>3</v>
      </c>
      <c r="F596" s="161"/>
      <c r="G596" s="161" t="s">
        <v>133</v>
      </c>
      <c r="H596" s="162">
        <v>2016</v>
      </c>
      <c r="I596" s="163"/>
      <c r="J596" s="159">
        <f>IFERROR(INDEX('Labor Expenditures'!$F$7:$X$91,MATCH($C596,'Labor Expenditures'!$D$7:$D$91,0),MATCH($G596,'Labor Expenditures'!$F$5:$X$5,0)),"NA")</f>
        <v>81311.941241804627</v>
      </c>
      <c r="K596" s="159">
        <f t="shared" si="1083"/>
        <v>593.73451071051215</v>
      </c>
      <c r="L596" s="165">
        <f t="shared" si="1089"/>
        <v>-5.4699328092549709E-2</v>
      </c>
      <c r="M596" s="76">
        <f t="shared" si="1093"/>
        <v>-1.4343503006396488E-3</v>
      </c>
      <c r="N596" s="62">
        <f t="shared" si="1099"/>
        <v>298.46710844269239</v>
      </c>
      <c r="O596" s="96">
        <f t="shared" si="1094"/>
        <v>0.92134898344212557</v>
      </c>
      <c r="P596" s="96"/>
      <c r="Q596" s="159">
        <f>IFERROR(INDEX('Non-Labor Expenditures'!$F$7:$AB$91,MATCH($C596,'Non-Labor Expenditures'!$D$7:$D$91,0),MATCH($G596,'Non-Labor Expenditures'!$F$5:$AB$5,0)),"NA")</f>
        <v>117754.87789387329</v>
      </c>
      <c r="R596" s="159">
        <f t="shared" si="1084"/>
        <v>1113.6687400116639</v>
      </c>
      <c r="S596" s="165">
        <f t="shared" si="1095"/>
        <v>-3.9614000590971851E-2</v>
      </c>
      <c r="T596" s="165">
        <f t="shared" si="1096"/>
        <v>-1.0387760807785661E-3</v>
      </c>
      <c r="U596" s="165"/>
      <c r="V596" s="165"/>
      <c r="W596" s="159">
        <f t="shared" si="1063"/>
        <v>112921.13369025546</v>
      </c>
      <c r="X596" s="163"/>
      <c r="Y596" s="167">
        <v>5374.2774951066931</v>
      </c>
      <c r="Z596" s="168">
        <v>-7.5122324186556E-4</v>
      </c>
      <c r="AA596" s="76">
        <f t="shared" si="1085"/>
        <v>-1.9698912589826133E-5</v>
      </c>
      <c r="AB596" s="168"/>
      <c r="AC596" s="168"/>
      <c r="AD596" s="163">
        <f t="shared" si="1056"/>
        <v>311987.95282593335</v>
      </c>
      <c r="AE596" s="168">
        <f t="shared" si="1097"/>
        <v>-2.77280972021464E-2</v>
      </c>
      <c r="AF596" s="163"/>
      <c r="AG596" s="163"/>
      <c r="AH596" s="163"/>
      <c r="AI596" s="163"/>
      <c r="AJ596" s="116">
        <f t="shared" si="1098"/>
        <v>420.16712095749727</v>
      </c>
      <c r="AK596" s="114">
        <f>+AV596/$AX$21</f>
        <v>2.0205323769596727E-2</v>
      </c>
      <c r="AL596" s="115">
        <f t="shared" si="1086"/>
        <v>0.2606252597425478</v>
      </c>
      <c r="AM596" s="115">
        <f t="shared" si="1087"/>
        <v>0.37743405419109877</v>
      </c>
      <c r="AN596" s="115">
        <f t="shared" si="1088"/>
        <v>0.36194068606635355</v>
      </c>
      <c r="AO596" s="115">
        <f t="shared" si="1090"/>
        <v>-2.9500538878179709E-2</v>
      </c>
      <c r="AP596" s="166">
        <f t="shared" si="1102"/>
        <v>86.934215756620588</v>
      </c>
      <c r="AQ596" s="168">
        <f t="shared" si="1103"/>
        <v>-2.9500538878179751E-2</v>
      </c>
      <c r="AR596" s="69">
        <f>+AD596/$AF$21</f>
        <v>2.6222448257733056E-2</v>
      </c>
      <c r="AS596" s="169">
        <f t="shared" si="1100"/>
        <v>-7.7357635430831087E-4</v>
      </c>
      <c r="AT596" s="115"/>
      <c r="AU596" s="115"/>
      <c r="AV596" s="113">
        <f>IFERROR(INDEX('Total Customers'!$F$7:$AB$91,MATCH($C596,'Total Customers'!$D$7:$D$91,0),MATCH($G596,'Total Customers'!$F$5:$AB$5,0)),"NA")</f>
        <v>742533</v>
      </c>
      <c r="AW596" s="68">
        <f t="shared" si="1074"/>
        <v>2.5323843014234365E-3</v>
      </c>
      <c r="AX596" s="114"/>
      <c r="AY596" s="114"/>
      <c r="AZ596" s="116">
        <v>8759079</v>
      </c>
      <c r="BA596" s="116"/>
      <c r="BB596" s="166"/>
      <c r="BC596" s="166"/>
      <c r="BD596" s="166"/>
      <c r="BE596" s="166"/>
      <c r="BF596" s="166"/>
      <c r="BG596" s="166"/>
      <c r="BH596" s="166"/>
      <c r="BI596" s="113"/>
      <c r="BJ596" s="113"/>
      <c r="BK596" s="113">
        <f>INDEX('Dist. Plant Gas Additions'!$F$7:$AE$91,MATCH($C596,'Dist. Plant Gas Additions'!$D$7:$D$91,0),MATCH(Calculation!$G596,'Dist. Plant Gas Additions'!$F$5:$AE$5,0))</f>
        <v>22866</v>
      </c>
      <c r="BL596" s="113">
        <f>INDEX('Gen. Plant Additions'!$F$7:$AE$91,MATCH($C596,'Gen. Plant Additions'!$D$7:$D$91,0),MATCH(Calculation!$G596,'Gen. Plant Additions'!$F$5:$AE$5,0))</f>
        <v>7481</v>
      </c>
      <c r="BM596" s="231">
        <f t="shared" si="1064"/>
        <v>0.94979422458243945</v>
      </c>
      <c r="BN596" s="61">
        <f t="shared" si="1101"/>
        <v>7105.4105941012294</v>
      </c>
      <c r="BO596" s="113">
        <f>INDEX('Dist Plant Depreciation'!$E$7:$AD$94,MATCH($C596,'Dist Plant Depreciation'!$D$7:$D$94,0),MATCH(Calculation!$G596,'Dist Plant Depreciation'!$E$5:$AD$5,0))</f>
        <v>679083</v>
      </c>
      <c r="BP596" s="113">
        <f>INDEX('Gen. Plant Depreciation'!$E$7:$AD$94,MATCH($C596,'Gen. Plant Depreciation'!$D$7:$D$94,0),MATCH(Calculation!$G596,'Gen. Plant Depreciation'!$E$5:$AD$5,0))</f>
        <v>46294</v>
      </c>
      <c r="BQ596" s="113"/>
      <c r="BR596" s="113"/>
      <c r="BS596" s="113"/>
      <c r="BT596" s="113"/>
      <c r="BU596" s="113"/>
      <c r="BV596" s="113"/>
      <c r="BW596" s="113">
        <f>INDEX('Gross Dx Plant'!$E$7:$AD$91,MATCH($C596,'Gross Dx Plant'!$D$7:$D$91,0),MATCH(Calculation!$G596,'Gross Dx Plant'!$E$5:$AD$5,0))</f>
        <v>1774038</v>
      </c>
      <c r="BX596" s="113">
        <f>INDEX('Gross Gen Plant'!$E$7:$AD$91,MATCH($C596,'Gross Gen Plant'!$D$7:$D$91,0),MATCH(Calculation!$G596,'Gross Gen Plant'!$E$5:$AD$5,0))</f>
        <v>93775</v>
      </c>
      <c r="BY596" s="113">
        <f t="shared" si="1075"/>
        <v>1142436</v>
      </c>
      <c r="BZ596" s="113"/>
      <c r="CA596" s="116">
        <v>2016</v>
      </c>
      <c r="CB596" s="113"/>
      <c r="CC596" s="113"/>
      <c r="CD596" s="113"/>
      <c r="CE596" s="175"/>
      <c r="CF596" s="113">
        <f t="shared" si="1065"/>
        <v>30347</v>
      </c>
      <c r="CG596" s="113">
        <f t="shared" si="1066"/>
        <v>45.195786766668895</v>
      </c>
      <c r="CH596" s="178">
        <v>0.88</v>
      </c>
      <c r="CI596" s="61">
        <f>+CI578*CH596+CG579*CH595+CG580*CH594+CG581*CH593+CG582*CH592+CG583*CH591+CG584*CH590+CG585*CH589+CG586*CH588+CG587*CH587+CG588*CH586+CG589*CH585+CG590*CH584+CG591*CH583+CG592*CH582+CG593*CH581+CG594*CH580+CG595*CH579+CG596</f>
        <v>5374.2774951066931</v>
      </c>
      <c r="CJ596" s="114">
        <f t="shared" si="1067"/>
        <v>-7.5122324186556E-4</v>
      </c>
      <c r="CK596" s="114"/>
      <c r="CL596" s="169">
        <f t="shared" si="1068"/>
        <v>9.1542748821123229E-3</v>
      </c>
      <c r="CM596" s="169">
        <f t="shared" si="1078"/>
        <v>8.7803331220426776E-3</v>
      </c>
      <c r="CN596" s="114">
        <f>VLOOKUP($H596,RoR!$E:$F,2,FALSE)</f>
        <v>3.6658333333333334E-2</v>
      </c>
      <c r="CO596" s="169">
        <v>1.0483662879041455E-2</v>
      </c>
      <c r="CP596" s="169">
        <f t="shared" si="1076"/>
        <v>2.6174670454291879E-2</v>
      </c>
      <c r="CQ596" s="169">
        <f t="shared" si="1079"/>
        <v>2.2121608486490946E-2</v>
      </c>
      <c r="CR596" s="169">
        <f t="shared" si="1080"/>
        <v>4.301363574220729E-3</v>
      </c>
      <c r="CS596" s="179">
        <f t="shared" si="1069"/>
        <v>0.85329623209999994</v>
      </c>
      <c r="CT596" s="180">
        <f t="shared" si="1070"/>
        <v>1.3989193348138562</v>
      </c>
      <c r="CU596" s="180">
        <f t="shared" si="1071"/>
        <v>0.29302682427824522</v>
      </c>
      <c r="CV596" s="180">
        <f t="shared" si="1072"/>
        <v>0.76309497491941802</v>
      </c>
      <c r="CW596" s="180">
        <f t="shared" si="1073"/>
        <v>0.31280857135128509</v>
      </c>
      <c r="CX596" s="181">
        <f>INDEX('State Tax Lookup'!$D$7:$Z$91,MATCH(Calculation!$C596,'State Tax Lookup'!$B$7:$B$91,0),MATCH($H596,'State Tax Lookup'!$D$6:$Z$6,0))</f>
        <v>0.39649667</v>
      </c>
      <c r="CY596" s="72">
        <v>0.37</v>
      </c>
      <c r="CZ596" s="70">
        <f t="shared" si="1077"/>
        <v>20.995629025044042</v>
      </c>
      <c r="DA596" s="70">
        <v>19.909765876209278</v>
      </c>
      <c r="DB596" s="69">
        <f t="shared" si="1081"/>
        <v>-2.1917982851057193E-2</v>
      </c>
      <c r="DC596" s="111">
        <f>VLOOKUP($H596,RoR!$E:$F,2,FALSE)</f>
        <v>3.6658333333333334E-2</v>
      </c>
      <c r="DD596" s="216">
        <f>HLOOKUP($H596,'GDP-PI'!$D$8:$CQ$11,3,FALSE)</f>
        <v>1.0483662879041455E-2</v>
      </c>
      <c r="DE596" s="111">
        <f>VLOOKUP(H596,'HW Dx Data'!$E:$F,2,FALSE)</f>
        <v>671.45639385971219</v>
      </c>
      <c r="DF596" s="72">
        <f t="shared" si="1091"/>
        <v>136.94999999999999</v>
      </c>
      <c r="DG596" s="69">
        <f t="shared" si="1092"/>
        <v>2.5514417868782811E-2</v>
      </c>
      <c r="DH596" s="66">
        <f>HLOOKUP(H596,'GDP-PI'!$8:$9,2,FALSE)</f>
        <v>105.736</v>
      </c>
      <c r="DI596" s="69">
        <f t="shared" si="1082"/>
        <v>1.0429090367205095E-2</v>
      </c>
      <c r="EB596"/>
    </row>
    <row r="597" spans="1:132" s="160" customFormat="1" ht="21">
      <c r="A597" s="160" t="s">
        <v>194</v>
      </c>
      <c r="B597" s="161" t="s">
        <v>194</v>
      </c>
      <c r="C597" s="161">
        <v>4061687</v>
      </c>
      <c r="D597" s="161" t="s">
        <v>171</v>
      </c>
      <c r="E597" s="161" t="s">
        <v>3</v>
      </c>
      <c r="F597" s="161"/>
      <c r="G597" s="161" t="s">
        <v>135</v>
      </c>
      <c r="H597" s="162">
        <v>2017</v>
      </c>
      <c r="I597" s="163"/>
      <c r="J597" s="159">
        <f>IFERROR(INDEX('Labor Expenditures'!$F$7:$X$91,MATCH($C597,'Labor Expenditures'!$D$7:$D$91,0),MATCH($G597,'Labor Expenditures'!$F$5:$X$5,0)),"NA")</f>
        <v>82918.365639424243</v>
      </c>
      <c r="K597" s="159">
        <f t="shared" si="1083"/>
        <v>590.37640184709323</v>
      </c>
      <c r="L597" s="165">
        <f t="shared" si="1089"/>
        <v>-5.6719650679062528E-3</v>
      </c>
      <c r="M597" s="76">
        <f t="shared" si="1093"/>
        <v>-1.4574207945829029E-4</v>
      </c>
      <c r="N597" s="62">
        <f t="shared" si="1099"/>
        <v>165.63480890057409</v>
      </c>
      <c r="O597" s="96">
        <f t="shared" si="1094"/>
        <v>-0.58887431875215634</v>
      </c>
      <c r="P597" s="96"/>
      <c r="Q597" s="159">
        <f>IFERROR(INDEX('Non-Labor Expenditures'!$F$7:$AB$91,MATCH($C597,'Non-Labor Expenditures'!$D$7:$D$91,0),MATCH($G597,'Non-Labor Expenditures'!$F$5:$AB$5,0)),"NA")</f>
        <v>120081.28046031678</v>
      </c>
      <c r="R597" s="159">
        <f t="shared" si="1084"/>
        <v>1114.4330953802448</v>
      </c>
      <c r="S597" s="165">
        <f t="shared" si="1095"/>
        <v>6.8610454551407607E-4</v>
      </c>
      <c r="T597" s="165">
        <f t="shared" si="1096"/>
        <v>1.7629569645061031E-5</v>
      </c>
      <c r="U597" s="165"/>
      <c r="V597" s="165"/>
      <c r="W597" s="159">
        <f t="shared" si="1063"/>
        <v>101250.87235144626</v>
      </c>
      <c r="X597" s="163"/>
      <c r="Y597" s="167">
        <v>5363.8433669571768</v>
      </c>
      <c r="Z597" s="168">
        <v>-1.9433812614805016E-3</v>
      </c>
      <c r="AA597" s="76">
        <f t="shared" si="1085"/>
        <v>-4.993550257053963E-5</v>
      </c>
      <c r="AB597" s="168"/>
      <c r="AC597" s="168"/>
      <c r="AD597" s="163">
        <f t="shared" si="1056"/>
        <v>304250.51845118729</v>
      </c>
      <c r="AE597" s="168">
        <f t="shared" si="1097"/>
        <v>-2.5113138430217029E-2</v>
      </c>
      <c r="AF597" s="163"/>
      <c r="AG597" s="163"/>
      <c r="AH597" s="163"/>
      <c r="AI597" s="163"/>
      <c r="AJ597" s="116">
        <f t="shared" si="1098"/>
        <v>408.46507136371025</v>
      </c>
      <c r="AK597" s="114">
        <f>+AV597/$AX$22</f>
        <v>2.0116444050551741E-2</v>
      </c>
      <c r="AL597" s="115">
        <f t="shared" si="1086"/>
        <v>0.27253319422930522</v>
      </c>
      <c r="AM597" s="115">
        <f t="shared" si="1087"/>
        <v>0.39467896742329506</v>
      </c>
      <c r="AN597" s="115">
        <f t="shared" si="1088"/>
        <v>0.33278783834739967</v>
      </c>
      <c r="AO597" s="115">
        <f t="shared" si="1090"/>
        <v>-1.9222141344843488E-3</v>
      </c>
      <c r="AP597" s="166">
        <f t="shared" si="1102"/>
        <v>86.767270082394305</v>
      </c>
      <c r="AQ597" s="168">
        <f t="shared" si="1103"/>
        <v>-1.922214134484369E-3</v>
      </c>
      <c r="AR597" s="69">
        <f>+AD597/$AF$22</f>
        <v>2.5695165205255655E-2</v>
      </c>
      <c r="AS597" s="169">
        <f t="shared" si="1100"/>
        <v>-4.9391609745453369E-5</v>
      </c>
      <c r="AT597" s="115"/>
      <c r="AU597" s="115"/>
      <c r="AV597" s="113">
        <f>IFERROR(INDEX('Total Customers'!$F$7:$AB$91,MATCH($C597,'Total Customers'!$D$7:$D$91,0),MATCH($G597,'Total Customers'!$F$5:$AB$5,0)),"NA")</f>
        <v>744863</v>
      </c>
      <c r="AW597" s="68">
        <f t="shared" si="1074"/>
        <v>3.1329947181152991E-3</v>
      </c>
      <c r="AX597" s="114"/>
      <c r="AY597" s="114"/>
      <c r="AZ597" s="116">
        <v>8824403</v>
      </c>
      <c r="BA597" s="116"/>
      <c r="BB597" s="166"/>
      <c r="BC597" s="166"/>
      <c r="BD597" s="166"/>
      <c r="BE597" s="166"/>
      <c r="BF597" s="166"/>
      <c r="BG597" s="166"/>
      <c r="BH597" s="166"/>
      <c r="BI597" s="113"/>
      <c r="BJ597" s="113"/>
      <c r="BK597" s="113">
        <f>INDEX('Dist. Plant Gas Additions'!$F$7:$AE$91,MATCH($C597,'Dist. Plant Gas Additions'!$D$7:$D$91,0),MATCH(Calculation!$G597,'Dist. Plant Gas Additions'!$F$5:$AE$5,0))</f>
        <v>23354</v>
      </c>
      <c r="BL597" s="113">
        <f>INDEX('Gen. Plant Additions'!$F$7:$AE$91,MATCH($C597,'Gen. Plant Additions'!$D$7:$D$91,0),MATCH(Calculation!$G597,'Gen. Plant Additions'!$F$5:$AE$5,0))</f>
        <v>5840</v>
      </c>
      <c r="BM597" s="231">
        <f t="shared" si="1064"/>
        <v>0.94885605159742514</v>
      </c>
      <c r="BN597" s="61">
        <f t="shared" si="1101"/>
        <v>5541.3193413289628</v>
      </c>
      <c r="BO597" s="113">
        <f>INDEX('Dist Plant Depreciation'!$E$7:$AD$94,MATCH($C597,'Dist Plant Depreciation'!$D$7:$D$94,0),MATCH(Calculation!$G597,'Dist Plant Depreciation'!$E$5:$AD$5,0))</f>
        <v>701909</v>
      </c>
      <c r="BP597" s="113">
        <f>INDEX('Gen. Plant Depreciation'!$E$7:$AD$94,MATCH($C597,'Gen. Plant Depreciation'!$D$7:$D$94,0),MATCH(Calculation!$G597,'Gen. Plant Depreciation'!$E$5:$AD$5,0))</f>
        <v>55721</v>
      </c>
      <c r="BQ597" s="113"/>
      <c r="BR597" s="113"/>
      <c r="BS597" s="113"/>
      <c r="BT597" s="113"/>
      <c r="BU597" s="113"/>
      <c r="BV597" s="113"/>
      <c r="BW597" s="113">
        <f>INDEX('Gross Dx Plant'!$E$7:$AD$91,MATCH($C597,'Gross Dx Plant'!$D$7:$D$91,0),MATCH(Calculation!$G597,'Gross Dx Plant'!$E$5:$AD$5,0))</f>
        <v>1822483</v>
      </c>
      <c r="BX597" s="113">
        <f>INDEX('Gross Gen Plant'!$E$7:$AD$91,MATCH($C597,'Gross Gen Plant'!$D$7:$D$91,0),MATCH(Calculation!$G597,'Gross Gen Plant'!$E$5:$AD$5,0))</f>
        <v>98233</v>
      </c>
      <c r="BY597" s="113">
        <f t="shared" si="1075"/>
        <v>1163086</v>
      </c>
      <c r="BZ597" s="113"/>
      <c r="CA597" s="116">
        <v>2017</v>
      </c>
      <c r="CB597" s="113"/>
      <c r="CC597" s="113"/>
      <c r="CD597" s="113"/>
      <c r="CE597" s="175"/>
      <c r="CF597" s="113">
        <f t="shared" si="1065"/>
        <v>29194</v>
      </c>
      <c r="CG597" s="113">
        <f t="shared" si="1066"/>
        <v>40.97814246627604</v>
      </c>
      <c r="CH597" s="178">
        <v>0.87074829931972786</v>
      </c>
      <c r="CI597" s="61">
        <f>+CI578*CH597+CG579*CH596+CG580*CH595+CG581*CH594+CG582*CH593+CG583*CH592+CG584*CH591+CG585*CH590+CG586*CH589+CG587*CH588+CG588*CH587+CG589*CH586+CG590*CH585+CG591*CH584+CG592*CH583+CG593*CH582+CG594*CH581+CG595*CH580+CG596*CH579+CG597</f>
        <v>5363.8433669571768</v>
      </c>
      <c r="CJ597" s="114">
        <f t="shared" si="1067"/>
        <v>-1.9433812614805016E-3</v>
      </c>
      <c r="CK597" s="114"/>
      <c r="CL597" s="169">
        <f t="shared" si="1068"/>
        <v>9.5663595083438531E-3</v>
      </c>
      <c r="CM597" s="169">
        <f t="shared" si="1078"/>
        <v>9.1590382208440249E-3</v>
      </c>
      <c r="CN597" s="114">
        <f>VLOOKUP($H597,RoR!$E:$F,2,FALSE)</f>
        <v>3.7433333333333339E-2</v>
      </c>
      <c r="CO597" s="169">
        <v>1.9056896421275615E-2</v>
      </c>
      <c r="CP597" s="169">
        <f t="shared" si="1076"/>
        <v>1.8376436912057724E-2</v>
      </c>
      <c r="CQ597" s="169">
        <f t="shared" si="1079"/>
        <v>2.17429033876896E-2</v>
      </c>
      <c r="CR597" s="169">
        <f t="shared" si="1080"/>
        <v>1.3976271617800498E-2</v>
      </c>
      <c r="CS597" s="179">
        <f t="shared" si="1069"/>
        <v>0.90509623210000001</v>
      </c>
      <c r="CT597" s="180">
        <f t="shared" si="1070"/>
        <v>1.3699568463593395</v>
      </c>
      <c r="CU597" s="180">
        <f t="shared" si="1071"/>
        <v>0.30714603739982199</v>
      </c>
      <c r="CV597" s="180">
        <f t="shared" si="1072"/>
        <v>0.77007188472689425</v>
      </c>
      <c r="CW597" s="180">
        <f t="shared" si="1073"/>
        <v>0.32402839633793828</v>
      </c>
      <c r="CX597" s="181">
        <f>INDEX('State Tax Lookup'!$D$7:$Z$91,MATCH(Calculation!$C597,'State Tax Lookup'!$B$7:$B$91,0),MATCH($H597,'State Tax Lookup'!$D$6:$Z$6,0))</f>
        <v>0.25649666999999998</v>
      </c>
      <c r="CY597" s="72">
        <v>0.37</v>
      </c>
      <c r="CZ597" s="70">
        <f t="shared" si="1077"/>
        <v>18.839904051034896</v>
      </c>
      <c r="DA597" s="70">
        <v>18.231812616449311</v>
      </c>
      <c r="DB597" s="69">
        <f t="shared" si="1081"/>
        <v>-0.10833709809166524</v>
      </c>
      <c r="DC597" s="111">
        <f>VLOOKUP($H597,RoR!$E:$F,2,FALSE)</f>
        <v>3.7433333333333339E-2</v>
      </c>
      <c r="DD597" s="216">
        <f>HLOOKUP($H597,'GDP-PI'!$D$8:$CQ$11,3,FALSE)</f>
        <v>1.9056896421275615E-2</v>
      </c>
      <c r="DE597" s="111">
        <f>VLOOKUP(H597,'HW Dx Data'!$E:$F,2,FALSE)</f>
        <v>712.42858370229726</v>
      </c>
      <c r="DF597" s="72">
        <f t="shared" si="1091"/>
        <v>140.44999999999999</v>
      </c>
      <c r="DG597" s="69">
        <f t="shared" si="1092"/>
        <v>2.5235657841165486E-2</v>
      </c>
      <c r="DH597" s="66">
        <f>HLOOKUP(H597,'GDP-PI'!$8:$9,2,FALSE)</f>
        <v>107.751</v>
      </c>
      <c r="DI597" s="69">
        <f t="shared" si="1082"/>
        <v>1.8877588227745139E-2</v>
      </c>
      <c r="EB597"/>
    </row>
    <row r="598" spans="1:132" s="160" customFormat="1" ht="21">
      <c r="A598" s="160" t="s">
        <v>194</v>
      </c>
      <c r="B598" s="161" t="s">
        <v>194</v>
      </c>
      <c r="C598" s="161">
        <v>4061687</v>
      </c>
      <c r="D598" s="161" t="s">
        <v>171</v>
      </c>
      <c r="E598" s="161" t="s">
        <v>3</v>
      </c>
      <c r="F598" s="161"/>
      <c r="G598" s="161" t="s">
        <v>136</v>
      </c>
      <c r="H598" s="162">
        <v>2018</v>
      </c>
      <c r="I598" s="163"/>
      <c r="J598" s="159">
        <f>IFERROR(INDEX('Labor Expenditures'!$F$7:$X$91,MATCH($C598,'Labor Expenditures'!$D$7:$D$91,0),MATCH($G598,'Labor Expenditures'!$F$5:$X$5,0)),"NA")</f>
        <v>82065.946569371619</v>
      </c>
      <c r="K598" s="159">
        <f t="shared" si="1083"/>
        <v>568.12700982604099</v>
      </c>
      <c r="L598" s="165">
        <f t="shared" si="1089"/>
        <v>-3.8415300143183881E-2</v>
      </c>
      <c r="M598" s="76">
        <f t="shared" si="1093"/>
        <v>-9.1276563024194463E-4</v>
      </c>
      <c r="N598" s="62">
        <f t="shared" si="1099"/>
        <v>114.18861422432435</v>
      </c>
      <c r="O598" s="96">
        <f t="shared" si="1094"/>
        <v>-0.37193382659837038</v>
      </c>
      <c r="P598" s="96"/>
      <c r="Q598" s="159">
        <f>IFERROR(INDEX('Non-Labor Expenditures'!$F$7:$AB$91,MATCH($C598,'Non-Labor Expenditures'!$D$7:$D$91,0),MATCH($G598,'Non-Labor Expenditures'!$F$5:$AB$5,0)),"NA")</f>
        <v>118846.81843695964</v>
      </c>
      <c r="R598" s="159">
        <f t="shared" si="1084"/>
        <v>1077.2721527615493</v>
      </c>
      <c r="S598" s="165">
        <f t="shared" si="1095"/>
        <v>-3.3913779497700754E-2</v>
      </c>
      <c r="T598" s="165">
        <f t="shared" si="1096"/>
        <v>-8.0580737887577447E-4</v>
      </c>
      <c r="U598" s="165"/>
      <c r="V598" s="165"/>
      <c r="W598" s="159">
        <f t="shared" si="1063"/>
        <v>104897.94765115462</v>
      </c>
      <c r="X598" s="163"/>
      <c r="Y598" s="167">
        <v>5349.3838219334903</v>
      </c>
      <c r="Z598" s="168">
        <v>-2.6993833975334394E-3</v>
      </c>
      <c r="AA598" s="76">
        <f t="shared" si="1085"/>
        <v>-6.4138621302726648E-5</v>
      </c>
      <c r="AB598" s="168"/>
      <c r="AC598" s="168"/>
      <c r="AD598" s="163">
        <f t="shared" si="1056"/>
        <v>305810.71265748586</v>
      </c>
      <c r="AE598" s="168">
        <f t="shared" si="1097"/>
        <v>5.1148885660418017E-3</v>
      </c>
      <c r="AF598" s="163"/>
      <c r="AG598" s="163"/>
      <c r="AH598" s="163"/>
      <c r="AI598" s="163"/>
      <c r="AJ598" s="116">
        <f t="shared" si="1098"/>
        <v>407.02744964241379</v>
      </c>
      <c r="AK598" s="114">
        <f>+AV598/$AX$23</f>
        <v>2.0113310458577706E-2</v>
      </c>
      <c r="AL598" s="115">
        <f t="shared" si="1086"/>
        <v>0.26835536877116245</v>
      </c>
      <c r="AM598" s="115">
        <f t="shared" si="1087"/>
        <v>0.38862869584974435</v>
      </c>
      <c r="AN598" s="115">
        <f t="shared" si="1088"/>
        <v>0.34301593537909325</v>
      </c>
      <c r="AO598" s="115">
        <f t="shared" si="1090"/>
        <v>-2.4583786674783607E-2</v>
      </c>
      <c r="AP598" s="166">
        <f t="shared" si="1102"/>
        <v>84.660207925676659</v>
      </c>
      <c r="AQ598" s="168">
        <f t="shared" si="1103"/>
        <v>-2.4583786674783684E-2</v>
      </c>
      <c r="AR598" s="69">
        <f>+AD598/$AF$23</f>
        <v>2.3760471136235514E-2</v>
      </c>
      <c r="AS598" s="169">
        <f t="shared" si="1100"/>
        <v>-5.8412235370556892E-4</v>
      </c>
      <c r="AT598" s="115"/>
      <c r="AU598" s="115"/>
      <c r="AV598" s="113">
        <f>IFERROR(INDEX('Total Customers'!$F$7:$AB$91,MATCH($C598,'Total Customers'!$D$7:$D$91,0),MATCH($G598,'Total Customers'!$F$5:$AB$5,0)),"NA")</f>
        <v>751327</v>
      </c>
      <c r="AW598" s="68">
        <f t="shared" si="1074"/>
        <v>8.6406675855545054E-3</v>
      </c>
      <c r="AX598" s="114"/>
      <c r="AY598" s="114"/>
      <c r="AZ598" s="116">
        <v>8911356</v>
      </c>
      <c r="BA598" s="116"/>
      <c r="BB598" s="166"/>
      <c r="BC598" s="166"/>
      <c r="BD598" s="166"/>
      <c r="BE598" s="166"/>
      <c r="BF598" s="166"/>
      <c r="BG598" s="166"/>
      <c r="BH598" s="166"/>
      <c r="BI598" s="113"/>
      <c r="BJ598" s="113"/>
      <c r="BK598" s="113">
        <f>INDEX('Dist. Plant Gas Additions'!$F$7:$AE$91,MATCH($C598,'Dist. Plant Gas Additions'!$D$7:$D$91,0),MATCH(Calculation!$G598,'Dist. Plant Gas Additions'!$F$5:$AE$5,0))</f>
        <v>24784</v>
      </c>
      <c r="BL598" s="113">
        <f>INDEX('Gen. Plant Additions'!$F$7:$AE$91,MATCH($C598,'Gen. Plant Additions'!$D$7:$D$91,0),MATCH(Calculation!$G598,'Gen. Plant Additions'!$F$5:$AE$5,0))</f>
        <v>4844</v>
      </c>
      <c r="BM598" s="231">
        <f t="shared" si="1064"/>
        <v>0.94902765190105232</v>
      </c>
      <c r="BN598" s="61">
        <f t="shared" si="1101"/>
        <v>4597.0899458086978</v>
      </c>
      <c r="BO598" s="113">
        <f>INDEX('Dist Plant Depreciation'!$E$7:$AD$94,MATCH($C598,'Dist Plant Depreciation'!$D$7:$D$94,0),MATCH(Calculation!$G598,'Dist Plant Depreciation'!$E$5:$AD$5,0))</f>
        <v>725939</v>
      </c>
      <c r="BP598" s="113">
        <f>INDEX('Gen. Plant Depreciation'!$E$7:$AD$94,MATCH($C598,'Gen. Plant Depreciation'!$D$7:$D$94,0),MATCH(Calculation!$G598,'Gen. Plant Depreciation'!$E$5:$AD$5,0))</f>
        <v>65899</v>
      </c>
      <c r="BQ598" s="113"/>
      <c r="BR598" s="113"/>
      <c r="BS598" s="113"/>
      <c r="BT598" s="113"/>
      <c r="BU598" s="113"/>
      <c r="BV598" s="113"/>
      <c r="BW598" s="113">
        <f>INDEX('Gross Dx Plant'!$E$7:$AD$91,MATCH($C598,'Gross Dx Plant'!$D$7:$D$91,0),MATCH(Calculation!$G598,'Gross Dx Plant'!$E$5:$AD$5,0))</f>
        <v>1873317</v>
      </c>
      <c r="BX598" s="113">
        <f>INDEX('Gross Gen Plant'!$E$7:$AD$91,MATCH($C598,'Gross Gen Plant'!$D$7:$D$91,0),MATCH(Calculation!$G598,'Gross Gen Plant'!$E$5:$AD$5,0))</f>
        <v>100616</v>
      </c>
      <c r="BY598" s="113">
        <f t="shared" si="1075"/>
        <v>1182095</v>
      </c>
      <c r="BZ598" s="113"/>
      <c r="CA598" s="116">
        <v>2018</v>
      </c>
      <c r="CB598" s="113"/>
      <c r="CC598" s="113"/>
      <c r="CD598" s="113"/>
      <c r="CE598" s="175"/>
      <c r="CF598" s="113">
        <f t="shared" si="1065"/>
        <v>29628</v>
      </c>
      <c r="CG598" s="113">
        <f t="shared" si="1066"/>
        <v>39.235279436554329</v>
      </c>
      <c r="CH598" s="178">
        <v>0.86111111111111116</v>
      </c>
      <c r="CI598" s="61">
        <f>+CI578*CH598++CG579*CH597+CG580*CH596+CG581*CH595+CG582*CH594+CG583*CH593+CG584*CH592+CG585*CH591+CG586*CH590+CG587*CH589+CG588*CH588+CG589*CH587+CG590*CH586+CG591*CH585+CG592*CH584+CG593*CH583+CG594*CH582+CG595*CH581+CG596*CH580+CG597*CH579+CG598</f>
        <v>5349.3838219334903</v>
      </c>
      <c r="CJ598" s="114">
        <f t="shared" si="1067"/>
        <v>-2.6993833975334394E-3</v>
      </c>
      <c r="CK598" s="114"/>
      <c r="CL598" s="169">
        <f t="shared" si="1068"/>
        <v>1.0010513131501291E-2</v>
      </c>
      <c r="CM598" s="169">
        <f t="shared" si="1078"/>
        <v>9.5770491739858229E-3</v>
      </c>
      <c r="CN598" s="114">
        <f>VLOOKUP($H598,RoR!$E:$F,2,FALSE)</f>
        <v>3.9299999999999995E-2</v>
      </c>
      <c r="CO598" s="169">
        <v>2.386056741932796E-2</v>
      </c>
      <c r="CP598" s="169">
        <f t="shared" si="1076"/>
        <v>1.5439432580672034E-2</v>
      </c>
      <c r="CQ598" s="169">
        <f t="shared" si="1079"/>
        <v>2.1324892434547802E-2</v>
      </c>
      <c r="CR598" s="169">
        <f t="shared" si="1080"/>
        <v>3.8270792163076606E-2</v>
      </c>
      <c r="CS598" s="179">
        <f t="shared" si="1069"/>
        <v>0.90509623210000001</v>
      </c>
      <c r="CT598" s="180">
        <f t="shared" si="1070"/>
        <v>1.3048868010700074</v>
      </c>
      <c r="CU598" s="180">
        <f t="shared" si="1071"/>
        <v>0.33886768447837151</v>
      </c>
      <c r="CV598" s="180">
        <f t="shared" si="1072"/>
        <v>0.78602506232557801</v>
      </c>
      <c r="CW598" s="180">
        <f t="shared" si="1073"/>
        <v>0.34756768162358759</v>
      </c>
      <c r="CX598" s="181">
        <f>INDEX('State Tax Lookup'!$D$7:$Z$91,MATCH(Calculation!$C598,'State Tax Lookup'!$B$7:$B$91,0),MATCH($H598,'State Tax Lookup'!$D$6:$Z$6,0))</f>
        <v>0.25649666999999998</v>
      </c>
      <c r="CY598" s="72">
        <v>0.37</v>
      </c>
      <c r="CZ598" s="70">
        <f t="shared" si="1077"/>
        <v>19.556489717309095</v>
      </c>
      <c r="DA598" s="70">
        <v>19.050901628905343</v>
      </c>
      <c r="DB598" s="69">
        <f t="shared" si="1081"/>
        <v>3.7330009893418094E-2</v>
      </c>
      <c r="DC598" s="111">
        <f>VLOOKUP($H598,RoR!$E:$F,2,FALSE)</f>
        <v>3.9299999999999995E-2</v>
      </c>
      <c r="DD598" s="216">
        <f>HLOOKUP($H598,'GDP-PI'!$D$8:$CQ$11,3,FALSE)</f>
        <v>2.386056741932796E-2</v>
      </c>
      <c r="DE598" s="111">
        <f>VLOOKUP(H598,'HW Dx Data'!$E:$F,2,FALSE)</f>
        <v>755.13671434174842</v>
      </c>
      <c r="DF598" s="72">
        <f t="shared" si="1091"/>
        <v>144.44999999999999</v>
      </c>
      <c r="DG598" s="69">
        <f t="shared" si="1092"/>
        <v>2.80818733619915E-2</v>
      </c>
      <c r="DH598" s="66">
        <f>HLOOKUP(H598,'GDP-PI'!$8:$9,2,FALSE)</f>
        <v>110.322</v>
      </c>
      <c r="DI598" s="69">
        <f t="shared" si="1082"/>
        <v>2.3580352716508712E-2</v>
      </c>
      <c r="EB598"/>
    </row>
    <row r="599" spans="1:132" s="160" customFormat="1" ht="21">
      <c r="A599" s="160" t="s">
        <v>194</v>
      </c>
      <c r="B599" s="161" t="s">
        <v>194</v>
      </c>
      <c r="C599" s="161">
        <v>4061687</v>
      </c>
      <c r="D599" s="161" t="s">
        <v>171</v>
      </c>
      <c r="E599" s="161" t="s">
        <v>3</v>
      </c>
      <c r="F599" s="161"/>
      <c r="G599" s="161" t="s">
        <v>140</v>
      </c>
      <c r="H599" s="162">
        <v>2019</v>
      </c>
      <c r="I599" s="163"/>
      <c r="J599" s="159">
        <f>IFERROR(INDEX('Labor Expenditures'!$F$7:$X$91,MATCH($C599,'Labor Expenditures'!$D$7:$D$91,0),MATCH($G599,'Labor Expenditures'!$F$5:$X$5,0)),"NA")</f>
        <v>81778.789440765991</v>
      </c>
      <c r="K599" s="159">
        <f t="shared" si="1083"/>
        <v>546.37574371649225</v>
      </c>
      <c r="L599" s="165">
        <f t="shared" si="1089"/>
        <v>-3.9038088207291495E-2</v>
      </c>
      <c r="M599" s="76">
        <f t="shared" si="1093"/>
        <v>-8.975226927758806E-4</v>
      </c>
      <c r="N599" s="62">
        <f t="shared" si="1099"/>
        <v>115.45615427634897</v>
      </c>
      <c r="O599" s="96">
        <f t="shared" si="1094"/>
        <v>1.1039249295110796E-2</v>
      </c>
      <c r="P599" s="96"/>
      <c r="Q599" s="159">
        <f>IFERROR(INDEX('Non-Labor Expenditures'!$F$7:$AB$91,MATCH($C599,'Non-Labor Expenditures'!$D$7:$D$91,0),MATCH($G599,'Non-Labor Expenditures'!$F$5:$AB$5,0)),"NA")</f>
        <v>118430.96128118526</v>
      </c>
      <c r="R599" s="159">
        <f t="shared" si="1084"/>
        <v>1054.4254819457724</v>
      </c>
      <c r="S599" s="165">
        <f t="shared" si="1095"/>
        <v>-2.1436009759521514E-2</v>
      </c>
      <c r="T599" s="165">
        <f t="shared" si="1096"/>
        <v>-4.9283420590617725E-4</v>
      </c>
      <c r="U599" s="165"/>
      <c r="V599" s="165"/>
      <c r="W599" s="159">
        <f t="shared" si="1063"/>
        <v>104865.04224328684</v>
      </c>
      <c r="X599" s="163"/>
      <c r="Y599" s="167">
        <v>5335.1133570906459</v>
      </c>
      <c r="Z599" s="168">
        <v>-2.6712484620270032E-3</v>
      </c>
      <c r="AA599" s="76">
        <f t="shared" si="1085"/>
        <v>-6.1414537002457562E-5</v>
      </c>
      <c r="AB599" s="168"/>
      <c r="AC599" s="168"/>
      <c r="AD599" s="163">
        <f t="shared" si="1056"/>
        <v>305074.7929652381</v>
      </c>
      <c r="AE599" s="168">
        <f t="shared" si="1097"/>
        <v>-2.4093550803703737E-3</v>
      </c>
      <c r="AF599" s="163"/>
      <c r="AG599" s="163"/>
      <c r="AH599" s="163"/>
      <c r="AI599" s="163"/>
      <c r="AJ599" s="116">
        <f t="shared" si="1098"/>
        <v>410.23589230685394</v>
      </c>
      <c r="AK599" s="114">
        <f>+AV599/$AX$24</f>
        <v>1.9743796878133268E-2</v>
      </c>
      <c r="AL599" s="115">
        <f t="shared" si="1086"/>
        <v>0.26806144370663987</v>
      </c>
      <c r="AM599" s="115">
        <f t="shared" si="1087"/>
        <v>0.38820303745868617</v>
      </c>
      <c r="AN599" s="115">
        <f t="shared" si="1088"/>
        <v>0.3437355188346739</v>
      </c>
      <c r="AO599" s="115">
        <f t="shared" si="1090"/>
        <v>-1.9713671611975726E-2</v>
      </c>
      <c r="AP599" s="166">
        <f t="shared" si="1102"/>
        <v>83.007587517029805</v>
      </c>
      <c r="AQ599" s="168">
        <f t="shared" si="1103"/>
        <v>-1.9713671611975753E-2</v>
      </c>
      <c r="AR599" s="69">
        <f>+AD599/$AF$24</f>
        <v>2.2990948942224129E-2</v>
      </c>
      <c r="AS599" s="169">
        <f t="shared" si="1100"/>
        <v>-4.5323601749470781E-4</v>
      </c>
      <c r="AT599" s="115"/>
      <c r="AU599" s="115"/>
      <c r="AV599" s="113">
        <f>IFERROR(INDEX('Total Customers'!$F$7:$AB$91,MATCH($C599,'Total Customers'!$D$7:$D$91,0),MATCH($G599,'Total Customers'!$F$5:$AB$5,0)),"NA")</f>
        <v>743657</v>
      </c>
      <c r="AW599" s="68">
        <f t="shared" si="1074"/>
        <v>-1.0261069412715795E-2</v>
      </c>
      <c r="AX599" s="114"/>
      <c r="AY599" s="114"/>
      <c r="AZ599" s="116">
        <v>8963640</v>
      </c>
      <c r="BA599" s="116"/>
      <c r="BB599" s="166"/>
      <c r="BC599" s="166"/>
      <c r="BD599" s="166"/>
      <c r="BE599" s="166"/>
      <c r="BF599" s="166"/>
      <c r="BG599" s="166"/>
      <c r="BH599" s="166"/>
      <c r="BI599" s="113"/>
      <c r="BJ599" s="113"/>
      <c r="BK599" s="113">
        <f>INDEX('Dist. Plant Gas Additions'!$F$7:$AE$91,MATCH($C599,'Dist. Plant Gas Additions'!$D$7:$D$91,0),MATCH(Calculation!$G599,'Dist. Plant Gas Additions'!$F$5:$AE$5,0))</f>
        <v>26424</v>
      </c>
      <c r="BL599" s="113">
        <f>INDEX('Gen. Plant Additions'!$F$7:$AE$91,MATCH($C599,'Gen. Plant Additions'!$D$7:$D$91,0),MATCH(Calculation!$G599,'Gen. Plant Additions'!$F$5:$AE$5,0))</f>
        <v>5936</v>
      </c>
      <c r="BM599" s="231">
        <f t="shared" si="1064"/>
        <v>0.95004002555325961</v>
      </c>
      <c r="BN599" s="61">
        <f t="shared" si="1101"/>
        <v>5639.4375916841491</v>
      </c>
      <c r="BO599" s="113">
        <f>INDEX('Dist Plant Depreciation'!$E$7:$AD$94,MATCH($C599,'Dist Plant Depreciation'!$D$7:$D$94,0),MATCH(Calculation!$G599,'Dist Plant Depreciation'!$E$5:$AD$5,0))</f>
        <v>748514</v>
      </c>
      <c r="BP599" s="113">
        <f>INDEX('Gen. Plant Depreciation'!$E$7:$AD$94,MATCH($C599,'Gen. Plant Depreciation'!$D$7:$D$94,0),MATCH(Calculation!$G599,'Gen. Plant Depreciation'!$E$5:$AD$5,0))</f>
        <v>74445</v>
      </c>
      <c r="BQ599" s="113"/>
      <c r="BR599" s="113"/>
      <c r="BS599" s="113"/>
      <c r="BT599" s="113"/>
      <c r="BU599" s="113"/>
      <c r="BV599" s="113"/>
      <c r="BW599" s="113">
        <f>INDEX('Gross Dx Plant'!$E$7:$AD$91,MATCH($C599,'Gross Dx Plant'!$D$7:$D$91,0),MATCH(Calculation!$G599,'Gross Dx Plant'!$E$5:$AD$5,0))</f>
        <v>1927350</v>
      </c>
      <c r="BX599" s="113">
        <f>INDEX('Gross Gen Plant'!$E$7:$AD$91,MATCH($C599,'Gross Gen Plant'!$D$7:$D$91,0),MATCH(Calculation!$G599,'Gross Gen Plant'!$E$5:$AD$5,0))</f>
        <v>101354</v>
      </c>
      <c r="BY599" s="113">
        <f t="shared" si="1075"/>
        <v>1205745</v>
      </c>
      <c r="BZ599" s="113"/>
      <c r="CA599" s="116">
        <v>2019</v>
      </c>
      <c r="CB599" s="113"/>
      <c r="CC599" s="113"/>
      <c r="CD599" s="113"/>
      <c r="CE599" s="175"/>
      <c r="CF599" s="113">
        <f t="shared" si="1065"/>
        <v>32360</v>
      </c>
      <c r="CG599" s="113">
        <f t="shared" si="1066"/>
        <v>41.833685872460556</v>
      </c>
      <c r="CH599" s="178">
        <v>0.85106382978723405</v>
      </c>
      <c r="CI599" s="61">
        <f>CI578*CH599+CG579*CH598+CG580*CH597+CG581*CH596+CG582*CH595+CG583*CH594+CG584*CH593+CG585*CH592+CG586*CH591+CG587*CH590+CG588*CH589+CG589*CH588+CG590*CH587+CG591*CH586+CG592*CH585+CG593*CH584+CG594*CH583+CG595*CH582+CG596*CH581+CG597*CH580+CG598*CH579+CG599</f>
        <v>5335.1133570906459</v>
      </c>
      <c r="CJ599" s="114">
        <f t="shared" si="1067"/>
        <v>-2.6712484620270032E-3</v>
      </c>
      <c r="CK599" s="114"/>
      <c r="CL599" s="169">
        <f t="shared" si="1068"/>
        <v>1.0487965078382906E-2</v>
      </c>
      <c r="CM599" s="169">
        <f t="shared" si="1078"/>
        <v>1.0021612572742684E-2</v>
      </c>
      <c r="CN599" s="114">
        <f>VLOOKUP($H599,RoR!$E:$F,2,FALSE)</f>
        <v>3.3875000000000009E-2</v>
      </c>
      <c r="CO599" s="169">
        <v>1.8092492884465461E-2</v>
      </c>
      <c r="CP599" s="169">
        <f t="shared" si="1076"/>
        <v>1.5782507115534548E-2</v>
      </c>
      <c r="CQ599" s="169">
        <f t="shared" si="1079"/>
        <v>2.0880329035790943E-2</v>
      </c>
      <c r="CR599" s="169">
        <f t="shared" si="1080"/>
        <v>4.8445665544254078E-2</v>
      </c>
      <c r="CS599" s="179">
        <f t="shared" si="1069"/>
        <v>0.90509623210000001</v>
      </c>
      <c r="CT599" s="180">
        <f t="shared" si="1070"/>
        <v>1.513861292459078</v>
      </c>
      <c r="CU599" s="180">
        <f t="shared" si="1071"/>
        <v>0.23699261992619944</v>
      </c>
      <c r="CV599" s="180">
        <f t="shared" si="1072"/>
        <v>0.73619765810468829</v>
      </c>
      <c r="CW599" s="180">
        <f t="shared" si="1073"/>
        <v>0.26412854465362851</v>
      </c>
      <c r="CX599" s="181">
        <f>INDEX('State Tax Lookup'!$D$7:$Z$91,MATCH(Calculation!$C599,'State Tax Lookup'!$B$7:$B$91,0),MATCH($H599,'State Tax Lookup'!$D$6:$Z$6,0))</f>
        <v>0.25649666999999998</v>
      </c>
      <c r="CY599" s="72">
        <v>0.37</v>
      </c>
      <c r="CZ599" s="70">
        <f t="shared" si="1077"/>
        <v>19.603200243983284</v>
      </c>
      <c r="DA599" s="70">
        <v>19.236104090735289</v>
      </c>
      <c r="DB599" s="69">
        <f t="shared" si="1081"/>
        <v>2.3856444662351929E-3</v>
      </c>
      <c r="DC599" s="111">
        <f>VLOOKUP($H599,RoR!$E:$F,2,FALSE)</f>
        <v>3.3875000000000009E-2</v>
      </c>
      <c r="DD599" s="216">
        <f>HLOOKUP($H599,'GDP-PI'!$D$8:$CQ$11,3,FALSE)</f>
        <v>1.8092492884465461E-2</v>
      </c>
      <c r="DE599" s="111">
        <f>VLOOKUP(H599,'HW Dx Data'!$E:$F,2,FALSE)</f>
        <v>773.53929793938721</v>
      </c>
      <c r="DF599" s="72">
        <f t="shared" si="1091"/>
        <v>149.67500000000001</v>
      </c>
      <c r="DG599" s="69">
        <f t="shared" si="1092"/>
        <v>3.5532849899171604E-2</v>
      </c>
      <c r="DH599" s="66">
        <f>HLOOKUP(H599,'GDP-PI'!$8:$9,2,FALSE)</f>
        <v>112.318</v>
      </c>
      <c r="DI599" s="69">
        <f t="shared" si="1082"/>
        <v>1.7930771451401852E-2</v>
      </c>
      <c r="EB599"/>
    </row>
    <row r="600" spans="1:132" s="160" customFormat="1" ht="21">
      <c r="A600" s="160" t="s">
        <v>194</v>
      </c>
      <c r="B600" s="160" t="s">
        <v>194</v>
      </c>
      <c r="C600" s="160">
        <v>4061687</v>
      </c>
      <c r="D600" s="160" t="s">
        <v>171</v>
      </c>
      <c r="E600" s="160" t="s">
        <v>3</v>
      </c>
      <c r="G600" s="161" t="s">
        <v>141</v>
      </c>
      <c r="H600" s="162">
        <v>2020</v>
      </c>
      <c r="I600" s="163"/>
      <c r="J600" s="159">
        <f>IFERROR(INDEX('Labor Expenditures'!$F$7:$X$91,MATCH($C600,'Labor Expenditures'!$D$7:$D$91,0),MATCH($G600,'Labor Expenditures'!$F$5:$X$5,0)),"NA")</f>
        <v>85772.629881233472</v>
      </c>
      <c r="K600" s="159">
        <f t="shared" si="1083"/>
        <v>560.05634920818454</v>
      </c>
      <c r="L600" s="165">
        <f t="shared" si="1089"/>
        <v>2.4730487887234091E-2</v>
      </c>
      <c r="M600" s="76">
        <f t="shared" si="1093"/>
        <v>5.7398852193722141E-4</v>
      </c>
      <c r="N600" s="62">
        <f t="shared" si="1099"/>
        <v>115.54613159715532</v>
      </c>
      <c r="O600" s="96">
        <f t="shared" si="1094"/>
        <v>7.7901675315876625E-4</v>
      </c>
      <c r="P600" s="96"/>
      <c r="Q600" s="159">
        <f>IFERROR(INDEX('Non-Labor Expenditures'!$F$7:$AB$91,MATCH($C600,'Non-Labor Expenditures'!$D$7:$D$91,0),MATCH($G600,'Non-Labor Expenditures'!$F$5:$AB$5,0)),"NA")</f>
        <v>124214.78818548095</v>
      </c>
      <c r="R600" s="159">
        <f t="shared" si="1084"/>
        <v>1093.2186985511819</v>
      </c>
      <c r="S600" s="165">
        <f t="shared" si="1095"/>
        <v>3.6130227623209457E-2</v>
      </c>
      <c r="T600" s="165">
        <f t="shared" si="1096"/>
        <v>8.3857366847204498E-4</v>
      </c>
      <c r="U600" s="165"/>
      <c r="V600" s="165"/>
      <c r="W600" s="159">
        <f t="shared" si="1063"/>
        <v>107449.77534662883</v>
      </c>
      <c r="X600" s="163"/>
      <c r="Y600" s="167">
        <v>5323.1542188900721</v>
      </c>
      <c r="Z600" s="168">
        <v>-2.2441063961256701E-3</v>
      </c>
      <c r="AA600" s="76">
        <f t="shared" si="1085"/>
        <v>-5.2085155750079338E-5</v>
      </c>
      <c r="AB600" s="168"/>
      <c r="AC600" s="168"/>
      <c r="AD600" s="163">
        <f t="shared" si="1056"/>
        <v>317437.19341334328</v>
      </c>
      <c r="AE600" s="168">
        <f t="shared" si="1097"/>
        <v>3.9723013361558132E-2</v>
      </c>
      <c r="AF600" s="163"/>
      <c r="AG600" s="163"/>
      <c r="AH600" s="163"/>
      <c r="AI600" s="163"/>
      <c r="AJ600" s="116">
        <f t="shared" si="1098"/>
        <v>423.57489673848625</v>
      </c>
      <c r="AK600" s="114">
        <f>+AV600/$AX$25</f>
        <v>1.975640505259546E-2</v>
      </c>
      <c r="AL600" s="115">
        <f t="shared" si="1086"/>
        <v>0.27020346594844885</v>
      </c>
      <c r="AM600" s="115">
        <f t="shared" si="1087"/>
        <v>0.39130508573939421</v>
      </c>
      <c r="AN600" s="115">
        <f t="shared" si="1088"/>
        <v>0.33849144831215688</v>
      </c>
      <c r="AO600" s="115">
        <f t="shared" si="1090"/>
        <v>1.9972184926526075E-2</v>
      </c>
      <c r="AP600" s="166">
        <f t="shared" si="1102"/>
        <v>84.682096545766015</v>
      </c>
      <c r="AQ600" s="168">
        <f t="shared" si="1103"/>
        <v>1.9972184926526058E-2</v>
      </c>
      <c r="AR600" s="69">
        <f>+AD600/$AF$25</f>
        <v>2.3209753263036717E-2</v>
      </c>
      <c r="AS600" s="169">
        <f t="shared" si="1100"/>
        <v>4.6354948426841091E-4</v>
      </c>
      <c r="AT600" s="115"/>
      <c r="AU600" s="115"/>
      <c r="AV600" s="113">
        <f>IFERROR(INDEX('Total Customers'!$F$7:$AB$91,MATCH($C600,'Total Customers'!$D$7:$D$91,0),MATCH($G600,'Total Customers'!$F$5:$AB$5,0)),"NA")</f>
        <v>749424</v>
      </c>
      <c r="AW600" s="68">
        <f t="shared" si="1074"/>
        <v>7.7250044426461035E-3</v>
      </c>
      <c r="AX600" s="114"/>
      <c r="AY600" s="114"/>
      <c r="AZ600" s="116">
        <v>9060252</v>
      </c>
      <c r="BA600" s="116"/>
      <c r="BB600" s="166"/>
      <c r="BC600" s="166"/>
      <c r="BD600" s="166"/>
      <c r="BE600" s="166"/>
      <c r="BF600" s="166"/>
      <c r="BG600" s="166"/>
      <c r="BH600" s="166"/>
      <c r="BI600" s="113"/>
      <c r="BJ600" s="113"/>
      <c r="BK600" s="113">
        <f>INDEX('Dist. Plant Gas Additions'!$F$7:$AE$91,MATCH($C600,'Dist. Plant Gas Additions'!$D$7:$D$91,0),MATCH(Calculation!$G600,'Dist. Plant Gas Additions'!$F$5:$AE$5,0))</f>
        <v>27578</v>
      </c>
      <c r="BL600" s="113">
        <f>INDEX('Gen. Plant Additions'!$F$7:$AE$91,MATCH($C600,'Gen. Plant Additions'!$D$7:$D$91,0),MATCH(Calculation!$G600,'Gen. Plant Additions'!$F$5:$AE$5,0))</f>
        <v>10404</v>
      </c>
      <c r="BM600" s="231">
        <f t="shared" si="1064"/>
        <v>0.94803473974588115</v>
      </c>
      <c r="BN600" s="61">
        <f t="shared" si="1101"/>
        <v>9863.3534323161475</v>
      </c>
      <c r="BO600" s="113">
        <f>INDEX('Dist Plant Depreciation'!$E$7:$AD$94,MATCH($C600,'Dist Plant Depreciation'!$D$7:$D$94,0),MATCH(Calculation!$G600,'Dist Plant Depreciation'!$E$5:$AD$5,0))</f>
        <v>773543</v>
      </c>
      <c r="BP600" s="113">
        <f>INDEX('Gen. Plant Depreciation'!$E$7:$AD$94,MATCH($C600,'Gen. Plant Depreciation'!$D$7:$D$94,0),MATCH(Calculation!$G600,'Gen. Plant Depreciation'!$E$5:$AD$5,0))</f>
        <v>83504</v>
      </c>
      <c r="BQ600" s="113"/>
      <c r="BR600" s="113"/>
      <c r="BS600" s="113"/>
      <c r="BT600" s="113"/>
      <c r="BU600" s="113"/>
      <c r="BV600" s="113"/>
      <c r="BW600" s="113">
        <f>INDEX('Gross Dx Plant'!$E$7:$AD$91,MATCH($C600,'Gross Dx Plant'!$D$7:$D$91,0),MATCH(Calculation!$G600,'Gross Dx Plant'!$E$5:$AD$5,0))</f>
        <v>1983301</v>
      </c>
      <c r="BX600" s="113">
        <f>INDEX('Gross Gen Plant'!$E$7:$AD$91,MATCH($C600,'Gross Gen Plant'!$D$7:$D$91,0),MATCH(Calculation!$G600,'Gross Gen Plant'!$E$5:$AD$5,0))</f>
        <v>108712</v>
      </c>
      <c r="BY600" s="113">
        <f t="shared" si="1075"/>
        <v>1234966</v>
      </c>
      <c r="BZ600" s="113"/>
      <c r="CA600" s="116">
        <v>2020</v>
      </c>
      <c r="CB600" s="113"/>
      <c r="CC600" s="113"/>
      <c r="CD600" s="113"/>
      <c r="CE600" s="175"/>
      <c r="CF600" s="113">
        <f t="shared" si="1065"/>
        <v>37982</v>
      </c>
      <c r="CG600" s="113">
        <f t="shared" si="1066"/>
        <v>46.713721172508698</v>
      </c>
      <c r="CH600" s="178">
        <v>0.84057971014492749</v>
      </c>
      <c r="CI600" s="61">
        <f>CI578*CH600+CG579*CH599+CG580*CH598+CG581*CH597+CG582*CH596+CG583*CH595+CG584*CH594+CG585*CH593+CG586*CH592+CG587*CH591+CG588*CH590+CG589*CH589+CG590*CH588+CG591*CH587+CG592*CH586+CG593*CH585+CG594*CH584+CG595*CH583+CG596*CH582+CG597*CH581+CG598*CH580+CG599*CH579+CG600</f>
        <v>5323.1542188900721</v>
      </c>
      <c r="CJ600" s="114">
        <f t="shared" si="1067"/>
        <v>-2.2441063961256701E-3</v>
      </c>
      <c r="CK600" s="114"/>
      <c r="CL600" s="169">
        <f t="shared" si="1068"/>
        <v>1.0997490670953252E-2</v>
      </c>
      <c r="CM600" s="169">
        <f t="shared" si="1078"/>
        <v>1.0498656293612482E-2</v>
      </c>
      <c r="CN600" s="114">
        <f>VLOOKUP($H600,RoR!$E:$F,2,FALSE)</f>
        <v>2.4766666666666666E-2</v>
      </c>
      <c r="CO600" s="169">
        <v>1.1618796630994188E-2</v>
      </c>
      <c r="CP600" s="169">
        <f t="shared" si="1076"/>
        <v>1.3147870035672478E-2</v>
      </c>
      <c r="CQ600" s="169">
        <f t="shared" si="1079"/>
        <v>2.0403285314921145E-2</v>
      </c>
      <c r="CR600" s="169">
        <f t="shared" si="1080"/>
        <v>4.5144642961987357E-2</v>
      </c>
      <c r="CS600" s="179">
        <f t="shared" si="1069"/>
        <v>0.90509623210000001</v>
      </c>
      <c r="CT600" s="180">
        <f t="shared" si="1070"/>
        <v>2.0706077233668081</v>
      </c>
      <c r="CU600" s="180">
        <f t="shared" si="1071"/>
        <v>-3.4421265141318998E-2</v>
      </c>
      <c r="CV600" s="180">
        <f t="shared" si="1072"/>
        <v>0.62416226176410472</v>
      </c>
      <c r="CW600" s="180">
        <f t="shared" si="1073"/>
        <v>-4.4485877841158712E-2</v>
      </c>
      <c r="CX600" s="181">
        <f>INDEX('State Tax Lookup'!$D$7:$Z$91,MATCH(Calculation!$C600,'State Tax Lookup'!$B$7:$B$91,0),MATCH($H600,'State Tax Lookup'!$D$6:$Z$6,0))</f>
        <v>0.25649666999999998</v>
      </c>
      <c r="CY600" s="72">
        <v>0.37</v>
      </c>
      <c r="CZ600" s="70">
        <f t="shared" si="1077"/>
        <v>20.140111025724025</v>
      </c>
      <c r="DA600" s="70">
        <v>19.952659173050833</v>
      </c>
      <c r="DB600" s="69">
        <f t="shared" si="1081"/>
        <v>2.7020569310182339E-2</v>
      </c>
      <c r="DC600" s="111">
        <f>VLOOKUP($H600,RoR!$E:$F,2,FALSE)</f>
        <v>2.4766666666666666E-2</v>
      </c>
      <c r="DD600" s="216">
        <f>HLOOKUP($H600,'GDP-PI'!$D$8:$CQ$11,3,FALSE)</f>
        <v>1.1618796630994188E-2</v>
      </c>
      <c r="DE600" s="111">
        <f>VLOOKUP(H600,'HW Dx Data'!$E:$F,2,FALSE)</f>
        <v>813.080162458833</v>
      </c>
      <c r="DF600" s="72">
        <f t="shared" si="1091"/>
        <v>153.15</v>
      </c>
      <c r="DG600" s="69">
        <f t="shared" si="1092"/>
        <v>2.2951556467368479E-2</v>
      </c>
      <c r="DH600" s="66">
        <f>HLOOKUP(H600,'GDP-PI'!$8:$9,2,FALSE)</f>
        <v>113.623</v>
      </c>
      <c r="DI600" s="69">
        <f t="shared" si="1082"/>
        <v>1.1551816731392881E-2</v>
      </c>
      <c r="EB600"/>
    </row>
    <row r="601" spans="1:132" s="160" customFormat="1" ht="21">
      <c r="A601" s="160" t="s">
        <v>194</v>
      </c>
      <c r="B601" s="160" t="s">
        <v>194</v>
      </c>
      <c r="C601" s="160">
        <v>4061687</v>
      </c>
      <c r="D601" s="160" t="s">
        <v>171</v>
      </c>
      <c r="E601" s="160" t="s">
        <v>3</v>
      </c>
      <c r="G601" s="161" t="s">
        <v>142</v>
      </c>
      <c r="H601" s="162">
        <v>2021</v>
      </c>
      <c r="I601" s="163"/>
      <c r="J601" s="159">
        <v>81802.975722666757</v>
      </c>
      <c r="K601" s="159">
        <f t="shared" si="1083"/>
        <v>520.20970252888242</v>
      </c>
      <c r="L601" s="164">
        <f t="shared" si="1089"/>
        <v>-7.3805397876690118E-2</v>
      </c>
      <c r="M601" s="76">
        <f t="shared" si="1093"/>
        <v>-1.626450257029324E-3</v>
      </c>
      <c r="N601" s="166">
        <f>+N600*EXP(O601)</f>
        <v>119.68238926734193</v>
      </c>
      <c r="O601" s="114">
        <f t="shared" si="1094"/>
        <v>3.5171619837493867E-2</v>
      </c>
      <c r="P601" s="114"/>
      <c r="Q601" s="159">
        <v>115312.62842833747</v>
      </c>
      <c r="R601" s="159">
        <f t="shared" si="1084"/>
        <v>973.18447487836499</v>
      </c>
      <c r="S601" s="165">
        <f t="shared" si="1095"/>
        <v>-0.11630790019754239</v>
      </c>
      <c r="T601" s="165">
        <f t="shared" si="1096"/>
        <v>-2.5630783061001399E-3</v>
      </c>
      <c r="U601" s="165"/>
      <c r="V601" s="165"/>
      <c r="W601" s="159">
        <f t="shared" si="1063"/>
        <v>140543.32615351005</v>
      </c>
      <c r="X601" s="163"/>
      <c r="Y601" s="167">
        <v>5354.6014018279657</v>
      </c>
      <c r="Z601" s="168"/>
      <c r="AA601" s="76">
        <f t="shared" si="1085"/>
        <v>0</v>
      </c>
      <c r="AB601" s="168"/>
      <c r="AC601" s="168"/>
      <c r="AD601" s="163">
        <f t="shared" si="1056"/>
        <v>337658.93030451424</v>
      </c>
      <c r="AE601" s="168">
        <f t="shared" si="1097"/>
        <v>6.1756321334163776E-2</v>
      </c>
      <c r="AF601" s="113"/>
      <c r="AG601" s="114"/>
      <c r="AH601" s="114"/>
      <c r="AI601" s="114"/>
      <c r="AJ601" s="116">
        <f t="shared" si="1098"/>
        <v>447.57598291729141</v>
      </c>
      <c r="AK601" s="114">
        <f>+AV601/$AX$26</f>
        <v>1.9541304838709285E-2</v>
      </c>
      <c r="AL601" s="115">
        <f t="shared" si="1086"/>
        <v>0.24226510357328201</v>
      </c>
      <c r="AM601" s="115">
        <f t="shared" si="1087"/>
        <v>0.3415062303382409</v>
      </c>
      <c r="AN601" s="115">
        <f t="shared" si="1088"/>
        <v>0.41622866608847719</v>
      </c>
      <c r="AO601" s="115">
        <f t="shared" si="1090"/>
        <v>-6.1527346043418418E-2</v>
      </c>
      <c r="AP601" s="166">
        <f t="shared" si="1102"/>
        <v>79.628881373580612</v>
      </c>
      <c r="AQ601" s="168">
        <f t="shared" si="1103"/>
        <v>-6.1527346043418439E-2</v>
      </c>
      <c r="AR601" s="69">
        <f>+AD601/$AF$26</f>
        <v>2.203700953887824E-2</v>
      </c>
      <c r="AS601" s="169">
        <f t="shared" si="1100"/>
        <v>-1.3558787116606744E-3</v>
      </c>
      <c r="AT601" s="115"/>
      <c r="AU601" s="115"/>
      <c r="AV601" s="113">
        <f>INDEX('Total Customers'!$E$7:$E$91,MATCH(Calculation!$C601,'Total Customers'!$D$7:$D$91,0))</f>
        <v>754417</v>
      </c>
      <c r="AW601" s="68">
        <f t="shared" si="1074"/>
        <v>6.6403540625514582E-3</v>
      </c>
      <c r="AX601" s="113"/>
      <c r="AY601" s="113"/>
      <c r="AZ601" s="116"/>
      <c r="BA601" s="116"/>
      <c r="BB601" s="166"/>
      <c r="BC601" s="166"/>
      <c r="BD601" s="166"/>
      <c r="BE601" s="166"/>
      <c r="BF601" s="166"/>
      <c r="BG601" s="166"/>
      <c r="BH601" s="166"/>
      <c r="BI601" s="113"/>
      <c r="BJ601" s="113"/>
      <c r="BK601" s="113">
        <f>INDEX('Dist. Plant Gas Additions'!$E$7:$AE$91,MATCH($C601,'Dist. Plant Gas Additions'!$D$7:$D$91,0),MATCH(Calculation!$G601,'Dist. Plant Gas Additions'!$E$5:$AE$5,0))</f>
        <v>30339</v>
      </c>
      <c r="BL601" s="113">
        <f>INDEX('Gen. Plant Additions'!$E$7:$AE$91,MATCH($C601,'Gen. Plant Additions'!$D$7:$D$91,0),MATCH(Calculation!$G601,'Gen. Plant Additions'!$E$5:$AE$5,0))</f>
        <v>5186</v>
      </c>
      <c r="BM601" s="231">
        <v>0.94803473974588115</v>
      </c>
      <c r="BN601" s="61">
        <f t="shared" si="1101"/>
        <v>4916.5081603221397</v>
      </c>
      <c r="BO601" s="113"/>
      <c r="BP601" s="113"/>
      <c r="BQ601" s="175"/>
      <c r="BR601" s="175"/>
      <c r="BS601" s="170"/>
      <c r="BT601" s="176"/>
      <c r="BU601" s="177"/>
      <c r="BV601" s="177"/>
      <c r="BW601" s="113"/>
      <c r="BX601" s="113"/>
      <c r="BY601" s="113"/>
      <c r="BZ601" s="113"/>
      <c r="CA601" s="116">
        <v>2021</v>
      </c>
      <c r="CB601" s="113"/>
      <c r="CC601" s="113"/>
      <c r="CD601" s="113"/>
      <c r="CE601" s="175"/>
      <c r="CF601" s="113">
        <f t="shared" si="1065"/>
        <v>35525</v>
      </c>
      <c r="CG601" s="113">
        <f t="shared" si="1066"/>
        <v>38.075180426867647</v>
      </c>
      <c r="CH601" s="178">
        <f>+(51-23)/(51-23*0.75)</f>
        <v>0.82962962962962961</v>
      </c>
      <c r="CI601" s="113">
        <f>CI578*CH601+CG579*CH600+CG580*CH599+CG581*CH598+CG582*CH597+CG583*CH596+CG584*CH595+CG585*CH594+CG586*CH593+CG587*CH592+CG588*CH591+CG589*CH590+CG590*CH589+CG591*CH588+CG592*CH587+CG583*CH586+CG594*CH585+CG595*CH584+CG596*CH583+CG597*CH582+CG598*CH581+CG599*CH580+CG601+CG600*CH579</f>
        <v>5354.6014018279657</v>
      </c>
      <c r="CJ601" s="114"/>
      <c r="CK601" s="113"/>
      <c r="CL601" s="169">
        <f t="shared" si="1068"/>
        <v>1.2451259566092542E-3</v>
      </c>
      <c r="CM601" s="169">
        <f t="shared" si="1078"/>
        <v>7.5768605686484707E-3</v>
      </c>
      <c r="CN601" s="114">
        <f>VLOOKUP($H601,RoR!$E:$F,2,FALSE)</f>
        <v>2.7033333333333336E-2</v>
      </c>
      <c r="CO601" s="169"/>
      <c r="CP601" s="169"/>
      <c r="CQ601" s="169">
        <f t="shared" si="1079"/>
        <v>2.3325081039885155E-2</v>
      </c>
      <c r="CR601" s="169">
        <f t="shared" si="1080"/>
        <v>7.433422950153494E-2</v>
      </c>
      <c r="CS601" s="179">
        <f t="shared" si="1069"/>
        <v>0.90509623210000001</v>
      </c>
      <c r="CT601" s="180">
        <f t="shared" si="1070"/>
        <v>1.8969932656739068</v>
      </c>
      <c r="CU601" s="180">
        <f t="shared" si="1071"/>
        <v>5.0215782983970621E-2</v>
      </c>
      <c r="CV601" s="180">
        <f t="shared" si="1072"/>
        <v>0.655952481704143</v>
      </c>
      <c r="CW601" s="180">
        <f t="shared" si="1073"/>
        <v>6.2485378865697057E-2</v>
      </c>
      <c r="CX601" s="181">
        <f>CX600</f>
        <v>0.25649666999999998</v>
      </c>
      <c r="CY601" s="72">
        <v>0.37</v>
      </c>
      <c r="CZ601" s="182">
        <f t="shared" si="1077"/>
        <v>26.402264592442084</v>
      </c>
      <c r="DA601" s="182"/>
      <c r="DB601" s="169">
        <f t="shared" si="1081"/>
        <v>0.27073638651757942</v>
      </c>
      <c r="DC601" s="181">
        <f>VLOOKUP($H601,RoR!$E:$F,2,FALSE)</f>
        <v>2.7033333333333336E-2</v>
      </c>
      <c r="DD601" s="183">
        <f>HLOOKUP($H601,'GDP-PI'!$D$8:$CR$11,3,FALSE)</f>
        <v>4.2834637353352578E-2</v>
      </c>
      <c r="DE601" s="181">
        <f>VLOOKUP(H601,'HW Dx Data'!$E:$F,2,FALSE)</f>
        <v>933.02249921662576</v>
      </c>
      <c r="DF601" s="72">
        <f t="shared" si="1091"/>
        <v>157.25</v>
      </c>
      <c r="DG601" s="69">
        <f t="shared" si="1092"/>
        <v>2.6419062301765574E-2</v>
      </c>
      <c r="DH601" s="175">
        <f>HLOOKUP(H601,'GDP-PI'!$8:$9,2,FALSE)</f>
        <v>118.49</v>
      </c>
      <c r="DI601" s="169">
        <f t="shared" si="1082"/>
        <v>4.194261824609434E-2</v>
      </c>
      <c r="EB601"/>
    </row>
    <row r="602" spans="1:132" s="160" customFormat="1" ht="21">
      <c r="G602" s="161" t="s">
        <v>144</v>
      </c>
      <c r="H602" s="162"/>
      <c r="I602" s="163"/>
      <c r="J602" s="159">
        <v>89382.162025226426</v>
      </c>
      <c r="K602" s="159">
        <f t="shared" si="1083"/>
        <v>549.87488173009183</v>
      </c>
      <c r="L602" s="164">
        <f t="shared" ref="L602" si="1104">LN(K602/K601)</f>
        <v>5.5458760207446035E-2</v>
      </c>
      <c r="M602" s="76">
        <f t="shared" si="1093"/>
        <v>1.3482531902447713E-3</v>
      </c>
      <c r="N602" s="166">
        <f>+N601*EXP(O602)</f>
        <v>118.74439855014064</v>
      </c>
      <c r="O602" s="114">
        <f t="shared" si="1094"/>
        <v>-7.8682061267431602E-3</v>
      </c>
      <c r="P602" s="114"/>
      <c r="Q602" s="163">
        <v>125996.54165001799</v>
      </c>
      <c r="R602" s="159">
        <f t="shared" si="1084"/>
        <v>990.14963968579946</v>
      </c>
      <c r="S602" s="165">
        <f t="shared" ref="S602" si="1105">LN(R602/R601)</f>
        <v>1.728242477482694E-2</v>
      </c>
      <c r="T602" s="165">
        <f t="shared" si="1096"/>
        <v>4.201515549692586E-4</v>
      </c>
      <c r="U602" s="166"/>
      <c r="V602" s="114"/>
      <c r="W602" s="159">
        <f t="shared" si="1063"/>
        <v>179556.83510103301</v>
      </c>
      <c r="X602" s="168"/>
      <c r="Y602" s="167">
        <v>5269.9589809263125</v>
      </c>
      <c r="Z602" s="168">
        <v>-1.5933687345752165E-2</v>
      </c>
      <c r="AA602" s="76">
        <f t="shared" si="1085"/>
        <v>-3.8736251434248222E-4</v>
      </c>
      <c r="AB602" s="166"/>
      <c r="AC602" s="114"/>
      <c r="AD602" s="163">
        <f t="shared" si="1056"/>
        <v>394935.53877627745</v>
      </c>
      <c r="AE602" s="168">
        <f t="shared" si="1097"/>
        <v>0.15668625453447632</v>
      </c>
      <c r="AF602" s="113"/>
      <c r="AG602" s="114"/>
      <c r="AH602" s="114"/>
      <c r="AI602" s="114"/>
      <c r="AJ602" s="116">
        <f t="shared" si="1098"/>
        <v>523.38874487628436</v>
      </c>
      <c r="AK602" s="114"/>
      <c r="AL602" s="115">
        <f t="shared" si="1086"/>
        <v>0.22632088847253504</v>
      </c>
      <c r="AM602" s="115">
        <f t="shared" si="1087"/>
        <v>0.31903065001550124</v>
      </c>
      <c r="AN602" s="115">
        <f t="shared" si="1088"/>
        <v>0.45464846151196364</v>
      </c>
      <c r="AO602" s="115"/>
      <c r="AP602" s="166"/>
      <c r="AQ602" s="168"/>
      <c r="AR602" s="69">
        <f>+AD602/$AF$27</f>
        <v>2.4310914726574637E-2</v>
      </c>
      <c r="AS602" s="169"/>
      <c r="AT602" s="166"/>
      <c r="AU602" s="168"/>
      <c r="AV602" s="113">
        <v>754574</v>
      </c>
      <c r="AW602" s="68">
        <f t="shared" si="1074"/>
        <v>2.0808606620780162E-4</v>
      </c>
      <c r="AX602" s="113"/>
      <c r="AY602" s="113"/>
      <c r="AZ602" s="113"/>
      <c r="BA602" s="113"/>
      <c r="BB602" s="171"/>
      <c r="BC602" s="172"/>
      <c r="BD602" s="173"/>
      <c r="BE602" s="115"/>
      <c r="BF602" s="174"/>
      <c r="BG602" s="174"/>
      <c r="BH602" s="166"/>
      <c r="BI602" s="113"/>
      <c r="BJ602" s="113"/>
      <c r="BK602" s="113"/>
      <c r="BL602" s="113"/>
      <c r="BM602" s="231">
        <v>0.94803473974588115</v>
      </c>
      <c r="BN602" s="61">
        <f t="shared" si="1101"/>
        <v>0</v>
      </c>
      <c r="BO602" s="113"/>
      <c r="BP602" s="113"/>
      <c r="BQ602" s="175"/>
      <c r="BR602" s="175"/>
      <c r="BS602" s="170"/>
      <c r="BT602" s="176"/>
      <c r="BU602" s="177"/>
      <c r="BV602" s="177"/>
      <c r="BW602" s="113"/>
      <c r="BX602" s="113"/>
      <c r="BY602" s="113"/>
      <c r="BZ602" s="113"/>
      <c r="CA602" s="116">
        <v>2022</v>
      </c>
      <c r="CB602" s="113"/>
      <c r="CC602" s="113"/>
      <c r="CD602" s="113"/>
      <c r="CE602" s="175"/>
      <c r="CF602" s="238">
        <v>40997</v>
      </c>
      <c r="CG602" s="113">
        <f>+CF602/DE602</f>
        <v>39.771635897983138</v>
      </c>
      <c r="CH602" s="178">
        <f>+(51-24)/(51-24*0.75)</f>
        <v>0.81818181818181823</v>
      </c>
      <c r="CI602" s="113">
        <f>+CI578*CH602+CG579*CH601+CG580*CH600+CG581*CH599+CG582*CH598+CG583*CH597+CG584*CH596+CG585*CH595+CG586*CH594+CG587*CH593+CG588*CH592+CG589*CH591+CG590*CH590+CG591*CH589+CG592*CH588+CG593*CH587+CG594*CH586+CG595*CH585+CG596*CH584+CG597*CH583+CG598*CH582+CG599*CH581+CG600*CH580+CG601*CH579+CG602*CH578</f>
        <v>5275.267427681777</v>
      </c>
      <c r="CJ602" s="114">
        <f t="shared" ref="CJ602" si="1106">LN(CI602/CI601)</f>
        <v>-1.4926891095358687E-2</v>
      </c>
      <c r="CK602" s="113"/>
      <c r="CL602" s="169"/>
      <c r="CM602" s="169">
        <f t="shared" si="1078"/>
        <v>4.0808722091875025E-3</v>
      </c>
      <c r="CN602" s="114"/>
      <c r="CO602" s="169"/>
      <c r="CP602" s="169"/>
      <c r="CQ602" s="69">
        <f t="shared" si="1079"/>
        <v>2.6821069399346122E-2</v>
      </c>
      <c r="CR602" s="169">
        <f t="shared" si="1080"/>
        <v>0.10114668178709289</v>
      </c>
      <c r="CS602" s="179">
        <f t="shared" si="1069"/>
        <v>0.90509623210000001</v>
      </c>
      <c r="CT602" s="180"/>
      <c r="CU602" s="180"/>
      <c r="CV602" s="180"/>
      <c r="CW602" s="180"/>
      <c r="CX602" s="181">
        <f>CX601</f>
        <v>0.25649666999999998</v>
      </c>
      <c r="CY602" s="72">
        <v>0.37</v>
      </c>
      <c r="CZ602" s="182">
        <f t="shared" si="1077"/>
        <v>33.533184195509961</v>
      </c>
      <c r="DA602" s="182"/>
      <c r="DB602" s="169">
        <f t="shared" si="1081"/>
        <v>0.23908573504751726</v>
      </c>
      <c r="DC602" s="181">
        <v>0.04</v>
      </c>
      <c r="DD602" s="183">
        <v>7.0000000000000001E-3</v>
      </c>
      <c r="DE602" s="181">
        <v>1030.81</v>
      </c>
      <c r="DF602" s="72">
        <f t="shared" si="1091"/>
        <v>162.55000000000001</v>
      </c>
      <c r="DG602" s="169">
        <f t="shared" si="1092"/>
        <v>3.3148751169364422E-2</v>
      </c>
      <c r="DH602" s="175">
        <v>127.25</v>
      </c>
      <c r="DI602" s="169">
        <f t="shared" si="1082"/>
        <v>7.1325086601983473E-2</v>
      </c>
      <c r="EB602"/>
    </row>
    <row r="603" spans="1:132" s="160" customFormat="1" ht="21">
      <c r="A603" s="160" t="s">
        <v>195</v>
      </c>
      <c r="B603" s="161" t="s">
        <v>195</v>
      </c>
      <c r="C603" s="161">
        <v>4061755</v>
      </c>
      <c r="D603" s="161" t="s">
        <v>196</v>
      </c>
      <c r="E603" s="161" t="s">
        <v>3</v>
      </c>
      <c r="F603" s="161"/>
      <c r="G603" s="161" t="s">
        <v>100</v>
      </c>
      <c r="H603" s="162">
        <v>1998</v>
      </c>
      <c r="I603" s="163"/>
      <c r="J603" s="159"/>
      <c r="K603" s="159"/>
      <c r="L603" s="159"/>
      <c r="M603" s="60"/>
      <c r="N603" s="131"/>
      <c r="O603" s="76"/>
      <c r="P603" s="76"/>
      <c r="Q603" s="165"/>
      <c r="R603" s="165"/>
      <c r="S603" s="165"/>
      <c r="T603" s="159"/>
      <c r="U603" s="165"/>
      <c r="V603" s="165"/>
      <c r="W603" s="159"/>
      <c r="X603" s="163"/>
      <c r="Y603" s="167">
        <v>2590.2263232453911</v>
      </c>
      <c r="Z603" s="168"/>
      <c r="AA603" s="78"/>
      <c r="AB603" s="168"/>
      <c r="AC603" s="168"/>
      <c r="AD603" s="163">
        <f t="shared" si="1056"/>
        <v>0</v>
      </c>
      <c r="AE603" s="163"/>
      <c r="AF603" s="163"/>
      <c r="AG603" s="114"/>
      <c r="AH603" s="114"/>
      <c r="AI603" s="114"/>
      <c r="AJ603" s="166">
        <f>+(AJ600+AJ601+AJ602)/3</f>
        <v>464.84654151068736</v>
      </c>
      <c r="AK603" s="168"/>
      <c r="AL603" s="115"/>
      <c r="AM603" s="115"/>
      <c r="AN603" s="115"/>
      <c r="AO603" s="115"/>
      <c r="AP603" s="115"/>
      <c r="AQ603" s="168">
        <f>AVERAGE(AQ612:AQ626)</f>
        <v>2.5153606038291178E-2</v>
      </c>
      <c r="AR603" s="79"/>
      <c r="AS603" s="115"/>
      <c r="AT603" s="115"/>
      <c r="AU603" s="115"/>
      <c r="AV603" s="113">
        <f>IFERROR(INDEX('Total Customers'!$F$7:$AB$91,MATCH($C603,'Total Customers'!$D$7:$D$91,0),MATCH($G603,'Total Customers'!$F$5:$AB$5,0)),"NA")</f>
        <v>388074</v>
      </c>
      <c r="AW603" s="68"/>
      <c r="AX603" s="114"/>
      <c r="AY603" s="114"/>
      <c r="AZ603" s="116"/>
      <c r="BA603" s="116"/>
      <c r="BB603" s="166"/>
      <c r="BC603" s="166"/>
      <c r="BD603" s="166"/>
      <c r="BE603" s="166"/>
      <c r="BF603" s="166"/>
      <c r="BG603" s="166"/>
      <c r="BH603" s="166"/>
      <c r="BI603" s="113">
        <f>INDEX('Gross Dx Plant'!$E$7:$AD$91,MATCH($C603,'Gross Dx Plant'!$D$7:$D$91,0),MATCH(Calculation!$G603,'Gross Dx Plant'!$E$5:$AD$5,0))</f>
        <v>675001</v>
      </c>
      <c r="BJ603" s="113">
        <f>INDEX('Gross Gen Plant'!$E$7:$AD$91,MATCH($C603,'Gross Gen Plant'!$D$7:$D$91,0),MATCH(Calculation!$G603,'Gross Gen Plant'!$E$5:$AD$5,0))</f>
        <v>55873</v>
      </c>
      <c r="BK603" s="113">
        <f>INDEX('Dist. Plant Gas Additions'!$F$7:$AE$91,MATCH($C603,'Dist. Plant Gas Additions'!$D$7:$D$91,0),MATCH(Calculation!$G603,'Dist. Plant Gas Additions'!$F$5:$AE$5,0))</f>
        <v>37147</v>
      </c>
      <c r="BL603" s="113">
        <f>INDEX('Gen. Plant Additions'!$F$7:$AE$91,MATCH($C603,'Gen. Plant Additions'!$D$7:$D$91,0),MATCH(Calculation!$G603,'Gen. Plant Additions'!$F$5:$AE$5,0))</f>
        <v>5070</v>
      </c>
      <c r="BM603" s="231">
        <f>+(BW603/(BW603+BX603))</f>
        <v>0.92355317058754316</v>
      </c>
      <c r="BN603" s="61">
        <f t="shared" si="1101"/>
        <v>4682.4145748788442</v>
      </c>
      <c r="BO603" s="113">
        <f>INDEX('Dist Plant Depreciation'!$E$7:$AD$94,MATCH($C603,'Dist Plant Depreciation'!$D$7:$D$94,0),MATCH(Calculation!$G603,'Dist Plant Depreciation'!$E$5:$AD$5,0))</f>
        <v>180295</v>
      </c>
      <c r="BP603" s="113">
        <f>INDEX('Gen. Plant Depreciation'!$E$7:$AD$94,MATCH($C603,'Gen. Plant Depreciation'!$D$7:$D$94,0),MATCH(Calculation!$G603,'Gen. Plant Depreciation'!$E$5:$AD$5,0))</f>
        <v>28080</v>
      </c>
      <c r="BQ603" s="113"/>
      <c r="BR603" s="113"/>
      <c r="BS603" s="113"/>
      <c r="BT603" s="113"/>
      <c r="BU603" s="113"/>
      <c r="BV603" s="113"/>
      <c r="BW603" s="113">
        <f>INDEX('Gross Dx Plant'!$E$7:$AD$91,MATCH($C603,'Gross Dx Plant'!$D$7:$D$91,0),MATCH(Calculation!$G603,'Gross Dx Plant'!$E$5:$AD$5,0))</f>
        <v>675001</v>
      </c>
      <c r="BX603" s="113">
        <f>INDEX('Gross Gen Plant'!$E$7:$AD$91,MATCH($C603,'Gross Gen Plant'!$D$7:$D$91,0),MATCH(Calculation!$G603,'Gross Gen Plant'!$E$5:$AD$5,0))</f>
        <v>55873</v>
      </c>
      <c r="BY603" s="113">
        <f t="shared" si="1075"/>
        <v>522499</v>
      </c>
      <c r="BZ603" s="113"/>
      <c r="CA603" s="116">
        <v>1998</v>
      </c>
      <c r="CB603" s="113">
        <f>BI603+BJ603</f>
        <v>730874</v>
      </c>
      <c r="CC603" s="113">
        <f>180295+28080</f>
        <v>208375</v>
      </c>
      <c r="CD603" s="113">
        <f>+CB603-CC603</f>
        <v>522499</v>
      </c>
      <c r="CE603" s="113">
        <f>CD603/$BV$3</f>
        <v>2590.2263232453911</v>
      </c>
      <c r="CF603" s="175"/>
      <c r="CG603" s="175"/>
      <c r="CH603" s="178">
        <v>1</v>
      </c>
      <c r="CI603" s="113">
        <f>+CE603</f>
        <v>2590.2263232453911</v>
      </c>
      <c r="CJ603" s="114"/>
      <c r="CK603" s="114"/>
      <c r="CL603" s="169"/>
      <c r="CM603" s="169"/>
      <c r="CN603" s="114" t="e">
        <f>VLOOKUP($H603,RoR!$E:$F,2,FALSE)</f>
        <v>#N/A</v>
      </c>
      <c r="CO603" s="169">
        <v>1.1028127770464469E-2</v>
      </c>
      <c r="CP603" s="169"/>
      <c r="CQ603" s="169"/>
      <c r="CR603" s="169"/>
      <c r="CS603" s="179"/>
      <c r="CT603" s="182" t="e">
        <f>2/(DC603*39)</f>
        <v>#N/A</v>
      </c>
      <c r="CU603" s="180" t="e">
        <f>+(DC603*40-(1+DC603))/(DC603*40)</f>
        <v>#N/A</v>
      </c>
      <c r="CV603" s="180" t="e">
        <f>+(1-(1/(1+DC603)^40))</f>
        <v>#N/A</v>
      </c>
      <c r="CW603" s="180" t="e">
        <f>+CV603*CU603*CT603</f>
        <v>#N/A</v>
      </c>
      <c r="CX603" s="181">
        <f>INDEX('State Tax Lookup'!$D$7:$Z$91,MATCH(Calculation!$C603,'State Tax Lookup'!$B$7:$B$91,0),MATCH($H603,'State Tax Lookup'!$D$6:$Z$6,0))</f>
        <v>0.40849999999999997</v>
      </c>
      <c r="CY603" s="72">
        <v>0.37</v>
      </c>
      <c r="CZ603" s="66"/>
      <c r="DA603" s="66"/>
      <c r="DB603" s="69"/>
      <c r="DC603" s="111" t="e">
        <f>VLOOKUP($H603,RoR!$E:$F,2,FALSE)</f>
        <v>#N/A</v>
      </c>
      <c r="DD603" s="216">
        <f>HLOOKUP($H603,'GDP-PI'!$D$8:$CQ$11,3,FALSE)</f>
        <v>1.1028127770464469E-2</v>
      </c>
      <c r="DE603" s="111">
        <f>VLOOKUP(H603,'HW Dx Data'!$E:$F,2,FALSE)</f>
        <v>329.24564746449528</v>
      </c>
      <c r="DF603" s="72" t="e">
        <f t="shared" si="1091"/>
        <v>#N/A</v>
      </c>
      <c r="DG603" s="169" t="e">
        <f t="shared" si="1092"/>
        <v>#N/A</v>
      </c>
      <c r="DH603" s="66">
        <f>HLOOKUP(H603,'GDP-PI'!$8:$9,2,FALSE)</f>
        <v>75.266999999999996</v>
      </c>
      <c r="DI603"/>
      <c r="EB603"/>
    </row>
    <row r="604" spans="1:132" s="160" customFormat="1" ht="21">
      <c r="A604" s="160" t="s">
        <v>195</v>
      </c>
      <c r="B604" s="161" t="s">
        <v>195</v>
      </c>
      <c r="C604" s="161">
        <v>4061755</v>
      </c>
      <c r="D604" s="161" t="s">
        <v>196</v>
      </c>
      <c r="E604" s="161" t="s">
        <v>3</v>
      </c>
      <c r="F604" s="161"/>
      <c r="G604" s="161" t="s">
        <v>106</v>
      </c>
      <c r="H604" s="162">
        <v>1999</v>
      </c>
      <c r="I604" s="163"/>
      <c r="J604" s="159"/>
      <c r="K604" s="163"/>
      <c r="L604" s="163"/>
      <c r="M604" s="60"/>
      <c r="N604" s="152"/>
      <c r="O604" s="60"/>
      <c r="P604" s="59"/>
      <c r="Q604" s="169"/>
      <c r="R604" s="169"/>
      <c r="S604" s="169"/>
      <c r="T604" s="187"/>
      <c r="U604" s="169"/>
      <c r="V604" s="169"/>
      <c r="W604" s="159">
        <f t="shared" ref="W604:W627" si="1107">+CI603*CZ604</f>
        <v>0</v>
      </c>
      <c r="X604" s="163"/>
      <c r="Y604" s="167">
        <v>2704.1926813561554</v>
      </c>
      <c r="Z604" s="168">
        <v>4.3058158153820213E-2</v>
      </c>
      <c r="AA604" s="78"/>
      <c r="AB604" s="168"/>
      <c r="AC604" s="168"/>
      <c r="AD604" s="163">
        <f t="shared" si="1056"/>
        <v>0</v>
      </c>
      <c r="AE604" s="168"/>
      <c r="AF604" s="163"/>
      <c r="AG604" s="114"/>
      <c r="AH604" s="114"/>
      <c r="AI604" s="114"/>
      <c r="AJ604" s="167"/>
      <c r="AK604" s="168"/>
      <c r="AL604" s="115"/>
      <c r="AM604" s="115"/>
      <c r="AN604" s="115"/>
      <c r="AO604" s="115"/>
      <c r="AP604" s="115"/>
      <c r="AQ604" s="168"/>
      <c r="AR604" s="79"/>
      <c r="AS604" s="115"/>
      <c r="AT604" s="115"/>
      <c r="AU604" s="115"/>
      <c r="AV604" s="113">
        <f>IFERROR(INDEX('Total Customers'!$F$7:$AB$91,MATCH($C604,'Total Customers'!$D$7:$D$91,0),MATCH($G604,'Total Customers'!$F$5:$AB$5,0)),"NA")</f>
        <v>399805</v>
      </c>
      <c r="AW604" s="68">
        <f t="shared" si="1074"/>
        <v>2.9780885153527337E-2</v>
      </c>
      <c r="AX604" s="114"/>
      <c r="AY604" s="114"/>
      <c r="AZ604" s="116"/>
      <c r="BA604" s="116"/>
      <c r="BB604" s="166"/>
      <c r="BC604" s="166"/>
      <c r="BD604" s="166"/>
      <c r="BE604" s="166"/>
      <c r="BF604" s="166"/>
      <c r="BG604" s="166"/>
      <c r="BH604" s="166"/>
      <c r="BI604" s="113"/>
      <c r="BJ604" s="113"/>
      <c r="BK604" s="113">
        <f>INDEX('Dist. Plant Gas Additions'!$F$7:$AE$91,MATCH($C604,'Dist. Plant Gas Additions'!$D$7:$D$91,0),MATCH(Calculation!$G604,'Dist. Plant Gas Additions'!$F$5:$AE$5,0))</f>
        <v>39322</v>
      </c>
      <c r="BL604" s="113">
        <f>INDEX('Gen. Plant Additions'!$F$7:$AE$91,MATCH($C604,'Gen. Plant Additions'!$D$7:$D$91,0),MATCH(Calculation!$G604,'Gen. Plant Additions'!$F$5:$AE$5,0))</f>
        <v>3215</v>
      </c>
      <c r="BM604" s="231">
        <f t="shared" ref="BM604:BM625" si="1108">+(BW604/(BW604+BX604))</f>
        <v>0.92440484838421788</v>
      </c>
      <c r="BN604" s="61">
        <f>+BM604*BL604</f>
        <v>2971.9615875552604</v>
      </c>
      <c r="BO604" s="113">
        <f>INDEX('Dist Plant Depreciation'!$E$7:$AD$94,MATCH($C604,'Dist Plant Depreciation'!$D$7:$D$94,0),MATCH(Calculation!$G604,'Dist Plant Depreciation'!$E$5:$AD$5,0))</f>
        <v>192903</v>
      </c>
      <c r="BP604" s="113">
        <f>INDEX('Gen. Plant Depreciation'!$E$7:$AD$94,MATCH($C604,'Gen. Plant Depreciation'!$D$7:$D$94,0),MATCH(Calculation!$G604,'Gen. Plant Depreciation'!$E$5:$AD$5,0))</f>
        <v>34286</v>
      </c>
      <c r="BQ604" s="113"/>
      <c r="BR604" s="113"/>
      <c r="BS604" s="113"/>
      <c r="BT604" s="113"/>
      <c r="BU604" s="113"/>
      <c r="BV604" s="113"/>
      <c r="BW604" s="113">
        <f>INDEX('Gross Dx Plant'!$E$7:$AD$91,MATCH($C604,'Gross Dx Plant'!$D$7:$D$91,0),MATCH(Calculation!$G604,'Gross Dx Plant'!$E$5:$AD$5,0))</f>
        <v>712620</v>
      </c>
      <c r="BX604" s="113">
        <f>INDEX('Gross Gen Plant'!$E$7:$AD$91,MATCH($C604,'Gross Gen Plant'!$D$7:$D$91,0),MATCH(Calculation!$G604,'Gross Gen Plant'!$E$5:$AD$5,0))</f>
        <v>58276</v>
      </c>
      <c r="BY604" s="113">
        <f t="shared" si="1075"/>
        <v>543707</v>
      </c>
      <c r="BZ604" s="113"/>
      <c r="CA604" s="116">
        <v>1999</v>
      </c>
      <c r="CB604" s="113"/>
      <c r="CC604" s="113"/>
      <c r="CD604" s="113"/>
      <c r="CE604" s="175"/>
      <c r="CF604" s="113">
        <f t="shared" ref="CF604:CF626" si="1109">+BL604+BK604</f>
        <v>42537</v>
      </c>
      <c r="CG604" s="113">
        <f t="shared" ref="CG604:CG626" si="1110">+CF604/$DE604</f>
        <v>126.8530562363629</v>
      </c>
      <c r="CH604" s="178">
        <v>0.99502487562189057</v>
      </c>
      <c r="CI604" s="61">
        <f>+CI603*CH604+CG604</f>
        <v>2704.1926813561554</v>
      </c>
      <c r="CJ604" s="114">
        <f t="shared" ref="CJ604:CJ625" si="1111">LN(CI604/CI603)</f>
        <v>4.3058158153820213E-2</v>
      </c>
      <c r="CK604" s="114"/>
      <c r="CL604" s="169">
        <f t="shared" ref="CL604:CL627" si="1112">+(CI603-CI604+CG604)/CI603</f>
        <v>4.975124378109313E-3</v>
      </c>
      <c r="CM604" s="169"/>
      <c r="CN604" s="114">
        <f>VLOOKUP($H604,RoR!$E:$F,2,FALSE)</f>
        <v>7.0416666666666669E-2</v>
      </c>
      <c r="CO604" s="169">
        <v>1.4335631817396832E-2</v>
      </c>
      <c r="CP604" s="169">
        <f>+CN604-CO604</f>
        <v>5.6081034849269837E-2</v>
      </c>
      <c r="CQ604" s="169"/>
      <c r="CR604" s="169"/>
      <c r="CS604" s="179">
        <f t="shared" ref="CS604:CS626" si="1113">1-CX604*CY604</f>
        <v>0.84885500000000003</v>
      </c>
      <c r="CT604" s="180">
        <f t="shared" ref="CT604:CT626" si="1114">2/(DC604*39)</f>
        <v>0.72826581702321336</v>
      </c>
      <c r="CU604" s="180">
        <f t="shared" ref="CU604:CU626" si="1115">+(DC604*40-(1+DC604))/(DC604*40)</f>
        <v>0.61997041420118348</v>
      </c>
      <c r="CV604" s="180">
        <f t="shared" ref="CV604:CV626" si="1116">+(1-(1/(1+DC604)^40))</f>
        <v>0.93425155319585029</v>
      </c>
      <c r="CW604" s="180">
        <f t="shared" ref="CW604:CW626" si="1117">+CV604*CU604*CT604</f>
        <v>0.42181762214141483</v>
      </c>
      <c r="CX604" s="181">
        <f>INDEX('State Tax Lookup'!$D$7:$Z$91,MATCH(Calculation!$C604,'State Tax Lookup'!$B$7:$B$91,0),MATCH($H604,'State Tax Lookup'!$D$6:$Z$6,0))</f>
        <v>0.40849999999999997</v>
      </c>
      <c r="CY604" s="72">
        <v>0.37</v>
      </c>
      <c r="CZ604" s="70"/>
      <c r="DA604" s="70"/>
      <c r="DB604" s="69"/>
      <c r="DC604" s="111">
        <f>VLOOKUP($H604,RoR!$E:$F,2,FALSE)</f>
        <v>7.0416666666666669E-2</v>
      </c>
      <c r="DD604" s="216">
        <f>HLOOKUP($H604,'GDP-PI'!$D$8:$CQ$11,3,FALSE)</f>
        <v>1.4335631817396832E-2</v>
      </c>
      <c r="DE604" s="111">
        <f>VLOOKUP(H604,'HW Dx Data'!$E:$F,2,FALSE)</f>
        <v>335.32499146683239</v>
      </c>
      <c r="DF604" s="66"/>
      <c r="DG604" s="69"/>
      <c r="DH604" s="66">
        <f>HLOOKUP(H604,'GDP-PI'!$8:$9,2,FALSE)</f>
        <v>76.346000000000004</v>
      </c>
      <c r="DI604"/>
      <c r="EB604"/>
    </row>
    <row r="605" spans="1:132" s="160" customFormat="1" ht="21">
      <c r="A605" s="160" t="s">
        <v>195</v>
      </c>
      <c r="B605" s="161" t="s">
        <v>195</v>
      </c>
      <c r="C605" s="161">
        <v>4061755</v>
      </c>
      <c r="D605" s="161" t="s">
        <v>196</v>
      </c>
      <c r="E605" s="161" t="s">
        <v>3</v>
      </c>
      <c r="F605" s="161"/>
      <c r="G605" s="161" t="s">
        <v>107</v>
      </c>
      <c r="H605" s="162">
        <v>2000</v>
      </c>
      <c r="I605" s="163"/>
      <c r="J605" s="159"/>
      <c r="K605" s="159"/>
      <c r="L605" s="159"/>
      <c r="M605" s="60"/>
      <c r="N605" s="152"/>
      <c r="O605" s="60"/>
      <c r="P605" s="60"/>
      <c r="Q605" s="159"/>
      <c r="R605" s="159"/>
      <c r="S605" s="159"/>
      <c r="T605" s="159"/>
      <c r="U605" s="159"/>
      <c r="V605" s="159"/>
      <c r="W605" s="159">
        <f t="shared" si="1107"/>
        <v>0</v>
      </c>
      <c r="X605" s="163"/>
      <c r="Y605" s="167">
        <v>2825.7603618509534</v>
      </c>
      <c r="Z605" s="168">
        <v>4.397406948031797E-2</v>
      </c>
      <c r="AA605" s="78"/>
      <c r="AB605" s="168"/>
      <c r="AC605" s="168"/>
      <c r="AD605" s="163">
        <f t="shared" si="1056"/>
        <v>0</v>
      </c>
      <c r="AE605" s="168"/>
      <c r="AF605" s="163"/>
      <c r="AG605" s="163"/>
      <c r="AH605" s="163"/>
      <c r="AI605" s="163"/>
      <c r="AJ605" s="167"/>
      <c r="AK605" s="168"/>
      <c r="AL605" s="115"/>
      <c r="AM605" s="115"/>
      <c r="AN605" s="115"/>
      <c r="AO605" s="115"/>
      <c r="AP605" s="115"/>
      <c r="AQ605" s="168"/>
      <c r="AR605" s="79"/>
      <c r="AS605" s="115"/>
      <c r="AT605" s="115"/>
      <c r="AU605" s="115"/>
      <c r="AV605" s="113">
        <f>IFERROR(INDEX('Total Customers'!$F$7:$AB$91,MATCH($C605,'Total Customers'!$D$7:$D$91,0),MATCH($G605,'Total Customers'!$F$5:$AB$5,0)),"NA")</f>
        <v>414353</v>
      </c>
      <c r="AW605" s="68">
        <f t="shared" si="1074"/>
        <v>3.5741339283439602E-2</v>
      </c>
      <c r="AX605" s="114"/>
      <c r="AY605" s="114"/>
      <c r="AZ605" s="116"/>
      <c r="BA605" s="116"/>
      <c r="BB605" s="166"/>
      <c r="BC605" s="166"/>
      <c r="BD605" s="166"/>
      <c r="BE605" s="166"/>
      <c r="BF605" s="166"/>
      <c r="BG605" s="166"/>
      <c r="BH605" s="166"/>
      <c r="BI605" s="113"/>
      <c r="BJ605" s="113"/>
      <c r="BK605" s="113">
        <f>INDEX('Dist. Plant Gas Additions'!$F$7:$AE$91,MATCH($C605,'Dist. Plant Gas Additions'!$D$7:$D$91,0),MATCH(Calculation!$G605,'Dist. Plant Gas Additions'!$F$5:$AE$5,0))</f>
        <v>38779</v>
      </c>
      <c r="BL605" s="113">
        <f>INDEX('Gen. Plant Additions'!$F$7:$AE$91,MATCH($C605,'Gen. Plant Additions'!$D$7:$D$91,0),MATCH(Calculation!$G605,'Gen. Plant Additions'!$F$5:$AE$5,0))</f>
        <v>8168</v>
      </c>
      <c r="BM605" s="231">
        <f t="shared" si="1108"/>
        <v>0.93411377733068734</v>
      </c>
      <c r="BN605" s="61">
        <f t="shared" ref="BN605:BN621" si="1118">+BM605*BL605</f>
        <v>7629.8413332370546</v>
      </c>
      <c r="BO605" s="113">
        <f>INDEX('Dist Plant Depreciation'!$E$7:$AD$94,MATCH($C605,'Dist Plant Depreciation'!$D$7:$D$94,0),MATCH(Calculation!$G605,'Dist Plant Depreciation'!$E$5:$AD$5,0))</f>
        <v>208441</v>
      </c>
      <c r="BP605" s="113">
        <f>INDEX('Gen. Plant Depreciation'!$E$7:$AD$94,MATCH($C605,'Gen. Plant Depreciation'!$D$7:$D$94,0),MATCH(Calculation!$G605,'Gen. Plant Depreciation'!$E$5:$AD$5,0))</f>
        <v>30882</v>
      </c>
      <c r="BQ605" s="113"/>
      <c r="BR605" s="113"/>
      <c r="BS605" s="113"/>
      <c r="BT605" s="113"/>
      <c r="BU605" s="113"/>
      <c r="BV605" s="113"/>
      <c r="BW605" s="113">
        <f>INDEX('Gross Dx Plant'!$E$7:$AD$91,MATCH($C605,'Gross Dx Plant'!$D$7:$D$91,0),MATCH(Calculation!$G605,'Gross Dx Plant'!$E$5:$AD$5,0))</f>
        <v>750297</v>
      </c>
      <c r="BX605" s="113">
        <f>INDEX('Gross Gen Plant'!$E$7:$AD$91,MATCH($C605,'Gross Gen Plant'!$D$7:$D$91,0),MATCH(Calculation!$G605,'Gross Gen Plant'!$E$5:$AD$5,0))</f>
        <v>52921</v>
      </c>
      <c r="BY605" s="113">
        <f t="shared" si="1075"/>
        <v>563895</v>
      </c>
      <c r="BZ605" s="113"/>
      <c r="CA605" s="116">
        <v>2000</v>
      </c>
      <c r="CB605" s="113"/>
      <c r="CC605" s="113"/>
      <c r="CD605" s="113"/>
      <c r="CE605" s="175"/>
      <c r="CF605" s="113">
        <f t="shared" si="1109"/>
        <v>46947</v>
      </c>
      <c r="CG605" s="113">
        <f t="shared" si="1110"/>
        <v>135.47599435672234</v>
      </c>
      <c r="CH605" s="178">
        <v>0.98989898989898994</v>
      </c>
      <c r="CI605" s="61">
        <f>+CI603*CH605+CG604*CH604+CG605</f>
        <v>2825.7603618509534</v>
      </c>
      <c r="CJ605" s="114">
        <f t="shared" si="1111"/>
        <v>4.397406948031797E-2</v>
      </c>
      <c r="CK605" s="114"/>
      <c r="CL605" s="169">
        <f t="shared" si="1112"/>
        <v>5.14324070093605E-3</v>
      </c>
      <c r="CM605" s="169"/>
      <c r="CN605" s="114">
        <f>VLOOKUP($H605,RoR!$E:$F,2,FALSE)</f>
        <v>7.6225000000000001E-2</v>
      </c>
      <c r="CO605" s="169">
        <v>2.2568307442433211E-2</v>
      </c>
      <c r="CP605" s="169">
        <f t="shared" ref="CP605:CP625" si="1119">+CN605-CO605</f>
        <v>5.365669255756679E-2</v>
      </c>
      <c r="CQ605" s="169"/>
      <c r="CR605" s="169"/>
      <c r="CS605" s="179">
        <f t="shared" si="1113"/>
        <v>0.84885500000000003</v>
      </c>
      <c r="CT605" s="180">
        <f t="shared" si="1114"/>
        <v>0.67277207323124022</v>
      </c>
      <c r="CU605" s="180">
        <f t="shared" si="1115"/>
        <v>0.6470236142997704</v>
      </c>
      <c r="CV605" s="180">
        <f t="shared" si="1116"/>
        <v>0.94704866037543145</v>
      </c>
      <c r="CW605" s="180">
        <f t="shared" si="1117"/>
        <v>0.41224973107878493</v>
      </c>
      <c r="CX605" s="181">
        <f>INDEX('State Tax Lookup'!$D$7:$Z$91,MATCH(Calculation!$C605,'State Tax Lookup'!$B$7:$B$91,0),MATCH($H605,'State Tax Lookup'!$D$6:$Z$6,0))</f>
        <v>0.40849999999999997</v>
      </c>
      <c r="CY605" s="72">
        <v>0.37</v>
      </c>
      <c r="CZ605" s="70"/>
      <c r="DA605" s="70"/>
      <c r="DB605" s="69"/>
      <c r="DC605" s="111">
        <f>VLOOKUP($H605,RoR!$E:$F,2,FALSE)</f>
        <v>7.6225000000000001E-2</v>
      </c>
      <c r="DD605" s="216">
        <f>HLOOKUP($H605,'GDP-PI'!$D$8:$CQ$11,3,FALSE)</f>
        <v>2.2568307442433211E-2</v>
      </c>
      <c r="DE605" s="111">
        <f>VLOOKUP(H605,'HW Dx Data'!$E:$F,2,FALSE)</f>
        <v>346.53371782150339</v>
      </c>
      <c r="DF605" s="66"/>
      <c r="DG605" s="69"/>
      <c r="DH605" s="66">
        <f>HLOOKUP(H605,'GDP-PI'!$8:$9,2,FALSE)</f>
        <v>78.069000000000003</v>
      </c>
      <c r="DI605"/>
      <c r="EB605"/>
    </row>
    <row r="606" spans="1:132" s="160" customFormat="1" ht="21">
      <c r="A606" s="160" t="s">
        <v>195</v>
      </c>
      <c r="B606" s="161" t="s">
        <v>195</v>
      </c>
      <c r="C606" s="161">
        <v>4061755</v>
      </c>
      <c r="D606" s="161" t="s">
        <v>196</v>
      </c>
      <c r="E606" s="161" t="s">
        <v>3</v>
      </c>
      <c r="F606" s="161"/>
      <c r="G606" s="161" t="s">
        <v>111</v>
      </c>
      <c r="H606" s="162">
        <v>2001</v>
      </c>
      <c r="I606" s="163"/>
      <c r="J606" s="159"/>
      <c r="K606" s="159"/>
      <c r="L606" s="159"/>
      <c r="M606" s="60"/>
      <c r="N606" s="152"/>
      <c r="O606" s="60"/>
      <c r="P606" s="60"/>
      <c r="Q606" s="159"/>
      <c r="R606" s="159"/>
      <c r="S606" s="159"/>
      <c r="T606" s="159"/>
      <c r="U606" s="159"/>
      <c r="V606" s="159"/>
      <c r="W606" s="159">
        <f t="shared" si="1107"/>
        <v>37033.825171572658</v>
      </c>
      <c r="X606" s="163"/>
      <c r="Y606" s="167">
        <v>2919.443301975175</v>
      </c>
      <c r="Z606" s="168">
        <v>3.2615465075366931E-2</v>
      </c>
      <c r="AA606" s="78"/>
      <c r="AB606" s="168"/>
      <c r="AC606" s="168"/>
      <c r="AD606" s="163">
        <f t="shared" si="1056"/>
        <v>37033.825171572658</v>
      </c>
      <c r="AE606" s="168"/>
      <c r="AF606" s="163"/>
      <c r="AG606" s="163"/>
      <c r="AH606" s="163"/>
      <c r="AI606" s="163"/>
      <c r="AJ606" s="167"/>
      <c r="AK606" s="168"/>
      <c r="AL606" s="115"/>
      <c r="AM606" s="115"/>
      <c r="AN606" s="115"/>
      <c r="AO606" s="115"/>
      <c r="AP606" s="115"/>
      <c r="AQ606" s="168"/>
      <c r="AR606" s="79"/>
      <c r="AS606" s="115"/>
      <c r="AT606" s="115"/>
      <c r="AU606" s="115"/>
      <c r="AV606" s="113">
        <f>IFERROR(INDEX('Total Customers'!$F$7:$AB$91,MATCH($C606,'Total Customers'!$D$7:$D$91,0),MATCH($G606,'Total Customers'!$F$5:$AB$5,0)),"NA")</f>
        <v>424076</v>
      </c>
      <c r="AW606" s="68">
        <f t="shared" si="1074"/>
        <v>2.319441692779688E-2</v>
      </c>
      <c r="AX606" s="114"/>
      <c r="AY606" s="114"/>
      <c r="AZ606" s="116"/>
      <c r="BA606" s="116"/>
      <c r="BB606" s="166"/>
      <c r="BC606" s="166"/>
      <c r="BD606" s="166"/>
      <c r="BE606" s="166"/>
      <c r="BF606" s="166"/>
      <c r="BG606" s="166"/>
      <c r="BH606" s="166"/>
      <c r="BI606" s="113"/>
      <c r="BJ606" s="113"/>
      <c r="BK606" s="113">
        <f>INDEX('Dist. Plant Gas Additions'!$F$7:$AE$91,MATCH($C606,'Dist. Plant Gas Additions'!$D$7:$D$91,0),MATCH(Calculation!$G606,'Dist. Plant Gas Additions'!$F$5:$AE$5,0))</f>
        <v>35879</v>
      </c>
      <c r="BL606" s="113">
        <f>INDEX('Gen. Plant Additions'!$F$7:$AE$91,MATCH($C606,'Gen. Plant Additions'!$D$7:$D$91,0),MATCH(Calculation!$G606,'Gen. Plant Additions'!$F$5:$AE$5,0))</f>
        <v>2300</v>
      </c>
      <c r="BM606" s="231">
        <f t="shared" si="1108"/>
        <v>0.93362693786947859</v>
      </c>
      <c r="BN606" s="61">
        <f t="shared" si="1118"/>
        <v>2147.3419570998008</v>
      </c>
      <c r="BO606" s="113">
        <f>INDEX('Dist Plant Depreciation'!$E$7:$AD$94,MATCH($C606,'Dist Plant Depreciation'!$D$7:$D$94,0),MATCH(Calculation!$G606,'Dist Plant Depreciation'!$E$5:$AD$5,0))</f>
        <v>223180</v>
      </c>
      <c r="BP606" s="113">
        <f>INDEX('Gen. Plant Depreciation'!$E$7:$AD$94,MATCH($C606,'Gen. Plant Depreciation'!$D$7:$D$94,0),MATCH(Calculation!$G606,'Gen. Plant Depreciation'!$E$5:$AD$5,0))</f>
        <v>36388</v>
      </c>
      <c r="BQ606" s="113"/>
      <c r="BR606" s="113"/>
      <c r="BS606" s="113"/>
      <c r="BT606" s="113"/>
      <c r="BU606" s="113"/>
      <c r="BV606" s="113"/>
      <c r="BW606" s="113">
        <f>INDEX('Gross Dx Plant'!$E$7:$AD$91,MATCH($C606,'Gross Dx Plant'!$D$7:$D$91,0),MATCH(Calculation!$G606,'Gross Dx Plant'!$E$5:$AD$5,0))</f>
        <v>762959</v>
      </c>
      <c r="BX606" s="113">
        <f>INDEX('Gross Gen Plant'!$E$7:$AD$91,MATCH($C606,'Gross Gen Plant'!$D$7:$D$91,0),MATCH(Calculation!$G606,'Gross Gen Plant'!$E$5:$AD$5,0))</f>
        <v>54240</v>
      </c>
      <c r="BY606" s="113">
        <f t="shared" si="1075"/>
        <v>557631</v>
      </c>
      <c r="BZ606" s="113"/>
      <c r="CA606" s="116">
        <v>2001</v>
      </c>
      <c r="CB606" s="113"/>
      <c r="CC606" s="113"/>
      <c r="CD606" s="113"/>
      <c r="CE606" s="175"/>
      <c r="CF606" s="113">
        <f t="shared" si="1109"/>
        <v>38179</v>
      </c>
      <c r="CG606" s="113">
        <f t="shared" si="1110"/>
        <v>108.01890788132283</v>
      </c>
      <c r="CH606" s="178">
        <v>0.98461538461538467</v>
      </c>
      <c r="CI606" s="61">
        <f>+CI603*CH606+CG604*CH605+CG605*CH603+CG606</f>
        <v>2919.443301975175</v>
      </c>
      <c r="CJ606" s="114">
        <f t="shared" si="1111"/>
        <v>3.2615465075366931E-2</v>
      </c>
      <c r="CK606" s="114"/>
      <c r="CL606" s="169">
        <f t="shared" si="1112"/>
        <v>5.0733133462565472E-3</v>
      </c>
      <c r="CM606" s="169">
        <f>+(CL606+CL605+CL604)/3</f>
        <v>5.0638928084339695E-3</v>
      </c>
      <c r="CN606" s="114">
        <f>VLOOKUP($H606,RoR!$E:$F,2,FALSE)</f>
        <v>7.0824999999999999E-2</v>
      </c>
      <c r="CO606" s="169">
        <v>2.2454495382290052E-2</v>
      </c>
      <c r="CP606" s="169">
        <f t="shared" si="1119"/>
        <v>4.8370504617709947E-2</v>
      </c>
      <c r="CQ606" s="169">
        <f>+$CP$2-CM606</f>
        <v>2.5838048800099656E-2</v>
      </c>
      <c r="CR606" s="169">
        <v>2.3947275901631187E-2</v>
      </c>
      <c r="CS606" s="179">
        <f t="shared" si="1113"/>
        <v>0.84885500000000003</v>
      </c>
      <c r="CT606" s="180">
        <f t="shared" si="1114"/>
        <v>0.72406708481540816</v>
      </c>
      <c r="CU606" s="180">
        <f t="shared" si="1115"/>
        <v>0.62201729615248857</v>
      </c>
      <c r="CV606" s="180">
        <f t="shared" si="1116"/>
        <v>0.9352469954311422</v>
      </c>
      <c r="CW606" s="180">
        <f t="shared" si="1117"/>
        <v>0.42121864641655071</v>
      </c>
      <c r="CX606" s="181">
        <f>INDEX('State Tax Lookup'!$D$7:$Z$91,MATCH(Calculation!$C606,'State Tax Lookup'!$B$7:$B$91,0),MATCH($H606,'State Tax Lookup'!$D$6:$Z$6,0))</f>
        <v>0.40849999999999997</v>
      </c>
      <c r="CY606" s="72">
        <v>0.37</v>
      </c>
      <c r="CZ606" s="70">
        <f t="shared" ref="CZ606:CZ628" si="1120">+(DE606*CQ606-CR605)*CS606/(1-CX606)</f>
        <v>13.105791160335496</v>
      </c>
      <c r="DA606" s="70"/>
      <c r="DB606" s="69"/>
      <c r="DC606" s="111">
        <f>VLOOKUP($H606,RoR!$E:$F,2,FALSE)</f>
        <v>7.0824999999999999E-2</v>
      </c>
      <c r="DD606" s="216">
        <f>HLOOKUP($H606,'GDP-PI'!$D$8:$CQ$11,3,FALSE)</f>
        <v>2.2454495382290052E-2</v>
      </c>
      <c r="DE606" s="111">
        <f>VLOOKUP(H606,'HW Dx Data'!$E:$F,2,FALSE)</f>
        <v>353.44738017483138</v>
      </c>
      <c r="DF606" s="66"/>
      <c r="DG606" s="69"/>
      <c r="DH606" s="66">
        <f>HLOOKUP(H606,'GDP-PI'!$8:$9,2,FALSE)</f>
        <v>79.822000000000003</v>
      </c>
      <c r="DI606"/>
      <c r="EB606"/>
    </row>
    <row r="607" spans="1:132" s="160" customFormat="1" ht="21">
      <c r="A607" s="160" t="s">
        <v>195</v>
      </c>
      <c r="B607" s="161" t="s">
        <v>195</v>
      </c>
      <c r="C607" s="161">
        <v>4061755</v>
      </c>
      <c r="D607" s="161" t="s">
        <v>196</v>
      </c>
      <c r="E607" s="161" t="s">
        <v>3</v>
      </c>
      <c r="F607" s="161"/>
      <c r="G607" s="161" t="s">
        <v>113</v>
      </c>
      <c r="H607" s="162">
        <v>2002</v>
      </c>
      <c r="I607" s="163"/>
      <c r="J607" s="159"/>
      <c r="K607" s="159"/>
      <c r="L607" s="159"/>
      <c r="M607" s="60"/>
      <c r="N607" s="152"/>
      <c r="O607" s="60"/>
      <c r="P607" s="60"/>
      <c r="Q607" s="159"/>
      <c r="R607" s="159"/>
      <c r="S607" s="159"/>
      <c r="T607" s="159"/>
      <c r="U607" s="159"/>
      <c r="V607" s="159"/>
      <c r="W607" s="159">
        <f t="shared" si="1107"/>
        <v>38642.347047210693</v>
      </c>
      <c r="X607" s="163"/>
      <c r="Y607" s="167">
        <v>3011.5989589514925</v>
      </c>
      <c r="Z607" s="168">
        <v>3.1078205218563325E-2</v>
      </c>
      <c r="AA607" s="78"/>
      <c r="AB607" s="168"/>
      <c r="AC607" s="168"/>
      <c r="AD607" s="163">
        <f t="shared" si="1056"/>
        <v>38642.347047210693</v>
      </c>
      <c r="AE607" s="168"/>
      <c r="AF607" s="163"/>
      <c r="AG607" s="163"/>
      <c r="AH607" s="163"/>
      <c r="AI607" s="163"/>
      <c r="AJ607" s="167"/>
      <c r="AK607" s="168"/>
      <c r="AL607" s="115"/>
      <c r="AM607" s="115"/>
      <c r="AN607" s="115"/>
      <c r="AO607" s="115"/>
      <c r="AP607" s="115"/>
      <c r="AQ607" s="168"/>
      <c r="AR607" s="79"/>
      <c r="AS607" s="115"/>
      <c r="AT607" s="115"/>
      <c r="AU607" s="115"/>
      <c r="AV607" s="113">
        <f>IFERROR(INDEX('Total Customers'!$F$7:$AB$91,MATCH($C607,'Total Customers'!$D$7:$D$91,0),MATCH($G607,'Total Customers'!$F$5:$AB$5,0)),"NA")</f>
        <v>437308</v>
      </c>
      <c r="AW607" s="68">
        <f t="shared" si="1074"/>
        <v>3.0725067876372563E-2</v>
      </c>
      <c r="AX607" s="114"/>
      <c r="AY607" s="114"/>
      <c r="AZ607" s="116"/>
      <c r="BA607" s="116"/>
      <c r="BB607" s="166"/>
      <c r="BC607" s="166"/>
      <c r="BD607" s="166"/>
      <c r="BE607" s="166"/>
      <c r="BF607" s="166"/>
      <c r="BG607" s="166"/>
      <c r="BH607" s="166"/>
      <c r="BI607" s="113"/>
      <c r="BJ607" s="113"/>
      <c r="BK607" s="113">
        <f>INDEX('Dist. Plant Gas Additions'!$F$7:$AE$91,MATCH($C607,'Dist. Plant Gas Additions'!$D$7:$D$91,0),MATCH(Calculation!$G607,'Dist. Plant Gas Additions'!$F$5:$AE$5,0))</f>
        <v>36913</v>
      </c>
      <c r="BL607" s="113">
        <f>INDEX('Gen. Plant Additions'!$F$7:$AE$91,MATCH($C607,'Gen. Plant Additions'!$D$7:$D$91,0),MATCH(Calculation!$G607,'Gen. Plant Additions'!$F$5:$AE$5,0))</f>
        <v>2418</v>
      </c>
      <c r="BM607" s="231">
        <f t="shared" si="1108"/>
        <v>0.93631706704019391</v>
      </c>
      <c r="BN607" s="61">
        <f t="shared" si="1118"/>
        <v>2264.0146681031888</v>
      </c>
      <c r="BO607" s="113">
        <f>INDEX('Dist Plant Depreciation'!$E$7:$AD$94,MATCH($C607,'Dist Plant Depreciation'!$D$7:$D$94,0),MATCH(Calculation!$G607,'Dist Plant Depreciation'!$E$5:$AD$5,0))</f>
        <v>239388</v>
      </c>
      <c r="BP607" s="113">
        <f>INDEX('Gen. Plant Depreciation'!$E$7:$AD$94,MATCH($C607,'Gen. Plant Depreciation'!$D$7:$D$94,0),MATCH(Calculation!$G607,'Gen. Plant Depreciation'!$E$5:$AD$5,0))</f>
        <v>40463</v>
      </c>
      <c r="BQ607" s="113"/>
      <c r="BR607" s="113"/>
      <c r="BS607" s="113"/>
      <c r="BT607" s="113"/>
      <c r="BU607" s="113"/>
      <c r="BV607" s="113"/>
      <c r="BW607" s="113">
        <f>INDEX('Gross Dx Plant'!$E$7:$AD$91,MATCH($C607,'Gross Dx Plant'!$D$7:$D$91,0),MATCH(Calculation!$G607,'Gross Dx Plant'!$E$5:$AD$5,0))</f>
        <v>793451</v>
      </c>
      <c r="BX607" s="113">
        <f>INDEX('Gross Gen Plant'!$E$7:$AD$91,MATCH($C607,'Gross Gen Plant'!$D$7:$D$91,0),MATCH(Calculation!$G607,'Gross Gen Plant'!$E$5:$AD$5,0))</f>
        <v>53966</v>
      </c>
      <c r="BY607" s="113">
        <f t="shared" si="1075"/>
        <v>567566</v>
      </c>
      <c r="BZ607" s="113"/>
      <c r="CA607" s="116">
        <v>2002</v>
      </c>
      <c r="CB607" s="113"/>
      <c r="CC607" s="113"/>
      <c r="CD607" s="113"/>
      <c r="CE607" s="175"/>
      <c r="CF607" s="113">
        <f t="shared" si="1109"/>
        <v>39331</v>
      </c>
      <c r="CG607" s="113">
        <f t="shared" si="1110"/>
        <v>108.84516300253759</v>
      </c>
      <c r="CH607" s="178">
        <v>0.97916666666666663</v>
      </c>
      <c r="CI607" s="61">
        <f>+CI603*CH607+CG604*CH606+CG605*CH605+CG606*CH604+CG607</f>
        <v>3011.5989589514925</v>
      </c>
      <c r="CJ607" s="114">
        <f t="shared" si="1111"/>
        <v>3.1078205218563325E-2</v>
      </c>
      <c r="CK607" s="114"/>
      <c r="CL607" s="169">
        <f t="shared" si="1112"/>
        <v>5.7166741395281414E-3</v>
      </c>
      <c r="CM607" s="169">
        <f t="shared" ref="CM607:CM627" si="1121">+(CL607+CL606+CL605)/3</f>
        <v>5.3110760622402456E-3</v>
      </c>
      <c r="CN607" s="114">
        <f>VLOOKUP($H607,RoR!$E:$F,2,FALSE)</f>
        <v>6.4916666666666664E-2</v>
      </c>
      <c r="CO607" s="169">
        <v>1.5246423291824351E-2</v>
      </c>
      <c r="CP607" s="169">
        <f t="shared" si="1119"/>
        <v>4.9670243374842313E-2</v>
      </c>
      <c r="CQ607" s="169">
        <f t="shared" ref="CQ607:CQ627" si="1122">+$CP$2-CM607</f>
        <v>2.5590865546293379E-2</v>
      </c>
      <c r="CR607" s="169">
        <v>2.5243621214759093E-2</v>
      </c>
      <c r="CS607" s="179">
        <f t="shared" si="1113"/>
        <v>0.84885500000000003</v>
      </c>
      <c r="CT607" s="180">
        <f t="shared" si="1114"/>
        <v>0.78996741384417901</v>
      </c>
      <c r="CU607" s="180">
        <f t="shared" si="1115"/>
        <v>0.58989088575096271</v>
      </c>
      <c r="CV607" s="180">
        <f t="shared" si="1116"/>
        <v>0.91920675783645744</v>
      </c>
      <c r="CW607" s="180">
        <f t="shared" si="1117"/>
        <v>0.42834536472275586</v>
      </c>
      <c r="CX607" s="181">
        <f>INDEX('State Tax Lookup'!$D$7:$Z$91,MATCH(Calculation!$C607,'State Tax Lookup'!$B$7:$B$91,0),MATCH($H607,'State Tax Lookup'!$D$6:$Z$6,0))</f>
        <v>0.40849999999999997</v>
      </c>
      <c r="CY607" s="72">
        <v>0.37</v>
      </c>
      <c r="CZ607" s="70">
        <f t="shared" si="1120"/>
        <v>13.23620397802104</v>
      </c>
      <c r="DA607" s="70"/>
      <c r="DB607" s="69">
        <f>LN(CZ607/CZ606)</f>
        <v>9.9015949618660379E-3</v>
      </c>
      <c r="DC607" s="111">
        <f>VLOOKUP($H607,RoR!$E:$F,2,FALSE)</f>
        <v>6.4916666666666664E-2</v>
      </c>
      <c r="DD607" s="216">
        <f>HLOOKUP($H607,'GDP-PI'!$D$8:$CQ$11,3,FALSE)</f>
        <v>1.5246423291824351E-2</v>
      </c>
      <c r="DE607" s="111">
        <f>VLOOKUP(H607,'HW Dx Data'!$E:$F,2,FALSE)</f>
        <v>361.34816573413599</v>
      </c>
      <c r="DF607" s="66"/>
      <c r="DG607" s="69"/>
      <c r="DH607" s="66">
        <f>HLOOKUP(H607,'GDP-PI'!$8:$9,2,FALSE)</f>
        <v>81.039000000000001</v>
      </c>
      <c r="DI607" s="69">
        <f>LN(DH607/DH606)</f>
        <v>1.513136459537477E-2</v>
      </c>
      <c r="EB607"/>
    </row>
    <row r="608" spans="1:132" s="160" customFormat="1" ht="21">
      <c r="A608" s="160" t="s">
        <v>195</v>
      </c>
      <c r="B608" s="161" t="s">
        <v>195</v>
      </c>
      <c r="C608" s="161">
        <v>4061755</v>
      </c>
      <c r="D608" s="161" t="s">
        <v>196</v>
      </c>
      <c r="E608" s="161" t="s">
        <v>3</v>
      </c>
      <c r="F608" s="161"/>
      <c r="G608" s="161" t="s">
        <v>114</v>
      </c>
      <c r="H608" s="162">
        <v>2003</v>
      </c>
      <c r="I608" s="163"/>
      <c r="J608" s="159"/>
      <c r="K608" s="159"/>
      <c r="L608" s="159"/>
      <c r="M608" s="76"/>
      <c r="N608" s="152"/>
      <c r="O608" s="76"/>
      <c r="P608" s="76"/>
      <c r="Q608" s="159"/>
      <c r="R608" s="159"/>
      <c r="S608" s="159"/>
      <c r="T608" s="159"/>
      <c r="U608" s="159"/>
      <c r="V608" s="159"/>
      <c r="W608" s="159">
        <f t="shared" si="1107"/>
        <v>40450.550225208739</v>
      </c>
      <c r="X608" s="163"/>
      <c r="Y608" s="167">
        <v>3095.2142745181764</v>
      </c>
      <c r="Z608" s="168">
        <v>2.7385982903474691E-2</v>
      </c>
      <c r="AA608" s="78"/>
      <c r="AB608" s="168"/>
      <c r="AC608" s="168"/>
      <c r="AD608" s="163">
        <f t="shared" si="1056"/>
        <v>40450.550225208739</v>
      </c>
      <c r="AE608" s="168"/>
      <c r="AF608" s="163"/>
      <c r="AG608" s="163"/>
      <c r="AH608" s="163"/>
      <c r="AI608" s="163"/>
      <c r="AJ608" s="167"/>
      <c r="AK608" s="168"/>
      <c r="AL608" s="115"/>
      <c r="AM608" s="115"/>
      <c r="AN608" s="115"/>
      <c r="AO608" s="115"/>
      <c r="AP608" s="115"/>
      <c r="AQ608" s="168"/>
      <c r="AR608" s="79"/>
      <c r="AS608" s="115"/>
      <c r="AT608" s="115"/>
      <c r="AU608" s="115"/>
      <c r="AV608" s="113">
        <f>IFERROR(INDEX('Total Customers'!$F$7:$AB$91,MATCH($C608,'Total Customers'!$D$7:$D$91,0),MATCH($G608,'Total Customers'!$F$5:$AB$5,0)),"NA")</f>
        <v>446837</v>
      </c>
      <c r="AW608" s="68">
        <f t="shared" si="1074"/>
        <v>2.1556122538726644E-2</v>
      </c>
      <c r="AX608" s="114"/>
      <c r="AY608" s="114"/>
      <c r="AZ608" s="116"/>
      <c r="BA608" s="116"/>
      <c r="BB608" s="166"/>
      <c r="BC608" s="166"/>
      <c r="BD608" s="166"/>
      <c r="BE608" s="166"/>
      <c r="BF608" s="166"/>
      <c r="BG608" s="166"/>
      <c r="BH608" s="166"/>
      <c r="BI608" s="113"/>
      <c r="BJ608" s="113"/>
      <c r="BK608" s="113">
        <f>INDEX('Dist. Plant Gas Additions'!$F$7:$AE$91,MATCH($C608,'Dist. Plant Gas Additions'!$D$7:$D$91,0),MATCH(Calculation!$G608,'Dist. Plant Gas Additions'!$F$5:$AE$5,0))</f>
        <v>33977</v>
      </c>
      <c r="BL608" s="113">
        <f>INDEX('Gen. Plant Additions'!$F$7:$AE$91,MATCH($C608,'Gen. Plant Additions'!$D$7:$D$91,0),MATCH(Calculation!$G608,'Gen. Plant Additions'!$F$5:$AE$5,0))</f>
        <v>3197</v>
      </c>
      <c r="BM608" s="231">
        <f t="shared" si="1108"/>
        <v>0.93630423070395552</v>
      </c>
      <c r="BN608" s="61">
        <f t="shared" si="1118"/>
        <v>2993.3646255605458</v>
      </c>
      <c r="BO608" s="113">
        <f>INDEX('Dist Plant Depreciation'!$E$7:$AD$94,MATCH($C608,'Dist Plant Depreciation'!$D$7:$D$94,0),MATCH(Calculation!$G608,'Dist Plant Depreciation'!$E$5:$AD$5,0))</f>
        <v>184568</v>
      </c>
      <c r="BP608" s="113">
        <f>INDEX('Gen. Plant Depreciation'!$E$7:$AD$94,MATCH($C608,'Gen. Plant Depreciation'!$D$7:$D$94,0),MATCH(Calculation!$G608,'Gen. Plant Depreciation'!$E$5:$AD$5,0))</f>
        <v>44428</v>
      </c>
      <c r="BQ608" s="113"/>
      <c r="BR608" s="113"/>
      <c r="BS608" s="113"/>
      <c r="BT608" s="113"/>
      <c r="BU608" s="113"/>
      <c r="BV608" s="113"/>
      <c r="BW608" s="113">
        <f>INDEX('Gross Dx Plant'!$E$7:$AD$91,MATCH($C608,'Gross Dx Plant'!$D$7:$D$91,0),MATCH(Calculation!$G608,'Gross Dx Plant'!$E$5:$AD$5,0))</f>
        <v>822018</v>
      </c>
      <c r="BX608" s="113">
        <f>INDEX('Gross Gen Plant'!$E$7:$AD$91,MATCH($C608,'Gross Gen Plant'!$D$7:$D$91,0),MATCH(Calculation!$G608,'Gross Gen Plant'!$E$5:$AD$5,0))</f>
        <v>55921</v>
      </c>
      <c r="BY608" s="113">
        <f t="shared" si="1075"/>
        <v>648943</v>
      </c>
      <c r="BZ608" s="113"/>
      <c r="CA608" s="116">
        <v>2003</v>
      </c>
      <c r="CB608" s="113"/>
      <c r="CC608" s="113"/>
      <c r="CD608" s="113"/>
      <c r="CE608" s="175"/>
      <c r="CF608" s="113">
        <f t="shared" si="1109"/>
        <v>37174</v>
      </c>
      <c r="CG608" s="113">
        <f t="shared" si="1110"/>
        <v>100.67897207725545</v>
      </c>
      <c r="CH608" s="178">
        <v>0.97354497354497349</v>
      </c>
      <c r="CI608" s="61">
        <f>+CI603*CH608+CG604*CH607+CG605*CH606+CG606*CH605+CG607*CH604+CG608</f>
        <v>3095.2142745181764</v>
      </c>
      <c r="CJ608" s="114">
        <f t="shared" si="1111"/>
        <v>2.7385982903474691E-2</v>
      </c>
      <c r="CK608" s="114"/>
      <c r="CL608" s="169">
        <f t="shared" si="1112"/>
        <v>5.6659790175091563E-3</v>
      </c>
      <c r="CM608" s="169">
        <f t="shared" si="1121"/>
        <v>5.4853221677646155E-3</v>
      </c>
      <c r="CN608" s="114">
        <f>VLOOKUP($H608,RoR!$E:$F,2,FALSE)</f>
        <v>5.6666666666666671E-2</v>
      </c>
      <c r="CO608" s="169">
        <v>1.8855119140166909E-2</v>
      </c>
      <c r="CP608" s="169">
        <f t="shared" si="1119"/>
        <v>3.7811547526499761E-2</v>
      </c>
      <c r="CQ608" s="169">
        <f t="shared" si="1122"/>
        <v>2.541661944076901E-2</v>
      </c>
      <c r="CR608" s="169">
        <v>2.1375012817671957E-2</v>
      </c>
      <c r="CS608" s="179">
        <f t="shared" si="1113"/>
        <v>0.84885500000000003</v>
      </c>
      <c r="CT608" s="180">
        <f t="shared" si="1114"/>
        <v>0.90497737556561086</v>
      </c>
      <c r="CU608" s="180">
        <f t="shared" si="1115"/>
        <v>0.5338235294117647</v>
      </c>
      <c r="CV608" s="180">
        <f t="shared" si="1116"/>
        <v>0.88972433127405692</v>
      </c>
      <c r="CW608" s="180">
        <f t="shared" si="1117"/>
        <v>0.42982423775949252</v>
      </c>
      <c r="CX608" s="181">
        <f>INDEX('State Tax Lookup'!$D$7:$Z$91,MATCH(Calculation!$C608,'State Tax Lookup'!$B$7:$B$91,0),MATCH($H608,'State Tax Lookup'!$D$6:$Z$6,0))</f>
        <v>0.40849999999999997</v>
      </c>
      <c r="CY608" s="72">
        <v>0.37</v>
      </c>
      <c r="CZ608" s="70">
        <f t="shared" si="1120"/>
        <v>13.431585937090329</v>
      </c>
      <c r="DA608" s="70"/>
      <c r="DB608" s="69">
        <f t="shared" ref="DB608:DB627" si="1123">LN(CZ608/CZ607)</f>
        <v>1.465329190730664E-2</v>
      </c>
      <c r="DC608" s="111">
        <f>VLOOKUP($H608,RoR!$E:$F,2,FALSE)</f>
        <v>5.6666666666666671E-2</v>
      </c>
      <c r="DD608" s="216">
        <f>HLOOKUP($H608,'GDP-PI'!$D$8:$CQ$11,3,FALSE)</f>
        <v>1.8855119140166909E-2</v>
      </c>
      <c r="DE608" s="111">
        <f>VLOOKUP(H608,'HW Dx Data'!$E:$F,2,FALSE)</f>
        <v>369.23301095560191</v>
      </c>
      <c r="DF608" s="66"/>
      <c r="DG608" s="69"/>
      <c r="DH608" s="66">
        <f>HLOOKUP(H608,'GDP-PI'!$8:$9,2,FALSE)</f>
        <v>82.566999999999993</v>
      </c>
      <c r="DI608" s="69">
        <f t="shared" ref="DI608:DI627" si="1124">LN(DH608/DH607)</f>
        <v>1.8679564681853753E-2</v>
      </c>
      <c r="EB608"/>
    </row>
    <row r="609" spans="1:132" s="160" customFormat="1" ht="21">
      <c r="A609" s="160" t="s">
        <v>195</v>
      </c>
      <c r="B609" s="161" t="s">
        <v>195</v>
      </c>
      <c r="C609" s="161">
        <v>4061755</v>
      </c>
      <c r="D609" s="161" t="s">
        <v>196</v>
      </c>
      <c r="E609" s="161" t="s">
        <v>3</v>
      </c>
      <c r="F609" s="161"/>
      <c r="G609" s="161" t="s">
        <v>115</v>
      </c>
      <c r="H609" s="162">
        <v>2004</v>
      </c>
      <c r="I609" s="163"/>
      <c r="J609" s="159">
        <f>IFERROR(INDEX('Labor Expenditures'!$F$7:$X$91,MATCH($C609,'Labor Expenditures'!$D$7:$D$91,0),MATCH($G609,'Labor Expenditures'!$F$5:$X$5,0)),"NA")</f>
        <v>29959.626555087398</v>
      </c>
      <c r="K609" s="159">
        <f t="shared" ref="K609:K627" si="1125">+J609/DF609</f>
        <v>317.53711240156224</v>
      </c>
      <c r="L609" s="165"/>
      <c r="M609" s="76"/>
      <c r="N609" s="152"/>
      <c r="O609" s="76"/>
      <c r="P609" s="76"/>
      <c r="Q609" s="159">
        <f>IFERROR(INDEX('Non-Labor Expenditures'!$F$7:$AB$91,MATCH($C609,'Non-Labor Expenditures'!$D$7:$D$91,0),MATCH($G609,'Non-Labor Expenditures'!$F$5:$AB$5,0)),"NA")</f>
        <v>43387.134938140895</v>
      </c>
      <c r="R609" s="159">
        <f t="shared" ref="R609:R627" si="1126">+Q609/DH609</f>
        <v>511.77351362547938</v>
      </c>
      <c r="S609" s="159"/>
      <c r="T609" s="159"/>
      <c r="U609" s="159"/>
      <c r="V609" s="159"/>
      <c r="W609" s="159">
        <f t="shared" si="1107"/>
        <v>46266.984776255435</v>
      </c>
      <c r="X609" s="163"/>
      <c r="Y609" s="167">
        <v>3188.5855619364879</v>
      </c>
      <c r="Z609" s="168">
        <v>2.9720284737232986E-2</v>
      </c>
      <c r="AA609" s="76">
        <f t="shared" ref="AA609:AA627" si="1127">+Z609*$AR609</f>
        <v>0</v>
      </c>
      <c r="AB609" s="168"/>
      <c r="AC609" s="168"/>
      <c r="AD609" s="163">
        <f t="shared" si="1056"/>
        <v>119613.74626948373</v>
      </c>
      <c r="AE609" s="168"/>
      <c r="AF609" s="163"/>
      <c r="AG609" s="163"/>
      <c r="AH609" s="163"/>
      <c r="AI609" s="163"/>
      <c r="AJ609" s="167"/>
      <c r="AK609" s="168"/>
      <c r="AL609" s="115">
        <f t="shared" ref="AL609:AL627" si="1128">+J609/AD609</f>
        <v>0.25046976195854509</v>
      </c>
      <c r="AM609" s="115">
        <f t="shared" ref="AM609:AM627" si="1129">+Q609/AD609</f>
        <v>0.36272699661451846</v>
      </c>
      <c r="AN609" s="115">
        <f t="shared" ref="AN609:AN627" si="1130">+W609/AD609</f>
        <v>0.38680324142693645</v>
      </c>
      <c r="AO609" s="115"/>
      <c r="AP609" s="115"/>
      <c r="AQ609" s="168"/>
      <c r="AR609" s="79"/>
      <c r="AS609" s="115"/>
      <c r="AT609" s="115"/>
      <c r="AU609" s="115"/>
      <c r="AV609" s="113">
        <f>IFERROR(INDEX('Total Customers'!$F$7:$AB$91,MATCH($C609,'Total Customers'!$D$7:$D$91,0),MATCH($G609,'Total Customers'!$F$5:$AB$5,0)),"NA")</f>
        <v>453983</v>
      </c>
      <c r="AW609" s="68">
        <f t="shared" si="1074"/>
        <v>1.5865877538788768E-2</v>
      </c>
      <c r="AX609" s="114"/>
      <c r="AY609" s="114"/>
      <c r="AZ609" s="116"/>
      <c r="BA609" s="116"/>
      <c r="BB609" s="166"/>
      <c r="BC609" s="166"/>
      <c r="BD609" s="166"/>
      <c r="BE609" s="166"/>
      <c r="BF609" s="166"/>
      <c r="BG609" s="166"/>
      <c r="BH609" s="166"/>
      <c r="BI609" s="113"/>
      <c r="BJ609" s="113"/>
      <c r="BK609" s="113">
        <f>INDEX('Dist. Plant Gas Additions'!$F$7:$AE$91,MATCH($C609,'Dist. Plant Gas Additions'!$D$7:$D$91,0),MATCH(Calculation!$G609,'Dist. Plant Gas Additions'!$F$5:$AE$5,0))</f>
        <v>45942</v>
      </c>
      <c r="BL609" s="113">
        <f>INDEX('Gen. Plant Additions'!$F$7:$AE$91,MATCH($C609,'Gen. Plant Additions'!$D$7:$D$91,0),MATCH(Calculation!$G609,'Gen. Plant Additions'!$F$5:$AE$5,0))</f>
        <v>311</v>
      </c>
      <c r="BM609" s="231">
        <f t="shared" si="1108"/>
        <v>0.94287519532725739</v>
      </c>
      <c r="BN609" s="61">
        <f t="shared" si="1118"/>
        <v>293.23418574677703</v>
      </c>
      <c r="BO609" s="113">
        <f>INDEX('Dist Plant Depreciation'!$E$7:$AD$94,MATCH($C609,'Dist Plant Depreciation'!$D$7:$D$94,0),MATCH(Calculation!$G609,'Dist Plant Depreciation'!$E$5:$AD$5,0))</f>
        <v>276407</v>
      </c>
      <c r="BP609" s="113">
        <f>INDEX('Gen. Plant Depreciation'!$E$7:$AD$94,MATCH($C609,'Gen. Plant Depreciation'!$D$7:$D$94,0),MATCH(Calculation!$G609,'Gen. Plant Depreciation'!$E$5:$AD$5,0))</f>
        <v>43384</v>
      </c>
      <c r="BQ609" s="113"/>
      <c r="BR609" s="113"/>
      <c r="BS609" s="113"/>
      <c r="BT609" s="113"/>
      <c r="BU609" s="113"/>
      <c r="BV609" s="113"/>
      <c r="BW609" s="113">
        <f>INDEX('Gross Dx Plant'!$E$7:$AD$91,MATCH($C609,'Gross Dx Plant'!$D$7:$D$91,0),MATCH(Calculation!$G609,'Gross Dx Plant'!$E$5:$AD$5,0))</f>
        <v>861044</v>
      </c>
      <c r="BX609" s="113">
        <f>INDEX('Gross Gen Plant'!$E$7:$AD$91,MATCH($C609,'Gross Gen Plant'!$D$7:$D$91,0),MATCH(Calculation!$G609,'Gross Gen Plant'!$E$5:$AD$5,0))</f>
        <v>52167</v>
      </c>
      <c r="BY609" s="113">
        <f t="shared" si="1075"/>
        <v>593420</v>
      </c>
      <c r="BZ609" s="113"/>
      <c r="CA609" s="116">
        <v>2004</v>
      </c>
      <c r="CB609" s="113"/>
      <c r="CC609" s="113"/>
      <c r="CD609" s="113"/>
      <c r="CE609" s="175"/>
      <c r="CF609" s="113">
        <f t="shared" si="1109"/>
        <v>46253</v>
      </c>
      <c r="CG609" s="113">
        <f t="shared" si="1110"/>
        <v>111.4833163425531</v>
      </c>
      <c r="CH609" s="178">
        <v>0.967741935483871</v>
      </c>
      <c r="CI609" s="61">
        <f>+CI603*CH609+CG604*CH608+CG605*CH607+CG606*CH606+CG607*CH605+CG608*CH604+CG609</f>
        <v>3188.5855619364879</v>
      </c>
      <c r="CJ609" s="114">
        <f t="shared" si="1111"/>
        <v>2.9720284737232986E-2</v>
      </c>
      <c r="CK609" s="114"/>
      <c r="CL609" s="169">
        <f t="shared" si="1112"/>
        <v>5.851623609180007E-3</v>
      </c>
      <c r="CM609" s="169">
        <f t="shared" si="1121"/>
        <v>5.7447589220724349E-3</v>
      </c>
      <c r="CN609" s="114">
        <f>VLOOKUP($H609,RoR!$E:$F,2,FALSE)</f>
        <v>5.6283333333333331E-2</v>
      </c>
      <c r="CO609" s="169">
        <v>2.6778252812867276E-2</v>
      </c>
      <c r="CP609" s="169">
        <f t="shared" si="1119"/>
        <v>2.9505080520466055E-2</v>
      </c>
      <c r="CQ609" s="169">
        <f t="shared" si="1122"/>
        <v>2.515718268646119E-2</v>
      </c>
      <c r="CR609" s="169">
        <v>5.5940039414565046E-2</v>
      </c>
      <c r="CS609" s="179">
        <f t="shared" si="1113"/>
        <v>0.84885500000000003</v>
      </c>
      <c r="CT609" s="180">
        <f t="shared" si="1114"/>
        <v>0.91114097628755619</v>
      </c>
      <c r="CU609" s="180">
        <f t="shared" si="1115"/>
        <v>0.53081877405981637</v>
      </c>
      <c r="CV609" s="180">
        <f t="shared" si="1116"/>
        <v>0.88811215519385678</v>
      </c>
      <c r="CW609" s="180">
        <f t="shared" si="1117"/>
        <v>0.42953609753547711</v>
      </c>
      <c r="CX609" s="181">
        <f>INDEX('State Tax Lookup'!$D$7:$Z$91,MATCH(Calculation!$C609,'State Tax Lookup'!$B$7:$B$91,0),MATCH($H609,'State Tax Lookup'!$D$6:$Z$6,0))</f>
        <v>0.40849999999999997</v>
      </c>
      <c r="CY609" s="72">
        <v>0.37</v>
      </c>
      <c r="CZ609" s="70">
        <f t="shared" si="1120"/>
        <v>14.947910119553093</v>
      </c>
      <c r="DA609" s="70"/>
      <c r="DB609" s="69">
        <f t="shared" si="1123"/>
        <v>0.1069624060320198</v>
      </c>
      <c r="DC609" s="111">
        <f>VLOOKUP($H609,RoR!$E:$F,2,FALSE)</f>
        <v>5.6283333333333331E-2</v>
      </c>
      <c r="DD609" s="216">
        <f>HLOOKUP($H609,'GDP-PI'!$D$8:$CQ$11,3,FALSE)</f>
        <v>2.6778252812867276E-2</v>
      </c>
      <c r="DE609" s="111">
        <f>VLOOKUP(H609,'HW Dx Data'!$E:$F,2,FALSE)</f>
        <v>414.88719135228365</v>
      </c>
      <c r="DF609" s="72">
        <f>VLOOKUP(G609,EG$8:EH$27,2,FALSE)</f>
        <v>94.35</v>
      </c>
      <c r="DG609" s="69"/>
      <c r="DH609" s="66">
        <f>HLOOKUP(H609,'GDP-PI'!$8:$9,2,FALSE)</f>
        <v>84.778000000000006</v>
      </c>
      <c r="DI609" s="69">
        <f t="shared" si="1124"/>
        <v>2.6425990216022755E-2</v>
      </c>
      <c r="EB609"/>
    </row>
    <row r="610" spans="1:132" s="160" customFormat="1" ht="21">
      <c r="A610" s="160" t="s">
        <v>195</v>
      </c>
      <c r="B610" s="161" t="s">
        <v>195</v>
      </c>
      <c r="C610" s="161">
        <v>4061755</v>
      </c>
      <c r="D610" s="161" t="s">
        <v>196</v>
      </c>
      <c r="E610" s="161" t="s">
        <v>3</v>
      </c>
      <c r="F610" s="161"/>
      <c r="G610" s="161" t="s">
        <v>116</v>
      </c>
      <c r="H610" s="162">
        <v>2005</v>
      </c>
      <c r="I610" s="163"/>
      <c r="J610" s="159">
        <f>IFERROR(INDEX('Labor Expenditures'!$F$7:$X$91,MATCH($C610,'Labor Expenditures'!$D$7:$D$91,0),MATCH($G610,'Labor Expenditures'!$F$5:$X$5,0)),"NA")</f>
        <v>30125.502698628941</v>
      </c>
      <c r="K610" s="159">
        <f t="shared" si="1125"/>
        <v>303.60798890026649</v>
      </c>
      <c r="L610" s="165">
        <f t="shared" ref="L610:L626" si="1131">LN(K610/K609)</f>
        <v>-4.4857341879429538E-2</v>
      </c>
      <c r="M610" s="76"/>
      <c r="N610" s="62">
        <v>100</v>
      </c>
      <c r="O610" s="77"/>
      <c r="P610" s="77"/>
      <c r="Q610" s="159">
        <f>IFERROR(INDEX('Non-Labor Expenditures'!$F$7:$AB$91,MATCH($C610,'Non-Labor Expenditures'!$D$7:$D$91,0),MATCH($G610,'Non-Labor Expenditures'!$F$5:$AB$5,0)),"NA")</f>
        <v>43627.354575379097</v>
      </c>
      <c r="R610" s="159">
        <f t="shared" si="1126"/>
        <v>499.12884065783174</v>
      </c>
      <c r="S610" s="165">
        <f>LN(R610/R609)</f>
        <v>-2.501791083559347E-2</v>
      </c>
      <c r="T610" s="165"/>
      <c r="U610" s="165"/>
      <c r="V610" s="165"/>
      <c r="W610" s="159">
        <f t="shared" si="1107"/>
        <v>53526.696846972773</v>
      </c>
      <c r="X610" s="163"/>
      <c r="Y610" s="167">
        <v>3261.4490667072032</v>
      </c>
      <c r="Z610" s="168">
        <v>2.2594174653208305E-2</v>
      </c>
      <c r="AA610" s="76">
        <f t="shared" si="1127"/>
        <v>0</v>
      </c>
      <c r="AB610" s="168"/>
      <c r="AC610" s="168"/>
      <c r="AD610" s="163">
        <f t="shared" si="1056"/>
        <v>127279.55412098081</v>
      </c>
      <c r="AE610" s="168">
        <f>LN(AD610/AD609)</f>
        <v>6.2118110612878995E-2</v>
      </c>
      <c r="AF610" s="163"/>
      <c r="AG610" s="163"/>
      <c r="AH610" s="163"/>
      <c r="AI610" s="163"/>
      <c r="AJ610" s="116"/>
      <c r="AK610" s="114"/>
      <c r="AL610" s="115">
        <f t="shared" si="1128"/>
        <v>0.23668768253221781</v>
      </c>
      <c r="AM610" s="115">
        <f t="shared" si="1129"/>
        <v>0.34276797146783489</v>
      </c>
      <c r="AN610" s="115">
        <f t="shared" si="1130"/>
        <v>0.42054434599994728</v>
      </c>
      <c r="AO610" s="115">
        <f t="shared" ref="AO610:AO626" si="1132">+(((AL610+AL609)/2)*L610+((AM609+AM610)/2)*S610+((AN609+AN610)/2)*Z610)</f>
        <v>-1.0630622923453086E-2</v>
      </c>
      <c r="AP610" s="166">
        <v>100</v>
      </c>
      <c r="AQ610" s="168"/>
      <c r="AR610" s="16"/>
      <c r="AS610" s="115"/>
      <c r="AT610" s="115"/>
      <c r="AU610" s="115"/>
      <c r="AV610" s="113">
        <f>IFERROR(INDEX('Total Customers'!$F$7:$AB$91,MATCH($C610,'Total Customers'!$D$7:$D$91,0),MATCH($G610,'Total Customers'!$F$5:$AB$5,0)),"NA")</f>
        <v>465738</v>
      </c>
      <c r="AW610" s="68">
        <f t="shared" si="1074"/>
        <v>2.5563491848098831E-2</v>
      </c>
      <c r="AX610" s="114"/>
      <c r="AY610" s="114"/>
      <c r="AZ610" s="116"/>
      <c r="BA610" s="116"/>
      <c r="BB610" s="166"/>
      <c r="BC610" s="166"/>
      <c r="BD610" s="166"/>
      <c r="BE610" s="166"/>
      <c r="BF610" s="166"/>
      <c r="BG610" s="166"/>
      <c r="BH610" s="166"/>
      <c r="BI610" s="113"/>
      <c r="BJ610" s="113"/>
      <c r="BK610" s="113">
        <f>INDEX('Dist. Plant Gas Additions'!$F$7:$AE$91,MATCH($C610,'Dist. Plant Gas Additions'!$D$7:$D$91,0),MATCH(Calculation!$G610,'Dist. Plant Gas Additions'!$F$5:$AE$5,0))</f>
        <v>42588</v>
      </c>
      <c r="BL610" s="113">
        <f>INDEX('Gen. Plant Additions'!$F$7:$AE$91,MATCH($C610,'Gen. Plant Additions'!$D$7:$D$91,0),MATCH(Calculation!$G610,'Gen. Plant Additions'!$F$5:$AE$5,0))</f>
        <v>635</v>
      </c>
      <c r="BM610" s="231">
        <f t="shared" si="1108"/>
        <v>0.94752452850930513</v>
      </c>
      <c r="BN610" s="61">
        <f t="shared" si="1118"/>
        <v>601.67807560340873</v>
      </c>
      <c r="BO610" s="113">
        <f>INDEX('Dist Plant Depreciation'!$E$7:$AD$94,MATCH($C610,'Dist Plant Depreciation'!$D$7:$D$94,0),MATCH(Calculation!$G610,'Dist Plant Depreciation'!$E$5:$AD$5,0))</f>
        <v>294231</v>
      </c>
      <c r="BP610" s="113">
        <f>INDEX('Gen. Plant Depreciation'!$E$7:$AD$94,MATCH($C610,'Gen. Plant Depreciation'!$D$7:$D$94,0),MATCH(Calculation!$G610,'Gen. Plant Depreciation'!$E$5:$AD$5,0))</f>
        <v>43574</v>
      </c>
      <c r="BQ610" s="113"/>
      <c r="BR610" s="113"/>
      <c r="BS610" s="113"/>
      <c r="BT610" s="113"/>
      <c r="BU610" s="113"/>
      <c r="BV610" s="113"/>
      <c r="BW610" s="113">
        <f>INDEX('Gross Dx Plant'!$E$7:$AD$91,MATCH($C610,'Gross Dx Plant'!$D$7:$D$91,0),MATCH(Calculation!$G610,'Gross Dx Plant'!$E$5:$AD$5,0))</f>
        <v>896398</v>
      </c>
      <c r="BX610" s="113">
        <f>INDEX('Gross Gen Plant'!$E$7:$AD$91,MATCH($C610,'Gross Gen Plant'!$D$7:$D$91,0),MATCH(Calculation!$G610,'Gross Gen Plant'!$E$5:$AD$5,0))</f>
        <v>49644</v>
      </c>
      <c r="BY610" s="113">
        <f t="shared" si="1075"/>
        <v>608237</v>
      </c>
      <c r="BZ610" s="113"/>
      <c r="CA610" s="116">
        <v>2005</v>
      </c>
      <c r="CB610" s="113"/>
      <c r="CC610" s="113"/>
      <c r="CD610" s="113"/>
      <c r="CE610" s="175"/>
      <c r="CF610" s="113">
        <f t="shared" si="1109"/>
        <v>43223</v>
      </c>
      <c r="CG610" s="113">
        <f t="shared" si="1110"/>
        <v>92.119621638878144</v>
      </c>
      <c r="CH610" s="178">
        <v>0.96174863387978138</v>
      </c>
      <c r="CI610" s="61">
        <f>+CI603*CH610+CG604*CH609+CG605*CH608+CG606*CH607+CG607*CH606+CG608*CH605+CG609*CH604+CG610</f>
        <v>3261.4490667072032</v>
      </c>
      <c r="CJ610" s="114">
        <f t="shared" si="1111"/>
        <v>2.2594174653208305E-2</v>
      </c>
      <c r="CK610" s="114"/>
      <c r="CL610" s="169">
        <f t="shared" si="1112"/>
        <v>6.039077984304822E-3</v>
      </c>
      <c r="CM610" s="169">
        <f t="shared" si="1121"/>
        <v>5.852226870331329E-3</v>
      </c>
      <c r="CN610" s="114">
        <f>VLOOKUP($H610,RoR!$E:$F,2,FALSE)</f>
        <v>5.2350000000000001E-2</v>
      </c>
      <c r="CO610" s="169">
        <v>3.1010403642454332E-2</v>
      </c>
      <c r="CP610" s="169">
        <f t="shared" si="1119"/>
        <v>2.1339596357545669E-2</v>
      </c>
      <c r="CQ610" s="169">
        <f t="shared" si="1122"/>
        <v>2.5049714738202295E-2</v>
      </c>
      <c r="CR610" s="169">
        <v>9.2129610649277341E-2</v>
      </c>
      <c r="CS610" s="179">
        <f t="shared" si="1113"/>
        <v>0.84885500000000003</v>
      </c>
      <c r="CT610" s="180">
        <f t="shared" si="1114"/>
        <v>0.97959983346802826</v>
      </c>
      <c r="CU610" s="180">
        <f t="shared" si="1115"/>
        <v>0.49744508118433622</v>
      </c>
      <c r="CV610" s="180">
        <f t="shared" si="1116"/>
        <v>0.87010519444335932</v>
      </c>
      <c r="CW610" s="180">
        <f t="shared" si="1117"/>
        <v>0.42399975420741998</v>
      </c>
      <c r="CX610" s="181">
        <f>INDEX('State Tax Lookup'!$D$7:$Z$91,MATCH(Calculation!$C610,'State Tax Lookup'!$B$7:$B$91,0),MATCH($H610,'State Tax Lookup'!$D$6:$Z$6,0))</f>
        <v>0.40849999999999997</v>
      </c>
      <c r="CY610" s="72">
        <v>0.37</v>
      </c>
      <c r="CZ610" s="70">
        <f t="shared" si="1120"/>
        <v>16.786972093816107</v>
      </c>
      <c r="DA610" s="70"/>
      <c r="DB610" s="69">
        <f t="shared" si="1123"/>
        <v>0.11603161623942895</v>
      </c>
      <c r="DC610" s="111">
        <f>VLOOKUP($H610,RoR!$E:$F,2,FALSE)</f>
        <v>5.2350000000000001E-2</v>
      </c>
      <c r="DD610" s="216">
        <f>HLOOKUP($H610,'GDP-PI'!$D$8:$CQ$11,3,FALSE)</f>
        <v>3.1010403642454332E-2</v>
      </c>
      <c r="DE610" s="111">
        <f>VLOOKUP(H610,'HW Dx Data'!$E:$F,2,FALSE)</f>
        <v>469.20514034936258</v>
      </c>
      <c r="DF610" s="72">
        <f t="shared" ref="DF610:DF628" si="1133">VLOOKUP(G610,EG$8:EH$27,2,FALSE)</f>
        <v>99.224999999999994</v>
      </c>
      <c r="DG610" s="69">
        <f t="shared" ref="DG610:DG628" si="1134">LN(DF610/DF609)</f>
        <v>5.0378726854569796E-2</v>
      </c>
      <c r="DH610" s="66">
        <f>HLOOKUP(H610,'GDP-PI'!$8:$9,2,FALSE)</f>
        <v>87.406999999999996</v>
      </c>
      <c r="DI610" s="69">
        <f t="shared" si="1124"/>
        <v>3.0539295810733648E-2</v>
      </c>
      <c r="EB610"/>
    </row>
    <row r="611" spans="1:132" s="160" customFormat="1" ht="21">
      <c r="A611" s="160" t="s">
        <v>195</v>
      </c>
      <c r="B611" s="161" t="s">
        <v>195</v>
      </c>
      <c r="C611" s="161">
        <v>4061755</v>
      </c>
      <c r="D611" s="161" t="s">
        <v>196</v>
      </c>
      <c r="E611" s="161" t="s">
        <v>3</v>
      </c>
      <c r="F611" s="161"/>
      <c r="G611" s="161" t="s">
        <v>117</v>
      </c>
      <c r="H611" s="162">
        <v>2006</v>
      </c>
      <c r="I611" s="163"/>
      <c r="J611" s="159">
        <f>IFERROR(INDEX('Labor Expenditures'!$F$7:$X$91,MATCH($C611,'Labor Expenditures'!$D$7:$D$91,0),MATCH($G611,'Labor Expenditures'!$F$5:$X$5,0)),"NA")</f>
        <v>33465.531109782722</v>
      </c>
      <c r="K611" s="159">
        <f t="shared" si="1125"/>
        <v>305.90064999801388</v>
      </c>
      <c r="L611" s="165">
        <f t="shared" si="1131"/>
        <v>7.5230169495021509E-3</v>
      </c>
      <c r="M611" s="76">
        <f t="shared" ref="M611:M627" si="1135">+L611*$AR611</f>
        <v>1.2773263486278558E-4</v>
      </c>
      <c r="N611" s="62">
        <f>+N610*EXP(O611)</f>
        <v>108.4677000933973</v>
      </c>
      <c r="O611" s="96">
        <f t="shared" ref="O611:O627" si="1136">+M611+M636+M661+M686+M711+M736+M761+M786+M811+M836+M861+M886+M911+M936+M961+M986+M1011+M1036+M1061+M1086+M1111+M1136+M1161+M1186+M1211+M1236+M1261+M1286+M1311+M1336+M1361+M1386+M1411+M1436+M1461+M1486+M1511+M1536+M1561+M1586+M1611+M1636+M1661+M1686+M1711+M1736+M1761+M1786+M1811+M1836+M1861+M1886+M1911+M1936</f>
        <v>8.12822476807427E-2</v>
      </c>
      <c r="P611" s="96"/>
      <c r="Q611" s="159">
        <f>IFERROR(INDEX('Non-Labor Expenditures'!$F$7:$AB$91,MATCH($C611,'Non-Labor Expenditures'!$D$7:$D$91,0),MATCH($G611,'Non-Labor Expenditures'!$F$5:$AB$5,0)),"NA")</f>
        <v>48464.339545986004</v>
      </c>
      <c r="R611" s="159">
        <f t="shared" si="1126"/>
        <v>538.05026473772682</v>
      </c>
      <c r="S611" s="165">
        <f t="shared" ref="S611:S626" si="1137">LN(R611/R610)</f>
        <v>7.5087724542799578E-2</v>
      </c>
      <c r="T611" s="165">
        <f t="shared" ref="T611:T627" si="1138">+S611*AR611</f>
        <v>1.2749077884687677E-3</v>
      </c>
      <c r="U611" s="165"/>
      <c r="V611" s="165"/>
      <c r="W611" s="159">
        <f t="shared" si="1107"/>
        <v>53215.909201855677</v>
      </c>
      <c r="X611" s="163"/>
      <c r="Y611" s="167">
        <v>3323.2075153664919</v>
      </c>
      <c r="Z611" s="168">
        <v>1.875884001387049E-2</v>
      </c>
      <c r="AA611" s="76">
        <f t="shared" si="1127"/>
        <v>3.1850467412541163E-4</v>
      </c>
      <c r="AB611" s="168"/>
      <c r="AC611" s="168"/>
      <c r="AD611" s="163">
        <f t="shared" si="1056"/>
        <v>135145.77985762441</v>
      </c>
      <c r="AE611" s="168">
        <f t="shared" ref="AE611:AE627" si="1139">LN(AD611/AD610)</f>
        <v>5.996816572774178E-2</v>
      </c>
      <c r="AF611" s="163"/>
      <c r="AG611" s="163"/>
      <c r="AH611" s="163"/>
      <c r="AI611" s="163"/>
      <c r="AJ611" s="116">
        <f t="shared" ref="AJ611:AJ627" si="1140">+(AD611*1000)/AV611</f>
        <v>284.88208034204712</v>
      </c>
      <c r="AK611" s="114">
        <f>+AV611/$AX$11</f>
        <v>1.3678551896721501E-2</v>
      </c>
      <c r="AL611" s="115">
        <f t="shared" si="1128"/>
        <v>0.24762542452334463</v>
      </c>
      <c r="AM611" s="115">
        <f t="shared" si="1129"/>
        <v>0.35860786475939543</v>
      </c>
      <c r="AN611" s="115">
        <f t="shared" si="1130"/>
        <v>0.39376671071725988</v>
      </c>
      <c r="AO611" s="115">
        <f t="shared" si="1132"/>
        <v>3.5791871069667469E-2</v>
      </c>
      <c r="AP611" s="166">
        <f>+AP610*EXP(AO611)</f>
        <v>103.64401108696615</v>
      </c>
      <c r="AQ611" s="168">
        <f>LN(AP611/AP610)</f>
        <v>3.5791871069667532E-2</v>
      </c>
      <c r="AR611" s="69">
        <f>+AD611/$AF$11</f>
        <v>1.6978910950245635E-2</v>
      </c>
      <c r="AS611" s="169">
        <f>+AR611*AQ611</f>
        <v>6.0770699163455806E-4</v>
      </c>
      <c r="AT611" s="115"/>
      <c r="AU611" s="115"/>
      <c r="AV611" s="113">
        <f>IFERROR(INDEX('Total Customers'!$F$7:$AB$91,MATCH($C611,'Total Customers'!$D$7:$D$91,0),MATCH($G611,'Total Customers'!$F$5:$AB$5,0)),"NA")</f>
        <v>474392</v>
      </c>
      <c r="AW611" s="68">
        <f t="shared" si="1074"/>
        <v>1.8410739880471656E-2</v>
      </c>
      <c r="AX611" s="114"/>
      <c r="AY611" s="114"/>
      <c r="AZ611" s="116">
        <v>8247377</v>
      </c>
      <c r="BA611" s="116"/>
      <c r="BB611" s="166"/>
      <c r="BC611" s="166"/>
      <c r="BD611" s="166"/>
      <c r="BE611" s="166"/>
      <c r="BF611" s="166"/>
      <c r="BG611" s="166"/>
      <c r="BH611" s="166"/>
      <c r="BI611" s="113"/>
      <c r="BJ611" s="113"/>
      <c r="BK611" s="113">
        <f>INDEX('Dist. Plant Gas Additions'!$F$7:$AE$91,MATCH($C611,'Dist. Plant Gas Additions'!$D$7:$D$91,0),MATCH(Calculation!$G611,'Dist. Plant Gas Additions'!$F$5:$AE$5,0))</f>
        <v>36902</v>
      </c>
      <c r="BL611" s="113">
        <f>INDEX('Gen. Plant Additions'!$F$7:$AE$91,MATCH($C611,'Gen. Plant Additions'!$D$7:$D$91,0),MATCH(Calculation!$G611,'Gen. Plant Additions'!$F$5:$AE$5,0))</f>
        <v>957</v>
      </c>
      <c r="BM611" s="231">
        <f t="shared" si="1108"/>
        <v>0.94860415204750359</v>
      </c>
      <c r="BN611" s="61">
        <f t="shared" si="1118"/>
        <v>907.81417350946094</v>
      </c>
      <c r="BO611" s="113">
        <f>INDEX('Dist Plant Depreciation'!$E$7:$AD$94,MATCH($C611,'Dist Plant Depreciation'!$D$7:$D$94,0),MATCH(Calculation!$G611,'Dist Plant Depreciation'!$E$5:$AD$5,0))</f>
        <v>298826</v>
      </c>
      <c r="BP611" s="113">
        <f>INDEX('Gen. Plant Depreciation'!$E$7:$AD$94,MATCH($C611,'Gen. Plant Depreciation'!$D$7:$D$94,0),MATCH(Calculation!$G611,'Gen. Plant Depreciation'!$E$5:$AD$5,0))</f>
        <v>40666</v>
      </c>
      <c r="BQ611" s="113"/>
      <c r="BR611" s="113"/>
      <c r="BS611" s="113"/>
      <c r="BT611" s="113"/>
      <c r="BU611" s="113"/>
      <c r="BV611" s="113"/>
      <c r="BW611" s="113">
        <f>INDEX('Gross Dx Plant'!$E$7:$AD$91,MATCH($C611,'Gross Dx Plant'!$D$7:$D$91,0),MATCH(Calculation!$G611,'Gross Dx Plant'!$E$5:$AD$5,0))</f>
        <v>924650</v>
      </c>
      <c r="BX611" s="113">
        <f>INDEX('Gross Gen Plant'!$E$7:$AD$91,MATCH($C611,'Gross Gen Plant'!$D$7:$D$91,0),MATCH(Calculation!$G611,'Gross Gen Plant'!$E$5:$AD$5,0))</f>
        <v>50098</v>
      </c>
      <c r="BY611" s="113">
        <f t="shared" si="1075"/>
        <v>635256</v>
      </c>
      <c r="BZ611" s="114"/>
      <c r="CA611" s="116">
        <v>2006</v>
      </c>
      <c r="CB611" s="113"/>
      <c r="CC611" s="113"/>
      <c r="CD611" s="113"/>
      <c r="CE611" s="175"/>
      <c r="CF611" s="113">
        <f t="shared" si="1109"/>
        <v>37859</v>
      </c>
      <c r="CG611" s="113">
        <f t="shared" si="1110"/>
        <v>82.108385142108716</v>
      </c>
      <c r="CH611" s="178">
        <v>0.9555555555555556</v>
      </c>
      <c r="CI611" s="61">
        <f>+CI603*CH611+CG604*CH610+CG605*CH609+CG606*CH608+CG607*CH607+CG608*CH606+CG609*CH605+CG610*CH604+CG611</f>
        <v>3323.2075153664919</v>
      </c>
      <c r="CJ611" s="114">
        <f t="shared" si="1111"/>
        <v>1.875884001387049E-2</v>
      </c>
      <c r="CK611" s="114"/>
      <c r="CL611" s="169">
        <f t="shared" si="1112"/>
        <v>6.239538336057962E-3</v>
      </c>
      <c r="CM611" s="169">
        <f t="shared" si="1121"/>
        <v>6.0434133098475964E-3</v>
      </c>
      <c r="CN611" s="114">
        <f>VLOOKUP($H611,RoR!$E:$F,2,FALSE)</f>
        <v>5.5874999999999994E-2</v>
      </c>
      <c r="CO611" s="169">
        <v>3.0512430354548314E-2</v>
      </c>
      <c r="CP611" s="169">
        <f t="shared" si="1119"/>
        <v>2.536256964545168E-2</v>
      </c>
      <c r="CQ611" s="169">
        <f t="shared" si="1122"/>
        <v>2.4858528298686029E-2</v>
      </c>
      <c r="CR611" s="169">
        <v>7.9087823893859641E-2</v>
      </c>
      <c r="CS611" s="179">
        <f t="shared" si="1113"/>
        <v>0.84885500000000003</v>
      </c>
      <c r="CT611" s="180">
        <f t="shared" si="1114"/>
        <v>0.91779957551769631</v>
      </c>
      <c r="CU611" s="180">
        <f t="shared" si="1115"/>
        <v>0.52757270693512304</v>
      </c>
      <c r="CV611" s="180">
        <f t="shared" si="1116"/>
        <v>0.88636824549024895</v>
      </c>
      <c r="CW611" s="180">
        <f t="shared" si="1117"/>
        <v>0.42918482841932087</v>
      </c>
      <c r="CX611" s="181">
        <f>INDEX('State Tax Lookup'!$D$7:$Z$91,MATCH(Calculation!$C611,'State Tax Lookup'!$B$7:$B$91,0),MATCH($H611,'State Tax Lookup'!$D$6:$Z$6,0))</f>
        <v>0.40849999999999997</v>
      </c>
      <c r="CY611" s="72">
        <v>0.37</v>
      </c>
      <c r="CZ611" s="70">
        <f t="shared" si="1120"/>
        <v>16.316645795601239</v>
      </c>
      <c r="DA611" s="70">
        <v>14.788696346247992</v>
      </c>
      <c r="DB611" s="69">
        <f t="shared" si="1123"/>
        <v>-2.8417313788134654E-2</v>
      </c>
      <c r="DC611" s="111">
        <f>VLOOKUP($H611,RoR!$E:$F,2,FALSE)</f>
        <v>5.5874999999999994E-2</v>
      </c>
      <c r="DD611" s="216">
        <f>HLOOKUP($H611,'GDP-PI'!$D$8:$CQ$11,3,FALSE)</f>
        <v>3.0512430354548314E-2</v>
      </c>
      <c r="DE611" s="111">
        <f>VLOOKUP(H611,'HW Dx Data'!$E:$F,2,FALSE)</f>
        <v>461.08567272971823</v>
      </c>
      <c r="DF611" s="72">
        <f t="shared" si="1133"/>
        <v>109.4</v>
      </c>
      <c r="DG611" s="69">
        <f t="shared" si="1134"/>
        <v>9.7620891318751846E-2</v>
      </c>
      <c r="DH611" s="66">
        <f>HLOOKUP(H611,'GDP-PI'!$8:$9,2,FALSE)</f>
        <v>90.073999999999998</v>
      </c>
      <c r="DI611" s="69">
        <f t="shared" si="1124"/>
        <v>3.005618372545445E-2</v>
      </c>
      <c r="EB611"/>
    </row>
    <row r="612" spans="1:132" s="160" customFormat="1" ht="21">
      <c r="A612" s="160" t="s">
        <v>195</v>
      </c>
      <c r="B612" s="161" t="s">
        <v>195</v>
      </c>
      <c r="C612" s="161">
        <v>4061755</v>
      </c>
      <c r="D612" s="161" t="s">
        <v>196</v>
      </c>
      <c r="E612" s="161" t="s">
        <v>3</v>
      </c>
      <c r="F612" s="161"/>
      <c r="G612" s="161" t="s">
        <v>118</v>
      </c>
      <c r="H612" s="162">
        <v>2007</v>
      </c>
      <c r="I612" s="163"/>
      <c r="J612" s="159">
        <f>IFERROR(INDEX('Labor Expenditures'!$F$7:$X$91,MATCH($C612,'Labor Expenditures'!$D$7:$D$91,0),MATCH($G612,'Labor Expenditures'!$F$5:$X$5,0)),"NA")</f>
        <v>40731.88348343064</v>
      </c>
      <c r="K612" s="159">
        <f t="shared" si="1125"/>
        <v>389.68556310385691</v>
      </c>
      <c r="L612" s="165">
        <f t="shared" si="1131"/>
        <v>0.24207978945343916</v>
      </c>
      <c r="M612" s="76">
        <f t="shared" si="1135"/>
        <v>4.5465911222031556E-3</v>
      </c>
      <c r="N612" s="62">
        <f t="shared" ref="N612:N625" si="1141">+N611*EXP(O612)</f>
        <v>118.39139604241005</v>
      </c>
      <c r="O612" s="96">
        <f t="shared" si="1136"/>
        <v>8.7543617579857597E-2</v>
      </c>
      <c r="P612" s="96"/>
      <c r="Q612" s="159">
        <f>IFERROR(INDEX('Non-Labor Expenditures'!$F$7:$AB$91,MATCH($C612,'Non-Labor Expenditures'!$D$7:$D$91,0),MATCH($G612,'Non-Labor Expenditures'!$F$5:$AB$5,0)),"NA")</f>
        <v>58987.374950444595</v>
      </c>
      <c r="R612" s="159">
        <f t="shared" si="1126"/>
        <v>637.71513925106046</v>
      </c>
      <c r="S612" s="165">
        <f t="shared" si="1137"/>
        <v>0.16993970875814882</v>
      </c>
      <c r="T612" s="165">
        <f t="shared" si="1138"/>
        <v>3.1917012688008699E-3</v>
      </c>
      <c r="U612" s="165"/>
      <c r="V612" s="165"/>
      <c r="W612" s="159">
        <f t="shared" si="1107"/>
        <v>58189.771907600451</v>
      </c>
      <c r="X612" s="163"/>
      <c r="Y612" s="167">
        <v>3392.4764582112443</v>
      </c>
      <c r="Z612" s="168">
        <v>2.0629737717859954E-2</v>
      </c>
      <c r="AA612" s="76">
        <f t="shared" si="1127"/>
        <v>3.8745482459799429E-4</v>
      </c>
      <c r="AB612" s="168"/>
      <c r="AC612" s="168"/>
      <c r="AD612" s="163">
        <f t="shared" si="1056"/>
        <v>157909.03034147568</v>
      </c>
      <c r="AE612" s="168">
        <f t="shared" si="1139"/>
        <v>0.15566506326646784</v>
      </c>
      <c r="AF612" s="163"/>
      <c r="AG612" s="163"/>
      <c r="AH612" s="163"/>
      <c r="AI612" s="163"/>
      <c r="AJ612" s="116">
        <f t="shared" si="1140"/>
        <v>330.4877509731474</v>
      </c>
      <c r="AK612" s="114">
        <f>+AV612/$AX$12</f>
        <v>1.3673262745500021E-2</v>
      </c>
      <c r="AL612" s="115">
        <f t="shared" si="1128"/>
        <v>0.25794524477383346</v>
      </c>
      <c r="AM612" s="115">
        <f t="shared" si="1129"/>
        <v>0.37355289195865093</v>
      </c>
      <c r="AN612" s="115">
        <f t="shared" si="1130"/>
        <v>0.36850186326751566</v>
      </c>
      <c r="AO612" s="115">
        <f t="shared" si="1132"/>
        <v>0.13126851384498944</v>
      </c>
      <c r="AP612" s="166">
        <f>+AP611*EXP(AO612)</f>
        <v>118.18256275933987</v>
      </c>
      <c r="AQ612" s="168">
        <f>LN(AP612/AP611)</f>
        <v>0.13126851384498944</v>
      </c>
      <c r="AR612" s="69">
        <f>+AD612/$AF$12</f>
        <v>1.8781374242221208E-2</v>
      </c>
      <c r="AS612" s="169">
        <f t="shared" ref="AS612:AS626" si="1142">+AR612*AQ612</f>
        <v>2.4654030847429428E-3</v>
      </c>
      <c r="AT612" s="115"/>
      <c r="AU612" s="115"/>
      <c r="AV612" s="113">
        <f>IFERROR(INDEX('Total Customers'!$F$7:$AB$91,MATCH($C612,'Total Customers'!$D$7:$D$91,0),MATCH($G612,'Total Customers'!$F$5:$AB$5,0)),"NA")</f>
        <v>477806</v>
      </c>
      <c r="AW612" s="68">
        <f t="shared" si="1074"/>
        <v>7.1708082334074842E-3</v>
      </c>
      <c r="AX612" s="114"/>
      <c r="AY612" s="114"/>
      <c r="AZ612" s="116">
        <v>8187757</v>
      </c>
      <c r="BA612" s="116"/>
      <c r="BB612" s="166"/>
      <c r="BC612" s="166"/>
      <c r="BD612" s="166"/>
      <c r="BE612" s="166"/>
      <c r="BF612" s="166"/>
      <c r="BG612" s="166"/>
      <c r="BH612" s="166"/>
      <c r="BI612" s="113"/>
      <c r="BJ612" s="113"/>
      <c r="BK612" s="113">
        <f>INDEX('Dist. Plant Gas Additions'!$F$7:$AE$91,MATCH($C612,'Dist. Plant Gas Additions'!$D$7:$D$91,0),MATCH(Calculation!$G612,'Dist. Plant Gas Additions'!$F$5:$AE$5,0))</f>
        <v>41352</v>
      </c>
      <c r="BL612" s="113">
        <f>INDEX('Gen. Plant Additions'!$F$7:$AE$91,MATCH($C612,'Gen. Plant Additions'!$D$7:$D$91,0),MATCH(Calculation!$G612,'Gen. Plant Additions'!$F$5:$AE$5,0))</f>
        <v>3823</v>
      </c>
      <c r="BM612" s="231">
        <f t="shared" si="1108"/>
        <v>0.94694578587608913</v>
      </c>
      <c r="BN612" s="61">
        <f t="shared" si="1118"/>
        <v>3620.1737394042889</v>
      </c>
      <c r="BO612" s="113">
        <f>INDEX('Dist Plant Depreciation'!$E$7:$AD$94,MATCH($C612,'Dist Plant Depreciation'!$D$7:$D$94,0),MATCH(Calculation!$G612,'Dist Plant Depreciation'!$E$5:$AD$5,0))</f>
        <v>317443</v>
      </c>
      <c r="BP612" s="113">
        <f>INDEX('Gen. Plant Depreciation'!$E$7:$AD$94,MATCH($C612,'Gen. Plant Depreciation'!$D$7:$D$94,0),MATCH(Calculation!$G612,'Gen. Plant Depreciation'!$E$5:$AD$5,0))</f>
        <v>43212</v>
      </c>
      <c r="BQ612" s="113"/>
      <c r="BR612" s="113"/>
      <c r="BS612" s="113"/>
      <c r="BT612" s="113"/>
      <c r="BU612" s="113"/>
      <c r="BV612" s="113"/>
      <c r="BW612" s="113">
        <f>INDEX('Gross Dx Plant'!$E$7:$AD$91,MATCH($C612,'Gross Dx Plant'!$D$7:$D$91,0),MATCH(Calculation!$G612,'Gross Dx Plant'!$E$5:$AD$5,0))</f>
        <v>954367</v>
      </c>
      <c r="BX612" s="113">
        <f>INDEX('Gross Gen Plant'!$E$7:$AD$91,MATCH($C612,'Gross Gen Plant'!$D$7:$D$91,0),MATCH(Calculation!$G612,'Gross Gen Plant'!$E$5:$AD$5,0))</f>
        <v>53470</v>
      </c>
      <c r="BY612" s="113">
        <f t="shared" si="1075"/>
        <v>647182</v>
      </c>
      <c r="BZ612" s="113"/>
      <c r="CA612" s="116">
        <v>2007</v>
      </c>
      <c r="CB612" s="113"/>
      <c r="CC612" s="113"/>
      <c r="CD612" s="113"/>
      <c r="CE612" s="175"/>
      <c r="CF612" s="113">
        <f t="shared" si="1109"/>
        <v>45175</v>
      </c>
      <c r="CG612" s="113">
        <f t="shared" si="1110"/>
        <v>90.708786727173035</v>
      </c>
      <c r="CH612" s="178">
        <v>0.94915254237288138</v>
      </c>
      <c r="CI612" s="61">
        <f>+CI603*CH612+CG604*CH611+CG605*CH610+CG606*CH609+CG607*CH608+CG608*CH607+CG609*CH606+CG610*CH605+CG611*CH604+CG612</f>
        <v>3392.4764582112443</v>
      </c>
      <c r="CJ612" s="114">
        <f t="shared" si="1111"/>
        <v>2.0629737717859954E-2</v>
      </c>
      <c r="CK612" s="114"/>
      <c r="CL612" s="169">
        <f t="shared" si="1112"/>
        <v>6.4515513350529123E-3</v>
      </c>
      <c r="CM612" s="169">
        <f t="shared" si="1121"/>
        <v>6.2433892184718988E-3</v>
      </c>
      <c r="CN612" s="114">
        <f>VLOOKUP($H612,RoR!$E:$F,2,FALSE)</f>
        <v>5.5558333333333321E-2</v>
      </c>
      <c r="CO612" s="169">
        <v>2.691120634145272E-2</v>
      </c>
      <c r="CP612" s="169">
        <f t="shared" si="1119"/>
        <v>2.86471269918806E-2</v>
      </c>
      <c r="CQ612" s="169">
        <f t="shared" si="1122"/>
        <v>2.4658552390061726E-2</v>
      </c>
      <c r="CR612" s="169">
        <v>6.4575155250632399E-2</v>
      </c>
      <c r="CS612" s="179">
        <f t="shared" si="1113"/>
        <v>0.84885500000000003</v>
      </c>
      <c r="CT612" s="180">
        <f t="shared" si="1114"/>
        <v>0.92303077153834634</v>
      </c>
      <c r="CU612" s="180">
        <f t="shared" si="1115"/>
        <v>0.52502249887505614</v>
      </c>
      <c r="CV612" s="180">
        <f t="shared" si="1116"/>
        <v>0.88499666072084604</v>
      </c>
      <c r="CW612" s="180">
        <f t="shared" si="1117"/>
        <v>0.42887993290280618</v>
      </c>
      <c r="CX612" s="181">
        <f>INDEX('State Tax Lookup'!$D$7:$Z$91,MATCH(Calculation!$C612,'State Tax Lookup'!$B$7:$B$91,0),MATCH($H612,'State Tax Lookup'!$D$6:$Z$6,0))</f>
        <v>0.40849999999999997</v>
      </c>
      <c r="CY612" s="72">
        <v>0.37</v>
      </c>
      <c r="CZ612" s="70">
        <f t="shared" si="1120"/>
        <v>17.510122867299525</v>
      </c>
      <c r="DA612" s="70">
        <v>16.108943221861779</v>
      </c>
      <c r="DB612" s="69">
        <f t="shared" si="1123"/>
        <v>7.0593362069954507E-2</v>
      </c>
      <c r="DC612" s="111">
        <f>VLOOKUP($H612,RoR!$E:$F,2,FALSE)</f>
        <v>5.5558333333333321E-2</v>
      </c>
      <c r="DD612" s="216">
        <f>HLOOKUP($H612,'GDP-PI'!$D$8:$CQ$11,3,FALSE)</f>
        <v>2.691120634145272E-2</v>
      </c>
      <c r="DE612" s="111">
        <f>VLOOKUP(H612,'HW Dx Data'!$E:$F,2,FALSE)</f>
        <v>498.0223154772637</v>
      </c>
      <c r="DF612" s="72">
        <f t="shared" si="1133"/>
        <v>104.52499999999999</v>
      </c>
      <c r="DG612" s="69">
        <f t="shared" si="1134"/>
        <v>-4.5584612745252218E-2</v>
      </c>
      <c r="DH612" s="66">
        <f>HLOOKUP(H612,'GDP-PI'!$8:$9,2,FALSE)</f>
        <v>92.498000000000005</v>
      </c>
      <c r="DI612" s="69">
        <f t="shared" si="1124"/>
        <v>2.6555467950038037E-2</v>
      </c>
      <c r="EB612"/>
    </row>
    <row r="613" spans="1:132" s="160" customFormat="1" ht="21">
      <c r="A613" s="160" t="s">
        <v>195</v>
      </c>
      <c r="B613" s="161" t="s">
        <v>195</v>
      </c>
      <c r="C613" s="161">
        <v>4061755</v>
      </c>
      <c r="D613" s="161" t="s">
        <v>196</v>
      </c>
      <c r="E613" s="161" t="s">
        <v>3</v>
      </c>
      <c r="F613" s="161"/>
      <c r="G613" s="161" t="s">
        <v>120</v>
      </c>
      <c r="H613" s="162">
        <v>2008</v>
      </c>
      <c r="I613" s="163"/>
      <c r="J613" s="159">
        <f>IFERROR(INDEX('Labor Expenditures'!$F$7:$X$91,MATCH($C613,'Labor Expenditures'!$D$7:$D$91,0),MATCH($G613,'Labor Expenditures'!$F$5:$X$5,0)),"NA")</f>
        <v>39111.738669383827</v>
      </c>
      <c r="K613" s="159">
        <f t="shared" si="1125"/>
        <v>362.48135930846917</v>
      </c>
      <c r="L613" s="165">
        <f t="shared" si="1131"/>
        <v>-7.236711510374165E-2</v>
      </c>
      <c r="M613" s="76">
        <f t="shared" si="1135"/>
        <v>-1.3144412881821155E-3</v>
      </c>
      <c r="N613" s="62">
        <f t="shared" si="1141"/>
        <v>110.24239574646809</v>
      </c>
      <c r="O613" s="96">
        <f t="shared" si="1136"/>
        <v>-7.1314512121621709E-2</v>
      </c>
      <c r="P613" s="96"/>
      <c r="Q613" s="159">
        <f>IFERROR(INDEX('Non-Labor Expenditures'!$F$7:$AB$91,MATCH($C613,'Non-Labor Expenditures'!$D$7:$D$91,0),MATCH($G613,'Non-Labor Expenditures'!$F$5:$AB$5,0)),"NA")</f>
        <v>56641.102658394222</v>
      </c>
      <c r="R613" s="159">
        <f t="shared" si="1126"/>
        <v>600.87735146391231</v>
      </c>
      <c r="S613" s="165">
        <f t="shared" si="1137"/>
        <v>-5.950085383031322E-2</v>
      </c>
      <c r="T613" s="165">
        <f t="shared" si="1138"/>
        <v>-1.0807447394377188E-3</v>
      </c>
      <c r="U613" s="165"/>
      <c r="V613" s="165"/>
      <c r="W613" s="159">
        <f t="shared" si="1107"/>
        <v>67518.72157693129</v>
      </c>
      <c r="X613" s="163"/>
      <c r="Y613" s="167">
        <v>3452.7634577437207</v>
      </c>
      <c r="Z613" s="168">
        <v>1.7614739316858263E-2</v>
      </c>
      <c r="AA613" s="76">
        <f t="shared" si="1127"/>
        <v>3.1994560796643124E-4</v>
      </c>
      <c r="AB613" s="168"/>
      <c r="AC613" s="168"/>
      <c r="AD613" s="163">
        <f t="shared" si="1056"/>
        <v>163271.56290470934</v>
      </c>
      <c r="AE613" s="168">
        <f t="shared" si="1139"/>
        <v>3.33957347257582E-2</v>
      </c>
      <c r="AF613" s="163"/>
      <c r="AG613" s="163"/>
      <c r="AH613" s="163"/>
      <c r="AI613" s="163"/>
      <c r="AJ613" s="116">
        <f t="shared" si="1140"/>
        <v>337.83981349299751</v>
      </c>
      <c r="AK613" s="114">
        <f>+AV613/$AX$13</f>
        <v>1.3755996710385776E-2</v>
      </c>
      <c r="AL613" s="115">
        <f t="shared" si="1128"/>
        <v>0.23955021911691216</v>
      </c>
      <c r="AM613" s="115">
        <f t="shared" si="1129"/>
        <v>0.34691345909055721</v>
      </c>
      <c r="AN613" s="115">
        <f t="shared" si="1130"/>
        <v>0.41353632179253064</v>
      </c>
      <c r="AO613" s="115">
        <f t="shared" si="1132"/>
        <v>-3.2547637888373664E-2</v>
      </c>
      <c r="AP613" s="166">
        <f t="shared" ref="AP613:AP626" si="1143">+AP612*EXP(AO613)</f>
        <v>114.39792412429108</v>
      </c>
      <c r="AQ613" s="168">
        <f t="shared" ref="AQ613:AQ626" si="1144">LN(AP613/AP612)</f>
        <v>-3.2547637888373629E-2</v>
      </c>
      <c r="AR613" s="69">
        <f>+AD613/$AF$13</f>
        <v>1.8163516485323512E-2</v>
      </c>
      <c r="AS613" s="169">
        <f t="shared" si="1142"/>
        <v>-5.9117955734381449E-4</v>
      </c>
      <c r="AT613" s="115"/>
      <c r="AU613" s="115"/>
      <c r="AV613" s="113">
        <f>IFERROR(INDEX('Total Customers'!$F$7:$AB$91,MATCH($C613,'Total Customers'!$D$7:$D$91,0),MATCH($G613,'Total Customers'!$F$5:$AB$5,0)),"NA")</f>
        <v>483281</v>
      </c>
      <c r="AW613" s="68">
        <f t="shared" si="1074"/>
        <v>1.1393472653860761E-2</v>
      </c>
      <c r="AX613" s="114"/>
      <c r="AY613" s="114"/>
      <c r="AZ613" s="116">
        <v>8244107</v>
      </c>
      <c r="BA613" s="116"/>
      <c r="BB613" s="166"/>
      <c r="BC613" s="166"/>
      <c r="BD613" s="166"/>
      <c r="BE613" s="166"/>
      <c r="BF613" s="166"/>
      <c r="BG613" s="166"/>
      <c r="BH613" s="166"/>
      <c r="BI613" s="113"/>
      <c r="BJ613" s="113"/>
      <c r="BK613" s="113">
        <f>INDEX('Dist. Plant Gas Additions'!$F$7:$AE$91,MATCH($C613,'Dist. Plant Gas Additions'!$D$7:$D$91,0),MATCH(Calculation!$G613,'Dist. Plant Gas Additions'!$F$5:$AE$5,0))</f>
        <v>45068</v>
      </c>
      <c r="BL613" s="113">
        <f>INDEX('Gen. Plant Additions'!$F$7:$AE$91,MATCH($C613,'Gen. Plant Additions'!$D$7:$D$91,0),MATCH(Calculation!$G613,'Gen. Plant Additions'!$F$5:$AE$5,0))</f>
        <v>2179</v>
      </c>
      <c r="BM613" s="231">
        <f t="shared" si="1108"/>
        <v>0.94719388878148869</v>
      </c>
      <c r="BN613" s="61">
        <f t="shared" si="1118"/>
        <v>2063.9354836548637</v>
      </c>
      <c r="BO613" s="113">
        <f>INDEX('Dist Plant Depreciation'!$E$7:$AD$94,MATCH($C613,'Dist Plant Depreciation'!$D$7:$D$94,0),MATCH(Calculation!$G613,'Dist Plant Depreciation'!$E$5:$AD$5,0))</f>
        <v>335143</v>
      </c>
      <c r="BP613" s="113">
        <f>INDEX('Gen. Plant Depreciation'!$E$7:$AD$94,MATCH($C613,'Gen. Plant Depreciation'!$D$7:$D$94,0),MATCH(Calculation!$G613,'Gen. Plant Depreciation'!$E$5:$AD$5,0))</f>
        <v>45525</v>
      </c>
      <c r="BQ613" s="113"/>
      <c r="BR613" s="113"/>
      <c r="BS613" s="113"/>
      <c r="BT613" s="113"/>
      <c r="BU613" s="113"/>
      <c r="BV613" s="113"/>
      <c r="BW613" s="113">
        <f>INDEX('Gross Dx Plant'!$E$7:$AD$91,MATCH($C613,'Gross Dx Plant'!$D$7:$D$91,0),MATCH(Calculation!$G613,'Gross Dx Plant'!$E$5:$AD$5,0))</f>
        <v>989721</v>
      </c>
      <c r="BX613" s="113">
        <f>INDEX('Gross Gen Plant'!$E$7:$AD$91,MATCH($C613,'Gross Gen Plant'!$D$7:$D$91,0),MATCH(Calculation!$G613,'Gross Gen Plant'!$E$5:$AD$5,0))</f>
        <v>55177</v>
      </c>
      <c r="BY613" s="113">
        <f t="shared" si="1075"/>
        <v>664230</v>
      </c>
      <c r="BZ613" s="113"/>
      <c r="CA613" s="116">
        <v>2008</v>
      </c>
      <c r="CB613" s="113"/>
      <c r="CC613" s="113"/>
      <c r="CD613" s="113"/>
      <c r="CE613" s="175"/>
      <c r="CF613" s="113">
        <f t="shared" si="1109"/>
        <v>47247</v>
      </c>
      <c r="CG613" s="113">
        <f t="shared" si="1110"/>
        <v>82.90675271178182</v>
      </c>
      <c r="CH613" s="178">
        <v>0.94252873563218387</v>
      </c>
      <c r="CI613" s="61">
        <f>+CI603*CH613+CG604*CH612+CG605*CH611+CG606*CH610+CG607*CH609+CG608*CH608+CG609*CH607+CG610*CH606+CG611*CH605+CG612*CH604+CG613</f>
        <v>3452.7634577437207</v>
      </c>
      <c r="CJ613" s="114">
        <f t="shared" si="1111"/>
        <v>1.7614739316858263E-2</v>
      </c>
      <c r="CK613" s="114"/>
      <c r="CL613" s="169">
        <f t="shared" si="1112"/>
        <v>6.6676227404779808E-3</v>
      </c>
      <c r="CM613" s="169">
        <f t="shared" si="1121"/>
        <v>6.4529041371962845E-3</v>
      </c>
      <c r="CN613" s="114">
        <f>VLOOKUP($H613,RoR!$E:$F,2,FALSE)</f>
        <v>5.6316666666666668E-2</v>
      </c>
      <c r="CO613" s="169">
        <v>1.9092304698479889E-2</v>
      </c>
      <c r="CP613" s="169">
        <f t="shared" si="1119"/>
        <v>3.7224361968186778E-2</v>
      </c>
      <c r="CQ613" s="169">
        <f t="shared" si="1122"/>
        <v>2.4449037471337341E-2</v>
      </c>
      <c r="CR613" s="169">
        <v>6.9030581091053131E-2</v>
      </c>
      <c r="CS613" s="179">
        <f t="shared" si="1113"/>
        <v>0.84885500000000003</v>
      </c>
      <c r="CT613" s="180">
        <f t="shared" si="1114"/>
        <v>0.91060168006009956</v>
      </c>
      <c r="CU613" s="180">
        <f t="shared" si="1115"/>
        <v>0.53108168097070152</v>
      </c>
      <c r="CV613" s="180">
        <f t="shared" si="1116"/>
        <v>0.88825329850328805</v>
      </c>
      <c r="CW613" s="180">
        <f t="shared" si="1117"/>
        <v>0.4295627335323573</v>
      </c>
      <c r="CX613" s="181">
        <f>INDEX('State Tax Lookup'!$D$7:$Z$91,MATCH(Calculation!$C613,'State Tax Lookup'!$B$7:$B$91,0),MATCH($H613,'State Tax Lookup'!$D$6:$Z$6,0))</f>
        <v>0.40849999999999997</v>
      </c>
      <c r="CY613" s="72">
        <v>0.37</v>
      </c>
      <c r="CZ613" s="70">
        <f t="shared" si="1120"/>
        <v>19.902487875341656</v>
      </c>
      <c r="DA613" s="70">
        <v>18.300102035478151</v>
      </c>
      <c r="DB613" s="69">
        <f t="shared" si="1123"/>
        <v>0.12806557952564621</v>
      </c>
      <c r="DC613" s="111">
        <f>VLOOKUP($H613,RoR!$E:$F,2,FALSE)</f>
        <v>5.6316666666666668E-2</v>
      </c>
      <c r="DD613" s="216">
        <f>HLOOKUP($H613,'GDP-PI'!$D$8:$CQ$11,3,FALSE)</f>
        <v>1.9092304698479889E-2</v>
      </c>
      <c r="DE613" s="111">
        <f>VLOOKUP(H613,'HW Dx Data'!$E:$F,2,FALSE)</f>
        <v>569.88120333515076</v>
      </c>
      <c r="DF613" s="72">
        <f t="shared" si="1133"/>
        <v>107.9</v>
      </c>
      <c r="DG613" s="69">
        <f t="shared" si="1134"/>
        <v>3.1778595021460486E-2</v>
      </c>
      <c r="DH613" s="66">
        <f>HLOOKUP(H613,'GDP-PI'!$8:$9,2,FALSE)</f>
        <v>94.263999999999996</v>
      </c>
      <c r="DI613" s="69">
        <f t="shared" si="1124"/>
        <v>1.8912333748032254E-2</v>
      </c>
      <c r="EB613"/>
    </row>
    <row r="614" spans="1:132" s="160" customFormat="1" ht="21">
      <c r="A614" s="160" t="s">
        <v>195</v>
      </c>
      <c r="B614" s="161" t="s">
        <v>195</v>
      </c>
      <c r="C614" s="161">
        <v>4061755</v>
      </c>
      <c r="D614" s="161" t="s">
        <v>196</v>
      </c>
      <c r="E614" s="161" t="s">
        <v>3</v>
      </c>
      <c r="F614" s="161"/>
      <c r="G614" s="161" t="s">
        <v>125</v>
      </c>
      <c r="H614" s="162">
        <v>2009</v>
      </c>
      <c r="I614" s="163"/>
      <c r="J614" s="159">
        <f>IFERROR(INDEX('Labor Expenditures'!$F$7:$X$91,MATCH($C614,'Labor Expenditures'!$D$7:$D$91,0),MATCH($G614,'Labor Expenditures'!$F$5:$X$5,0)),"NA")</f>
        <v>42409.044467067964</v>
      </c>
      <c r="K614" s="159">
        <f t="shared" si="1125"/>
        <v>382.32178920052257</v>
      </c>
      <c r="L614" s="165">
        <f t="shared" si="1131"/>
        <v>5.3289583734444028E-2</v>
      </c>
      <c r="M614" s="76">
        <f t="shared" si="1135"/>
        <v>9.6414531552069043E-4</v>
      </c>
      <c r="N614" s="62">
        <f t="shared" si="1141"/>
        <v>118.83650051786977</v>
      </c>
      <c r="O614" s="96">
        <f t="shared" si="1136"/>
        <v>7.5067064028293815E-2</v>
      </c>
      <c r="P614" s="96"/>
      <c r="Q614" s="159">
        <f>IFERROR(INDEX('Non-Labor Expenditures'!$F$7:$AB$91,MATCH($C614,'Non-Labor Expenditures'!$D$7:$D$91,0),MATCH($G614,'Non-Labor Expenditures'!$F$5:$AB$5,0)),"NA")</f>
        <v>61416.217305213584</v>
      </c>
      <c r="R614" s="159">
        <f t="shared" si="1126"/>
        <v>646.49330314228132</v>
      </c>
      <c r="S614" s="165">
        <f t="shared" si="1137"/>
        <v>7.3171999917018379E-2</v>
      </c>
      <c r="T614" s="165">
        <f t="shared" si="1138"/>
        <v>1.3238692442942509E-3</v>
      </c>
      <c r="U614" s="165"/>
      <c r="V614" s="165"/>
      <c r="W614" s="159">
        <f t="shared" si="1107"/>
        <v>65804.027590256417</v>
      </c>
      <c r="X614" s="163"/>
      <c r="Y614" s="167">
        <v>3517.5232680786635</v>
      </c>
      <c r="Z614" s="168">
        <v>1.8582212275531754E-2</v>
      </c>
      <c r="AA614" s="76">
        <f t="shared" si="1127"/>
        <v>3.361999036574371E-4</v>
      </c>
      <c r="AB614" s="168"/>
      <c r="AC614" s="168"/>
      <c r="AD614" s="163">
        <f t="shared" si="1056"/>
        <v>169629.28936253797</v>
      </c>
      <c r="AE614" s="168">
        <f t="shared" si="1139"/>
        <v>3.8200560552127866E-2</v>
      </c>
      <c r="AF614" s="163"/>
      <c r="AG614" s="163"/>
      <c r="AH614" s="163"/>
      <c r="AI614" s="163"/>
      <c r="AJ614" s="116">
        <f t="shared" si="1140"/>
        <v>348.17392012376507</v>
      </c>
      <c r="AK614" s="114">
        <f>+AV614/$AX$14</f>
        <v>1.3849782941976954E-2</v>
      </c>
      <c r="AL614" s="115">
        <f t="shared" si="1128"/>
        <v>0.25001015229409934</v>
      </c>
      <c r="AM614" s="115">
        <f t="shared" si="1129"/>
        <v>0.36206139597715686</v>
      </c>
      <c r="AN614" s="115">
        <f t="shared" si="1130"/>
        <v>0.38792845172874374</v>
      </c>
      <c r="AO614" s="115">
        <f t="shared" si="1132"/>
        <v>4.6429282497244401E-2</v>
      </c>
      <c r="AP614" s="166">
        <f t="shared" si="1143"/>
        <v>119.83457086078884</v>
      </c>
      <c r="AQ614" s="168">
        <f t="shared" si="1144"/>
        <v>4.6429282497244491E-2</v>
      </c>
      <c r="AR614" s="69">
        <f>+AD614/$AF$14</f>
        <v>1.8092566088061025E-2</v>
      </c>
      <c r="AS614" s="169">
        <f t="shared" si="1142"/>
        <v>8.4002486200265099E-4</v>
      </c>
      <c r="AT614" s="115"/>
      <c r="AU614" s="115"/>
      <c r="AV614" s="113">
        <f>IFERROR(INDEX('Total Customers'!$F$7:$AB$91,MATCH($C614,'Total Customers'!$D$7:$D$91,0),MATCH($G614,'Total Customers'!$F$5:$AB$5,0)),"NA")</f>
        <v>487197</v>
      </c>
      <c r="AW614" s="68">
        <f t="shared" si="1074"/>
        <v>8.0702937190738327E-3</v>
      </c>
      <c r="AX614" s="114"/>
      <c r="AY614" s="114"/>
      <c r="AZ614" s="116">
        <v>8336812</v>
      </c>
      <c r="BA614" s="116"/>
      <c r="BB614" s="166"/>
      <c r="BC614" s="166"/>
      <c r="BD614" s="166"/>
      <c r="BE614" s="166"/>
      <c r="BF614" s="166"/>
      <c r="BG614" s="166"/>
      <c r="BH614" s="166"/>
      <c r="BI614" s="113"/>
      <c r="BJ614" s="113"/>
      <c r="BK614" s="113">
        <f>INDEX('Dist. Plant Gas Additions'!$F$7:$AE$91,MATCH($C614,'Dist. Plant Gas Additions'!$D$7:$D$91,0),MATCH(Calculation!$G614,'Dist. Plant Gas Additions'!$F$5:$AE$5,0))</f>
        <v>45492</v>
      </c>
      <c r="BL614" s="113">
        <f>INDEX('Gen. Plant Additions'!$F$7:$AE$91,MATCH($C614,'Gen. Plant Additions'!$D$7:$D$91,0),MATCH(Calculation!$G614,'Gen. Plant Additions'!$F$5:$AE$5,0))</f>
        <v>3306</v>
      </c>
      <c r="BM614" s="231">
        <f t="shared" si="1108"/>
        <v>0.94612185711600894</v>
      </c>
      <c r="BN614" s="61">
        <f t="shared" si="1118"/>
        <v>3127.8788596255254</v>
      </c>
      <c r="BO614" s="113">
        <f>INDEX('Dist Plant Depreciation'!$E$7:$AD$94,MATCH($C614,'Dist Plant Depreciation'!$D$7:$D$94,0),MATCH(Calculation!$G614,'Dist Plant Depreciation'!$E$5:$AD$5,0))</f>
        <v>348492</v>
      </c>
      <c r="BP614" s="113">
        <f>INDEX('Gen. Plant Depreciation'!$E$7:$AD$94,MATCH($C614,'Gen. Plant Depreciation'!$D$7:$D$94,0),MATCH(Calculation!$G614,'Gen. Plant Depreciation'!$E$5:$AD$5,0))</f>
        <v>47079</v>
      </c>
      <c r="BQ614" s="113"/>
      <c r="BR614" s="113"/>
      <c r="BS614" s="113"/>
      <c r="BT614" s="113"/>
      <c r="BU614" s="113"/>
      <c r="BV614" s="113"/>
      <c r="BW614" s="113">
        <f>INDEX('Gross Dx Plant'!$E$7:$AD$91,MATCH($C614,'Gross Dx Plant'!$D$7:$D$91,0),MATCH(Calculation!$G614,'Gross Dx Plant'!$E$5:$AD$5,0))</f>
        <v>1026985</v>
      </c>
      <c r="BX614" s="113">
        <f>INDEX('Gross Gen Plant'!$E$7:$AD$91,MATCH($C614,'Gross Gen Plant'!$D$7:$D$91,0),MATCH(Calculation!$G614,'Gross Gen Plant'!$E$5:$AD$5,0))</f>
        <v>58483</v>
      </c>
      <c r="BY614" s="113">
        <f t="shared" si="1075"/>
        <v>689897</v>
      </c>
      <c r="BZ614" s="113"/>
      <c r="CA614" s="116">
        <v>2009</v>
      </c>
      <c r="CB614" s="113"/>
      <c r="CC614" s="113"/>
      <c r="CD614" s="113"/>
      <c r="CE614" s="175"/>
      <c r="CF614" s="113">
        <f t="shared" si="1109"/>
        <v>48798</v>
      </c>
      <c r="CG614" s="113">
        <f t="shared" si="1110"/>
        <v>88.572155947150648</v>
      </c>
      <c r="CH614" s="178">
        <v>0.93567251461988299</v>
      </c>
      <c r="CI614" s="61">
        <f>+CI603*CH614+CG604*CH613+CG605*CH612+CG606*CH611+CG607*CH610+CG608*CH609+CG609*CH608+CG610*CH607+CG611*CH606+CG612*CH605+CG613*CH604+CG614</f>
        <v>3517.5232680786635</v>
      </c>
      <c r="CJ614" s="114">
        <f t="shared" si="1111"/>
        <v>1.8582212275531754E-2</v>
      </c>
      <c r="CK614" s="114"/>
      <c r="CL614" s="169">
        <f t="shared" si="1112"/>
        <v>6.8966049669004848E-3</v>
      </c>
      <c r="CM614" s="169">
        <f t="shared" si="1121"/>
        <v>6.671926347477126E-3</v>
      </c>
      <c r="CN614" s="114">
        <f>VLOOKUP($H614,RoR!$E:$F,2,FALSE)</f>
        <v>5.3133333333333324E-2</v>
      </c>
      <c r="CO614" s="169">
        <v>7.7972502758210105E-3</v>
      </c>
      <c r="CP614" s="169">
        <f t="shared" si="1119"/>
        <v>4.5336083057512314E-2</v>
      </c>
      <c r="CQ614" s="169">
        <f t="shared" si="1122"/>
        <v>2.42300152610565E-2</v>
      </c>
      <c r="CR614" s="169">
        <v>6.3720160300892073E-2</v>
      </c>
      <c r="CS614" s="179">
        <f t="shared" si="1113"/>
        <v>0.84885500000000003</v>
      </c>
      <c r="CT614" s="180">
        <f t="shared" si="1114"/>
        <v>0.96515780330083989</v>
      </c>
      <c r="CU614" s="180">
        <f t="shared" si="1115"/>
        <v>0.50448557089084056</v>
      </c>
      <c r="CV614" s="180">
        <f t="shared" si="1116"/>
        <v>0.87391435735465484</v>
      </c>
      <c r="CW614" s="180">
        <f t="shared" si="1117"/>
        <v>0.42551605393279146</v>
      </c>
      <c r="CX614" s="181">
        <f>INDEX('State Tax Lookup'!$D$7:$Z$91,MATCH(Calculation!$C614,'State Tax Lookup'!$B$7:$B$91,0),MATCH($H614,'State Tax Lookup'!$D$6:$Z$6,0))</f>
        <v>0.40849999999999997</v>
      </c>
      <c r="CY614" s="72">
        <v>0.37</v>
      </c>
      <c r="CZ614" s="70">
        <f t="shared" si="1120"/>
        <v>19.058365392124898</v>
      </c>
      <c r="DA614" s="70">
        <v>17.478615056163342</v>
      </c>
      <c r="DB614" s="69">
        <f t="shared" si="1123"/>
        <v>-4.3338609397956349E-2</v>
      </c>
      <c r="DC614" s="111">
        <f>VLOOKUP($H614,RoR!$E:$F,2,FALSE)</f>
        <v>5.3133333333333324E-2</v>
      </c>
      <c r="DD614" s="216">
        <f>HLOOKUP($H614,'GDP-PI'!$D$8:$CQ$11,3,FALSE)</f>
        <v>7.7972502758210105E-3</v>
      </c>
      <c r="DE614" s="111">
        <f>VLOOKUP(H614,'HW Dx Data'!$E:$F,2,FALSE)</f>
        <v>550.94063679692806</v>
      </c>
      <c r="DF614" s="72">
        <f t="shared" si="1133"/>
        <v>110.925</v>
      </c>
      <c r="DG614" s="69">
        <f t="shared" si="1134"/>
        <v>2.7649425000884052E-2</v>
      </c>
      <c r="DH614" s="66">
        <f>HLOOKUP(H614,'GDP-PI'!$8:$9,2,FALSE)</f>
        <v>94.998999999999995</v>
      </c>
      <c r="DI614" s="69">
        <f t="shared" si="1124"/>
        <v>7.7670088183096342E-3</v>
      </c>
      <c r="EB614"/>
    </row>
    <row r="615" spans="1:132" s="160" customFormat="1" ht="21">
      <c r="A615" s="160" t="s">
        <v>195</v>
      </c>
      <c r="B615" s="161" t="s">
        <v>195</v>
      </c>
      <c r="C615" s="161">
        <v>4061755</v>
      </c>
      <c r="D615" s="161" t="s">
        <v>196</v>
      </c>
      <c r="E615" s="161" t="s">
        <v>3</v>
      </c>
      <c r="F615" s="161"/>
      <c r="G615" s="161" t="s">
        <v>126</v>
      </c>
      <c r="H615" s="162">
        <v>2010</v>
      </c>
      <c r="I615" s="163"/>
      <c r="J615" s="159">
        <f>IFERROR(INDEX('Labor Expenditures'!$F$7:$X$91,MATCH($C615,'Labor Expenditures'!$D$7:$D$91,0),MATCH($G615,'Labor Expenditures'!$F$5:$X$5,0)),"NA")</f>
        <v>42327.98517830253</v>
      </c>
      <c r="K615" s="159">
        <f t="shared" si="1125"/>
        <v>362.00970860211703</v>
      </c>
      <c r="L615" s="165">
        <f t="shared" si="1131"/>
        <v>-5.4591603300656426E-2</v>
      </c>
      <c r="M615" s="76">
        <f t="shared" si="1135"/>
        <v>-9.6760944182321259E-4</v>
      </c>
      <c r="N615" s="62">
        <f t="shared" si="1141"/>
        <v>98.178604989724761</v>
      </c>
      <c r="O615" s="96">
        <f t="shared" si="1136"/>
        <v>-0.19096028332751461</v>
      </c>
      <c r="P615" s="96"/>
      <c r="Q615" s="159">
        <f>IFERROR(INDEX('Non-Labor Expenditures'!$F$7:$AB$91,MATCH($C615,'Non-Labor Expenditures'!$D$7:$D$91,0),MATCH($G615,'Non-Labor Expenditures'!$F$5:$AB$5,0)),"NA")</f>
        <v>61298.828315294471</v>
      </c>
      <c r="R615" s="159">
        <f t="shared" si="1126"/>
        <v>637.80528686485627</v>
      </c>
      <c r="S615" s="165">
        <f t="shared" si="1137"/>
        <v>-1.3529795760830103E-2</v>
      </c>
      <c r="T615" s="165">
        <f t="shared" si="1138"/>
        <v>-2.3980900601176274E-4</v>
      </c>
      <c r="U615" s="165"/>
      <c r="V615" s="165"/>
      <c r="W615" s="159">
        <f t="shared" si="1107"/>
        <v>68621.238540893813</v>
      </c>
      <c r="X615" s="163"/>
      <c r="Y615" s="167">
        <v>3571.852750938298</v>
      </c>
      <c r="Z615" s="168">
        <v>1.5327314090716663E-2</v>
      </c>
      <c r="AA615" s="76">
        <f t="shared" si="1127"/>
        <v>2.7166913838907314E-4</v>
      </c>
      <c r="AB615" s="168"/>
      <c r="AC615" s="168"/>
      <c r="AD615" s="163">
        <f t="shared" si="1056"/>
        <v>172248.0520344908</v>
      </c>
      <c r="AE615" s="168">
        <f t="shared" si="1139"/>
        <v>1.5320195725852231E-2</v>
      </c>
      <c r="AF615" s="163"/>
      <c r="AG615" s="163"/>
      <c r="AH615" s="163"/>
      <c r="AI615" s="163"/>
      <c r="AJ615" s="116">
        <f t="shared" si="1140"/>
        <v>350.94149557674405</v>
      </c>
      <c r="AK615" s="114">
        <f>+AV615/$AX$15</f>
        <v>1.3876349497514302E-2</v>
      </c>
      <c r="AL615" s="115">
        <f t="shared" si="1128"/>
        <v>0.24573854205228871</v>
      </c>
      <c r="AM615" s="115">
        <f t="shared" si="1129"/>
        <v>0.35587530652027372</v>
      </c>
      <c r="AN615" s="115">
        <f t="shared" si="1130"/>
        <v>0.39838615142743766</v>
      </c>
      <c r="AO615" s="115">
        <f t="shared" si="1132"/>
        <v>-1.2362581057939224E-2</v>
      </c>
      <c r="AP615" s="166">
        <f t="shared" si="1143"/>
        <v>118.36222600818111</v>
      </c>
      <c r="AQ615" s="168">
        <f t="shared" si="1144"/>
        <v>-1.2362581057939172E-2</v>
      </c>
      <c r="AR615" s="69">
        <f>+AD615/$AF$15</f>
        <v>1.7724510425059778E-2</v>
      </c>
      <c r="AS615" s="169">
        <f t="shared" si="1142"/>
        <v>-2.1912069684208938E-4</v>
      </c>
      <c r="AT615" s="115"/>
      <c r="AU615" s="115"/>
      <c r="AV615" s="113">
        <f>IFERROR(INDEX('Total Customers'!$F$7:$AB$91,MATCH($C615,'Total Customers'!$D$7:$D$91,0),MATCH($G615,'Total Customers'!$F$5:$AB$5,0)),"NA")</f>
        <v>490817</v>
      </c>
      <c r="AW615" s="68">
        <f t="shared" si="1074"/>
        <v>7.4027908224504326E-3</v>
      </c>
      <c r="AX615" s="114"/>
      <c r="AY615" s="114"/>
      <c r="AZ615" s="116">
        <v>8403441</v>
      </c>
      <c r="BA615" s="116"/>
      <c r="BB615" s="166"/>
      <c r="BC615" s="166"/>
      <c r="BD615" s="166"/>
      <c r="BE615" s="166"/>
      <c r="BF615" s="166"/>
      <c r="BG615" s="166"/>
      <c r="BH615" s="166"/>
      <c r="BI615" s="113"/>
      <c r="BJ615" s="113"/>
      <c r="BK615" s="113">
        <f>INDEX('Dist. Plant Gas Additions'!$F$7:$AE$91,MATCH($C615,'Dist. Plant Gas Additions'!$D$7:$D$91,0),MATCH(Calculation!$G615,'Dist. Plant Gas Additions'!$F$5:$AE$5,0))</f>
        <v>35802</v>
      </c>
      <c r="BL615" s="113">
        <f>INDEX('Gen. Plant Additions'!$F$7:$AE$91,MATCH($C615,'Gen. Plant Additions'!$D$7:$D$91,0),MATCH(Calculation!$G615,'Gen. Plant Additions'!$F$5:$AE$5,0))</f>
        <v>9385</v>
      </c>
      <c r="BM615" s="231">
        <f t="shared" si="1108"/>
        <v>0.93942140516908057</v>
      </c>
      <c r="BN615" s="61">
        <f t="shared" si="1118"/>
        <v>8816.4698875118211</v>
      </c>
      <c r="BO615" s="113">
        <f>INDEX('Dist Plant Depreciation'!$E$7:$AD$94,MATCH($C615,'Dist Plant Depreciation'!$D$7:$D$94,0),MATCH(Calculation!$G615,'Dist Plant Depreciation'!$E$5:$AD$5,0))</f>
        <v>348492</v>
      </c>
      <c r="BP615" s="113">
        <f>INDEX('Gen. Plant Depreciation'!$E$7:$AD$94,MATCH($C615,'Gen. Plant Depreciation'!$D$7:$D$94,0),MATCH(Calculation!$G615,'Gen. Plant Depreciation'!$E$5:$AD$5,0))</f>
        <v>47079</v>
      </c>
      <c r="BQ615" s="113"/>
      <c r="BR615" s="113"/>
      <c r="BS615" s="113"/>
      <c r="BT615" s="113"/>
      <c r="BU615" s="113"/>
      <c r="BV615" s="113"/>
      <c r="BW615" s="113">
        <f>INDEX('Gross Dx Plant'!$E$7:$AD$91,MATCH($C615,'Gross Dx Plant'!$D$7:$D$91,0),MATCH(Calculation!$G615,'Gross Dx Plant'!$E$5:$AD$5,0))</f>
        <v>1052012</v>
      </c>
      <c r="BX615" s="113">
        <f>INDEX('Gross Gen Plant'!$E$7:$AD$91,MATCH($C615,'Gross Gen Plant'!$D$7:$D$91,0),MATCH(Calculation!$G615,'Gross Gen Plant'!$E$5:$AD$5,0))</f>
        <v>67839</v>
      </c>
      <c r="BY615" s="113">
        <f t="shared" si="1075"/>
        <v>724280</v>
      </c>
      <c r="BZ615" s="113"/>
      <c r="CA615" s="116">
        <v>2010</v>
      </c>
      <c r="CB615" s="113"/>
      <c r="CC615" s="113"/>
      <c r="CD615" s="113"/>
      <c r="CE615" s="175"/>
      <c r="CF615" s="113">
        <f t="shared" si="1109"/>
        <v>45187</v>
      </c>
      <c r="CG615" s="113">
        <f t="shared" si="1110"/>
        <v>79.416227876187108</v>
      </c>
      <c r="CH615" s="178">
        <v>0.9285714285714286</v>
      </c>
      <c r="CI615" s="61">
        <f>+CI603*CH615+CG604*CH614+CG605*CH613+CG606*CH612+CG607*CH611+CG608*CH610+CG609*CH609+CG610*CH608+CG611*CH607+CG612*CH606+CG613*CH605+CG614*CH604+CG615</f>
        <v>3571.852750938298</v>
      </c>
      <c r="CJ615" s="114">
        <f t="shared" si="1111"/>
        <v>1.5327314090716663E-2</v>
      </c>
      <c r="CK615" s="114"/>
      <c r="CL615" s="169">
        <f t="shared" si="1112"/>
        <v>7.131934348299414E-3</v>
      </c>
      <c r="CM615" s="169">
        <f t="shared" si="1121"/>
        <v>6.8987206852259599E-3</v>
      </c>
      <c r="CN615" s="114">
        <f>VLOOKUP($H615,RoR!$E:$F,2,FALSE)</f>
        <v>4.9433333333333322E-2</v>
      </c>
      <c r="CO615" s="169">
        <v>1.1684333519300205E-2</v>
      </c>
      <c r="CP615" s="169">
        <f t="shared" si="1119"/>
        <v>3.7748999814033117E-2</v>
      </c>
      <c r="CQ615" s="169">
        <f t="shared" si="1122"/>
        <v>2.4003220923307665E-2</v>
      </c>
      <c r="CR615" s="169">
        <v>4.7937530248493419E-2</v>
      </c>
      <c r="CS615" s="179">
        <f t="shared" si="1113"/>
        <v>0.84885500000000003</v>
      </c>
      <c r="CT615" s="180">
        <f t="shared" si="1114"/>
        <v>1.037398205301105</v>
      </c>
      <c r="CU615" s="180">
        <f t="shared" si="1115"/>
        <v>0.46926837491571133</v>
      </c>
      <c r="CV615" s="180">
        <f t="shared" si="1116"/>
        <v>0.8548537519972772</v>
      </c>
      <c r="CW615" s="180">
        <f t="shared" si="1117"/>
        <v>0.41615833911547367</v>
      </c>
      <c r="CX615" s="181">
        <f>INDEX('State Tax Lookup'!$D$7:$Z$91,MATCH(Calculation!$C615,'State Tax Lookup'!$B$7:$B$91,0),MATCH($H615,'State Tax Lookup'!$D$6:$Z$6,0))</f>
        <v>0.40849999999999997</v>
      </c>
      <c r="CY615" s="72">
        <v>0.37</v>
      </c>
      <c r="CZ615" s="70">
        <f t="shared" si="1120"/>
        <v>19.50839647988342</v>
      </c>
      <c r="DA615" s="70">
        <v>17.956102603965455</v>
      </c>
      <c r="DB615" s="69">
        <f t="shared" si="1123"/>
        <v>2.3338828225281071E-2</v>
      </c>
      <c r="DC615" s="111">
        <f>VLOOKUP($H615,RoR!$E:$F,2,FALSE)</f>
        <v>4.9433333333333322E-2</v>
      </c>
      <c r="DD615" s="216">
        <f>HLOOKUP($H615,'GDP-PI'!$D$8:$CQ$11,3,FALSE)</f>
        <v>1.1684333519300205E-2</v>
      </c>
      <c r="DE615" s="111">
        <f>VLOOKUP(H615,'HW Dx Data'!$E:$F,2,FALSE)</f>
        <v>568.98950262971744</v>
      </c>
      <c r="DF615" s="72">
        <f t="shared" si="1133"/>
        <v>116.925</v>
      </c>
      <c r="DG615" s="69">
        <f t="shared" si="1134"/>
        <v>5.2678406346976722E-2</v>
      </c>
      <c r="DH615" s="66">
        <f>HLOOKUP(H615,'GDP-PI'!$8:$9,2,FALSE)</f>
        <v>96.108999999999995</v>
      </c>
      <c r="DI615" s="69">
        <f t="shared" si="1124"/>
        <v>1.1616598807150427E-2</v>
      </c>
      <c r="EB615"/>
    </row>
    <row r="616" spans="1:132" s="160" customFormat="1" ht="21">
      <c r="A616" s="160" t="s">
        <v>195</v>
      </c>
      <c r="B616" s="161" t="s">
        <v>195</v>
      </c>
      <c r="C616" s="161">
        <v>4061755</v>
      </c>
      <c r="D616" s="161" t="s">
        <v>196</v>
      </c>
      <c r="E616" s="161" t="s">
        <v>3</v>
      </c>
      <c r="F616" s="161"/>
      <c r="G616" s="161" t="s">
        <v>127</v>
      </c>
      <c r="H616" s="162">
        <v>2011</v>
      </c>
      <c r="I616" s="163"/>
      <c r="J616" s="159">
        <f>IFERROR(INDEX('Labor Expenditures'!$F$7:$X$91,MATCH($C616,'Labor Expenditures'!$D$7:$D$91,0),MATCH($G616,'Labor Expenditures'!$F$5:$X$5,0)),"NA")</f>
        <v>43145.493623284121</v>
      </c>
      <c r="K616" s="159">
        <f t="shared" si="1125"/>
        <v>356.94307030638362</v>
      </c>
      <c r="L616" s="165">
        <f t="shared" si="1131"/>
        <v>-1.4094728674464613E-2</v>
      </c>
      <c r="M616" s="76">
        <f t="shared" si="1135"/>
        <v>-2.4842644865114097E-4</v>
      </c>
      <c r="N616" s="62">
        <f t="shared" si="1141"/>
        <v>118.00505976068582</v>
      </c>
      <c r="O616" s="96">
        <f t="shared" si="1136"/>
        <v>0.18393918304636941</v>
      </c>
      <c r="P616" s="96"/>
      <c r="Q616" s="159">
        <f>IFERROR(INDEX('Non-Labor Expenditures'!$F$7:$AB$91,MATCH($C616,'Non-Labor Expenditures'!$D$7:$D$91,0),MATCH($G616,'Non-Labor Expenditures'!$F$5:$AB$5,0)),"NA")</f>
        <v>62482.733233143408</v>
      </c>
      <c r="R616" s="159">
        <f t="shared" si="1126"/>
        <v>636.85108073572462</v>
      </c>
      <c r="S616" s="165">
        <f t="shared" si="1137"/>
        <v>-1.4971977258053089E-3</v>
      </c>
      <c r="T616" s="165">
        <f t="shared" si="1138"/>
        <v>-2.6388838163605574E-5</v>
      </c>
      <c r="U616" s="165"/>
      <c r="V616" s="165"/>
      <c r="W616" s="159">
        <f t="shared" si="1107"/>
        <v>74257.779155786469</v>
      </c>
      <c r="X616" s="163"/>
      <c r="Y616" s="167">
        <v>3663.0064595887943</v>
      </c>
      <c r="Z616" s="168">
        <v>2.5199808241645034E-2</v>
      </c>
      <c r="AA616" s="76">
        <f t="shared" si="1127"/>
        <v>4.4415887760247544E-4</v>
      </c>
      <c r="AB616" s="168"/>
      <c r="AC616" s="168"/>
      <c r="AD616" s="163">
        <f t="shared" si="1056"/>
        <v>179886.006012214</v>
      </c>
      <c r="AE616" s="168">
        <f t="shared" si="1139"/>
        <v>4.3387749452586215E-2</v>
      </c>
      <c r="AF616" s="163"/>
      <c r="AG616" s="163"/>
      <c r="AH616" s="163"/>
      <c r="AI616" s="163"/>
      <c r="AJ616" s="116">
        <f t="shared" si="1140"/>
        <v>363.12510928355232</v>
      </c>
      <c r="AK616" s="114">
        <f>+AV616/$AX$16</f>
        <v>1.3937863076700634E-2</v>
      </c>
      <c r="AL616" s="115">
        <f t="shared" si="1128"/>
        <v>0.23984908320414097</v>
      </c>
      <c r="AM616" s="115">
        <f t="shared" si="1129"/>
        <v>0.34734627010897623</v>
      </c>
      <c r="AN616" s="115">
        <f t="shared" si="1130"/>
        <v>0.41280464668688277</v>
      </c>
      <c r="AO616" s="115">
        <f t="shared" si="1132"/>
        <v>6.2723824944671772E-3</v>
      </c>
      <c r="AP616" s="166">
        <f t="shared" si="1143"/>
        <v>119.10697238798078</v>
      </c>
      <c r="AQ616" s="168">
        <f t="shared" si="1144"/>
        <v>6.2723824944671746E-3</v>
      </c>
      <c r="AR616" s="69">
        <f>+AD616/$AF$16</f>
        <v>1.7625486406220404E-2</v>
      </c>
      <c r="AS616" s="169">
        <f t="shared" si="1142"/>
        <v>1.1055379239084601E-4</v>
      </c>
      <c r="AT616" s="115"/>
      <c r="AU616" s="115"/>
      <c r="AV616" s="113">
        <f>IFERROR(INDEX('Total Customers'!$F$7:$AB$91,MATCH($C616,'Total Customers'!$D$7:$D$91,0),MATCH($G616,'Total Customers'!$F$5:$AB$5,0)),"NA")</f>
        <v>495383</v>
      </c>
      <c r="AW616" s="68">
        <f t="shared" si="1074"/>
        <v>9.259851198269305E-3</v>
      </c>
      <c r="AX616" s="114"/>
      <c r="AY616" s="114"/>
      <c r="AZ616" s="116">
        <v>8437841</v>
      </c>
      <c r="BA616" s="116"/>
      <c r="BB616" s="166"/>
      <c r="BC616" s="166"/>
      <c r="BD616" s="166"/>
      <c r="BE616" s="166"/>
      <c r="BF616" s="166"/>
      <c r="BG616" s="166"/>
      <c r="BH616" s="166"/>
      <c r="BI616" s="113"/>
      <c r="BJ616" s="113"/>
      <c r="BK616" s="113">
        <f>INDEX('Dist. Plant Gas Additions'!$F$7:$AE$91,MATCH($C616,'Dist. Plant Gas Additions'!$D$7:$D$91,0),MATCH(Calculation!$G616,'Dist. Plant Gas Additions'!$F$5:$AE$5,0))</f>
        <v>63151</v>
      </c>
      <c r="BL616" s="113">
        <f>INDEX('Gen. Plant Additions'!$F$7:$AE$91,MATCH($C616,'Gen. Plant Additions'!$D$7:$D$91,0),MATCH(Calculation!$G616,'Gen. Plant Additions'!$F$5:$AE$5,0))</f>
        <v>8730</v>
      </c>
      <c r="BM616" s="231">
        <f t="shared" si="1108"/>
        <v>0.959612574497548</v>
      </c>
      <c r="BN616" s="61">
        <f t="shared" si="1118"/>
        <v>8377.417775363594</v>
      </c>
      <c r="BO616" s="113">
        <f>INDEX('Dist Plant Depreciation'!$E$7:$AD$94,MATCH($C616,'Dist Plant Depreciation'!$D$7:$D$94,0),MATCH(Calculation!$G616,'Dist Plant Depreciation'!$E$5:$AD$5,0))</f>
        <v>367819</v>
      </c>
      <c r="BP616" s="113">
        <f>INDEX('Gen. Plant Depreciation'!$E$7:$AD$94,MATCH($C616,'Gen. Plant Depreciation'!$D$7:$D$94,0),MATCH(Calculation!$G616,'Gen. Plant Depreciation'!$E$5:$AD$5,0))</f>
        <v>23779</v>
      </c>
      <c r="BQ616" s="113"/>
      <c r="BR616" s="113"/>
      <c r="BS616" s="113"/>
      <c r="BT616" s="113"/>
      <c r="BU616" s="113"/>
      <c r="BV616" s="113"/>
      <c r="BW616" s="113">
        <f>INDEX('Gross Dx Plant'!$E$7:$AD$91,MATCH($C616,'Gross Dx Plant'!$D$7:$D$91,0),MATCH(Calculation!$G616,'Gross Dx Plant'!$E$5:$AD$5,0))</f>
        <v>1128870</v>
      </c>
      <c r="BX616" s="113">
        <f>INDEX('Gross Gen Plant'!$E$7:$AD$91,MATCH($C616,'Gross Gen Plant'!$D$7:$D$91,0),MATCH(Calculation!$G616,'Gross Gen Plant'!$E$5:$AD$5,0))</f>
        <v>47511</v>
      </c>
      <c r="BY616" s="113">
        <f t="shared" si="1075"/>
        <v>784783</v>
      </c>
      <c r="BZ616" s="113"/>
      <c r="CA616" s="116">
        <v>2011</v>
      </c>
      <c r="CB616" s="113"/>
      <c r="CC616" s="113"/>
      <c r="CD616" s="113"/>
      <c r="CE616" s="175"/>
      <c r="CF616" s="113">
        <f t="shared" si="1109"/>
        <v>71881</v>
      </c>
      <c r="CG616" s="113">
        <f t="shared" si="1110"/>
        <v>117.52729872900129</v>
      </c>
      <c r="CH616" s="178">
        <v>0.92121212121212126</v>
      </c>
      <c r="CI616" s="61">
        <f>+CI603*CH616+CG604*CH615+CG605*CH614+CG606*CH613+CG607*CH612+CG608*CH611+CG609*CH610+CG610*CH609+CG611*CH608+CG612*CH607+CG613*CH606+CG614*CH605+CG615*CH604+CG616</f>
        <v>3663.0064595887943</v>
      </c>
      <c r="CJ616" s="114">
        <f t="shared" si="1111"/>
        <v>2.5199808241645034E-2</v>
      </c>
      <c r="CK616" s="114"/>
      <c r="CL616" s="169">
        <f t="shared" si="1112"/>
        <v>7.3837282546366997E-3</v>
      </c>
      <c r="CM616" s="169">
        <f t="shared" si="1121"/>
        <v>7.1374225232788656E-3</v>
      </c>
      <c r="CN616" s="114">
        <f>VLOOKUP($H616,RoR!$E:$F,2,FALSE)</f>
        <v>4.6391666666666664E-2</v>
      </c>
      <c r="CO616" s="169">
        <v>2.0840920205183799E-2</v>
      </c>
      <c r="CP616" s="169">
        <f t="shared" si="1119"/>
        <v>2.5550746461482865E-2</v>
      </c>
      <c r="CQ616" s="169">
        <f t="shared" si="1122"/>
        <v>2.3764519085254759E-2</v>
      </c>
      <c r="CR616" s="169">
        <v>2.4810540821321614E-2</v>
      </c>
      <c r="CS616" s="179">
        <f t="shared" si="1113"/>
        <v>0.84885500000000003</v>
      </c>
      <c r="CT616" s="180">
        <f t="shared" si="1114"/>
        <v>1.1054151524782025</v>
      </c>
      <c r="CU616" s="180">
        <f t="shared" si="1115"/>
        <v>0.43611011316687626</v>
      </c>
      <c r="CV616" s="180">
        <f t="shared" si="1116"/>
        <v>0.83698442246886229</v>
      </c>
      <c r="CW616" s="180">
        <f t="shared" si="1117"/>
        <v>0.40349573304423936</v>
      </c>
      <c r="CX616" s="181">
        <f>INDEX('State Tax Lookup'!$D$7:$Z$91,MATCH(Calculation!$C616,'State Tax Lookup'!$B$7:$B$91,0),MATCH($H616,'State Tax Lookup'!$D$6:$Z$6,0))</f>
        <v>0.40849999999999997</v>
      </c>
      <c r="CY616" s="72">
        <v>0.37</v>
      </c>
      <c r="CZ616" s="70">
        <f t="shared" si="1120"/>
        <v>20.789708964424563</v>
      </c>
      <c r="DA616" s="70">
        <v>19.146574949201604</v>
      </c>
      <c r="DB616" s="69">
        <f t="shared" si="1123"/>
        <v>6.3613141341805166E-2</v>
      </c>
      <c r="DC616" s="111">
        <f>VLOOKUP($H616,RoR!$E:$F,2,FALSE)</f>
        <v>4.6391666666666664E-2</v>
      </c>
      <c r="DD616" s="216">
        <f>HLOOKUP($H616,'GDP-PI'!$D$8:$CQ$11,3,FALSE)</f>
        <v>2.0840920205183799E-2</v>
      </c>
      <c r="DE616" s="111">
        <f>VLOOKUP(H616,'HW Dx Data'!$E:$F,2,FALSE)</f>
        <v>611.61109612283201</v>
      </c>
      <c r="DF616" s="72">
        <f t="shared" si="1133"/>
        <v>120.875</v>
      </c>
      <c r="DG616" s="69">
        <f t="shared" si="1134"/>
        <v>3.3224250161508609E-2</v>
      </c>
      <c r="DH616" s="66">
        <f>HLOOKUP(H616,'GDP-PI'!$8:$9,2,FALSE)</f>
        <v>98.111999999999995</v>
      </c>
      <c r="DI616" s="69">
        <f t="shared" si="1124"/>
        <v>2.0626719212849295E-2</v>
      </c>
      <c r="EB616"/>
    </row>
    <row r="617" spans="1:132" s="160" customFormat="1" ht="21">
      <c r="A617" s="160" t="s">
        <v>195</v>
      </c>
      <c r="B617" s="161" t="s">
        <v>195</v>
      </c>
      <c r="C617" s="161">
        <v>4061755</v>
      </c>
      <c r="D617" s="161" t="s">
        <v>196</v>
      </c>
      <c r="E617" s="161" t="s">
        <v>3</v>
      </c>
      <c r="F617" s="161"/>
      <c r="G617" s="161" t="s">
        <v>128</v>
      </c>
      <c r="H617" s="162">
        <v>2012</v>
      </c>
      <c r="I617" s="163"/>
      <c r="J617" s="159">
        <f>IFERROR(INDEX('Labor Expenditures'!$F$7:$X$91,MATCH($C617,'Labor Expenditures'!$D$7:$D$91,0),MATCH($G617,'Labor Expenditures'!$F$5:$X$5,0)),"NA")</f>
        <v>42477.713210836744</v>
      </c>
      <c r="K617" s="159">
        <f t="shared" si="1125"/>
        <v>340.36629175349952</v>
      </c>
      <c r="L617" s="165">
        <f t="shared" si="1131"/>
        <v>-4.7553935739658902E-2</v>
      </c>
      <c r="M617" s="76">
        <f t="shared" si="1135"/>
        <v>-8.2967694633876452E-4</v>
      </c>
      <c r="N617" s="62">
        <f t="shared" si="1141"/>
        <v>116.98086584363398</v>
      </c>
      <c r="O617" s="96">
        <f t="shared" si="1136"/>
        <v>-8.7171212485536616E-3</v>
      </c>
      <c r="P617" s="96"/>
      <c r="Q617" s="159">
        <f>IFERROR(INDEX('Non-Labor Expenditures'!$F$7:$AB$91,MATCH($C617,'Non-Labor Expenditures'!$D$7:$D$91,0),MATCH($G617,'Non-Labor Expenditures'!$F$5:$AB$5,0)),"NA")</f>
        <v>61515.662471742959</v>
      </c>
      <c r="R617" s="159">
        <f t="shared" si="1126"/>
        <v>615.15662471742962</v>
      </c>
      <c r="S617" s="165">
        <f t="shared" si="1137"/>
        <v>-3.4658936316532385E-2</v>
      </c>
      <c r="T617" s="165">
        <f t="shared" si="1138"/>
        <v>-6.0469696144348109E-4</v>
      </c>
      <c r="U617" s="165"/>
      <c r="V617" s="165"/>
      <c r="W617" s="159">
        <f t="shared" si="1107"/>
        <v>82586.183722993621</v>
      </c>
      <c r="X617" s="163"/>
      <c r="Y617" s="167">
        <v>3701.9171453010249</v>
      </c>
      <c r="Z617" s="168">
        <v>1.0566585572206456E-2</v>
      </c>
      <c r="AA617" s="76">
        <f t="shared" si="1127"/>
        <v>1.8435598051801509E-4</v>
      </c>
      <c r="AB617" s="168"/>
      <c r="AC617" s="168"/>
      <c r="AD617" s="163">
        <f t="shared" si="1056"/>
        <v>186579.55940557332</v>
      </c>
      <c r="AE617" s="168">
        <f t="shared" si="1139"/>
        <v>3.6534389767407804E-2</v>
      </c>
      <c r="AF617" s="163"/>
      <c r="AG617" s="163"/>
      <c r="AH617" s="163"/>
      <c r="AI617" s="163"/>
      <c r="AJ617" s="116">
        <f t="shared" si="1140"/>
        <v>375.35645550165333</v>
      </c>
      <c r="AK617" s="114">
        <f>+AV617/$AX$17</f>
        <v>1.3918389565776139E-2</v>
      </c>
      <c r="AL617" s="115">
        <f t="shared" si="1128"/>
        <v>0.22766541708088037</v>
      </c>
      <c r="AM617" s="115">
        <f t="shared" si="1129"/>
        <v>0.32970204596755748</v>
      </c>
      <c r="AN617" s="115">
        <f t="shared" si="1130"/>
        <v>0.44263253695156218</v>
      </c>
      <c r="AO617" s="115">
        <f t="shared" si="1132"/>
        <v>-1.8329439385730902E-2</v>
      </c>
      <c r="AP617" s="166">
        <f t="shared" si="1143"/>
        <v>116.9436947560207</v>
      </c>
      <c r="AQ617" s="168">
        <f t="shared" si="1144"/>
        <v>-1.8329439385730936E-2</v>
      </c>
      <c r="AR617" s="69">
        <f>+AD617/$AF$17</f>
        <v>1.744707211787799E-2</v>
      </c>
      <c r="AS617" s="169">
        <f t="shared" si="1142"/>
        <v>-3.1979505084312089E-4</v>
      </c>
      <c r="AT617" s="115"/>
      <c r="AU617" s="115"/>
      <c r="AV617" s="113">
        <f>IFERROR(INDEX('Total Customers'!$F$7:$AB$91,MATCH($C617,'Total Customers'!$D$7:$D$91,0),MATCH($G617,'Total Customers'!$F$5:$AB$5,0)),"NA")</f>
        <v>497073</v>
      </c>
      <c r="AW617" s="68">
        <f t="shared" si="1074"/>
        <v>3.405695836374316E-3</v>
      </c>
      <c r="AX617" s="114"/>
      <c r="AY617" s="114"/>
      <c r="AZ617" s="116">
        <v>8485072</v>
      </c>
      <c r="BA617" s="116"/>
      <c r="BB617" s="166"/>
      <c r="BC617" s="166"/>
      <c r="BD617" s="166"/>
      <c r="BE617" s="166"/>
      <c r="BF617" s="166"/>
      <c r="BG617" s="166"/>
      <c r="BH617" s="166"/>
      <c r="BI617" s="113"/>
      <c r="BJ617" s="113"/>
      <c r="BK617" s="113">
        <f>INDEX('Dist. Plant Gas Additions'!$F$7:$AE$91,MATCH($C617,'Dist. Plant Gas Additions'!$D$7:$D$91,0),MATCH(Calculation!$G617,'Dist. Plant Gas Additions'!$F$5:$AE$5,0))</f>
        <v>38735</v>
      </c>
      <c r="BL617" s="113">
        <f>INDEX('Gen. Plant Additions'!$F$7:$AE$91,MATCH($C617,'Gen. Plant Additions'!$D$7:$D$91,0),MATCH(Calculation!$G617,'Gen. Plant Additions'!$F$5:$AE$5,0))</f>
        <v>5963</v>
      </c>
      <c r="BM617" s="231">
        <f t="shared" si="1108"/>
        <v>0.95689801849905021</v>
      </c>
      <c r="BN617" s="61">
        <f t="shared" si="1118"/>
        <v>5705.9828843098367</v>
      </c>
      <c r="BO617" s="113">
        <f>INDEX('Dist Plant Depreciation'!$E$7:$AD$94,MATCH($C617,'Dist Plant Depreciation'!$D$7:$D$94,0),MATCH(Calculation!$G617,'Dist Plant Depreciation'!$E$5:$AD$5,0))</f>
        <v>366751</v>
      </c>
      <c r="BP617" s="113">
        <f>INDEX('Gen. Plant Depreciation'!$E$7:$AD$94,MATCH($C617,'Gen. Plant Depreciation'!$D$7:$D$94,0),MATCH(Calculation!$G617,'Gen. Plant Depreciation'!$E$5:$AD$5,0))</f>
        <v>26187</v>
      </c>
      <c r="BQ617" s="113"/>
      <c r="BR617" s="113"/>
      <c r="BS617" s="113"/>
      <c r="BT617" s="113"/>
      <c r="BU617" s="113"/>
      <c r="BV617" s="113"/>
      <c r="BW617" s="113">
        <f>INDEX('Gross Dx Plant'!$E$7:$AD$91,MATCH($C617,'Gross Dx Plant'!$D$7:$D$91,0),MATCH(Calculation!$G617,'Gross Dx Plant'!$E$5:$AD$5,0))</f>
        <v>1164165</v>
      </c>
      <c r="BX617" s="113">
        <f>INDEX('Gross Gen Plant'!$E$7:$AD$91,MATCH($C617,'Gross Gen Plant'!$D$7:$D$91,0),MATCH(Calculation!$G617,'Gross Gen Plant'!$E$5:$AD$5,0))</f>
        <v>52438</v>
      </c>
      <c r="BY617" s="113">
        <f t="shared" si="1075"/>
        <v>823665</v>
      </c>
      <c r="BZ617" s="113"/>
      <c r="CA617" s="116">
        <v>2012</v>
      </c>
      <c r="CB617" s="113"/>
      <c r="CC617" s="113"/>
      <c r="CD617" s="113"/>
      <c r="CE617" s="175"/>
      <c r="CF617" s="113">
        <f t="shared" si="1109"/>
        <v>44698</v>
      </c>
      <c r="CG617" s="113">
        <f t="shared" si="1110"/>
        <v>66.821212248484699</v>
      </c>
      <c r="CH617" s="178">
        <v>0.9135802469135802</v>
      </c>
      <c r="CI617" s="61">
        <f>+CI603*CH617+CG604*CH616+CG605*CH615+CG606*CH614+CG607*CH613+CG608*CH612+CG609*CH611+CG610*CH610+CG611*CH609+CG612*CH608+CG613*CH607+CG614*CH606+CG615*CH605+CG616*CH604+CG617</f>
        <v>3701.9171453010249</v>
      </c>
      <c r="CJ617" s="114">
        <f t="shared" si="1111"/>
        <v>1.0566585572206456E-2</v>
      </c>
      <c r="CK617" s="114"/>
      <c r="CL617" s="169">
        <f t="shared" si="1112"/>
        <v>7.6195679271030608E-3</v>
      </c>
      <c r="CM617" s="169">
        <f t="shared" si="1121"/>
        <v>7.3784101766797248E-3</v>
      </c>
      <c r="CN617" s="114">
        <f>VLOOKUP($H617,RoR!$E:$F,2,FALSE)</f>
        <v>3.6733333333333333E-2</v>
      </c>
      <c r="CO617" s="169">
        <v>1.924331376386168E-2</v>
      </c>
      <c r="CP617" s="169">
        <f t="shared" si="1119"/>
        <v>1.7490019569471653E-2</v>
      </c>
      <c r="CQ617" s="169">
        <f t="shared" si="1122"/>
        <v>2.35235314318539E-2</v>
      </c>
      <c r="CR617" s="169">
        <v>6.7122682943869583E-2</v>
      </c>
      <c r="CS617" s="179">
        <f t="shared" si="1113"/>
        <v>0.84885500000000003</v>
      </c>
      <c r="CT617" s="180">
        <f t="shared" si="1114"/>
        <v>1.3960631020522127</v>
      </c>
      <c r="CU617" s="180">
        <f t="shared" si="1115"/>
        <v>0.29441923774954631</v>
      </c>
      <c r="CV617" s="180">
        <f t="shared" si="1116"/>
        <v>0.76377954189366437</v>
      </c>
      <c r="CW617" s="180">
        <f t="shared" si="1117"/>
        <v>0.31393465103033691</v>
      </c>
      <c r="CX617" s="181">
        <f>INDEX('State Tax Lookup'!$D$7:$Z$91,MATCH(Calculation!$C617,'State Tax Lookup'!$B$7:$B$91,0),MATCH($H617,'State Tax Lookup'!$D$6:$Z$6,0))</f>
        <v>0.40849999999999997</v>
      </c>
      <c r="CY617" s="72">
        <v>0.37</v>
      </c>
      <c r="CZ617" s="70">
        <f t="shared" si="1120"/>
        <v>22.54601094322522</v>
      </c>
      <c r="DA617" s="70">
        <v>20.759737328210988</v>
      </c>
      <c r="DB617" s="69">
        <f t="shared" si="1123"/>
        <v>8.1100049048708697E-2</v>
      </c>
      <c r="DC617" s="111">
        <f>VLOOKUP($H617,RoR!$E:$F,2,FALSE)</f>
        <v>3.6733333333333333E-2</v>
      </c>
      <c r="DD617" s="216">
        <f>HLOOKUP($H617,'GDP-PI'!$D$8:$CQ$11,3,FALSE)</f>
        <v>1.924331376386168E-2</v>
      </c>
      <c r="DE617" s="111">
        <f>VLOOKUP(H617,'HW Dx Data'!$E:$F,2,FALSE)</f>
        <v>668.91932211262167</v>
      </c>
      <c r="DF617" s="72">
        <f t="shared" si="1133"/>
        <v>124.80000000000001</v>
      </c>
      <c r="DG617" s="69">
        <f t="shared" si="1134"/>
        <v>3.1955502161869064E-2</v>
      </c>
      <c r="DH617" s="66">
        <f>HLOOKUP(H617,'GDP-PI'!$8:$9,2,FALSE)</f>
        <v>100</v>
      </c>
      <c r="DI617" s="69">
        <f t="shared" si="1124"/>
        <v>1.9060502738742411E-2</v>
      </c>
      <c r="EB617"/>
    </row>
    <row r="618" spans="1:132" s="160" customFormat="1" ht="21">
      <c r="A618" s="160" t="s">
        <v>195</v>
      </c>
      <c r="B618" s="161" t="s">
        <v>195</v>
      </c>
      <c r="C618" s="161">
        <v>4061755</v>
      </c>
      <c r="D618" s="161" t="s">
        <v>196</v>
      </c>
      <c r="E618" s="161" t="s">
        <v>3</v>
      </c>
      <c r="F618" s="161"/>
      <c r="G618" s="161" t="s">
        <v>129</v>
      </c>
      <c r="H618" s="162">
        <v>2013</v>
      </c>
      <c r="I618" s="163"/>
      <c r="J618" s="159">
        <f>IFERROR(INDEX('Labor Expenditures'!$F$7:$X$91,MATCH($C618,'Labor Expenditures'!$D$7:$D$91,0),MATCH($G618,'Labor Expenditures'!$F$5:$X$5,0)),"NA")</f>
        <v>46363.346695503147</v>
      </c>
      <c r="K618" s="159">
        <f t="shared" si="1125"/>
        <v>365.64153545349484</v>
      </c>
      <c r="L618" s="165">
        <f t="shared" si="1131"/>
        <v>7.1631075740565334E-2</v>
      </c>
      <c r="M618" s="76">
        <f t="shared" si="1135"/>
        <v>1.260201984613846E-3</v>
      </c>
      <c r="N618" s="62">
        <f t="shared" si="1141"/>
        <v>109.21955546564131</v>
      </c>
      <c r="O618" s="96">
        <f t="shared" si="1136"/>
        <v>-6.8650254991964532E-2</v>
      </c>
      <c r="P618" s="96"/>
      <c r="Q618" s="159">
        <f>IFERROR(INDEX('Non-Labor Expenditures'!$F$7:$AB$91,MATCH($C618,'Non-Labor Expenditures'!$D$7:$D$91,0),MATCH($G618,'Non-Labor Expenditures'!$F$5:$AB$5,0)),"NA")</f>
        <v>67142.785493767165</v>
      </c>
      <c r="R618" s="159">
        <f t="shared" si="1126"/>
        <v>659.73082736842946</v>
      </c>
      <c r="S618" s="165">
        <f t="shared" si="1137"/>
        <v>6.9955004791853098E-2</v>
      </c>
      <c r="T618" s="165">
        <f t="shared" si="1138"/>
        <v>1.2307149510312327E-3</v>
      </c>
      <c r="U618" s="165"/>
      <c r="V618" s="165"/>
      <c r="W618" s="159">
        <f t="shared" si="1107"/>
        <v>81621.392053497781</v>
      </c>
      <c r="X618" s="163"/>
      <c r="Y618" s="167">
        <v>3803.9824630340781</v>
      </c>
      <c r="Z618" s="168">
        <v>2.7197701697428883E-2</v>
      </c>
      <c r="AA618" s="76">
        <f t="shared" si="1127"/>
        <v>4.7848782531441483E-4</v>
      </c>
      <c r="AB618" s="168"/>
      <c r="AC618" s="168"/>
      <c r="AD618" s="163">
        <f t="shared" si="1056"/>
        <v>195127.52424276809</v>
      </c>
      <c r="AE618" s="168">
        <f t="shared" si="1139"/>
        <v>4.479557518760699E-2</v>
      </c>
      <c r="AF618" s="163"/>
      <c r="AG618" s="163"/>
      <c r="AH618" s="163"/>
      <c r="AI618" s="163"/>
      <c r="AJ618" s="116">
        <f t="shared" si="1140"/>
        <v>391.25431199838005</v>
      </c>
      <c r="AK618" s="114">
        <f>+AV618/$AX$18</f>
        <v>1.3875589859261767E-2</v>
      </c>
      <c r="AL618" s="115">
        <f t="shared" si="1128"/>
        <v>0.23760536539079</v>
      </c>
      <c r="AM618" s="115">
        <f t="shared" si="1129"/>
        <v>0.34409694764656268</v>
      </c>
      <c r="AN618" s="115">
        <f t="shared" si="1130"/>
        <v>0.4182976869626473</v>
      </c>
      <c r="AO618" s="115">
        <f t="shared" si="1132"/>
        <v>5.1939390949220607E-2</v>
      </c>
      <c r="AP618" s="166">
        <f t="shared" si="1143"/>
        <v>123.17818535673892</v>
      </c>
      <c r="AQ618" s="168">
        <f t="shared" si="1144"/>
        <v>5.1939390949220503E-2</v>
      </c>
      <c r="AR618" s="69">
        <f>+AD618/$AF$18</f>
        <v>1.7592950707288932E-2</v>
      </c>
      <c r="AS618" s="169">
        <f t="shared" si="1142"/>
        <v>9.1376714473624524E-4</v>
      </c>
      <c r="AT618" s="115"/>
      <c r="AU618" s="115"/>
      <c r="AV618" s="113">
        <f>IFERROR(INDEX('Total Customers'!$F$7:$AB$91,MATCH($C618,'Total Customers'!$D$7:$D$91,0),MATCH($G618,'Total Customers'!$F$5:$AB$5,0)),"NA")</f>
        <v>498723</v>
      </c>
      <c r="AW618" s="68">
        <f t="shared" si="1074"/>
        <v>3.3139348020020895E-3</v>
      </c>
      <c r="AX618" s="114"/>
      <c r="AY618" s="114"/>
      <c r="AZ618" s="116">
        <v>8534921</v>
      </c>
      <c r="BA618" s="116"/>
      <c r="BB618" s="166"/>
      <c r="BC618" s="166"/>
      <c r="BD618" s="166"/>
      <c r="BE618" s="166"/>
      <c r="BF618" s="166"/>
      <c r="BG618" s="166"/>
      <c r="BH618" s="166"/>
      <c r="BI618" s="113"/>
      <c r="BJ618" s="113"/>
      <c r="BK618" s="113">
        <f>INDEX('Dist. Plant Gas Additions'!$F$7:$AE$91,MATCH($C618,'Dist. Plant Gas Additions'!$D$7:$D$91,0),MATCH(Calculation!$G618,'Dist. Plant Gas Additions'!$F$5:$AE$5,0))</f>
        <v>81631</v>
      </c>
      <c r="BL618" s="113">
        <f>INDEX('Gen. Plant Additions'!$F$7:$AE$91,MATCH($C618,'Gen. Plant Additions'!$D$7:$D$91,0),MATCH(Calculation!$G618,'Gen. Plant Additions'!$F$5:$AE$5,0))</f>
        <v>5474</v>
      </c>
      <c r="BM618" s="231">
        <f t="shared" si="1108"/>
        <v>0.95490591910397071</v>
      </c>
      <c r="BN618" s="61">
        <f t="shared" si="1118"/>
        <v>5227.155001175136</v>
      </c>
      <c r="BO618" s="113">
        <f>INDEX('Dist Plant Depreciation'!$E$7:$AD$94,MATCH($C618,'Dist Plant Depreciation'!$D$7:$D$94,0),MATCH(Calculation!$G618,'Dist Plant Depreciation'!$E$5:$AD$5,0))</f>
        <v>356226</v>
      </c>
      <c r="BP618" s="113">
        <f>INDEX('Gen. Plant Depreciation'!$E$7:$AD$94,MATCH($C618,'Gen. Plant Depreciation'!$D$7:$D$94,0),MATCH(Calculation!$G618,'Gen. Plant Depreciation'!$E$5:$AD$5,0))</f>
        <v>30468</v>
      </c>
      <c r="BQ618" s="113"/>
      <c r="BR618" s="113"/>
      <c r="BS618" s="113"/>
      <c r="BT618" s="113"/>
      <c r="BU618" s="113"/>
      <c r="BV618" s="113"/>
      <c r="BW618" s="113">
        <f>INDEX('Gross Dx Plant'!$E$7:$AD$91,MATCH($C618,'Gross Dx Plant'!$D$7:$D$91,0),MATCH(Calculation!$G618,'Gross Dx Plant'!$E$5:$AD$5,0))</f>
        <v>1227014</v>
      </c>
      <c r="BX618" s="113">
        <f>INDEX('Gross Gen Plant'!$E$7:$AD$91,MATCH($C618,'Gross Gen Plant'!$D$7:$D$91,0),MATCH(Calculation!$G618,'Gross Gen Plant'!$E$5:$AD$5,0))</f>
        <v>57944</v>
      </c>
      <c r="BY618" s="113">
        <f t="shared" si="1075"/>
        <v>898264</v>
      </c>
      <c r="BZ618" s="113"/>
      <c r="CA618" s="116">
        <v>2013</v>
      </c>
      <c r="CB618" s="113"/>
      <c r="CC618" s="113"/>
      <c r="CD618" s="113"/>
      <c r="CE618" s="175"/>
      <c r="CF618" s="113">
        <f t="shared" si="1109"/>
        <v>87105</v>
      </c>
      <c r="CG618" s="113">
        <f t="shared" si="1110"/>
        <v>131.33088489806835</v>
      </c>
      <c r="CH618" s="178">
        <v>0.90566037735849059</v>
      </c>
      <c r="CI618" s="61">
        <f>+CI603*CH618+CG604*CH617+CG605*CH616+CG606*CH615+CG607*CH614+CG608*CH613+CG609*CH612+CG610*CH611+CG611*CH610+CG612*CH609+CG613*CH608+CG614*CH607+CG615*CH606+CG616*CH605+CG617*CH604+CG618</f>
        <v>3803.9824630340781</v>
      </c>
      <c r="CJ618" s="114">
        <f t="shared" si="1111"/>
        <v>2.7197701697428883E-2</v>
      </c>
      <c r="CK618" s="114"/>
      <c r="CL618" s="169">
        <f t="shared" si="1112"/>
        <v>7.9055165246372239E-3</v>
      </c>
      <c r="CM618" s="169">
        <f t="shared" si="1121"/>
        <v>7.6362709021256621E-3</v>
      </c>
      <c r="CN618" s="114">
        <f>VLOOKUP($H618,RoR!$E:$F,2,FALSE)</f>
        <v>4.2350000000000006E-2</v>
      </c>
      <c r="CO618" s="169">
        <v>1.7730000000000024E-2</v>
      </c>
      <c r="CP618" s="169">
        <f t="shared" si="1119"/>
        <v>2.4619999999999982E-2</v>
      </c>
      <c r="CQ618" s="169">
        <f t="shared" si="1122"/>
        <v>2.3265670706407962E-2</v>
      </c>
      <c r="CR618" s="169">
        <v>5.3376742735721204E-2</v>
      </c>
      <c r="CS618" s="179">
        <f t="shared" si="1113"/>
        <v>0.84885500000000003</v>
      </c>
      <c r="CT618" s="180">
        <f t="shared" si="1114"/>
        <v>1.2109103018193925</v>
      </c>
      <c r="CU618" s="180">
        <f t="shared" si="1115"/>
        <v>0.38468122786304604</v>
      </c>
      <c r="CV618" s="180">
        <f t="shared" si="1116"/>
        <v>0.80969194503422559</v>
      </c>
      <c r="CW618" s="180">
        <f t="shared" si="1117"/>
        <v>0.37716621754800816</v>
      </c>
      <c r="CX618" s="181">
        <f>INDEX('State Tax Lookup'!$D$7:$Z$91,MATCH(Calculation!$C618,'State Tax Lookup'!$B$7:$B$91,0),MATCH($H618,'State Tax Lookup'!$D$6:$Z$6,0))</f>
        <v>0.40849999999999997</v>
      </c>
      <c r="CY618" s="72">
        <v>0.37</v>
      </c>
      <c r="CZ618" s="70">
        <f t="shared" si="1120"/>
        <v>22.048411363582979</v>
      </c>
      <c r="DA618" s="70">
        <v>20.339519021246105</v>
      </c>
      <c r="DB618" s="69">
        <f t="shared" si="1123"/>
        <v>-2.2317599701162989E-2</v>
      </c>
      <c r="DC618" s="111">
        <f>VLOOKUP($H618,RoR!$E:$F,2,FALSE)</f>
        <v>4.2350000000000006E-2</v>
      </c>
      <c r="DD618" s="216">
        <f>HLOOKUP($H618,'GDP-PI'!$D$8:$CQ$11,3,FALSE)</f>
        <v>1.7730000000000024E-2</v>
      </c>
      <c r="DE618" s="111">
        <f>VLOOKUP(H618,'HW Dx Data'!$E:$F,2,FALSE)</f>
        <v>663.24840548821396</v>
      </c>
      <c r="DF618" s="72">
        <f t="shared" si="1133"/>
        <v>126.8</v>
      </c>
      <c r="DG618" s="69">
        <f t="shared" si="1134"/>
        <v>1.5898586067798204E-2</v>
      </c>
      <c r="DH618" s="66">
        <f>HLOOKUP(H618,'GDP-PI'!$8:$9,2,FALSE)</f>
        <v>101.773</v>
      </c>
      <c r="DI618" s="69">
        <f t="shared" si="1124"/>
        <v>1.7574657016510519E-2</v>
      </c>
      <c r="EB618"/>
    </row>
    <row r="619" spans="1:132" s="160" customFormat="1" ht="21">
      <c r="A619" s="160" t="s">
        <v>195</v>
      </c>
      <c r="B619" s="161" t="s">
        <v>195</v>
      </c>
      <c r="C619" s="161">
        <v>4061755</v>
      </c>
      <c r="D619" s="161" t="s">
        <v>196</v>
      </c>
      <c r="E619" s="161" t="s">
        <v>3</v>
      </c>
      <c r="F619" s="161"/>
      <c r="G619" s="161" t="s">
        <v>130</v>
      </c>
      <c r="H619" s="162">
        <v>2014</v>
      </c>
      <c r="I619" s="163"/>
      <c r="J619" s="159">
        <f>IFERROR(INDEX('Labor Expenditures'!$F$7:$X$91,MATCH($C619,'Labor Expenditures'!$D$7:$D$91,0),MATCH($G619,'Labor Expenditures'!$F$5:$X$5,0)),"NA")</f>
        <v>53782.709430029819</v>
      </c>
      <c r="K619" s="159">
        <f t="shared" si="1125"/>
        <v>415.63144845463535</v>
      </c>
      <c r="L619" s="165">
        <f t="shared" si="1131"/>
        <v>0.12814548423313757</v>
      </c>
      <c r="M619" s="76">
        <f t="shared" si="1135"/>
        <v>2.4465321143844906E-3</v>
      </c>
      <c r="N619" s="62">
        <f t="shared" si="1141"/>
        <v>121.50563919197432</v>
      </c>
      <c r="O619" s="96">
        <f t="shared" si="1136"/>
        <v>0.1066005481725171</v>
      </c>
      <c r="P619" s="96"/>
      <c r="Q619" s="159">
        <f>IFERROR(INDEX('Non-Labor Expenditures'!$F$7:$AB$91,MATCH($C619,'Non-Labor Expenditures'!$D$7:$D$91,0),MATCH($G619,'Non-Labor Expenditures'!$F$5:$AB$5,0)),"NA")</f>
        <v>77887.408479171514</v>
      </c>
      <c r="R619" s="159">
        <f t="shared" si="1126"/>
        <v>751.46804518385977</v>
      </c>
      <c r="S619" s="165">
        <f t="shared" si="1137"/>
        <v>0.13019677239855618</v>
      </c>
      <c r="T619" s="165">
        <f t="shared" si="1138"/>
        <v>2.4856949643482329E-3</v>
      </c>
      <c r="U619" s="165"/>
      <c r="V619" s="165"/>
      <c r="W619" s="159">
        <f t="shared" si="1107"/>
        <v>85685.456569426649</v>
      </c>
      <c r="X619" s="163"/>
      <c r="Y619" s="167">
        <v>3932.8695786148382</v>
      </c>
      <c r="Z619" s="168">
        <v>3.3320797576064438E-2</v>
      </c>
      <c r="AA619" s="76">
        <f t="shared" si="1127"/>
        <v>6.3615508446973363E-4</v>
      </c>
      <c r="AB619" s="168"/>
      <c r="AC619" s="168"/>
      <c r="AD619" s="163">
        <f t="shared" si="1056"/>
        <v>217355.574478628</v>
      </c>
      <c r="AE619" s="168">
        <f t="shared" si="1139"/>
        <v>0.10788128928664638</v>
      </c>
      <c r="AF619" s="163"/>
      <c r="AG619" s="163"/>
      <c r="AH619" s="163"/>
      <c r="AI619" s="163"/>
      <c r="AJ619" s="116">
        <f t="shared" si="1140"/>
        <v>430.69619899026873</v>
      </c>
      <c r="AK619" s="114">
        <f>+AV619/$AX$19</f>
        <v>1.3965768355113812E-2</v>
      </c>
      <c r="AL619" s="115">
        <f t="shared" si="1128"/>
        <v>0.24744113215885397</v>
      </c>
      <c r="AM619" s="115">
        <f t="shared" si="1129"/>
        <v>0.35834097499454737</v>
      </c>
      <c r="AN619" s="115">
        <f t="shared" si="1130"/>
        <v>0.39421789284659858</v>
      </c>
      <c r="AO619" s="115">
        <f t="shared" si="1132"/>
        <v>9.0342667902264112E-2</v>
      </c>
      <c r="AP619" s="166">
        <f t="shared" si="1143"/>
        <v>134.82459487718268</v>
      </c>
      <c r="AQ619" s="168">
        <f t="shared" si="1144"/>
        <v>9.0342667902264112E-2</v>
      </c>
      <c r="AR619" s="69">
        <f>+AD619/$AF$19</f>
        <v>1.9091832451414888E-2</v>
      </c>
      <c r="AS619" s="169">
        <f t="shared" si="1142"/>
        <v>1.7248070788038442E-3</v>
      </c>
      <c r="AT619" s="115"/>
      <c r="AU619" s="115"/>
      <c r="AV619" s="113">
        <f>IFERROR(INDEX('Total Customers'!$F$7:$AB$91,MATCH($C619,'Total Customers'!$D$7:$D$91,0),MATCH($G619,'Total Customers'!$F$5:$AB$5,0)),"NA")</f>
        <v>504661</v>
      </c>
      <c r="AW619" s="68">
        <f t="shared" si="1074"/>
        <v>1.1836085332201219E-2</v>
      </c>
      <c r="AX619" s="114"/>
      <c r="AY619" s="114"/>
      <c r="AZ619" s="116">
        <v>8599754</v>
      </c>
      <c r="BA619" s="116"/>
      <c r="BB619" s="166"/>
      <c r="BC619" s="166"/>
      <c r="BD619" s="166"/>
      <c r="BE619" s="166"/>
      <c r="BF619" s="166"/>
      <c r="BG619" s="166"/>
      <c r="BH619" s="166"/>
      <c r="BI619" s="113"/>
      <c r="BJ619" s="113"/>
      <c r="BK619" s="113">
        <f>INDEX('Dist. Plant Gas Additions'!$F$7:$AE$91,MATCH($C619,'Dist. Plant Gas Additions'!$D$7:$D$91,0),MATCH(Calculation!$G619,'Dist. Plant Gas Additions'!$F$5:$AE$5,0))</f>
        <v>103472</v>
      </c>
      <c r="BL619" s="113">
        <f>INDEX('Gen. Plant Additions'!$F$7:$AE$91,MATCH($C619,'Gen. Plant Additions'!$D$7:$D$91,0),MATCH(Calculation!$G619,'Gen. Plant Additions'!$F$5:$AE$5,0))</f>
        <v>5972</v>
      </c>
      <c r="BM619" s="231">
        <f t="shared" si="1108"/>
        <v>0.95566178567722182</v>
      </c>
      <c r="BN619" s="61">
        <f t="shared" si="1118"/>
        <v>5707.2121840643686</v>
      </c>
      <c r="BO619" s="113">
        <f>INDEX('Dist Plant Depreciation'!$E$7:$AD$94,MATCH($C619,'Dist Plant Depreciation'!$D$7:$D$94,0),MATCH(Calculation!$G619,'Dist Plant Depreciation'!$E$5:$AD$5,0))</f>
        <v>354004</v>
      </c>
      <c r="BP619" s="113">
        <f>INDEX('Gen. Plant Depreciation'!$E$7:$AD$94,MATCH($C619,'Gen. Plant Depreciation'!$D$7:$D$94,0),MATCH(Calculation!$G619,'Gen. Plant Depreciation'!$E$5:$AD$5,0))</f>
        <v>32063</v>
      </c>
      <c r="BQ619" s="113"/>
      <c r="BR619" s="113"/>
      <c r="BS619" s="113"/>
      <c r="BT619" s="113"/>
      <c r="BU619" s="113"/>
      <c r="BV619" s="113"/>
      <c r="BW619" s="113">
        <f>INDEX('Gross Dx Plant'!$E$7:$AD$91,MATCH($C619,'Gross Dx Plant'!$D$7:$D$91,0),MATCH(Calculation!$G619,'Gross Dx Plant'!$E$5:$AD$5,0))</f>
        <v>1316836</v>
      </c>
      <c r="BX619" s="113">
        <f>INDEX('Gross Gen Plant'!$E$7:$AD$91,MATCH($C619,'Gross Gen Plant'!$D$7:$D$91,0),MATCH(Calculation!$G619,'Gross Gen Plant'!$E$5:$AD$5,0))</f>
        <v>61095</v>
      </c>
      <c r="BY619" s="113">
        <f t="shared" si="1075"/>
        <v>991864</v>
      </c>
      <c r="BZ619" s="113"/>
      <c r="CA619" s="116">
        <v>2014</v>
      </c>
      <c r="CB619" s="113"/>
      <c r="CC619" s="113"/>
      <c r="CD619" s="113"/>
      <c r="CE619" s="175"/>
      <c r="CF619" s="113">
        <f t="shared" si="1109"/>
        <v>109444</v>
      </c>
      <c r="CG619" s="113">
        <f t="shared" si="1110"/>
        <v>159.89617814504729</v>
      </c>
      <c r="CH619" s="178">
        <v>0.89743589743589747</v>
      </c>
      <c r="CI619" s="61">
        <f>+CI603*CH619+CG604*CH618+CG605*CH617+CG606*CH616+CG607*CH615+CG608*CH614+CG609*CH613+CG610*CH612+CG611*CH611+CG612*CH610+CG613*CH609+CG614*CH608+CG615*CH607+CG616*CH606+CG617*CH605+CG618*CH604+CG619</f>
        <v>3932.8695786148382</v>
      </c>
      <c r="CJ619" s="114">
        <f t="shared" si="1111"/>
        <v>3.3320797576064438E-2</v>
      </c>
      <c r="CK619" s="114"/>
      <c r="CL619" s="169">
        <f t="shared" si="1112"/>
        <v>8.151736467142956E-3</v>
      </c>
      <c r="CM619" s="169">
        <f t="shared" si="1121"/>
        <v>7.8922736396277466E-3</v>
      </c>
      <c r="CN619" s="114">
        <f>VLOOKUP($H619,RoR!$E:$F,2,FALSE)</f>
        <v>4.1625000000000002E-2</v>
      </c>
      <c r="CO619" s="169">
        <v>1.841352814597208E-2</v>
      </c>
      <c r="CP619" s="169">
        <f t="shared" si="1119"/>
        <v>2.3211471854027922E-2</v>
      </c>
      <c r="CQ619" s="169">
        <f t="shared" si="1122"/>
        <v>2.3009667968905877E-2</v>
      </c>
      <c r="CR619" s="169">
        <v>3.9072621432650924E-2</v>
      </c>
      <c r="CS619" s="179">
        <f t="shared" si="1113"/>
        <v>0.84885500000000003</v>
      </c>
      <c r="CT619" s="180">
        <f t="shared" si="1114"/>
        <v>1.2320012320012319</v>
      </c>
      <c r="CU619" s="180">
        <f t="shared" si="1115"/>
        <v>0.37439939939939942</v>
      </c>
      <c r="CV619" s="180">
        <f t="shared" si="1116"/>
        <v>0.80432100613819935</v>
      </c>
      <c r="CW619" s="180">
        <f t="shared" si="1117"/>
        <v>0.37100152660040037</v>
      </c>
      <c r="CX619" s="181">
        <f>INDEX('State Tax Lookup'!$D$7:$Z$91,MATCH(Calculation!$C619,'State Tax Lookup'!$B$7:$B$91,0),MATCH($H619,'State Tax Lookup'!$D$6:$Z$6,0))</f>
        <v>0.40849999999999997</v>
      </c>
      <c r="CY619" s="72">
        <v>0.37</v>
      </c>
      <c r="CZ619" s="70">
        <f t="shared" si="1120"/>
        <v>22.525197579665875</v>
      </c>
      <c r="DA619" s="70">
        <v>20.763592984765573</v>
      </c>
      <c r="DB619" s="69">
        <f t="shared" si="1123"/>
        <v>2.1394022733917897E-2</v>
      </c>
      <c r="DC619" s="111">
        <f>VLOOKUP($H619,RoR!$E:$F,2,FALSE)</f>
        <v>4.1625000000000002E-2</v>
      </c>
      <c r="DD619" s="216">
        <f>HLOOKUP($H619,'GDP-PI'!$D$8:$CQ$11,3,FALSE)</f>
        <v>1.841352814597208E-2</v>
      </c>
      <c r="DE619" s="111">
        <f>VLOOKUP(H619,'HW Dx Data'!$E:$F,2,FALSE)</f>
        <v>684.46914285042885</v>
      </c>
      <c r="DF619" s="72">
        <f t="shared" si="1133"/>
        <v>129.4</v>
      </c>
      <c r="DG619" s="69">
        <f t="shared" si="1134"/>
        <v>2.0297340063674733E-2</v>
      </c>
      <c r="DH619" s="66">
        <f>HLOOKUP(H619,'GDP-PI'!$8:$9,2,FALSE)</f>
        <v>103.64700000000001</v>
      </c>
      <c r="DI619" s="69">
        <f t="shared" si="1124"/>
        <v>1.8246051898256087E-2</v>
      </c>
      <c r="EB619"/>
    </row>
    <row r="620" spans="1:132" s="160" customFormat="1" ht="21">
      <c r="A620" s="160" t="s">
        <v>195</v>
      </c>
      <c r="B620" s="161" t="s">
        <v>195</v>
      </c>
      <c r="C620" s="161">
        <v>4061755</v>
      </c>
      <c r="D620" s="161" t="s">
        <v>196</v>
      </c>
      <c r="E620" s="161" t="s">
        <v>3</v>
      </c>
      <c r="F620" s="161"/>
      <c r="G620" s="161" t="s">
        <v>132</v>
      </c>
      <c r="H620" s="162">
        <v>2015</v>
      </c>
      <c r="I620" s="163"/>
      <c r="J620" s="159">
        <f>IFERROR(INDEX('Labor Expenditures'!$F$7:$X$91,MATCH($C620,'Labor Expenditures'!$D$7:$D$91,0),MATCH($G620,'Labor Expenditures'!$F$5:$X$5,0)),"NA")</f>
        <v>54056.383793694418</v>
      </c>
      <c r="K620" s="159">
        <f t="shared" si="1125"/>
        <v>404.91673253703686</v>
      </c>
      <c r="L620" s="165">
        <f t="shared" si="1131"/>
        <v>-2.6117479074331509E-2</v>
      </c>
      <c r="M620" s="76">
        <f t="shared" si="1135"/>
        <v>-4.9722658043193898E-4</v>
      </c>
      <c r="N620" s="62">
        <f t="shared" si="1141"/>
        <v>119.81672695657633</v>
      </c>
      <c r="O620" s="96">
        <f t="shared" si="1136"/>
        <v>-1.399737485990534E-2</v>
      </c>
      <c r="P620" s="96"/>
      <c r="Q620" s="159">
        <f>IFERROR(INDEX('Non-Labor Expenditures'!$F$7:$AB$91,MATCH($C620,'Non-Labor Expenditures'!$D$7:$D$91,0),MATCH($G620,'Non-Labor Expenditures'!$F$5:$AB$5,0)),"NA")</f>
        <v>78283.740073078152</v>
      </c>
      <c r="R620" s="159">
        <f t="shared" si="1126"/>
        <v>748.13157687934859</v>
      </c>
      <c r="S620" s="165">
        <f t="shared" si="1137"/>
        <v>-4.4498194862706529E-3</v>
      </c>
      <c r="T620" s="165">
        <f t="shared" si="1138"/>
        <v>-8.4716006487482785E-5</v>
      </c>
      <c r="U620" s="165"/>
      <c r="V620" s="165"/>
      <c r="W620" s="159">
        <f t="shared" si="1107"/>
        <v>86546.6881738011</v>
      </c>
      <c r="X620" s="163"/>
      <c r="Y620" s="167">
        <v>4092.3042692869158</v>
      </c>
      <c r="Z620" s="168">
        <v>3.9738870322940156E-2</v>
      </c>
      <c r="AA620" s="76">
        <f t="shared" si="1127"/>
        <v>7.5655167731419133E-4</v>
      </c>
      <c r="AB620" s="168"/>
      <c r="AC620" s="168"/>
      <c r="AD620" s="163">
        <f t="shared" si="1056"/>
        <v>218886.81204057368</v>
      </c>
      <c r="AE620" s="168">
        <f t="shared" si="1139"/>
        <v>7.0201516306718616E-3</v>
      </c>
      <c r="AF620" s="163"/>
      <c r="AG620" s="163"/>
      <c r="AH620" s="163"/>
      <c r="AI620" s="163"/>
      <c r="AJ620" s="116">
        <f t="shared" si="1140"/>
        <v>426.96708710648232</v>
      </c>
      <c r="AK620" s="114">
        <f>+AV620/$AX$20</f>
        <v>1.4071632129813596E-2</v>
      </c>
      <c r="AL620" s="115">
        <f t="shared" si="1128"/>
        <v>0.24696044174499798</v>
      </c>
      <c r="AM620" s="115">
        <f t="shared" si="1129"/>
        <v>0.35764484549469877</v>
      </c>
      <c r="AN620" s="115">
        <f t="shared" si="1130"/>
        <v>0.39539471276030314</v>
      </c>
      <c r="AO620" s="115">
        <f t="shared" si="1132"/>
        <v>7.6398912614573065E-3</v>
      </c>
      <c r="AP620" s="166">
        <f t="shared" si="1143"/>
        <v>135.85858487768184</v>
      </c>
      <c r="AQ620" s="168">
        <f t="shared" si="1144"/>
        <v>7.6398912614573473E-3</v>
      </c>
      <c r="AR620" s="69">
        <f>+AD620/$AF$20</f>
        <v>1.9038077106018157E-2</v>
      </c>
      <c r="AS620" s="169">
        <f t="shared" si="1142"/>
        <v>1.4544883891721931E-4</v>
      </c>
      <c r="AT620" s="115"/>
      <c r="AU620" s="115"/>
      <c r="AV620" s="113">
        <f>IFERROR(INDEX('Total Customers'!$F$7:$AB$91,MATCH($C620,'Total Customers'!$D$7:$D$91,0),MATCH($G620,'Total Customers'!$F$5:$AB$5,0)),"NA")</f>
        <v>512655</v>
      </c>
      <c r="AW620" s="68">
        <f t="shared" si="1074"/>
        <v>1.5716187578932707E-2</v>
      </c>
      <c r="AX620" s="114"/>
      <c r="AY620" s="114"/>
      <c r="AZ620" s="116">
        <v>8659109</v>
      </c>
      <c r="BA620" s="116"/>
      <c r="BB620" s="166"/>
      <c r="BC620" s="166"/>
      <c r="BD620" s="166"/>
      <c r="BE620" s="166"/>
      <c r="BF620" s="166"/>
      <c r="BG620" s="166"/>
      <c r="BH620" s="166"/>
      <c r="BI620" s="113"/>
      <c r="BJ620" s="113"/>
      <c r="BK620" s="113">
        <f>INDEX('Dist. Plant Gas Additions'!$F$7:$AE$91,MATCH($C620,'Dist. Plant Gas Additions'!$D$7:$D$91,0),MATCH(Calculation!$G620,'Dist. Plant Gas Additions'!$F$5:$AE$5,0))</f>
        <v>120059</v>
      </c>
      <c r="BL620" s="113">
        <f>INDEX('Gen. Plant Additions'!$F$7:$AE$91,MATCH($C620,'Gen. Plant Additions'!$D$7:$D$91,0),MATCH(Calculation!$G620,'Gen. Plant Additions'!$F$5:$AE$5,0))</f>
        <v>9937</v>
      </c>
      <c r="BM620" s="231">
        <f t="shared" si="1108"/>
        <v>0.95293979688712194</v>
      </c>
      <c r="BN620" s="61">
        <f t="shared" si="1118"/>
        <v>9469.3627616673311</v>
      </c>
      <c r="BO620" s="113">
        <f>INDEX('Dist Plant Depreciation'!$E$7:$AD$94,MATCH($C620,'Dist Plant Depreciation'!$D$7:$D$94,0),MATCH(Calculation!$G620,'Dist Plant Depreciation'!$E$5:$AD$5,0))</f>
        <v>363585</v>
      </c>
      <c r="BP620" s="113">
        <f>INDEX('Gen. Plant Depreciation'!$E$7:$AD$94,MATCH($C620,'Gen. Plant Depreciation'!$D$7:$D$94,0),MATCH(Calculation!$G620,'Gen. Plant Depreciation'!$E$5:$AD$5,0))</f>
        <v>37325</v>
      </c>
      <c r="BQ620" s="113"/>
      <c r="BR620" s="113"/>
      <c r="BS620" s="113"/>
      <c r="BT620" s="113"/>
      <c r="BU620" s="113"/>
      <c r="BV620" s="113"/>
      <c r="BW620" s="113">
        <f>INDEX('Gross Dx Plant'!$E$7:$AD$91,MATCH($C620,'Gross Dx Plant'!$D$7:$D$91,0),MATCH(Calculation!$G620,'Gross Dx Plant'!$E$5:$AD$5,0))</f>
        <v>1438374</v>
      </c>
      <c r="BX620" s="113">
        <f>INDEX('Gross Gen Plant'!$E$7:$AD$91,MATCH($C620,'Gross Gen Plant'!$D$7:$D$91,0),MATCH(Calculation!$G620,'Gross Gen Plant'!$E$5:$AD$5,0))</f>
        <v>71033</v>
      </c>
      <c r="BY620" s="113">
        <f t="shared" si="1075"/>
        <v>1108497</v>
      </c>
      <c r="BZ620" s="113"/>
      <c r="CA620" s="116">
        <v>2015</v>
      </c>
      <c r="CB620" s="113"/>
      <c r="CC620" s="113"/>
      <c r="CD620" s="113"/>
      <c r="CE620" s="175"/>
      <c r="CF620" s="113">
        <f t="shared" si="1109"/>
        <v>129996</v>
      </c>
      <c r="CG620" s="113">
        <f t="shared" si="1110"/>
        <v>192.41146303491334</v>
      </c>
      <c r="CH620" s="178">
        <v>0.88888888888888884</v>
      </c>
      <c r="CI620" s="61">
        <f>+CI603*CH620+CG604*CH619+CG605*CH618+CG606*CH617+CG607*CH616+CG608*CH615+CG609*CH614+CG610*CH613+CG611*CH612+CG612*CH611+CG613*CH610+CG614*CH609+CG615*CH608+CG616*CH607+CG617*CH606+CG618*CH605+CG619*CH604+CG620</f>
        <v>4092.3042692869158</v>
      </c>
      <c r="CJ620" s="114">
        <f t="shared" si="1111"/>
        <v>3.9738870322940156E-2</v>
      </c>
      <c r="CK620" s="114"/>
      <c r="CL620" s="169">
        <f t="shared" si="1112"/>
        <v>8.3849137897042281E-3</v>
      </c>
      <c r="CM620" s="169">
        <f t="shared" si="1121"/>
        <v>8.1473889271614693E-3</v>
      </c>
      <c r="CN620" s="114">
        <f>VLOOKUP($H620,RoR!$E:$F,2,FALSE)</f>
        <v>3.8866666666666674E-2</v>
      </c>
      <c r="CO620" s="169">
        <v>9.5709475431029478E-3</v>
      </c>
      <c r="CP620" s="169">
        <f t="shared" si="1119"/>
        <v>2.9295719123563727E-2</v>
      </c>
      <c r="CQ620" s="169">
        <f t="shared" si="1122"/>
        <v>2.2754552681372157E-2</v>
      </c>
      <c r="CR620" s="169">
        <v>3.5270373279175926E-3</v>
      </c>
      <c r="CS620" s="179">
        <f t="shared" si="1113"/>
        <v>0.84885500000000003</v>
      </c>
      <c r="CT620" s="180">
        <f t="shared" si="1114"/>
        <v>1.3194352816994324</v>
      </c>
      <c r="CU620" s="180">
        <f t="shared" si="1115"/>
        <v>0.33177530017152673</v>
      </c>
      <c r="CV620" s="180">
        <f t="shared" si="1116"/>
        <v>0.78242572977668579</v>
      </c>
      <c r="CW620" s="180">
        <f t="shared" si="1117"/>
        <v>0.34251158643433932</v>
      </c>
      <c r="CX620" s="181">
        <f>INDEX('State Tax Lookup'!$D$7:$Z$91,MATCH(Calculation!$C620,'State Tax Lookup'!$B$7:$B$91,0),MATCH($H620,'State Tax Lookup'!$D$6:$Z$6,0))</f>
        <v>0.40849999999999997</v>
      </c>
      <c r="CY620" s="72">
        <v>0.37</v>
      </c>
      <c r="CZ620" s="70">
        <f t="shared" si="1120"/>
        <v>22.005989886977883</v>
      </c>
      <c r="DA620" s="70">
        <v>20.279488671080099</v>
      </c>
      <c r="DB620" s="69">
        <f t="shared" si="1123"/>
        <v>-2.3319891138097754E-2</v>
      </c>
      <c r="DC620" s="111">
        <f>VLOOKUP($H620,RoR!$E:$F,2,FALSE)</f>
        <v>3.8866666666666674E-2</v>
      </c>
      <c r="DD620" s="216">
        <f>HLOOKUP($H620,'GDP-PI'!$D$8:$CQ$11,3,FALSE)</f>
        <v>9.5709475431029478E-3</v>
      </c>
      <c r="DE620" s="111">
        <f>VLOOKUP(H620,'HW Dx Data'!$E:$F,2,FALSE)</f>
        <v>675.61463308665782</v>
      </c>
      <c r="DF620" s="72">
        <f t="shared" si="1133"/>
        <v>133.5</v>
      </c>
      <c r="DG620" s="69">
        <f t="shared" si="1134"/>
        <v>3.1193095773504077E-2</v>
      </c>
      <c r="DH620" s="66">
        <f>HLOOKUP(H620,'GDP-PI'!$8:$9,2,FALSE)</f>
        <v>104.639</v>
      </c>
      <c r="DI620" s="69">
        <f t="shared" si="1124"/>
        <v>9.5254361854427965E-3</v>
      </c>
      <c r="EB620"/>
    </row>
    <row r="621" spans="1:132" s="160" customFormat="1" ht="21">
      <c r="A621" s="160" t="s">
        <v>195</v>
      </c>
      <c r="B621" s="161" t="s">
        <v>195</v>
      </c>
      <c r="C621" s="161">
        <v>4061755</v>
      </c>
      <c r="D621" s="161" t="s">
        <v>196</v>
      </c>
      <c r="E621" s="161" t="s">
        <v>3</v>
      </c>
      <c r="F621" s="161"/>
      <c r="G621" s="161" t="s">
        <v>133</v>
      </c>
      <c r="H621" s="162">
        <v>2016</v>
      </c>
      <c r="I621" s="163"/>
      <c r="J621" s="159">
        <f>IFERROR(INDEX('Labor Expenditures'!$F$7:$X$91,MATCH($C621,'Labor Expenditures'!$D$7:$D$91,0),MATCH($G621,'Labor Expenditures'!$F$5:$X$5,0)),"NA")</f>
        <v>53805.595754100235</v>
      </c>
      <c r="K621" s="159">
        <f t="shared" si="1125"/>
        <v>392.88496352026465</v>
      </c>
      <c r="L621" s="165">
        <f t="shared" si="1131"/>
        <v>-3.0164591962897808E-2</v>
      </c>
      <c r="M621" s="76">
        <f t="shared" si="1135"/>
        <v>-5.5908909263058021E-4</v>
      </c>
      <c r="N621" s="62">
        <f t="shared" si="1141"/>
        <v>301.49295026525448</v>
      </c>
      <c r="O621" s="96">
        <f t="shared" si="1136"/>
        <v>0.92278333374276522</v>
      </c>
      <c r="P621" s="96"/>
      <c r="Q621" s="159">
        <f>IFERROR(INDEX('Non-Labor Expenditures'!$F$7:$AB$91,MATCH($C621,'Non-Labor Expenditures'!$D$7:$D$91,0),MATCH($G621,'Non-Labor Expenditures'!$F$5:$AB$5,0)),"NA")</f>
        <v>77920.552151001175</v>
      </c>
      <c r="R621" s="159">
        <f t="shared" si="1126"/>
        <v>736.93493371227555</v>
      </c>
      <c r="S621" s="165">
        <f t="shared" si="1137"/>
        <v>-1.5079264461319993E-2</v>
      </c>
      <c r="T621" s="165">
        <f t="shared" si="1138"/>
        <v>-2.7948835825744237E-4</v>
      </c>
      <c r="U621" s="165"/>
      <c r="V621" s="165"/>
      <c r="W621" s="159">
        <f t="shared" si="1107"/>
        <v>88793.937444083131</v>
      </c>
      <c r="X621" s="163"/>
      <c r="Y621" s="167">
        <v>4293.6826371538255</v>
      </c>
      <c r="Z621" s="168">
        <v>4.8036585850837886E-2</v>
      </c>
      <c r="AA621" s="76">
        <f t="shared" si="1127"/>
        <v>8.9033961505096673E-4</v>
      </c>
      <c r="AB621" s="168"/>
      <c r="AC621" s="168"/>
      <c r="AD621" s="163">
        <f t="shared" si="1056"/>
        <v>220520.08534918455</v>
      </c>
      <c r="AE621" s="168">
        <f t="shared" si="1139"/>
        <v>7.4340245461433987E-3</v>
      </c>
      <c r="AF621" s="163"/>
      <c r="AG621" s="163"/>
      <c r="AH621" s="163"/>
      <c r="AI621" s="163"/>
      <c r="AJ621" s="116">
        <f t="shared" si="1140"/>
        <v>423.57612698286556</v>
      </c>
      <c r="AK621" s="114">
        <f>+AV621/$AX$21</f>
        <v>1.4166635872491324E-2</v>
      </c>
      <c r="AL621" s="115">
        <f t="shared" si="1128"/>
        <v>0.24399408184928495</v>
      </c>
      <c r="AM621" s="115">
        <f t="shared" si="1129"/>
        <v>0.35334900232610178</v>
      </c>
      <c r="AN621" s="115">
        <f t="shared" si="1130"/>
        <v>0.40265691582461327</v>
      </c>
      <c r="AO621" s="115">
        <f t="shared" si="1132"/>
        <v>6.4024842158492724E-3</v>
      </c>
      <c r="AP621" s="166">
        <f t="shared" si="1143"/>
        <v>136.73120781939048</v>
      </c>
      <c r="AQ621" s="168">
        <f t="shared" si="1144"/>
        <v>6.4024842158493765E-3</v>
      </c>
      <c r="AR621" s="69">
        <f>+AD621/$AF$21</f>
        <v>1.8534614799969946E-2</v>
      </c>
      <c r="AS621" s="169">
        <f t="shared" si="1142"/>
        <v>1.1866757870365583E-4</v>
      </c>
      <c r="AT621" s="115"/>
      <c r="AU621" s="115"/>
      <c r="AV621" s="113">
        <f>IFERROR(INDEX('Total Customers'!$F$7:$AB$91,MATCH($C621,'Total Customers'!$D$7:$D$91,0),MATCH($G621,'Total Customers'!$F$5:$AB$5,0)),"NA")</f>
        <v>520615</v>
      </c>
      <c r="AW621" s="68">
        <f t="shared" si="1074"/>
        <v>1.5407700742073017E-2</v>
      </c>
      <c r="AX621" s="114"/>
      <c r="AY621" s="114"/>
      <c r="AZ621" s="116">
        <v>8759079</v>
      </c>
      <c r="BA621" s="116"/>
      <c r="BB621" s="166"/>
      <c r="BC621" s="166"/>
      <c r="BD621" s="166"/>
      <c r="BE621" s="166"/>
      <c r="BF621" s="166"/>
      <c r="BG621" s="166"/>
      <c r="BH621" s="166"/>
      <c r="BI621" s="113"/>
      <c r="BJ621" s="113"/>
      <c r="BK621" s="113">
        <f>INDEX('Dist. Plant Gas Additions'!$F$7:$AE$91,MATCH($C621,'Dist. Plant Gas Additions'!$D$7:$D$91,0),MATCH(Calculation!$G621,'Dist. Plant Gas Additions'!$F$5:$AE$5,0))</f>
        <v>127654</v>
      </c>
      <c r="BL621" s="113">
        <f>INDEX('Gen. Plant Additions'!$F$7:$AE$91,MATCH($C621,'Gen. Plant Additions'!$D$7:$D$91,0),MATCH(Calculation!$G621,'Gen. Plant Additions'!$F$5:$AE$5,0))</f>
        <v>31197</v>
      </c>
      <c r="BM621" s="231">
        <f t="shared" si="1108"/>
        <v>0.93835736208341625</v>
      </c>
      <c r="BN621" s="61">
        <f t="shared" si="1118"/>
        <v>29273.934624916335</v>
      </c>
      <c r="BO621" s="113">
        <f>INDEX('Dist Plant Depreciation'!$E$7:$AD$94,MATCH($C621,'Dist Plant Depreciation'!$D$7:$D$94,0),MATCH(Calculation!$G621,'Dist Plant Depreciation'!$E$5:$AD$5,0))</f>
        <v>347931</v>
      </c>
      <c r="BP621" s="113">
        <f>INDEX('Gen. Plant Depreciation'!$E$7:$AD$94,MATCH($C621,'Gen. Plant Depreciation'!$D$7:$D$94,0),MATCH(Calculation!$G621,'Gen. Plant Depreciation'!$E$5:$AD$5,0))</f>
        <v>45913</v>
      </c>
      <c r="BQ621" s="113"/>
      <c r="BR621" s="113"/>
      <c r="BS621" s="113"/>
      <c r="BT621" s="113"/>
      <c r="BU621" s="113"/>
      <c r="BV621" s="113"/>
      <c r="BW621" s="113">
        <f>INDEX('Gross Dx Plant'!$E$7:$AD$91,MATCH($C621,'Gross Dx Plant'!$D$7:$D$91,0),MATCH(Calculation!$G621,'Gross Dx Plant'!$E$5:$AD$5,0))</f>
        <v>1556200</v>
      </c>
      <c r="BX621" s="113">
        <f>INDEX('Gross Gen Plant'!$E$7:$AD$91,MATCH($C621,'Gross Gen Plant'!$D$7:$D$91,0),MATCH(Calculation!$G621,'Gross Gen Plant'!$E$5:$AD$5,0))</f>
        <v>102230</v>
      </c>
      <c r="BY621" s="113">
        <f t="shared" si="1075"/>
        <v>1264586</v>
      </c>
      <c r="BZ621" s="113"/>
      <c r="CA621" s="116">
        <v>2016</v>
      </c>
      <c r="CB621" s="113"/>
      <c r="CC621" s="113"/>
      <c r="CD621" s="113"/>
      <c r="CE621" s="175"/>
      <c r="CF621" s="113">
        <f t="shared" si="1109"/>
        <v>158851</v>
      </c>
      <c r="CG621" s="113">
        <f t="shared" si="1110"/>
        <v>236.57679255518244</v>
      </c>
      <c r="CH621" s="178">
        <v>0.88</v>
      </c>
      <c r="CI621" s="61">
        <f>+CI603*CH621+CG604*CH620+CG605*CH619+CG606*CH618+CG607*CH617+CG608*CH616+CG609*CH615+CG610*CH614+CG611*CH613+CG612*CH612+CG613*CH611+CG614*CH610+CG615*CH609+CG616*CH608+CG617*CH607+CG618*CH606+CG619*CH605+CG620*CH604+CG621</f>
        <v>4293.6826371538255</v>
      </c>
      <c r="CJ621" s="114">
        <f t="shared" si="1111"/>
        <v>4.8036585850837886E-2</v>
      </c>
      <c r="CK621" s="114"/>
      <c r="CL621" s="169">
        <f t="shared" si="1112"/>
        <v>8.6011260092363762E-3</v>
      </c>
      <c r="CM621" s="169">
        <f t="shared" si="1121"/>
        <v>8.3792587553611856E-3</v>
      </c>
      <c r="CN621" s="114">
        <f>VLOOKUP($H621,RoR!$E:$F,2,FALSE)</f>
        <v>3.6658333333333334E-2</v>
      </c>
      <c r="CO621" s="169">
        <v>1.0483662879041455E-2</v>
      </c>
      <c r="CP621" s="169">
        <f t="shared" si="1119"/>
        <v>2.6174670454291879E-2</v>
      </c>
      <c r="CQ621" s="169">
        <f t="shared" si="1122"/>
        <v>2.2522682853172438E-2</v>
      </c>
      <c r="CR621" s="169">
        <v>4.301363574220729E-3</v>
      </c>
      <c r="CS621" s="179">
        <f t="shared" si="1113"/>
        <v>0.84885500000000003</v>
      </c>
      <c r="CT621" s="180">
        <f t="shared" si="1114"/>
        <v>1.3989193348138562</v>
      </c>
      <c r="CU621" s="180">
        <f t="shared" si="1115"/>
        <v>0.29302682427824522</v>
      </c>
      <c r="CV621" s="180">
        <f t="shared" si="1116"/>
        <v>0.76309497491941802</v>
      </c>
      <c r="CW621" s="180">
        <f t="shared" si="1117"/>
        <v>0.31280857135128509</v>
      </c>
      <c r="CX621" s="181">
        <f>INDEX('State Tax Lookup'!$D$7:$Z$91,MATCH(Calculation!$C621,'State Tax Lookup'!$B$7:$B$91,0),MATCH($H621,'State Tax Lookup'!$D$6:$Z$6,0))</f>
        <v>0.40849999999999997</v>
      </c>
      <c r="CY621" s="72">
        <v>0.37</v>
      </c>
      <c r="CZ621" s="70">
        <f t="shared" si="1120"/>
        <v>21.697784817832101</v>
      </c>
      <c r="DA621" s="70">
        <v>19.909765876209278</v>
      </c>
      <c r="DB621" s="69">
        <f t="shared" si="1123"/>
        <v>-1.4104510681999758E-2</v>
      </c>
      <c r="DC621" s="111">
        <f>VLOOKUP($H621,RoR!$E:$F,2,FALSE)</f>
        <v>3.6658333333333334E-2</v>
      </c>
      <c r="DD621" s="216">
        <f>HLOOKUP($H621,'GDP-PI'!$D$8:$CQ$11,3,FALSE)</f>
        <v>1.0483662879041455E-2</v>
      </c>
      <c r="DE621" s="111">
        <f>VLOOKUP(H621,'HW Dx Data'!$E:$F,2,FALSE)</f>
        <v>671.45639385971219</v>
      </c>
      <c r="DF621" s="72">
        <f t="shared" si="1133"/>
        <v>136.94999999999999</v>
      </c>
      <c r="DG621" s="69">
        <f t="shared" si="1134"/>
        <v>2.5514417868782811E-2</v>
      </c>
      <c r="DH621" s="66">
        <f>HLOOKUP(H621,'GDP-PI'!$8:$9,2,FALSE)</f>
        <v>105.736</v>
      </c>
      <c r="DI621" s="69">
        <f t="shared" si="1124"/>
        <v>1.0429090367205095E-2</v>
      </c>
      <c r="EB621"/>
    </row>
    <row r="622" spans="1:132" s="160" customFormat="1" ht="21">
      <c r="A622" s="160" t="s">
        <v>195</v>
      </c>
      <c r="B622" s="161" t="s">
        <v>195</v>
      </c>
      <c r="C622" s="161">
        <v>4061755</v>
      </c>
      <c r="D622" s="161" t="s">
        <v>196</v>
      </c>
      <c r="E622" s="161" t="s">
        <v>3</v>
      </c>
      <c r="F622" s="161"/>
      <c r="G622" s="161" t="s">
        <v>135</v>
      </c>
      <c r="H622" s="162">
        <v>2017</v>
      </c>
      <c r="I622" s="163"/>
      <c r="J622" s="159">
        <f>IFERROR(INDEX('Labor Expenditures'!$F$7:$X$91,MATCH($C622,'Labor Expenditures'!$D$7:$D$91,0),MATCH($G622,'Labor Expenditures'!$F$5:$X$5,0)),"NA")</f>
        <v>57278.321985684808</v>
      </c>
      <c r="K622" s="159">
        <f t="shared" si="1125"/>
        <v>407.82002125799085</v>
      </c>
      <c r="L622" s="165">
        <f t="shared" si="1131"/>
        <v>3.7309097381162462E-2</v>
      </c>
      <c r="M622" s="76">
        <f t="shared" si="1135"/>
        <v>7.065288815203386E-4</v>
      </c>
      <c r="N622" s="62">
        <f t="shared" si="1141"/>
        <v>167.33839122589475</v>
      </c>
      <c r="O622" s="96">
        <f t="shared" si="1136"/>
        <v>-0.58872857667269796</v>
      </c>
      <c r="P622" s="96"/>
      <c r="Q622" s="159">
        <f>IFERROR(INDEX('Non-Labor Expenditures'!$F$7:$AB$91,MATCH($C622,'Non-Labor Expenditures'!$D$7:$D$91,0),MATCH($G622,'Non-Labor Expenditures'!$F$5:$AB$5,0)),"NA")</f>
        <v>82949.708350125962</v>
      </c>
      <c r="R622" s="159">
        <f t="shared" si="1126"/>
        <v>769.82773570663812</v>
      </c>
      <c r="S622" s="165">
        <f t="shared" si="1137"/>
        <v>4.3667166994582909E-2</v>
      </c>
      <c r="T622" s="165">
        <f t="shared" si="1138"/>
        <v>8.2693275424620385E-4</v>
      </c>
      <c r="U622" s="165"/>
      <c r="V622" s="165"/>
      <c r="W622" s="159">
        <f t="shared" si="1107"/>
        <v>84002.678611737894</v>
      </c>
      <c r="X622" s="163"/>
      <c r="Y622" s="167">
        <v>4481.1028668568324</v>
      </c>
      <c r="Z622" s="168">
        <v>4.2724403484224606E-2</v>
      </c>
      <c r="AA622" s="76">
        <f t="shared" si="1127"/>
        <v>8.0907947729054236E-4</v>
      </c>
      <c r="AB622" s="168"/>
      <c r="AC622" s="168"/>
      <c r="AD622" s="163">
        <f t="shared" si="1056"/>
        <v>224230.70894754864</v>
      </c>
      <c r="AE622" s="168">
        <f t="shared" si="1139"/>
        <v>1.6686691721034003E-2</v>
      </c>
      <c r="AF622" s="163"/>
      <c r="AG622" s="163"/>
      <c r="AH622" s="163"/>
      <c r="AI622" s="163"/>
      <c r="AJ622" s="116">
        <f t="shared" si="1140"/>
        <v>423.4403288626059</v>
      </c>
      <c r="AK622" s="114">
        <f>+AV622/$AX$22</f>
        <v>1.4301371345803754E-2</v>
      </c>
      <c r="AL622" s="115">
        <f t="shared" si="1128"/>
        <v>0.2554437001716976</v>
      </c>
      <c r="AM622" s="115">
        <f t="shared" si="1129"/>
        <v>0.36993018815067524</v>
      </c>
      <c r="AN622" s="115">
        <f t="shared" si="1130"/>
        <v>0.37462611167762727</v>
      </c>
      <c r="AO622" s="115">
        <f t="shared" si="1132"/>
        <v>4.1713039863977078E-2</v>
      </c>
      <c r="AP622" s="166">
        <f t="shared" si="1143"/>
        <v>142.55530814714911</v>
      </c>
      <c r="AQ622" s="168">
        <f t="shared" si="1144"/>
        <v>4.1713039863977085E-2</v>
      </c>
      <c r="AR622" s="69">
        <f>+AD622/$AF$22</f>
        <v>1.8937174338531929E-2</v>
      </c>
      <c r="AS622" s="169">
        <f t="shared" si="1142"/>
        <v>7.8992710809426623E-4</v>
      </c>
      <c r="AT622" s="115"/>
      <c r="AU622" s="115"/>
      <c r="AV622" s="113">
        <f>IFERROR(INDEX('Total Customers'!$F$7:$AB$91,MATCH($C622,'Total Customers'!$D$7:$D$91,0),MATCH($G622,'Total Customers'!$F$5:$AB$5,0)),"NA")</f>
        <v>529545</v>
      </c>
      <c r="AW622" s="68">
        <f t="shared" si="1074"/>
        <v>1.7007342212499714E-2</v>
      </c>
      <c r="AX622" s="114"/>
      <c r="AY622" s="114"/>
      <c r="AZ622" s="116">
        <v>8824403</v>
      </c>
      <c r="BA622" s="116"/>
      <c r="BB622" s="166"/>
      <c r="BC622" s="166"/>
      <c r="BD622" s="166"/>
      <c r="BE622" s="166"/>
      <c r="BF622" s="166"/>
      <c r="BG622" s="166"/>
      <c r="BH622" s="166"/>
      <c r="BI622" s="113"/>
      <c r="BJ622" s="113"/>
      <c r="BK622" s="113">
        <f>INDEX('Dist. Plant Gas Additions'!$F$7:$AE$91,MATCH($C622,'Dist. Plant Gas Additions'!$D$7:$D$91,0),MATCH(Calculation!$G622,'Dist. Plant Gas Additions'!$F$5:$AE$5,0))</f>
        <v>150679</v>
      </c>
      <c r="BL622" s="113">
        <f>INDEX('Gen. Plant Additions'!$F$7:$AE$91,MATCH($C622,'Gen. Plant Additions'!$D$7:$D$91,0),MATCH(Calculation!$G622,'Gen. Plant Additions'!$F$5:$AE$5,0))</f>
        <v>9734</v>
      </c>
      <c r="BM622" s="231">
        <f t="shared" si="1108"/>
        <v>0.93820483625363371</v>
      </c>
      <c r="BN622" s="61">
        <f>+BM622*BL622</f>
        <v>9132.485876092871</v>
      </c>
      <c r="BO622" s="113">
        <f>INDEX('Dist Plant Depreciation'!$E$7:$AD$94,MATCH($C622,'Dist Plant Depreciation'!$D$7:$D$94,0),MATCH(Calculation!$G622,'Dist Plant Depreciation'!$E$5:$AD$5,0))</f>
        <v>334259</v>
      </c>
      <c r="BP622" s="113">
        <f>INDEX('Gen. Plant Depreciation'!$E$7:$AD$94,MATCH($C622,'Gen. Plant Depreciation'!$D$7:$D$94,0),MATCH(Calculation!$G622,'Gen. Plant Depreciation'!$E$5:$AD$5,0))</f>
        <v>57941</v>
      </c>
      <c r="BQ622" s="113"/>
      <c r="BR622" s="113"/>
      <c r="BS622" s="113"/>
      <c r="BT622" s="113"/>
      <c r="BU622" s="113"/>
      <c r="BV622" s="113"/>
      <c r="BW622" s="113">
        <f>INDEX('Gross Dx Plant'!$E$7:$AD$91,MATCH($C622,'Gross Dx Plant'!$D$7:$D$91,0),MATCH(Calculation!$G622,'Gross Dx Plant'!$E$5:$AD$5,0))</f>
        <v>1699893</v>
      </c>
      <c r="BX622" s="113">
        <f>INDEX('Gross Gen Plant'!$E$7:$AD$91,MATCH($C622,'Gross Gen Plant'!$D$7:$D$91,0),MATCH(Calculation!$G622,'Gross Gen Plant'!$E$5:$AD$5,0))</f>
        <v>111964</v>
      </c>
      <c r="BY622" s="113">
        <f t="shared" si="1075"/>
        <v>1419657</v>
      </c>
      <c r="BZ622" s="113"/>
      <c r="CA622" s="116">
        <v>2017</v>
      </c>
      <c r="CB622" s="113"/>
      <c r="CC622" s="113"/>
      <c r="CD622" s="113"/>
      <c r="CE622" s="175"/>
      <c r="CF622" s="113">
        <f t="shared" si="1109"/>
        <v>160413</v>
      </c>
      <c r="CG622" s="113">
        <f t="shared" si="1110"/>
        <v>225.16362154698697</v>
      </c>
      <c r="CH622" s="178">
        <v>0.87074829931972786</v>
      </c>
      <c r="CI622" s="61">
        <f>+CI603*CH622+CG604*CH621+CG605*CH620+CG606*CH619+CG607*CH618+CG608*CH617+CG609*CH616+CG610*CH615+CG611*CH614+CG612*CH613+CG613*CH612+CG614*CH611+CG615*CH610+CG616*CH609+CG617*CH608+CG618*CH607+CG619*CH606+CG620*CH605+CG621*CH604+CG622</f>
        <v>4481.1028668568324</v>
      </c>
      <c r="CJ622" s="114">
        <f t="shared" si="1111"/>
        <v>4.2724403484224606E-2</v>
      </c>
      <c r="CK622" s="114"/>
      <c r="CL622" s="169">
        <f t="shared" si="1112"/>
        <v>8.79044750941331E-3</v>
      </c>
      <c r="CM622" s="169">
        <f t="shared" si="1121"/>
        <v>8.5921624361179703E-3</v>
      </c>
      <c r="CN622" s="114">
        <f>VLOOKUP($H622,RoR!$E:$F,2,FALSE)</f>
        <v>3.7433333333333339E-2</v>
      </c>
      <c r="CO622" s="169">
        <v>1.9056896421275615E-2</v>
      </c>
      <c r="CP622" s="169">
        <f t="shared" si="1119"/>
        <v>1.8376436912057724E-2</v>
      </c>
      <c r="CQ622" s="169">
        <f t="shared" si="1122"/>
        <v>2.2309779172415653E-2</v>
      </c>
      <c r="CR622" s="169">
        <v>1.3976271617800498E-2</v>
      </c>
      <c r="CS622" s="179">
        <f t="shared" si="1113"/>
        <v>0.90065499999999998</v>
      </c>
      <c r="CT622" s="180">
        <f t="shared" si="1114"/>
        <v>1.3699568463593395</v>
      </c>
      <c r="CU622" s="180">
        <f t="shared" si="1115"/>
        <v>0.30714603739982199</v>
      </c>
      <c r="CV622" s="180">
        <f t="shared" si="1116"/>
        <v>0.77007188472689425</v>
      </c>
      <c r="CW622" s="180">
        <f t="shared" si="1117"/>
        <v>0.32402839633793828</v>
      </c>
      <c r="CX622" s="181">
        <f>INDEX('State Tax Lookup'!$D$7:$Z$91,MATCH(Calculation!$C622,'State Tax Lookup'!$B$7:$B$91,0),MATCH($H622,'State Tax Lookup'!$D$6:$Z$6,0))</f>
        <v>0.26849999999999996</v>
      </c>
      <c r="CY622" s="72">
        <v>0.37</v>
      </c>
      <c r="CZ622" s="70">
        <f t="shared" si="1120"/>
        <v>19.564249552319303</v>
      </c>
      <c r="DA622" s="70">
        <v>18.231812616449311</v>
      </c>
      <c r="DB622" s="69">
        <f t="shared" si="1123"/>
        <v>-0.10350627492236093</v>
      </c>
      <c r="DC622" s="111">
        <f>VLOOKUP($H622,RoR!$E:$F,2,FALSE)</f>
        <v>3.7433333333333339E-2</v>
      </c>
      <c r="DD622" s="216">
        <f>HLOOKUP($H622,'GDP-PI'!$D$8:$CQ$11,3,FALSE)</f>
        <v>1.9056896421275615E-2</v>
      </c>
      <c r="DE622" s="111">
        <f>VLOOKUP(H622,'HW Dx Data'!$E:$F,2,FALSE)</f>
        <v>712.42858370229726</v>
      </c>
      <c r="DF622" s="72">
        <f t="shared" si="1133"/>
        <v>140.44999999999999</v>
      </c>
      <c r="DG622" s="69">
        <f t="shared" si="1134"/>
        <v>2.5235657841165486E-2</v>
      </c>
      <c r="DH622" s="66">
        <f>HLOOKUP(H622,'GDP-PI'!$8:$9,2,FALSE)</f>
        <v>107.751</v>
      </c>
      <c r="DI622" s="69">
        <f t="shared" si="1124"/>
        <v>1.8877588227745139E-2</v>
      </c>
      <c r="EB622"/>
    </row>
    <row r="623" spans="1:132" s="160" customFormat="1" ht="21">
      <c r="A623" s="160" t="s">
        <v>195</v>
      </c>
      <c r="B623" s="161" t="s">
        <v>195</v>
      </c>
      <c r="C623" s="161">
        <v>4061755</v>
      </c>
      <c r="D623" s="161" t="s">
        <v>196</v>
      </c>
      <c r="E623" s="161" t="s">
        <v>3</v>
      </c>
      <c r="F623" s="161"/>
      <c r="G623" s="161" t="s">
        <v>136</v>
      </c>
      <c r="H623" s="162">
        <v>2018</v>
      </c>
      <c r="I623" s="163"/>
      <c r="J623" s="159">
        <f>IFERROR(INDEX('Labor Expenditures'!$F$7:$X$91,MATCH($C623,'Labor Expenditures'!$D$7:$D$91,0),MATCH($G623,'Labor Expenditures'!$F$5:$X$5,0)),"NA")</f>
        <v>64369.223821553016</v>
      </c>
      <c r="K623" s="159">
        <f t="shared" si="1125"/>
        <v>445.61594892040858</v>
      </c>
      <c r="L623" s="165">
        <f t="shared" si="1131"/>
        <v>8.8631527271728433E-2</v>
      </c>
      <c r="M623" s="76">
        <f t="shared" si="1135"/>
        <v>1.7188436576492368E-3</v>
      </c>
      <c r="N623" s="62">
        <f t="shared" si="1141"/>
        <v>115.46841115348694</v>
      </c>
      <c r="O623" s="96">
        <f t="shared" si="1136"/>
        <v>-0.37102106096812842</v>
      </c>
      <c r="P623" s="96"/>
      <c r="Q623" s="159">
        <f>IFERROR(INDEX('Non-Labor Expenditures'!$F$7:$AB$91,MATCH($C623,'Non-Labor Expenditures'!$D$7:$D$91,0),MATCH($G623,'Non-Labor Expenditures'!$F$5:$AB$5,0)),"NA")</f>
        <v>93218.658606239303</v>
      </c>
      <c r="R623" s="159">
        <f t="shared" si="1126"/>
        <v>844.96889655951941</v>
      </c>
      <c r="S623" s="165">
        <f t="shared" si="1137"/>
        <v>9.3133047917211359E-2</v>
      </c>
      <c r="T623" s="165">
        <f t="shared" si="1138"/>
        <v>1.8061422798149578E-3</v>
      </c>
      <c r="U623" s="165"/>
      <c r="V623" s="165"/>
      <c r="W623" s="159">
        <f t="shared" si="1107"/>
        <v>92012.812399581409</v>
      </c>
      <c r="X623" s="163"/>
      <c r="Y623" s="167">
        <v>4620.9859555374196</v>
      </c>
      <c r="Z623" s="168">
        <v>3.0738900846066373E-2</v>
      </c>
      <c r="AA623" s="76">
        <f t="shared" si="1127"/>
        <v>5.9612382172301E-4</v>
      </c>
      <c r="AB623" s="168"/>
      <c r="AC623" s="168"/>
      <c r="AD623" s="163">
        <f t="shared" si="1056"/>
        <v>249600.69482737372</v>
      </c>
      <c r="AE623" s="168">
        <f t="shared" si="1139"/>
        <v>0.10718694777644606</v>
      </c>
      <c r="AF623" s="163"/>
      <c r="AG623" s="163"/>
      <c r="AH623" s="163"/>
      <c r="AI623" s="163"/>
      <c r="AJ623" s="116">
        <f t="shared" si="1140"/>
        <v>464.93736556227037</v>
      </c>
      <c r="AK623" s="114">
        <f>+AV623/$AX$23</f>
        <v>1.4371625794183523E-2</v>
      </c>
      <c r="AL623" s="115">
        <f t="shared" si="1128"/>
        <v>0.25788880061440295</v>
      </c>
      <c r="AM623" s="115">
        <f t="shared" si="1129"/>
        <v>0.37347115027348077</v>
      </c>
      <c r="AN623" s="115">
        <f t="shared" si="1130"/>
        <v>0.36864004911211634</v>
      </c>
      <c r="AO623" s="115">
        <f t="shared" si="1132"/>
        <v>6.8789930417408079E-2</v>
      </c>
      <c r="AP623" s="166">
        <f t="shared" si="1143"/>
        <v>152.70683652409477</v>
      </c>
      <c r="AQ623" s="168">
        <f t="shared" si="1144"/>
        <v>6.8789930417408079E-2</v>
      </c>
      <c r="AR623" s="69">
        <f>+AD623/$AF$23</f>
        <v>1.9393140460950978E-2</v>
      </c>
      <c r="AS623" s="169">
        <f t="shared" si="1142"/>
        <v>1.334052782883839E-3</v>
      </c>
      <c r="AT623" s="115"/>
      <c r="AU623" s="115"/>
      <c r="AV623" s="113">
        <f>IFERROR(INDEX('Total Customers'!$F$7:$AB$91,MATCH($C623,'Total Customers'!$D$7:$D$91,0),MATCH($G623,'Total Customers'!$F$5:$AB$5,0)),"NA")</f>
        <v>536848</v>
      </c>
      <c r="AW623" s="68">
        <f t="shared" si="1074"/>
        <v>1.3696853171731135E-2</v>
      </c>
      <c r="AX623" s="114"/>
      <c r="AY623" s="114"/>
      <c r="AZ623" s="116">
        <v>8911356</v>
      </c>
      <c r="BA623" s="116"/>
      <c r="BB623" s="166"/>
      <c r="BC623" s="166"/>
      <c r="BD623" s="166"/>
      <c r="BE623" s="166"/>
      <c r="BF623" s="166"/>
      <c r="BG623" s="166"/>
      <c r="BH623" s="166"/>
      <c r="BI623" s="113"/>
      <c r="BJ623" s="113"/>
      <c r="BK623" s="113">
        <f>INDEX('Dist. Plant Gas Additions'!$F$7:$AE$91,MATCH($C623,'Dist. Plant Gas Additions'!$D$7:$D$91,0),MATCH(Calculation!$G623,'Dist. Plant Gas Additions'!$F$5:$AE$5,0))</f>
        <v>131089</v>
      </c>
      <c r="BL623" s="113">
        <f>INDEX('Gen. Plant Additions'!$F$7:$AE$91,MATCH($C623,'Gen. Plant Additions'!$D$7:$D$91,0),MATCH(Calculation!$G623,'Gen. Plant Additions'!$F$5:$AE$5,0))</f>
        <v>5011</v>
      </c>
      <c r="BM623" s="231">
        <f t="shared" si="1108"/>
        <v>0.93995802997461497</v>
      </c>
      <c r="BN623" s="61">
        <f t="shared" ref="BN623:BN639" si="1145">+BM623*BL623</f>
        <v>4710.1296882027955</v>
      </c>
      <c r="BO623" s="113">
        <f>INDEX('Dist Plant Depreciation'!$E$7:$AD$94,MATCH($C623,'Dist Plant Depreciation'!$D$7:$D$94,0),MATCH(Calculation!$G623,'Dist Plant Depreciation'!$E$5:$AD$5,0))</f>
        <v>326661</v>
      </c>
      <c r="BP623" s="113">
        <f>INDEX('Gen. Plant Depreciation'!$E$7:$AD$94,MATCH($C623,'Gen. Plant Depreciation'!$D$7:$D$94,0),MATCH(Calculation!$G623,'Gen. Plant Depreciation'!$E$5:$AD$5,0))</f>
        <v>70191</v>
      </c>
      <c r="BQ623" s="113"/>
      <c r="BR623" s="113"/>
      <c r="BS623" s="113"/>
      <c r="BT623" s="113"/>
      <c r="BU623" s="113"/>
      <c r="BV623" s="113"/>
      <c r="BW623" s="113">
        <f>INDEX('Gross Dx Plant'!$E$7:$AD$91,MATCH($C623,'Gross Dx Plant'!$D$7:$D$91,0),MATCH(Calculation!$G623,'Gross Dx Plant'!$E$5:$AD$5,0))</f>
        <v>1824373</v>
      </c>
      <c r="BX623" s="113">
        <f>INDEX('Gross Gen Plant'!$E$7:$AD$91,MATCH($C623,'Gross Gen Plant'!$D$7:$D$91,0),MATCH(Calculation!$G623,'Gross Gen Plant'!$E$5:$AD$5,0))</f>
        <v>116536</v>
      </c>
      <c r="BY623" s="113">
        <f t="shared" si="1075"/>
        <v>1544057</v>
      </c>
      <c r="BZ623" s="113"/>
      <c r="CA623" s="116">
        <v>2018</v>
      </c>
      <c r="CB623" s="113"/>
      <c r="CC623" s="113"/>
      <c r="CD623" s="113"/>
      <c r="CE623" s="175"/>
      <c r="CF623" s="113">
        <f t="shared" si="1109"/>
        <v>136100</v>
      </c>
      <c r="CG623" s="113">
        <f t="shared" si="1110"/>
        <v>180.23226445642783</v>
      </c>
      <c r="CH623" s="178">
        <v>0.86111111111111116</v>
      </c>
      <c r="CI623" s="61">
        <f>+CI603*CH623++CG604*CH622+CG605*CH621+CG606*CH620+CG607*CH619+CG608*CH618+CG609*CH617+CG610*CH616+CG611*CH615+CG612*CH614+CG613*CH613+CG614*CH612+CG615*CH611+CG616*CH610+CG617*CH609+CG618*CH608+CG619*CH607+CG620*CH606+CG621*CH605+CG622*CH604+CG623</f>
        <v>4620.9859555374196</v>
      </c>
      <c r="CJ623" s="114">
        <f t="shared" si="1111"/>
        <v>3.0738900846066373E-2</v>
      </c>
      <c r="CK623" s="114"/>
      <c r="CL623" s="169">
        <f t="shared" si="1112"/>
        <v>9.0042958117010664E-3</v>
      </c>
      <c r="CM623" s="169">
        <f t="shared" si="1121"/>
        <v>8.7986231101169175E-3</v>
      </c>
      <c r="CN623" s="114">
        <f>VLOOKUP($H623,RoR!$E:$F,2,FALSE)</f>
        <v>3.9299999999999995E-2</v>
      </c>
      <c r="CO623" s="169">
        <v>2.386056741932796E-2</v>
      </c>
      <c r="CP623" s="169">
        <f t="shared" si="1119"/>
        <v>1.5439432580672034E-2</v>
      </c>
      <c r="CQ623" s="169">
        <f t="shared" si="1122"/>
        <v>2.2103318498416707E-2</v>
      </c>
      <c r="CR623" s="169">
        <v>3.8270792163076606E-2</v>
      </c>
      <c r="CS623" s="179">
        <f t="shared" si="1113"/>
        <v>0.90065499999999998</v>
      </c>
      <c r="CT623" s="180">
        <f t="shared" si="1114"/>
        <v>1.3048868010700074</v>
      </c>
      <c r="CU623" s="180">
        <f t="shared" si="1115"/>
        <v>0.33886768447837151</v>
      </c>
      <c r="CV623" s="180">
        <f t="shared" si="1116"/>
        <v>0.78602506232557801</v>
      </c>
      <c r="CW623" s="180">
        <f t="shared" si="1117"/>
        <v>0.34756768162358759</v>
      </c>
      <c r="CX623" s="181">
        <f>INDEX('State Tax Lookup'!$D$7:$Z$91,MATCH(Calculation!$C623,'State Tax Lookup'!$B$7:$B$91,0),MATCH($H623,'State Tax Lookup'!$D$6:$Z$6,0))</f>
        <v>0.26849999999999996</v>
      </c>
      <c r="CY623" s="72">
        <v>0.37</v>
      </c>
      <c r="CZ623" s="70">
        <f t="shared" si="1120"/>
        <v>20.533519344116666</v>
      </c>
      <c r="DA623" s="70">
        <v>19.050901628905343</v>
      </c>
      <c r="DB623" s="69">
        <f t="shared" si="1123"/>
        <v>4.8354742511287983E-2</v>
      </c>
      <c r="DC623" s="111">
        <f>VLOOKUP($H623,RoR!$E:$F,2,FALSE)</f>
        <v>3.9299999999999995E-2</v>
      </c>
      <c r="DD623" s="216">
        <f>HLOOKUP($H623,'GDP-PI'!$D$8:$CQ$11,3,FALSE)</f>
        <v>2.386056741932796E-2</v>
      </c>
      <c r="DE623" s="111">
        <f>VLOOKUP(H623,'HW Dx Data'!$E:$F,2,FALSE)</f>
        <v>755.13671434174842</v>
      </c>
      <c r="DF623" s="72">
        <f t="shared" si="1133"/>
        <v>144.44999999999999</v>
      </c>
      <c r="DG623" s="69">
        <f t="shared" si="1134"/>
        <v>2.80818733619915E-2</v>
      </c>
      <c r="DH623" s="66">
        <f>HLOOKUP(H623,'GDP-PI'!$8:$9,2,FALSE)</f>
        <v>110.322</v>
      </c>
      <c r="DI623" s="69">
        <f t="shared" si="1124"/>
        <v>2.3580352716508712E-2</v>
      </c>
      <c r="EB623"/>
    </row>
    <row r="624" spans="1:132" s="160" customFormat="1" ht="21">
      <c r="A624" s="160" t="s">
        <v>195</v>
      </c>
      <c r="B624" s="161" t="s">
        <v>195</v>
      </c>
      <c r="C624" s="161">
        <v>4061755</v>
      </c>
      <c r="D624" s="161" t="s">
        <v>196</v>
      </c>
      <c r="E624" s="161" t="s">
        <v>3</v>
      </c>
      <c r="F624" s="161"/>
      <c r="G624" s="161" t="s">
        <v>140</v>
      </c>
      <c r="H624" s="162">
        <v>2019</v>
      </c>
      <c r="I624" s="163"/>
      <c r="J624" s="159">
        <f>IFERROR(INDEX('Labor Expenditures'!$F$7:$X$91,MATCH($C624,'Labor Expenditures'!$D$7:$D$91,0),MATCH($G624,'Labor Expenditures'!$F$5:$X$5,0)),"NA")</f>
        <v>59035.025587897428</v>
      </c>
      <c r="K624" s="159">
        <f t="shared" si="1125"/>
        <v>394.42141698946</v>
      </c>
      <c r="L624" s="165">
        <f t="shared" si="1131"/>
        <v>-0.12203755601849031</v>
      </c>
      <c r="M624" s="76">
        <f t="shared" si="1135"/>
        <v>-2.2128112702425552E-3</v>
      </c>
      <c r="N624" s="62">
        <f t="shared" si="1141"/>
        <v>116.85499042550347</v>
      </c>
      <c r="O624" s="96">
        <f t="shared" si="1136"/>
        <v>1.1936771987886679E-2</v>
      </c>
      <c r="P624" s="96"/>
      <c r="Q624" s="159">
        <f>IFERROR(INDEX('Non-Labor Expenditures'!$F$7:$AB$91,MATCH($C624,'Non-Labor Expenditures'!$D$7:$D$91,0),MATCH($G624,'Non-Labor Expenditures'!$F$5:$AB$5,0)),"NA")</f>
        <v>85493.743273103813</v>
      </c>
      <c r="R624" s="159">
        <f t="shared" si="1126"/>
        <v>761.17579794070241</v>
      </c>
      <c r="S624" s="165">
        <f t="shared" si="1137"/>
        <v>-0.10443547757072065</v>
      </c>
      <c r="T624" s="165">
        <f t="shared" si="1138"/>
        <v>-1.8936465897976533E-3</v>
      </c>
      <c r="U624" s="165"/>
      <c r="V624" s="165"/>
      <c r="W624" s="159">
        <f t="shared" si="1107"/>
        <v>96073.822929301736</v>
      </c>
      <c r="X624" s="163"/>
      <c r="Y624" s="167">
        <v>4880.6617853575881</v>
      </c>
      <c r="Z624" s="168">
        <v>5.467272980982147E-2</v>
      </c>
      <c r="AA624" s="76">
        <f t="shared" si="1127"/>
        <v>9.913377213139939E-4</v>
      </c>
      <c r="AB624" s="168"/>
      <c r="AC624" s="168"/>
      <c r="AD624" s="163">
        <f t="shared" si="1056"/>
        <v>240602.59179030298</v>
      </c>
      <c r="AE624" s="168">
        <f t="shared" si="1139"/>
        <v>-3.6715844576582696E-2</v>
      </c>
      <c r="AF624" s="163"/>
      <c r="AG624" s="163"/>
      <c r="AH624" s="163"/>
      <c r="AI624" s="163"/>
      <c r="AJ624" s="116">
        <f t="shared" si="1140"/>
        <v>439.51779934804279</v>
      </c>
      <c r="AK624" s="114">
        <f>+AV624/$AX$24</f>
        <v>1.4533888959850073E-2</v>
      </c>
      <c r="AL624" s="115">
        <f t="shared" si="1128"/>
        <v>0.24536321553572193</v>
      </c>
      <c r="AM624" s="115">
        <f t="shared" si="1129"/>
        <v>0.35533176362296143</v>
      </c>
      <c r="AN624" s="115">
        <f t="shared" si="1130"/>
        <v>0.39930502084131664</v>
      </c>
      <c r="AO624" s="115">
        <f t="shared" si="1132"/>
        <v>-4.7771436580849154E-2</v>
      </c>
      <c r="AP624" s="166">
        <f t="shared" si="1143"/>
        <v>145.58331662701892</v>
      </c>
      <c r="AQ624" s="168">
        <f t="shared" si="1144"/>
        <v>-4.7771436580849216E-2</v>
      </c>
      <c r="AR624" s="69">
        <f>+AD624/$AF$24</f>
        <v>1.8132215544428676E-2</v>
      </c>
      <c r="AS624" s="169">
        <f t="shared" si="1142"/>
        <v>-8.6620198495096284E-4</v>
      </c>
      <c r="AT624" s="115"/>
      <c r="AU624" s="115"/>
      <c r="AV624" s="113">
        <v>547424</v>
      </c>
      <c r="AW624" s="68">
        <f t="shared" si="1074"/>
        <v>1.9508638832086676E-2</v>
      </c>
      <c r="AX624" s="114"/>
      <c r="AY624" s="114"/>
      <c r="AZ624" s="116">
        <v>8963640</v>
      </c>
      <c r="BA624" s="116"/>
      <c r="BB624" s="166"/>
      <c r="BC624" s="166"/>
      <c r="BD624" s="166"/>
      <c r="BE624" s="166"/>
      <c r="BF624" s="166"/>
      <c r="BG624" s="166"/>
      <c r="BH624" s="166"/>
      <c r="BI624" s="113"/>
      <c r="BJ624" s="113"/>
      <c r="BK624" s="113">
        <f>INDEX('Dist. Plant Gas Additions'!$F$7:$AE$91,MATCH($C624,'Dist. Plant Gas Additions'!$D$7:$D$91,0),MATCH(Calculation!$G624,'Dist. Plant Gas Additions'!$F$5:$AE$5,0))</f>
        <v>204775</v>
      </c>
      <c r="BL624" s="113">
        <f>INDEX('Gen. Plant Additions'!$F$7:$AE$91,MATCH($C624,'Gen. Plant Additions'!$D$7:$D$91,0),MATCH(Calculation!$G624,'Gen. Plant Additions'!$F$5:$AE$5,0))</f>
        <v>29245</v>
      </c>
      <c r="BM624" s="231">
        <f t="shared" si="1108"/>
        <v>0.94121261071922313</v>
      </c>
      <c r="BN624" s="61">
        <f t="shared" si="1145"/>
        <v>27525.762800483681</v>
      </c>
      <c r="BO624" s="113">
        <f>INDEX('Dist Plant Depreciation'!$E$7:$AD$94,MATCH($C624,'Dist Plant Depreciation'!$D$7:$D$94,0),MATCH(Calculation!$G624,'Dist Plant Depreciation'!$E$5:$AD$5,0))</f>
        <v>319038</v>
      </c>
      <c r="BP624" s="113">
        <f>INDEX('Gen. Plant Depreciation'!$E$7:$AD$94,MATCH($C624,'Gen. Plant Depreciation'!$D$7:$D$94,0),MATCH(Calculation!$G624,'Gen. Plant Depreciation'!$E$5:$AD$5,0))</f>
        <v>64304</v>
      </c>
      <c r="BQ624" s="113"/>
      <c r="BR624" s="113"/>
      <c r="BS624" s="113"/>
      <c r="BT624" s="113"/>
      <c r="BU624" s="113"/>
      <c r="BV624" s="113"/>
      <c r="BW624" s="113">
        <f>INDEX('Gross Dx Plant'!$E$7:$AD$91,MATCH($C624,'Gross Dx Plant'!$D$7:$D$91,0),MATCH(Calculation!$G624,'Gross Dx Plant'!$E$5:$AD$5,0))</f>
        <v>2020663</v>
      </c>
      <c r="BX624" s="113">
        <f>INDEX('Gross Gen Plant'!$E$7:$AD$91,MATCH($C624,'Gross Gen Plant'!$D$7:$D$91,0),MATCH(Calculation!$G624,'Gross Gen Plant'!$E$5:$AD$5,0))</f>
        <v>126209</v>
      </c>
      <c r="BY624" s="113">
        <f t="shared" si="1075"/>
        <v>1763530</v>
      </c>
      <c r="BZ624" s="113"/>
      <c r="CA624" s="116">
        <v>2019</v>
      </c>
      <c r="CB624" s="113"/>
      <c r="CC624" s="113"/>
      <c r="CD624" s="113"/>
      <c r="CE624" s="175"/>
      <c r="CF624" s="113">
        <f t="shared" si="1109"/>
        <v>234020</v>
      </c>
      <c r="CG624" s="113">
        <f t="shared" si="1110"/>
        <v>302.53149468087821</v>
      </c>
      <c r="CH624" s="178">
        <v>0.85106382978723405</v>
      </c>
      <c r="CI624" s="61">
        <f>CI603*CH624+CG604*CH623+CG605*CH622+CG606*CH621+CG607*CH620+CG608*CH619+CG609*CH618+CG610*CH617+CG611*CH616+CG612*CH615+CG613*CH614+CG614*CH613+CG615*CH612+CG616*CH611+CG617*CH610+CG618*CH609+CG619*CH608+CG620*CH607+CG621*CH606+CG622*CH605+CG623*CH604+CG624</f>
        <v>4880.6617853575881</v>
      </c>
      <c r="CJ624" s="114">
        <f t="shared" si="1111"/>
        <v>5.467272980982147E-2</v>
      </c>
      <c r="CK624" s="114"/>
      <c r="CL624" s="169">
        <f t="shared" si="1112"/>
        <v>9.2741387385856348E-3</v>
      </c>
      <c r="CM624" s="169">
        <f t="shared" si="1121"/>
        <v>9.0229606865666698E-3</v>
      </c>
      <c r="CN624" s="114">
        <f>VLOOKUP($H624,RoR!$E:$F,2,FALSE)</f>
        <v>3.3875000000000009E-2</v>
      </c>
      <c r="CO624" s="169">
        <v>1.8092492884465461E-2</v>
      </c>
      <c r="CP624" s="169">
        <f t="shared" si="1119"/>
        <v>1.5782507115534548E-2</v>
      </c>
      <c r="CQ624" s="169">
        <f t="shared" si="1122"/>
        <v>2.1878980921966953E-2</v>
      </c>
      <c r="CR624" s="169">
        <v>4.8445665544254078E-2</v>
      </c>
      <c r="CS624" s="179">
        <f t="shared" si="1113"/>
        <v>0.90065499999999998</v>
      </c>
      <c r="CT624" s="180">
        <f t="shared" si="1114"/>
        <v>1.513861292459078</v>
      </c>
      <c r="CU624" s="180">
        <f t="shared" si="1115"/>
        <v>0.23699261992619944</v>
      </c>
      <c r="CV624" s="180">
        <f t="shared" si="1116"/>
        <v>0.73619765810468829</v>
      </c>
      <c r="CW624" s="180">
        <f t="shared" si="1117"/>
        <v>0.26412854465362851</v>
      </c>
      <c r="CX624" s="181">
        <f>INDEX('State Tax Lookup'!$D$7:$Z$91,MATCH(Calculation!$C624,'State Tax Lookup'!$B$7:$B$91,0),MATCH($H624,'State Tax Lookup'!$D$6:$Z$6,0))</f>
        <v>0.26849999999999996</v>
      </c>
      <c r="CY624" s="72">
        <v>0.37</v>
      </c>
      <c r="CZ624" s="70">
        <f t="shared" si="1120"/>
        <v>20.79076280553819</v>
      </c>
      <c r="DA624" s="70">
        <v>19.236104090735289</v>
      </c>
      <c r="DB624" s="69">
        <f t="shared" si="1123"/>
        <v>1.2450151382848901E-2</v>
      </c>
      <c r="DC624" s="111">
        <f>VLOOKUP($H624,RoR!$E:$F,2,FALSE)</f>
        <v>3.3875000000000009E-2</v>
      </c>
      <c r="DD624" s="216">
        <f>HLOOKUP($H624,'GDP-PI'!$D$8:$CQ$11,3,FALSE)</f>
        <v>1.8092492884465461E-2</v>
      </c>
      <c r="DE624" s="111">
        <f>VLOOKUP(H624,'HW Dx Data'!$E:$F,2,FALSE)</f>
        <v>773.53929793938721</v>
      </c>
      <c r="DF624" s="72">
        <f t="shared" si="1133"/>
        <v>149.67500000000001</v>
      </c>
      <c r="DG624" s="69">
        <f t="shared" si="1134"/>
        <v>3.5532849899171604E-2</v>
      </c>
      <c r="DH624" s="66">
        <f>HLOOKUP(H624,'GDP-PI'!$8:$9,2,FALSE)</f>
        <v>112.318</v>
      </c>
      <c r="DI624" s="69">
        <f t="shared" si="1124"/>
        <v>1.7930771451401852E-2</v>
      </c>
      <c r="EB624"/>
    </row>
    <row r="625" spans="1:132" s="160" customFormat="1" ht="21">
      <c r="A625" s="160" t="s">
        <v>195</v>
      </c>
      <c r="B625" s="160" t="s">
        <v>195</v>
      </c>
      <c r="C625" s="160">
        <v>4061755</v>
      </c>
      <c r="D625" s="160" t="s">
        <v>196</v>
      </c>
      <c r="E625" s="160" t="s">
        <v>3</v>
      </c>
      <c r="G625" s="161" t="s">
        <v>141</v>
      </c>
      <c r="H625" s="162">
        <v>2020</v>
      </c>
      <c r="I625" s="163"/>
      <c r="J625" s="159">
        <f>IFERROR(INDEX('Labor Expenditures'!$F$7:$X$91,MATCH($C625,'Labor Expenditures'!$D$7:$D$91,0),MATCH($G625,'Labor Expenditures'!$F$5:$X$5,0)),"NA")</f>
        <v>56772.532396469564</v>
      </c>
      <c r="K625" s="159">
        <f t="shared" si="1125"/>
        <v>370.69887297727433</v>
      </c>
      <c r="L625" s="165">
        <f t="shared" si="1131"/>
        <v>-6.2029854069220958E-2</v>
      </c>
      <c r="M625" s="76">
        <f t="shared" si="1135"/>
        <v>-1.1090549318249388E-3</v>
      </c>
      <c r="N625" s="62">
        <f t="shared" si="1141"/>
        <v>116.8789514537595</v>
      </c>
      <c r="O625" s="96">
        <f t="shared" si="1136"/>
        <v>2.0502823122154289E-4</v>
      </c>
      <c r="P625" s="96"/>
      <c r="Q625" s="159">
        <f>IFERROR(INDEX('Non-Labor Expenditures'!$F$7:$AB$91,MATCH($C625,'Non-Labor Expenditures'!$D$7:$D$91,0),MATCH($G625,'Non-Labor Expenditures'!$F$5:$AB$5,0)),"NA")</f>
        <v>82217.230556477967</v>
      </c>
      <c r="R625" s="159">
        <f t="shared" si="1126"/>
        <v>723.59672387173339</v>
      </c>
      <c r="S625" s="165">
        <f t="shared" si="1137"/>
        <v>-5.0630114333245158E-2</v>
      </c>
      <c r="T625" s="165">
        <f t="shared" si="1138"/>
        <v>-9.0523472677341542E-4</v>
      </c>
      <c r="U625" s="165"/>
      <c r="V625" s="165"/>
      <c r="W625" s="159">
        <f t="shared" si="1107"/>
        <v>105544.42462273216</v>
      </c>
      <c r="X625" s="163"/>
      <c r="Y625" s="167">
        <v>5043.9929147943221</v>
      </c>
      <c r="Z625" s="168">
        <v>3.2917190997517345E-2</v>
      </c>
      <c r="AA625" s="76">
        <f t="shared" si="1127"/>
        <v>5.8853875388584459E-4</v>
      </c>
      <c r="AB625" s="168"/>
      <c r="AC625" s="168"/>
      <c r="AD625" s="163">
        <f t="shared" si="1056"/>
        <v>244534.18757567968</v>
      </c>
      <c r="AE625" s="168">
        <f t="shared" si="1139"/>
        <v>1.6208549947180458E-2</v>
      </c>
      <c r="AF625" s="163"/>
      <c r="AG625" s="163"/>
      <c r="AH625" s="163"/>
      <c r="AI625" s="163"/>
      <c r="AJ625" s="116">
        <f t="shared" si="1140"/>
        <v>439.98615915318499</v>
      </c>
      <c r="AK625" s="114">
        <f>+AV625/$AX$25</f>
        <v>1.4651459695601351E-2</v>
      </c>
      <c r="AL625" s="115">
        <f t="shared" si="1128"/>
        <v>0.2321660335485782</v>
      </c>
      <c r="AM625" s="115">
        <f t="shared" si="1129"/>
        <v>0.33621977921198837</v>
      </c>
      <c r="AN625" s="115">
        <f t="shared" si="1130"/>
        <v>0.43161418723943346</v>
      </c>
      <c r="AO625" s="115">
        <f t="shared" si="1132"/>
        <v>-1.8641438519824742E-2</v>
      </c>
      <c r="AP625" s="166">
        <f t="shared" si="1143"/>
        <v>142.89457306630058</v>
      </c>
      <c r="AQ625" s="168">
        <f t="shared" si="1144"/>
        <v>-1.8641438519824749E-2</v>
      </c>
      <c r="AR625" s="69">
        <f>+AD625/$AF$25</f>
        <v>1.7879373544669497E-2</v>
      </c>
      <c r="AS625" s="169">
        <f t="shared" si="1142"/>
        <v>-3.3329724270593752E-4</v>
      </c>
      <c r="AT625" s="115"/>
      <c r="AU625" s="115"/>
      <c r="AV625" s="113">
        <v>555777</v>
      </c>
      <c r="AW625" s="68">
        <f t="shared" si="1074"/>
        <v>1.5143495390260497E-2</v>
      </c>
      <c r="AX625" s="114"/>
      <c r="AY625" s="114"/>
      <c r="AZ625" s="116">
        <v>9060252</v>
      </c>
      <c r="BA625" s="116"/>
      <c r="BB625" s="166"/>
      <c r="BC625" s="166"/>
      <c r="BD625" s="166"/>
      <c r="BE625" s="166"/>
      <c r="BF625" s="166"/>
      <c r="BG625" s="166"/>
      <c r="BH625" s="166"/>
      <c r="BI625" s="113"/>
      <c r="BJ625" s="113"/>
      <c r="BK625" s="113">
        <f>INDEX('Dist. Plant Gas Additions'!$F$7:$AE$91,MATCH($C625,'Dist. Plant Gas Additions'!$D$7:$D$91,0),MATCH(Calculation!$G625,'Dist. Plant Gas Additions'!$F$5:$AE$5,0))</f>
        <v>143086</v>
      </c>
      <c r="BL625" s="113">
        <f>INDEX('Gen. Plant Additions'!$F$7:$AE$91,MATCH($C625,'Gen. Plant Additions'!$D$7:$D$91,0),MATCH(Calculation!$G625,'Gen. Plant Additions'!$F$5:$AE$5,0))</f>
        <v>27196</v>
      </c>
      <c r="BM625" s="231">
        <f t="shared" si="1108"/>
        <v>0.93353460183325332</v>
      </c>
      <c r="BN625" s="61">
        <f t="shared" si="1145"/>
        <v>25388.407031457158</v>
      </c>
      <c r="BO625" s="113">
        <f>INDEX('Dist Plant Depreciation'!$E$7:$AD$94,MATCH($C625,'Dist Plant Depreciation'!$D$7:$D$94,0),MATCH(Calculation!$G625,'Dist Plant Depreciation'!$E$5:$AD$5,0))</f>
        <v>325629</v>
      </c>
      <c r="BP625" s="113">
        <f>INDEX('Gen. Plant Depreciation'!$E$7:$AD$94,MATCH($C625,'Gen. Plant Depreciation'!$D$7:$D$94,0),MATCH(Calculation!$G625,'Gen. Plant Depreciation'!$E$5:$AD$5,0))</f>
        <v>71238</v>
      </c>
      <c r="BQ625" s="113"/>
      <c r="BR625" s="113"/>
      <c r="BS625" s="113"/>
      <c r="BT625" s="113"/>
      <c r="BU625" s="113"/>
      <c r="BV625" s="113"/>
      <c r="BW625" s="113">
        <f>INDEX('Gross Dx Plant'!$E$7:$AD$91,MATCH($C625,'Gross Dx Plant'!$D$7:$D$91,0),MATCH(Calculation!$G625,'Gross Dx Plant'!$E$5:$AD$5,0))</f>
        <v>2154624</v>
      </c>
      <c r="BX625" s="113">
        <f>INDEX('Gross Gen Plant'!$E$7:$AD$91,MATCH($C625,'Gross Gen Plant'!$D$7:$D$91,0),MATCH(Calculation!$G625,'Gross Gen Plant'!$E$5:$AD$5,0))</f>
        <v>153404</v>
      </c>
      <c r="BY625" s="113">
        <f t="shared" si="1075"/>
        <v>1911161</v>
      </c>
      <c r="BZ625" s="113"/>
      <c r="CA625" s="116">
        <v>2020</v>
      </c>
      <c r="CB625" s="113"/>
      <c r="CC625" s="113"/>
      <c r="CD625" s="113"/>
      <c r="CE625" s="175"/>
      <c r="CF625" s="113">
        <f t="shared" si="1109"/>
        <v>170282</v>
      </c>
      <c r="CG625" s="113">
        <f t="shared" si="1110"/>
        <v>209.42830468898759</v>
      </c>
      <c r="CH625" s="178">
        <v>0.84057971014492749</v>
      </c>
      <c r="CI625" s="61">
        <f>CI603*CH625+CG604*CH624+CG605*CH623+CG606*CH622+CG607*CH621+CG608*CH620+CG609*CH619+CG610*CH618+CG611*CH617+CG612*CH616+CG613*CH615+CG614*CH614+CG615*CH613+CG616*CH612+CG617*CH611+CG618*CH610+CG619*CH609+CG620*CH608+CG621*CH607+CG622*CH606+CG623*CH605+CG624*CH604+CG625</f>
        <v>5043.9929147943221</v>
      </c>
      <c r="CJ625" s="114">
        <f t="shared" si="1111"/>
        <v>3.2917190997517345E-2</v>
      </c>
      <c r="CK625" s="114"/>
      <c r="CL625" s="169">
        <f t="shared" si="1112"/>
        <v>9.4448616354751522E-3</v>
      </c>
      <c r="CM625" s="169">
        <f t="shared" si="1121"/>
        <v>9.2410987285872857E-3</v>
      </c>
      <c r="CN625" s="114">
        <f>VLOOKUP($H625,RoR!$E:$F,2,FALSE)</f>
        <v>2.4766666666666666E-2</v>
      </c>
      <c r="CO625" s="169">
        <v>1.1618796630994188E-2</v>
      </c>
      <c r="CP625" s="169">
        <f t="shared" si="1119"/>
        <v>1.3147870035672478E-2</v>
      </c>
      <c r="CQ625" s="169">
        <f t="shared" si="1122"/>
        <v>2.1660842879946338E-2</v>
      </c>
      <c r="CR625" s="169">
        <v>4.5144642961987357E-2</v>
      </c>
      <c r="CS625" s="179">
        <f t="shared" si="1113"/>
        <v>0.90065499999999998</v>
      </c>
      <c r="CT625" s="180">
        <f t="shared" si="1114"/>
        <v>2.0706077233668081</v>
      </c>
      <c r="CU625" s="180">
        <f t="shared" si="1115"/>
        <v>-3.4421265141318998E-2</v>
      </c>
      <c r="CV625" s="180">
        <f t="shared" si="1116"/>
        <v>0.62416226176410472</v>
      </c>
      <c r="CW625" s="180">
        <f t="shared" si="1117"/>
        <v>-4.4485877841158712E-2</v>
      </c>
      <c r="CX625" s="181">
        <f>INDEX('State Tax Lookup'!$D$7:$Z$91,MATCH(Calculation!$C625,'State Tax Lookup'!$B$7:$B$91,0),MATCH($H625,'State Tax Lookup'!$D$6:$Z$6,0))</f>
        <v>0.26849999999999996</v>
      </c>
      <c r="CY625" s="72">
        <v>0.37</v>
      </c>
      <c r="CZ625" s="70">
        <f t="shared" si="1120"/>
        <v>21.625023257988222</v>
      </c>
      <c r="DA625" s="70">
        <v>19.952659173050833</v>
      </c>
      <c r="DB625" s="69">
        <f t="shared" si="1123"/>
        <v>3.9342336151368985E-2</v>
      </c>
      <c r="DC625" s="111">
        <f>VLOOKUP($H625,RoR!$E:$F,2,FALSE)</f>
        <v>2.4766666666666666E-2</v>
      </c>
      <c r="DD625" s="216">
        <f>HLOOKUP($H625,'GDP-PI'!$D$8:$CQ$11,3,FALSE)</f>
        <v>1.1618796630994188E-2</v>
      </c>
      <c r="DE625" s="111">
        <f>VLOOKUP(H625,'HW Dx Data'!$E:$F,2,FALSE)</f>
        <v>813.080162458833</v>
      </c>
      <c r="DF625" s="72">
        <f t="shared" si="1133"/>
        <v>153.15</v>
      </c>
      <c r="DG625" s="69">
        <f t="shared" si="1134"/>
        <v>2.2951556467368479E-2</v>
      </c>
      <c r="DH625" s="66">
        <f>HLOOKUP(H625,'GDP-PI'!$8:$9,2,FALSE)</f>
        <v>113.623</v>
      </c>
      <c r="DI625" s="69">
        <f t="shared" si="1124"/>
        <v>1.1551816731392881E-2</v>
      </c>
      <c r="EB625"/>
    </row>
    <row r="626" spans="1:132" s="160" customFormat="1" ht="21">
      <c r="A626" s="160" t="s">
        <v>195</v>
      </c>
      <c r="B626" s="160" t="s">
        <v>195</v>
      </c>
      <c r="C626" s="160">
        <v>4061755</v>
      </c>
      <c r="D626" s="160" t="s">
        <v>196</v>
      </c>
      <c r="E626" s="160" t="s">
        <v>3</v>
      </c>
      <c r="G626" s="161" t="s">
        <v>142</v>
      </c>
      <c r="H626" s="162">
        <v>2021</v>
      </c>
      <c r="I626" s="163"/>
      <c r="J626" s="159">
        <v>65881.418031203386</v>
      </c>
      <c r="K626" s="159">
        <f t="shared" si="1125"/>
        <v>418.9597331078117</v>
      </c>
      <c r="L626" s="164">
        <f t="shared" si="1131"/>
        <v>0.12238474303948504</v>
      </c>
      <c r="M626" s="76">
        <f t="shared" si="1135"/>
        <v>2.1676273038841397E-3</v>
      </c>
      <c r="N626" s="166">
        <f>+N625*EXP(O626)</f>
        <v>121.25998371700194</v>
      </c>
      <c r="O626" s="114">
        <f t="shared" si="1136"/>
        <v>3.679807009452319E-2</v>
      </c>
      <c r="P626" s="114"/>
      <c r="Q626" s="159">
        <v>92868.986863262602</v>
      </c>
      <c r="R626" s="159">
        <f t="shared" si="1126"/>
        <v>783.77067147660227</v>
      </c>
      <c r="S626" s="165">
        <f t="shared" si="1137"/>
        <v>7.9882240718632633E-2</v>
      </c>
      <c r="T626" s="165">
        <f t="shared" si="1138"/>
        <v>1.4148407863330517E-3</v>
      </c>
      <c r="U626" s="165"/>
      <c r="V626" s="165"/>
      <c r="W626" s="159">
        <f t="shared" si="1107"/>
        <v>112632.76638267536</v>
      </c>
      <c r="X626" s="163"/>
      <c r="Y626" s="167">
        <v>5312.745940947415</v>
      </c>
      <c r="Z626" s="168"/>
      <c r="AA626" s="76">
        <f t="shared" si="1127"/>
        <v>0</v>
      </c>
      <c r="AB626" s="168"/>
      <c r="AC626" s="168"/>
      <c r="AD626" s="163">
        <f t="shared" si="1056"/>
        <v>271383.17127714131</v>
      </c>
      <c r="AE626" s="168">
        <f t="shared" si="1139"/>
        <v>0.10417661276777572</v>
      </c>
      <c r="AF626" s="113"/>
      <c r="AG626" s="114"/>
      <c r="AH626" s="114"/>
      <c r="AI626" s="114"/>
      <c r="AJ626" s="116">
        <f t="shared" si="1140"/>
        <v>477.16729192904523</v>
      </c>
      <c r="AK626" s="114">
        <f>+AV626/$AX$26</f>
        <v>1.473174998887597E-2</v>
      </c>
      <c r="AL626" s="115">
        <f t="shared" si="1128"/>
        <v>0.24276161900961837</v>
      </c>
      <c r="AM626" s="115">
        <f t="shared" si="1129"/>
        <v>0.34220613764006441</v>
      </c>
      <c r="AN626" s="115">
        <f t="shared" si="1130"/>
        <v>0.4150322433503173</v>
      </c>
      <c r="AO626" s="115">
        <f t="shared" si="1132"/>
        <v>5.6159040560207721E-2</v>
      </c>
      <c r="AP626" s="166">
        <f t="shared" si="1143"/>
        <v>151.1490064046323</v>
      </c>
      <c r="AQ626" s="168">
        <f t="shared" si="1144"/>
        <v>5.6159040560207714E-2</v>
      </c>
      <c r="AR626" s="69">
        <f>+AD626/$AF$26</f>
        <v>1.7711581117466554E-2</v>
      </c>
      <c r="AS626" s="169">
        <f t="shared" si="1142"/>
        <v>9.9466540236121319E-4</v>
      </c>
      <c r="AT626" s="115"/>
      <c r="AU626" s="115"/>
      <c r="AV626" s="113">
        <v>568738</v>
      </c>
      <c r="AW626" s="68">
        <f t="shared" si="1074"/>
        <v>2.3052736481334369E-2</v>
      </c>
      <c r="AX626" s="113"/>
      <c r="AY626" s="113"/>
      <c r="AZ626" s="116"/>
      <c r="BA626" s="116"/>
      <c r="BB626" s="166"/>
      <c r="BC626" s="166"/>
      <c r="BD626" s="166"/>
      <c r="BE626" s="166"/>
      <c r="BF626" s="166"/>
      <c r="BG626" s="166"/>
      <c r="BH626" s="166"/>
      <c r="BI626" s="113"/>
      <c r="BJ626" s="113"/>
      <c r="BK626" s="113">
        <f>INDEX('Dist. Plant Gas Additions'!$E$7:$AE$91,MATCH($C626,'Dist. Plant Gas Additions'!$D$7:$D$91,0),MATCH(Calculation!$G626,'Dist. Plant Gas Additions'!$E$5:$AE$5,0))</f>
        <v>270229.40100000001</v>
      </c>
      <c r="BL626" s="113">
        <f>INDEX('Gen. Plant Additions'!$E$7:$AE$91,MATCH($C626,'Gen. Plant Additions'!$D$7:$D$91,0),MATCH(Calculation!$G626,'Gen. Plant Additions'!$E$5:$AE$5,0))</f>
        <v>53597.341999999997</v>
      </c>
      <c r="BM626" s="232">
        <v>0.93353460183325332</v>
      </c>
      <c r="BN626" s="61">
        <f t="shared" si="1145"/>
        <v>50034.973323290702</v>
      </c>
      <c r="BO626" s="113"/>
      <c r="BP626" s="113"/>
      <c r="BQ626" s="175"/>
      <c r="BR626" s="175"/>
      <c r="BS626" s="170"/>
      <c r="BT626" s="176"/>
      <c r="BU626" s="177"/>
      <c r="BV626" s="177"/>
      <c r="BW626" s="113"/>
      <c r="BX626" s="113"/>
      <c r="BY626" s="113"/>
      <c r="BZ626" s="113"/>
      <c r="CA626" s="116">
        <v>2021</v>
      </c>
      <c r="CB626" s="113"/>
      <c r="CC626" s="113"/>
      <c r="CD626" s="113"/>
      <c r="CE626" s="175"/>
      <c r="CF626" s="113">
        <f t="shared" si="1109"/>
        <v>323826.74300000002</v>
      </c>
      <c r="CG626" s="113">
        <f t="shared" si="1110"/>
        <v>347.07281257621111</v>
      </c>
      <c r="CH626" s="178">
        <f>+(51-23)/(51-23*0.75)</f>
        <v>0.82962962962962961</v>
      </c>
      <c r="CI626" s="113">
        <f>CI603*CH626+CG604*CH625+CG605*CH624+CG606*CH623+CG607*CH622+CG608*CH621+CG609*CH620+CG610*CH619+CG611*CH618+CG612*CH617+CG613*CH616+CG614*CH615+CG615*CH614+CG616*CH613+CG617*CH612+CG608*CH611+CG619*CH610+CG620*CH609+CG621*CH608+CG622*CH607+CG623*CH606+CG624*CH605+CG626+CG625*CH604</f>
        <v>5312.745940947415</v>
      </c>
      <c r="CJ626" s="114"/>
      <c r="CK626" s="113"/>
      <c r="CL626" s="169">
        <f t="shared" si="1112"/>
        <v>1.5527338706880778E-2</v>
      </c>
      <c r="CM626" s="169">
        <f t="shared" si="1121"/>
        <v>1.1415446360313853E-2</v>
      </c>
      <c r="CN626" s="114">
        <f>VLOOKUP($H626,RoR!$E:$F,2,FALSE)</f>
        <v>2.7033333333333336E-2</v>
      </c>
      <c r="CO626" s="169"/>
      <c r="CP626" s="169"/>
      <c r="CQ626" s="169">
        <f t="shared" si="1122"/>
        <v>1.9486495248219771E-2</v>
      </c>
      <c r="CR626" s="169">
        <v>7.433422950153494E-2</v>
      </c>
      <c r="CS626" s="179">
        <f t="shared" si="1113"/>
        <v>0.90065499999999998</v>
      </c>
      <c r="CT626" s="180">
        <f t="shared" si="1114"/>
        <v>1.8969932656739068</v>
      </c>
      <c r="CU626" s="180">
        <f t="shared" si="1115"/>
        <v>5.0215782983970621E-2</v>
      </c>
      <c r="CV626" s="180">
        <f t="shared" si="1116"/>
        <v>0.655952481704143</v>
      </c>
      <c r="CW626" s="180">
        <f t="shared" si="1117"/>
        <v>6.2485378865697057E-2</v>
      </c>
      <c r="CX626" s="181">
        <f>CX625</f>
        <v>0.26849999999999996</v>
      </c>
      <c r="CY626" s="72">
        <v>0.37</v>
      </c>
      <c r="CZ626" s="182">
        <f t="shared" si="1120"/>
        <v>22.330080213300253</v>
      </c>
      <c r="DA626" s="182"/>
      <c r="DB626" s="169">
        <f t="shared" si="1123"/>
        <v>3.2083529690799382E-2</v>
      </c>
      <c r="DC626" s="181">
        <f>VLOOKUP($H626,RoR!$E:$F,2,FALSE)</f>
        <v>2.7033333333333336E-2</v>
      </c>
      <c r="DD626" s="183">
        <f>HLOOKUP($H626,'GDP-PI'!$D$8:$CR$11,3,FALSE)</f>
        <v>4.2834637353352578E-2</v>
      </c>
      <c r="DE626" s="181">
        <f>VLOOKUP(H626,'HW Dx Data'!$E:$F,2,FALSE)</f>
        <v>933.02249921662576</v>
      </c>
      <c r="DF626" s="72">
        <f t="shared" si="1133"/>
        <v>157.25</v>
      </c>
      <c r="DG626" s="69">
        <f t="shared" si="1134"/>
        <v>2.6419062301765574E-2</v>
      </c>
      <c r="DH626" s="175">
        <f>HLOOKUP(H626,'GDP-PI'!$8:$9,2,FALSE)</f>
        <v>118.49</v>
      </c>
      <c r="DI626" s="169">
        <f t="shared" si="1124"/>
        <v>4.194261824609434E-2</v>
      </c>
      <c r="EB626"/>
    </row>
    <row r="627" spans="1:132" s="160" customFormat="1" ht="21">
      <c r="G627" s="161" t="s">
        <v>144</v>
      </c>
      <c r="H627" s="162"/>
      <c r="I627" s="163"/>
      <c r="J627" s="159">
        <v>68603.946555376329</v>
      </c>
      <c r="K627" s="159">
        <f t="shared" si="1125"/>
        <v>422.04827164181069</v>
      </c>
      <c r="L627" s="164">
        <f t="shared" ref="L627" si="1146">LN(K627/K626)</f>
        <v>7.3448823350133049E-3</v>
      </c>
      <c r="M627" s="76">
        <f t="shared" si="1135"/>
        <v>1.388555997209697E-4</v>
      </c>
      <c r="N627" s="166">
        <f>+N626*EXP(O627)</f>
        <v>120.14753032560175</v>
      </c>
      <c r="O627" s="114">
        <f t="shared" si="1136"/>
        <v>-9.2164593169879322E-3</v>
      </c>
      <c r="P627" s="114"/>
      <c r="Q627" s="163">
        <v>96706.768035891946</v>
      </c>
      <c r="R627" s="159">
        <f t="shared" si="1126"/>
        <v>759.9746014608404</v>
      </c>
      <c r="S627" s="165">
        <f t="shared" ref="S627" si="1147">LN(R627/R626)</f>
        <v>-3.0831453097605505E-2</v>
      </c>
      <c r="T627" s="165">
        <f t="shared" si="1138"/>
        <v>-5.8287113596479508E-4</v>
      </c>
      <c r="U627" s="166"/>
      <c r="V627" s="114"/>
      <c r="W627" s="159">
        <f t="shared" si="1107"/>
        <v>141806.0131178571</v>
      </c>
      <c r="X627" s="168"/>
      <c r="Y627" s="167">
        <v>5603.3832095860889</v>
      </c>
      <c r="Z627" s="168">
        <v>5.3261731942649188E-2</v>
      </c>
      <c r="AA627" s="76">
        <f t="shared" si="1127"/>
        <v>1.0069173873376537E-3</v>
      </c>
      <c r="AB627" s="166"/>
      <c r="AC627" s="114"/>
      <c r="AD627" s="163">
        <f t="shared" si="1056"/>
        <v>307116.72770912538</v>
      </c>
      <c r="AE627" s="168">
        <f t="shared" si="1139"/>
        <v>0.12369615747928987</v>
      </c>
      <c r="AF627" s="113"/>
      <c r="AG627" s="114"/>
      <c r="AH627" s="114"/>
      <c r="AI627" s="114"/>
      <c r="AJ627" s="116">
        <f t="shared" si="1140"/>
        <v>539.58983516107821</v>
      </c>
      <c r="AK627" s="114"/>
      <c r="AL627" s="115">
        <f t="shared" si="1128"/>
        <v>0.22338069002985764</v>
      </c>
      <c r="AM627" s="115">
        <f t="shared" si="1129"/>
        <v>0.3148860329336548</v>
      </c>
      <c r="AN627" s="115">
        <f t="shared" si="1130"/>
        <v>0.46173327703648753</v>
      </c>
      <c r="AO627" s="115"/>
      <c r="AP627" s="166"/>
      <c r="AQ627" s="168"/>
      <c r="AR627" s="69">
        <f>+AD627/$AF$27</f>
        <v>1.890508157755507E-2</v>
      </c>
      <c r="AS627" s="169"/>
      <c r="AT627" s="166"/>
      <c r="AU627" s="168"/>
      <c r="AV627" s="113">
        <v>569167</v>
      </c>
      <c r="AW627" s="68">
        <f t="shared" si="1074"/>
        <v>7.5401728672506378E-4</v>
      </c>
      <c r="AX627" s="113"/>
      <c r="AY627" s="113"/>
      <c r="AZ627" s="113"/>
      <c r="BA627" s="113"/>
      <c r="BB627" s="171"/>
      <c r="BC627" s="172"/>
      <c r="BD627" s="173"/>
      <c r="BE627" s="115"/>
      <c r="BF627" s="174"/>
      <c r="BG627" s="174"/>
      <c r="BH627" s="166"/>
      <c r="BI627" s="113"/>
      <c r="BJ627" s="113"/>
      <c r="BK627" s="113"/>
      <c r="BL627" s="113"/>
      <c r="BM627" s="232">
        <v>0.93353460183325332</v>
      </c>
      <c r="BN627" s="61">
        <f t="shared" si="1145"/>
        <v>0</v>
      </c>
      <c r="BO627" s="113"/>
      <c r="BP627" s="113"/>
      <c r="BQ627" s="175"/>
      <c r="BR627" s="175"/>
      <c r="BS627" s="170"/>
      <c r="BT627" s="176"/>
      <c r="BU627" s="177"/>
      <c r="BV627" s="177"/>
      <c r="BW627" s="113"/>
      <c r="BX627" s="113"/>
      <c r="BY627" s="113"/>
      <c r="BZ627" s="113"/>
      <c r="CA627" s="116">
        <v>2022</v>
      </c>
      <c r="CB627" s="113"/>
      <c r="CC627" s="113"/>
      <c r="CD627" s="113"/>
      <c r="CE627" s="175"/>
      <c r="CF627" s="238">
        <v>238046</v>
      </c>
      <c r="CG627" s="113">
        <f>+CF627/DE627</f>
        <v>230.93101541506195</v>
      </c>
      <c r="CH627" s="178">
        <f>+(51-24)/(51-24*0.75)</f>
        <v>0.81818181818181823</v>
      </c>
      <c r="CI627" s="113">
        <f>+CI603*CH627+CG604*CH626+CG605*CH625+CG606*CH624+CG607*CH623+CG608*CH622+CG609*CH621+CG610*CH620+CG611*CH619+CG612*CH618+CG613*CH617+CG614*CH616+CG615*CH615+CG616*CH614+CG617*CH613+CG618*CH612+CG619*CH611+CG620*CH610+CG621*CH609+CG622*CH608+CG623*CH607+CG624*CH606+CG625*CH605+CG626*CH604+CG627*CH603</f>
        <v>5520.1663771921458</v>
      </c>
      <c r="CJ627" s="114">
        <f t="shared" ref="CJ627" si="1148">LN(CI627/CI626)</f>
        <v>3.8299172684920155E-2</v>
      </c>
      <c r="CK627" s="113"/>
      <c r="CL627" s="169">
        <f t="shared" si="1112"/>
        <v>4.4253159160361679E-3</v>
      </c>
      <c r="CM627" s="169">
        <f t="shared" si="1121"/>
        <v>9.7991720861306999E-3</v>
      </c>
      <c r="CN627" s="114"/>
      <c r="CO627" s="169"/>
      <c r="CP627" s="169"/>
      <c r="CQ627" s="69">
        <f t="shared" si="1122"/>
        <v>2.1102769522402927E-2</v>
      </c>
      <c r="CR627" s="169">
        <v>0.10114668178709289</v>
      </c>
      <c r="CS627" s="179">
        <f t="shared" ref="CS627" si="1149">1-CX627*CY627</f>
        <v>0.90065499999999998</v>
      </c>
      <c r="CT627" s="180">
        <f t="shared" ref="CT627" si="1150">2/(DC627*39)</f>
        <v>1.2820512820512819</v>
      </c>
      <c r="CU627" s="180">
        <f t="shared" ref="CU627" si="1151">+(DC627*40-(1+DC627))/(DC627*40)</f>
        <v>0.35000000000000003</v>
      </c>
      <c r="CV627" s="180">
        <f t="shared" ref="CV627" si="1152">+(1-(1/(1+DC627)^40))</f>
        <v>0.79171095533705893</v>
      </c>
      <c r="CW627" s="180">
        <f t="shared" ref="CW627" si="1153">+CV627*CU627*CT627</f>
        <v>0.35525491585637264</v>
      </c>
      <c r="CX627" s="181">
        <f>CX626</f>
        <v>0.26849999999999996</v>
      </c>
      <c r="CY627" s="72">
        <v>0.37</v>
      </c>
      <c r="CZ627" s="182">
        <f t="shared" si="1120"/>
        <v>26.691660902679832</v>
      </c>
      <c r="DA627" s="182"/>
      <c r="DB627" s="169">
        <f t="shared" si="1123"/>
        <v>0.17841653285796272</v>
      </c>
      <c r="DC627" s="181">
        <v>0.04</v>
      </c>
      <c r="DD627" s="183">
        <v>7.0000000000000001E-3</v>
      </c>
      <c r="DE627" s="181">
        <v>1030.81</v>
      </c>
      <c r="DF627" s="72">
        <f t="shared" si="1133"/>
        <v>162.55000000000001</v>
      </c>
      <c r="DG627" s="169">
        <f t="shared" si="1134"/>
        <v>3.3148751169364422E-2</v>
      </c>
      <c r="DH627" s="175">
        <v>127.25</v>
      </c>
      <c r="DI627" s="169">
        <f t="shared" si="1124"/>
        <v>7.1325086601983473E-2</v>
      </c>
      <c r="EB627"/>
    </row>
    <row r="628" spans="1:132" s="160" customFormat="1" ht="21">
      <c r="A628" s="160" t="s">
        <v>197</v>
      </c>
      <c r="B628" s="161" t="s">
        <v>197</v>
      </c>
      <c r="C628" s="161">
        <v>4004389</v>
      </c>
      <c r="D628" s="161" t="s">
        <v>171</v>
      </c>
      <c r="E628" s="161" t="s">
        <v>3</v>
      </c>
      <c r="F628" s="161"/>
      <c r="G628" s="161" t="s">
        <v>100</v>
      </c>
      <c r="H628" s="162">
        <v>1998</v>
      </c>
      <c r="I628" s="163"/>
      <c r="J628" s="159"/>
      <c r="K628" s="159"/>
      <c r="L628" s="159"/>
      <c r="M628" s="60"/>
      <c r="N628" s="131"/>
      <c r="O628" s="76"/>
      <c r="P628" s="76"/>
      <c r="Q628" s="165"/>
      <c r="R628" s="165"/>
      <c r="S628" s="165"/>
      <c r="T628" s="159"/>
      <c r="U628" s="165"/>
      <c r="V628" s="165"/>
      <c r="W628" s="159"/>
      <c r="X628" s="163"/>
      <c r="Y628" s="167">
        <v>1837.8744379384075</v>
      </c>
      <c r="Z628" s="168"/>
      <c r="AA628" s="78"/>
      <c r="AB628" s="168"/>
      <c r="AC628" s="168"/>
      <c r="AD628" s="163">
        <f t="shared" si="1056"/>
        <v>0</v>
      </c>
      <c r="AE628" s="163"/>
      <c r="AF628" s="163"/>
      <c r="AG628" s="114"/>
      <c r="AH628" s="114"/>
      <c r="AI628" s="114"/>
      <c r="AJ628" s="166">
        <f>+(AJ625+AJ626+AJ627)/3</f>
        <v>485.58109541443611</v>
      </c>
      <c r="AK628" s="168"/>
      <c r="AL628" s="115"/>
      <c r="AM628" s="115"/>
      <c r="AN628" s="115"/>
      <c r="AO628" s="115"/>
      <c r="AP628" s="115"/>
      <c r="AQ628" s="168">
        <f>AVERAGE(AQ637:AQ651)</f>
        <v>2.2080275496042565E-2</v>
      </c>
      <c r="AR628" s="79"/>
      <c r="AS628" s="115"/>
      <c r="AT628" s="115"/>
      <c r="AU628" s="115"/>
      <c r="AV628" s="113">
        <f>IFERROR(INDEX('Total Customers'!$F$7:$AB$91,MATCH($C628,'Total Customers'!$D$7:$D$91,0),MATCH($G628,'Total Customers'!$F$5:$AB$5,0)),"NA")</f>
        <v>242508</v>
      </c>
      <c r="AW628" s="68"/>
      <c r="AX628" s="114"/>
      <c r="AY628" s="114"/>
      <c r="AZ628" s="116"/>
      <c r="BA628" s="116"/>
      <c r="BB628" s="166"/>
      <c r="BC628" s="166"/>
      <c r="BD628" s="166"/>
      <c r="BE628" s="166"/>
      <c r="BF628" s="166"/>
      <c r="BG628" s="166"/>
      <c r="BH628" s="166"/>
      <c r="BI628" s="113">
        <f>INDEX('Gross Dx Plant'!$E$7:$AD$91,MATCH($C628,'Gross Dx Plant'!$D$7:$D$91,0),MATCH(Calculation!$G628,'Gross Dx Plant'!$E$5:$AD$5,0))</f>
        <v>480249</v>
      </c>
      <c r="BJ628" s="113">
        <f>INDEX('Gross Gen Plant'!$E$7:$AD$91,MATCH($C628,'Gross Gen Plant'!$D$7:$D$91,0),MATCH(Calculation!$G628,'Gross Gen Plant'!$E$5:$AD$5,0))</f>
        <v>23912</v>
      </c>
      <c r="BK628" s="113">
        <f>INDEX('Dist. Plant Gas Additions'!$F$7:$AE$91,MATCH($C628,'Dist. Plant Gas Additions'!$D$7:$D$91,0),MATCH(Calculation!$G628,'Dist. Plant Gas Additions'!$F$5:$AE$5,0))</f>
        <v>31449</v>
      </c>
      <c r="BL628" s="113">
        <f>INDEX('Gen. Plant Additions'!$F$7:$AE$91,MATCH($C628,'Gen. Plant Additions'!$D$7:$D$91,0),MATCH(Calculation!$G628,'Gen. Plant Additions'!$F$5:$AE$5,0))</f>
        <v>1506</v>
      </c>
      <c r="BM628" s="231">
        <f>+(BW628/(BW628+BX628))</f>
        <v>0.95257070657984255</v>
      </c>
      <c r="BN628" s="61">
        <f t="shared" si="1145"/>
        <v>1434.5714841092429</v>
      </c>
      <c r="BO628" s="113">
        <f>INDEX('Dist Plant Depreciation'!$E$7:$AD$94,MATCH($C628,'Dist Plant Depreciation'!$D$7:$D$94,0),MATCH(Calculation!$G628,'Dist Plant Depreciation'!$E$5:$AD$5,0))</f>
        <v>126733</v>
      </c>
      <c r="BP628" s="113">
        <f>INDEX('Gen. Plant Depreciation'!$E$7:$AD$94,MATCH($C628,'Gen. Plant Depreciation'!$D$7:$D$94,0),MATCH(Calculation!$G628,'Gen. Plant Depreciation'!$E$5:$AD$5,0))</f>
        <v>6693</v>
      </c>
      <c r="BQ628" s="113"/>
      <c r="BR628" s="113"/>
      <c r="BS628" s="113"/>
      <c r="BT628" s="113"/>
      <c r="BU628" s="113"/>
      <c r="BV628" s="113"/>
      <c r="BW628" s="113">
        <f>INDEX('Gross Dx Plant'!$E$7:$AD$91,MATCH($C628,'Gross Dx Plant'!$D$7:$D$91,0),MATCH(Calculation!$G628,'Gross Dx Plant'!$E$5:$AD$5,0))</f>
        <v>480249</v>
      </c>
      <c r="BX628" s="113">
        <f>INDEX('Gross Gen Plant'!$E$7:$AD$91,MATCH($C628,'Gross Gen Plant'!$D$7:$D$91,0),MATCH(Calculation!$G628,'Gross Gen Plant'!$E$5:$AD$5,0))</f>
        <v>23912</v>
      </c>
      <c r="BY628" s="113">
        <f t="shared" si="1075"/>
        <v>370735</v>
      </c>
      <c r="BZ628" s="113"/>
      <c r="CA628" s="116">
        <v>1998</v>
      </c>
      <c r="CB628" s="113">
        <f>BI628+BJ628</f>
        <v>504161</v>
      </c>
      <c r="CC628" s="113">
        <f>126733+6693</f>
        <v>133426</v>
      </c>
      <c r="CD628" s="113">
        <f>+CB628-CC628</f>
        <v>370735</v>
      </c>
      <c r="CE628" s="113">
        <f>CD628/$BV$3</f>
        <v>1837.8744379384075</v>
      </c>
      <c r="CF628" s="175"/>
      <c r="CG628" s="175"/>
      <c r="CH628" s="178">
        <v>1</v>
      </c>
      <c r="CI628" s="113">
        <f>+CE628</f>
        <v>1837.8744379384075</v>
      </c>
      <c r="CJ628" s="114"/>
      <c r="CK628" s="114"/>
      <c r="CL628" s="169"/>
      <c r="CM628" s="169"/>
      <c r="CN628" s="114" t="e">
        <f>VLOOKUP($H628,RoR!$E:$F,2,FALSE)</f>
        <v>#N/A</v>
      </c>
      <c r="CO628" s="169">
        <v>1.1028127770464469E-2</v>
      </c>
      <c r="CP628" s="169"/>
      <c r="CQ628" s="69"/>
      <c r="CS628" s="179">
        <f t="shared" ref="CS628" si="1154">1-CX628*CY628</f>
        <v>0.90065499999999998</v>
      </c>
      <c r="CT628" s="180"/>
      <c r="CU628" s="180"/>
      <c r="CV628" s="180"/>
      <c r="CW628" s="180"/>
      <c r="CX628" s="181">
        <f>CX627</f>
        <v>0.26849999999999996</v>
      </c>
      <c r="CY628" s="72">
        <v>0.37</v>
      </c>
      <c r="CZ628" s="182">
        <f t="shared" si="1120"/>
        <v>-0.12453624700608905</v>
      </c>
      <c r="DA628" s="66"/>
      <c r="DB628" s="69"/>
      <c r="DC628" s="111" t="e">
        <f>VLOOKUP($H628,RoR!$E:$F,2,FALSE)</f>
        <v>#N/A</v>
      </c>
      <c r="DD628" s="216">
        <f>HLOOKUP($H628,'GDP-PI'!$D$8:$CQ$11,3,FALSE)</f>
        <v>1.1028127770464469E-2</v>
      </c>
      <c r="DE628" s="111">
        <f>VLOOKUP(H628,'HW Dx Data'!$E:$F,2,FALSE)</f>
        <v>329.24564746449528</v>
      </c>
      <c r="DF628" s="72" t="e">
        <f t="shared" si="1133"/>
        <v>#N/A</v>
      </c>
      <c r="DG628" s="169" t="e">
        <f t="shared" si="1134"/>
        <v>#N/A</v>
      </c>
      <c r="DH628" s="66">
        <f>HLOOKUP(H628,'GDP-PI'!$8:$9,2,FALSE)</f>
        <v>75.266999999999996</v>
      </c>
      <c r="DI628"/>
      <c r="EB628"/>
    </row>
    <row r="629" spans="1:132" s="160" customFormat="1" ht="21">
      <c r="A629" s="160" t="s">
        <v>197</v>
      </c>
      <c r="B629" s="161" t="s">
        <v>197</v>
      </c>
      <c r="C629" s="161">
        <v>4004389</v>
      </c>
      <c r="D629" s="161" t="s">
        <v>171</v>
      </c>
      <c r="E629" s="161" t="s">
        <v>3</v>
      </c>
      <c r="F629" s="161"/>
      <c r="G629" s="161" t="s">
        <v>106</v>
      </c>
      <c r="H629" s="162">
        <v>1999</v>
      </c>
      <c r="I629" s="163"/>
      <c r="J629" s="159"/>
      <c r="K629" s="163"/>
      <c r="L629" s="163"/>
      <c r="M629" s="60"/>
      <c r="N629" s="152"/>
      <c r="O629" s="60"/>
      <c r="P629" s="59"/>
      <c r="Q629" s="169"/>
      <c r="R629" s="169"/>
      <c r="S629" s="169"/>
      <c r="T629" s="187"/>
      <c r="U629" s="169"/>
      <c r="V629" s="169"/>
      <c r="W629" s="159">
        <f t="shared" ref="W629:W652" si="1155">+CI628*CZ629</f>
        <v>0</v>
      </c>
      <c r="X629" s="163"/>
      <c r="Y629" s="167">
        <v>1912.1483661008217</v>
      </c>
      <c r="Z629" s="168">
        <v>3.961770185756789E-2</v>
      </c>
      <c r="AA629" s="78"/>
      <c r="AB629" s="168"/>
      <c r="AC629" s="168"/>
      <c r="AD629" s="163">
        <f t="shared" si="1056"/>
        <v>0</v>
      </c>
      <c r="AE629" s="168"/>
      <c r="AF629" s="163"/>
      <c r="AG629" s="114"/>
      <c r="AH629" s="114"/>
      <c r="AI629" s="114"/>
      <c r="AJ629" s="167"/>
      <c r="AK629" s="168"/>
      <c r="AL629" s="115"/>
      <c r="AM629" s="115"/>
      <c r="AN629" s="115"/>
      <c r="AO629" s="115"/>
      <c r="AP629" s="115"/>
      <c r="AQ629" s="168"/>
      <c r="AR629" s="79"/>
      <c r="AS629" s="115"/>
      <c r="AT629" s="115"/>
      <c r="AU629" s="115"/>
      <c r="AV629" s="113">
        <f>IFERROR(INDEX('Total Customers'!$F$7:$AB$91,MATCH($C629,'Total Customers'!$D$7:$D$91,0),MATCH($G629,'Total Customers'!$F$5:$AB$5,0)),"NA")</f>
        <v>243879</v>
      </c>
      <c r="AW629" s="68">
        <f t="shared" si="1074"/>
        <v>5.6375011298624858E-3</v>
      </c>
      <c r="AX629" s="114"/>
      <c r="AY629" s="114"/>
      <c r="AZ629" s="116"/>
      <c r="BA629" s="116"/>
      <c r="BB629" s="166"/>
      <c r="BC629" s="166"/>
      <c r="BD629" s="166"/>
      <c r="BE629" s="166"/>
      <c r="BF629" s="166"/>
      <c r="BG629" s="166"/>
      <c r="BH629" s="166"/>
      <c r="BI629" s="113"/>
      <c r="BJ629" s="113"/>
      <c r="BK629" s="113">
        <f>INDEX('Dist. Plant Gas Additions'!$F$7:$AE$91,MATCH($C629,'Dist. Plant Gas Additions'!$D$7:$D$91,0),MATCH(Calculation!$G629,'Dist. Plant Gas Additions'!$F$5:$AE$5,0))</f>
        <v>26200</v>
      </c>
      <c r="BL629" s="113">
        <f>INDEX('Gen. Plant Additions'!$F$7:$AE$91,MATCH($C629,'Gen. Plant Additions'!$D$7:$D$91,0),MATCH(Calculation!$G629,'Gen. Plant Additions'!$F$5:$AE$5,0))</f>
        <v>1772</v>
      </c>
      <c r="BM629" s="231">
        <f t="shared" ref="BM629:BM650" si="1156">+(BW629/(BW629+BX629))</f>
        <v>0.95389916342257586</v>
      </c>
      <c r="BN629" s="61">
        <f t="shared" si="1145"/>
        <v>1690.3093175848044</v>
      </c>
      <c r="BO629" s="113">
        <f>INDEX('Dist Plant Depreciation'!$E$7:$AD$94,MATCH($C629,'Dist Plant Depreciation'!$D$7:$D$94,0),MATCH(Calculation!$G629,'Dist Plant Depreciation'!$E$5:$AD$5,0))</f>
        <v>134578</v>
      </c>
      <c r="BP629" s="113">
        <f>INDEX('Gen. Plant Depreciation'!$E$7:$AD$94,MATCH($C629,'Gen. Plant Depreciation'!$D$7:$D$94,0),MATCH(Calculation!$G629,'Gen. Plant Depreciation'!$E$5:$AD$5,0))</f>
        <v>7229</v>
      </c>
      <c r="BQ629" s="113"/>
      <c r="BR629" s="113"/>
      <c r="BS629" s="113"/>
      <c r="BT629" s="113"/>
      <c r="BU629" s="113"/>
      <c r="BV629" s="113"/>
      <c r="BW629" s="113">
        <f>INDEX('Gross Dx Plant'!$E$7:$AD$91,MATCH($C629,'Gross Dx Plant'!$D$7:$D$91,0),MATCH(Calculation!$G629,'Gross Dx Plant'!$E$5:$AD$5,0))</f>
        <v>503302</v>
      </c>
      <c r="BX629" s="113">
        <f>INDEX('Gross Gen Plant'!$E$7:$AD$91,MATCH($C629,'Gross Gen Plant'!$D$7:$D$91,0),MATCH(Calculation!$G629,'Gross Gen Plant'!$E$5:$AD$5,0))</f>
        <v>24324</v>
      </c>
      <c r="BY629" s="113">
        <f t="shared" si="1075"/>
        <v>385819</v>
      </c>
      <c r="BZ629" s="113"/>
      <c r="CA629" s="116">
        <v>1999</v>
      </c>
      <c r="CB629" s="113"/>
      <c r="CC629" s="113"/>
      <c r="CD629" s="113"/>
      <c r="CE629" s="175"/>
      <c r="CF629" s="113">
        <f t="shared" ref="CF629:CF651" si="1157">+BL629+BK629</f>
        <v>27972</v>
      </c>
      <c r="CG629" s="113">
        <f t="shared" ref="CG629:CG651" si="1158">+CF629/$DE629</f>
        <v>83.41758208250566</v>
      </c>
      <c r="CH629" s="178">
        <v>0.99502487562189057</v>
      </c>
      <c r="CI629" s="61">
        <f>+CI628*CH629+CG629</f>
        <v>1912.1483661008217</v>
      </c>
      <c r="CJ629" s="114">
        <f t="shared" ref="CJ629:CJ650" si="1159">LN(CI629/CI628)</f>
        <v>3.961770185756789E-2</v>
      </c>
      <c r="CK629" s="114"/>
      <c r="CL629" s="169">
        <f t="shared" ref="CL629:CL652" si="1160">+(CI628-CI629+CG629)/CI628</f>
        <v>4.9751243781093754E-3</v>
      </c>
      <c r="CM629" s="169"/>
      <c r="CN629" s="114">
        <f>VLOOKUP($H629,RoR!$E:$F,2,FALSE)</f>
        <v>7.0416666666666669E-2</v>
      </c>
      <c r="CO629" s="169">
        <v>1.4335631817396832E-2</v>
      </c>
      <c r="CP629" s="169">
        <f>+CN629-CO629</f>
        <v>5.6081034849269837E-2</v>
      </c>
      <c r="CQ629" s="169"/>
      <c r="CR629" s="169"/>
      <c r="CS629" s="179">
        <f t="shared" ref="CS629:CS652" si="1161">1-CX629*CY629</f>
        <v>0.85329623209999994</v>
      </c>
      <c r="CT629" s="180">
        <f t="shared" ref="CT629:CT651" si="1162">2/(DC629*39)</f>
        <v>0.72826581702321336</v>
      </c>
      <c r="CU629" s="180">
        <f t="shared" ref="CU629:CU651" si="1163">+(DC629*40-(1+DC629))/(DC629*40)</f>
        <v>0.61997041420118348</v>
      </c>
      <c r="CV629" s="180">
        <f t="shared" ref="CV629:CV651" si="1164">+(1-(1/(1+DC629)^40))</f>
        <v>0.93425155319585029</v>
      </c>
      <c r="CW629" s="180">
        <f t="shared" ref="CW629:CW651" si="1165">+CV629*CU629*CT629</f>
        <v>0.42181762214141483</v>
      </c>
      <c r="CX629" s="181">
        <f>INDEX('State Tax Lookup'!$D$7:$Z$91,MATCH(Calculation!$C629,'State Tax Lookup'!$B$7:$B$91,0),MATCH($H629,'State Tax Lookup'!$D$6:$Z$6,0))</f>
        <v>0.39649667</v>
      </c>
      <c r="CY629" s="72">
        <v>0.37</v>
      </c>
      <c r="CZ629" s="70"/>
      <c r="DA629" s="70"/>
      <c r="DB629" s="69"/>
      <c r="DC629" s="111">
        <f>VLOOKUP($H629,RoR!$E:$F,2,FALSE)</f>
        <v>7.0416666666666669E-2</v>
      </c>
      <c r="DD629" s="216">
        <f>HLOOKUP($H629,'GDP-PI'!$D$8:$CQ$11,3,FALSE)</f>
        <v>1.4335631817396832E-2</v>
      </c>
      <c r="DE629" s="111">
        <f>VLOOKUP(H629,'HW Dx Data'!$E:$F,2,FALSE)</f>
        <v>335.32499146683239</v>
      </c>
      <c r="DF629" s="66"/>
      <c r="DG629" s="69"/>
      <c r="DH629" s="66">
        <f>HLOOKUP(H629,'GDP-PI'!$8:$9,2,FALSE)</f>
        <v>76.346000000000004</v>
      </c>
      <c r="DI629"/>
      <c r="EB629"/>
    </row>
    <row r="630" spans="1:132" s="160" customFormat="1" ht="21">
      <c r="A630" s="160" t="s">
        <v>197</v>
      </c>
      <c r="B630" s="161" t="s">
        <v>197</v>
      </c>
      <c r="C630" s="161">
        <v>4004389</v>
      </c>
      <c r="D630" s="161" t="s">
        <v>171</v>
      </c>
      <c r="E630" s="161" t="s">
        <v>3</v>
      </c>
      <c r="F630" s="161"/>
      <c r="G630" s="161" t="s">
        <v>107</v>
      </c>
      <c r="H630" s="162">
        <v>2000</v>
      </c>
      <c r="I630" s="163"/>
      <c r="J630" s="159"/>
      <c r="K630" s="159"/>
      <c r="L630" s="159"/>
      <c r="M630" s="60"/>
      <c r="N630" s="152"/>
      <c r="O630" s="60"/>
      <c r="P630" s="60"/>
      <c r="Q630" s="159"/>
      <c r="R630" s="159"/>
      <c r="S630" s="159"/>
      <c r="T630" s="159"/>
      <c r="U630" s="159"/>
      <c r="V630" s="159"/>
      <c r="W630" s="159">
        <f t="shared" si="1155"/>
        <v>0</v>
      </c>
      <c r="X630" s="163"/>
      <c r="Y630" s="167">
        <v>1962.9185539773723</v>
      </c>
      <c r="Z630" s="168">
        <v>2.6205014894631125E-2</v>
      </c>
      <c r="AA630" s="78"/>
      <c r="AB630" s="168"/>
      <c r="AC630" s="168"/>
      <c r="AD630" s="163">
        <f t="shared" ref="AD630:AD695" si="1166">+J630+Q630+W630</f>
        <v>0</v>
      </c>
      <c r="AE630" s="168"/>
      <c r="AF630" s="163"/>
      <c r="AG630" s="163"/>
      <c r="AH630" s="163"/>
      <c r="AI630" s="163"/>
      <c r="AJ630" s="167"/>
      <c r="AK630" s="168"/>
      <c r="AL630" s="115"/>
      <c r="AM630" s="115"/>
      <c r="AN630" s="115"/>
      <c r="AO630" s="115"/>
      <c r="AP630" s="115"/>
      <c r="AQ630" s="168"/>
      <c r="AR630" s="79"/>
      <c r="AS630" s="115"/>
      <c r="AT630" s="115"/>
      <c r="AU630" s="115"/>
      <c r="AV630" s="113">
        <f>IFERROR(INDEX('Total Customers'!$F$7:$AB$91,MATCH($C630,'Total Customers'!$D$7:$D$91,0),MATCH($G630,'Total Customers'!$F$5:$AB$5,0)),"NA")</f>
        <v>246475</v>
      </c>
      <c r="AW630" s="68">
        <f t="shared" si="1074"/>
        <v>1.0588367807130922E-2</v>
      </c>
      <c r="AX630" s="114"/>
      <c r="AY630" s="114"/>
      <c r="AZ630" s="116"/>
      <c r="BA630" s="116"/>
      <c r="BB630" s="166"/>
      <c r="BC630" s="166"/>
      <c r="BD630" s="166"/>
      <c r="BE630" s="166"/>
      <c r="BF630" s="166"/>
      <c r="BG630" s="166"/>
      <c r="BH630" s="166"/>
      <c r="BI630" s="113"/>
      <c r="BJ630" s="113"/>
      <c r="BK630" s="113">
        <f>INDEX('Dist. Plant Gas Additions'!$F$7:$AE$91,MATCH($C630,'Dist. Plant Gas Additions'!$D$7:$D$91,0),MATCH(Calculation!$G630,'Dist. Plant Gas Additions'!$F$5:$AE$5,0))</f>
        <v>20185</v>
      </c>
      <c r="BL630" s="113">
        <f>INDEX('Gen. Plant Additions'!$F$7:$AE$91,MATCH($C630,'Gen. Plant Additions'!$D$7:$D$91,0),MATCH(Calculation!$G630,'Gen. Plant Additions'!$F$5:$AE$5,0))</f>
        <v>817</v>
      </c>
      <c r="BM630" s="231">
        <f t="shared" si="1156"/>
        <v>0.95231465558246919</v>
      </c>
      <c r="BN630" s="61">
        <f t="shared" si="1145"/>
        <v>778.04107361087733</v>
      </c>
      <c r="BO630" s="113" t="str">
        <f>INDEX('Dist Plant Depreciation'!$E$7:$AD$94,MATCH($C630,'Dist Plant Depreciation'!$D$7:$D$94,0),MATCH(Calculation!$G630,'Dist Plant Depreciation'!$E$5:$AD$5,0))</f>
        <v>NA</v>
      </c>
      <c r="BP630" s="113" t="str">
        <f>INDEX('Gen. Plant Depreciation'!$E$7:$AD$94,MATCH($C630,'Gen. Plant Depreciation'!$D$7:$D$94,0),MATCH(Calculation!$G630,'Gen. Plant Depreciation'!$E$5:$AD$5,0))</f>
        <v>NA</v>
      </c>
      <c r="BQ630" s="113"/>
      <c r="BR630" s="113"/>
      <c r="BS630" s="113"/>
      <c r="BT630" s="113"/>
      <c r="BU630" s="113"/>
      <c r="BV630" s="113"/>
      <c r="BW630" s="113">
        <f>INDEX('Gross Dx Plant'!$E$7:$AD$91,MATCH($C630,'Gross Dx Plant'!$D$7:$D$91,0),MATCH(Calculation!$G630,'Gross Dx Plant'!$E$5:$AD$5,0))</f>
        <v>520539</v>
      </c>
      <c r="BX630" s="113">
        <f>INDEX('Gross Gen Plant'!$E$7:$AD$91,MATCH($C630,'Gross Gen Plant'!$D$7:$D$91,0),MATCH(Calculation!$G630,'Gross Gen Plant'!$E$5:$AD$5,0))</f>
        <v>26065</v>
      </c>
      <c r="BY630" s="113" t="str">
        <f t="shared" si="1075"/>
        <v>NA</v>
      </c>
      <c r="BZ630" s="113"/>
      <c r="CA630" s="116">
        <v>2000</v>
      </c>
      <c r="CB630" s="113"/>
      <c r="CC630" s="113"/>
      <c r="CD630" s="113"/>
      <c r="CE630" s="175"/>
      <c r="CF630" s="113">
        <f t="shared" si="1157"/>
        <v>21002</v>
      </c>
      <c r="CG630" s="113">
        <f t="shared" si="1158"/>
        <v>60.605935064644861</v>
      </c>
      <c r="CH630" s="178">
        <v>0.98989898989898994</v>
      </c>
      <c r="CI630" s="61">
        <f>+CI628*CH630+CG629*CH629+CG630</f>
        <v>1962.9185539773723</v>
      </c>
      <c r="CJ630" s="114">
        <f t="shared" si="1159"/>
        <v>2.6205014894631125E-2</v>
      </c>
      <c r="CK630" s="114"/>
      <c r="CL630" s="169">
        <f t="shared" si="1160"/>
        <v>5.1438200939140115E-3</v>
      </c>
      <c r="CM630" s="169"/>
      <c r="CN630" s="114">
        <f>VLOOKUP($H630,RoR!$E:$F,2,FALSE)</f>
        <v>7.6225000000000001E-2</v>
      </c>
      <c r="CO630" s="169">
        <v>2.2568307442433211E-2</v>
      </c>
      <c r="CP630" s="169">
        <f t="shared" ref="CP630:CP650" si="1167">+CN630-CO630</f>
        <v>5.365669255756679E-2</v>
      </c>
      <c r="CQ630" s="169"/>
      <c r="CR630" s="169"/>
      <c r="CS630" s="179">
        <f t="shared" si="1161"/>
        <v>0.85329623209999994</v>
      </c>
      <c r="CT630" s="180">
        <f t="shared" si="1162"/>
        <v>0.67277207323124022</v>
      </c>
      <c r="CU630" s="180">
        <f t="shared" si="1163"/>
        <v>0.6470236142997704</v>
      </c>
      <c r="CV630" s="180">
        <f t="shared" si="1164"/>
        <v>0.94704866037543145</v>
      </c>
      <c r="CW630" s="180">
        <f t="shared" si="1165"/>
        <v>0.41224973107878493</v>
      </c>
      <c r="CX630" s="181">
        <f>INDEX('State Tax Lookup'!$D$7:$Z$91,MATCH(Calculation!$C630,'State Tax Lookup'!$B$7:$B$91,0),MATCH($H630,'State Tax Lookup'!$D$6:$Z$6,0))</f>
        <v>0.39649667</v>
      </c>
      <c r="CY630" s="72">
        <v>0.37</v>
      </c>
      <c r="CZ630" s="70"/>
      <c r="DA630" s="70"/>
      <c r="DB630" s="69"/>
      <c r="DC630" s="111">
        <f>VLOOKUP($H630,RoR!$E:$F,2,FALSE)</f>
        <v>7.6225000000000001E-2</v>
      </c>
      <c r="DD630" s="216">
        <f>HLOOKUP($H630,'GDP-PI'!$D$8:$CQ$11,3,FALSE)</f>
        <v>2.2568307442433211E-2</v>
      </c>
      <c r="DE630" s="111">
        <f>VLOOKUP(H630,'HW Dx Data'!$E:$F,2,FALSE)</f>
        <v>346.53371782150339</v>
      </c>
      <c r="DF630" s="66"/>
      <c r="DG630" s="69"/>
      <c r="DH630" s="66">
        <f>HLOOKUP(H630,'GDP-PI'!$8:$9,2,FALSE)</f>
        <v>78.069000000000003</v>
      </c>
      <c r="DI630"/>
      <c r="EB630"/>
    </row>
    <row r="631" spans="1:132" s="160" customFormat="1" ht="21">
      <c r="A631" s="160" t="s">
        <v>197</v>
      </c>
      <c r="B631" s="161" t="s">
        <v>197</v>
      </c>
      <c r="C631" s="161">
        <v>4004389</v>
      </c>
      <c r="D631" s="161" t="s">
        <v>171</v>
      </c>
      <c r="E631" s="161" t="s">
        <v>3</v>
      </c>
      <c r="F631" s="161"/>
      <c r="G631" s="161" t="s">
        <v>111</v>
      </c>
      <c r="H631" s="162">
        <v>2001</v>
      </c>
      <c r="I631" s="163"/>
      <c r="J631" s="159"/>
      <c r="K631" s="159"/>
      <c r="L631" s="159"/>
      <c r="M631" s="60"/>
      <c r="N631" s="152"/>
      <c r="O631" s="60"/>
      <c r="P631" s="60"/>
      <c r="Q631" s="159"/>
      <c r="R631" s="159"/>
      <c r="S631" s="159"/>
      <c r="T631" s="159"/>
      <c r="U631" s="159"/>
      <c r="V631" s="159"/>
      <c r="W631" s="159">
        <f t="shared" si="1155"/>
        <v>25249.268129970264</v>
      </c>
      <c r="X631" s="163"/>
      <c r="Y631" s="167">
        <v>2017.8565268055222</v>
      </c>
      <c r="Z631" s="168">
        <v>2.7603398830837376E-2</v>
      </c>
      <c r="AA631" s="78"/>
      <c r="AB631" s="168"/>
      <c r="AC631" s="168"/>
      <c r="AD631" s="163">
        <f t="shared" si="1166"/>
        <v>25249.268129970264</v>
      </c>
      <c r="AE631" s="168"/>
      <c r="AF631" s="163"/>
      <c r="AG631" s="163"/>
      <c r="AH631" s="163"/>
      <c r="AI631" s="163"/>
      <c r="AJ631" s="167"/>
      <c r="AK631" s="168"/>
      <c r="AL631" s="115"/>
      <c r="AM631" s="115"/>
      <c r="AN631" s="115"/>
      <c r="AO631" s="115"/>
      <c r="AP631" s="115"/>
      <c r="AQ631" s="168"/>
      <c r="AR631" s="79"/>
      <c r="AS631" s="115"/>
      <c r="AT631" s="115"/>
      <c r="AU631" s="115"/>
      <c r="AV631" s="113">
        <f>IFERROR(INDEX('Total Customers'!$F$7:$AB$91,MATCH($C631,'Total Customers'!$D$7:$D$91,0),MATCH($G631,'Total Customers'!$F$5:$AB$5,0)),"NA")</f>
        <v>249639</v>
      </c>
      <c r="AW631" s="68">
        <f t="shared" si="1074"/>
        <v>1.2755305828407823E-2</v>
      </c>
      <c r="AX631" s="114"/>
      <c r="AY631" s="114"/>
      <c r="AZ631" s="116"/>
      <c r="BA631" s="116"/>
      <c r="BB631" s="166"/>
      <c r="BC631" s="166"/>
      <c r="BD631" s="166"/>
      <c r="BE631" s="166"/>
      <c r="BF631" s="166"/>
      <c r="BG631" s="166"/>
      <c r="BH631" s="166"/>
      <c r="BI631" s="113"/>
      <c r="BJ631" s="113"/>
      <c r="BK631" s="113">
        <f>INDEX('Dist. Plant Gas Additions'!$F$7:$AE$91,MATCH($C631,'Dist. Plant Gas Additions'!$D$7:$D$91,0),MATCH(Calculation!$G631,'Dist. Plant Gas Additions'!$F$5:$AE$5,0))</f>
        <v>22013</v>
      </c>
      <c r="BL631" s="113">
        <f>INDEX('Gen. Plant Additions'!$F$7:$AE$91,MATCH($C631,'Gen. Plant Additions'!$D$7:$D$91,0),MATCH(Calculation!$G631,'Gen. Plant Additions'!$F$5:$AE$5,0))</f>
        <v>988</v>
      </c>
      <c r="BM631" s="231">
        <f t="shared" si="1156"/>
        <v>0.95559340840486873</v>
      </c>
      <c r="BN631" s="61">
        <f t="shared" si="1145"/>
        <v>944.12628750401029</v>
      </c>
      <c r="BO631" s="113">
        <f>INDEX('Dist Plant Depreciation'!$E$7:$AD$94,MATCH($C631,'Dist Plant Depreciation'!$D$7:$D$94,0),MATCH(Calculation!$G631,'Dist Plant Depreciation'!$E$5:$AD$5,0))</f>
        <v>152464</v>
      </c>
      <c r="BP631" s="113">
        <f>INDEX('Gen. Plant Depreciation'!$E$7:$AD$94,MATCH($C631,'Gen. Plant Depreciation'!$D$7:$D$94,0),MATCH(Calculation!$G631,'Gen. Plant Depreciation'!$E$5:$AD$5,0))</f>
        <v>9968</v>
      </c>
      <c r="BQ631" s="113"/>
      <c r="BR631" s="113"/>
      <c r="BS631" s="113"/>
      <c r="BT631" s="113"/>
      <c r="BU631" s="113"/>
      <c r="BV631" s="113"/>
      <c r="BW631" s="113">
        <f>INDEX('Gross Dx Plant'!$E$7:$AD$91,MATCH($C631,'Gross Dx Plant'!$D$7:$D$91,0),MATCH(Calculation!$G631,'Gross Dx Plant'!$E$5:$AD$5,0))</f>
        <v>539120</v>
      </c>
      <c r="BX631" s="113">
        <f>INDEX('Gross Gen Plant'!$E$7:$AD$91,MATCH($C631,'Gross Gen Plant'!$D$7:$D$91,0),MATCH(Calculation!$G631,'Gross Gen Plant'!$E$5:$AD$5,0))</f>
        <v>25053</v>
      </c>
      <c r="BY631" s="113">
        <f t="shared" si="1075"/>
        <v>401741</v>
      </c>
      <c r="BZ631" s="113"/>
      <c r="CA631" s="116">
        <v>2001</v>
      </c>
      <c r="CB631" s="113"/>
      <c r="CC631" s="113"/>
      <c r="CD631" s="113"/>
      <c r="CE631" s="175"/>
      <c r="CF631" s="113">
        <f t="shared" si="1157"/>
        <v>23001</v>
      </c>
      <c r="CG631" s="113">
        <f t="shared" si="1158"/>
        <v>65.076164912080102</v>
      </c>
      <c r="CH631" s="178">
        <v>0.98461538461538467</v>
      </c>
      <c r="CI631" s="61">
        <f>+CI628*CH631+CG629*CH630+CG630*CH628+CG631</f>
        <v>2017.8565268055222</v>
      </c>
      <c r="CJ631" s="114">
        <f t="shared" si="1159"/>
        <v>2.7603398830837376E-2</v>
      </c>
      <c r="CK631" s="114"/>
      <c r="CL631" s="169">
        <f t="shared" si="1160"/>
        <v>5.1648562103545513E-3</v>
      </c>
      <c r="CM631" s="169">
        <f>+(CL631+CL630+CL629)/3</f>
        <v>5.094600227459313E-3</v>
      </c>
      <c r="CN631" s="114">
        <f>VLOOKUP($H631,RoR!$E:$F,2,FALSE)</f>
        <v>7.0824999999999999E-2</v>
      </c>
      <c r="CO631" s="169">
        <v>2.2454495382290052E-2</v>
      </c>
      <c r="CP631" s="169">
        <f t="shared" si="1167"/>
        <v>4.8370504617709947E-2</v>
      </c>
      <c r="CQ631" s="169">
        <f>+$CP$2-CM631</f>
        <v>2.5807341381074312E-2</v>
      </c>
      <c r="CR631" s="169">
        <f>+((DE629/DE628-1)+(DE630/DE629-1)+(DE631/DE630-1))/3</f>
        <v>2.3947275901631187E-2</v>
      </c>
      <c r="CS631" s="179">
        <f t="shared" si="1161"/>
        <v>0.85329623209999994</v>
      </c>
      <c r="CT631" s="180">
        <f t="shared" si="1162"/>
        <v>0.72406708481540816</v>
      </c>
      <c r="CU631" s="180">
        <f t="shared" si="1163"/>
        <v>0.62201729615248857</v>
      </c>
      <c r="CV631" s="180">
        <f t="shared" si="1164"/>
        <v>0.9352469954311422</v>
      </c>
      <c r="CW631" s="180">
        <f t="shared" si="1165"/>
        <v>0.42121864641655071</v>
      </c>
      <c r="CX631" s="181">
        <f>INDEX('State Tax Lookup'!$D$7:$Z$91,MATCH(Calculation!$C631,'State Tax Lookup'!$B$7:$B$91,0),MATCH($H631,'State Tax Lookup'!$D$6:$Z$6,0))</f>
        <v>0.39649667</v>
      </c>
      <c r="CY631" s="72">
        <v>0.37</v>
      </c>
      <c r="CZ631" s="70">
        <f t="shared" ref="CZ631:CZ652" si="1168">+(DE631*CQ631-CR631)*CS631/(1-CX631)</f>
        <v>12.863125715944161</v>
      </c>
      <c r="DA631" s="70"/>
      <c r="DB631" s="69"/>
      <c r="DC631" s="111">
        <f>VLOOKUP($H631,RoR!$E:$F,2,FALSE)</f>
        <v>7.0824999999999999E-2</v>
      </c>
      <c r="DD631" s="216">
        <f>HLOOKUP($H631,'GDP-PI'!$D$8:$CQ$11,3,FALSE)</f>
        <v>2.2454495382290052E-2</v>
      </c>
      <c r="DE631" s="111">
        <f>VLOOKUP(H631,'HW Dx Data'!$E:$F,2,FALSE)</f>
        <v>353.44738017483138</v>
      </c>
      <c r="DF631" s="66"/>
      <c r="DG631" s="69"/>
      <c r="DH631" s="66">
        <f>HLOOKUP(H631,'GDP-PI'!$8:$9,2,FALSE)</f>
        <v>79.822000000000003</v>
      </c>
      <c r="DI631"/>
      <c r="EB631"/>
    </row>
    <row r="632" spans="1:132" s="160" customFormat="1" ht="21">
      <c r="A632" s="160" t="s">
        <v>197</v>
      </c>
      <c r="B632" s="161" t="s">
        <v>197</v>
      </c>
      <c r="C632" s="161">
        <v>4004389</v>
      </c>
      <c r="D632" s="161" t="s">
        <v>171</v>
      </c>
      <c r="E632" s="161" t="s">
        <v>3</v>
      </c>
      <c r="F632" s="161"/>
      <c r="G632" s="161" t="s">
        <v>113</v>
      </c>
      <c r="H632" s="162">
        <v>2002</v>
      </c>
      <c r="I632" s="163"/>
      <c r="J632" s="159"/>
      <c r="K632" s="159"/>
      <c r="L632" s="159"/>
      <c r="M632" s="60"/>
      <c r="N632" s="152"/>
      <c r="O632" s="60"/>
      <c r="P632" s="60"/>
      <c r="Q632" s="159"/>
      <c r="R632" s="159"/>
      <c r="S632" s="159"/>
      <c r="T632" s="159"/>
      <c r="U632" s="159"/>
      <c r="V632" s="159"/>
      <c r="W632" s="159">
        <f t="shared" si="1155"/>
        <v>26303.783785766722</v>
      </c>
      <c r="X632" s="163"/>
      <c r="Y632" s="167">
        <v>2069.2639388145399</v>
      </c>
      <c r="Z632" s="168">
        <v>2.5157136250925003E-2</v>
      </c>
      <c r="AA632" s="78"/>
      <c r="AB632" s="168"/>
      <c r="AC632" s="168"/>
      <c r="AD632" s="163">
        <f t="shared" si="1166"/>
        <v>26303.783785766722</v>
      </c>
      <c r="AE632" s="168"/>
      <c r="AF632" s="163"/>
      <c r="AG632" s="163"/>
      <c r="AH632" s="163"/>
      <c r="AI632" s="163"/>
      <c r="AJ632" s="167"/>
      <c r="AK632" s="168"/>
      <c r="AL632" s="115"/>
      <c r="AM632" s="115"/>
      <c r="AN632" s="115"/>
      <c r="AO632" s="115"/>
      <c r="AP632" s="115"/>
      <c r="AQ632" s="168"/>
      <c r="AR632" s="79"/>
      <c r="AS632" s="115"/>
      <c r="AT632" s="115"/>
      <c r="AU632" s="115"/>
      <c r="AV632" s="113">
        <f>IFERROR(INDEX('Total Customers'!$F$7:$AB$91,MATCH($C632,'Total Customers'!$D$7:$D$91,0),MATCH($G632,'Total Customers'!$F$5:$AB$5,0)),"NA")</f>
        <v>251533</v>
      </c>
      <c r="AW632" s="68">
        <f t="shared" si="1074"/>
        <v>7.5583193663026791E-3</v>
      </c>
      <c r="AX632" s="114"/>
      <c r="AY632" s="114"/>
      <c r="AZ632" s="116"/>
      <c r="BA632" s="116"/>
      <c r="BB632" s="166"/>
      <c r="BC632" s="166"/>
      <c r="BD632" s="166"/>
      <c r="BE632" s="166"/>
      <c r="BF632" s="166"/>
      <c r="BG632" s="166"/>
      <c r="BH632" s="166"/>
      <c r="BI632" s="113"/>
      <c r="BJ632" s="113"/>
      <c r="BK632" s="113">
        <f>INDEX('Dist. Plant Gas Additions'!$F$7:$AE$91,MATCH($C632,'Dist. Plant Gas Additions'!$D$7:$D$91,0),MATCH(Calculation!$G632,'Dist. Plant Gas Additions'!$F$5:$AE$5,0))</f>
        <v>21493</v>
      </c>
      <c r="BL632" s="113">
        <f>INDEX('Gen. Plant Additions'!$F$7:$AE$91,MATCH($C632,'Gen. Plant Additions'!$D$7:$D$91,0),MATCH(Calculation!$G632,'Gen. Plant Additions'!$F$5:$AE$5,0))</f>
        <v>1199</v>
      </c>
      <c r="BM632" s="231">
        <f t="shared" si="1156"/>
        <v>0.95617429210377491</v>
      </c>
      <c r="BN632" s="61">
        <f t="shared" si="1145"/>
        <v>1146.4529762324262</v>
      </c>
      <c r="BO632" s="113">
        <f>INDEX('Dist Plant Depreciation'!$E$7:$AD$94,MATCH($C632,'Dist Plant Depreciation'!$D$7:$D$94,0),MATCH(Calculation!$G632,'Dist Plant Depreciation'!$E$5:$AD$5,0))</f>
        <v>161184</v>
      </c>
      <c r="BP632" s="113">
        <f>INDEX('Gen. Plant Depreciation'!$E$7:$AD$94,MATCH($C632,'Gen. Plant Depreciation'!$D$7:$D$94,0),MATCH(Calculation!$G632,'Gen. Plant Depreciation'!$E$5:$AD$5,0))</f>
        <v>11028</v>
      </c>
      <c r="BQ632" s="113"/>
      <c r="BR632" s="113"/>
      <c r="BS632" s="113"/>
      <c r="BT632" s="113"/>
      <c r="BU632" s="113"/>
      <c r="BV632" s="113"/>
      <c r="BW632" s="113">
        <f>INDEX('Gross Dx Plant'!$E$7:$AD$91,MATCH($C632,'Gross Dx Plant'!$D$7:$D$91,0),MATCH(Calculation!$G632,'Gross Dx Plant'!$E$5:$AD$5,0))</f>
        <v>556263</v>
      </c>
      <c r="BX632" s="113">
        <f>INDEX('Gross Gen Plant'!$E$7:$AD$91,MATCH($C632,'Gross Gen Plant'!$D$7:$D$91,0),MATCH(Calculation!$G632,'Gross Gen Plant'!$E$5:$AD$5,0))</f>
        <v>25496</v>
      </c>
      <c r="BY632" s="113">
        <f t="shared" si="1075"/>
        <v>409547</v>
      </c>
      <c r="BZ632" s="113"/>
      <c r="CA632" s="116">
        <v>2002</v>
      </c>
      <c r="CB632" s="113"/>
      <c r="CC632" s="113"/>
      <c r="CD632" s="113"/>
      <c r="CE632" s="175"/>
      <c r="CF632" s="113">
        <f t="shared" si="1157"/>
        <v>22692</v>
      </c>
      <c r="CG632" s="113">
        <f t="shared" si="1158"/>
        <v>62.798160200696216</v>
      </c>
      <c r="CH632" s="178">
        <v>0.97916666666666663</v>
      </c>
      <c r="CI632" s="61">
        <f>+CI628*CH632+CG629*CH631+CG630*CH630+CG631*CH629+CG632</f>
        <v>2069.2639388145399</v>
      </c>
      <c r="CJ632" s="114">
        <f t="shared" si="1159"/>
        <v>2.5157136250925003E-2</v>
      </c>
      <c r="CK632" s="114"/>
      <c r="CL632" s="169">
        <f t="shared" si="1160"/>
        <v>5.6449742785783189E-3</v>
      </c>
      <c r="CM632" s="169">
        <f t="shared" ref="CM632:CM652" si="1169">+(CL632+CL631+CL630)/3</f>
        <v>5.3178835276156272E-3</v>
      </c>
      <c r="CN632" s="114">
        <f>VLOOKUP($H632,RoR!$E:$F,2,FALSE)</f>
        <v>6.4916666666666664E-2</v>
      </c>
      <c r="CO632" s="169">
        <v>1.5246423291824351E-2</v>
      </c>
      <c r="CP632" s="169">
        <f t="shared" si="1167"/>
        <v>4.9670243374842313E-2</v>
      </c>
      <c r="CQ632" s="169">
        <f t="shared" ref="CQ632:CQ652" si="1170">+$CP$2-CM632</f>
        <v>2.5584058080917998E-2</v>
      </c>
      <c r="CR632" s="169">
        <f t="shared" ref="CR632:CR652" si="1171">+((DE630/DE629-1)+(DE631/DE630-1)+(DE632/DE631-1))/3</f>
        <v>2.5243621214759093E-2</v>
      </c>
      <c r="CS632" s="179">
        <f t="shared" si="1161"/>
        <v>0.85329623209999994</v>
      </c>
      <c r="CT632" s="180">
        <f t="shared" si="1162"/>
        <v>0.78996741384417901</v>
      </c>
      <c r="CU632" s="180">
        <f t="shared" si="1163"/>
        <v>0.58989088575096271</v>
      </c>
      <c r="CV632" s="180">
        <f t="shared" si="1164"/>
        <v>0.91920675783645744</v>
      </c>
      <c r="CW632" s="180">
        <f t="shared" si="1165"/>
        <v>0.42834536472275586</v>
      </c>
      <c r="CX632" s="181">
        <f>INDEX('State Tax Lookup'!$D$7:$Z$91,MATCH(Calculation!$C632,'State Tax Lookup'!$B$7:$B$91,0),MATCH($H632,'State Tax Lookup'!$D$6:$Z$6,0))</f>
        <v>0.39649667</v>
      </c>
      <c r="CY632" s="72">
        <v>0.37</v>
      </c>
      <c r="CZ632" s="70">
        <f t="shared" si="1168"/>
        <v>13.035507448791893</v>
      </c>
      <c r="DA632" s="70"/>
      <c r="DB632" s="69">
        <f>LN(CZ632/CZ631)</f>
        <v>1.3312229836179357E-2</v>
      </c>
      <c r="DC632" s="111">
        <f>VLOOKUP($H632,RoR!$E:$F,2,FALSE)</f>
        <v>6.4916666666666664E-2</v>
      </c>
      <c r="DD632" s="216">
        <f>HLOOKUP($H632,'GDP-PI'!$D$8:$CQ$11,3,FALSE)</f>
        <v>1.5246423291824351E-2</v>
      </c>
      <c r="DE632" s="111">
        <f>VLOOKUP(H632,'HW Dx Data'!$E:$F,2,FALSE)</f>
        <v>361.34816573413599</v>
      </c>
      <c r="DF632" s="66"/>
      <c r="DG632" s="69"/>
      <c r="DH632" s="66">
        <f>HLOOKUP(H632,'GDP-PI'!$8:$9,2,FALSE)</f>
        <v>81.039000000000001</v>
      </c>
      <c r="DI632" s="69">
        <f>LN(DH632/DH631)</f>
        <v>1.513136459537477E-2</v>
      </c>
      <c r="EB632"/>
    </row>
    <row r="633" spans="1:132" s="160" customFormat="1" ht="21">
      <c r="A633" s="160" t="s">
        <v>197</v>
      </c>
      <c r="B633" s="161" t="s">
        <v>197</v>
      </c>
      <c r="C633" s="161">
        <v>4004389</v>
      </c>
      <c r="D633" s="161" t="s">
        <v>171</v>
      </c>
      <c r="E633" s="161" t="s">
        <v>3</v>
      </c>
      <c r="F633" s="161"/>
      <c r="G633" s="161" t="s">
        <v>114</v>
      </c>
      <c r="H633" s="162">
        <v>2003</v>
      </c>
      <c r="I633" s="163"/>
      <c r="J633" s="159"/>
      <c r="K633" s="159"/>
      <c r="L633" s="159"/>
      <c r="M633" s="76"/>
      <c r="N633" s="152"/>
      <c r="O633" s="76"/>
      <c r="P633" s="76"/>
      <c r="Q633" s="159"/>
      <c r="R633" s="159"/>
      <c r="S633" s="159"/>
      <c r="T633" s="159"/>
      <c r="U633" s="159"/>
      <c r="V633" s="159"/>
      <c r="W633" s="159">
        <f t="shared" si="1155"/>
        <v>27382.472750084959</v>
      </c>
      <c r="X633" s="163"/>
      <c r="Y633" s="167">
        <v>2119.6535654166819</v>
      </c>
      <c r="Z633" s="168">
        <v>2.4059703863184793E-2</v>
      </c>
      <c r="AA633" s="78"/>
      <c r="AB633" s="168"/>
      <c r="AC633" s="168"/>
      <c r="AD633" s="163">
        <f t="shared" si="1166"/>
        <v>27382.472750084959</v>
      </c>
      <c r="AE633" s="168"/>
      <c r="AF633" s="163"/>
      <c r="AG633" s="163"/>
      <c r="AH633" s="163"/>
      <c r="AI633" s="163"/>
      <c r="AJ633" s="167"/>
      <c r="AK633" s="168"/>
      <c r="AL633" s="115"/>
      <c r="AM633" s="115"/>
      <c r="AN633" s="115"/>
      <c r="AO633" s="115"/>
      <c r="AP633" s="115"/>
      <c r="AQ633" s="168"/>
      <c r="AR633" s="79"/>
      <c r="AS633" s="115"/>
      <c r="AT633" s="115"/>
      <c r="AU633" s="115"/>
      <c r="AV633" s="113">
        <f>IFERROR(INDEX('Total Customers'!$F$7:$AB$91,MATCH($C633,'Total Customers'!$D$7:$D$91,0),MATCH($G633,'Total Customers'!$F$5:$AB$5,0)),"NA")</f>
        <v>252691</v>
      </c>
      <c r="AW633" s="68">
        <f t="shared" si="1074"/>
        <v>4.5932047499164649E-3</v>
      </c>
      <c r="AX633" s="114"/>
      <c r="AY633" s="114"/>
      <c r="AZ633" s="116"/>
      <c r="BA633" s="116"/>
      <c r="BB633" s="166"/>
      <c r="BC633" s="166"/>
      <c r="BD633" s="166"/>
      <c r="BE633" s="166"/>
      <c r="BF633" s="166"/>
      <c r="BG633" s="166"/>
      <c r="BH633" s="166"/>
      <c r="BI633" s="113"/>
      <c r="BJ633" s="113"/>
      <c r="BK633" s="113">
        <f>INDEX('Dist. Plant Gas Additions'!$F$7:$AE$91,MATCH($C633,'Dist. Plant Gas Additions'!$D$7:$D$91,0),MATCH(Calculation!$G633,'Dist. Plant Gas Additions'!$F$5:$AE$5,0))</f>
        <v>22051</v>
      </c>
      <c r="BL633" s="113">
        <f>INDEX('Gen. Plant Additions'!$F$7:$AE$91,MATCH($C633,'Gen. Plant Additions'!$D$7:$D$91,0),MATCH(Calculation!$G633,'Gen. Plant Additions'!$F$5:$AE$5,0))</f>
        <v>894</v>
      </c>
      <c r="BM633" s="231">
        <f t="shared" si="1156"/>
        <v>0.95912694705089363</v>
      </c>
      <c r="BN633" s="61">
        <f t="shared" si="1145"/>
        <v>857.45949066349885</v>
      </c>
      <c r="BO633" s="113">
        <f>INDEX('Dist Plant Depreciation'!$E$7:$AD$94,MATCH($C633,'Dist Plant Depreciation'!$D$7:$D$94,0),MATCH(Calculation!$G633,'Dist Plant Depreciation'!$E$5:$AD$5,0))</f>
        <v>165793</v>
      </c>
      <c r="BP633" s="113">
        <f>INDEX('Gen. Plant Depreciation'!$E$7:$AD$94,MATCH($C633,'Gen. Plant Depreciation'!$D$7:$D$94,0),MATCH(Calculation!$G633,'Gen. Plant Depreciation'!$E$5:$AD$5,0))</f>
        <v>11105</v>
      </c>
      <c r="BQ633" s="113"/>
      <c r="BR633" s="113"/>
      <c r="BS633" s="113"/>
      <c r="BT633" s="113"/>
      <c r="BU633" s="113"/>
      <c r="BV633" s="113"/>
      <c r="BW633" s="113">
        <f>INDEX('Gross Dx Plant'!$E$7:$AD$91,MATCH($C633,'Gross Dx Plant'!$D$7:$D$91,0),MATCH(Calculation!$G633,'Gross Dx Plant'!$E$5:$AD$5,0))</f>
        <v>574870</v>
      </c>
      <c r="BX633" s="113">
        <f>INDEX('Gross Gen Plant'!$E$7:$AD$91,MATCH($C633,'Gross Gen Plant'!$D$7:$D$91,0),MATCH(Calculation!$G633,'Gross Gen Plant'!$E$5:$AD$5,0))</f>
        <v>24498</v>
      </c>
      <c r="BY633" s="113">
        <f t="shared" si="1075"/>
        <v>422470</v>
      </c>
      <c r="BZ633" s="113"/>
      <c r="CA633" s="116">
        <v>2003</v>
      </c>
      <c r="CB633" s="113"/>
      <c r="CC633" s="113"/>
      <c r="CD633" s="113"/>
      <c r="CE633" s="175"/>
      <c r="CF633" s="113">
        <f t="shared" si="1157"/>
        <v>22945</v>
      </c>
      <c r="CG633" s="113">
        <f t="shared" si="1158"/>
        <v>62.142331046231945</v>
      </c>
      <c r="CH633" s="178">
        <v>0.97354497354497349</v>
      </c>
      <c r="CI633" s="61">
        <f>+CI628*CH633+CG629*CH632+CG630*CH631+CG631*CH630+CG632*CH629+CG633</f>
        <v>2119.6535654166819</v>
      </c>
      <c r="CJ633" s="114">
        <f t="shared" si="1159"/>
        <v>2.4059703863184793E-2</v>
      </c>
      <c r="CK633" s="114"/>
      <c r="CL633" s="169">
        <f t="shared" si="1160"/>
        <v>5.6796545977710958E-3</v>
      </c>
      <c r="CM633" s="169">
        <f t="shared" si="1169"/>
        <v>5.496495028901322E-3</v>
      </c>
      <c r="CN633" s="114">
        <f>VLOOKUP($H633,RoR!$E:$F,2,FALSE)</f>
        <v>5.6666666666666671E-2</v>
      </c>
      <c r="CO633" s="169">
        <v>1.8855119140166909E-2</v>
      </c>
      <c r="CP633" s="169">
        <f t="shared" si="1167"/>
        <v>3.7811547526499761E-2</v>
      </c>
      <c r="CQ633" s="169">
        <f t="shared" si="1170"/>
        <v>2.5405446579632302E-2</v>
      </c>
      <c r="CR633" s="169">
        <f t="shared" si="1171"/>
        <v>2.1375012817671957E-2</v>
      </c>
      <c r="CS633" s="179">
        <f t="shared" si="1161"/>
        <v>0.85329623209999994</v>
      </c>
      <c r="CT633" s="180">
        <f t="shared" si="1162"/>
        <v>0.90497737556561086</v>
      </c>
      <c r="CU633" s="180">
        <f t="shared" si="1163"/>
        <v>0.5338235294117647</v>
      </c>
      <c r="CV633" s="180">
        <f t="shared" si="1164"/>
        <v>0.88972433127405692</v>
      </c>
      <c r="CW633" s="180">
        <f t="shared" si="1165"/>
        <v>0.42982423775949252</v>
      </c>
      <c r="CX633" s="181">
        <f>INDEX('State Tax Lookup'!$D$7:$Z$91,MATCH(Calculation!$C633,'State Tax Lookup'!$B$7:$B$91,0),MATCH($H633,'State Tax Lookup'!$D$6:$Z$6,0))</f>
        <v>0.39649667</v>
      </c>
      <c r="CY633" s="72">
        <v>0.37</v>
      </c>
      <c r="CZ633" s="70">
        <f t="shared" si="1168"/>
        <v>13.232953146504885</v>
      </c>
      <c r="DA633" s="70"/>
      <c r="DB633" s="69">
        <f t="shared" ref="DB633:DB652" si="1172">LN(CZ633/CZ632)</f>
        <v>1.503319278966281E-2</v>
      </c>
      <c r="DC633" s="111">
        <f>VLOOKUP($H633,RoR!$E:$F,2,FALSE)</f>
        <v>5.6666666666666671E-2</v>
      </c>
      <c r="DD633" s="216">
        <f>HLOOKUP($H633,'GDP-PI'!$D$8:$CQ$11,3,FALSE)</f>
        <v>1.8855119140166909E-2</v>
      </c>
      <c r="DE633" s="111">
        <f>VLOOKUP(H633,'HW Dx Data'!$E:$F,2,FALSE)</f>
        <v>369.23301095560191</v>
      </c>
      <c r="DF633" s="66"/>
      <c r="DG633" s="69"/>
      <c r="DH633" s="66">
        <f>HLOOKUP(H633,'GDP-PI'!$8:$9,2,FALSE)</f>
        <v>82.566999999999993</v>
      </c>
      <c r="DI633" s="69">
        <f t="shared" ref="DI633:DI652" si="1173">LN(DH633/DH632)</f>
        <v>1.8679564681853753E-2</v>
      </c>
      <c r="EB633"/>
    </row>
    <row r="634" spans="1:132" s="160" customFormat="1" ht="21">
      <c r="A634" s="160" t="s">
        <v>197</v>
      </c>
      <c r="B634" s="161" t="s">
        <v>197</v>
      </c>
      <c r="C634" s="161">
        <v>4004389</v>
      </c>
      <c r="D634" s="161" t="s">
        <v>171</v>
      </c>
      <c r="E634" s="161" t="s">
        <v>3</v>
      </c>
      <c r="F634" s="161"/>
      <c r="G634" s="161" t="s">
        <v>115</v>
      </c>
      <c r="H634" s="162">
        <v>2004</v>
      </c>
      <c r="I634" s="163"/>
      <c r="J634" s="159">
        <f>IFERROR(INDEX('Labor Expenditures'!$F$7:$X$91,MATCH($C634,'Labor Expenditures'!$D$7:$D$91,0),MATCH($G634,'Labor Expenditures'!$F$5:$X$5,0)),"NA")</f>
        <v>19608.150257914411</v>
      </c>
      <c r="K634" s="159">
        <f t="shared" ref="K634:K652" si="1174">+J634/DF634</f>
        <v>207.82353214535678</v>
      </c>
      <c r="L634" s="165"/>
      <c r="M634" s="76"/>
      <c r="N634" s="152"/>
      <c r="O634" s="76"/>
      <c r="P634" s="76"/>
      <c r="Q634" s="159">
        <f>IFERROR(INDEX('Non-Labor Expenditures'!$F$7:$AB$91,MATCH($C634,'Non-Labor Expenditures'!$D$7:$D$91,0),MATCH($G634,'Non-Labor Expenditures'!$F$5:$AB$5,0)),"NA")</f>
        <v>28396.263870752806</v>
      </c>
      <c r="R634" s="159">
        <f t="shared" ref="R634:R652" si="1175">+Q634/DH634</f>
        <v>334.94849926576239</v>
      </c>
      <c r="S634" s="159"/>
      <c r="T634" s="159"/>
      <c r="U634" s="159"/>
      <c r="V634" s="159"/>
      <c r="W634" s="159">
        <f t="shared" si="1155"/>
        <v>31130.119595566321</v>
      </c>
      <c r="X634" s="163"/>
      <c r="Y634" s="167">
        <v>2143.5012108717783</v>
      </c>
      <c r="Z634" s="168">
        <v>1.1187909168424163E-2</v>
      </c>
      <c r="AA634" s="76">
        <f t="shared" ref="AA634:AA652" si="1176">+Z634*$AR634</f>
        <v>0</v>
      </c>
      <c r="AB634" s="168"/>
      <c r="AC634" s="168"/>
      <c r="AD634" s="163">
        <f t="shared" si="1166"/>
        <v>79134.533724233537</v>
      </c>
      <c r="AE634" s="168"/>
      <c r="AF634" s="163"/>
      <c r="AG634" s="163"/>
      <c r="AH634" s="163"/>
      <c r="AI634" s="163"/>
      <c r="AJ634" s="167"/>
      <c r="AK634" s="168"/>
      <c r="AL634" s="115">
        <f t="shared" ref="AL634:AL652" si="1177">+J634/AD634</f>
        <v>0.24778247037184178</v>
      </c>
      <c r="AM634" s="115">
        <f t="shared" ref="AM634:AM652" si="1178">+Q634/AD634</f>
        <v>0.35883529648013779</v>
      </c>
      <c r="AN634" s="115">
        <f t="shared" ref="AN634:AN652" si="1179">+W634/AD634</f>
        <v>0.3933822331480204</v>
      </c>
      <c r="AO634" s="115"/>
      <c r="AP634" s="115"/>
      <c r="AQ634" s="168"/>
      <c r="AR634" s="79"/>
      <c r="AS634" s="115"/>
      <c r="AT634" s="115"/>
      <c r="AU634" s="115"/>
      <c r="AV634" s="113">
        <f>IFERROR(INDEX('Total Customers'!$F$7:$AB$91,MATCH($C634,'Total Customers'!$D$7:$D$91,0),MATCH($G634,'Total Customers'!$F$5:$AB$5,0)),"NA")</f>
        <v>253468</v>
      </c>
      <c r="AW634" s="68">
        <f t="shared" si="1074"/>
        <v>3.0701839158655928E-3</v>
      </c>
      <c r="AX634" s="114"/>
      <c r="AY634" s="114"/>
      <c r="AZ634" s="116"/>
      <c r="BA634" s="116"/>
      <c r="BB634" s="166"/>
      <c r="BC634" s="166"/>
      <c r="BD634" s="166"/>
      <c r="BE634" s="166"/>
      <c r="BF634" s="166"/>
      <c r="BG634" s="166"/>
      <c r="BH634" s="166"/>
      <c r="BI634" s="113"/>
      <c r="BJ634" s="113"/>
      <c r="BK634" s="113">
        <f>INDEX('Dist. Plant Gas Additions'!$F$7:$AE$91,MATCH($C634,'Dist. Plant Gas Additions'!$D$7:$D$91,0),MATCH(Calculation!$G634,'Dist. Plant Gas Additions'!$F$5:$AE$5,0))</f>
        <v>19542</v>
      </c>
      <c r="BL634" s="113">
        <f>INDEX('Gen. Plant Additions'!$F$7:$AE$91,MATCH($C634,'Gen. Plant Additions'!$D$7:$D$91,0),MATCH(Calculation!$G634,'Gen. Plant Additions'!$F$5:$AE$5,0))</f>
        <v>-4487</v>
      </c>
      <c r="BM634" s="231">
        <f t="shared" si="1156"/>
        <v>0.9672646048335064</v>
      </c>
      <c r="BN634" s="61">
        <f t="shared" si="1145"/>
        <v>-4340.1162818879429</v>
      </c>
      <c r="BO634" s="113">
        <f>INDEX('Dist Plant Depreciation'!$E$7:$AD$94,MATCH($C634,'Dist Plant Depreciation'!$D$7:$D$94,0),MATCH(Calculation!$G634,'Dist Plant Depreciation'!$E$5:$AD$5,0))</f>
        <v>175327</v>
      </c>
      <c r="BP634" s="113">
        <f>INDEX('Gen. Plant Depreciation'!$E$7:$AD$94,MATCH($C634,'Gen. Plant Depreciation'!$D$7:$D$94,0),MATCH(Calculation!$G634,'Gen. Plant Depreciation'!$E$5:$AD$5,0))</f>
        <v>7708</v>
      </c>
      <c r="BQ634" s="113"/>
      <c r="BR634" s="113"/>
      <c r="BS634" s="113"/>
      <c r="BT634" s="113"/>
      <c r="BU634" s="113"/>
      <c r="BV634" s="113"/>
      <c r="BW634" s="113">
        <f>INDEX('Gross Dx Plant'!$E$7:$AD$91,MATCH($C634,'Gross Dx Plant'!$D$7:$D$91,0),MATCH(Calculation!$G634,'Gross Dx Plant'!$E$5:$AD$5,0))</f>
        <v>590664</v>
      </c>
      <c r="BX634" s="113">
        <f>INDEX('Gross Gen Plant'!$E$7:$AD$91,MATCH($C634,'Gross Gen Plant'!$D$7:$D$91,0),MATCH(Calculation!$G634,'Gross Gen Plant'!$E$5:$AD$5,0))</f>
        <v>19990</v>
      </c>
      <c r="BY634" s="113">
        <f t="shared" si="1075"/>
        <v>427619</v>
      </c>
      <c r="BZ634" s="113"/>
      <c r="CA634" s="116">
        <v>2004</v>
      </c>
      <c r="CB634" s="113"/>
      <c r="CC634" s="113"/>
      <c r="CD634" s="113"/>
      <c r="CE634" s="175"/>
      <c r="CF634" s="113">
        <f t="shared" si="1157"/>
        <v>15055</v>
      </c>
      <c r="CG634" s="113">
        <f t="shared" si="1158"/>
        <v>36.286972251251527</v>
      </c>
      <c r="CH634" s="178">
        <v>0.967741935483871</v>
      </c>
      <c r="CI634" s="61">
        <f>+CI628*CH634+CG629*CH633+CG630*CH632+CG631*CH631+CG632*CH630+CG633*CH629+CG634</f>
        <v>2143.5012108717783</v>
      </c>
      <c r="CJ634" s="114">
        <f t="shared" si="1159"/>
        <v>1.1187909168424163E-2</v>
      </c>
      <c r="CK634" s="114"/>
      <c r="CL634" s="169">
        <f t="shared" si="1160"/>
        <v>5.8685659765867334E-3</v>
      </c>
      <c r="CM634" s="169">
        <f t="shared" si="1169"/>
        <v>5.731064950978716E-3</v>
      </c>
      <c r="CN634" s="114">
        <f>VLOOKUP($H634,RoR!$E:$F,2,FALSE)</f>
        <v>5.6283333333333331E-2</v>
      </c>
      <c r="CO634" s="169">
        <v>2.6778252812867276E-2</v>
      </c>
      <c r="CP634" s="169">
        <f t="shared" si="1167"/>
        <v>2.9505080520466055E-2</v>
      </c>
      <c r="CQ634" s="169">
        <f t="shared" si="1170"/>
        <v>2.5170876657554908E-2</v>
      </c>
      <c r="CR634" s="169">
        <f t="shared" si="1171"/>
        <v>5.5940039414565046E-2</v>
      </c>
      <c r="CS634" s="179">
        <f t="shared" si="1161"/>
        <v>0.85329623209999994</v>
      </c>
      <c r="CT634" s="180">
        <f t="shared" si="1162"/>
        <v>0.91114097628755619</v>
      </c>
      <c r="CU634" s="180">
        <f t="shared" si="1163"/>
        <v>0.53081877405981637</v>
      </c>
      <c r="CV634" s="180">
        <f t="shared" si="1164"/>
        <v>0.88811215519385678</v>
      </c>
      <c r="CW634" s="180">
        <f t="shared" si="1165"/>
        <v>0.42953609753547711</v>
      </c>
      <c r="CX634" s="181">
        <f>INDEX('State Tax Lookup'!$D$7:$Z$91,MATCH(Calculation!$C634,'State Tax Lookup'!$B$7:$B$91,0),MATCH($H634,'State Tax Lookup'!$D$6:$Z$6,0))</f>
        <v>0.39649667</v>
      </c>
      <c r="CY634" s="72">
        <v>0.37</v>
      </c>
      <c r="CZ634" s="70">
        <f t="shared" si="1168"/>
        <v>14.686418622114202</v>
      </c>
      <c r="DA634" s="70"/>
      <c r="DB634" s="69">
        <f t="shared" si="1172"/>
        <v>0.10421299433639851</v>
      </c>
      <c r="DC634" s="111">
        <f>VLOOKUP($H634,RoR!$E:$F,2,FALSE)</f>
        <v>5.6283333333333331E-2</v>
      </c>
      <c r="DD634" s="216">
        <f>HLOOKUP($H634,'GDP-PI'!$D$8:$CQ$11,3,FALSE)</f>
        <v>2.6778252812867276E-2</v>
      </c>
      <c r="DE634" s="111">
        <f>VLOOKUP(H634,'HW Dx Data'!$E:$F,2,FALSE)</f>
        <v>414.88719135228365</v>
      </c>
      <c r="DF634" s="72">
        <f>VLOOKUP(G634,EG$8:EH$27,2,FALSE)</f>
        <v>94.35</v>
      </c>
      <c r="DG634" s="69"/>
      <c r="DH634" s="66">
        <f>HLOOKUP(H634,'GDP-PI'!$8:$9,2,FALSE)</f>
        <v>84.778000000000006</v>
      </c>
      <c r="DI634" s="69">
        <f t="shared" si="1173"/>
        <v>2.6425990216022755E-2</v>
      </c>
      <c r="EB634"/>
    </row>
    <row r="635" spans="1:132" s="160" customFormat="1" ht="21">
      <c r="A635" s="160" t="s">
        <v>197</v>
      </c>
      <c r="B635" s="161" t="s">
        <v>197</v>
      </c>
      <c r="C635" s="161">
        <v>4004389</v>
      </c>
      <c r="D635" s="161" t="s">
        <v>171</v>
      </c>
      <c r="E635" s="161" t="s">
        <v>3</v>
      </c>
      <c r="F635" s="161"/>
      <c r="G635" s="161" t="s">
        <v>116</v>
      </c>
      <c r="H635" s="162">
        <v>2005</v>
      </c>
      <c r="I635" s="163"/>
      <c r="J635" s="159">
        <f>IFERROR(INDEX('Labor Expenditures'!$F$7:$X$91,MATCH($C635,'Labor Expenditures'!$D$7:$D$91,0),MATCH($G635,'Labor Expenditures'!$F$5:$X$5,0)),"NA")</f>
        <v>19297.46800562353</v>
      </c>
      <c r="K635" s="159">
        <f t="shared" si="1174"/>
        <v>194.48191489668463</v>
      </c>
      <c r="L635" s="165">
        <f t="shared" ref="L635:L651" si="1180">LN(K635/K634)</f>
        <v>-6.6350140257327009E-2</v>
      </c>
      <c r="M635" s="76"/>
      <c r="N635" s="62">
        <v>100</v>
      </c>
      <c r="O635" s="77"/>
      <c r="P635" s="77"/>
      <c r="Q635" s="159">
        <f>IFERROR(INDEX('Non-Labor Expenditures'!$F$7:$AB$91,MATCH($C635,'Non-Labor Expenditures'!$D$7:$D$91,0),MATCH($G635,'Non-Labor Expenditures'!$F$5:$AB$5,0)),"NA")</f>
        <v>27946.33794199516</v>
      </c>
      <c r="R635" s="159">
        <f t="shared" si="1175"/>
        <v>319.72654297705174</v>
      </c>
      <c r="S635" s="165">
        <f>LN(R635/R634)</f>
        <v>-4.6510709213490799E-2</v>
      </c>
      <c r="T635" s="165"/>
      <c r="U635" s="165"/>
      <c r="V635" s="165"/>
      <c r="W635" s="159">
        <f t="shared" si="1155"/>
        <v>35309.763255524646</v>
      </c>
      <c r="X635" s="163"/>
      <c r="Y635" s="167">
        <v>2166.3132459273611</v>
      </c>
      <c r="Z635" s="168">
        <v>1.0586185704358514E-2</v>
      </c>
      <c r="AA635" s="76">
        <f t="shared" si="1176"/>
        <v>0</v>
      </c>
      <c r="AB635" s="168"/>
      <c r="AC635" s="168"/>
      <c r="AD635" s="163">
        <f t="shared" si="1166"/>
        <v>82553.569203143328</v>
      </c>
      <c r="AE635" s="168">
        <f>LN(AD635/AD634)</f>
        <v>4.2298043683824657E-2</v>
      </c>
      <c r="AF635" s="163"/>
      <c r="AG635" s="163"/>
      <c r="AH635" s="163"/>
      <c r="AI635" s="163"/>
      <c r="AJ635" s="116"/>
      <c r="AK635" s="114"/>
      <c r="AL635" s="115">
        <f t="shared" si="1177"/>
        <v>0.23375691919676267</v>
      </c>
      <c r="AM635" s="115">
        <f t="shared" si="1178"/>
        <v>0.33852367876701167</v>
      </c>
      <c r="AN635" s="115">
        <f t="shared" si="1179"/>
        <v>0.42771940203622577</v>
      </c>
      <c r="AO635" s="115">
        <f t="shared" ref="AO635:AO651" si="1181">+(((AL635+AL634)/2)*L635+((AM634+AM635)/2)*S635+((AN634+AN635)/2)*Z635)</f>
        <v>-2.7846266080114881E-2</v>
      </c>
      <c r="AP635" s="166">
        <v>100</v>
      </c>
      <c r="AQ635" s="168"/>
      <c r="AR635" s="16"/>
      <c r="AS635" s="115"/>
      <c r="AT635" s="115"/>
      <c r="AU635" s="115"/>
      <c r="AV635" s="113">
        <f>IFERROR(INDEX('Total Customers'!$F$7:$AB$91,MATCH($C635,'Total Customers'!$D$7:$D$91,0),MATCH($G635,'Total Customers'!$F$5:$AB$5,0)),"NA")</f>
        <v>254413</v>
      </c>
      <c r="AW635" s="68">
        <f t="shared" si="1074"/>
        <v>3.7213484677078744E-3</v>
      </c>
      <c r="AX635" s="114"/>
      <c r="AY635" s="114"/>
      <c r="AZ635" s="116"/>
      <c r="BA635" s="116"/>
      <c r="BB635" s="166"/>
      <c r="BC635" s="166"/>
      <c r="BD635" s="166"/>
      <c r="BE635" s="166"/>
      <c r="BF635" s="166"/>
      <c r="BG635" s="166"/>
      <c r="BH635" s="166"/>
      <c r="BI635" s="113"/>
      <c r="BJ635" s="113"/>
      <c r="BK635" s="113">
        <f>INDEX('Dist. Plant Gas Additions'!$F$7:$AE$91,MATCH($C635,'Dist. Plant Gas Additions'!$D$7:$D$91,0),MATCH(Calculation!$G635,'Dist. Plant Gas Additions'!$F$5:$AE$5,0))</f>
        <v>15345</v>
      </c>
      <c r="BL635" s="113">
        <f>INDEX('Gen. Plant Additions'!$F$7:$AE$91,MATCH($C635,'Gen. Plant Additions'!$D$7:$D$91,0),MATCH(Calculation!$G635,'Gen. Plant Additions'!$F$5:$AE$5,0))</f>
        <v>1470</v>
      </c>
      <c r="BM635" s="231">
        <f t="shared" si="1156"/>
        <v>0.96831811941520751</v>
      </c>
      <c r="BN635" s="61">
        <f t="shared" si="1145"/>
        <v>1423.4276355403551</v>
      </c>
      <c r="BO635" s="113">
        <f>INDEX('Dist Plant Depreciation'!$E$7:$AD$94,MATCH($C635,'Dist Plant Depreciation'!$D$7:$D$94,0),MATCH(Calculation!$G635,'Dist Plant Depreciation'!$E$5:$AD$5,0))</f>
        <v>186576</v>
      </c>
      <c r="BP635" s="113">
        <f>INDEX('Gen. Plant Depreciation'!$E$7:$AD$94,MATCH($C635,'Gen. Plant Depreciation'!$D$7:$D$94,0),MATCH(Calculation!$G635,'Gen. Plant Depreciation'!$E$5:$AD$5,0))</f>
        <v>7606</v>
      </c>
      <c r="BQ635" s="113"/>
      <c r="BR635" s="113"/>
      <c r="BS635" s="113"/>
      <c r="BT635" s="113"/>
      <c r="BU635" s="113"/>
      <c r="BV635" s="113"/>
      <c r="BW635" s="113">
        <f>INDEX('Gross Dx Plant'!$E$7:$AD$91,MATCH($C635,'Gross Dx Plant'!$D$7:$D$91,0),MATCH(Calculation!$G635,'Gross Dx Plant'!$E$5:$AD$5,0))</f>
        <v>603054</v>
      </c>
      <c r="BX635" s="113">
        <f>INDEX('Gross Gen Plant'!$E$7:$AD$91,MATCH($C635,'Gross Gen Plant'!$D$7:$D$91,0),MATCH(Calculation!$G635,'Gross Gen Plant'!$E$5:$AD$5,0))</f>
        <v>19731</v>
      </c>
      <c r="BY635" s="113">
        <f t="shared" si="1075"/>
        <v>428603</v>
      </c>
      <c r="BZ635" s="113"/>
      <c r="CA635" s="116">
        <v>2005</v>
      </c>
      <c r="CB635" s="113"/>
      <c r="CC635" s="113"/>
      <c r="CD635" s="113"/>
      <c r="CE635" s="175"/>
      <c r="CF635" s="113">
        <f t="shared" si="1157"/>
        <v>16815</v>
      </c>
      <c r="CG635" s="113">
        <f t="shared" si="1158"/>
        <v>35.837203291250866</v>
      </c>
      <c r="CH635" s="178">
        <v>0.96174863387978138</v>
      </c>
      <c r="CI635" s="61">
        <f>+CI628*CH635+CG629*CH634+CG630*CH633+CG631*CH632+CG632*CH631+CG633*CH630+CG634*CH629+CG635</f>
        <v>2166.3132459273611</v>
      </c>
      <c r="CJ635" s="114">
        <f t="shared" si="1159"/>
        <v>1.0586185704358514E-2</v>
      </c>
      <c r="CK635" s="114"/>
      <c r="CL635" s="169">
        <f t="shared" si="1160"/>
        <v>6.0765854339642046E-3</v>
      </c>
      <c r="CM635" s="169">
        <f t="shared" si="1169"/>
        <v>5.8749353361073446E-3</v>
      </c>
      <c r="CN635" s="114">
        <f>VLOOKUP($H635,RoR!$E:$F,2,FALSE)</f>
        <v>5.2350000000000001E-2</v>
      </c>
      <c r="CO635" s="169">
        <v>3.1010403642454332E-2</v>
      </c>
      <c r="CP635" s="169">
        <f t="shared" si="1167"/>
        <v>2.1339596357545669E-2</v>
      </c>
      <c r="CQ635" s="169">
        <f t="shared" si="1170"/>
        <v>2.502700627242628E-2</v>
      </c>
      <c r="CR635" s="169">
        <f t="shared" si="1171"/>
        <v>9.2129610649277341E-2</v>
      </c>
      <c r="CS635" s="179">
        <f t="shared" si="1161"/>
        <v>0.85329623209999994</v>
      </c>
      <c r="CT635" s="180">
        <f t="shared" si="1162"/>
        <v>0.97959983346802826</v>
      </c>
      <c r="CU635" s="180">
        <f t="shared" si="1163"/>
        <v>0.49744508118433622</v>
      </c>
      <c r="CV635" s="180">
        <f t="shared" si="1164"/>
        <v>0.87010519444335932</v>
      </c>
      <c r="CW635" s="180">
        <f t="shared" si="1165"/>
        <v>0.42399975420741998</v>
      </c>
      <c r="CX635" s="181">
        <f>INDEX('State Tax Lookup'!$D$7:$Z$91,MATCH(Calculation!$C635,'State Tax Lookup'!$B$7:$B$91,0),MATCH($H635,'State Tax Lookup'!$D$6:$Z$6,0))</f>
        <v>0.39649667</v>
      </c>
      <c r="CY635" s="72">
        <v>0.37</v>
      </c>
      <c r="CZ635" s="70">
        <f t="shared" si="1168"/>
        <v>16.472938329325178</v>
      </c>
      <c r="DA635" s="70"/>
      <c r="DB635" s="69">
        <f t="shared" si="1172"/>
        <v>0.11479576974958104</v>
      </c>
      <c r="DC635" s="111">
        <f>VLOOKUP($H635,RoR!$E:$F,2,FALSE)</f>
        <v>5.2350000000000001E-2</v>
      </c>
      <c r="DD635" s="216">
        <f>HLOOKUP($H635,'GDP-PI'!$D$8:$CQ$11,3,FALSE)</f>
        <v>3.1010403642454332E-2</v>
      </c>
      <c r="DE635" s="111">
        <f>VLOOKUP(H635,'HW Dx Data'!$E:$F,2,FALSE)</f>
        <v>469.20514034936258</v>
      </c>
      <c r="DF635" s="72">
        <f t="shared" ref="DF635:DF653" si="1182">VLOOKUP(G635,EG$8:EH$27,2,FALSE)</f>
        <v>99.224999999999994</v>
      </c>
      <c r="DG635" s="69">
        <f t="shared" ref="DG635:DG653" si="1183">LN(DF635/DF634)</f>
        <v>5.0378726854569796E-2</v>
      </c>
      <c r="DH635" s="66">
        <f>HLOOKUP(H635,'GDP-PI'!$8:$9,2,FALSE)</f>
        <v>87.406999999999996</v>
      </c>
      <c r="DI635" s="69">
        <f t="shared" si="1173"/>
        <v>3.0539295810733648E-2</v>
      </c>
      <c r="EB635"/>
    </row>
    <row r="636" spans="1:132" s="160" customFormat="1" ht="21">
      <c r="A636" s="160" t="s">
        <v>197</v>
      </c>
      <c r="B636" s="161" t="s">
        <v>197</v>
      </c>
      <c r="C636" s="161">
        <v>4004389</v>
      </c>
      <c r="D636" s="161" t="s">
        <v>171</v>
      </c>
      <c r="E636" s="161" t="s">
        <v>3</v>
      </c>
      <c r="F636" s="161"/>
      <c r="G636" s="161" t="s">
        <v>117</v>
      </c>
      <c r="H636" s="162">
        <v>2006</v>
      </c>
      <c r="I636" s="163"/>
      <c r="J636" s="159">
        <f>IFERROR(INDEX('Labor Expenditures'!$F$7:$X$91,MATCH($C636,'Labor Expenditures'!$D$7:$D$91,0),MATCH($G636,'Labor Expenditures'!$F$5:$X$5,0)),"NA")</f>
        <v>17794.728842877343</v>
      </c>
      <c r="K636" s="159">
        <f t="shared" si="1174"/>
        <v>162.65748485262654</v>
      </c>
      <c r="L636" s="165">
        <f t="shared" si="1180"/>
        <v>-0.17869250618522076</v>
      </c>
      <c r="M636" s="76">
        <f t="shared" ref="M636:M652" si="1184">+L636*$AR636</f>
        <v>-1.7595926572221087E-3</v>
      </c>
      <c r="N636" s="62">
        <f>+N635*EXP(O636)</f>
        <v>108.45384611308839</v>
      </c>
      <c r="O636" s="96">
        <f t="shared" ref="O636:O652" si="1185">+M636+M661+M686+M711+M736+M761+M786+M811+M836+M861+M886+M911+M936+M961+M986+M1011+M1036+M1061+M1086+M1111+M1136+M1161+M1186+M1211+M1236+M1261+M1286+M1311+M1336+M1361+M1386+M1411+M1436+M1461+M1486+M1511+M1536+M1561+M1586+M1611+M1636+M1661+M1686+M1711+M1736+M1761+M1786+M1811+M1836+M1861+M1886+M1911+M1936+M1961</f>
        <v>8.1154515045879921E-2</v>
      </c>
      <c r="P636" s="96"/>
      <c r="Q636" s="159">
        <f>IFERROR(INDEX('Non-Labor Expenditures'!$F$7:$AB$91,MATCH($C636,'Non-Labor Expenditures'!$D$7:$D$91,0),MATCH($G636,'Non-Labor Expenditures'!$F$5:$AB$5,0)),"NA")</f>
        <v>25770.090961378959</v>
      </c>
      <c r="R636" s="159">
        <f t="shared" si="1175"/>
        <v>286.09910697181164</v>
      </c>
      <c r="S636" s="165">
        <f t="shared" ref="S636:S651" si="1186">LN(R636/R635)</f>
        <v>-0.11112779859192363</v>
      </c>
      <c r="T636" s="165">
        <f t="shared" ref="T636:T652" si="1187">+S636*AR636</f>
        <v>-1.0942801272982472E-3</v>
      </c>
      <c r="U636" s="165"/>
      <c r="V636" s="165"/>
      <c r="W636" s="159">
        <f t="shared" si="1155"/>
        <v>34813.952977717992</v>
      </c>
      <c r="X636" s="163"/>
      <c r="Y636" s="167">
        <v>2191.5111224136804</v>
      </c>
      <c r="Z636" s="168">
        <v>1.156455845123709E-2</v>
      </c>
      <c r="AA636" s="76">
        <f t="shared" si="1176"/>
        <v>1.1387669561095269E-4</v>
      </c>
      <c r="AB636" s="168"/>
      <c r="AC636" s="168"/>
      <c r="AD636" s="163">
        <f t="shared" si="1166"/>
        <v>78378.772781974287</v>
      </c>
      <c r="AE636" s="168">
        <f t="shared" ref="AE636:AE652" si="1188">LN(AD636/AD635)</f>
        <v>-5.1894270932135549E-2</v>
      </c>
      <c r="AF636" s="163"/>
      <c r="AG636" s="163"/>
      <c r="AH636" s="163"/>
      <c r="AI636" s="163"/>
      <c r="AJ636" s="116">
        <f t="shared" ref="AJ636:AJ652" si="1189">+(AD636*1000)/AV636</f>
        <v>305.913746358384</v>
      </c>
      <c r="AK636" s="114">
        <f>+AV636/$AX$11</f>
        <v>7.3875806054124211E-3</v>
      </c>
      <c r="AL636" s="115">
        <f t="shared" si="1177"/>
        <v>0.22703505313073505</v>
      </c>
      <c r="AM636" s="115">
        <f t="shared" si="1178"/>
        <v>0.32878916123200158</v>
      </c>
      <c r="AN636" s="115">
        <f t="shared" si="1179"/>
        <v>0.44417578563726351</v>
      </c>
      <c r="AO636" s="115">
        <f t="shared" si="1181"/>
        <v>-7.3206998192621969E-2</v>
      </c>
      <c r="AP636" s="166">
        <f>+AP635*EXP(AO636)</f>
        <v>92.940842424862851</v>
      </c>
      <c r="AQ636" s="168">
        <f>LN(AP636/AP635)</f>
        <v>-7.3206998192622094E-2</v>
      </c>
      <c r="AR636" s="69">
        <f>+AD636/$AF$11</f>
        <v>9.8470422447275545E-3</v>
      </c>
      <c r="AS636" s="169">
        <f>+AR636*AQ636</f>
        <v>-7.2087240381244345E-4</v>
      </c>
      <c r="AT636" s="115"/>
      <c r="AU636" s="115"/>
      <c r="AV636" s="113">
        <f>IFERROR(INDEX('Total Customers'!$F$7:$AB$91,MATCH($C636,'Total Customers'!$D$7:$D$91,0),MATCH($G636,'Total Customers'!$F$5:$AB$5,0)),"NA")</f>
        <v>256212</v>
      </c>
      <c r="AW636" s="68">
        <f t="shared" si="1074"/>
        <v>7.0462959839388394E-3</v>
      </c>
      <c r="AX636" s="114"/>
      <c r="AY636" s="114"/>
      <c r="AZ636" s="116">
        <v>8247377</v>
      </c>
      <c r="BA636" s="116"/>
      <c r="BB636" s="166"/>
      <c r="BC636" s="166"/>
      <c r="BD636" s="166"/>
      <c r="BE636" s="166"/>
      <c r="BF636" s="166"/>
      <c r="BG636" s="166"/>
      <c r="BH636" s="166"/>
      <c r="BI636" s="113"/>
      <c r="BJ636" s="113"/>
      <c r="BK636" s="113">
        <f>INDEX('Dist. Plant Gas Additions'!$F$7:$AE$91,MATCH($C636,'Dist. Plant Gas Additions'!$D$7:$D$91,0),MATCH(Calculation!$G636,'Dist. Plant Gas Additions'!$F$5:$AE$5,0))</f>
        <v>16310</v>
      </c>
      <c r="BL636" s="113">
        <f>INDEX('Gen. Plant Additions'!$F$7:$AE$91,MATCH($C636,'Gen. Plant Additions'!$D$7:$D$91,0),MATCH(Calculation!$G636,'Gen. Plant Additions'!$F$5:$AE$5,0))</f>
        <v>1595</v>
      </c>
      <c r="BM636" s="231">
        <f t="shared" si="1156"/>
        <v>0.96665463618246583</v>
      </c>
      <c r="BN636" s="61">
        <f t="shared" si="1145"/>
        <v>1541.8141447110329</v>
      </c>
      <c r="BO636" s="113">
        <f>INDEX('Dist Plant Depreciation'!$E$7:$AD$94,MATCH($C636,'Dist Plant Depreciation'!$D$7:$D$94,0),MATCH(Calculation!$G636,'Dist Plant Depreciation'!$E$5:$AD$5,0))</f>
        <v>197519</v>
      </c>
      <c r="BP636" s="113">
        <f>INDEX('Gen. Plant Depreciation'!$E$7:$AD$94,MATCH($C636,'Gen. Plant Depreciation'!$D$7:$D$94,0),MATCH(Calculation!$G636,'Gen. Plant Depreciation'!$E$5:$AD$5,0))</f>
        <v>8699</v>
      </c>
      <c r="BQ636" s="113"/>
      <c r="BR636" s="113"/>
      <c r="BS636" s="113"/>
      <c r="BT636" s="113"/>
      <c r="BU636" s="113"/>
      <c r="BV636" s="113"/>
      <c r="BW636" s="113">
        <f>INDEX('Gross Dx Plant'!$E$7:$AD$91,MATCH($C636,'Gross Dx Plant'!$D$7:$D$91,0),MATCH(Calculation!$G636,'Gross Dx Plant'!$E$5:$AD$5,0))</f>
        <v>616020</v>
      </c>
      <c r="BX636" s="113">
        <f>INDEX('Gross Gen Plant'!$E$7:$AD$91,MATCH($C636,'Gross Gen Plant'!$D$7:$D$91,0),MATCH(Calculation!$G636,'Gross Gen Plant'!$E$5:$AD$5,0))</f>
        <v>21250</v>
      </c>
      <c r="BY636" s="113">
        <f t="shared" si="1075"/>
        <v>431052</v>
      </c>
      <c r="BZ636" s="114"/>
      <c r="CA636" s="116">
        <v>2006</v>
      </c>
      <c r="CB636" s="113"/>
      <c r="CC636" s="113"/>
      <c r="CD636" s="113"/>
      <c r="CE636" s="175"/>
      <c r="CF636" s="113">
        <f t="shared" si="1157"/>
        <v>17905</v>
      </c>
      <c r="CG636" s="113">
        <f t="shared" si="1158"/>
        <v>38.83226276366139</v>
      </c>
      <c r="CH636" s="178">
        <v>0.9555555555555556</v>
      </c>
      <c r="CI636" s="61">
        <f>+CI628*CH636+CG629*CH635+CG630*CH634+CG631*CH633+CG632*CH632+CG633*CH631+CG634*CH630+CG635*CH629+CG636</f>
        <v>2191.5111224136804</v>
      </c>
      <c r="CJ636" s="114">
        <f t="shared" si="1159"/>
        <v>1.156455845123709E-2</v>
      </c>
      <c r="CK636" s="114"/>
      <c r="CL636" s="169">
        <f t="shared" si="1160"/>
        <v>6.2938202972144374E-3</v>
      </c>
      <c r="CM636" s="169">
        <f t="shared" si="1169"/>
        <v>6.0796572359217921E-3</v>
      </c>
      <c r="CN636" s="114">
        <f>VLOOKUP($H636,RoR!$E:$F,2,FALSE)</f>
        <v>5.5874999999999994E-2</v>
      </c>
      <c r="CO636" s="169">
        <v>3.0512430354548314E-2</v>
      </c>
      <c r="CP636" s="169">
        <f t="shared" si="1167"/>
        <v>2.536256964545168E-2</v>
      </c>
      <c r="CQ636" s="169">
        <f t="shared" si="1170"/>
        <v>2.4822284372611834E-2</v>
      </c>
      <c r="CR636" s="169">
        <f t="shared" si="1171"/>
        <v>7.9087823893859641E-2</v>
      </c>
      <c r="CS636" s="179">
        <f t="shared" si="1161"/>
        <v>0.85329623209999994</v>
      </c>
      <c r="CT636" s="180">
        <f t="shared" si="1162"/>
        <v>0.91779957551769631</v>
      </c>
      <c r="CU636" s="180">
        <f t="shared" si="1163"/>
        <v>0.52757270693512304</v>
      </c>
      <c r="CV636" s="180">
        <f t="shared" si="1164"/>
        <v>0.88636824549024895</v>
      </c>
      <c r="CW636" s="180">
        <f t="shared" si="1165"/>
        <v>0.42918482841932087</v>
      </c>
      <c r="CX636" s="181">
        <f>INDEX('State Tax Lookup'!$D$7:$Z$91,MATCH(Calculation!$C636,'State Tax Lookup'!$B$7:$B$91,0),MATCH($H636,'State Tax Lookup'!$D$6:$Z$6,0))</f>
        <v>0.39649667</v>
      </c>
      <c r="CY636" s="72">
        <v>0.37</v>
      </c>
      <c r="CZ636" s="70">
        <f t="shared" si="1168"/>
        <v>16.070599689665261</v>
      </c>
      <c r="DA636" s="70">
        <v>14.788696346247992</v>
      </c>
      <c r="DB636" s="69">
        <f t="shared" si="1172"/>
        <v>-2.4727436821197234E-2</v>
      </c>
      <c r="DC636" s="111">
        <f>VLOOKUP($H636,RoR!$E:$F,2,FALSE)</f>
        <v>5.5874999999999994E-2</v>
      </c>
      <c r="DD636" s="216">
        <f>HLOOKUP($H636,'GDP-PI'!$D$8:$CQ$11,3,FALSE)</f>
        <v>3.0512430354548314E-2</v>
      </c>
      <c r="DE636" s="111">
        <f>VLOOKUP(H636,'HW Dx Data'!$E:$F,2,FALSE)</f>
        <v>461.08567272971823</v>
      </c>
      <c r="DF636" s="72">
        <f t="shared" si="1182"/>
        <v>109.4</v>
      </c>
      <c r="DG636" s="69">
        <f t="shared" si="1183"/>
        <v>9.7620891318751846E-2</v>
      </c>
      <c r="DH636" s="66">
        <f>HLOOKUP(H636,'GDP-PI'!$8:$9,2,FALSE)</f>
        <v>90.073999999999998</v>
      </c>
      <c r="DI636" s="69">
        <f t="shared" si="1173"/>
        <v>3.005618372545445E-2</v>
      </c>
      <c r="EB636"/>
    </row>
    <row r="637" spans="1:132" s="160" customFormat="1" ht="21">
      <c r="A637" s="160" t="s">
        <v>197</v>
      </c>
      <c r="B637" s="161" t="s">
        <v>197</v>
      </c>
      <c r="C637" s="161">
        <v>4004389</v>
      </c>
      <c r="D637" s="161" t="s">
        <v>171</v>
      </c>
      <c r="E637" s="161" t="s">
        <v>3</v>
      </c>
      <c r="F637" s="161"/>
      <c r="G637" s="161" t="s">
        <v>118</v>
      </c>
      <c r="H637" s="162">
        <v>2007</v>
      </c>
      <c r="I637" s="163"/>
      <c r="J637" s="159">
        <f>IFERROR(INDEX('Labor Expenditures'!$F$7:$X$91,MATCH($C637,'Labor Expenditures'!$D$7:$D$91,0),MATCH($G637,'Labor Expenditures'!$F$5:$X$5,0)),"NA")</f>
        <v>18562.49925443601</v>
      </c>
      <c r="K637" s="159">
        <f t="shared" si="1174"/>
        <v>177.58908638541988</v>
      </c>
      <c r="L637" s="165">
        <f t="shared" si="1180"/>
        <v>8.7825708123552337E-2</v>
      </c>
      <c r="M637" s="76">
        <f t="shared" si="1184"/>
        <v>8.6924680345185318E-4</v>
      </c>
      <c r="N637" s="62">
        <f t="shared" ref="N637:N650" si="1190">+N636*EXP(O637)</f>
        <v>117.83928769909444</v>
      </c>
      <c r="O637" s="96">
        <f t="shared" si="1185"/>
        <v>8.2997026457654444E-2</v>
      </c>
      <c r="P637" s="96"/>
      <c r="Q637" s="159">
        <f>IFERROR(INDEX('Non-Labor Expenditures'!$F$7:$AB$91,MATCH($C637,'Non-Labor Expenditures'!$D$7:$D$91,0),MATCH($G637,'Non-Labor Expenditures'!$F$5:$AB$5,0)),"NA")</f>
        <v>26881.96591704831</v>
      </c>
      <c r="R637" s="159">
        <f t="shared" si="1175"/>
        <v>290.62213147363519</v>
      </c>
      <c r="S637" s="165">
        <f t="shared" si="1186"/>
        <v>1.5685627428262315E-2</v>
      </c>
      <c r="T637" s="165">
        <f t="shared" si="1187"/>
        <v>1.5524704318890995E-4</v>
      </c>
      <c r="U637" s="165"/>
      <c r="V637" s="165"/>
      <c r="W637" s="159">
        <f t="shared" si="1155"/>
        <v>37770.424602800391</v>
      </c>
      <c r="X637" s="163"/>
      <c r="Y637" s="167">
        <v>2214.0531276404886</v>
      </c>
      <c r="Z637" s="168">
        <v>1.0233514107433814E-2</v>
      </c>
      <c r="AA637" s="76">
        <f t="shared" si="1176"/>
        <v>1.0128525708500132E-4</v>
      </c>
      <c r="AB637" s="168"/>
      <c r="AC637" s="168"/>
      <c r="AD637" s="163">
        <f t="shared" si="1166"/>
        <v>83214.889774284704</v>
      </c>
      <c r="AE637" s="168">
        <f t="shared" si="1188"/>
        <v>5.9873160084752762E-2</v>
      </c>
      <c r="AF637" s="163"/>
      <c r="AG637" s="163"/>
      <c r="AH637" s="163"/>
      <c r="AI637" s="163"/>
      <c r="AJ637" s="116">
        <f t="shared" si="1189"/>
        <v>326.43659269918959</v>
      </c>
      <c r="AK637" s="114">
        <f>+AV637/$AX$12</f>
        <v>7.2949575053894676E-3</v>
      </c>
      <c r="AL637" s="115">
        <f t="shared" si="1177"/>
        <v>0.22306704130457486</v>
      </c>
      <c r="AM637" s="115">
        <f t="shared" si="1178"/>
        <v>0.32304273898534264</v>
      </c>
      <c r="AN637" s="115">
        <f t="shared" si="1179"/>
        <v>0.45389021971008259</v>
      </c>
      <c r="AO637" s="115">
        <f t="shared" si="1181"/>
        <v>2.9472649319734718E-2</v>
      </c>
      <c r="AP637" s="166">
        <f>+AP636*EXP(AO637)</f>
        <v>95.720820713980444</v>
      </c>
      <c r="AQ637" s="168">
        <f>LN(AP637/AP636)</f>
        <v>2.9472649319734784E-2</v>
      </c>
      <c r="AR637" s="69">
        <f>+AD637/$AF$12</f>
        <v>9.8974072856777354E-3</v>
      </c>
      <c r="AS637" s="169">
        <f t="shared" ref="AS637:AS651" si="1191">+AR637*AQ637</f>
        <v>2.9170281410536799E-4</v>
      </c>
      <c r="AT637" s="115"/>
      <c r="AU637" s="115"/>
      <c r="AV637" s="113">
        <f>IFERROR(INDEX('Total Customers'!$F$7:$AB$91,MATCH($C637,'Total Customers'!$D$7:$D$91,0),MATCH($G637,'Total Customers'!$F$5:$AB$5,0)),"NA")</f>
        <v>254919</v>
      </c>
      <c r="AW637" s="68">
        <f t="shared" si="1074"/>
        <v>-5.0593791341544863E-3</v>
      </c>
      <c r="AX637" s="114"/>
      <c r="AY637" s="114"/>
      <c r="AZ637" s="116">
        <v>8187757</v>
      </c>
      <c r="BA637" s="116"/>
      <c r="BB637" s="166"/>
      <c r="BC637" s="166"/>
      <c r="BD637" s="166"/>
      <c r="BE637" s="166"/>
      <c r="BF637" s="166"/>
      <c r="BG637" s="166"/>
      <c r="BH637" s="166"/>
      <c r="BI637" s="113"/>
      <c r="BJ637" s="113"/>
      <c r="BK637" s="113">
        <f>INDEX('Dist. Plant Gas Additions'!$F$7:$AE$91,MATCH($C637,'Dist. Plant Gas Additions'!$D$7:$D$91,0),MATCH(Calculation!$G637,'Dist. Plant Gas Additions'!$F$5:$AE$5,0))</f>
        <v>17520</v>
      </c>
      <c r="BL637" s="113">
        <f>INDEX('Gen. Plant Additions'!$F$7:$AE$91,MATCH($C637,'Gen. Plant Additions'!$D$7:$D$91,0),MATCH(Calculation!$G637,'Gen. Plant Additions'!$F$5:$AE$5,0))</f>
        <v>821</v>
      </c>
      <c r="BM637" s="231">
        <f t="shared" si="1156"/>
        <v>0.96641114748286094</v>
      </c>
      <c r="BN637" s="61">
        <f t="shared" si="1145"/>
        <v>793.42355208342883</v>
      </c>
      <c r="BO637" s="113">
        <f>INDEX('Dist Plant Depreciation'!$E$7:$AD$94,MATCH($C637,'Dist Plant Depreciation'!$D$7:$D$94,0),MATCH(Calculation!$G637,'Dist Plant Depreciation'!$E$5:$AD$5,0))</f>
        <v>210758</v>
      </c>
      <c r="BP637" s="113">
        <f>INDEX('Gen. Plant Depreciation'!$E$7:$AD$94,MATCH($C637,'Gen. Plant Depreciation'!$D$7:$D$94,0),MATCH(Calculation!$G637,'Gen. Plant Depreciation'!$E$5:$AD$5,0))</f>
        <v>9922</v>
      </c>
      <c r="BQ637" s="113"/>
      <c r="BR637" s="113"/>
      <c r="BS637" s="113"/>
      <c r="BT637" s="113"/>
      <c r="BU637" s="113"/>
      <c r="BV637" s="113"/>
      <c r="BW637" s="113">
        <f>INDEX('Gross Dx Plant'!$E$7:$AD$91,MATCH($C637,'Gross Dx Plant'!$D$7:$D$91,0),MATCH(Calculation!$G637,'Gross Dx Plant'!$E$5:$AD$5,0))</f>
        <v>632375</v>
      </c>
      <c r="BX637" s="113">
        <f>INDEX('Gross Gen Plant'!$E$7:$AD$91,MATCH($C637,'Gross Gen Plant'!$D$7:$D$91,0),MATCH(Calculation!$G637,'Gross Gen Plant'!$E$5:$AD$5,0))</f>
        <v>21979</v>
      </c>
      <c r="BY637" s="113">
        <f t="shared" si="1075"/>
        <v>433674</v>
      </c>
      <c r="BZ637" s="113"/>
      <c r="CA637" s="116">
        <v>2007</v>
      </c>
      <c r="CB637" s="113"/>
      <c r="CC637" s="113"/>
      <c r="CD637" s="113"/>
      <c r="CE637" s="175"/>
      <c r="CF637" s="113">
        <f t="shared" si="1157"/>
        <v>18341</v>
      </c>
      <c r="CG637" s="113">
        <f t="shared" si="1158"/>
        <v>36.827667014124643</v>
      </c>
      <c r="CH637" s="178">
        <v>0.94915254237288138</v>
      </c>
      <c r="CI637" s="61">
        <f>+CI628*CH637+CG629*CH636+CG630*CH635+CG631*CH634+CG632*CH633+CG633*CH632+CG634*CH631+CG635*CH630+CG636*CH629+CG637</f>
        <v>2214.0531276404886</v>
      </c>
      <c r="CJ637" s="114">
        <f t="shared" si="1159"/>
        <v>1.0233514107433814E-2</v>
      </c>
      <c r="CK637" s="114"/>
      <c r="CL637" s="169">
        <f t="shared" si="1160"/>
        <v>6.518635311137516E-3</v>
      </c>
      <c r="CM637" s="169">
        <f t="shared" si="1169"/>
        <v>6.2963470141053851E-3</v>
      </c>
      <c r="CN637" s="114">
        <f>VLOOKUP($H637,RoR!$E:$F,2,FALSE)</f>
        <v>5.5558333333333321E-2</v>
      </c>
      <c r="CO637" s="169">
        <v>2.691120634145272E-2</v>
      </c>
      <c r="CP637" s="169">
        <f t="shared" si="1167"/>
        <v>2.86471269918806E-2</v>
      </c>
      <c r="CQ637" s="169">
        <f t="shared" si="1170"/>
        <v>2.4605594594428241E-2</v>
      </c>
      <c r="CR637" s="169">
        <f t="shared" si="1171"/>
        <v>6.4575155250632399E-2</v>
      </c>
      <c r="CS637" s="179">
        <f t="shared" si="1161"/>
        <v>0.85329623209999994</v>
      </c>
      <c r="CT637" s="180">
        <f t="shared" si="1162"/>
        <v>0.92303077153834634</v>
      </c>
      <c r="CU637" s="180">
        <f t="shared" si="1163"/>
        <v>0.52502249887505614</v>
      </c>
      <c r="CV637" s="180">
        <f t="shared" si="1164"/>
        <v>0.88499666072084604</v>
      </c>
      <c r="CW637" s="180">
        <f t="shared" si="1165"/>
        <v>0.42887993290280618</v>
      </c>
      <c r="CX637" s="181">
        <f>INDEX('State Tax Lookup'!$D$7:$Z$91,MATCH(Calculation!$C637,'State Tax Lookup'!$B$7:$B$91,0),MATCH($H637,'State Tax Lookup'!$D$6:$Z$6,0))</f>
        <v>0.39649667</v>
      </c>
      <c r="CY637" s="72">
        <v>0.37</v>
      </c>
      <c r="CZ637" s="70">
        <f t="shared" si="1168"/>
        <v>17.23487698351305</v>
      </c>
      <c r="DA637" s="70">
        <v>16.108943221861779</v>
      </c>
      <c r="DB637" s="69">
        <f t="shared" si="1172"/>
        <v>6.9943565952342121E-2</v>
      </c>
      <c r="DC637" s="111">
        <f>VLOOKUP($H637,RoR!$E:$F,2,FALSE)</f>
        <v>5.5558333333333321E-2</v>
      </c>
      <c r="DD637" s="216">
        <f>HLOOKUP($H637,'GDP-PI'!$D$8:$CQ$11,3,FALSE)</f>
        <v>2.691120634145272E-2</v>
      </c>
      <c r="DE637" s="111">
        <f>VLOOKUP(H637,'HW Dx Data'!$E:$F,2,FALSE)</f>
        <v>498.0223154772637</v>
      </c>
      <c r="DF637" s="72">
        <f t="shared" si="1182"/>
        <v>104.52499999999999</v>
      </c>
      <c r="DG637" s="69">
        <f t="shared" si="1183"/>
        <v>-4.5584612745252218E-2</v>
      </c>
      <c r="DH637" s="66">
        <f>HLOOKUP(H637,'GDP-PI'!$8:$9,2,FALSE)</f>
        <v>92.498000000000005</v>
      </c>
      <c r="DI637" s="69">
        <f t="shared" si="1173"/>
        <v>2.6555467950038037E-2</v>
      </c>
      <c r="EB637"/>
    </row>
    <row r="638" spans="1:132" s="160" customFormat="1" ht="21">
      <c r="A638" s="160" t="s">
        <v>197</v>
      </c>
      <c r="B638" s="161" t="s">
        <v>197</v>
      </c>
      <c r="C638" s="161">
        <v>4004389</v>
      </c>
      <c r="D638" s="161" t="s">
        <v>171</v>
      </c>
      <c r="E638" s="161" t="s">
        <v>3</v>
      </c>
      <c r="F638" s="161"/>
      <c r="G638" s="161" t="s">
        <v>120</v>
      </c>
      <c r="H638" s="162">
        <v>2008</v>
      </c>
      <c r="I638" s="163"/>
      <c r="J638" s="159">
        <f>IFERROR(INDEX('Labor Expenditures'!$F$7:$X$91,MATCH($C638,'Labor Expenditures'!$D$7:$D$91,0),MATCH($G638,'Labor Expenditures'!$F$5:$X$5,0)),"NA")</f>
        <v>18461.18990733126</v>
      </c>
      <c r="K638" s="159">
        <f t="shared" si="1174"/>
        <v>171.09536522086429</v>
      </c>
      <c r="L638" s="165">
        <f t="shared" si="1180"/>
        <v>-3.7251285736646725E-2</v>
      </c>
      <c r="M638" s="76">
        <f t="shared" si="1184"/>
        <v>-3.6664114351657353E-4</v>
      </c>
      <c r="N638" s="62">
        <f t="shared" si="1190"/>
        <v>109.87261581009911</v>
      </c>
      <c r="O638" s="96">
        <f t="shared" si="1185"/>
        <v>-7.0000070833439593E-2</v>
      </c>
      <c r="P638" s="96"/>
      <c r="Q638" s="159">
        <f>IFERROR(INDEX('Non-Labor Expenditures'!$F$7:$AB$91,MATCH($C638,'Non-Labor Expenditures'!$D$7:$D$91,0),MATCH($G638,'Non-Labor Expenditures'!$F$5:$AB$5,0)),"NA")</f>
        <v>26735.251060464674</v>
      </c>
      <c r="R638" s="159">
        <f t="shared" si="1175"/>
        <v>283.62101184401973</v>
      </c>
      <c r="S638" s="165">
        <f t="shared" si="1186"/>
        <v>-2.438502446321859E-2</v>
      </c>
      <c r="T638" s="165">
        <f t="shared" si="1187"/>
        <v>-2.4000656828547073E-4</v>
      </c>
      <c r="U638" s="165"/>
      <c r="V638" s="165"/>
      <c r="W638" s="159">
        <f t="shared" si="1155"/>
        <v>43276.517348634305</v>
      </c>
      <c r="X638" s="163"/>
      <c r="Y638" s="167">
        <v>2244.3378238392602</v>
      </c>
      <c r="Z638" s="168">
        <v>1.3585691489755528E-2</v>
      </c>
      <c r="AA638" s="76">
        <f t="shared" si="1176"/>
        <v>1.3371547759402877E-4</v>
      </c>
      <c r="AB638" s="168"/>
      <c r="AC638" s="168"/>
      <c r="AD638" s="163">
        <f t="shared" si="1166"/>
        <v>88472.958316430246</v>
      </c>
      <c r="AE638" s="168">
        <f t="shared" si="1188"/>
        <v>6.1270654127352372E-2</v>
      </c>
      <c r="AF638" s="163"/>
      <c r="AG638" s="163"/>
      <c r="AH638" s="163"/>
      <c r="AI638" s="163"/>
      <c r="AJ638" s="116">
        <f t="shared" si="1189"/>
        <v>345.70417557148591</v>
      </c>
      <c r="AK638" s="114">
        <f>+AV638/$AX$13</f>
        <v>7.2844751482442679E-3</v>
      </c>
      <c r="AL638" s="115">
        <f t="shared" si="1177"/>
        <v>0.20866477462303695</v>
      </c>
      <c r="AM638" s="115">
        <f t="shared" si="1178"/>
        <v>0.30218556685811299</v>
      </c>
      <c r="AN638" s="115">
        <f t="shared" si="1179"/>
        <v>0.48914965851885001</v>
      </c>
      <c r="AO638" s="115">
        <f t="shared" si="1181"/>
        <v>-9.2584619608276561E-3</v>
      </c>
      <c r="AP638" s="166">
        <f t="shared" ref="AP638:AP651" si="1192">+AP637*EXP(AO638)</f>
        <v>94.838683056841759</v>
      </c>
      <c r="AQ638" s="168">
        <f t="shared" ref="AQ638:AQ651" si="1193">LN(AP638/AP637)</f>
        <v>-9.2584619608276179E-3</v>
      </c>
      <c r="AR638" s="69">
        <f>+AD638/$AF$13</f>
        <v>9.8423755386215488E-3</v>
      </c>
      <c r="AS638" s="169">
        <f t="shared" si="1191"/>
        <v>-9.1125259528507848E-5</v>
      </c>
      <c r="AT638" s="115"/>
      <c r="AU638" s="115"/>
      <c r="AV638" s="113">
        <f>IFERROR(INDEX('Total Customers'!$F$7:$AB$91,MATCH($C638,'Total Customers'!$D$7:$D$91,0),MATCH($G638,'Total Customers'!$F$5:$AB$5,0)),"NA")</f>
        <v>255921</v>
      </c>
      <c r="AW638" s="68">
        <f t="shared" si="1074"/>
        <v>3.9229554656235134E-3</v>
      </c>
      <c r="AX638" s="114"/>
      <c r="AY638" s="114"/>
      <c r="AZ638" s="116">
        <v>8244107</v>
      </c>
      <c r="BA638" s="116"/>
      <c r="BB638" s="166"/>
      <c r="BC638" s="166"/>
      <c r="BD638" s="166"/>
      <c r="BE638" s="166"/>
      <c r="BF638" s="166"/>
      <c r="BG638" s="166"/>
      <c r="BH638" s="166"/>
      <c r="BI638" s="113"/>
      <c r="BJ638" s="113"/>
      <c r="BK638" s="113">
        <f>INDEX('Dist. Plant Gas Additions'!$F$7:$AE$91,MATCH($C638,'Dist. Plant Gas Additions'!$D$7:$D$91,0),MATCH(Calculation!$G638,'Dist. Plant Gas Additions'!$F$5:$AE$5,0))</f>
        <v>24819</v>
      </c>
      <c r="BL638" s="113">
        <f>INDEX('Gen. Plant Additions'!$F$7:$AE$91,MATCH($C638,'Gen. Plant Additions'!$D$7:$D$91,0),MATCH(Calculation!$G638,'Gen. Plant Additions'!$F$5:$AE$5,0))</f>
        <v>963</v>
      </c>
      <c r="BM638" s="231">
        <f t="shared" si="1156"/>
        <v>0.96684769058041253</v>
      </c>
      <c r="BN638" s="61">
        <f t="shared" si="1145"/>
        <v>931.07432602893732</v>
      </c>
      <c r="BO638" s="113">
        <f>INDEX('Dist Plant Depreciation'!$E$7:$AD$94,MATCH($C638,'Dist Plant Depreciation'!$D$7:$D$94,0),MATCH(Calculation!$G638,'Dist Plant Depreciation'!$E$5:$AD$5,0))</f>
        <v>223428</v>
      </c>
      <c r="BP638" s="113">
        <f>INDEX('Gen. Plant Depreciation'!$E$7:$AD$94,MATCH($C638,'Gen. Plant Depreciation'!$D$7:$D$94,0),MATCH(Calculation!$G638,'Gen. Plant Depreciation'!$E$5:$AD$5,0))</f>
        <v>10858</v>
      </c>
      <c r="BQ638" s="113"/>
      <c r="BR638" s="113"/>
      <c r="BS638" s="113"/>
      <c r="BT638" s="113"/>
      <c r="BU638" s="113"/>
      <c r="BV638" s="113"/>
      <c r="BW638" s="113">
        <f>INDEX('Gross Dx Plant'!$E$7:$AD$91,MATCH($C638,'Gross Dx Plant'!$D$7:$D$91,0),MATCH(Calculation!$G638,'Gross Dx Plant'!$E$5:$AD$5,0))</f>
        <v>655340</v>
      </c>
      <c r="BX638" s="113">
        <f>INDEX('Gross Gen Plant'!$E$7:$AD$91,MATCH($C638,'Gross Gen Plant'!$D$7:$D$91,0),MATCH(Calculation!$G638,'Gross Gen Plant'!$E$5:$AD$5,0))</f>
        <v>22471</v>
      </c>
      <c r="BY638" s="113">
        <f t="shared" si="1075"/>
        <v>443525</v>
      </c>
      <c r="BZ638" s="113"/>
      <c r="CA638" s="116">
        <v>2008</v>
      </c>
      <c r="CB638" s="113"/>
      <c r="CC638" s="113"/>
      <c r="CD638" s="113"/>
      <c r="CE638" s="175"/>
      <c r="CF638" s="113">
        <f t="shared" si="1157"/>
        <v>25782</v>
      </c>
      <c r="CG638" s="113">
        <f t="shared" si="1158"/>
        <v>45.241007861137405</v>
      </c>
      <c r="CH638" s="178">
        <v>0.94252873563218387</v>
      </c>
      <c r="CI638" s="61">
        <f>+CI628*CH638+CG629*CH637+CG630*CH636+CG631*CH635+CG632*CH634+CG633*CH633+CG634*CH632+CG635*CH631+CG636*CH630+CG637*CH629+CG638</f>
        <v>2244.3378238392602</v>
      </c>
      <c r="CJ638" s="114">
        <f t="shared" si="1159"/>
        <v>1.3585691489755528E-2</v>
      </c>
      <c r="CK638" s="114"/>
      <c r="CL638" s="169">
        <f t="shared" si="1160"/>
        <v>6.7551728888749444E-3</v>
      </c>
      <c r="CM638" s="169">
        <f t="shared" si="1169"/>
        <v>6.5225428324089648E-3</v>
      </c>
      <c r="CN638" s="114">
        <f>VLOOKUP($H638,RoR!$E:$F,2,FALSE)</f>
        <v>5.6316666666666668E-2</v>
      </c>
      <c r="CO638" s="169">
        <v>1.9092304698479889E-2</v>
      </c>
      <c r="CP638" s="169">
        <f t="shared" si="1167"/>
        <v>3.7224361968186778E-2</v>
      </c>
      <c r="CQ638" s="169">
        <f t="shared" si="1170"/>
        <v>2.4379398776124661E-2</v>
      </c>
      <c r="CR638" s="169">
        <f t="shared" si="1171"/>
        <v>6.9030581091053131E-2</v>
      </c>
      <c r="CS638" s="179">
        <f t="shared" si="1161"/>
        <v>0.85329623209999994</v>
      </c>
      <c r="CT638" s="180">
        <f t="shared" si="1162"/>
        <v>0.91060168006009956</v>
      </c>
      <c r="CU638" s="180">
        <f t="shared" si="1163"/>
        <v>0.53108168097070152</v>
      </c>
      <c r="CV638" s="180">
        <f t="shared" si="1164"/>
        <v>0.88825329850328805</v>
      </c>
      <c r="CW638" s="180">
        <f t="shared" si="1165"/>
        <v>0.4295627335323573</v>
      </c>
      <c r="CX638" s="181">
        <f>INDEX('State Tax Lookup'!$D$7:$Z$91,MATCH(Calculation!$C638,'State Tax Lookup'!$B$7:$B$91,0),MATCH($H638,'State Tax Lookup'!$D$6:$Z$6,0))</f>
        <v>0.39649667</v>
      </c>
      <c r="CY638" s="72">
        <v>0.37</v>
      </c>
      <c r="CZ638" s="70">
        <f t="shared" si="1168"/>
        <v>19.546286766277372</v>
      </c>
      <c r="DA638" s="70">
        <v>18.300102035478151</v>
      </c>
      <c r="DB638" s="69">
        <f t="shared" si="1172"/>
        <v>0.12585027081641417</v>
      </c>
      <c r="DC638" s="111">
        <f>VLOOKUP($H638,RoR!$E:$F,2,FALSE)</f>
        <v>5.6316666666666668E-2</v>
      </c>
      <c r="DD638" s="216">
        <f>HLOOKUP($H638,'GDP-PI'!$D$8:$CQ$11,3,FALSE)</f>
        <v>1.9092304698479889E-2</v>
      </c>
      <c r="DE638" s="111">
        <f>VLOOKUP(H638,'HW Dx Data'!$E:$F,2,FALSE)</f>
        <v>569.88120333515076</v>
      </c>
      <c r="DF638" s="72">
        <f t="shared" si="1182"/>
        <v>107.9</v>
      </c>
      <c r="DG638" s="69">
        <f t="shared" si="1183"/>
        <v>3.1778595021460486E-2</v>
      </c>
      <c r="DH638" s="66">
        <f>HLOOKUP(H638,'GDP-PI'!$8:$9,2,FALSE)</f>
        <v>94.263999999999996</v>
      </c>
      <c r="DI638" s="69">
        <f t="shared" si="1173"/>
        <v>1.8912333748032254E-2</v>
      </c>
      <c r="EB638"/>
    </row>
    <row r="639" spans="1:132" s="160" customFormat="1" ht="21">
      <c r="A639" s="160" t="s">
        <v>197</v>
      </c>
      <c r="B639" s="161" t="s">
        <v>197</v>
      </c>
      <c r="C639" s="161">
        <v>4004389</v>
      </c>
      <c r="D639" s="161" t="s">
        <v>171</v>
      </c>
      <c r="E639" s="161" t="s">
        <v>3</v>
      </c>
      <c r="F639" s="161"/>
      <c r="G639" s="161" t="s">
        <v>125</v>
      </c>
      <c r="H639" s="162">
        <v>2009</v>
      </c>
      <c r="I639" s="163"/>
      <c r="J639" s="159">
        <f>IFERROR(INDEX('Labor Expenditures'!$F$7:$X$91,MATCH($C639,'Labor Expenditures'!$D$7:$D$91,0),MATCH($G639,'Labor Expenditures'!$F$5:$X$5,0)),"NA")</f>
        <v>24106.468372736996</v>
      </c>
      <c r="K639" s="159">
        <f t="shared" si="1174"/>
        <v>217.32223009003377</v>
      </c>
      <c r="L639" s="165">
        <f t="shared" si="1180"/>
        <v>0.23916009100997379</v>
      </c>
      <c r="M639" s="76">
        <f t="shared" si="1184"/>
        <v>2.5771009694948604E-3</v>
      </c>
      <c r="N639" s="62">
        <f t="shared" si="1190"/>
        <v>118.32375754416661</v>
      </c>
      <c r="O639" s="96">
        <f t="shared" si="1185"/>
        <v>7.4102918712773122E-2</v>
      </c>
      <c r="P639" s="96"/>
      <c r="Q639" s="159">
        <f>IFERROR(INDEX('Non-Labor Expenditures'!$F$7:$AB$91,MATCH($C639,'Non-Labor Expenditures'!$D$7:$D$91,0),MATCH($G639,'Non-Labor Expenditures'!$F$5:$AB$5,0)),"NA")</f>
        <v>34910.66867094714</v>
      </c>
      <c r="R639" s="159">
        <f t="shared" si="1175"/>
        <v>367.48459111092899</v>
      </c>
      <c r="S639" s="165">
        <f t="shared" si="1186"/>
        <v>0.2590425071925484</v>
      </c>
      <c r="T639" s="165">
        <f t="shared" si="1187"/>
        <v>2.7913465562214375E-3</v>
      </c>
      <c r="U639" s="165"/>
      <c r="V639" s="165"/>
      <c r="W639" s="159">
        <f t="shared" si="1155"/>
        <v>42011.245331082922</v>
      </c>
      <c r="X639" s="163"/>
      <c r="Y639" s="167">
        <v>2267.3100971119466</v>
      </c>
      <c r="Z639" s="168">
        <v>1.0183627891887688E-2</v>
      </c>
      <c r="AA639" s="76">
        <f t="shared" si="1176"/>
        <v>1.0973501976157129E-4</v>
      </c>
      <c r="AB639" s="168"/>
      <c r="AC639" s="168"/>
      <c r="AD639" s="163">
        <f t="shared" si="1166"/>
        <v>101028.38237476707</v>
      </c>
      <c r="AE639" s="168">
        <f t="shared" si="1188"/>
        <v>0.13270454140022089</v>
      </c>
      <c r="AF639" s="163"/>
      <c r="AG639" s="163"/>
      <c r="AH639" s="163"/>
      <c r="AI639" s="163"/>
      <c r="AJ639" s="116">
        <f t="shared" si="1189"/>
        <v>391.82283093819882</v>
      </c>
      <c r="AK639" s="114">
        <f>+AV639/$AX$14</f>
        <v>7.3297982814451278E-3</v>
      </c>
      <c r="AL639" s="115">
        <f t="shared" si="1177"/>
        <v>0.23861085178334843</v>
      </c>
      <c r="AM639" s="115">
        <f t="shared" si="1178"/>
        <v>0.34555307974194049</v>
      </c>
      <c r="AN639" s="115">
        <f t="shared" si="1179"/>
        <v>0.415836068474711</v>
      </c>
      <c r="AO639" s="115">
        <f t="shared" si="1181"/>
        <v>0.14198918021492596</v>
      </c>
      <c r="AP639" s="166">
        <f t="shared" si="1192"/>
        <v>109.30766877743658</v>
      </c>
      <c r="AQ639" s="168">
        <f t="shared" si="1193"/>
        <v>0.14198918021492601</v>
      </c>
      <c r="AR639" s="69">
        <f>+AD639/$AF$14</f>
        <v>1.0775631329674426E-2</v>
      </c>
      <c r="AS639" s="169">
        <f t="shared" si="1191"/>
        <v>1.5300230587987449E-3</v>
      </c>
      <c r="AT639" s="115"/>
      <c r="AU639" s="115"/>
      <c r="AV639" s="113">
        <f>IFERROR(INDEX('Total Customers'!$F$7:$AB$91,MATCH($C639,'Total Customers'!$D$7:$D$91,0),MATCH($G639,'Total Customers'!$F$5:$AB$5,0)),"NA")</f>
        <v>257842</v>
      </c>
      <c r="AW639" s="68">
        <f t="shared" si="1074"/>
        <v>7.4781911207569933E-3</v>
      </c>
      <c r="AX639" s="114"/>
      <c r="AY639" s="114"/>
      <c r="AZ639" s="116">
        <v>8336812</v>
      </c>
      <c r="BA639" s="116"/>
      <c r="BB639" s="166"/>
      <c r="BC639" s="166"/>
      <c r="BD639" s="166"/>
      <c r="BE639" s="166"/>
      <c r="BF639" s="166"/>
      <c r="BG639" s="166"/>
      <c r="BH639" s="166"/>
      <c r="BI639" s="113"/>
      <c r="BJ639" s="113"/>
      <c r="BK639" s="113">
        <f>INDEX('Dist. Plant Gas Additions'!$F$7:$AE$91,MATCH($C639,'Dist. Plant Gas Additions'!$D$7:$D$91,0),MATCH(Calculation!$G639,'Dist. Plant Gas Additions'!$F$5:$AE$5,0))</f>
        <v>19528</v>
      </c>
      <c r="BL639" s="113">
        <f>INDEX('Gen. Plant Additions'!$F$7:$AE$91,MATCH($C639,'Gen. Plant Additions'!$D$7:$D$91,0),MATCH(Calculation!$G639,'Gen. Plant Additions'!$F$5:$AE$5,0))</f>
        <v>1778</v>
      </c>
      <c r="BM639" s="231">
        <f t="shared" si="1156"/>
        <v>0.96662662324051063</v>
      </c>
      <c r="BN639" s="61">
        <f t="shared" si="1145"/>
        <v>1718.662136121628</v>
      </c>
      <c r="BO639" s="113">
        <f>INDEX('Dist Plant Depreciation'!$E$7:$AD$94,MATCH($C639,'Dist Plant Depreciation'!$D$7:$D$94,0),MATCH(Calculation!$G639,'Dist Plant Depreciation'!$E$5:$AD$5,0))</f>
        <v>237049</v>
      </c>
      <c r="BP639" s="113">
        <f>INDEX('Gen. Plant Depreciation'!$E$7:$AD$94,MATCH($C639,'Gen. Plant Depreciation'!$D$7:$D$94,0),MATCH(Calculation!$G639,'Gen. Plant Depreciation'!$E$5:$AD$5,0))</f>
        <v>11642</v>
      </c>
      <c r="BQ639" s="113"/>
      <c r="BR639" s="113"/>
      <c r="BS639" s="113"/>
      <c r="BT639" s="113"/>
      <c r="BU639" s="113"/>
      <c r="BV639" s="113"/>
      <c r="BW639" s="113">
        <f>INDEX('Gross Dx Plant'!$E$7:$AD$91,MATCH($C639,'Gross Dx Plant'!$D$7:$D$91,0),MATCH(Calculation!$G639,'Gross Dx Plant'!$E$5:$AD$5,0))</f>
        <v>668663</v>
      </c>
      <c r="BX639" s="113">
        <f>INDEX('Gross Gen Plant'!$E$7:$AD$91,MATCH($C639,'Gross Gen Plant'!$D$7:$D$91,0),MATCH(Calculation!$G639,'Gross Gen Plant'!$E$5:$AD$5,0))</f>
        <v>23086</v>
      </c>
      <c r="BY639" s="113">
        <f t="shared" si="1075"/>
        <v>443058</v>
      </c>
      <c r="BZ639" s="113"/>
      <c r="CA639" s="116">
        <v>2009</v>
      </c>
      <c r="CB639" s="113"/>
      <c r="CC639" s="113"/>
      <c r="CD639" s="113"/>
      <c r="CE639" s="175"/>
      <c r="CF639" s="113">
        <f t="shared" si="1157"/>
        <v>21306</v>
      </c>
      <c r="CG639" s="113">
        <f t="shared" si="1158"/>
        <v>38.672043006065657</v>
      </c>
      <c r="CH639" s="178">
        <v>0.93567251461988299</v>
      </c>
      <c r="CI639" s="61">
        <f>+CI628*CH639+CG629*CH638+CG630*CH637+CG631*CH636+CG632*CH635+CG633*CH634+CG634*CH633+CG635*CH632+CG636*CH631+CG637*CH630+CG638*CH629+CG639</f>
        <v>2267.3100971119466</v>
      </c>
      <c r="CJ639" s="114">
        <f t="shared" si="1159"/>
        <v>1.0183627891887688E-2</v>
      </c>
      <c r="CK639" s="114"/>
      <c r="CL639" s="169">
        <f t="shared" si="1160"/>
        <v>6.9952792162645905E-3</v>
      </c>
      <c r="CM639" s="169">
        <f t="shared" si="1169"/>
        <v>6.7563624720923506E-3</v>
      </c>
      <c r="CN639" s="114">
        <f>VLOOKUP($H639,RoR!$E:$F,2,FALSE)</f>
        <v>5.3133333333333324E-2</v>
      </c>
      <c r="CO639" s="169">
        <v>7.7972502758210105E-3</v>
      </c>
      <c r="CP639" s="169">
        <f t="shared" si="1167"/>
        <v>4.5336083057512314E-2</v>
      </c>
      <c r="CQ639" s="169">
        <f t="shared" si="1170"/>
        <v>2.4145579136441275E-2</v>
      </c>
      <c r="CR639" s="169">
        <f t="shared" si="1171"/>
        <v>6.3720160300892073E-2</v>
      </c>
      <c r="CS639" s="179">
        <f t="shared" si="1161"/>
        <v>0.85329623209999994</v>
      </c>
      <c r="CT639" s="180">
        <f t="shared" si="1162"/>
        <v>0.96515780330083989</v>
      </c>
      <c r="CU639" s="180">
        <f t="shared" si="1163"/>
        <v>0.50448557089084056</v>
      </c>
      <c r="CV639" s="180">
        <f t="shared" si="1164"/>
        <v>0.87391435735465484</v>
      </c>
      <c r="CW639" s="180">
        <f t="shared" si="1165"/>
        <v>0.42551605393279146</v>
      </c>
      <c r="CX639" s="181">
        <f>INDEX('State Tax Lookup'!$D$7:$Z$91,MATCH(Calculation!$C639,'State Tax Lookup'!$B$7:$B$91,0),MATCH($H639,'State Tax Lookup'!$D$6:$Z$6,0))</f>
        <v>0.39649667</v>
      </c>
      <c r="CY639" s="72">
        <v>0.37</v>
      </c>
      <c r="CZ639" s="70">
        <f t="shared" si="1168"/>
        <v>18.718770803949955</v>
      </c>
      <c r="DA639" s="70">
        <v>17.478615056163342</v>
      </c>
      <c r="DB639" s="69">
        <f t="shared" si="1172"/>
        <v>-4.3258526451186052E-2</v>
      </c>
      <c r="DC639" s="111">
        <f>VLOOKUP($H639,RoR!$E:$F,2,FALSE)</f>
        <v>5.3133333333333324E-2</v>
      </c>
      <c r="DD639" s="216">
        <f>HLOOKUP($H639,'GDP-PI'!$D$8:$CQ$11,3,FALSE)</f>
        <v>7.7972502758210105E-3</v>
      </c>
      <c r="DE639" s="111">
        <f>VLOOKUP(H639,'HW Dx Data'!$E:$F,2,FALSE)</f>
        <v>550.94063679692806</v>
      </c>
      <c r="DF639" s="72">
        <f t="shared" si="1182"/>
        <v>110.925</v>
      </c>
      <c r="DG639" s="69">
        <f t="shared" si="1183"/>
        <v>2.7649425000884052E-2</v>
      </c>
      <c r="DH639" s="66">
        <f>HLOOKUP(H639,'GDP-PI'!$8:$9,2,FALSE)</f>
        <v>94.998999999999995</v>
      </c>
      <c r="DI639" s="69">
        <f t="shared" si="1173"/>
        <v>7.7670088183096342E-3</v>
      </c>
      <c r="EB639"/>
    </row>
    <row r="640" spans="1:132" s="160" customFormat="1" ht="21">
      <c r="A640" s="160" t="s">
        <v>197</v>
      </c>
      <c r="B640" s="161" t="s">
        <v>197</v>
      </c>
      <c r="C640" s="161">
        <v>4004389</v>
      </c>
      <c r="D640" s="161" t="s">
        <v>171</v>
      </c>
      <c r="E640" s="161" t="s">
        <v>3</v>
      </c>
      <c r="F640" s="161"/>
      <c r="G640" s="161" t="s">
        <v>126</v>
      </c>
      <c r="H640" s="162">
        <v>2010</v>
      </c>
      <c r="I640" s="163"/>
      <c r="J640" s="159">
        <f>IFERROR(INDEX('Labor Expenditures'!$F$7:$X$91,MATCH($C640,'Labor Expenditures'!$D$7:$D$91,0),MATCH($G640,'Labor Expenditures'!$F$5:$X$5,0)),"NA")</f>
        <v>27798.46521047701</v>
      </c>
      <c r="K640" s="159">
        <f t="shared" si="1174"/>
        <v>237.74612110735097</v>
      </c>
      <c r="L640" s="165">
        <f t="shared" si="1180"/>
        <v>8.9822202875834214E-2</v>
      </c>
      <c r="M640" s="76">
        <f t="shared" si="1184"/>
        <v>1.0305562051766872E-3</v>
      </c>
      <c r="N640" s="62">
        <f t="shared" si="1190"/>
        <v>97.849628918589019</v>
      </c>
      <c r="O640" s="96">
        <f t="shared" si="1185"/>
        <v>-0.18999267388569141</v>
      </c>
      <c r="P640" s="96"/>
      <c r="Q640" s="159">
        <f>IFERROR(INDEX('Non-Labor Expenditures'!$F$7:$AB$91,MATCH($C640,'Non-Labor Expenditures'!$D$7:$D$91,0),MATCH($G640,'Non-Labor Expenditures'!$F$5:$AB$5,0)),"NA")</f>
        <v>40257.369661885052</v>
      </c>
      <c r="R640" s="159">
        <f t="shared" si="1175"/>
        <v>418.87200638738364</v>
      </c>
      <c r="S640" s="165">
        <f t="shared" si="1186"/>
        <v>0.13088401041566056</v>
      </c>
      <c r="T640" s="165">
        <f t="shared" si="1187"/>
        <v>1.5016702415852038E-3</v>
      </c>
      <c r="U640" s="165"/>
      <c r="V640" s="165"/>
      <c r="W640" s="159">
        <f t="shared" si="1155"/>
        <v>43442.41528600431</v>
      </c>
      <c r="X640" s="163"/>
      <c r="Y640" s="167">
        <v>2286.2701493028239</v>
      </c>
      <c r="Z640" s="168">
        <v>8.3275843340477589E-3</v>
      </c>
      <c r="AA640" s="76">
        <f t="shared" si="1176"/>
        <v>9.5544792209655357E-5</v>
      </c>
      <c r="AB640" s="168"/>
      <c r="AC640" s="168"/>
      <c r="AD640" s="163">
        <f t="shared" si="1166"/>
        <v>111498.25015836637</v>
      </c>
      <c r="AE640" s="168">
        <f t="shared" si="1188"/>
        <v>9.8607406154203367E-2</v>
      </c>
      <c r="AF640" s="163"/>
      <c r="AG640" s="163"/>
      <c r="AH640" s="163"/>
      <c r="AI640" s="163"/>
      <c r="AJ640" s="116">
        <f t="shared" si="1189"/>
        <v>430.34729439832012</v>
      </c>
      <c r="AK640" s="114">
        <f>+AV640/$AX$15</f>
        <v>7.3249490440662878E-3</v>
      </c>
      <c r="AL640" s="115">
        <f t="shared" si="1177"/>
        <v>0.24931750203248484</v>
      </c>
      <c r="AM640" s="115">
        <f t="shared" si="1178"/>
        <v>0.36105830902911534</v>
      </c>
      <c r="AN640" s="115">
        <f t="shared" si="1179"/>
        <v>0.38962418893839984</v>
      </c>
      <c r="AO640" s="115">
        <f t="shared" si="1181"/>
        <v>7.1509235087192174E-2</v>
      </c>
      <c r="AP640" s="166">
        <f t="shared" si="1192"/>
        <v>117.41043533529275</v>
      </c>
      <c r="AQ640" s="168">
        <f t="shared" si="1193"/>
        <v>7.1509235087192174E-2</v>
      </c>
      <c r="AR640" s="69">
        <f>+AD640/$AF$15</f>
        <v>1.1473290257657979E-2</v>
      </c>
      <c r="AS640" s="169">
        <f t="shared" si="1191"/>
        <v>8.2044621025845611E-4</v>
      </c>
      <c r="AT640" s="115"/>
      <c r="AU640" s="115"/>
      <c r="AV640" s="113">
        <f>IFERROR(INDEX('Total Customers'!$F$7:$AB$91,MATCH($C640,'Total Customers'!$D$7:$D$91,0),MATCH($G640,'Total Customers'!$F$5:$AB$5,0)),"NA")</f>
        <v>259089</v>
      </c>
      <c r="AW640" s="68">
        <f t="shared" si="1074"/>
        <v>4.8246377906561036E-3</v>
      </c>
      <c r="AX640" s="114"/>
      <c r="AY640" s="114"/>
      <c r="AZ640" s="116">
        <v>8403441</v>
      </c>
      <c r="BA640" s="116"/>
      <c r="BB640" s="166"/>
      <c r="BC640" s="166"/>
      <c r="BD640" s="166"/>
      <c r="BE640" s="166"/>
      <c r="BF640" s="166"/>
      <c r="BG640" s="166"/>
      <c r="BH640" s="166"/>
      <c r="BI640" s="113"/>
      <c r="BJ640" s="113"/>
      <c r="BK640" s="113">
        <f>INDEX('Dist. Plant Gas Additions'!$F$7:$AE$91,MATCH($C640,'Dist. Plant Gas Additions'!$D$7:$D$91,0),MATCH(Calculation!$G640,'Dist. Plant Gas Additions'!$F$5:$AE$5,0))</f>
        <v>20137</v>
      </c>
      <c r="BL640" s="113">
        <f>INDEX('Gen. Plant Additions'!$F$7:$AE$91,MATCH($C640,'Gen. Plant Additions'!$D$7:$D$91,0),MATCH(Calculation!$G640,'Gen. Plant Additions'!$F$5:$AE$5,0))</f>
        <v>8</v>
      </c>
      <c r="BM640" s="231">
        <f t="shared" si="1156"/>
        <v>0.96752631801462818</v>
      </c>
      <c r="BN640" s="61">
        <f>+BM640*BL640</f>
        <v>7.7402105441170255</v>
      </c>
      <c r="BO640" s="113">
        <f>INDEX('Dist Plant Depreciation'!$E$7:$AD$94,MATCH($C640,'Dist Plant Depreciation'!$D$7:$D$94,0),MATCH(Calculation!$G640,'Dist Plant Depreciation'!$E$5:$AD$5,0))</f>
        <v>248677</v>
      </c>
      <c r="BP640" s="113">
        <f>INDEX('Gen. Plant Depreciation'!$E$7:$AD$94,MATCH($C640,'Gen. Plant Depreciation'!$D$7:$D$94,0),MATCH(Calculation!$G640,'Gen. Plant Depreciation'!$E$5:$AD$5,0))</f>
        <v>12960</v>
      </c>
      <c r="BQ640" s="113"/>
      <c r="BR640" s="113"/>
      <c r="BS640" s="113"/>
      <c r="BT640" s="113"/>
      <c r="BU640" s="113"/>
      <c r="BV640" s="113"/>
      <c r="BW640" s="113">
        <f>INDEX('Gross Dx Plant'!$E$7:$AD$91,MATCH($C640,'Gross Dx Plant'!$D$7:$D$91,0),MATCH(Calculation!$G640,'Gross Dx Plant'!$E$5:$AD$5,0))</f>
        <v>686547</v>
      </c>
      <c r="BX640" s="113">
        <f>INDEX('Gross Gen Plant'!$E$7:$AD$91,MATCH($C640,'Gross Gen Plant'!$D$7:$D$91,0),MATCH(Calculation!$G640,'Gross Gen Plant'!$E$5:$AD$5,0))</f>
        <v>23043</v>
      </c>
      <c r="BY640" s="113">
        <f t="shared" si="1075"/>
        <v>447953</v>
      </c>
      <c r="BZ640" s="113"/>
      <c r="CA640" s="116">
        <v>2010</v>
      </c>
      <c r="CB640" s="113"/>
      <c r="CC640" s="113"/>
      <c r="CD640" s="113"/>
      <c r="CE640" s="175"/>
      <c r="CF640" s="113">
        <f t="shared" si="1157"/>
        <v>20145</v>
      </c>
      <c r="CG640" s="113">
        <f t="shared" si="1158"/>
        <v>35.404871103764116</v>
      </c>
      <c r="CH640" s="178">
        <v>0.9285714285714286</v>
      </c>
      <c r="CI640" s="61">
        <f>+CI628*CH640+CG629*CH639+CG630*CH638+CG631*CH637+CG632*CH636+CG633*CH635+CG634*CH634+CG635*CH633+CG636*CH632+CG637*CH631+CG638*CH630+CG639*CH629+CG640</f>
        <v>2286.2701493028239</v>
      </c>
      <c r="CJ640" s="114">
        <f t="shared" si="1159"/>
        <v>8.3275843340477589E-3</v>
      </c>
      <c r="CK640" s="114"/>
      <c r="CL640" s="169">
        <f t="shared" si="1160"/>
        <v>7.2530082822961951E-3</v>
      </c>
      <c r="CM640" s="169">
        <f t="shared" si="1169"/>
        <v>7.0011534624785767E-3</v>
      </c>
      <c r="CN640" s="114">
        <f>VLOOKUP($H640,RoR!$E:$F,2,FALSE)</f>
        <v>4.9433333333333322E-2</v>
      </c>
      <c r="CO640" s="169">
        <v>1.1684333519300205E-2</v>
      </c>
      <c r="CP640" s="169">
        <f t="shared" si="1167"/>
        <v>3.7748999814033117E-2</v>
      </c>
      <c r="CQ640" s="169">
        <f t="shared" si="1170"/>
        <v>2.3900788146055049E-2</v>
      </c>
      <c r="CR640" s="169">
        <f t="shared" si="1171"/>
        <v>4.7937530248493419E-2</v>
      </c>
      <c r="CS640" s="179">
        <f t="shared" si="1161"/>
        <v>0.85329623209999994</v>
      </c>
      <c r="CT640" s="180">
        <f t="shared" si="1162"/>
        <v>1.037398205301105</v>
      </c>
      <c r="CU640" s="180">
        <f t="shared" si="1163"/>
        <v>0.46926837491571133</v>
      </c>
      <c r="CV640" s="180">
        <f t="shared" si="1164"/>
        <v>0.8548537519972772</v>
      </c>
      <c r="CW640" s="180">
        <f t="shared" si="1165"/>
        <v>0.41615833911547367</v>
      </c>
      <c r="CX640" s="181">
        <f>INDEX('State Tax Lookup'!$D$7:$Z$91,MATCH(Calculation!$C640,'State Tax Lookup'!$B$7:$B$91,0),MATCH($H640,'State Tax Lookup'!$D$6:$Z$6,0))</f>
        <v>0.39649667</v>
      </c>
      <c r="CY640" s="72">
        <v>0.37</v>
      </c>
      <c r="CZ640" s="70">
        <f t="shared" si="1168"/>
        <v>19.160332475624035</v>
      </c>
      <c r="DA640" s="70">
        <v>17.956102603965455</v>
      </c>
      <c r="DB640" s="69">
        <f t="shared" si="1172"/>
        <v>2.3315318270711028E-2</v>
      </c>
      <c r="DC640" s="111">
        <f>VLOOKUP($H640,RoR!$E:$F,2,FALSE)</f>
        <v>4.9433333333333322E-2</v>
      </c>
      <c r="DD640" s="216">
        <f>HLOOKUP($H640,'GDP-PI'!$D$8:$CQ$11,3,FALSE)</f>
        <v>1.1684333519300205E-2</v>
      </c>
      <c r="DE640" s="111">
        <f>VLOOKUP(H640,'HW Dx Data'!$E:$F,2,FALSE)</f>
        <v>568.98950262971744</v>
      </c>
      <c r="DF640" s="72">
        <f t="shared" si="1182"/>
        <v>116.925</v>
      </c>
      <c r="DG640" s="69">
        <f t="shared" si="1183"/>
        <v>5.2678406346976722E-2</v>
      </c>
      <c r="DH640" s="66">
        <f>HLOOKUP(H640,'GDP-PI'!$8:$9,2,FALSE)</f>
        <v>96.108999999999995</v>
      </c>
      <c r="DI640" s="69">
        <f t="shared" si="1173"/>
        <v>1.1616598807150427E-2</v>
      </c>
      <c r="EB640"/>
    </row>
    <row r="641" spans="1:132" s="160" customFormat="1" ht="21">
      <c r="A641" s="160" t="s">
        <v>197</v>
      </c>
      <c r="B641" s="161" t="s">
        <v>197</v>
      </c>
      <c r="C641" s="161">
        <v>4004389</v>
      </c>
      <c r="D641" s="161" t="s">
        <v>171</v>
      </c>
      <c r="E641" s="161" t="s">
        <v>3</v>
      </c>
      <c r="F641" s="161"/>
      <c r="G641" s="161" t="s">
        <v>127</v>
      </c>
      <c r="H641" s="162">
        <v>2011</v>
      </c>
      <c r="I641" s="163"/>
      <c r="J641" s="159">
        <f>IFERROR(INDEX('Labor Expenditures'!$F$7:$X$91,MATCH($C641,'Labor Expenditures'!$D$7:$D$91,0),MATCH($G641,'Labor Expenditures'!$F$5:$X$5,0)),"NA")</f>
        <v>35834.166209675255</v>
      </c>
      <c r="K641" s="159">
        <f t="shared" si="1174"/>
        <v>296.45639056608275</v>
      </c>
      <c r="L641" s="165">
        <f t="shared" si="1180"/>
        <v>0.22069674061235134</v>
      </c>
      <c r="M641" s="76">
        <f t="shared" si="1184"/>
        <v>2.9061469682373458E-3</v>
      </c>
      <c r="N641" s="62">
        <f t="shared" si="1190"/>
        <v>117.63887034314814</v>
      </c>
      <c r="O641" s="96">
        <f t="shared" si="1185"/>
        <v>0.18418760949502055</v>
      </c>
      <c r="P641" s="96"/>
      <c r="Q641" s="159">
        <f>IFERROR(INDEX('Non-Labor Expenditures'!$F$7:$AB$91,MATCH($C641,'Non-Labor Expenditures'!$D$7:$D$91,0),MATCH($G641,'Non-Labor Expenditures'!$F$5:$AB$5,0)),"NA")</f>
        <v>51894.565570642619</v>
      </c>
      <c r="R641" s="159">
        <f t="shared" si="1175"/>
        <v>528.93188978557794</v>
      </c>
      <c r="S641" s="165">
        <f t="shared" si="1186"/>
        <v>0.23329427156101076</v>
      </c>
      <c r="T641" s="165">
        <f t="shared" si="1187"/>
        <v>3.0720319571689576E-3</v>
      </c>
      <c r="U641" s="165"/>
      <c r="V641" s="165"/>
      <c r="W641" s="159">
        <f t="shared" si="1155"/>
        <v>46664.662432338999</v>
      </c>
      <c r="X641" s="163"/>
      <c r="Y641" s="167">
        <v>2322.2156567231009</v>
      </c>
      <c r="Z641" s="168">
        <v>1.5600020443643021E-2</v>
      </c>
      <c r="AA641" s="76">
        <f t="shared" si="1176"/>
        <v>2.0542193777281612E-4</v>
      </c>
      <c r="AB641" s="168"/>
      <c r="AC641" s="168"/>
      <c r="AD641" s="163">
        <f t="shared" si="1166"/>
        <v>134393.39421265689</v>
      </c>
      <c r="AE641" s="168">
        <f t="shared" si="1188"/>
        <v>0.18676237954760402</v>
      </c>
      <c r="AF641" s="163"/>
      <c r="AG641" s="163"/>
      <c r="AH641" s="163"/>
      <c r="AI641" s="163"/>
      <c r="AJ641" s="116">
        <f t="shared" si="1189"/>
        <v>517.19804275812828</v>
      </c>
      <c r="AK641" s="114">
        <f>+AV641/$AX$16</f>
        <v>7.3109892398761827E-3</v>
      </c>
      <c r="AL641" s="115">
        <f t="shared" si="1177"/>
        <v>0.26663636572027638</v>
      </c>
      <c r="AM641" s="115">
        <f t="shared" si="1178"/>
        <v>0.38613925836657897</v>
      </c>
      <c r="AN641" s="115">
        <f t="shared" si="1179"/>
        <v>0.34722437591314453</v>
      </c>
      <c r="AO641" s="115">
        <f t="shared" si="1181"/>
        <v>0.14984055089633072</v>
      </c>
      <c r="AP641" s="166">
        <f t="shared" si="1192"/>
        <v>136.38971527444835</v>
      </c>
      <c r="AQ641" s="168">
        <f t="shared" si="1193"/>
        <v>0.1498405508963308</v>
      </c>
      <c r="AR641" s="69">
        <f>+AD641/$AF$16</f>
        <v>1.3168055677550422E-2</v>
      </c>
      <c r="AS641" s="169">
        <f t="shared" si="1191"/>
        <v>1.9731087169577118E-3</v>
      </c>
      <c r="AT641" s="115"/>
      <c r="AU641" s="115"/>
      <c r="AV641" s="113">
        <f>IFERROR(INDEX('Total Customers'!$F$7:$AB$91,MATCH($C641,'Total Customers'!$D$7:$D$91,0),MATCH($G641,'Total Customers'!$F$5:$AB$5,0)),"NA")</f>
        <v>259849</v>
      </c>
      <c r="AW641" s="68">
        <f t="shared" si="1074"/>
        <v>2.9290610568577903E-3</v>
      </c>
      <c r="AX641" s="114"/>
      <c r="AY641" s="114"/>
      <c r="AZ641" s="116">
        <v>8437841</v>
      </c>
      <c r="BA641" s="116"/>
      <c r="BB641" s="166"/>
      <c r="BC641" s="166"/>
      <c r="BD641" s="166"/>
      <c r="BE641" s="166"/>
      <c r="BF641" s="166"/>
      <c r="BG641" s="166"/>
      <c r="BH641" s="166"/>
      <c r="BI641" s="113"/>
      <c r="BJ641" s="113"/>
      <c r="BK641" s="113">
        <f>INDEX('Dist. Plant Gas Additions'!$F$7:$AE$91,MATCH($C641,'Dist. Plant Gas Additions'!$D$7:$D$91,0),MATCH(Calculation!$G641,'Dist. Plant Gas Additions'!$F$5:$AE$5,0))</f>
        <v>30900</v>
      </c>
      <c r="BL641" s="113">
        <f>INDEX('Gen. Plant Additions'!$F$7:$AE$91,MATCH($C641,'Gen. Plant Additions'!$D$7:$D$91,0),MATCH(Calculation!$G641,'Gen. Plant Additions'!$F$5:$AE$5,0))</f>
        <v>1610</v>
      </c>
      <c r="BM641" s="231">
        <f t="shared" si="1156"/>
        <v>0.97083186177293601</v>
      </c>
      <c r="BN641" s="61">
        <f t="shared" ref="BN641:BN657" si="1194">+BM641*BL641</f>
        <v>1563.039297454427</v>
      </c>
      <c r="BO641" s="113">
        <f>INDEX('Dist Plant Depreciation'!$E$7:$AD$94,MATCH($C641,'Dist Plant Depreciation'!$D$7:$D$94,0),MATCH(Calculation!$G641,'Dist Plant Depreciation'!$E$5:$AD$5,0))</f>
        <v>260806</v>
      </c>
      <c r="BP641" s="113">
        <f>INDEX('Gen. Plant Depreciation'!$E$7:$AD$94,MATCH($C641,'Gen. Plant Depreciation'!$D$7:$D$94,0),MATCH(Calculation!$G641,'Gen. Plant Depreciation'!$E$5:$AD$5,0))</f>
        <v>11237</v>
      </c>
      <c r="BQ641" s="113"/>
      <c r="BR641" s="113"/>
      <c r="BS641" s="113"/>
      <c r="BT641" s="113"/>
      <c r="BU641" s="113"/>
      <c r="BV641" s="113"/>
      <c r="BW641" s="113">
        <f>INDEX('Gross Dx Plant'!$E$7:$AD$91,MATCH($C641,'Gross Dx Plant'!$D$7:$D$91,0),MATCH(Calculation!$G641,'Gross Dx Plant'!$E$5:$AD$5,0))</f>
        <v>714707</v>
      </c>
      <c r="BX641" s="113">
        <f>INDEX('Gross Gen Plant'!$E$7:$AD$91,MATCH($C641,'Gross Gen Plant'!$D$7:$D$91,0),MATCH(Calculation!$G641,'Gross Gen Plant'!$E$5:$AD$5,0))</f>
        <v>21473</v>
      </c>
      <c r="BY641" s="113">
        <f t="shared" si="1075"/>
        <v>464137</v>
      </c>
      <c r="BZ641" s="113"/>
      <c r="CA641" s="116">
        <v>2011</v>
      </c>
      <c r="CB641" s="113"/>
      <c r="CC641" s="113"/>
      <c r="CD641" s="113"/>
      <c r="CE641" s="175"/>
      <c r="CF641" s="113">
        <f t="shared" si="1157"/>
        <v>32510</v>
      </c>
      <c r="CG641" s="113">
        <f t="shared" si="1158"/>
        <v>53.154692918571413</v>
      </c>
      <c r="CH641" s="178">
        <v>0.92121212121212126</v>
      </c>
      <c r="CI641" s="61">
        <f>+CI628*CH641+CG629*CH640+CG630*CH639+CG631*CH638+CG632*CH637+CG633*CH636+CG634*CH635+CG635*CH634+CG636*CH633+CG637*CH632+CG638*CH631+CG639*CH630+CG640*CH629+CG641</f>
        <v>2322.2156567231009</v>
      </c>
      <c r="CJ641" s="114">
        <f t="shared" si="1159"/>
        <v>1.5600020443643021E-2</v>
      </c>
      <c r="CK641" s="114"/>
      <c r="CL641" s="169">
        <f t="shared" si="1160"/>
        <v>7.5271881162172526E-3</v>
      </c>
      <c r="CM641" s="169">
        <f t="shared" si="1169"/>
        <v>7.2584918715926788E-3</v>
      </c>
      <c r="CN641" s="114">
        <f>VLOOKUP($H641,RoR!$E:$F,2,FALSE)</f>
        <v>4.6391666666666664E-2</v>
      </c>
      <c r="CO641" s="169">
        <v>2.0840920205183799E-2</v>
      </c>
      <c r="CP641" s="169">
        <f t="shared" si="1167"/>
        <v>2.5550746461482865E-2</v>
      </c>
      <c r="CQ641" s="169">
        <f t="shared" si="1170"/>
        <v>2.3643449736940946E-2</v>
      </c>
      <c r="CR641" s="169">
        <f t="shared" si="1171"/>
        <v>2.4810540821321614E-2</v>
      </c>
      <c r="CS641" s="179">
        <f t="shared" si="1161"/>
        <v>0.85329623209999994</v>
      </c>
      <c r="CT641" s="180">
        <f t="shared" si="1162"/>
        <v>1.1054151524782025</v>
      </c>
      <c r="CU641" s="180">
        <f t="shared" si="1163"/>
        <v>0.43611011316687626</v>
      </c>
      <c r="CV641" s="180">
        <f t="shared" si="1164"/>
        <v>0.83698442246886229</v>
      </c>
      <c r="CW641" s="180">
        <f t="shared" si="1165"/>
        <v>0.40349573304423936</v>
      </c>
      <c r="CX641" s="181">
        <f>INDEX('State Tax Lookup'!$D$7:$Z$91,MATCH(Calculation!$C641,'State Tax Lookup'!$B$7:$B$91,0),MATCH($H641,'State Tax Lookup'!$D$6:$Z$6,0))</f>
        <v>0.39649667</v>
      </c>
      <c r="CY641" s="72">
        <v>0.37</v>
      </c>
      <c r="CZ641" s="70">
        <f t="shared" si="1168"/>
        <v>20.410826098818173</v>
      </c>
      <c r="DA641" s="70">
        <v>19.146574949201604</v>
      </c>
      <c r="DB641" s="69">
        <f t="shared" si="1172"/>
        <v>6.322332621983616E-2</v>
      </c>
      <c r="DC641" s="111">
        <f>VLOOKUP($H641,RoR!$E:$F,2,FALSE)</f>
        <v>4.6391666666666664E-2</v>
      </c>
      <c r="DD641" s="216">
        <f>HLOOKUP($H641,'GDP-PI'!$D$8:$CQ$11,3,FALSE)</f>
        <v>2.0840920205183799E-2</v>
      </c>
      <c r="DE641" s="111">
        <f>VLOOKUP(H641,'HW Dx Data'!$E:$F,2,FALSE)</f>
        <v>611.61109612283201</v>
      </c>
      <c r="DF641" s="72">
        <f t="shared" si="1182"/>
        <v>120.875</v>
      </c>
      <c r="DG641" s="69">
        <f t="shared" si="1183"/>
        <v>3.3224250161508609E-2</v>
      </c>
      <c r="DH641" s="66">
        <f>HLOOKUP(H641,'GDP-PI'!$8:$9,2,FALSE)</f>
        <v>98.111999999999995</v>
      </c>
      <c r="DI641" s="69">
        <f t="shared" si="1173"/>
        <v>2.0626719212849295E-2</v>
      </c>
      <c r="EB641"/>
    </row>
    <row r="642" spans="1:132" s="160" customFormat="1" ht="21">
      <c r="A642" s="160" t="s">
        <v>197</v>
      </c>
      <c r="B642" s="161" t="s">
        <v>197</v>
      </c>
      <c r="C642" s="161">
        <v>4004389</v>
      </c>
      <c r="D642" s="161" t="s">
        <v>171</v>
      </c>
      <c r="E642" s="161" t="s">
        <v>3</v>
      </c>
      <c r="F642" s="161"/>
      <c r="G642" s="161" t="s">
        <v>128</v>
      </c>
      <c r="H642" s="162">
        <v>2012</v>
      </c>
      <c r="I642" s="163"/>
      <c r="J642" s="159">
        <f>IFERROR(INDEX('Labor Expenditures'!$F$7:$X$91,MATCH($C642,'Labor Expenditures'!$D$7:$D$91,0),MATCH($G642,'Labor Expenditures'!$F$5:$X$5,0)),"NA")</f>
        <v>33777.018674359446</v>
      </c>
      <c r="K642" s="159">
        <f t="shared" si="1174"/>
        <v>270.64918809582889</v>
      </c>
      <c r="L642" s="165">
        <f t="shared" si="1180"/>
        <v>-9.1076653491058965E-2</v>
      </c>
      <c r="M642" s="76">
        <f t="shared" si="1184"/>
        <v>-1.1396553594974353E-3</v>
      </c>
      <c r="N642" s="62">
        <f t="shared" si="1190"/>
        <v>116.71464996536187</v>
      </c>
      <c r="O642" s="96">
        <f t="shared" si="1185"/>
        <v>-7.8874443022148959E-3</v>
      </c>
      <c r="P642" s="96"/>
      <c r="Q642" s="159">
        <f>IFERROR(INDEX('Non-Labor Expenditures'!$F$7:$AB$91,MATCH($C642,'Non-Labor Expenditures'!$D$7:$D$91,0),MATCH($G642,'Non-Labor Expenditures'!$F$5:$AB$5,0)),"NA")</f>
        <v>48915.431717345149</v>
      </c>
      <c r="R642" s="159">
        <f t="shared" si="1175"/>
        <v>489.15431717345149</v>
      </c>
      <c r="S642" s="165">
        <f t="shared" si="1186"/>
        <v>-7.8181654067932538E-2</v>
      </c>
      <c r="T642" s="165">
        <f t="shared" si="1187"/>
        <v>-9.7829836360468353E-4</v>
      </c>
      <c r="U642" s="165"/>
      <c r="V642" s="165"/>
      <c r="W642" s="159">
        <f t="shared" si="1155"/>
        <v>51123.529792885929</v>
      </c>
      <c r="X642" s="163"/>
      <c r="Y642" s="167">
        <v>2359.6326838166897</v>
      </c>
      <c r="Z642" s="168">
        <v>1.5984210091296577E-2</v>
      </c>
      <c r="AA642" s="76">
        <f t="shared" si="1176"/>
        <v>2.0001273652053381E-4</v>
      </c>
      <c r="AB642" s="168"/>
      <c r="AC642" s="168"/>
      <c r="AD642" s="163">
        <f t="shared" si="1166"/>
        <v>133815.98018459053</v>
      </c>
      <c r="AE642" s="168">
        <f t="shared" si="1188"/>
        <v>-4.3057027475190968E-3</v>
      </c>
      <c r="AF642" s="163"/>
      <c r="AG642" s="163"/>
      <c r="AH642" s="163"/>
      <c r="AI642" s="163"/>
      <c r="AJ642" s="116">
        <f t="shared" si="1189"/>
        <v>514.38799821865621</v>
      </c>
      <c r="AK642" s="114">
        <f>+AV642/$AX$17</f>
        <v>7.2842688538271028E-3</v>
      </c>
      <c r="AL642" s="115">
        <f t="shared" si="1177"/>
        <v>0.2524139391107566</v>
      </c>
      <c r="AM642" s="115">
        <f t="shared" si="1178"/>
        <v>0.36554252825312389</v>
      </c>
      <c r="AN642" s="115">
        <f t="shared" si="1179"/>
        <v>0.38204353263611945</v>
      </c>
      <c r="AO642" s="115">
        <f t="shared" si="1181"/>
        <v>-4.7192159352549855E-2</v>
      </c>
      <c r="AP642" s="166">
        <f t="shared" si="1192"/>
        <v>130.10270565041819</v>
      </c>
      <c r="AQ642" s="168">
        <f t="shared" si="1193"/>
        <v>-4.7192159352549855E-2</v>
      </c>
      <c r="AR642" s="69">
        <f>+AD642/$AF$17</f>
        <v>1.2513144870977454E-2</v>
      </c>
      <c r="AS642" s="169">
        <f t="shared" si="1191"/>
        <v>-5.9052232675270986E-4</v>
      </c>
      <c r="AT642" s="115"/>
      <c r="AU642" s="115"/>
      <c r="AV642" s="113">
        <f>IFERROR(INDEX('Total Customers'!$F$7:$AB$91,MATCH($C642,'Total Customers'!$D$7:$D$91,0),MATCH($G642,'Total Customers'!$F$5:$AB$5,0)),"NA")</f>
        <v>260146</v>
      </c>
      <c r="AW642" s="68">
        <f t="shared" si="1074"/>
        <v>1.142318800357934E-3</v>
      </c>
      <c r="AX642" s="114"/>
      <c r="AY642" s="114"/>
      <c r="AZ642" s="116">
        <v>8485072</v>
      </c>
      <c r="BA642" s="116"/>
      <c r="BB642" s="166"/>
      <c r="BC642" s="166"/>
      <c r="BD642" s="166"/>
      <c r="BE642" s="166"/>
      <c r="BF642" s="166"/>
      <c r="BG642" s="166"/>
      <c r="BH642" s="166"/>
      <c r="BI642" s="113"/>
      <c r="BJ642" s="113"/>
      <c r="BK642" s="113">
        <f>INDEX('Dist. Plant Gas Additions'!$F$7:$AE$91,MATCH($C642,'Dist. Plant Gas Additions'!$D$7:$D$91,0),MATCH(Calculation!$G642,'Dist. Plant Gas Additions'!$F$5:$AE$5,0))</f>
        <v>35356</v>
      </c>
      <c r="BL642" s="113">
        <f>INDEX('Gen. Plant Additions'!$F$7:$AE$91,MATCH($C642,'Gen. Plant Additions'!$D$7:$D$91,0),MATCH(Calculation!$G642,'Gen. Plant Additions'!$F$5:$AE$5,0))</f>
        <v>1780</v>
      </c>
      <c r="BM642" s="231">
        <f t="shared" si="1156"/>
        <v>0.96988914728984144</v>
      </c>
      <c r="BN642" s="61">
        <f t="shared" si="1194"/>
        <v>1726.4026821759178</v>
      </c>
      <c r="BO642" s="113">
        <f>INDEX('Dist Plant Depreciation'!$E$7:$AD$94,MATCH($C642,'Dist Plant Depreciation'!$D$7:$D$94,0),MATCH(Calculation!$G642,'Dist Plant Depreciation'!$E$5:$AD$5,0))</f>
        <v>272699</v>
      </c>
      <c r="BP642" s="113">
        <f>INDEX('Gen. Plant Depreciation'!$E$7:$AD$94,MATCH($C642,'Gen. Plant Depreciation'!$D$7:$D$94,0),MATCH(Calculation!$G642,'Gen. Plant Depreciation'!$E$5:$AD$5,0))</f>
        <v>12438</v>
      </c>
      <c r="BQ642" s="113"/>
      <c r="BR642" s="113"/>
      <c r="BS642" s="113"/>
      <c r="BT642" s="113"/>
      <c r="BU642" s="113"/>
      <c r="BV642" s="113"/>
      <c r="BW642" s="113">
        <f>INDEX('Gross Dx Plant'!$E$7:$AD$91,MATCH($C642,'Gross Dx Plant'!$D$7:$D$91,0),MATCH(Calculation!$G642,'Gross Dx Plant'!$E$5:$AD$5,0))</f>
        <v>746932</v>
      </c>
      <c r="BX642" s="113">
        <f>INDEX('Gross Gen Plant'!$E$7:$AD$91,MATCH($C642,'Gross Gen Plant'!$D$7:$D$91,0),MATCH(Calculation!$G642,'Gross Gen Plant'!$E$5:$AD$5,0))</f>
        <v>23189</v>
      </c>
      <c r="BY642" s="113">
        <f t="shared" si="1075"/>
        <v>484984</v>
      </c>
      <c r="BZ642" s="113"/>
      <c r="CA642" s="116">
        <v>2012</v>
      </c>
      <c r="CB642" s="113"/>
      <c r="CC642" s="113"/>
      <c r="CD642" s="113"/>
      <c r="CE642" s="175"/>
      <c r="CF642" s="113">
        <f t="shared" si="1157"/>
        <v>37136</v>
      </c>
      <c r="CG642" s="113">
        <f t="shared" si="1158"/>
        <v>55.516410981693319</v>
      </c>
      <c r="CH642" s="178">
        <v>0.9135802469135802</v>
      </c>
      <c r="CI642" s="61">
        <f>+CI628*CH642+CG629*CH641+CG630*CH640+CG631*CH639+CG632*CH638+CG633*CH637+CG634*CH636+CG635*CH635+CG636*CH634+CG637*CH633+CG638*CH632+CG639*CH631+CG640*CH630+CG641*CH629+CG642</f>
        <v>2359.6326838166897</v>
      </c>
      <c r="CJ642" s="114">
        <f t="shared" si="1159"/>
        <v>1.5984210091296577E-2</v>
      </c>
      <c r="CK642" s="114"/>
      <c r="CL642" s="169">
        <f t="shared" si="1160"/>
        <v>7.7940150974801087E-3</v>
      </c>
      <c r="CM642" s="169">
        <f t="shared" si="1169"/>
        <v>7.5247371653311855E-3</v>
      </c>
      <c r="CN642" s="114">
        <f>VLOOKUP($H642,RoR!$E:$F,2,FALSE)</f>
        <v>3.6733333333333333E-2</v>
      </c>
      <c r="CO642" s="169">
        <v>1.924331376386168E-2</v>
      </c>
      <c r="CP642" s="169">
        <f t="shared" si="1167"/>
        <v>1.7490019569471653E-2</v>
      </c>
      <c r="CQ642" s="169">
        <f t="shared" si="1170"/>
        <v>2.3377204443202439E-2</v>
      </c>
      <c r="CR642" s="169">
        <f t="shared" si="1171"/>
        <v>6.7122682943869583E-2</v>
      </c>
      <c r="CS642" s="179">
        <f t="shared" si="1161"/>
        <v>0.85329623209999994</v>
      </c>
      <c r="CT642" s="180">
        <f t="shared" si="1162"/>
        <v>1.3960631020522127</v>
      </c>
      <c r="CU642" s="180">
        <f t="shared" si="1163"/>
        <v>0.29441923774954631</v>
      </c>
      <c r="CV642" s="180">
        <f t="shared" si="1164"/>
        <v>0.76377954189366437</v>
      </c>
      <c r="CW642" s="180">
        <f t="shared" si="1165"/>
        <v>0.31393465103033691</v>
      </c>
      <c r="CX642" s="181">
        <f>INDEX('State Tax Lookup'!$D$7:$Z$91,MATCH(Calculation!$C642,'State Tax Lookup'!$B$7:$B$91,0),MATCH($H642,'State Tax Lookup'!$D$6:$Z$6,0))</f>
        <v>0.39649667</v>
      </c>
      <c r="CY642" s="72">
        <v>0.37</v>
      </c>
      <c r="CZ642" s="70">
        <f t="shared" si="1168"/>
        <v>22.014979377508286</v>
      </c>
      <c r="DA642" s="70">
        <v>20.759737328210988</v>
      </c>
      <c r="DB642" s="69">
        <f t="shared" si="1172"/>
        <v>7.5657651258005443E-2</v>
      </c>
      <c r="DC642" s="111">
        <f>VLOOKUP($H642,RoR!$E:$F,2,FALSE)</f>
        <v>3.6733333333333333E-2</v>
      </c>
      <c r="DD642" s="216">
        <f>HLOOKUP($H642,'GDP-PI'!$D$8:$CQ$11,3,FALSE)</f>
        <v>1.924331376386168E-2</v>
      </c>
      <c r="DE642" s="111">
        <f>VLOOKUP(H642,'HW Dx Data'!$E:$F,2,FALSE)</f>
        <v>668.91932211262167</v>
      </c>
      <c r="DF642" s="72">
        <f t="shared" si="1182"/>
        <v>124.80000000000001</v>
      </c>
      <c r="DG642" s="69">
        <f t="shared" si="1183"/>
        <v>3.1955502161869064E-2</v>
      </c>
      <c r="DH642" s="66">
        <f>HLOOKUP(H642,'GDP-PI'!$8:$9,2,FALSE)</f>
        <v>100</v>
      </c>
      <c r="DI642" s="69">
        <f t="shared" si="1173"/>
        <v>1.9060502738742411E-2</v>
      </c>
      <c r="EB642"/>
    </row>
    <row r="643" spans="1:132" s="160" customFormat="1" ht="21">
      <c r="A643" s="160" t="s">
        <v>197</v>
      </c>
      <c r="B643" s="161" t="s">
        <v>197</v>
      </c>
      <c r="C643" s="161">
        <v>4004389</v>
      </c>
      <c r="D643" s="161" t="s">
        <v>171</v>
      </c>
      <c r="E643" s="161" t="s">
        <v>3</v>
      </c>
      <c r="F643" s="161"/>
      <c r="G643" s="161" t="s">
        <v>129</v>
      </c>
      <c r="H643" s="162">
        <v>2013</v>
      </c>
      <c r="I643" s="163"/>
      <c r="J643" s="159">
        <f>IFERROR(INDEX('Labor Expenditures'!$F$7:$X$91,MATCH($C643,'Labor Expenditures'!$D$7:$D$91,0),MATCH($G643,'Labor Expenditures'!$F$5:$X$5,0)),"NA")</f>
        <v>34781.393269766566</v>
      </c>
      <c r="K643" s="159">
        <f t="shared" si="1174"/>
        <v>274.30120875210224</v>
      </c>
      <c r="L643" s="165">
        <f t="shared" si="1180"/>
        <v>1.3403331205223263E-2</v>
      </c>
      <c r="M643" s="76">
        <f t="shared" si="1184"/>
        <v>1.6447038682490357E-4</v>
      </c>
      <c r="N643" s="62">
        <f t="shared" si="1190"/>
        <v>108.83376318809664</v>
      </c>
      <c r="O643" s="96">
        <f t="shared" si="1185"/>
        <v>-6.9910456976578383E-2</v>
      </c>
      <c r="P643" s="96"/>
      <c r="Q643" s="159">
        <f>IFERROR(INDEX('Non-Labor Expenditures'!$F$7:$AB$91,MATCH($C643,'Non-Labor Expenditures'!$D$7:$D$91,0),MATCH($G643,'Non-Labor Expenditures'!$F$5:$AB$5,0)),"NA")</f>
        <v>50369.95372279283</v>
      </c>
      <c r="R643" s="159">
        <f t="shared" si="1175"/>
        <v>494.92452539271545</v>
      </c>
      <c r="S643" s="165">
        <f t="shared" si="1186"/>
        <v>1.1727260256510988E-2</v>
      </c>
      <c r="T643" s="165">
        <f t="shared" si="1187"/>
        <v>1.4390355660487102E-4</v>
      </c>
      <c r="U643" s="165"/>
      <c r="V643" s="165"/>
      <c r="W643" s="159">
        <f t="shared" si="1155"/>
        <v>50947.61498381602</v>
      </c>
      <c r="X643" s="163"/>
      <c r="Y643" s="167">
        <v>2393.1103095480726</v>
      </c>
      <c r="Z643" s="168">
        <v>1.4087940150974866E-2</v>
      </c>
      <c r="AA643" s="76">
        <f t="shared" si="1176"/>
        <v>1.7287112664156023E-4</v>
      </c>
      <c r="AB643" s="168"/>
      <c r="AC643" s="168"/>
      <c r="AD643" s="163">
        <f t="shared" si="1166"/>
        <v>136098.96197637543</v>
      </c>
      <c r="AE643" s="168">
        <f t="shared" si="1188"/>
        <v>1.6916708779539043E-2</v>
      </c>
      <c r="AF643" s="163"/>
      <c r="AG643" s="163"/>
      <c r="AH643" s="163"/>
      <c r="AI643" s="163"/>
      <c r="AJ643" s="116">
        <f t="shared" si="1189"/>
        <v>520.23210699958497</v>
      </c>
      <c r="AK643" s="114">
        <f>+AV643/$AX$18</f>
        <v>7.2786312527418819E-3</v>
      </c>
      <c r="AL643" s="115">
        <f t="shared" si="1177"/>
        <v>0.25555957785926431</v>
      </c>
      <c r="AM643" s="115">
        <f t="shared" si="1178"/>
        <v>0.3700980006852384</v>
      </c>
      <c r="AN643" s="115">
        <f t="shared" si="1179"/>
        <v>0.37434242145549718</v>
      </c>
      <c r="AO643" s="115">
        <f t="shared" si="1181"/>
        <v>1.3045752640904792E-2</v>
      </c>
      <c r="AP643" s="166">
        <f t="shared" si="1192"/>
        <v>131.81111286556214</v>
      </c>
      <c r="AQ643" s="168">
        <f t="shared" si="1193"/>
        <v>1.3045752640904794E-2</v>
      </c>
      <c r="AR643" s="69">
        <f>+AD643/$AF$18</f>
        <v>1.2270858960853675E-2</v>
      </c>
      <c r="AS643" s="169">
        <f t="shared" si="1191"/>
        <v>1.6008259069472708E-4</v>
      </c>
      <c r="AT643" s="115"/>
      <c r="AU643" s="115"/>
      <c r="AV643" s="113">
        <f>IFERROR(INDEX('Total Customers'!$F$7:$AB$91,MATCH($C643,'Total Customers'!$D$7:$D$91,0),MATCH($G643,'Total Customers'!$F$5:$AB$5,0)),"NA")</f>
        <v>261612</v>
      </c>
      <c r="AW643" s="68">
        <f t="shared" si="1074"/>
        <v>5.61947821726689E-3</v>
      </c>
      <c r="AX643" s="114"/>
      <c r="AY643" s="114"/>
      <c r="AZ643" s="116">
        <v>8534921</v>
      </c>
      <c r="BA643" s="116"/>
      <c r="BB643" s="166"/>
      <c r="BC643" s="166"/>
      <c r="BD643" s="166"/>
      <c r="BE643" s="166"/>
      <c r="BF643" s="166"/>
      <c r="BG643" s="166"/>
      <c r="BH643" s="166"/>
      <c r="BI643" s="113"/>
      <c r="BJ643" s="113"/>
      <c r="BK643" s="113">
        <f>INDEX('Dist. Plant Gas Additions'!$F$7:$AE$91,MATCH($C643,'Dist. Plant Gas Additions'!$D$7:$D$91,0),MATCH(Calculation!$G643,'Dist. Plant Gas Additions'!$F$5:$AE$5,0))</f>
        <v>33014</v>
      </c>
      <c r="BL643" s="113">
        <f>INDEX('Gen. Plant Additions'!$F$7:$AE$91,MATCH($C643,'Gen. Plant Additions'!$D$7:$D$91,0),MATCH(Calculation!$G643,'Gen. Plant Additions'!$F$5:$AE$5,0))</f>
        <v>1821</v>
      </c>
      <c r="BM643" s="231">
        <f t="shared" si="1156"/>
        <v>0.96886556840151628</v>
      </c>
      <c r="BN643" s="61">
        <f t="shared" si="1194"/>
        <v>1764.3042000591611</v>
      </c>
      <c r="BO643" s="113">
        <f>INDEX('Dist Plant Depreciation'!$E$7:$AD$94,MATCH($C643,'Dist Plant Depreciation'!$D$7:$D$94,0),MATCH(Calculation!$G643,'Dist Plant Depreciation'!$E$5:$AD$5,0))</f>
        <v>283876</v>
      </c>
      <c r="BP643" s="113">
        <f>INDEX('Gen. Plant Depreciation'!$E$7:$AD$94,MATCH($C643,'Gen. Plant Depreciation'!$D$7:$D$94,0),MATCH(Calculation!$G643,'Gen. Plant Depreciation'!$E$5:$AD$5,0))</f>
        <v>13684</v>
      </c>
      <c r="BQ643" s="113"/>
      <c r="BR643" s="113"/>
      <c r="BS643" s="113"/>
      <c r="BT643" s="113"/>
      <c r="BU643" s="113"/>
      <c r="BV643" s="113"/>
      <c r="BW643" s="113">
        <f>INDEX('Gross Dx Plant'!$E$7:$AD$91,MATCH($C643,'Gross Dx Plant'!$D$7:$D$91,0),MATCH(Calculation!$G643,'Gross Dx Plant'!$E$5:$AD$5,0))</f>
        <v>776258</v>
      </c>
      <c r="BX643" s="113">
        <f>INDEX('Gross Gen Plant'!$E$7:$AD$91,MATCH($C643,'Gross Gen Plant'!$D$7:$D$91,0),MATCH(Calculation!$G643,'Gross Gen Plant'!$E$5:$AD$5,0))</f>
        <v>24945</v>
      </c>
      <c r="BY643" s="113">
        <f t="shared" si="1075"/>
        <v>503643</v>
      </c>
      <c r="BZ643" s="113"/>
      <c r="CA643" s="116">
        <v>2013</v>
      </c>
      <c r="CB643" s="113"/>
      <c r="CC643" s="113"/>
      <c r="CD643" s="113"/>
      <c r="CE643" s="175"/>
      <c r="CF643" s="113">
        <f t="shared" si="1157"/>
        <v>34835</v>
      </c>
      <c r="CG643" s="113">
        <f t="shared" si="1158"/>
        <v>52.521799844144553</v>
      </c>
      <c r="CH643" s="178">
        <v>0.90566037735849059</v>
      </c>
      <c r="CI643" s="61">
        <f>+CI628*CH643+CG629*CH642+CG630*CH641+CG631*CH640+CG632*CH639+CG633*CH638+CG634*CH637+CG635*CH636+CG636*CH635+CG637*CH634+CG638*CH633+CG639*CH632+CG640*CH631+CG641*CH630+CG642*CH629+CG643</f>
        <v>2393.1103095480726</v>
      </c>
      <c r="CJ643" s="114">
        <f t="shared" si="1159"/>
        <v>1.4087940150974866E-2</v>
      </c>
      <c r="CK643" s="114"/>
      <c r="CL643" s="169">
        <f t="shared" si="1160"/>
        <v>8.0708214644483762E-3</v>
      </c>
      <c r="CM643" s="169">
        <f t="shared" si="1169"/>
        <v>7.7973415593819116E-3</v>
      </c>
      <c r="CN643" s="114">
        <f>VLOOKUP($H643,RoR!$E:$F,2,FALSE)</f>
        <v>4.2350000000000006E-2</v>
      </c>
      <c r="CO643" s="169">
        <v>1.7730000000000024E-2</v>
      </c>
      <c r="CP643" s="169">
        <f t="shared" si="1167"/>
        <v>2.4619999999999982E-2</v>
      </c>
      <c r="CQ643" s="169">
        <f t="shared" si="1170"/>
        <v>2.3104600049151713E-2</v>
      </c>
      <c r="CR643" s="169">
        <f t="shared" si="1171"/>
        <v>5.3376742735721204E-2</v>
      </c>
      <c r="CS643" s="179">
        <f t="shared" si="1161"/>
        <v>0.85329623209999994</v>
      </c>
      <c r="CT643" s="180">
        <f t="shared" si="1162"/>
        <v>1.2109103018193925</v>
      </c>
      <c r="CU643" s="180">
        <f t="shared" si="1163"/>
        <v>0.38468122786304604</v>
      </c>
      <c r="CV643" s="180">
        <f t="shared" si="1164"/>
        <v>0.80969194503422559</v>
      </c>
      <c r="CW643" s="180">
        <f t="shared" si="1165"/>
        <v>0.37716621754800816</v>
      </c>
      <c r="CX643" s="181">
        <f>INDEX('State Tax Lookup'!$D$7:$Z$91,MATCH(Calculation!$C643,'State Tax Lookup'!$B$7:$B$91,0),MATCH($H643,'State Tax Lookup'!$D$6:$Z$6,0))</f>
        <v>0.39649667</v>
      </c>
      <c r="CY643" s="72">
        <v>0.37</v>
      </c>
      <c r="CZ643" s="70">
        <f t="shared" si="1168"/>
        <v>21.591332978745065</v>
      </c>
      <c r="DA643" s="70">
        <v>20.339519021246105</v>
      </c>
      <c r="DB643" s="69">
        <f t="shared" si="1172"/>
        <v>-1.9431119276604899E-2</v>
      </c>
      <c r="DC643" s="111">
        <f>VLOOKUP($H643,RoR!$E:$F,2,FALSE)</f>
        <v>4.2350000000000006E-2</v>
      </c>
      <c r="DD643" s="216">
        <f>HLOOKUP($H643,'GDP-PI'!$D$8:$CQ$11,3,FALSE)</f>
        <v>1.7730000000000024E-2</v>
      </c>
      <c r="DE643" s="111">
        <f>VLOOKUP(H643,'HW Dx Data'!$E:$F,2,FALSE)</f>
        <v>663.24840548821396</v>
      </c>
      <c r="DF643" s="72">
        <f t="shared" si="1182"/>
        <v>126.8</v>
      </c>
      <c r="DG643" s="69">
        <f t="shared" si="1183"/>
        <v>1.5898586067798204E-2</v>
      </c>
      <c r="DH643" s="66">
        <f>HLOOKUP(H643,'GDP-PI'!$8:$9,2,FALSE)</f>
        <v>101.773</v>
      </c>
      <c r="DI643" s="69">
        <f t="shared" si="1173"/>
        <v>1.7574657016510519E-2</v>
      </c>
      <c r="EB643"/>
    </row>
    <row r="644" spans="1:132" s="160" customFormat="1" ht="21">
      <c r="A644" s="160" t="s">
        <v>197</v>
      </c>
      <c r="B644" s="161" t="s">
        <v>197</v>
      </c>
      <c r="C644" s="161">
        <v>4004389</v>
      </c>
      <c r="D644" s="161" t="s">
        <v>171</v>
      </c>
      <c r="E644" s="161" t="s">
        <v>3</v>
      </c>
      <c r="F644" s="161"/>
      <c r="G644" s="161" t="s">
        <v>130</v>
      </c>
      <c r="H644" s="162">
        <v>2014</v>
      </c>
      <c r="I644" s="163"/>
      <c r="J644" s="159">
        <f>IFERROR(INDEX('Labor Expenditures'!$F$7:$X$91,MATCH($C644,'Labor Expenditures'!$D$7:$D$91,0),MATCH($G644,'Labor Expenditures'!$F$5:$X$5,0)),"NA")</f>
        <v>32932.47249775564</v>
      </c>
      <c r="K644" s="159">
        <f t="shared" si="1174"/>
        <v>254.50133305838978</v>
      </c>
      <c r="L644" s="165">
        <f t="shared" si="1180"/>
        <v>-7.4920730685729353E-2</v>
      </c>
      <c r="M644" s="76">
        <f t="shared" si="1184"/>
        <v>-8.775846190407382E-4</v>
      </c>
      <c r="N644" s="62">
        <f t="shared" si="1190"/>
        <v>120.78059386221095</v>
      </c>
      <c r="O644" s="96">
        <f t="shared" si="1185"/>
        <v>0.1041540160581326</v>
      </c>
      <c r="P644" s="96"/>
      <c r="Q644" s="159">
        <f>IFERROR(INDEX('Non-Labor Expenditures'!$F$7:$AB$91,MATCH($C644,'Non-Labor Expenditures'!$D$7:$D$91,0),MATCH($G644,'Non-Labor Expenditures'!$F$5:$AB$5,0)),"NA")</f>
        <v>47692.371114155547</v>
      </c>
      <c r="R644" s="159">
        <f t="shared" si="1175"/>
        <v>460.14232070542846</v>
      </c>
      <c r="S644" s="165">
        <f t="shared" si="1186"/>
        <v>-7.2869442520310648E-2</v>
      </c>
      <c r="T644" s="165">
        <f t="shared" si="1187"/>
        <v>-8.5355683758805891E-4</v>
      </c>
      <c r="U644" s="165"/>
      <c r="V644" s="165"/>
      <c r="W644" s="159">
        <f t="shared" si="1155"/>
        <v>52730.421541900214</v>
      </c>
      <c r="X644" s="163"/>
      <c r="Y644" s="167">
        <v>2465.4287510489012</v>
      </c>
      <c r="Z644" s="168">
        <v>2.9771823262025654E-2</v>
      </c>
      <c r="AA644" s="76">
        <f t="shared" si="1176"/>
        <v>3.4873250616240467E-4</v>
      </c>
      <c r="AB644" s="168"/>
      <c r="AC644" s="168"/>
      <c r="AD644" s="163">
        <f t="shared" si="1166"/>
        <v>133355.2651538114</v>
      </c>
      <c r="AE644" s="168">
        <f t="shared" si="1188"/>
        <v>-2.0365549143029894E-2</v>
      </c>
      <c r="AF644" s="163"/>
      <c r="AG644" s="163"/>
      <c r="AH644" s="163"/>
      <c r="AI644" s="163"/>
      <c r="AJ644" s="116">
        <f t="shared" si="1189"/>
        <v>507.69320001146463</v>
      </c>
      <c r="AK644" s="114">
        <f>+AV644/$AX$19</f>
        <v>7.2689873163755267E-3</v>
      </c>
      <c r="AL644" s="115">
        <f t="shared" si="1177"/>
        <v>0.24695292277940031</v>
      </c>
      <c r="AM644" s="115">
        <f t="shared" si="1178"/>
        <v>0.35763395662816438</v>
      </c>
      <c r="AN644" s="115">
        <f t="shared" si="1179"/>
        <v>0.39541312059243533</v>
      </c>
      <c r="AO644" s="115">
        <f t="shared" si="1181"/>
        <v>-3.3880499903694072E-2</v>
      </c>
      <c r="AP644" s="166">
        <f t="shared" si="1192"/>
        <v>127.42009149385483</v>
      </c>
      <c r="AQ644" s="168">
        <f t="shared" si="1193"/>
        <v>-3.38804999036941E-2</v>
      </c>
      <c r="AR644" s="69">
        <f>+AD644/$AF$19</f>
        <v>1.1713508544410093E-2</v>
      </c>
      <c r="AS644" s="169">
        <f t="shared" si="1191"/>
        <v>-3.9685952511080619E-4</v>
      </c>
      <c r="AT644" s="115"/>
      <c r="AU644" s="115"/>
      <c r="AV644" s="113">
        <f>IFERROR(INDEX('Total Customers'!$F$7:$AB$91,MATCH($C644,'Total Customers'!$D$7:$D$91,0),MATCH($G644,'Total Customers'!$F$5:$AB$5,0)),"NA")</f>
        <v>262669</v>
      </c>
      <c r="AW644" s="68">
        <f t="shared" ref="AW644:AW707" si="1195">LN(AV644/AV643)</f>
        <v>4.0321943084357225E-3</v>
      </c>
      <c r="AX644" s="114"/>
      <c r="AY644" s="114"/>
      <c r="AZ644" s="116">
        <v>8599754</v>
      </c>
      <c r="BA644" s="116"/>
      <c r="BB644" s="166"/>
      <c r="BC644" s="166"/>
      <c r="BD644" s="166"/>
      <c r="BE644" s="166"/>
      <c r="BF644" s="166"/>
      <c r="BG644" s="166"/>
      <c r="BH644" s="166"/>
      <c r="BI644" s="113"/>
      <c r="BJ644" s="113"/>
      <c r="BK644" s="113">
        <f>INDEX('Dist. Plant Gas Additions'!$F$7:$AE$91,MATCH($C644,'Dist. Plant Gas Additions'!$D$7:$D$91,0),MATCH(Calculation!$G644,'Dist. Plant Gas Additions'!$F$5:$AE$5,0))</f>
        <v>66849</v>
      </c>
      <c r="BL644" s="113">
        <f>INDEX('Gen. Plant Additions'!$F$7:$AE$91,MATCH($C644,'Gen. Plant Additions'!$D$7:$D$91,0),MATCH(Calculation!$G644,'Gen. Plant Additions'!$F$5:$AE$5,0))</f>
        <v>-3646</v>
      </c>
      <c r="BM644" s="231">
        <f t="shared" si="1156"/>
        <v>0.97535995816780541</v>
      </c>
      <c r="BN644" s="61">
        <f t="shared" si="1194"/>
        <v>-3556.1624074798187</v>
      </c>
      <c r="BO644" s="113">
        <f>INDEX('Dist Plant Depreciation'!$E$7:$AD$94,MATCH($C644,'Dist Plant Depreciation'!$D$7:$D$94,0),MATCH(Calculation!$G644,'Dist Plant Depreciation'!$E$5:$AD$5,0))</f>
        <v>305419</v>
      </c>
      <c r="BP644" s="113">
        <f>INDEX('Gen. Plant Depreciation'!$E$7:$AD$94,MATCH($C644,'Gen. Plant Depreciation'!$D$7:$D$94,0),MATCH(Calculation!$G644,'Gen. Plant Depreciation'!$E$5:$AD$5,0))</f>
        <v>10517</v>
      </c>
      <c r="BQ644" s="113"/>
      <c r="BR644" s="113"/>
      <c r="BS644" s="113"/>
      <c r="BT644" s="113"/>
      <c r="BU644" s="113"/>
      <c r="BV644" s="113"/>
      <c r="BW644" s="113">
        <f>INDEX('Gross Dx Plant'!$E$7:$AD$91,MATCH($C644,'Gross Dx Plant'!$D$7:$D$91,0),MATCH(Calculation!$G644,'Gross Dx Plant'!$E$5:$AD$5,0))</f>
        <v>843107</v>
      </c>
      <c r="BX644" s="113">
        <f>INDEX('Gross Gen Plant'!$E$7:$AD$91,MATCH($C644,'Gross Gen Plant'!$D$7:$D$91,0),MATCH(Calculation!$G644,'Gross Gen Plant'!$E$5:$AD$5,0))</f>
        <v>21299</v>
      </c>
      <c r="BY644" s="113">
        <f t="shared" si="1075"/>
        <v>548470</v>
      </c>
      <c r="BZ644" s="113"/>
      <c r="CA644" s="116">
        <v>2014</v>
      </c>
      <c r="CB644" s="113"/>
      <c r="CC644" s="113"/>
      <c r="CD644" s="113"/>
      <c r="CE644" s="175"/>
      <c r="CF644" s="113">
        <f t="shared" si="1157"/>
        <v>63203</v>
      </c>
      <c r="CG644" s="113">
        <f t="shared" si="1158"/>
        <v>92.338713381285629</v>
      </c>
      <c r="CH644" s="178">
        <v>0.89743589743589747</v>
      </c>
      <c r="CI644" s="61">
        <f>+CI628*CH644+CG629*CH643+CG630*CH642+CG631*CH641+CG632*CH640+CG633*CH639+CG634*CH638+CG635*CH637+CG636*CH636+CG637*CH635+CG638*CH634+CG639*CH633+CG640*CH632+CG641*CH631+CG642*CH630+CG643*CH629+CG644</f>
        <v>2465.4287510489012</v>
      </c>
      <c r="CJ644" s="114">
        <f t="shared" si="1159"/>
        <v>2.9771823262025654E-2</v>
      </c>
      <c r="CK644" s="114"/>
      <c r="CL644" s="169">
        <f t="shared" si="1160"/>
        <v>8.3657956762710831E-3</v>
      </c>
      <c r="CM644" s="169">
        <f t="shared" si="1169"/>
        <v>8.0768774127331893E-3</v>
      </c>
      <c r="CN644" s="114">
        <f>VLOOKUP($H644,RoR!$E:$F,2,FALSE)</f>
        <v>4.1625000000000002E-2</v>
      </c>
      <c r="CO644" s="169">
        <v>1.841352814597208E-2</v>
      </c>
      <c r="CP644" s="169">
        <f t="shared" si="1167"/>
        <v>2.3211471854027922E-2</v>
      </c>
      <c r="CQ644" s="169">
        <f t="shared" si="1170"/>
        <v>2.2825064195800437E-2</v>
      </c>
      <c r="CR644" s="169">
        <f t="shared" si="1171"/>
        <v>3.9072621432650924E-2</v>
      </c>
      <c r="CS644" s="179">
        <f t="shared" si="1161"/>
        <v>0.85329623209999994</v>
      </c>
      <c r="CT644" s="180">
        <f t="shared" si="1162"/>
        <v>1.2320012320012319</v>
      </c>
      <c r="CU644" s="180">
        <f t="shared" si="1163"/>
        <v>0.37439939939939942</v>
      </c>
      <c r="CV644" s="180">
        <f t="shared" si="1164"/>
        <v>0.80432100613819935</v>
      </c>
      <c r="CW644" s="180">
        <f t="shared" si="1165"/>
        <v>0.37100152660040037</v>
      </c>
      <c r="CX644" s="181">
        <f>INDEX('State Tax Lookup'!$D$7:$Z$91,MATCH(Calculation!$C644,'State Tax Lookup'!$B$7:$B$91,0),MATCH($H644,'State Tax Lookup'!$D$6:$Z$6,0))</f>
        <v>0.39649667</v>
      </c>
      <c r="CY644" s="72">
        <v>0.37</v>
      </c>
      <c r="CZ644" s="70">
        <f t="shared" si="1168"/>
        <v>22.034262830056548</v>
      </c>
      <c r="DA644" s="70">
        <v>20.763592984765573</v>
      </c>
      <c r="DB644" s="69">
        <f t="shared" si="1172"/>
        <v>2.0306660049326585E-2</v>
      </c>
      <c r="DC644" s="111">
        <f>VLOOKUP($H644,RoR!$E:$F,2,FALSE)</f>
        <v>4.1625000000000002E-2</v>
      </c>
      <c r="DD644" s="216">
        <f>HLOOKUP($H644,'GDP-PI'!$D$8:$CQ$11,3,FALSE)</f>
        <v>1.841352814597208E-2</v>
      </c>
      <c r="DE644" s="111">
        <f>VLOOKUP(H644,'HW Dx Data'!$E:$F,2,FALSE)</f>
        <v>684.46914285042885</v>
      </c>
      <c r="DF644" s="72">
        <f t="shared" si="1182"/>
        <v>129.4</v>
      </c>
      <c r="DG644" s="69">
        <f t="shared" si="1183"/>
        <v>2.0297340063674733E-2</v>
      </c>
      <c r="DH644" s="66">
        <f>HLOOKUP(H644,'GDP-PI'!$8:$9,2,FALSE)</f>
        <v>103.64700000000001</v>
      </c>
      <c r="DI644" s="69">
        <f t="shared" si="1173"/>
        <v>1.8246051898256087E-2</v>
      </c>
      <c r="EB644"/>
    </row>
    <row r="645" spans="1:132" s="160" customFormat="1" ht="21">
      <c r="A645" s="160" t="s">
        <v>197</v>
      </c>
      <c r="B645" s="161" t="s">
        <v>197</v>
      </c>
      <c r="C645" s="161">
        <v>4004389</v>
      </c>
      <c r="D645" s="161" t="s">
        <v>171</v>
      </c>
      <c r="E645" s="161" t="s">
        <v>3</v>
      </c>
      <c r="F645" s="161"/>
      <c r="G645" s="161" t="s">
        <v>132</v>
      </c>
      <c r="H645" s="162">
        <v>2015</v>
      </c>
      <c r="I645" s="163"/>
      <c r="J645" s="159">
        <f>IFERROR(INDEX('Labor Expenditures'!$F$7:$X$91,MATCH($C645,'Labor Expenditures'!$D$7:$D$91,0),MATCH($G645,'Labor Expenditures'!$F$5:$X$5,0)),"NA")</f>
        <v>32941.724118960781</v>
      </c>
      <c r="K645" s="159">
        <f t="shared" si="1174"/>
        <v>246.75448778247775</v>
      </c>
      <c r="L645" s="165">
        <f t="shared" si="1180"/>
        <v>-3.0912208210812388E-2</v>
      </c>
      <c r="M645" s="76">
        <f t="shared" si="1184"/>
        <v>-3.5959303617262323E-4</v>
      </c>
      <c r="N645" s="62">
        <f t="shared" si="1190"/>
        <v>119.16099494666895</v>
      </c>
      <c r="O645" s="96">
        <f t="shared" si="1185"/>
        <v>-1.3500148279473398E-2</v>
      </c>
      <c r="P645" s="96"/>
      <c r="Q645" s="159">
        <f>IFERROR(INDEX('Non-Labor Expenditures'!$F$7:$AB$91,MATCH($C645,'Non-Labor Expenditures'!$D$7:$D$91,0),MATCH($G645,'Non-Labor Expenditures'!$F$5:$AB$5,0)),"NA")</f>
        <v>47705.769189625069</v>
      </c>
      <c r="R645" s="159">
        <f t="shared" si="1175"/>
        <v>455.90811446616527</v>
      </c>
      <c r="S645" s="165">
        <f t="shared" si="1186"/>
        <v>-9.2445486227513852E-3</v>
      </c>
      <c r="T645" s="165">
        <f t="shared" si="1187"/>
        <v>-1.075392377221973E-4</v>
      </c>
      <c r="U645" s="165"/>
      <c r="V645" s="165"/>
      <c r="W645" s="159">
        <f t="shared" si="1155"/>
        <v>53097.568976676579</v>
      </c>
      <c r="X645" s="163"/>
      <c r="Y645" s="167">
        <v>2493.8274348552613</v>
      </c>
      <c r="Z645" s="168">
        <v>1.1452924858557794E-2</v>
      </c>
      <c r="AA645" s="76">
        <f t="shared" si="1176"/>
        <v>1.3322865823300157E-4</v>
      </c>
      <c r="AB645" s="168"/>
      <c r="AC645" s="168"/>
      <c r="AD645" s="163">
        <f t="shared" si="1166"/>
        <v>133745.06228526242</v>
      </c>
      <c r="AE645" s="168">
        <f t="shared" si="1188"/>
        <v>2.9187340346008787E-3</v>
      </c>
      <c r="AF645" s="163"/>
      <c r="AG645" s="163"/>
      <c r="AH645" s="163"/>
      <c r="AI645" s="163"/>
      <c r="AJ645" s="116">
        <f t="shared" si="1189"/>
        <v>507.53864944296731</v>
      </c>
      <c r="AK645" s="114">
        <f>+AV645/$AX$20</f>
        <v>7.2331573552429787E-3</v>
      </c>
      <c r="AL645" s="115">
        <f t="shared" si="1177"/>
        <v>0.24630235730646993</v>
      </c>
      <c r="AM645" s="115">
        <f t="shared" si="1178"/>
        <v>0.35669181631449165</v>
      </c>
      <c r="AN645" s="115">
        <f t="shared" si="1179"/>
        <v>0.39700582637903847</v>
      </c>
      <c r="AO645" s="115">
        <f t="shared" si="1181"/>
        <v>-6.3878573016940355E-3</v>
      </c>
      <c r="AP645" s="166">
        <f t="shared" si="1192"/>
        <v>126.60874427604588</v>
      </c>
      <c r="AQ645" s="168">
        <f t="shared" si="1193"/>
        <v>-6.3878573016940441E-3</v>
      </c>
      <c r="AR645" s="69">
        <f>+AD645/$AF$20</f>
        <v>1.1632719141909951E-2</v>
      </c>
      <c r="AS645" s="169">
        <f t="shared" si="1191"/>
        <v>-7.4308149909205553E-5</v>
      </c>
      <c r="AT645" s="115"/>
      <c r="AU645" s="115"/>
      <c r="AV645" s="113">
        <f>IFERROR(INDEX('Total Customers'!$F$7:$AB$91,MATCH($C645,'Total Customers'!$D$7:$D$91,0),MATCH($G645,'Total Customers'!$F$5:$AB$5,0)),"NA")</f>
        <v>263517</v>
      </c>
      <c r="AW645" s="68">
        <f t="shared" si="1195"/>
        <v>3.2231976303287099E-3</v>
      </c>
      <c r="AX645" s="114"/>
      <c r="AY645" s="114"/>
      <c r="AZ645" s="116">
        <v>8659109</v>
      </c>
      <c r="BA645" s="116"/>
      <c r="BB645" s="166"/>
      <c r="BC645" s="166"/>
      <c r="BD645" s="166"/>
      <c r="BE645" s="166"/>
      <c r="BF645" s="166"/>
      <c r="BG645" s="166"/>
      <c r="BH645" s="166"/>
      <c r="BI645" s="113"/>
      <c r="BJ645" s="113"/>
      <c r="BK645" s="113">
        <f>INDEX('Dist. Plant Gas Additions'!$F$7:$AE$91,MATCH($C645,'Dist. Plant Gas Additions'!$D$7:$D$91,0),MATCH(Calculation!$G645,'Dist. Plant Gas Additions'!$F$5:$AE$5,0))</f>
        <v>32774</v>
      </c>
      <c r="BL645" s="113">
        <f>INDEX('Gen. Plant Additions'!$F$7:$AE$91,MATCH($C645,'Gen. Plant Additions'!$D$7:$D$91,0),MATCH(Calculation!$G645,'Gen. Plant Additions'!$F$5:$AE$5,0))</f>
        <v>765</v>
      </c>
      <c r="BM645" s="231">
        <f t="shared" si="1156"/>
        <v>0.97639919007380993</v>
      </c>
      <c r="BN645" s="61">
        <f t="shared" si="1194"/>
        <v>746.94538040646455</v>
      </c>
      <c r="BO645" s="113">
        <f>INDEX('Dist Plant Depreciation'!$E$7:$AD$94,MATCH($C645,'Dist Plant Depreciation'!$D$7:$D$94,0),MATCH(Calculation!$G645,'Dist Plant Depreciation'!$E$5:$AD$5,0))</f>
        <v>316925</v>
      </c>
      <c r="BP645" s="113">
        <f>INDEX('Gen. Plant Depreciation'!$E$7:$AD$94,MATCH($C645,'Gen. Plant Depreciation'!$D$7:$D$94,0),MATCH(Calculation!$G645,'Gen. Plant Depreciation'!$E$5:$AD$5,0))</f>
        <v>10763</v>
      </c>
      <c r="BQ645" s="113"/>
      <c r="BR645" s="113"/>
      <c r="BS645" s="113"/>
      <c r="BT645" s="113"/>
      <c r="BU645" s="113"/>
      <c r="BV645" s="113"/>
      <c r="BW645" s="113">
        <f>INDEX('Gross Dx Plant'!$E$7:$AD$91,MATCH($C645,'Gross Dx Plant'!$D$7:$D$91,0),MATCH(Calculation!$G645,'Gross Dx Plant'!$E$5:$AD$5,0))</f>
        <v>871365</v>
      </c>
      <c r="BX645" s="113">
        <f>INDEX('Gross Gen Plant'!$E$7:$AD$91,MATCH($C645,'Gross Gen Plant'!$D$7:$D$91,0),MATCH(Calculation!$G645,'Gross Gen Plant'!$E$5:$AD$5,0))</f>
        <v>21062</v>
      </c>
      <c r="BY645" s="113">
        <f t="shared" si="1075"/>
        <v>564739</v>
      </c>
      <c r="BZ645" s="113"/>
      <c r="CA645" s="116">
        <v>2015</v>
      </c>
      <c r="CB645" s="113"/>
      <c r="CC645" s="113"/>
      <c r="CD645" s="113"/>
      <c r="CE645" s="175"/>
      <c r="CF645" s="113">
        <f t="shared" si="1157"/>
        <v>33539</v>
      </c>
      <c r="CG645" s="113">
        <f t="shared" si="1158"/>
        <v>49.642204827286676</v>
      </c>
      <c r="CH645" s="178">
        <v>0.88888888888888884</v>
      </c>
      <c r="CI645" s="61">
        <f>+CI628*CH645+CG629*CH644+CG630*CH643+CG631*CH642+CG632*CH641+CG633*CH640+CG634*CH639+CG635*CH638+CG636*CH637+CG637*CH636+CG638*CH635+CG639*CH634+CG640*CH633+CG641*CH632+CG642*CH631+CG643*CH630+CG644*CH629+CG645</f>
        <v>2493.8274348552613</v>
      </c>
      <c r="CJ645" s="114">
        <f t="shared" si="1159"/>
        <v>1.1452924858557794E-2</v>
      </c>
      <c r="CK645" s="114"/>
      <c r="CL645" s="169">
        <f t="shared" si="1160"/>
        <v>8.6165625398375786E-3</v>
      </c>
      <c r="CM645" s="169">
        <f t="shared" si="1169"/>
        <v>8.3510598935190115E-3</v>
      </c>
      <c r="CN645" s="114">
        <f>VLOOKUP($H645,RoR!$E:$F,2,FALSE)</f>
        <v>3.8866666666666674E-2</v>
      </c>
      <c r="CO645" s="169">
        <v>9.5709475431029478E-3</v>
      </c>
      <c r="CP645" s="169">
        <f t="shared" si="1167"/>
        <v>2.9295719123563727E-2</v>
      </c>
      <c r="CQ645" s="169">
        <f t="shared" si="1170"/>
        <v>2.2550881715014612E-2</v>
      </c>
      <c r="CR645" s="169">
        <f t="shared" si="1171"/>
        <v>3.5270373279175926E-3</v>
      </c>
      <c r="CS645" s="179">
        <f t="shared" si="1161"/>
        <v>0.85329623209999994</v>
      </c>
      <c r="CT645" s="180">
        <f t="shared" si="1162"/>
        <v>1.3194352816994324</v>
      </c>
      <c r="CU645" s="180">
        <f t="shared" si="1163"/>
        <v>0.33177530017152673</v>
      </c>
      <c r="CV645" s="180">
        <f t="shared" si="1164"/>
        <v>0.78242572977668579</v>
      </c>
      <c r="CW645" s="180">
        <f t="shared" si="1165"/>
        <v>0.34251158643433932</v>
      </c>
      <c r="CX645" s="181">
        <f>INDEX('State Tax Lookup'!$D$7:$Z$91,MATCH(Calculation!$C645,'State Tax Lookup'!$B$7:$B$91,0),MATCH($H645,'State Tax Lookup'!$D$6:$Z$6,0))</f>
        <v>0.39649667</v>
      </c>
      <c r="CY645" s="72">
        <v>0.37</v>
      </c>
      <c r="CZ645" s="70">
        <f t="shared" si="1168"/>
        <v>21.53684991062368</v>
      </c>
      <c r="DA645" s="70">
        <v>20.279488671080099</v>
      </c>
      <c r="DB645" s="69">
        <f t="shared" si="1172"/>
        <v>-2.2833225902751053E-2</v>
      </c>
      <c r="DC645" s="111">
        <f>VLOOKUP($H645,RoR!$E:$F,2,FALSE)</f>
        <v>3.8866666666666674E-2</v>
      </c>
      <c r="DD645" s="216">
        <f>HLOOKUP($H645,'GDP-PI'!$D$8:$CQ$11,3,FALSE)</f>
        <v>9.5709475431029478E-3</v>
      </c>
      <c r="DE645" s="111">
        <f>VLOOKUP(H645,'HW Dx Data'!$E:$F,2,FALSE)</f>
        <v>675.61463308665782</v>
      </c>
      <c r="DF645" s="72">
        <f t="shared" si="1182"/>
        <v>133.5</v>
      </c>
      <c r="DG645" s="69">
        <f t="shared" si="1183"/>
        <v>3.1193095773504077E-2</v>
      </c>
      <c r="DH645" s="66">
        <f>HLOOKUP(H645,'GDP-PI'!$8:$9,2,FALSE)</f>
        <v>104.639</v>
      </c>
      <c r="DI645" s="69">
        <f t="shared" si="1173"/>
        <v>9.5254361854427965E-3</v>
      </c>
      <c r="EB645"/>
    </row>
    <row r="646" spans="1:132" s="160" customFormat="1" ht="21">
      <c r="A646" s="160" t="s">
        <v>197</v>
      </c>
      <c r="B646" s="161" t="s">
        <v>197</v>
      </c>
      <c r="C646" s="161">
        <v>4004389</v>
      </c>
      <c r="D646" s="161" t="s">
        <v>171</v>
      </c>
      <c r="E646" s="161" t="s">
        <v>3</v>
      </c>
      <c r="F646" s="161"/>
      <c r="G646" s="161" t="s">
        <v>133</v>
      </c>
      <c r="H646" s="162">
        <v>2016</v>
      </c>
      <c r="I646" s="163"/>
      <c r="J646" s="159">
        <f>IFERROR(INDEX('Labor Expenditures'!$F$7:$X$91,MATCH($C646,'Labor Expenditures'!$D$7:$D$91,0),MATCH($G646,'Labor Expenditures'!$F$5:$X$5,0)),"NA")</f>
        <v>36901.742106000733</v>
      </c>
      <c r="K646" s="159">
        <f t="shared" si="1174"/>
        <v>269.45412271632517</v>
      </c>
      <c r="L646" s="165">
        <f t="shared" si="1180"/>
        <v>8.8004279033338836E-2</v>
      </c>
      <c r="M646" s="76">
        <f t="shared" si="1184"/>
        <v>1.0579267797157677E-3</v>
      </c>
      <c r="N646" s="62">
        <f t="shared" si="1190"/>
        <v>300.01062788605344</v>
      </c>
      <c r="O646" s="96">
        <f t="shared" si="1185"/>
        <v>0.9233424228353958</v>
      </c>
      <c r="P646" s="96"/>
      <c r="Q646" s="159">
        <f>IFERROR(INDEX('Non-Labor Expenditures'!$F$7:$AB$91,MATCH($C646,'Non-Labor Expenditures'!$D$7:$D$91,0),MATCH($G646,'Non-Labor Expenditures'!$F$5:$AB$5,0)),"NA")</f>
        <v>53440.614864194809</v>
      </c>
      <c r="R646" s="159">
        <f t="shared" si="1175"/>
        <v>505.41551471773857</v>
      </c>
      <c r="S646" s="165">
        <f t="shared" si="1186"/>
        <v>0.10308960653491697</v>
      </c>
      <c r="T646" s="165">
        <f t="shared" si="1187"/>
        <v>1.2392721883709129E-3</v>
      </c>
      <c r="U646" s="165"/>
      <c r="V646" s="165"/>
      <c r="W646" s="159">
        <f t="shared" si="1155"/>
        <v>52684.109265568884</v>
      </c>
      <c r="X646" s="163"/>
      <c r="Y646" s="167">
        <v>2546.5096222235056</v>
      </c>
      <c r="Z646" s="168">
        <v>2.0904993197711049E-2</v>
      </c>
      <c r="AA646" s="76">
        <f t="shared" si="1176"/>
        <v>2.513054180610496E-4</v>
      </c>
      <c r="AB646" s="168"/>
      <c r="AC646" s="168"/>
      <c r="AD646" s="163">
        <f t="shared" si="1166"/>
        <v>143026.46623576444</v>
      </c>
      <c r="AE646" s="168">
        <f t="shared" si="1188"/>
        <v>6.7094224105477274E-2</v>
      </c>
      <c r="AF646" s="163"/>
      <c r="AG646" s="163"/>
      <c r="AH646" s="163"/>
      <c r="AI646" s="163"/>
      <c r="AJ646" s="116">
        <f t="shared" si="1189"/>
        <v>540.06489486075873</v>
      </c>
      <c r="AK646" s="114">
        <f>+AV646/$AX$21</f>
        <v>7.2064356796934827E-3</v>
      </c>
      <c r="AL646" s="115">
        <f t="shared" si="1177"/>
        <v>0.25800638914739038</v>
      </c>
      <c r="AM646" s="115">
        <f t="shared" si="1178"/>
        <v>0.37364144043175507</v>
      </c>
      <c r="AN646" s="115">
        <f t="shared" si="1179"/>
        <v>0.36835217042085444</v>
      </c>
      <c r="AO646" s="115">
        <f t="shared" si="1181"/>
        <v>6.7835449718064711E-2</v>
      </c>
      <c r="AP646" s="166">
        <f t="shared" si="1192"/>
        <v>135.49530999718917</v>
      </c>
      <c r="AQ646" s="168">
        <f t="shared" si="1193"/>
        <v>6.783544971806478E-2</v>
      </c>
      <c r="AR646" s="69">
        <f>+AD646/$AF$21</f>
        <v>1.2021310683256563E-2</v>
      </c>
      <c r="AS646" s="169">
        <f t="shared" si="1191"/>
        <v>8.1547101639928548E-4</v>
      </c>
      <c r="AT646" s="115"/>
      <c r="AU646" s="115"/>
      <c r="AV646" s="113">
        <f>IFERROR(INDEX('Total Customers'!$F$7:$AB$91,MATCH($C646,'Total Customers'!$D$7:$D$91,0),MATCH($G646,'Total Customers'!$F$5:$AB$5,0)),"NA")</f>
        <v>264832</v>
      </c>
      <c r="AW646" s="68">
        <f t="shared" si="1195"/>
        <v>4.9777806536498992E-3</v>
      </c>
      <c r="AX646" s="114"/>
      <c r="AY646" s="114"/>
      <c r="AZ646" s="116">
        <v>8759079</v>
      </c>
      <c r="BA646" s="116"/>
      <c r="BB646" s="166"/>
      <c r="BC646" s="166"/>
      <c r="BD646" s="166"/>
      <c r="BE646" s="166"/>
      <c r="BF646" s="166"/>
      <c r="BG646" s="166"/>
      <c r="BH646" s="166"/>
      <c r="BI646" s="113"/>
      <c r="BJ646" s="113"/>
      <c r="BK646" s="113">
        <f>INDEX('Dist. Plant Gas Additions'!$F$7:$AE$91,MATCH($C646,'Dist. Plant Gas Additions'!$D$7:$D$91,0),MATCH(Calculation!$G646,'Dist. Plant Gas Additions'!$F$5:$AE$5,0))</f>
        <v>49602</v>
      </c>
      <c r="BL646" s="113">
        <f>INDEX('Gen. Plant Additions'!$F$7:$AE$91,MATCH($C646,'Gen. Plant Additions'!$D$7:$D$91,0),MATCH(Calculation!$G646,'Gen. Plant Additions'!$F$5:$AE$5,0))</f>
        <v>754</v>
      </c>
      <c r="BM646" s="231">
        <f t="shared" si="1156"/>
        <v>0.97662871081886282</v>
      </c>
      <c r="BN646" s="61">
        <f t="shared" si="1194"/>
        <v>736.37804795742261</v>
      </c>
      <c r="BO646" s="113">
        <f>INDEX('Dist Plant Depreciation'!$E$7:$AD$94,MATCH($C646,'Dist Plant Depreciation'!$D$7:$D$94,0),MATCH(Calculation!$G646,'Dist Plant Depreciation'!$E$5:$AD$5,0))</f>
        <v>321680</v>
      </c>
      <c r="BP646" s="113">
        <f>INDEX('Gen. Plant Depreciation'!$E$7:$AD$94,MATCH($C646,'Gen. Plant Depreciation'!$D$7:$D$94,0),MATCH(Calculation!$G646,'Gen. Plant Depreciation'!$E$5:$AD$5,0))</f>
        <v>11713</v>
      </c>
      <c r="BQ646" s="113"/>
      <c r="BR646" s="113"/>
      <c r="BS646" s="113"/>
      <c r="BT646" s="113"/>
      <c r="BU646" s="113"/>
      <c r="BV646" s="113"/>
      <c r="BW646" s="113">
        <f>INDEX('Gross Dx Plant'!$E$7:$AD$91,MATCH($C646,'Gross Dx Plant'!$D$7:$D$91,0),MATCH(Calculation!$G646,'Gross Dx Plant'!$E$5:$AD$5,0))</f>
        <v>911637</v>
      </c>
      <c r="BX646" s="113">
        <f>INDEX('Gross Gen Plant'!$E$7:$AD$91,MATCH($C646,'Gross Gen Plant'!$D$7:$D$91,0),MATCH(Calculation!$G646,'Gross Gen Plant'!$E$5:$AD$5,0))</f>
        <v>21816</v>
      </c>
      <c r="BY646" s="113">
        <f t="shared" si="1075"/>
        <v>600060</v>
      </c>
      <c r="BZ646" s="113"/>
      <c r="CA646" s="116">
        <v>2016</v>
      </c>
      <c r="CB646" s="113"/>
      <c r="CC646" s="113"/>
      <c r="CD646" s="113"/>
      <c r="CE646" s="175"/>
      <c r="CF646" s="113">
        <f t="shared" si="1157"/>
        <v>50356</v>
      </c>
      <c r="CG646" s="113">
        <f t="shared" si="1158"/>
        <v>74.995190246890274</v>
      </c>
      <c r="CH646" s="178">
        <v>0.88</v>
      </c>
      <c r="CI646" s="61">
        <f>+CI628*CH646+CG629*CH645+CG630*CH644+CG631*CH643+CG632*CH642+CG633*CH641+CG634*CH640+CG635*CH639+CG636*CH638+CG637*CH637+CG638*CH636+CG639*CH635+CG640*CH634+CG641*CH633+CG642*CH632+CG643*CH631+CG644*CH630+CG645*CH629+CG646</f>
        <v>2546.5096222235056</v>
      </c>
      <c r="CJ646" s="114">
        <f t="shared" si="1159"/>
        <v>2.0904993197711049E-2</v>
      </c>
      <c r="CK646" s="114"/>
      <c r="CL646" s="169">
        <f t="shared" si="1160"/>
        <v>8.9472922491691999E-3</v>
      </c>
      <c r="CM646" s="169">
        <f t="shared" si="1169"/>
        <v>8.6432168217592878E-3</v>
      </c>
      <c r="CN646" s="114">
        <f>VLOOKUP($H646,RoR!$E:$F,2,FALSE)</f>
        <v>3.6658333333333334E-2</v>
      </c>
      <c r="CO646" s="169">
        <v>1.0483662879041455E-2</v>
      </c>
      <c r="CP646" s="169">
        <f t="shared" si="1167"/>
        <v>2.6174670454291879E-2</v>
      </c>
      <c r="CQ646" s="169">
        <f t="shared" si="1170"/>
        <v>2.2258724786774337E-2</v>
      </c>
      <c r="CR646" s="169">
        <f t="shared" si="1171"/>
        <v>4.301363574220729E-3</v>
      </c>
      <c r="CS646" s="179">
        <f t="shared" si="1161"/>
        <v>0.85329623209999994</v>
      </c>
      <c r="CT646" s="180">
        <f t="shared" si="1162"/>
        <v>1.3989193348138562</v>
      </c>
      <c r="CU646" s="180">
        <f t="shared" si="1163"/>
        <v>0.29302682427824522</v>
      </c>
      <c r="CV646" s="180">
        <f t="shared" si="1164"/>
        <v>0.76309497491941802</v>
      </c>
      <c r="CW646" s="180">
        <f t="shared" si="1165"/>
        <v>0.31280857135128509</v>
      </c>
      <c r="CX646" s="181">
        <f>INDEX('State Tax Lookup'!$D$7:$Z$91,MATCH(Calculation!$C646,'State Tax Lookup'!$B$7:$B$91,0),MATCH($H646,'State Tax Lookup'!$D$6:$Z$6,0))</f>
        <v>0.39649667</v>
      </c>
      <c r="CY646" s="72">
        <v>0.37</v>
      </c>
      <c r="CZ646" s="70">
        <f t="shared" si="1168"/>
        <v>21.125803866467852</v>
      </c>
      <c r="DA646" s="70">
        <v>19.909765876209278</v>
      </c>
      <c r="DB646" s="69">
        <f t="shared" si="1172"/>
        <v>-1.9270191960157942E-2</v>
      </c>
      <c r="DC646" s="111">
        <f>VLOOKUP($H646,RoR!$E:$F,2,FALSE)</f>
        <v>3.6658333333333334E-2</v>
      </c>
      <c r="DD646" s="216">
        <f>HLOOKUP($H646,'GDP-PI'!$D$8:$CQ$11,3,FALSE)</f>
        <v>1.0483662879041455E-2</v>
      </c>
      <c r="DE646" s="111">
        <f>VLOOKUP(H646,'HW Dx Data'!$E:$F,2,FALSE)</f>
        <v>671.45639385971219</v>
      </c>
      <c r="DF646" s="72">
        <f t="shared" si="1182"/>
        <v>136.94999999999999</v>
      </c>
      <c r="DG646" s="69">
        <f t="shared" si="1183"/>
        <v>2.5514417868782811E-2</v>
      </c>
      <c r="DH646" s="66">
        <f>HLOOKUP(H646,'GDP-PI'!$8:$9,2,FALSE)</f>
        <v>105.736</v>
      </c>
      <c r="DI646" s="69">
        <f t="shared" si="1173"/>
        <v>1.0429090367205095E-2</v>
      </c>
      <c r="EB646"/>
    </row>
    <row r="647" spans="1:132" s="160" customFormat="1" ht="21">
      <c r="A647" s="160" t="s">
        <v>197</v>
      </c>
      <c r="B647" s="161" t="s">
        <v>197</v>
      </c>
      <c r="C647" s="161">
        <v>4004389</v>
      </c>
      <c r="D647" s="161" t="s">
        <v>171</v>
      </c>
      <c r="E647" s="161" t="s">
        <v>3</v>
      </c>
      <c r="F647" s="161"/>
      <c r="G647" s="161" t="s">
        <v>135</v>
      </c>
      <c r="H647" s="162">
        <v>2017</v>
      </c>
      <c r="I647" s="163"/>
      <c r="J647" s="159">
        <f>IFERROR(INDEX('Labor Expenditures'!$F$7:$X$91,MATCH($C647,'Labor Expenditures'!$D$7:$D$91,0),MATCH($G647,'Labor Expenditures'!$F$5:$X$5,0)),"NA")</f>
        <v>34157.610818352863</v>
      </c>
      <c r="K647" s="159">
        <f t="shared" si="1174"/>
        <v>243.20121622180753</v>
      </c>
      <c r="L647" s="165">
        <f t="shared" si="1180"/>
        <v>-0.10250899375829177</v>
      </c>
      <c r="M647" s="76">
        <f t="shared" si="1184"/>
        <v>-1.1435038899998726E-3</v>
      </c>
      <c r="N647" s="62">
        <f t="shared" si="1190"/>
        <v>166.39804753612552</v>
      </c>
      <c r="O647" s="96">
        <f t="shared" si="1185"/>
        <v>-0.5894351055542183</v>
      </c>
      <c r="P647" s="96"/>
      <c r="Q647" s="159">
        <f>IFERROR(INDEX('Non-Labor Expenditures'!$F$7:$AB$91,MATCH($C647,'Non-Labor Expenditures'!$D$7:$D$91,0),MATCH($G647,'Non-Labor Expenditures'!$F$5:$AB$5,0)),"NA")</f>
        <v>49466.600226654708</v>
      </c>
      <c r="R647" s="159">
        <f t="shared" si="1175"/>
        <v>459.08251641891684</v>
      </c>
      <c r="S647" s="165">
        <f t="shared" si="1186"/>
        <v>-9.6150924144871586E-2</v>
      </c>
      <c r="T647" s="165">
        <f t="shared" si="1187"/>
        <v>-1.0725786270616841E-3</v>
      </c>
      <c r="U647" s="165"/>
      <c r="V647" s="165"/>
      <c r="W647" s="159">
        <f t="shared" si="1155"/>
        <v>48461.424000396772</v>
      </c>
      <c r="X647" s="163"/>
      <c r="Y647" s="167">
        <v>2612.3865180004332</v>
      </c>
      <c r="Z647" s="168">
        <v>2.5540532318820128E-2</v>
      </c>
      <c r="AA647" s="76">
        <f t="shared" si="1176"/>
        <v>2.8490864058331356E-4</v>
      </c>
      <c r="AB647" s="168"/>
      <c r="AC647" s="168"/>
      <c r="AD647" s="163">
        <f t="shared" si="1166"/>
        <v>132085.63504540434</v>
      </c>
      <c r="AE647" s="168">
        <f t="shared" si="1188"/>
        <v>-7.9579229123951503E-2</v>
      </c>
      <c r="AF647" s="163"/>
      <c r="AG647" s="163"/>
      <c r="AH647" s="163"/>
      <c r="AI647" s="163"/>
      <c r="AJ647" s="116">
        <f t="shared" si="1189"/>
        <v>495.89326827854268</v>
      </c>
      <c r="AK647" s="114">
        <f>+AV647/$AX$22</f>
        <v>7.1935321271977678E-3</v>
      </c>
      <c r="AL647" s="115">
        <f t="shared" si="1177"/>
        <v>0.25860201078346795</v>
      </c>
      <c r="AM647" s="115">
        <f t="shared" si="1178"/>
        <v>0.37450401180757165</v>
      </c>
      <c r="AN647" s="115">
        <f t="shared" si="1179"/>
        <v>0.3668939774089604</v>
      </c>
      <c r="AO647" s="115">
        <f t="shared" si="1181"/>
        <v>-5.3056652935326118E-2</v>
      </c>
      <c r="AP647" s="166">
        <f t="shared" si="1192"/>
        <v>128.49376403131583</v>
      </c>
      <c r="AQ647" s="168">
        <f t="shared" si="1193"/>
        <v>-5.3056652935326284E-2</v>
      </c>
      <c r="AR647" s="69">
        <f>+AD647/$AF$22</f>
        <v>1.1155156714309047E-2</v>
      </c>
      <c r="AS647" s="169">
        <f t="shared" si="1191"/>
        <v>-5.9185527823026984E-4</v>
      </c>
      <c r="AT647" s="115"/>
      <c r="AU647" s="115"/>
      <c r="AV647" s="113">
        <f>IFERROR(INDEX('Total Customers'!$F$7:$AB$91,MATCH($C647,'Total Customers'!$D$7:$D$91,0),MATCH($G647,'Total Customers'!$F$5:$AB$5,0)),"NA")</f>
        <v>266359</v>
      </c>
      <c r="AW647" s="68">
        <f t="shared" si="1195"/>
        <v>5.7493602348860041E-3</v>
      </c>
      <c r="AX647" s="114"/>
      <c r="AY647" s="114"/>
      <c r="AZ647" s="116">
        <v>8824403</v>
      </c>
      <c r="BA647" s="116"/>
      <c r="BB647" s="166"/>
      <c r="BC647" s="166"/>
      <c r="BD647" s="166"/>
      <c r="BE647" s="166"/>
      <c r="BF647" s="166"/>
      <c r="BG647" s="166"/>
      <c r="BH647" s="166"/>
      <c r="BI647" s="113"/>
      <c r="BJ647" s="113"/>
      <c r="BK647" s="113">
        <f>INDEX('Dist. Plant Gas Additions'!$F$7:$AE$91,MATCH($C647,'Dist. Plant Gas Additions'!$D$7:$D$91,0),MATCH(Calculation!$G647,'Dist. Plant Gas Additions'!$F$5:$AE$5,0))</f>
        <v>63067</v>
      </c>
      <c r="BL647" s="113">
        <f>INDEX('Gen. Plant Additions'!$F$7:$AE$91,MATCH($C647,'Gen. Plant Additions'!$D$7:$D$91,0),MATCH(Calculation!$G647,'Gen. Plant Additions'!$F$5:$AE$5,0))</f>
        <v>654</v>
      </c>
      <c r="BM647" s="231">
        <f t="shared" si="1156"/>
        <v>0.97732860840103197</v>
      </c>
      <c r="BN647" s="61">
        <f t="shared" si="1194"/>
        <v>639.17290989427488</v>
      </c>
      <c r="BO647" s="113">
        <f>INDEX('Dist Plant Depreciation'!$E$7:$AD$94,MATCH($C647,'Dist Plant Depreciation'!$D$7:$D$94,0),MATCH(Calculation!$G647,'Dist Plant Depreciation'!$E$5:$AD$5,0))</f>
        <v>333524</v>
      </c>
      <c r="BP647" s="113">
        <f>INDEX('Gen. Plant Depreciation'!$E$7:$AD$94,MATCH($C647,'Gen. Plant Depreciation'!$D$7:$D$94,0),MATCH(Calculation!$G647,'Gen. Plant Depreciation'!$E$5:$AD$5,0))</f>
        <v>12394</v>
      </c>
      <c r="BQ647" s="113"/>
      <c r="BR647" s="113"/>
      <c r="BS647" s="113"/>
      <c r="BT647" s="113"/>
      <c r="BU647" s="113"/>
      <c r="BV647" s="113"/>
      <c r="BW647" s="113">
        <f>INDEX('Gross Dx Plant'!$E$7:$AD$91,MATCH($C647,'Gross Dx Plant'!$D$7:$D$91,0),MATCH(Calculation!$G647,'Gross Dx Plant'!$E$5:$AD$5,0))</f>
        <v>967483</v>
      </c>
      <c r="BX647" s="113">
        <f>INDEX('Gross Gen Plant'!$E$7:$AD$91,MATCH($C647,'Gross Gen Plant'!$D$7:$D$91,0),MATCH(Calculation!$G647,'Gross Gen Plant'!$E$5:$AD$5,0))</f>
        <v>22443</v>
      </c>
      <c r="BY647" s="113">
        <f t="shared" si="1075"/>
        <v>644008</v>
      </c>
      <c r="BZ647" s="113"/>
      <c r="CA647" s="116">
        <v>2017</v>
      </c>
      <c r="CB647" s="113"/>
      <c r="CC647" s="113"/>
      <c r="CD647" s="113"/>
      <c r="CE647" s="175"/>
      <c r="CF647" s="113">
        <f t="shared" si="1157"/>
        <v>63721</v>
      </c>
      <c r="CG647" s="113">
        <f t="shared" si="1158"/>
        <v>89.441947526669026</v>
      </c>
      <c r="CH647" s="178">
        <v>0.87074829931972786</v>
      </c>
      <c r="CI647" s="61">
        <f>+CI628*CH647+CG629*CH646+CG630*CH645+CG631*CH644+CG632*CH643+CG633*CH642+CG634*CH641+CG635*CH640+CG636*CH639+CG637*CH638+CG638*CH637+CG639*CH636+CG640*CH635+CG641*CH634+CG642*CH633+CG643*CH632+CG644*CH631+CG645*CH630+CG646*CH629+CG647</f>
        <v>2612.3865180004332</v>
      </c>
      <c r="CJ647" s="114">
        <f t="shared" si="1159"/>
        <v>2.5540532318820128E-2</v>
      </c>
      <c r="CK647" s="114"/>
      <c r="CL647" s="169">
        <f t="shared" si="1160"/>
        <v>9.2538632267823388E-3</v>
      </c>
      <c r="CM647" s="169">
        <f t="shared" si="1169"/>
        <v>8.939239338596373E-3</v>
      </c>
      <c r="CN647" s="114">
        <f>VLOOKUP($H647,RoR!$E:$F,2,FALSE)</f>
        <v>3.7433333333333339E-2</v>
      </c>
      <c r="CO647" s="169">
        <v>1.9056896421275615E-2</v>
      </c>
      <c r="CP647" s="169">
        <f t="shared" si="1167"/>
        <v>1.8376436912057724E-2</v>
      </c>
      <c r="CQ647" s="169">
        <f t="shared" si="1170"/>
        <v>2.1962702269937254E-2</v>
      </c>
      <c r="CR647" s="169">
        <f t="shared" si="1171"/>
        <v>1.3976271617800498E-2</v>
      </c>
      <c r="CS647" s="179">
        <f t="shared" si="1161"/>
        <v>0.90509623210000001</v>
      </c>
      <c r="CT647" s="180">
        <f t="shared" si="1162"/>
        <v>1.3699568463593395</v>
      </c>
      <c r="CU647" s="180">
        <f t="shared" si="1163"/>
        <v>0.30714603739982199</v>
      </c>
      <c r="CV647" s="180">
        <f t="shared" si="1164"/>
        <v>0.77007188472689425</v>
      </c>
      <c r="CW647" s="180">
        <f t="shared" si="1165"/>
        <v>0.32402839633793828</v>
      </c>
      <c r="CX647" s="181">
        <f>INDEX('State Tax Lookup'!$D$7:$Z$91,MATCH(Calculation!$C647,'State Tax Lookup'!$B$7:$B$91,0),MATCH($H647,'State Tax Lookup'!$D$6:$Z$6,0))</f>
        <v>0.25649666999999998</v>
      </c>
      <c r="CY647" s="72">
        <v>0.37</v>
      </c>
      <c r="CZ647" s="70">
        <f t="shared" si="1168"/>
        <v>19.030528523227133</v>
      </c>
      <c r="DA647" s="70">
        <v>18.231812616449311</v>
      </c>
      <c r="DB647" s="69">
        <f t="shared" si="1172"/>
        <v>-0.10445077128780722</v>
      </c>
      <c r="DC647" s="111">
        <f>VLOOKUP($H647,RoR!$E:$F,2,FALSE)</f>
        <v>3.7433333333333339E-2</v>
      </c>
      <c r="DD647" s="216">
        <f>HLOOKUP($H647,'GDP-PI'!$D$8:$CQ$11,3,FALSE)</f>
        <v>1.9056896421275615E-2</v>
      </c>
      <c r="DE647" s="111">
        <f>VLOOKUP(H647,'HW Dx Data'!$E:$F,2,FALSE)</f>
        <v>712.42858370229726</v>
      </c>
      <c r="DF647" s="72">
        <f t="shared" si="1182"/>
        <v>140.44999999999999</v>
      </c>
      <c r="DG647" s="69">
        <f t="shared" si="1183"/>
        <v>2.5235657841165486E-2</v>
      </c>
      <c r="DH647" s="66">
        <f>HLOOKUP(H647,'GDP-PI'!$8:$9,2,FALSE)</f>
        <v>107.751</v>
      </c>
      <c r="DI647" s="69">
        <f t="shared" si="1173"/>
        <v>1.8877588227745139E-2</v>
      </c>
      <c r="EB647"/>
    </row>
    <row r="648" spans="1:132" s="160" customFormat="1" ht="21">
      <c r="A648" s="160" t="s">
        <v>197</v>
      </c>
      <c r="B648" s="161" t="s">
        <v>197</v>
      </c>
      <c r="C648" s="161">
        <v>4004389</v>
      </c>
      <c r="D648" s="161" t="s">
        <v>171</v>
      </c>
      <c r="E648" s="161" t="s">
        <v>3</v>
      </c>
      <c r="F648" s="161"/>
      <c r="G648" s="161" t="s">
        <v>136</v>
      </c>
      <c r="H648" s="162">
        <v>2018</v>
      </c>
      <c r="I648" s="163"/>
      <c r="J648" s="159">
        <f>IFERROR(INDEX('Labor Expenditures'!$F$7:$X$91,MATCH($C648,'Labor Expenditures'!$D$7:$D$91,0),MATCH($G648,'Labor Expenditures'!$F$5:$X$5,0)),"NA")</f>
        <v>38116.509935167553</v>
      </c>
      <c r="K648" s="159">
        <f t="shared" si="1174"/>
        <v>263.87338134418525</v>
      </c>
      <c r="L648" s="165">
        <f t="shared" si="1180"/>
        <v>8.1580220981660498E-2</v>
      </c>
      <c r="M648" s="76">
        <f t="shared" si="1184"/>
        <v>9.2027761334358474E-4</v>
      </c>
      <c r="N648" s="62">
        <f t="shared" si="1190"/>
        <v>114.62235901986656</v>
      </c>
      <c r="O648" s="96">
        <f t="shared" si="1185"/>
        <v>-0.37273990462577766</v>
      </c>
      <c r="P648" s="96"/>
      <c r="Q648" s="159">
        <f>IFERROR(INDEX('Non-Labor Expenditures'!$F$7:$AB$91,MATCH($C648,'Non-Labor Expenditures'!$D$7:$D$91,0),MATCH($G648,'Non-Labor Expenditures'!$F$5:$AB$5,0)),"NA")</f>
        <v>55199.82556816213</v>
      </c>
      <c r="R648" s="159">
        <f t="shared" si="1175"/>
        <v>500.35192951688811</v>
      </c>
      <c r="S648" s="165">
        <f t="shared" si="1186"/>
        <v>8.6081741627143285E-2</v>
      </c>
      <c r="T648" s="165">
        <f t="shared" si="1187"/>
        <v>9.7105767530214515E-4</v>
      </c>
      <c r="U648" s="165"/>
      <c r="V648" s="165"/>
      <c r="W648" s="159">
        <f t="shared" si="1155"/>
        <v>51871.966829476907</v>
      </c>
      <c r="X648" s="163"/>
      <c r="Y648" s="167">
        <v>2644.9298363235234</v>
      </c>
      <c r="Z648" s="168">
        <v>1.238035978708708E-2</v>
      </c>
      <c r="AA648" s="76">
        <f t="shared" si="1176"/>
        <v>1.3965845912278978E-4</v>
      </c>
      <c r="AB648" s="168"/>
      <c r="AC648" s="168"/>
      <c r="AD648" s="163">
        <f t="shared" si="1166"/>
        <v>145188.30233280658</v>
      </c>
      <c r="AE648" s="168">
        <f t="shared" si="1188"/>
        <v>9.4581074116322619E-2</v>
      </c>
      <c r="AF648" s="163"/>
      <c r="AG648" s="163"/>
      <c r="AH648" s="163"/>
      <c r="AI648" s="163"/>
      <c r="AJ648" s="116">
        <f t="shared" si="1189"/>
        <v>545.08502559630642</v>
      </c>
      <c r="AK648" s="114">
        <f>+AV648/$AX$23</f>
        <v>7.1305320591916691E-3</v>
      </c>
      <c r="AL648" s="115">
        <f t="shared" si="1177"/>
        <v>0.26253154918634786</v>
      </c>
      <c r="AM648" s="115">
        <f t="shared" si="1178"/>
        <v>0.38019471735147664</v>
      </c>
      <c r="AN648" s="115">
        <f t="shared" si="1179"/>
        <v>0.35727373346217561</v>
      </c>
      <c r="AO648" s="115">
        <f t="shared" si="1181"/>
        <v>5.8222714399937751E-2</v>
      </c>
      <c r="AP648" s="166">
        <f t="shared" si="1192"/>
        <v>136.19709827670718</v>
      </c>
      <c r="AQ648" s="168">
        <f t="shared" si="1193"/>
        <v>5.8222714399937668E-2</v>
      </c>
      <c r="AR648" s="69">
        <f>+AD648/$AF$23</f>
        <v>1.1280646243290591E-2</v>
      </c>
      <c r="AS648" s="169">
        <f t="shared" si="1191"/>
        <v>6.5678984446983788E-4</v>
      </c>
      <c r="AT648" s="115"/>
      <c r="AU648" s="115"/>
      <c r="AV648" s="113">
        <f>IFERROR(INDEX('Total Customers'!$F$7:$AB$91,MATCH($C648,'Total Customers'!$D$7:$D$91,0),MATCH($G648,'Total Customers'!$F$5:$AB$5,0)),"NA")</f>
        <v>266359</v>
      </c>
      <c r="AW648" s="68">
        <f t="shared" si="1195"/>
        <v>0</v>
      </c>
      <c r="AX648" s="114"/>
      <c r="AY648" s="114"/>
      <c r="AZ648" s="116">
        <v>8911356</v>
      </c>
      <c r="BA648" s="116"/>
      <c r="BB648" s="166"/>
      <c r="BC648" s="166"/>
      <c r="BD648" s="166"/>
      <c r="BE648" s="166"/>
      <c r="BF648" s="166"/>
      <c r="BG648" s="166"/>
      <c r="BH648" s="166"/>
      <c r="BI648" s="113"/>
      <c r="BJ648" s="113"/>
      <c r="BK648" s="113">
        <f>INDEX('Dist. Plant Gas Additions'!$F$7:$AE$91,MATCH($C648,'Dist. Plant Gas Additions'!$D$7:$D$91,0),MATCH(Calculation!$G648,'Dist. Plant Gas Additions'!$F$5:$AE$5,0))</f>
        <v>42463</v>
      </c>
      <c r="BL648" s="113">
        <f>INDEX('Gen. Plant Additions'!$F$7:$AE$91,MATCH($C648,'Gen. Plant Additions'!$D$7:$D$91,0),MATCH(Calculation!$G648,'Gen. Plant Additions'!$F$5:$AE$5,0))</f>
        <v>955</v>
      </c>
      <c r="BM648" s="231">
        <f t="shared" si="1156"/>
        <v>0.97733735534172184</v>
      </c>
      <c r="BN648" s="61">
        <f t="shared" si="1194"/>
        <v>933.35717435134438</v>
      </c>
      <c r="BO648" s="113">
        <f>INDEX('Dist Plant Depreciation'!$E$7:$AD$94,MATCH($C648,'Dist Plant Depreciation'!$D$7:$D$94,0),MATCH(Calculation!$G648,'Dist Plant Depreciation'!$E$5:$AD$5,0))</f>
        <v>354890</v>
      </c>
      <c r="BP648" s="113">
        <f>INDEX('Gen. Plant Depreciation'!$E$7:$AD$94,MATCH($C648,'Gen. Plant Depreciation'!$D$7:$D$94,0),MATCH(Calculation!$G648,'Gen. Plant Depreciation'!$E$5:$AD$5,0))</f>
        <v>13184</v>
      </c>
      <c r="BQ648" s="113"/>
      <c r="BR648" s="113"/>
      <c r="BS648" s="113"/>
      <c r="BT648" s="113"/>
      <c r="BU648" s="113"/>
      <c r="BV648" s="113"/>
      <c r="BW648" s="113">
        <f>INDEX('Gross Dx Plant'!$E$7:$AD$91,MATCH($C648,'Gross Dx Plant'!$D$7:$D$91,0),MATCH(Calculation!$G648,'Gross Dx Plant'!$E$5:$AD$5,0))</f>
        <v>1006333</v>
      </c>
      <c r="BX648" s="113">
        <f>INDEX('Gross Gen Plant'!$E$7:$AD$91,MATCH($C648,'Gross Gen Plant'!$D$7:$D$91,0),MATCH(Calculation!$G648,'Gross Gen Plant'!$E$5:$AD$5,0))</f>
        <v>23335</v>
      </c>
      <c r="BY648" s="113">
        <f t="shared" ref="BY648:BY717" si="1196">IF(OR(BO648="NA",BP648="NA"),"NA",(SUM(BW648:BX648)-SUM(BO648:BP648)))</f>
        <v>661594</v>
      </c>
      <c r="BZ648" s="113"/>
      <c r="CA648" s="116">
        <v>2018</v>
      </c>
      <c r="CB648" s="113"/>
      <c r="CC648" s="113"/>
      <c r="CD648" s="113"/>
      <c r="CE648" s="175"/>
      <c r="CF648" s="113">
        <f t="shared" si="1157"/>
        <v>43418</v>
      </c>
      <c r="CG648" s="113">
        <f t="shared" si="1158"/>
        <v>57.496873314982977</v>
      </c>
      <c r="CH648" s="178">
        <v>0.86111111111111116</v>
      </c>
      <c r="CI648" s="61">
        <f>+CI628*CH648++CG629*CH647+CG630*CH646+CG631*CH645+CG632*CH644+CG633*CH643+CG634*CH642+CG635*CH641+CG636*CH640+CG637*CH639+CG638*CH638+CG639*CH637+CG640*CH636+CG641*CH635+CG642*CH634+CG643*CH633+CG644*CH632+CG645*CH631+CG646*CH630+CG647*CH629+CG648</f>
        <v>2644.9298363235234</v>
      </c>
      <c r="CJ648" s="114">
        <f t="shared" si="1159"/>
        <v>1.238035978708708E-2</v>
      </c>
      <c r="CK648" s="114"/>
      <c r="CL648" s="169">
        <f t="shared" si="1160"/>
        <v>9.5520149181418258E-3</v>
      </c>
      <c r="CM648" s="169">
        <f t="shared" si="1169"/>
        <v>9.2510567980311209E-3</v>
      </c>
      <c r="CN648" s="114">
        <f>VLOOKUP($H648,RoR!$E:$F,2,FALSE)</f>
        <v>3.9299999999999995E-2</v>
      </c>
      <c r="CO648" s="169">
        <v>2.386056741932796E-2</v>
      </c>
      <c r="CP648" s="169">
        <f t="shared" si="1167"/>
        <v>1.5439432580672034E-2</v>
      </c>
      <c r="CQ648" s="169">
        <f t="shared" si="1170"/>
        <v>2.1650884810502504E-2</v>
      </c>
      <c r="CR648" s="169">
        <f t="shared" si="1171"/>
        <v>3.8270792163076606E-2</v>
      </c>
      <c r="CS648" s="179">
        <f t="shared" si="1161"/>
        <v>0.90509623210000001</v>
      </c>
      <c r="CT648" s="180">
        <f t="shared" si="1162"/>
        <v>1.3048868010700074</v>
      </c>
      <c r="CU648" s="180">
        <f t="shared" si="1163"/>
        <v>0.33886768447837151</v>
      </c>
      <c r="CV648" s="180">
        <f t="shared" si="1164"/>
        <v>0.78602506232557801</v>
      </c>
      <c r="CW648" s="180">
        <f t="shared" si="1165"/>
        <v>0.34756768162358759</v>
      </c>
      <c r="CX648" s="181">
        <f>INDEX('State Tax Lookup'!$D$7:$Z$91,MATCH(Calculation!$C648,'State Tax Lookup'!$B$7:$B$91,0),MATCH($H648,'State Tax Lookup'!$D$6:$Z$6,0))</f>
        <v>0.25649666999999998</v>
      </c>
      <c r="CY648" s="72">
        <v>0.37</v>
      </c>
      <c r="CZ648" s="70">
        <f t="shared" si="1168"/>
        <v>19.856160821554319</v>
      </c>
      <c r="DA648" s="70">
        <v>19.050901628905343</v>
      </c>
      <c r="DB648" s="69">
        <f t="shared" si="1172"/>
        <v>4.246987374081139E-2</v>
      </c>
      <c r="DC648" s="111">
        <f>VLOOKUP($H648,RoR!$E:$F,2,FALSE)</f>
        <v>3.9299999999999995E-2</v>
      </c>
      <c r="DD648" s="216">
        <f>HLOOKUP($H648,'GDP-PI'!$D$8:$CQ$11,3,FALSE)</f>
        <v>2.386056741932796E-2</v>
      </c>
      <c r="DE648" s="111">
        <f>VLOOKUP(H648,'HW Dx Data'!$E:$F,2,FALSE)</f>
        <v>755.13671434174842</v>
      </c>
      <c r="DF648" s="72">
        <f t="shared" si="1182"/>
        <v>144.44999999999999</v>
      </c>
      <c r="DG648" s="69">
        <f t="shared" si="1183"/>
        <v>2.80818733619915E-2</v>
      </c>
      <c r="DH648" s="66">
        <f>HLOOKUP(H648,'GDP-PI'!$8:$9,2,FALSE)</f>
        <v>110.322</v>
      </c>
      <c r="DI648" s="69">
        <f t="shared" si="1173"/>
        <v>2.3580352716508712E-2</v>
      </c>
      <c r="EB648"/>
    </row>
    <row r="649" spans="1:132" s="160" customFormat="1" ht="21">
      <c r="A649" s="160" t="s">
        <v>197</v>
      </c>
      <c r="B649" s="161" t="s">
        <v>197</v>
      </c>
      <c r="C649" s="161">
        <v>4004389</v>
      </c>
      <c r="D649" s="161" t="s">
        <v>171</v>
      </c>
      <c r="E649" s="161" t="s">
        <v>3</v>
      </c>
      <c r="F649" s="161"/>
      <c r="G649" s="161" t="s">
        <v>140</v>
      </c>
      <c r="H649" s="162">
        <v>2019</v>
      </c>
      <c r="I649" s="163"/>
      <c r="J649" s="159">
        <f>IFERROR(INDEX('Labor Expenditures'!$F$7:$X$91,MATCH($C649,'Labor Expenditures'!$D$7:$D$91,0),MATCH($G649,'Labor Expenditures'!$F$5:$X$5,0)),"NA")</f>
        <v>35900.768473504344</v>
      </c>
      <c r="K649" s="159">
        <f t="shared" si="1174"/>
        <v>239.85814914651306</v>
      </c>
      <c r="L649" s="165">
        <f t="shared" si="1180"/>
        <v>-9.5421668590158729E-2</v>
      </c>
      <c r="M649" s="76">
        <f t="shared" si="1184"/>
        <v>-1.0128509573155795E-3</v>
      </c>
      <c r="N649" s="62">
        <f t="shared" si="1190"/>
        <v>116.25574625468721</v>
      </c>
      <c r="O649" s="96">
        <f t="shared" si="1185"/>
        <v>1.4149583258129235E-2</v>
      </c>
      <c r="P649" s="96"/>
      <c r="Q649" s="159">
        <f>IFERROR(INDEX('Non-Labor Expenditures'!$F$7:$AB$91,MATCH($C649,'Non-Labor Expenditures'!$D$7:$D$91,0),MATCH($G649,'Non-Labor Expenditures'!$F$5:$AB$5,0)),"NA")</f>
        <v>51991.018088254117</v>
      </c>
      <c r="R649" s="159">
        <f t="shared" si="1175"/>
        <v>462.89123816533521</v>
      </c>
      <c r="S649" s="165">
        <f t="shared" si="1186"/>
        <v>-7.7819590142388859E-2</v>
      </c>
      <c r="T649" s="165">
        <f t="shared" si="1187"/>
        <v>-8.2601412800858954E-4</v>
      </c>
      <c r="U649" s="165"/>
      <c r="V649" s="165"/>
      <c r="W649" s="159">
        <f t="shared" si="1155"/>
        <v>52955.331328856802</v>
      </c>
      <c r="X649" s="163"/>
      <c r="Y649" s="167">
        <v>2729.0107136521819</v>
      </c>
      <c r="Z649" s="168">
        <v>3.1294629522658185E-2</v>
      </c>
      <c r="AA649" s="76">
        <f t="shared" si="1176"/>
        <v>3.321760763480274E-4</v>
      </c>
      <c r="AB649" s="168"/>
      <c r="AC649" s="168"/>
      <c r="AD649" s="163">
        <f t="shared" si="1166"/>
        <v>140847.11789061525</v>
      </c>
      <c r="AE649" s="168">
        <f t="shared" si="1188"/>
        <v>-3.0356504846557698E-2</v>
      </c>
      <c r="AF649" s="163"/>
      <c r="AG649" s="163"/>
      <c r="AH649" s="163"/>
      <c r="AI649" s="163"/>
      <c r="AJ649" s="116">
        <f t="shared" si="1189"/>
        <v>523.95752412677632</v>
      </c>
      <c r="AK649" s="114">
        <f>+AV649/$AX$24</f>
        <v>7.1369045325983841E-3</v>
      </c>
      <c r="AL649" s="115">
        <f t="shared" si="1177"/>
        <v>0.25489175079454318</v>
      </c>
      <c r="AM649" s="115">
        <f t="shared" si="1178"/>
        <v>0.3691308623626321</v>
      </c>
      <c r="AN649" s="115">
        <f t="shared" si="1179"/>
        <v>0.37597738684282483</v>
      </c>
      <c r="AO649" s="115">
        <f t="shared" si="1181"/>
        <v>-4.236939099557184E-2</v>
      </c>
      <c r="AP649" s="166">
        <f t="shared" si="1192"/>
        <v>130.54704992680374</v>
      </c>
      <c r="AQ649" s="168">
        <f t="shared" si="1193"/>
        <v>-4.2369390995571854E-2</v>
      </c>
      <c r="AR649" s="69">
        <f>+AD649/$AF$24</f>
        <v>1.0614475436033607E-2</v>
      </c>
      <c r="AS649" s="169">
        <f t="shared" si="1191"/>
        <v>-4.4972885996220094E-4</v>
      </c>
      <c r="AT649" s="115"/>
      <c r="AU649" s="115"/>
      <c r="AV649" s="113">
        <f>IFERROR(INDEX('Total Customers'!$F$7:$AB$91,MATCH($C649,'Total Customers'!$D$7:$D$91,0),MATCH($G649,'Total Customers'!$F$5:$AB$5,0)),"NA")</f>
        <v>268814</v>
      </c>
      <c r="AW649" s="68">
        <f t="shared" si="1195"/>
        <v>9.1746677081290771E-3</v>
      </c>
      <c r="AX649" s="114"/>
      <c r="AY649" s="114"/>
      <c r="AZ649" s="116">
        <v>8963640</v>
      </c>
      <c r="BA649" s="116"/>
      <c r="BB649" s="166"/>
      <c r="BC649" s="166"/>
      <c r="BD649" s="166"/>
      <c r="BE649" s="166"/>
      <c r="BF649" s="166"/>
      <c r="BG649" s="166"/>
      <c r="BH649" s="166"/>
      <c r="BI649" s="113"/>
      <c r="BJ649" s="113"/>
      <c r="BK649" s="113">
        <f>INDEX('Dist. Plant Gas Additions'!$F$7:$AE$91,MATCH($C649,'Dist. Plant Gas Additions'!$D$7:$D$91,0),MATCH(Calculation!$G649,'Dist. Plant Gas Additions'!$F$5:$AE$5,0))</f>
        <v>84505</v>
      </c>
      <c r="BL649" s="113">
        <f>INDEX('Gen. Plant Additions'!$F$7:$AE$91,MATCH($C649,'Gen. Plant Additions'!$D$7:$D$91,0),MATCH(Calculation!$G649,'Gen. Plant Additions'!$F$5:$AE$5,0))</f>
        <v>844</v>
      </c>
      <c r="BM649" s="231">
        <f t="shared" si="1156"/>
        <v>0.97839282695730545</v>
      </c>
      <c r="BN649" s="61">
        <f t="shared" si="1194"/>
        <v>825.76354595196585</v>
      </c>
      <c r="BO649" s="113">
        <f>INDEX('Dist Plant Depreciation'!$E$7:$AD$94,MATCH($C649,'Dist Plant Depreciation'!$D$7:$D$94,0),MATCH(Calculation!$G649,'Dist Plant Depreciation'!$E$5:$AD$5,0))</f>
        <v>366663</v>
      </c>
      <c r="BP649" s="113">
        <f>INDEX('Gen. Plant Depreciation'!$E$7:$AD$94,MATCH($C649,'Gen. Plant Depreciation'!$D$7:$D$94,0),MATCH(Calculation!$G649,'Gen. Plant Depreciation'!$E$5:$AD$5,0))</f>
        <v>13800</v>
      </c>
      <c r="BQ649" s="113"/>
      <c r="BR649" s="113"/>
      <c r="BS649" s="113"/>
      <c r="BT649" s="113"/>
      <c r="BU649" s="113"/>
      <c r="BV649" s="113"/>
      <c r="BW649" s="113">
        <f>INDEX('Gross Dx Plant'!$E$7:$AD$91,MATCH($C649,'Gross Dx Plant'!$D$7:$D$91,0),MATCH(Calculation!$G649,'Gross Dx Plant'!$E$5:$AD$5,0))</f>
        <v>1082350</v>
      </c>
      <c r="BX649" s="113">
        <f>INDEX('Gross Gen Plant'!$E$7:$AD$91,MATCH($C649,'Gross Gen Plant'!$D$7:$D$91,0),MATCH(Calculation!$G649,'Gross Gen Plant'!$E$5:$AD$5,0))</f>
        <v>23903</v>
      </c>
      <c r="BY649" s="113">
        <f t="shared" si="1196"/>
        <v>725790</v>
      </c>
      <c r="BZ649" s="113"/>
      <c r="CA649" s="116">
        <v>2019</v>
      </c>
      <c r="CB649" s="113"/>
      <c r="CC649" s="113"/>
      <c r="CD649" s="113"/>
      <c r="CE649" s="175"/>
      <c r="CF649" s="113">
        <f t="shared" si="1157"/>
        <v>85349</v>
      </c>
      <c r="CG649" s="113">
        <f t="shared" si="1158"/>
        <v>110.33570010904315</v>
      </c>
      <c r="CH649" s="178">
        <v>0.85106382978723405</v>
      </c>
      <c r="CI649" s="61">
        <f>CI628*CH649+CG629*CH648+CG630*CH647+CG631*CH646+CG632*CH645+CG633*CH644+CG634*CH643+CG635*CH642+CG636*CH641+CG637*CH640+CG638*CH639+CG639*CH638+CG640*CH637+CG641*CH636+CG642*CH635+CG643*CH634+CG644*CH633+CG645*CH632+CG646*CH631+CG647*CH630+CG648*CH629+CG649</f>
        <v>2729.0107136521819</v>
      </c>
      <c r="CJ649" s="114">
        <f t="shared" si="1159"/>
        <v>3.1294629522658185E-2</v>
      </c>
      <c r="CK649" s="114"/>
      <c r="CL649" s="169">
        <f t="shared" si="1160"/>
        <v>9.9264723093294115E-3</v>
      </c>
      <c r="CM649" s="169">
        <f t="shared" si="1169"/>
        <v>9.5774501514178587E-3</v>
      </c>
      <c r="CN649" s="114">
        <f>VLOOKUP($H649,RoR!$E:$F,2,FALSE)</f>
        <v>3.3875000000000009E-2</v>
      </c>
      <c r="CO649" s="169">
        <v>1.8092492884465461E-2</v>
      </c>
      <c r="CP649" s="169">
        <f t="shared" si="1167"/>
        <v>1.5782507115534548E-2</v>
      </c>
      <c r="CQ649" s="169">
        <f t="shared" si="1170"/>
        <v>2.1324491457115766E-2</v>
      </c>
      <c r="CR649" s="169">
        <f t="shared" si="1171"/>
        <v>4.8445665544254078E-2</v>
      </c>
      <c r="CS649" s="179">
        <f t="shared" si="1161"/>
        <v>0.90509623210000001</v>
      </c>
      <c r="CT649" s="180">
        <f t="shared" si="1162"/>
        <v>1.513861292459078</v>
      </c>
      <c r="CU649" s="180">
        <f t="shared" si="1163"/>
        <v>0.23699261992619944</v>
      </c>
      <c r="CV649" s="180">
        <f t="shared" si="1164"/>
        <v>0.73619765810468829</v>
      </c>
      <c r="CW649" s="180">
        <f t="shared" si="1165"/>
        <v>0.26412854465362851</v>
      </c>
      <c r="CX649" s="181">
        <f>INDEX('State Tax Lookup'!$D$7:$Z$91,MATCH(Calculation!$C649,'State Tax Lookup'!$B$7:$B$91,0),MATCH($H649,'State Tax Lookup'!$D$6:$Z$6,0))</f>
        <v>0.25649666999999998</v>
      </c>
      <c r="CY649" s="72">
        <v>0.37</v>
      </c>
      <c r="CZ649" s="70">
        <f t="shared" si="1168"/>
        <v>20.021450324166327</v>
      </c>
      <c r="DA649" s="70">
        <v>19.236104090735289</v>
      </c>
      <c r="DB649" s="69">
        <f t="shared" si="1172"/>
        <v>8.2898872049040548E-3</v>
      </c>
      <c r="DC649" s="111">
        <f>VLOOKUP($H649,RoR!$E:$F,2,FALSE)</f>
        <v>3.3875000000000009E-2</v>
      </c>
      <c r="DD649" s="216">
        <f>HLOOKUP($H649,'GDP-PI'!$D$8:$CQ$11,3,FALSE)</f>
        <v>1.8092492884465461E-2</v>
      </c>
      <c r="DE649" s="111">
        <f>VLOOKUP(H649,'HW Dx Data'!$E:$F,2,FALSE)</f>
        <v>773.53929793938721</v>
      </c>
      <c r="DF649" s="72">
        <f t="shared" si="1182"/>
        <v>149.67500000000001</v>
      </c>
      <c r="DG649" s="69">
        <f t="shared" si="1183"/>
        <v>3.5532849899171604E-2</v>
      </c>
      <c r="DH649" s="66">
        <f>HLOOKUP(H649,'GDP-PI'!$8:$9,2,FALSE)</f>
        <v>112.318</v>
      </c>
      <c r="DI649" s="69">
        <f t="shared" si="1173"/>
        <v>1.7930771451401852E-2</v>
      </c>
      <c r="EB649"/>
    </row>
    <row r="650" spans="1:132" s="160" customFormat="1" ht="21">
      <c r="A650" s="160" t="s">
        <v>197</v>
      </c>
      <c r="B650" s="160" t="s">
        <v>197</v>
      </c>
      <c r="C650" s="160">
        <v>4004389</v>
      </c>
      <c r="D650" s="160" t="s">
        <v>171</v>
      </c>
      <c r="E650" s="160" t="s">
        <v>3</v>
      </c>
      <c r="G650" s="161" t="s">
        <v>141</v>
      </c>
      <c r="H650" s="162">
        <v>2020</v>
      </c>
      <c r="I650" s="163"/>
      <c r="J650" s="159">
        <f>IFERROR(INDEX('Labor Expenditures'!$F$7:$X$91,MATCH($C650,'Labor Expenditures'!$D$7:$D$91,0),MATCH($G650,'Labor Expenditures'!$F$5:$X$5,0)),"NA")</f>
        <v>35353.425080059547</v>
      </c>
      <c r="K650" s="159">
        <f t="shared" si="1174"/>
        <v>230.84182226614135</v>
      </c>
      <c r="L650" s="165">
        <f t="shared" si="1180"/>
        <v>-3.8314979505673273E-2</v>
      </c>
      <c r="M650" s="76">
        <f t="shared" si="1184"/>
        <v>-4.0097709341232438E-4</v>
      </c>
      <c r="N650" s="62">
        <f t="shared" si="1190"/>
        <v>116.40861639348748</v>
      </c>
      <c r="O650" s="96">
        <f t="shared" si="1185"/>
        <v>1.314083163046481E-3</v>
      </c>
      <c r="P650" s="96"/>
      <c r="Q650" s="159">
        <f>IFERROR(INDEX('Non-Labor Expenditures'!$F$7:$AB$91,MATCH($C650,'Non-Labor Expenditures'!$D$7:$D$91,0),MATCH($G650,'Non-Labor Expenditures'!$F$5:$AB$5,0)),"NA")</f>
        <v>51198.362624901652</v>
      </c>
      <c r="R650" s="159">
        <f t="shared" si="1175"/>
        <v>450.59858149231803</v>
      </c>
      <c r="S650" s="165">
        <f t="shared" si="1186"/>
        <v>-2.6915239769697896E-2</v>
      </c>
      <c r="T650" s="165">
        <f t="shared" si="1187"/>
        <v>-2.816755939997629E-4</v>
      </c>
      <c r="U650" s="165"/>
      <c r="V650" s="165"/>
      <c r="W650" s="159">
        <f t="shared" si="1155"/>
        <v>56580.710999166578</v>
      </c>
      <c r="X650" s="163"/>
      <c r="Y650" s="167">
        <v>2780.4116293499592</v>
      </c>
      <c r="Z650" s="168">
        <v>1.8659817281785656E-2</v>
      </c>
      <c r="AA650" s="76">
        <f t="shared" si="1176"/>
        <v>1.9528026358849005E-4</v>
      </c>
      <c r="AB650" s="168"/>
      <c r="AC650" s="168"/>
      <c r="AD650" s="163">
        <f t="shared" si="1166"/>
        <v>143132.49870412779</v>
      </c>
      <c r="AE650" s="168">
        <f t="shared" si="1188"/>
        <v>1.6095733776076704E-2</v>
      </c>
      <c r="AF650" s="163"/>
      <c r="AG650" s="163"/>
      <c r="AH650" s="163"/>
      <c r="AI650" s="163"/>
      <c r="AJ650" s="116">
        <f t="shared" si="1189"/>
        <v>529.70640982094653</v>
      </c>
      <c r="AK650" s="114">
        <f>+AV650/$AX$25</f>
        <v>7.1233346752530898E-3</v>
      </c>
      <c r="AL650" s="115">
        <f t="shared" si="1177"/>
        <v>0.24699788936920158</v>
      </c>
      <c r="AM650" s="115">
        <f t="shared" si="1178"/>
        <v>0.35769907664879708</v>
      </c>
      <c r="AN650" s="115">
        <f t="shared" si="1179"/>
        <v>0.39530303398200123</v>
      </c>
      <c r="AO650" s="115">
        <f t="shared" si="1181"/>
        <v>-1.2200370815830565E-2</v>
      </c>
      <c r="AP650" s="166">
        <f t="shared" si="1192"/>
        <v>128.96400401852472</v>
      </c>
      <c r="AQ650" s="168">
        <f t="shared" si="1193"/>
        <v>-1.2200370815830522E-2</v>
      </c>
      <c r="AR650" s="69">
        <f>+AD650/$AF$25</f>
        <v>1.0465282732382826E-2</v>
      </c>
      <c r="AS650" s="169">
        <f t="shared" si="1191"/>
        <v>-1.2768033002757853E-4</v>
      </c>
      <c r="AT650" s="115"/>
      <c r="AU650" s="115"/>
      <c r="AV650" s="113">
        <f>IFERROR(INDEX('Total Customers'!$F$7:$AB$91,MATCH($C650,'Total Customers'!$D$7:$D$91,0),MATCH($G650,'Total Customers'!$F$5:$AB$5,0)),"NA")</f>
        <v>270211</v>
      </c>
      <c r="AW650" s="68">
        <f t="shared" si="1195"/>
        <v>5.1834446561590747E-3</v>
      </c>
      <c r="AX650" s="114"/>
      <c r="AY650" s="114"/>
      <c r="AZ650" s="116">
        <v>9060252</v>
      </c>
      <c r="BA650" s="116"/>
      <c r="BB650" s="166"/>
      <c r="BC650" s="166"/>
      <c r="BD650" s="166"/>
      <c r="BE650" s="166"/>
      <c r="BF650" s="166"/>
      <c r="BG650" s="166"/>
      <c r="BH650" s="166"/>
      <c r="BI650" s="113"/>
      <c r="BJ650" s="113"/>
      <c r="BK650" s="113">
        <f>INDEX('Dist. Plant Gas Additions'!$F$7:$AE$91,MATCH($C650,'Dist. Plant Gas Additions'!$D$7:$D$91,0),MATCH(Calculation!$G650,'Dist. Plant Gas Additions'!$F$5:$AE$5,0))</f>
        <v>63498</v>
      </c>
      <c r="BL650" s="113">
        <f>INDEX('Gen. Plant Additions'!$F$7:$AE$91,MATCH($C650,'Gen. Plant Additions'!$D$7:$D$91,0),MATCH(Calculation!$G650,'Gen. Plant Additions'!$F$5:$AE$5,0))</f>
        <v>973</v>
      </c>
      <c r="BM650" s="231">
        <f t="shared" si="1156"/>
        <v>0.97880350084115142</v>
      </c>
      <c r="BN650" s="61">
        <f t="shared" si="1194"/>
        <v>952.37580631844037</v>
      </c>
      <c r="BO650" s="113">
        <f>INDEX('Dist Plant Depreciation'!$E$7:$AD$94,MATCH($C650,'Dist Plant Depreciation'!$D$7:$D$94,0),MATCH(Calculation!$G650,'Dist Plant Depreciation'!$E$5:$AD$5,0))</f>
        <v>379322</v>
      </c>
      <c r="BP650" s="113">
        <f>INDEX('Gen. Plant Depreciation'!$E$7:$AD$94,MATCH($C650,'Gen. Plant Depreciation'!$D$7:$D$94,0),MATCH(Calculation!$G650,'Gen. Plant Depreciation'!$E$5:$AD$5,0))</f>
        <v>14458</v>
      </c>
      <c r="BQ650" s="113"/>
      <c r="BR650" s="113"/>
      <c r="BS650" s="113"/>
      <c r="BT650" s="113"/>
      <c r="BU650" s="113"/>
      <c r="BV650" s="113"/>
      <c r="BW650" s="113">
        <f>INDEX('Gross Dx Plant'!$E$7:$AD$91,MATCH($C650,'Gross Dx Plant'!$D$7:$D$91,0),MATCH(Calculation!$G650,'Gross Dx Plant'!$E$5:$AD$5,0))</f>
        <v>1138047</v>
      </c>
      <c r="BX650" s="113">
        <f>INDEX('Gross Gen Plant'!$E$7:$AD$91,MATCH($C650,'Gross Gen Plant'!$D$7:$D$91,0),MATCH(Calculation!$G650,'Gross Gen Plant'!$E$5:$AD$5,0))</f>
        <v>24645</v>
      </c>
      <c r="BY650" s="113">
        <f t="shared" si="1196"/>
        <v>768912</v>
      </c>
      <c r="BZ650" s="113"/>
      <c r="CA650" s="116">
        <v>2020</v>
      </c>
      <c r="CB650" s="113"/>
      <c r="CC650" s="113"/>
      <c r="CD650" s="113"/>
      <c r="CE650" s="175"/>
      <c r="CF650" s="113">
        <f t="shared" si="1157"/>
        <v>64471</v>
      </c>
      <c r="CG650" s="113">
        <f t="shared" si="1158"/>
        <v>79.292304715728719</v>
      </c>
      <c r="CH650" s="178">
        <v>0.84057971014492749</v>
      </c>
      <c r="CI650" s="61">
        <f>CI628*CH650+CG629*CH649+CG630*CH648+CG631*CH647+CG632*CH646+CG633*CH645+CG634*CH644+CG635*CH643+CG636*CH642+CG637*CH641+CG638*CH640+CG639*CH639+CG640*CH638+CG641*CH637+CG642*CH636+CG643*CH635+CG644*CH634+CG645*CH633+CG646*CH632+CG647*CH631+CG648*CH630+CG649*CH629+CG650</f>
        <v>2780.4116293499592</v>
      </c>
      <c r="CJ650" s="114">
        <f t="shared" si="1159"/>
        <v>1.8659817281785656E-2</v>
      </c>
      <c r="CK650" s="114"/>
      <c r="CL650" s="169">
        <f t="shared" si="1160"/>
        <v>1.0220329615571563E-2</v>
      </c>
      <c r="CM650" s="169">
        <f t="shared" si="1169"/>
        <v>9.8996056143475994E-3</v>
      </c>
      <c r="CN650" s="114">
        <f>VLOOKUP($H650,RoR!$E:$F,2,FALSE)</f>
        <v>2.4766666666666666E-2</v>
      </c>
      <c r="CO650" s="169">
        <v>1.1618796630994188E-2</v>
      </c>
      <c r="CP650" s="169">
        <f t="shared" si="1167"/>
        <v>1.3147870035672478E-2</v>
      </c>
      <c r="CQ650" s="169">
        <f t="shared" si="1170"/>
        <v>2.1002335994186026E-2</v>
      </c>
      <c r="CR650" s="169">
        <f t="shared" si="1171"/>
        <v>4.5144642961987357E-2</v>
      </c>
      <c r="CS650" s="179">
        <f t="shared" si="1161"/>
        <v>0.90509623210000001</v>
      </c>
      <c r="CT650" s="180">
        <f t="shared" si="1162"/>
        <v>2.0706077233668081</v>
      </c>
      <c r="CU650" s="180">
        <f t="shared" si="1163"/>
        <v>-3.4421265141318998E-2</v>
      </c>
      <c r="CV650" s="180">
        <f t="shared" si="1164"/>
        <v>0.62416226176410472</v>
      </c>
      <c r="CW650" s="180">
        <f t="shared" si="1165"/>
        <v>-4.4485877841158712E-2</v>
      </c>
      <c r="CX650" s="181">
        <f>INDEX('State Tax Lookup'!$D$7:$Z$91,MATCH(Calculation!$C650,'State Tax Lookup'!$B$7:$B$91,0),MATCH($H650,'State Tax Lookup'!$D$6:$Z$6,0))</f>
        <v>0.25649666999999998</v>
      </c>
      <c r="CY650" s="72">
        <v>0.37</v>
      </c>
      <c r="CZ650" s="70">
        <f t="shared" si="1168"/>
        <v>20.73304832264499</v>
      </c>
      <c r="DA650" s="70">
        <v>19.952659173050833</v>
      </c>
      <c r="DB650" s="69">
        <f t="shared" si="1172"/>
        <v>3.492474945861427E-2</v>
      </c>
      <c r="DC650" s="111">
        <f>VLOOKUP($H650,RoR!$E:$F,2,FALSE)</f>
        <v>2.4766666666666666E-2</v>
      </c>
      <c r="DD650" s="216">
        <f>HLOOKUP($H650,'GDP-PI'!$D$8:$CQ$11,3,FALSE)</f>
        <v>1.1618796630994188E-2</v>
      </c>
      <c r="DE650" s="111">
        <f>VLOOKUP(H650,'HW Dx Data'!$E:$F,2,FALSE)</f>
        <v>813.080162458833</v>
      </c>
      <c r="DF650" s="72">
        <f t="shared" si="1182"/>
        <v>153.15</v>
      </c>
      <c r="DG650" s="69">
        <f t="shared" si="1183"/>
        <v>2.2951556467368479E-2</v>
      </c>
      <c r="DH650" s="66">
        <f>HLOOKUP(H650,'GDP-PI'!$8:$9,2,FALSE)</f>
        <v>113.623</v>
      </c>
      <c r="DI650" s="69">
        <f t="shared" si="1173"/>
        <v>1.1551816731392881E-2</v>
      </c>
      <c r="EB650"/>
    </row>
    <row r="651" spans="1:132" s="160" customFormat="1" ht="21">
      <c r="A651" s="160" t="s">
        <v>197</v>
      </c>
      <c r="B651" s="160" t="s">
        <v>197</v>
      </c>
      <c r="C651" s="160">
        <v>4004389</v>
      </c>
      <c r="D651" s="160" t="s">
        <v>171</v>
      </c>
      <c r="E651" s="160" t="s">
        <v>3</v>
      </c>
      <c r="G651" s="161" t="s">
        <v>142</v>
      </c>
      <c r="H651" s="162">
        <v>2021</v>
      </c>
      <c r="I651" s="163"/>
      <c r="J651" s="159">
        <v>37450.337729208717</v>
      </c>
      <c r="K651" s="159">
        <f t="shared" si="1174"/>
        <v>238.1579505832033</v>
      </c>
      <c r="L651" s="164">
        <f t="shared" si="1180"/>
        <v>3.1201387583193557E-2</v>
      </c>
      <c r="M651" s="76">
        <f t="shared" si="1184"/>
        <v>3.2316110652152855E-4</v>
      </c>
      <c r="N651" s="166">
        <f>+N650*EXP(O651)</f>
        <v>120.51051365183997</v>
      </c>
      <c r="O651" s="114">
        <f t="shared" si="1185"/>
        <v>3.4630442790639052E-2</v>
      </c>
      <c r="P651" s="114"/>
      <c r="Q651" s="159">
        <v>52791.439931535184</v>
      </c>
      <c r="R651" s="159">
        <f t="shared" si="1175"/>
        <v>445.53498127719797</v>
      </c>
      <c r="S651" s="165">
        <f t="shared" si="1186"/>
        <v>-1.1301114737658378E-2</v>
      </c>
      <c r="T651" s="165">
        <f t="shared" si="1187"/>
        <v>-1.1704866438425986E-4</v>
      </c>
      <c r="U651" s="165"/>
      <c r="V651" s="165"/>
      <c r="W651" s="159">
        <f t="shared" si="1155"/>
        <v>68455.968473491987</v>
      </c>
      <c r="X651" s="163"/>
      <c r="Y651" s="167">
        <v>2861.1648689063395</v>
      </c>
      <c r="Z651" s="168"/>
      <c r="AA651" s="76">
        <f t="shared" si="1176"/>
        <v>0</v>
      </c>
      <c r="AB651" s="168"/>
      <c r="AC651" s="168"/>
      <c r="AD651" s="163">
        <f t="shared" si="1166"/>
        <v>158697.74613423587</v>
      </c>
      <c r="AE651" s="168">
        <f t="shared" si="1188"/>
        <v>0.10323065975015848</v>
      </c>
      <c r="AF651" s="113"/>
      <c r="AG651" s="114"/>
      <c r="AH651" s="114"/>
      <c r="AI651" s="114"/>
      <c r="AJ651" s="116">
        <f t="shared" si="1189"/>
        <v>584.40584979133382</v>
      </c>
      <c r="AK651" s="114">
        <f>+AV651/$AX$26</f>
        <v>7.0339341427497811E-3</v>
      </c>
      <c r="AL651" s="115">
        <f t="shared" si="1177"/>
        <v>0.23598531574311724</v>
      </c>
      <c r="AM651" s="115">
        <f t="shared" si="1178"/>
        <v>0.33265399930053879</v>
      </c>
      <c r="AN651" s="115">
        <f t="shared" si="1179"/>
        <v>0.43136068495634405</v>
      </c>
      <c r="AO651" s="115">
        <f t="shared" si="1181"/>
        <v>3.6339934290418492E-3</v>
      </c>
      <c r="AP651" s="166">
        <f t="shared" si="1192"/>
        <v>129.4335109375516</v>
      </c>
      <c r="AQ651" s="168">
        <f t="shared" si="1193"/>
        <v>3.6339934290417447E-3</v>
      </c>
      <c r="AR651" s="69">
        <f>+AD651/$AF$26</f>
        <v>1.0357267145888005E-2</v>
      </c>
      <c r="AS651" s="169">
        <f t="shared" si="1191"/>
        <v>3.7638240750986957E-5</v>
      </c>
      <c r="AT651" s="115"/>
      <c r="AU651" s="115"/>
      <c r="AV651" s="113">
        <f>INDEX('Total Customers'!$E$7:$E$91,MATCH(Calculation!$C651,'Total Customers'!$D$7:$D$91,0))</f>
        <v>271554</v>
      </c>
      <c r="AW651" s="68">
        <f t="shared" si="1195"/>
        <v>4.9578793424236434E-3</v>
      </c>
      <c r="AX651" s="113"/>
      <c r="AY651" s="113"/>
      <c r="AZ651" s="116"/>
      <c r="BA651" s="116"/>
      <c r="BB651" s="166"/>
      <c r="BC651" s="166"/>
      <c r="BD651" s="166"/>
      <c r="BE651" s="166"/>
      <c r="BF651" s="166"/>
      <c r="BG651" s="166"/>
      <c r="BH651" s="166"/>
      <c r="BI651" s="113"/>
      <c r="BJ651" s="113"/>
      <c r="BK651" s="113">
        <f>INDEX('Dist. Plant Gas Additions'!$E$7:$AE$91,MATCH($C651,'Dist. Plant Gas Additions'!$D$7:$D$91,0),MATCH(Calculation!$G651,'Dist. Plant Gas Additions'!$E$5:$AE$5,0))</f>
        <v>93161</v>
      </c>
      <c r="BL651" s="113">
        <f>INDEX('Gen. Plant Additions'!$E$7:$AE$91,MATCH($C651,'Gen. Plant Additions'!$D$7:$D$91,0),MATCH(Calculation!$G651,'Gen. Plant Additions'!$E$5:$AE$5,0))</f>
        <v>1093</v>
      </c>
      <c r="BM651" s="232">
        <v>0.97880350084115142</v>
      </c>
      <c r="BN651" s="61">
        <f t="shared" si="1194"/>
        <v>1069.8322264193785</v>
      </c>
      <c r="BO651" s="113"/>
      <c r="BP651" s="113"/>
      <c r="BQ651" s="175"/>
      <c r="BR651" s="175"/>
      <c r="BS651" s="170"/>
      <c r="BT651" s="176"/>
      <c r="BU651" s="177"/>
      <c r="BV651" s="177"/>
      <c r="BW651" s="113"/>
      <c r="BX651" s="113"/>
      <c r="BY651" s="113"/>
      <c r="BZ651" s="113"/>
      <c r="CA651" s="116">
        <v>2021</v>
      </c>
      <c r="CB651" s="113"/>
      <c r="CC651" s="113"/>
      <c r="CD651" s="113"/>
      <c r="CE651" s="175"/>
      <c r="CF651" s="113">
        <f t="shared" si="1157"/>
        <v>94254</v>
      </c>
      <c r="CG651" s="113">
        <f t="shared" si="1158"/>
        <v>101.0200719480361</v>
      </c>
      <c r="CH651" s="178">
        <f>+(51-23)/(51-23*0.75)</f>
        <v>0.82962962962962961</v>
      </c>
      <c r="CI651" s="113">
        <f>CI628*CH651+CG629*CH650+CG630*CH649+CG631*CH648+CG632*CH647+CG633*CH646+CG634*CH645+CG635*CH644+CG636*CH643+CG637*CH642+CG638*CH641+CG639*CH640+CG640*CH639+CG641*CH638+CG642*CH637+CG633*CH636+CG644*CH635+CG645*CH634+CG646*CH633+CG647*CH632+CG648*CH631+CG649*CH630+CG651+CG650*CH629</f>
        <v>2861.1648689063395</v>
      </c>
      <c r="CJ651" s="114"/>
      <c r="CK651" s="113"/>
      <c r="CL651" s="169">
        <f t="shared" si="1160"/>
        <v>7.2891481886061694E-3</v>
      </c>
      <c r="CM651" s="169">
        <f t="shared" si="1169"/>
        <v>9.1453167045023823E-3</v>
      </c>
      <c r="CN651" s="114">
        <f>VLOOKUP($H651,RoR!$E:$F,2,FALSE)</f>
        <v>2.7033333333333336E-2</v>
      </c>
      <c r="CO651" s="169"/>
      <c r="CP651" s="169"/>
      <c r="CQ651" s="169">
        <f t="shared" si="1170"/>
        <v>2.1756624904031241E-2</v>
      </c>
      <c r="CR651" s="169">
        <f t="shared" si="1171"/>
        <v>7.433422950153494E-2</v>
      </c>
      <c r="CS651" s="179">
        <f t="shared" si="1161"/>
        <v>0.90509623210000001</v>
      </c>
      <c r="CT651" s="180">
        <f t="shared" si="1162"/>
        <v>1.8969932656739068</v>
      </c>
      <c r="CU651" s="180">
        <f t="shared" si="1163"/>
        <v>5.0215782983970621E-2</v>
      </c>
      <c r="CV651" s="180">
        <f t="shared" si="1164"/>
        <v>0.655952481704143</v>
      </c>
      <c r="CW651" s="180">
        <f t="shared" si="1165"/>
        <v>6.2485378865697057E-2</v>
      </c>
      <c r="CX651" s="181">
        <f>CX650</f>
        <v>0.25649666999999998</v>
      </c>
      <c r="CY651" s="72">
        <v>0.37</v>
      </c>
      <c r="CZ651" s="182">
        <f t="shared" si="1168"/>
        <v>24.620803535301178</v>
      </c>
      <c r="DA651" s="182"/>
      <c r="DB651" s="169">
        <f t="shared" si="1172"/>
        <v>0.17186279323947676</v>
      </c>
      <c r="DC651" s="181">
        <f>VLOOKUP($H651,RoR!$E:$F,2,FALSE)</f>
        <v>2.7033333333333336E-2</v>
      </c>
      <c r="DD651" s="183">
        <f>HLOOKUP($H651,'GDP-PI'!$D$8:$CR$11,3,FALSE)</f>
        <v>4.2834637353352578E-2</v>
      </c>
      <c r="DE651" s="181">
        <f>VLOOKUP(H651,'HW Dx Data'!$E:$F,2,FALSE)</f>
        <v>933.02249921662576</v>
      </c>
      <c r="DF651" s="72">
        <f t="shared" si="1182"/>
        <v>157.25</v>
      </c>
      <c r="DG651" s="69">
        <f t="shared" si="1183"/>
        <v>2.6419062301765574E-2</v>
      </c>
      <c r="DH651" s="175">
        <f>HLOOKUP(H651,'GDP-PI'!$8:$9,2,FALSE)</f>
        <v>118.49</v>
      </c>
      <c r="DI651" s="169">
        <f t="shared" si="1173"/>
        <v>4.194261824609434E-2</v>
      </c>
      <c r="EB651"/>
    </row>
    <row r="652" spans="1:132" s="160" customFormat="1" ht="21">
      <c r="G652" s="161" t="s">
        <v>144</v>
      </c>
      <c r="H652" s="162"/>
      <c r="I652" s="163"/>
      <c r="J652" s="159">
        <v>43283.81988744501</v>
      </c>
      <c r="K652" s="159">
        <f t="shared" si="1174"/>
        <v>266.28003621928644</v>
      </c>
      <c r="L652" s="164">
        <f t="shared" ref="L652" si="1197">LN(K652/K651)</f>
        <v>0.11161441129147916</v>
      </c>
      <c r="M652" s="76">
        <f t="shared" si="1184"/>
        <v>1.2163254508106801E-3</v>
      </c>
      <c r="N652" s="166">
        <f>+N651*EXP(O652)</f>
        <v>119.38835709427278</v>
      </c>
      <c r="O652" s="114">
        <f t="shared" si="1185"/>
        <v>-9.3553149167088998E-3</v>
      </c>
      <c r="P652" s="114"/>
      <c r="Q652" s="163">
        <v>61014.541287121283</v>
      </c>
      <c r="R652" s="159">
        <f t="shared" si="1175"/>
        <v>479.48558968268196</v>
      </c>
      <c r="S652" s="165">
        <f t="shared" ref="S652" si="1198">LN(R652/R651)</f>
        <v>7.343807585886003E-2</v>
      </c>
      <c r="T652" s="165">
        <f t="shared" si="1187"/>
        <v>8.0029630306813302E-4</v>
      </c>
      <c r="U652" s="166"/>
      <c r="V652" s="114"/>
      <c r="W652" s="159">
        <f t="shared" si="1155"/>
        <v>72734.723743513139</v>
      </c>
      <c r="X652" s="168"/>
      <c r="Y652" s="167">
        <v>2912.1839870382269</v>
      </c>
      <c r="Z652" s="168">
        <v>1.7674471971221645E-2</v>
      </c>
      <c r="AA652" s="76">
        <f t="shared" si="1176"/>
        <v>1.9260873071395292E-4</v>
      </c>
      <c r="AB652" s="166"/>
      <c r="AC652" s="114"/>
      <c r="AD652" s="163">
        <f t="shared" si="1166"/>
        <v>177033.08491807943</v>
      </c>
      <c r="AE652" s="168">
        <f t="shared" si="1188"/>
        <v>0.10933521016869754</v>
      </c>
      <c r="AF652" s="113"/>
      <c r="AG652" s="114"/>
      <c r="AH652" s="114"/>
      <c r="AI652" s="114"/>
      <c r="AJ652" s="116">
        <f t="shared" si="1189"/>
        <v>651.74349268519472</v>
      </c>
      <c r="AK652" s="114"/>
      <c r="AL652" s="115">
        <f t="shared" si="1177"/>
        <v>0.24449565406078888</v>
      </c>
      <c r="AM652" s="115">
        <f t="shared" si="1178"/>
        <v>0.34465050030255784</v>
      </c>
      <c r="AN652" s="115">
        <f t="shared" si="1179"/>
        <v>0.41085384563665328</v>
      </c>
      <c r="AO652" s="115"/>
      <c r="AP652" s="166"/>
      <c r="AQ652" s="168"/>
      <c r="AR652" s="69">
        <f>+AD652/$AF$27</f>
        <v>1.0897566333385629E-2</v>
      </c>
      <c r="AS652" s="169"/>
      <c r="AT652" s="166"/>
      <c r="AU652" s="168"/>
      <c r="AV652" s="113">
        <v>271630</v>
      </c>
      <c r="AW652" s="68">
        <f t="shared" si="1195"/>
        <v>2.7983151379984834E-4</v>
      </c>
      <c r="AX652" s="113"/>
      <c r="AY652" s="113"/>
      <c r="AZ652" s="113"/>
      <c r="BA652" s="113"/>
      <c r="BB652" s="171"/>
      <c r="BC652" s="172"/>
      <c r="BD652" s="173"/>
      <c r="BE652" s="115"/>
      <c r="BF652" s="174"/>
      <c r="BG652" s="174"/>
      <c r="BH652" s="166"/>
      <c r="BI652" s="113"/>
      <c r="BJ652" s="113"/>
      <c r="BK652" s="113"/>
      <c r="BL652" s="113"/>
      <c r="BM652" s="232">
        <v>0.97880350084115142</v>
      </c>
      <c r="BN652" s="61">
        <f t="shared" si="1194"/>
        <v>0</v>
      </c>
      <c r="BO652" s="113"/>
      <c r="BP652" s="113"/>
      <c r="BQ652" s="175"/>
      <c r="BR652" s="175"/>
      <c r="BS652" s="170"/>
      <c r="BT652" s="176"/>
      <c r="BU652" s="177"/>
      <c r="BV652" s="177"/>
      <c r="BW652" s="113"/>
      <c r="BX652" s="113"/>
      <c r="BY652" s="113"/>
      <c r="BZ652" s="113"/>
      <c r="CA652" s="116">
        <v>2022</v>
      </c>
      <c r="CB652" s="113"/>
      <c r="CC652" s="113"/>
      <c r="CD652" s="113"/>
      <c r="CE652" s="175"/>
      <c r="CF652" s="238">
        <v>59539</v>
      </c>
      <c r="CG652" s="113">
        <f>+CF652/DE652</f>
        <v>57.75943190306652</v>
      </c>
      <c r="CH652" s="178">
        <f>+(51-24)/(51-24*0.75)</f>
        <v>0.81818181818181823</v>
      </c>
      <c r="CI652" s="113">
        <f>+CI628*CH652+CG629*CH651+CG630*CH650+CG631*CH649+CG632*CH648+CG633*CH647+CG634*CH646+CG635*CH645+CG636*CH644+CG637*CH643+CG638*CH642+CG639*CH641+CG640*CH640+CG641*CH639+CG642*CH638+CG643*CH637+CG644*CH636+CG645*CH635+CG646*CH634+CG647*CH633+CG648*CH632+CG649*CH631+CG650*CH630+CG651*CH629+CG652*CH628</f>
        <v>2878.5065877114835</v>
      </c>
      <c r="CJ652" s="114">
        <f t="shared" ref="CJ652" si="1199">LN(CI652/CI651)</f>
        <v>6.0427749935788493E-3</v>
      </c>
      <c r="CK652" s="113"/>
      <c r="CL652" s="169">
        <f t="shared" si="1160"/>
        <v>1.4126313914015013E-2</v>
      </c>
      <c r="CM652" s="169">
        <f t="shared" si="1169"/>
        <v>1.0545263906064249E-2</v>
      </c>
      <c r="CN652" s="114"/>
      <c r="CO652" s="169"/>
      <c r="CP652" s="169"/>
      <c r="CQ652" s="69">
        <f t="shared" si="1170"/>
        <v>2.0356677702469378E-2</v>
      </c>
      <c r="CR652" s="169">
        <f t="shared" si="1171"/>
        <v>0.10114668178709289</v>
      </c>
      <c r="CS652" s="179">
        <f t="shared" si="1161"/>
        <v>0.90509623210000001</v>
      </c>
      <c r="CT652" s="180"/>
      <c r="CU652" s="180"/>
      <c r="CV652" s="180"/>
      <c r="CW652" s="180"/>
      <c r="CX652" s="181">
        <f>CX651</f>
        <v>0.25649666999999998</v>
      </c>
      <c r="CY652" s="72">
        <v>0.37</v>
      </c>
      <c r="CZ652" s="182">
        <f t="shared" si="1168"/>
        <v>25.421367546469099</v>
      </c>
      <c r="DA652" s="182"/>
      <c r="DB652" s="169">
        <f t="shared" si="1172"/>
        <v>3.1998304639948953E-2</v>
      </c>
      <c r="DC652" s="181">
        <v>0.04</v>
      </c>
      <c r="DD652" s="183">
        <v>7.0000000000000001E-3</v>
      </c>
      <c r="DE652" s="181">
        <v>1030.81</v>
      </c>
      <c r="DF652" s="72">
        <f t="shared" si="1182"/>
        <v>162.55000000000001</v>
      </c>
      <c r="DG652" s="169">
        <f t="shared" si="1183"/>
        <v>3.3148751169364422E-2</v>
      </c>
      <c r="DH652" s="175">
        <v>127.25</v>
      </c>
      <c r="DI652" s="169">
        <f t="shared" si="1173"/>
        <v>7.1325086601983473E-2</v>
      </c>
      <c r="EB652"/>
    </row>
    <row r="653" spans="1:132" s="160" customFormat="1" ht="21">
      <c r="A653" s="160" t="s">
        <v>198</v>
      </c>
      <c r="B653" s="161" t="s">
        <v>198</v>
      </c>
      <c r="C653" s="161">
        <v>4057014</v>
      </c>
      <c r="D653" s="161" t="s">
        <v>171</v>
      </c>
      <c r="E653" s="161" t="s">
        <v>3</v>
      </c>
      <c r="F653" s="161"/>
      <c r="G653" s="161" t="s">
        <v>100</v>
      </c>
      <c r="H653" s="162">
        <v>1998</v>
      </c>
      <c r="I653" s="163"/>
      <c r="J653" s="159"/>
      <c r="K653" s="159"/>
      <c r="L653" s="159"/>
      <c r="M653" s="60"/>
      <c r="N653" s="131"/>
      <c r="O653" s="76"/>
      <c r="P653" s="76"/>
      <c r="Q653" s="165"/>
      <c r="R653" s="165"/>
      <c r="S653" s="165"/>
      <c r="T653" s="159"/>
      <c r="U653" s="165"/>
      <c r="V653" s="165"/>
      <c r="W653" s="159"/>
      <c r="X653" s="163"/>
      <c r="Y653" s="167">
        <v>3676.8940307587759</v>
      </c>
      <c r="Z653" s="168"/>
      <c r="AA653" s="78"/>
      <c r="AB653" s="168"/>
      <c r="AC653" s="168"/>
      <c r="AD653" s="163">
        <f t="shared" si="1166"/>
        <v>0</v>
      </c>
      <c r="AE653" s="163"/>
      <c r="AF653" s="163"/>
      <c r="AG653" s="114"/>
      <c r="AH653" s="114"/>
      <c r="AI653" s="114"/>
      <c r="AJ653" s="166">
        <f>+(AJ650+AJ651+AJ652)/3</f>
        <v>588.6185840991584</v>
      </c>
      <c r="AK653" s="168"/>
      <c r="AL653" s="115"/>
      <c r="AM653" s="115"/>
      <c r="AN653" s="115"/>
      <c r="AO653" s="115"/>
      <c r="AP653" s="115"/>
      <c r="AQ653" s="168">
        <f>AVERAGE(AQ662:AQ676)</f>
        <v>1.4824558773385425E-2</v>
      </c>
      <c r="AR653" s="79"/>
      <c r="AS653" s="115"/>
      <c r="AT653" s="115"/>
      <c r="AU653" s="115"/>
      <c r="AV653" s="113">
        <f>IFERROR(INDEX('Total Customers'!$F$7:$AB$91,MATCH($C653,'Total Customers'!$D$7:$D$91,0),MATCH($G653,'Total Customers'!$F$5:$AB$5,0)),"NA")</f>
        <v>530634</v>
      </c>
      <c r="AW653" s="68"/>
      <c r="AX653" s="114"/>
      <c r="AY653" s="114"/>
      <c r="AZ653" s="116"/>
      <c r="BA653" s="116"/>
      <c r="BB653" s="166"/>
      <c r="BC653" s="166"/>
      <c r="BD653" s="166"/>
      <c r="BE653" s="166"/>
      <c r="BF653" s="166"/>
      <c r="BG653" s="166"/>
      <c r="BH653" s="166"/>
      <c r="BI653" s="113">
        <f>INDEX('Gross Dx Plant'!$E$7:$AD$91,MATCH($C653,'Gross Dx Plant'!$D$7:$D$91,0),MATCH(Calculation!$G653,'Gross Dx Plant'!$E$5:$AD$5,0))</f>
        <v>1080651</v>
      </c>
      <c r="BJ653" s="113">
        <f>INDEX('Gross Gen Plant'!$E$7:$AD$91,MATCH($C653,'Gross Gen Plant'!$D$7:$D$91,0),MATCH(Calculation!$G653,'Gross Gen Plant'!$E$5:$AD$5,0))</f>
        <v>31632</v>
      </c>
      <c r="BK653" s="113">
        <f>INDEX('Dist. Plant Gas Additions'!$F$7:$AE$91,MATCH($C653,'Dist. Plant Gas Additions'!$D$7:$D$91,0),MATCH(Calculation!$G653,'Dist. Plant Gas Additions'!$F$5:$AE$5,0))</f>
        <v>41808</v>
      </c>
      <c r="BL653" s="113">
        <f>INDEX('Gen. Plant Additions'!$F$7:$AE$91,MATCH($C653,'Gen. Plant Additions'!$D$7:$D$91,0),MATCH(Calculation!$G653,'Gen. Plant Additions'!$F$5:$AE$5,0))</f>
        <v>7268</v>
      </c>
      <c r="BM653" s="231">
        <f>+(BW653/(BW653+BX653))</f>
        <v>0.97156119440825761</v>
      </c>
      <c r="BN653" s="61">
        <f t="shared" si="1194"/>
        <v>7061.3067609592163</v>
      </c>
      <c r="BO653" s="113">
        <f>INDEX('Dist Plant Depreciation'!$E$7:$AD$94,MATCH($C653,'Dist Plant Depreciation'!$D$7:$D$94,0),MATCH(Calculation!$G653,'Dist Plant Depreciation'!$E$5:$AD$5,0))</f>
        <v>338949.5</v>
      </c>
      <c r="BP653" s="113"/>
      <c r="BQ653" s="113"/>
      <c r="BR653" s="113"/>
      <c r="BS653" s="113"/>
      <c r="BT653" s="113"/>
      <c r="BU653" s="113"/>
      <c r="BV653" s="113"/>
      <c r="BW653" s="113">
        <f>INDEX('Gross Dx Plant'!$E$7:$AD$91,MATCH($C653,'Gross Dx Plant'!$D$7:$D$91,0),MATCH(Calculation!$G653,'Gross Dx Plant'!$E$5:$AD$5,0))</f>
        <v>1080651</v>
      </c>
      <c r="BX653" s="113">
        <f>INDEX('Gross Gen Plant'!$E$7:$AD$91,MATCH($C653,'Gross Gen Plant'!$D$7:$D$91,0),MATCH(Calculation!$G653,'Gross Gen Plant'!$E$5:$AD$5,0))</f>
        <v>31632</v>
      </c>
      <c r="BY653" s="113">
        <f t="shared" si="1196"/>
        <v>773333.5</v>
      </c>
      <c r="BZ653" s="113"/>
      <c r="CA653" s="116">
        <v>1998</v>
      </c>
      <c r="CB653" s="113">
        <f>BI653+BJ653</f>
        <v>1112283</v>
      </c>
      <c r="CC653" s="113">
        <f>338950+31632</f>
        <v>370582</v>
      </c>
      <c r="CD653" s="113">
        <f>+CB653-CC653</f>
        <v>741701</v>
      </c>
      <c r="CE653" s="113">
        <f>CD653/$BV$3</f>
        <v>3676.8940307587759</v>
      </c>
      <c r="CF653" s="175"/>
      <c r="CG653" s="175"/>
      <c r="CH653" s="178">
        <v>1</v>
      </c>
      <c r="CI653" s="113">
        <f>+CE653</f>
        <v>3676.8940307587759</v>
      </c>
      <c r="CJ653" s="114"/>
      <c r="CK653" s="114"/>
      <c r="CL653" s="169"/>
      <c r="CM653" s="169"/>
      <c r="CN653" s="114" t="e">
        <f>VLOOKUP($H653,RoR!$E:$F,2,FALSE)</f>
        <v>#N/A</v>
      </c>
      <c r="CO653" s="169">
        <v>1.1028127770464469E-2</v>
      </c>
      <c r="CP653" s="169"/>
      <c r="CQ653" s="169"/>
      <c r="CR653" s="169"/>
      <c r="CS653" s="179"/>
      <c r="CT653" s="182" t="e">
        <f>2/(DC653*39)</f>
        <v>#N/A</v>
      </c>
      <c r="CU653" s="180" t="e">
        <f>+(DC653*40-(1+DC653))/(DC653*40)</f>
        <v>#N/A</v>
      </c>
      <c r="CV653" s="180" t="e">
        <f>+(1-(1/(1+DC653)^40))</f>
        <v>#N/A</v>
      </c>
      <c r="CW653" s="180" t="e">
        <f>+CV653*CU653*CT653</f>
        <v>#N/A</v>
      </c>
      <c r="CX653" s="181">
        <f>INDEX('State Tax Lookup'!$D$7:$Z$91,MATCH(Calculation!$C653,'State Tax Lookup'!$B$7:$B$91,0),MATCH($H653,'State Tax Lookup'!$D$6:$Z$6,0))</f>
        <v>0.39649667</v>
      </c>
      <c r="CY653" s="72">
        <v>0.37</v>
      </c>
      <c r="CZ653" s="66"/>
      <c r="DA653" s="66"/>
      <c r="DB653" s="69"/>
      <c r="DC653" s="111" t="e">
        <f>VLOOKUP($H653,RoR!$E:$F,2,FALSE)</f>
        <v>#N/A</v>
      </c>
      <c r="DD653" s="216">
        <f>HLOOKUP($H653,'GDP-PI'!$D$8:$CQ$11,3,FALSE)</f>
        <v>1.1028127770464469E-2</v>
      </c>
      <c r="DE653" s="111">
        <f>VLOOKUP(H653,'HW Dx Data'!$E:$F,2,FALSE)</f>
        <v>329.24564746449528</v>
      </c>
      <c r="DF653" s="72" t="e">
        <f t="shared" si="1182"/>
        <v>#N/A</v>
      </c>
      <c r="DG653" s="169" t="e">
        <f t="shared" si="1183"/>
        <v>#N/A</v>
      </c>
      <c r="DH653" s="66">
        <f>HLOOKUP(H653,'GDP-PI'!$8:$9,2,FALSE)</f>
        <v>75.266999999999996</v>
      </c>
      <c r="DI653"/>
      <c r="EB653"/>
    </row>
    <row r="654" spans="1:132" s="160" customFormat="1" ht="21">
      <c r="A654" s="160" t="s">
        <v>198</v>
      </c>
      <c r="B654" s="161" t="s">
        <v>198</v>
      </c>
      <c r="C654" s="161">
        <v>4057014</v>
      </c>
      <c r="D654" s="161" t="s">
        <v>171</v>
      </c>
      <c r="E654" s="161" t="s">
        <v>3</v>
      </c>
      <c r="F654" s="161"/>
      <c r="G654" s="161" t="s">
        <v>106</v>
      </c>
      <c r="H654" s="162">
        <v>1999</v>
      </c>
      <c r="I654" s="163"/>
      <c r="J654" s="159"/>
      <c r="K654" s="163"/>
      <c r="L654" s="163"/>
      <c r="M654" s="60"/>
      <c r="N654" s="152"/>
      <c r="O654" s="60"/>
      <c r="P654" s="59"/>
      <c r="Q654" s="169"/>
      <c r="R654" s="169"/>
      <c r="S654" s="169"/>
      <c r="T654" s="187"/>
      <c r="U654" s="169"/>
      <c r="V654" s="169"/>
      <c r="W654" s="159">
        <f t="shared" ref="W654:W677" si="1200">+CI653*CZ654</f>
        <v>0</v>
      </c>
      <c r="X654" s="163"/>
      <c r="Y654" s="167">
        <v>3876.7297123116891</v>
      </c>
      <c r="Z654" s="168">
        <v>5.292355815908923E-2</v>
      </c>
      <c r="AA654" s="78"/>
      <c r="AB654" s="168"/>
      <c r="AC654" s="168"/>
      <c r="AD654" s="163">
        <f t="shared" si="1166"/>
        <v>0</v>
      </c>
      <c r="AE654" s="168"/>
      <c r="AF654" s="163"/>
      <c r="AG654" s="114"/>
      <c r="AH654" s="114"/>
      <c r="AI654" s="114"/>
      <c r="AJ654" s="167"/>
      <c r="AK654" s="168"/>
      <c r="AL654" s="115"/>
      <c r="AM654" s="115"/>
      <c r="AN654" s="115"/>
      <c r="AO654" s="115"/>
      <c r="AP654" s="115"/>
      <c r="AQ654" s="168"/>
      <c r="AR654" s="79"/>
      <c r="AS654" s="115"/>
      <c r="AT654" s="115"/>
      <c r="AU654" s="115"/>
      <c r="AV654" s="113">
        <f>IFERROR(INDEX('Total Customers'!$F$7:$AB$91,MATCH($C654,'Total Customers'!$D$7:$D$91,0),MATCH($G654,'Total Customers'!$F$5:$AB$5,0)),"NA")</f>
        <v>538554</v>
      </c>
      <c r="AW654" s="68">
        <f t="shared" si="1195"/>
        <v>1.4815252067902013E-2</v>
      </c>
      <c r="AX654" s="114"/>
      <c r="AY654" s="114"/>
      <c r="AZ654" s="116"/>
      <c r="BA654" s="116"/>
      <c r="BB654" s="166"/>
      <c r="BC654" s="166"/>
      <c r="BD654" s="166"/>
      <c r="BE654" s="166"/>
      <c r="BF654" s="166"/>
      <c r="BG654" s="166"/>
      <c r="BH654" s="166"/>
      <c r="BI654" s="113"/>
      <c r="BJ654" s="113"/>
      <c r="BK654" s="113">
        <f>INDEX('Dist. Plant Gas Additions'!$F$7:$AE$91,MATCH($C654,'Dist. Plant Gas Additions'!$D$7:$D$91,0),MATCH(Calculation!$G654,'Dist. Plant Gas Additions'!$F$5:$AE$5,0))</f>
        <v>71563</v>
      </c>
      <c r="BL654" s="113">
        <f>INDEX('Gen. Plant Additions'!$F$7:$AE$91,MATCH($C654,'Gen. Plant Additions'!$D$7:$D$91,0),MATCH(Calculation!$G654,'Gen. Plant Additions'!$F$5:$AE$5,0))</f>
        <v>1581</v>
      </c>
      <c r="BM654" s="231">
        <f t="shared" ref="BM654:BM675" si="1201">+(BW654/(BW654+BX654))</f>
        <v>0.97184249704113923</v>
      </c>
      <c r="BN654" s="61">
        <f t="shared" si="1194"/>
        <v>1536.4829878220412</v>
      </c>
      <c r="BO654" s="113">
        <f>INDEX('Dist Plant Depreciation'!$E$7:$AD$94,MATCH($C654,'Dist Plant Depreciation'!$D$7:$D$94,0),MATCH(Calculation!$G654,'Dist Plant Depreciation'!$E$5:$AD$5,0))</f>
        <v>363090</v>
      </c>
      <c r="BP654" s="113">
        <f>INDEX('Gen. Plant Depreciation'!$E$7:$AD$94,MATCH($C654,'Gen. Plant Depreciation'!$D$7:$D$94,0),MATCH(Calculation!$G654,'Gen. Plant Depreciation'!$E$5:$AD$5,0))</f>
        <v>7314</v>
      </c>
      <c r="BQ654" s="113"/>
      <c r="BR654" s="113"/>
      <c r="BS654" s="113"/>
      <c r="BT654" s="113"/>
      <c r="BU654" s="113"/>
      <c r="BV654" s="113"/>
      <c r="BW654" s="113">
        <f>INDEX('Gross Dx Plant'!$E$7:$AD$91,MATCH($C654,'Gross Dx Plant'!$D$7:$D$91,0),MATCH(Calculation!$G654,'Gross Dx Plant'!$E$5:$AD$5,0))</f>
        <v>1146296</v>
      </c>
      <c r="BX654" s="113">
        <f>INDEX('Gross Gen Plant'!$E$7:$AD$91,MATCH($C654,'Gross Gen Plant'!$D$7:$D$91,0),MATCH(Calculation!$G654,'Gross Gen Plant'!$E$5:$AD$5,0))</f>
        <v>33212</v>
      </c>
      <c r="BY654" s="113">
        <f t="shared" si="1196"/>
        <v>809104</v>
      </c>
      <c r="BZ654" s="113"/>
      <c r="CA654" s="116">
        <v>1999</v>
      </c>
      <c r="CB654" s="113"/>
      <c r="CC654" s="113"/>
      <c r="CD654" s="113"/>
      <c r="CE654" s="175"/>
      <c r="CF654" s="113">
        <f t="shared" ref="CF654:CF676" si="1202">+BL654+BK654</f>
        <v>73144</v>
      </c>
      <c r="CG654" s="113">
        <f t="shared" ref="CG654:CG676" si="1203">+CF654/$DE654</f>
        <v>218.12868668106657</v>
      </c>
      <c r="CH654" s="178">
        <v>0.99502487562189057</v>
      </c>
      <c r="CI654" s="61">
        <f>+CI653*CH654+CG654</f>
        <v>3876.7297123116891</v>
      </c>
      <c r="CJ654" s="114">
        <f t="shared" ref="CJ654:CJ675" si="1204">LN(CI654/CI653)</f>
        <v>5.292355815908923E-2</v>
      </c>
      <c r="CK654" s="114"/>
      <c r="CL654" s="169">
        <f t="shared" ref="CL654:CL677" si="1205">+(CI653-CI654+CG654)/CI653</f>
        <v>4.9751243781095142E-3</v>
      </c>
      <c r="CM654" s="169"/>
      <c r="CN654" s="114">
        <f>VLOOKUP($H654,RoR!$E:$F,2,FALSE)</f>
        <v>7.0416666666666669E-2</v>
      </c>
      <c r="CO654" s="169">
        <v>1.4335631817396832E-2</v>
      </c>
      <c r="CP654" s="169">
        <f>+CN654-CO654</f>
        <v>5.6081034849269837E-2</v>
      </c>
      <c r="CQ654" s="169"/>
      <c r="CR654" s="169"/>
      <c r="CS654" s="179">
        <f t="shared" ref="CS654:CS678" si="1206">1-CX654*CY654</f>
        <v>0.85329623209999994</v>
      </c>
      <c r="CT654" s="180">
        <f t="shared" ref="CT654:CT676" si="1207">2/(DC654*39)</f>
        <v>0.72826581702321336</v>
      </c>
      <c r="CU654" s="180">
        <f t="shared" ref="CU654:CU676" si="1208">+(DC654*40-(1+DC654))/(DC654*40)</f>
        <v>0.61997041420118348</v>
      </c>
      <c r="CV654" s="180">
        <f t="shared" ref="CV654:CV676" si="1209">+(1-(1/(1+DC654)^40))</f>
        <v>0.93425155319585029</v>
      </c>
      <c r="CW654" s="180">
        <f t="shared" ref="CW654:CW676" si="1210">+CV654*CU654*CT654</f>
        <v>0.42181762214141483</v>
      </c>
      <c r="CX654" s="181">
        <f>INDEX('State Tax Lookup'!$D$7:$Z$91,MATCH(Calculation!$C654,'State Tax Lookup'!$B$7:$B$91,0),MATCH($H654,'State Tax Lookup'!$D$6:$Z$6,0))</f>
        <v>0.39649667</v>
      </c>
      <c r="CY654" s="72">
        <v>0.37</v>
      </c>
      <c r="CZ654" s="70"/>
      <c r="DA654" s="70"/>
      <c r="DB654" s="69"/>
      <c r="DC654" s="111">
        <f>VLOOKUP($H654,RoR!$E:$F,2,FALSE)</f>
        <v>7.0416666666666669E-2</v>
      </c>
      <c r="DD654" s="216">
        <f>HLOOKUP($H654,'GDP-PI'!$D$8:$CQ$11,3,FALSE)</f>
        <v>1.4335631817396832E-2</v>
      </c>
      <c r="DE654" s="111">
        <f>VLOOKUP(H654,'HW Dx Data'!$E:$F,2,FALSE)</f>
        <v>335.32499146683239</v>
      </c>
      <c r="DF654" s="66"/>
      <c r="DG654" s="69"/>
      <c r="DH654" s="66">
        <f>HLOOKUP(H654,'GDP-PI'!$8:$9,2,FALSE)</f>
        <v>76.346000000000004</v>
      </c>
      <c r="DI654"/>
      <c r="EB654"/>
    </row>
    <row r="655" spans="1:132" s="160" customFormat="1" ht="21">
      <c r="A655" s="160" t="s">
        <v>198</v>
      </c>
      <c r="B655" s="161" t="s">
        <v>198</v>
      </c>
      <c r="C655" s="161">
        <v>4057014</v>
      </c>
      <c r="D655" s="161" t="s">
        <v>171</v>
      </c>
      <c r="E655" s="161" t="s">
        <v>3</v>
      </c>
      <c r="F655" s="161"/>
      <c r="G655" s="161" t="s">
        <v>107</v>
      </c>
      <c r="H655" s="162">
        <v>2000</v>
      </c>
      <c r="I655" s="163"/>
      <c r="J655" s="159"/>
      <c r="K655" s="159"/>
      <c r="L655" s="159"/>
      <c r="M655" s="60"/>
      <c r="N655" s="152"/>
      <c r="O655" s="60"/>
      <c r="P655" s="60"/>
      <c r="Q655" s="159"/>
      <c r="R655" s="159"/>
      <c r="S655" s="159"/>
      <c r="T655" s="159"/>
      <c r="U655" s="159"/>
      <c r="V655" s="159"/>
      <c r="W655" s="159">
        <f t="shared" si="1200"/>
        <v>0</v>
      </c>
      <c r="X655" s="163"/>
      <c r="Y655" s="167">
        <v>4010.0203414794269</v>
      </c>
      <c r="Z655" s="168">
        <v>3.3804373414420462E-2</v>
      </c>
      <c r="AA655" s="78"/>
      <c r="AB655" s="168"/>
      <c r="AC655" s="168"/>
      <c r="AD655" s="163">
        <f t="shared" si="1166"/>
        <v>0</v>
      </c>
      <c r="AE655" s="168"/>
      <c r="AF655" s="163"/>
      <c r="AG655" s="163"/>
      <c r="AH655" s="163"/>
      <c r="AI655" s="163"/>
      <c r="AJ655" s="167"/>
      <c r="AK655" s="168"/>
      <c r="AL655" s="115"/>
      <c r="AM655" s="115"/>
      <c r="AN655" s="115"/>
      <c r="AO655" s="115"/>
      <c r="AP655" s="115"/>
      <c r="AQ655" s="168"/>
      <c r="AR655" s="79"/>
      <c r="AS655" s="115"/>
      <c r="AT655" s="115"/>
      <c r="AU655" s="115"/>
      <c r="AV655" s="113">
        <f>IFERROR(INDEX('Total Customers'!$F$7:$AB$91,MATCH($C655,'Total Customers'!$D$7:$D$91,0),MATCH($G655,'Total Customers'!$F$5:$AB$5,0)),"NA")</f>
        <v>544080</v>
      </c>
      <c r="AW655" s="68">
        <f t="shared" si="1195"/>
        <v>1.020852474696575E-2</v>
      </c>
      <c r="AX655" s="114"/>
      <c r="AY655" s="114"/>
      <c r="AZ655" s="116"/>
      <c r="BA655" s="116"/>
      <c r="BB655" s="166"/>
      <c r="BC655" s="166"/>
      <c r="BD655" s="166"/>
      <c r="BE655" s="166"/>
      <c r="BF655" s="166"/>
      <c r="BG655" s="166"/>
      <c r="BH655" s="166"/>
      <c r="BI655" s="113"/>
      <c r="BJ655" s="113"/>
      <c r="BK655" s="113">
        <f>INDEX('Dist. Plant Gas Additions'!$F$7:$AE$91,MATCH($C655,'Dist. Plant Gas Additions'!$D$7:$D$91,0),MATCH(Calculation!$G655,'Dist. Plant Gas Additions'!$F$5:$AE$5,0))</f>
        <v>50931</v>
      </c>
      <c r="BL655" s="113">
        <f>INDEX('Gen. Plant Additions'!$F$7:$AE$91,MATCH($C655,'Gen. Plant Additions'!$D$7:$D$91,0),MATCH(Calculation!$G655,'Gen. Plant Additions'!$F$5:$AE$5,0))</f>
        <v>2166</v>
      </c>
      <c r="BM655" s="231">
        <f t="shared" si="1201"/>
        <v>0.97526693094340922</v>
      </c>
      <c r="BN655" s="61">
        <f t="shared" si="1194"/>
        <v>2112.4281724234243</v>
      </c>
      <c r="BO655" s="113">
        <f>INDEX('Dist Plant Depreciation'!$E$7:$AD$94,MATCH($C655,'Dist Plant Depreciation'!$D$7:$D$94,0),MATCH(Calculation!$G655,'Dist Plant Depreciation'!$E$5:$AD$5,0))</f>
        <v>385008</v>
      </c>
      <c r="BP655" s="113">
        <f>INDEX('Gen. Plant Depreciation'!$E$7:$AD$94,MATCH($C655,'Gen. Plant Depreciation'!$D$7:$D$94,0),MATCH(Calculation!$G655,'Gen. Plant Depreciation'!$E$5:$AD$5,0))</f>
        <v>9841</v>
      </c>
      <c r="BQ655" s="113"/>
      <c r="BR655" s="113"/>
      <c r="BS655" s="113"/>
      <c r="BT655" s="113"/>
      <c r="BU655" s="113"/>
      <c r="BV655" s="113"/>
      <c r="BW655" s="113">
        <f>INDEX('Gross Dx Plant'!$E$7:$AD$91,MATCH($C655,'Gross Dx Plant'!$D$7:$D$91,0),MATCH(Calculation!$G655,'Gross Dx Plant'!$E$5:$AD$5,0))</f>
        <v>1194189</v>
      </c>
      <c r="BX655" s="113">
        <f>INDEX('Gross Gen Plant'!$E$7:$AD$91,MATCH($C655,'Gross Gen Plant'!$D$7:$D$91,0),MATCH(Calculation!$G655,'Gross Gen Plant'!$E$5:$AD$5,0))</f>
        <v>30285</v>
      </c>
      <c r="BY655" s="113">
        <f t="shared" si="1196"/>
        <v>829625</v>
      </c>
      <c r="BZ655" s="113"/>
      <c r="CA655" s="116">
        <v>2000</v>
      </c>
      <c r="CB655" s="113"/>
      <c r="CC655" s="113"/>
      <c r="CD655" s="113"/>
      <c r="CE655" s="175"/>
      <c r="CF655" s="113">
        <f t="shared" si="1202"/>
        <v>53097</v>
      </c>
      <c r="CG655" s="113">
        <f t="shared" si="1203"/>
        <v>153.22318513129454</v>
      </c>
      <c r="CH655" s="178">
        <v>0.98989898989898994</v>
      </c>
      <c r="CI655" s="61">
        <f>+CI653*CH655+CG654*CH654+CG655</f>
        <v>4010.0203414794269</v>
      </c>
      <c r="CJ655" s="114">
        <f t="shared" si="1204"/>
        <v>3.3804373414420462E-2</v>
      </c>
      <c r="CK655" s="114"/>
      <c r="CL655" s="169">
        <f t="shared" si="1205"/>
        <v>5.1415903203814147E-3</v>
      </c>
      <c r="CM655" s="169"/>
      <c r="CN655" s="114">
        <f>VLOOKUP($H655,RoR!$E:$F,2,FALSE)</f>
        <v>7.6225000000000001E-2</v>
      </c>
      <c r="CO655" s="169">
        <v>2.2568307442433211E-2</v>
      </c>
      <c r="CP655" s="169">
        <f t="shared" ref="CP655:CP675" si="1211">+CN655-CO655</f>
        <v>5.365669255756679E-2</v>
      </c>
      <c r="CQ655" s="169"/>
      <c r="CR655" s="169"/>
      <c r="CS655" s="179">
        <f t="shared" si="1206"/>
        <v>0.85329623209999994</v>
      </c>
      <c r="CT655" s="180">
        <f t="shared" si="1207"/>
        <v>0.67277207323124022</v>
      </c>
      <c r="CU655" s="180">
        <f t="shared" si="1208"/>
        <v>0.6470236142997704</v>
      </c>
      <c r="CV655" s="180">
        <f t="shared" si="1209"/>
        <v>0.94704866037543145</v>
      </c>
      <c r="CW655" s="180">
        <f t="shared" si="1210"/>
        <v>0.41224973107878493</v>
      </c>
      <c r="CX655" s="181">
        <f>INDEX('State Tax Lookup'!$D$7:$Z$91,MATCH(Calculation!$C655,'State Tax Lookup'!$B$7:$B$91,0),MATCH($H655,'State Tax Lookup'!$D$6:$Z$6,0))</f>
        <v>0.39649667</v>
      </c>
      <c r="CY655" s="72">
        <v>0.37</v>
      </c>
      <c r="CZ655" s="70"/>
      <c r="DA655" s="70"/>
      <c r="DB655" s="69"/>
      <c r="DC655" s="111">
        <f>VLOOKUP($H655,RoR!$E:$F,2,FALSE)</f>
        <v>7.6225000000000001E-2</v>
      </c>
      <c r="DD655" s="216">
        <f>HLOOKUP($H655,'GDP-PI'!$D$8:$CQ$11,3,FALSE)</f>
        <v>2.2568307442433211E-2</v>
      </c>
      <c r="DE655" s="111">
        <f>VLOOKUP(H655,'HW Dx Data'!$E:$F,2,FALSE)</f>
        <v>346.53371782150339</v>
      </c>
      <c r="DF655" s="66"/>
      <c r="DG655" s="69"/>
      <c r="DH655" s="66">
        <f>HLOOKUP(H655,'GDP-PI'!$8:$9,2,FALSE)</f>
        <v>78.069000000000003</v>
      </c>
      <c r="DI655"/>
      <c r="EB655"/>
    </row>
    <row r="656" spans="1:132" s="160" customFormat="1" ht="21">
      <c r="A656" s="160" t="s">
        <v>198</v>
      </c>
      <c r="B656" s="161" t="s">
        <v>198</v>
      </c>
      <c r="C656" s="161">
        <v>4057014</v>
      </c>
      <c r="D656" s="161" t="s">
        <v>171</v>
      </c>
      <c r="E656" s="161" t="s">
        <v>3</v>
      </c>
      <c r="F656" s="161"/>
      <c r="G656" s="161" t="s">
        <v>111</v>
      </c>
      <c r="H656" s="162">
        <v>2001</v>
      </c>
      <c r="I656" s="163"/>
      <c r="J656" s="159"/>
      <c r="K656" s="159"/>
      <c r="L656" s="159"/>
      <c r="M656" s="60"/>
      <c r="N656" s="152"/>
      <c r="O656" s="60"/>
      <c r="P656" s="60"/>
      <c r="Q656" s="159"/>
      <c r="R656" s="159"/>
      <c r="S656" s="159"/>
      <c r="T656" s="159"/>
      <c r="U656" s="159"/>
      <c r="V656" s="159"/>
      <c r="W656" s="159">
        <f t="shared" si="1200"/>
        <v>51610.507426536031</v>
      </c>
      <c r="X656" s="163"/>
      <c r="Y656" s="167">
        <v>4104.0125405772742</v>
      </c>
      <c r="Z656" s="168">
        <v>2.3168849566268582E-2</v>
      </c>
      <c r="AA656" s="78"/>
      <c r="AB656" s="168"/>
      <c r="AC656" s="168"/>
      <c r="AD656" s="163">
        <f t="shared" si="1166"/>
        <v>51610.507426536031</v>
      </c>
      <c r="AE656" s="168"/>
      <c r="AF656" s="163"/>
      <c r="AG656" s="163"/>
      <c r="AH656" s="163"/>
      <c r="AI656" s="163"/>
      <c r="AJ656" s="167"/>
      <c r="AK656" s="168"/>
      <c r="AL656" s="115"/>
      <c r="AM656" s="115"/>
      <c r="AN656" s="115"/>
      <c r="AO656" s="115"/>
      <c r="AP656" s="115"/>
      <c r="AQ656" s="168"/>
      <c r="AR656" s="79"/>
      <c r="AS656" s="115"/>
      <c r="AT656" s="115"/>
      <c r="AU656" s="115"/>
      <c r="AV656" s="113">
        <f>IFERROR(INDEX('Total Customers'!$F$7:$AB$91,MATCH($C656,'Total Customers'!$D$7:$D$91,0),MATCH($G656,'Total Customers'!$F$5:$AB$5,0)),"NA")</f>
        <v>548021</v>
      </c>
      <c r="AW656" s="68">
        <f t="shared" si="1195"/>
        <v>7.2173125142782875E-3</v>
      </c>
      <c r="AX656" s="114"/>
      <c r="AY656" s="114"/>
      <c r="AZ656" s="116"/>
      <c r="BA656" s="116"/>
      <c r="BB656" s="166"/>
      <c r="BC656" s="166"/>
      <c r="BD656" s="166"/>
      <c r="BE656" s="166"/>
      <c r="BF656" s="166"/>
      <c r="BG656" s="166"/>
      <c r="BH656" s="166"/>
      <c r="BI656" s="113"/>
      <c r="BJ656" s="113"/>
      <c r="BK656" s="113">
        <f>INDEX('Dist. Plant Gas Additions'!$F$7:$AE$91,MATCH($C656,'Dist. Plant Gas Additions'!$D$7:$D$91,0),MATCH(Calculation!$G656,'Dist. Plant Gas Additions'!$F$5:$AE$5,0))</f>
        <v>39514</v>
      </c>
      <c r="BL656" s="113">
        <f>INDEX('Gen. Plant Additions'!$F$7:$AE$91,MATCH($C656,'Gen. Plant Additions'!$D$7:$D$91,0),MATCH(Calculation!$G656,'Gen. Plant Additions'!$F$5:$AE$5,0))</f>
        <v>969</v>
      </c>
      <c r="BM656" s="231">
        <f t="shared" si="1201"/>
        <v>0.97541878172588836</v>
      </c>
      <c r="BN656" s="61">
        <f t="shared" si="1194"/>
        <v>945.18079949238586</v>
      </c>
      <c r="BO656" s="113">
        <f>INDEX('Dist Plant Depreciation'!$E$7:$AD$94,MATCH($C656,'Dist Plant Depreciation'!$D$7:$D$94,0),MATCH(Calculation!$G656,'Dist Plant Depreciation'!$E$5:$AD$5,0))</f>
        <v>402453</v>
      </c>
      <c r="BP656" s="113">
        <f>INDEX('Gen. Plant Depreciation'!$E$7:$AD$94,MATCH($C656,'Gen. Plant Depreciation'!$D$7:$D$94,0),MATCH(Calculation!$G656,'Gen. Plant Depreciation'!$E$5:$AD$5,0))</f>
        <v>13655</v>
      </c>
      <c r="BQ656" s="113"/>
      <c r="BR656" s="113"/>
      <c r="BS656" s="113"/>
      <c r="BT656" s="113"/>
      <c r="BU656" s="113"/>
      <c r="BV656" s="113"/>
      <c r="BW656" s="113">
        <f>INDEX('Gross Dx Plant'!$E$7:$AD$91,MATCH($C656,'Gross Dx Plant'!$D$7:$D$91,0),MATCH(Calculation!$G656,'Gross Dx Plant'!$E$5:$AD$5,0))</f>
        <v>1229808</v>
      </c>
      <c r="BX656" s="113">
        <f>INDEX('Gross Gen Plant'!$E$7:$AD$91,MATCH($C656,'Gross Gen Plant'!$D$7:$D$91,0),MATCH(Calculation!$G656,'Gross Gen Plant'!$E$5:$AD$5,0))</f>
        <v>30992</v>
      </c>
      <c r="BY656" s="113">
        <f t="shared" si="1196"/>
        <v>844692</v>
      </c>
      <c r="BZ656" s="113"/>
      <c r="CA656" s="116">
        <v>2001</v>
      </c>
      <c r="CB656" s="113"/>
      <c r="CC656" s="113"/>
      <c r="CD656" s="113"/>
      <c r="CE656" s="175"/>
      <c r="CF656" s="113">
        <f t="shared" si="1202"/>
        <v>40483</v>
      </c>
      <c r="CG656" s="113">
        <f t="shared" si="1203"/>
        <v>114.53755854683445</v>
      </c>
      <c r="CH656" s="178">
        <v>0.98461538461538467</v>
      </c>
      <c r="CI656" s="61">
        <f>+CI653*CH656+CG654*CH655+CG655*CH653+CG656</f>
        <v>4104.0125405772742</v>
      </c>
      <c r="CJ656" s="114">
        <f t="shared" si="1204"/>
        <v>2.3168849566268582E-2</v>
      </c>
      <c r="CK656" s="114"/>
      <c r="CL656" s="169">
        <f t="shared" si="1205"/>
        <v>5.1235050447168713E-3</v>
      </c>
      <c r="CM656" s="169">
        <f>+(CL656+CL655+CL654)/3</f>
        <v>5.0800732477359334E-3</v>
      </c>
      <c r="CN656" s="114">
        <f>VLOOKUP($H656,RoR!$E:$F,2,FALSE)</f>
        <v>7.0824999999999999E-2</v>
      </c>
      <c r="CO656" s="169">
        <v>2.2454495382290052E-2</v>
      </c>
      <c r="CP656" s="169">
        <f t="shared" si="1211"/>
        <v>4.8370504617709947E-2</v>
      </c>
      <c r="CQ656" s="169">
        <f>+$CP$2-CM656</f>
        <v>2.5821868360797692E-2</v>
      </c>
      <c r="CR656" s="169">
        <f>+((DE654/DE653-1)+(DE655/DE654-1)+(DE656/DE655-1))/3</f>
        <v>2.3947275901631187E-2</v>
      </c>
      <c r="CS656" s="179">
        <f t="shared" si="1206"/>
        <v>0.85329623209999994</v>
      </c>
      <c r="CT656" s="180">
        <f t="shared" si="1207"/>
        <v>0.72406708481540816</v>
      </c>
      <c r="CU656" s="180">
        <f t="shared" si="1208"/>
        <v>0.62201729615248857</v>
      </c>
      <c r="CV656" s="180">
        <f t="shared" si="1209"/>
        <v>0.9352469954311422</v>
      </c>
      <c r="CW656" s="180">
        <f t="shared" si="1210"/>
        <v>0.42121864641655071</v>
      </c>
      <c r="CX656" s="181">
        <f>INDEX('State Tax Lookup'!$D$7:$Z$91,MATCH(Calculation!$C656,'State Tax Lookup'!$B$7:$B$91,0),MATCH($H656,'State Tax Lookup'!$D$6:$Z$6,0))</f>
        <v>0.39649667</v>
      </c>
      <c r="CY656" s="72">
        <v>0.37</v>
      </c>
      <c r="CZ656" s="70">
        <f t="shared" ref="CZ656:CZ678" si="1212">+(DE656*CQ656-CR656)*CS656/(1-CX656)</f>
        <v>12.870385442357939</v>
      </c>
      <c r="DA656" s="70"/>
      <c r="DB656" s="69"/>
      <c r="DC656" s="111">
        <f>VLOOKUP($H656,RoR!$E:$F,2,FALSE)</f>
        <v>7.0824999999999999E-2</v>
      </c>
      <c r="DD656" s="216">
        <f>HLOOKUP($H656,'GDP-PI'!$D$8:$CQ$11,3,FALSE)</f>
        <v>2.2454495382290052E-2</v>
      </c>
      <c r="DE656" s="111">
        <f>VLOOKUP(H656,'HW Dx Data'!$E:$F,2,FALSE)</f>
        <v>353.44738017483138</v>
      </c>
      <c r="DF656" s="66"/>
      <c r="DG656" s="69"/>
      <c r="DH656" s="66">
        <f>HLOOKUP(H656,'GDP-PI'!$8:$9,2,FALSE)</f>
        <v>79.822000000000003</v>
      </c>
      <c r="DI656"/>
      <c r="EB656"/>
    </row>
    <row r="657" spans="1:132" s="160" customFormat="1" ht="21">
      <c r="A657" s="160" t="s">
        <v>198</v>
      </c>
      <c r="B657" s="161" t="s">
        <v>198</v>
      </c>
      <c r="C657" s="161">
        <v>4057014</v>
      </c>
      <c r="D657" s="161" t="s">
        <v>171</v>
      </c>
      <c r="E657" s="161" t="s">
        <v>3</v>
      </c>
      <c r="F657" s="161"/>
      <c r="G657" s="161" t="s">
        <v>113</v>
      </c>
      <c r="H657" s="162">
        <v>2002</v>
      </c>
      <c r="I657" s="163"/>
      <c r="J657" s="159"/>
      <c r="K657" s="159"/>
      <c r="L657" s="159"/>
      <c r="M657" s="60"/>
      <c r="N657" s="152"/>
      <c r="O657" s="60"/>
      <c r="P657" s="60"/>
      <c r="Q657" s="159"/>
      <c r="R657" s="159"/>
      <c r="S657" s="159"/>
      <c r="T657" s="159"/>
      <c r="U657" s="159"/>
      <c r="V657" s="159"/>
      <c r="W657" s="159">
        <f t="shared" si="1200"/>
        <v>53504.951958965081</v>
      </c>
      <c r="X657" s="163"/>
      <c r="Y657" s="167">
        <v>4108.7586377234575</v>
      </c>
      <c r="Z657" s="168">
        <v>1.1557847093214217E-3</v>
      </c>
      <c r="AA657" s="78"/>
      <c r="AB657" s="168"/>
      <c r="AC657" s="168"/>
      <c r="AD657" s="163">
        <f t="shared" si="1166"/>
        <v>53504.951958965081</v>
      </c>
      <c r="AE657" s="168"/>
      <c r="AF657" s="163"/>
      <c r="AG657" s="163"/>
      <c r="AH657" s="163"/>
      <c r="AI657" s="163"/>
      <c r="AJ657" s="167"/>
      <c r="AK657" s="168"/>
      <c r="AL657" s="115"/>
      <c r="AM657" s="115"/>
      <c r="AN657" s="115"/>
      <c r="AO657" s="115"/>
      <c r="AP657" s="115"/>
      <c r="AQ657" s="168"/>
      <c r="AR657" s="79"/>
      <c r="AS657" s="115"/>
      <c r="AT657" s="115"/>
      <c r="AU657" s="115"/>
      <c r="AV657" s="113">
        <f>IFERROR(INDEX('Total Customers'!$F$7:$AB$91,MATCH($C657,'Total Customers'!$D$7:$D$91,0),MATCH($G657,'Total Customers'!$F$5:$AB$5,0)),"NA")</f>
        <v>551436</v>
      </c>
      <c r="AW657" s="68">
        <f t="shared" si="1195"/>
        <v>6.2121774337525037E-3</v>
      </c>
      <c r="AX657" s="114"/>
      <c r="AY657" s="114"/>
      <c r="AZ657" s="116"/>
      <c r="BA657" s="116"/>
      <c r="BB657" s="166"/>
      <c r="BC657" s="166"/>
      <c r="BD657" s="166"/>
      <c r="BE657" s="166"/>
      <c r="BF657" s="166"/>
      <c r="BG657" s="166"/>
      <c r="BH657" s="166"/>
      <c r="BI657" s="113"/>
      <c r="BJ657" s="113"/>
      <c r="BK657" s="113">
        <f>INDEX('Dist. Plant Gas Additions'!$F$7:$AE$91,MATCH($C657,'Dist. Plant Gas Additions'!$D$7:$D$91,0),MATCH(Calculation!$G657,'Dist. Plant Gas Additions'!$F$5:$AE$5,0))</f>
        <v>5996</v>
      </c>
      <c r="BL657" s="113">
        <f>INDEX('Gen. Plant Additions'!$F$7:$AE$91,MATCH($C657,'Gen. Plant Additions'!$D$7:$D$91,0),MATCH(Calculation!$G657,'Gen. Plant Additions'!$F$5:$AE$5,0))</f>
        <v>4140</v>
      </c>
      <c r="BM657" s="231">
        <f t="shared" si="1201"/>
        <v>0.97358992400676936</v>
      </c>
      <c r="BN657" s="61">
        <f t="shared" si="1194"/>
        <v>4030.6622853880253</v>
      </c>
      <c r="BO657" s="113">
        <f>INDEX('Dist Plant Depreciation'!$E$7:$AD$94,MATCH($C657,'Dist Plant Depreciation'!$D$7:$D$94,0),MATCH(Calculation!$G657,'Dist Plant Depreciation'!$E$5:$AD$5,0))</f>
        <v>406833</v>
      </c>
      <c r="BP657" s="113">
        <f>INDEX('Gen. Plant Depreciation'!$E$7:$AD$94,MATCH($C657,'Gen. Plant Depreciation'!$D$7:$D$94,0),MATCH(Calculation!$G657,'Gen. Plant Depreciation'!$E$5:$AD$5,0))</f>
        <v>15954</v>
      </c>
      <c r="BQ657" s="113"/>
      <c r="BR657" s="113"/>
      <c r="BS657" s="113"/>
      <c r="BT657" s="113"/>
      <c r="BU657" s="113"/>
      <c r="BV657" s="113"/>
      <c r="BW657" s="113">
        <f>INDEX('Gross Dx Plant'!$E$7:$AD$91,MATCH($C657,'Gross Dx Plant'!$D$7:$D$91,0),MATCH(Calculation!$G657,'Gross Dx Plant'!$E$5:$AD$5,0))</f>
        <v>1232854</v>
      </c>
      <c r="BX657" s="113">
        <f>INDEX('Gross Gen Plant'!$E$7:$AD$91,MATCH($C657,'Gross Gen Plant'!$D$7:$D$91,0),MATCH(Calculation!$G657,'Gross Gen Plant'!$E$5:$AD$5,0))</f>
        <v>33443</v>
      </c>
      <c r="BY657" s="113">
        <f t="shared" si="1196"/>
        <v>843510</v>
      </c>
      <c r="BZ657" s="113"/>
      <c r="CA657" s="116">
        <v>2002</v>
      </c>
      <c r="CB657" s="113"/>
      <c r="CC657" s="113"/>
      <c r="CD657" s="113"/>
      <c r="CE657" s="175"/>
      <c r="CF657" s="113">
        <f t="shared" si="1202"/>
        <v>10136</v>
      </c>
      <c r="CG657" s="113">
        <f t="shared" si="1203"/>
        <v>28.050509069022425</v>
      </c>
      <c r="CH657" s="178">
        <v>0.97916666666666663</v>
      </c>
      <c r="CI657" s="61">
        <f>+CI653*CH657+CG654*CH656+CG655*CH655+CG656*CH654+CG657</f>
        <v>4108.7586377234575</v>
      </c>
      <c r="CJ657" s="114">
        <f t="shared" si="1204"/>
        <v>1.1557847093214217E-3</v>
      </c>
      <c r="CK657" s="114"/>
      <c r="CL657" s="169">
        <f t="shared" si="1205"/>
        <v>5.6784455925568715E-3</v>
      </c>
      <c r="CM657" s="169">
        <f t="shared" ref="CM657:CM677" si="1213">+(CL657+CL656+CL655)/3</f>
        <v>5.3145136525517183E-3</v>
      </c>
      <c r="CN657" s="114">
        <f>VLOOKUP($H657,RoR!$E:$F,2,FALSE)</f>
        <v>6.4916666666666664E-2</v>
      </c>
      <c r="CO657" s="169">
        <v>1.5246423291824351E-2</v>
      </c>
      <c r="CP657" s="169">
        <f t="shared" si="1211"/>
        <v>4.9670243374842313E-2</v>
      </c>
      <c r="CQ657" s="169">
        <f t="shared" ref="CQ657:CQ678" si="1214">+$CP$2-CM657</f>
        <v>2.5587427955981908E-2</v>
      </c>
      <c r="CR657" s="169">
        <f t="shared" ref="CR657:CR677" si="1215">+((DE655/DE654-1)+(DE656/DE655-1)+(DE657/DE656-1))/3</f>
        <v>2.5243621214759093E-2</v>
      </c>
      <c r="CS657" s="179">
        <f t="shared" si="1206"/>
        <v>0.85329623209999994</v>
      </c>
      <c r="CT657" s="180">
        <f t="shared" si="1207"/>
        <v>0.78996741384417901</v>
      </c>
      <c r="CU657" s="180">
        <f t="shared" si="1208"/>
        <v>0.58989088575096271</v>
      </c>
      <c r="CV657" s="180">
        <f t="shared" si="1209"/>
        <v>0.91920675783645744</v>
      </c>
      <c r="CW657" s="180">
        <f t="shared" si="1210"/>
        <v>0.42834536472275586</v>
      </c>
      <c r="CX657" s="181">
        <f>INDEX('State Tax Lookup'!$D$7:$Z$91,MATCH(Calculation!$C657,'State Tax Lookup'!$B$7:$B$91,0),MATCH($H657,'State Tax Lookup'!$D$6:$Z$6,0))</f>
        <v>0.39649667</v>
      </c>
      <c r="CY657" s="72">
        <v>0.37</v>
      </c>
      <c r="CZ657" s="70">
        <f t="shared" si="1212"/>
        <v>13.037229158037373</v>
      </c>
      <c r="DA657" s="70"/>
      <c r="DB657" s="69">
        <f>LN(CZ657/CZ656)</f>
        <v>1.2880075978452546E-2</v>
      </c>
      <c r="DC657" s="111">
        <f>VLOOKUP($H657,RoR!$E:$F,2,FALSE)</f>
        <v>6.4916666666666664E-2</v>
      </c>
      <c r="DD657" s="216">
        <f>HLOOKUP($H657,'GDP-PI'!$D$8:$CQ$11,3,FALSE)</f>
        <v>1.5246423291824351E-2</v>
      </c>
      <c r="DE657" s="111">
        <f>VLOOKUP(H657,'HW Dx Data'!$E:$F,2,FALSE)</f>
        <v>361.34816573413599</v>
      </c>
      <c r="DF657" s="66"/>
      <c r="DG657" s="69"/>
      <c r="DH657" s="66">
        <f>HLOOKUP(H657,'GDP-PI'!$8:$9,2,FALSE)</f>
        <v>81.039000000000001</v>
      </c>
      <c r="DI657" s="69">
        <f>LN(DH657/DH656)</f>
        <v>1.513136459537477E-2</v>
      </c>
      <c r="EB657"/>
    </row>
    <row r="658" spans="1:132" s="160" customFormat="1" ht="21">
      <c r="A658" s="160" t="s">
        <v>198</v>
      </c>
      <c r="B658" s="161" t="s">
        <v>198</v>
      </c>
      <c r="C658" s="161">
        <v>4057014</v>
      </c>
      <c r="D658" s="161" t="s">
        <v>171</v>
      </c>
      <c r="E658" s="161" t="s">
        <v>3</v>
      </c>
      <c r="F658" s="161"/>
      <c r="G658" s="161" t="s">
        <v>114</v>
      </c>
      <c r="H658" s="162">
        <v>2003</v>
      </c>
      <c r="I658" s="163"/>
      <c r="J658" s="159"/>
      <c r="K658" s="159"/>
      <c r="L658" s="159"/>
      <c r="M658" s="76"/>
      <c r="N658" s="152"/>
      <c r="O658" s="76"/>
      <c r="P658" s="76"/>
      <c r="Q658" s="159"/>
      <c r="R658" s="159"/>
      <c r="S658" s="159"/>
      <c r="T658" s="159"/>
      <c r="U658" s="159"/>
      <c r="V658" s="159"/>
      <c r="W658" s="159">
        <f t="shared" si="1200"/>
        <v>54366.413399589052</v>
      </c>
      <c r="X658" s="163"/>
      <c r="Y658" s="167">
        <v>4293.2241271211315</v>
      </c>
      <c r="Z658" s="168">
        <v>4.3917047185703148E-2</v>
      </c>
      <c r="AA658" s="78"/>
      <c r="AB658" s="168"/>
      <c r="AC658" s="168"/>
      <c r="AD658" s="163">
        <f t="shared" si="1166"/>
        <v>54366.413399589052</v>
      </c>
      <c r="AE658" s="168"/>
      <c r="AF658" s="163"/>
      <c r="AG658" s="163"/>
      <c r="AH658" s="163"/>
      <c r="AI658" s="163"/>
      <c r="AJ658" s="167"/>
      <c r="AK658" s="168"/>
      <c r="AL658" s="115"/>
      <c r="AM658" s="115"/>
      <c r="AN658" s="115"/>
      <c r="AO658" s="115"/>
      <c r="AP658" s="115"/>
      <c r="AQ658" s="168"/>
      <c r="AR658" s="79"/>
      <c r="AS658" s="115"/>
      <c r="AT658" s="115"/>
      <c r="AU658" s="115"/>
      <c r="AV658" s="113">
        <f>IFERROR(INDEX('Total Customers'!$F$7:$AB$91,MATCH($C658,'Total Customers'!$D$7:$D$91,0),MATCH($G658,'Total Customers'!$F$5:$AB$5,0)),"NA")</f>
        <v>556869</v>
      </c>
      <c r="AW658" s="68">
        <f t="shared" si="1195"/>
        <v>9.8042389408408408E-3</v>
      </c>
      <c r="AX658" s="114"/>
      <c r="AY658" s="114"/>
      <c r="AZ658" s="116"/>
      <c r="BA658" s="116"/>
      <c r="BB658" s="166"/>
      <c r="BC658" s="166"/>
      <c r="BD658" s="166"/>
      <c r="BE658" s="166"/>
      <c r="BF658" s="166"/>
      <c r="BG658" s="166"/>
      <c r="BH658" s="166"/>
      <c r="BI658" s="113"/>
      <c r="BJ658" s="113"/>
      <c r="BK658" s="113">
        <f>INDEX('Dist. Plant Gas Additions'!$F$7:$AE$91,MATCH($C658,'Dist. Plant Gas Additions'!$D$7:$D$91,0),MATCH(Calculation!$G658,'Dist. Plant Gas Additions'!$F$5:$AE$5,0))</f>
        <v>50984</v>
      </c>
      <c r="BL658" s="113">
        <f>INDEX('Gen. Plant Additions'!$F$7:$AE$91,MATCH($C658,'Gen. Plant Additions'!$D$7:$D$91,0),MATCH(Calculation!$G658,'Gen. Plant Additions'!$F$5:$AE$5,0))</f>
        <v>25765</v>
      </c>
      <c r="BM658" s="231">
        <f t="shared" si="1201"/>
        <v>0.96030148871290388</v>
      </c>
      <c r="BN658" s="61">
        <f>+BM658*BL658</f>
        <v>24742.167856687967</v>
      </c>
      <c r="BO658" s="113">
        <f>INDEX('Dist Plant Depreciation'!$E$7:$AD$94,MATCH($C658,'Dist Plant Depreciation'!$D$7:$D$94,0),MATCH(Calculation!$G658,'Dist Plant Depreciation'!$E$5:$AD$5,0))</f>
        <v>430831</v>
      </c>
      <c r="BP658" s="113">
        <f>INDEX('Gen. Plant Depreciation'!$E$7:$AD$94,MATCH($C658,'Gen. Plant Depreciation'!$D$7:$D$94,0),MATCH(Calculation!$G658,'Gen. Plant Depreciation'!$E$5:$AD$5,0))</f>
        <v>12731</v>
      </c>
      <c r="BQ658" s="113"/>
      <c r="BR658" s="113"/>
      <c r="BS658" s="113"/>
      <c r="BT658" s="113"/>
      <c r="BU658" s="113"/>
      <c r="BV658" s="113"/>
      <c r="BW658" s="113">
        <f>INDEX('Gross Dx Plant'!$E$7:$AD$91,MATCH($C658,'Gross Dx Plant'!$D$7:$D$91,0),MATCH(Calculation!$G658,'Gross Dx Plant'!$E$5:$AD$5,0))</f>
        <v>1281724</v>
      </c>
      <c r="BX658" s="113">
        <f>INDEX('Gross Gen Plant'!$E$7:$AD$91,MATCH($C658,'Gross Gen Plant'!$D$7:$D$91,0),MATCH(Calculation!$G658,'Gross Gen Plant'!$E$5:$AD$5,0))</f>
        <v>52986</v>
      </c>
      <c r="BY658" s="113">
        <f t="shared" si="1196"/>
        <v>891148</v>
      </c>
      <c r="BZ658" s="113"/>
      <c r="CA658" s="116">
        <v>2003</v>
      </c>
      <c r="CB658" s="113"/>
      <c r="CC658" s="113"/>
      <c r="CD658" s="113"/>
      <c r="CE658" s="175"/>
      <c r="CF658" s="113">
        <f t="shared" si="1202"/>
        <v>76749</v>
      </c>
      <c r="CG658" s="113">
        <f t="shared" si="1203"/>
        <v>207.86061300794313</v>
      </c>
      <c r="CH658" s="178">
        <v>0.97354497354497349</v>
      </c>
      <c r="CI658" s="61">
        <f>+CI653*CH658+CG654*CH657+CG655*CH656+CG656*CH655+CG657*CH654+CG658</f>
        <v>4293.2241271211315</v>
      </c>
      <c r="CJ658" s="114">
        <f t="shared" si="1204"/>
        <v>4.3917047185703148E-2</v>
      </c>
      <c r="CK658" s="114"/>
      <c r="CL658" s="169">
        <f t="shared" si="1205"/>
        <v>5.6939639616387129E-3</v>
      </c>
      <c r="CM658" s="169">
        <f t="shared" si="1213"/>
        <v>5.4986381996374846E-3</v>
      </c>
      <c r="CN658" s="114">
        <f>VLOOKUP($H658,RoR!$E:$F,2,FALSE)</f>
        <v>5.6666666666666671E-2</v>
      </c>
      <c r="CO658" s="169">
        <v>1.8855119140166909E-2</v>
      </c>
      <c r="CP658" s="169">
        <f t="shared" si="1211"/>
        <v>3.7811547526499761E-2</v>
      </c>
      <c r="CQ658" s="169">
        <f t="shared" si="1214"/>
        <v>2.5403303408896141E-2</v>
      </c>
      <c r="CR658" s="169">
        <f t="shared" si="1215"/>
        <v>2.1375012817671957E-2</v>
      </c>
      <c r="CS658" s="179">
        <f t="shared" si="1206"/>
        <v>0.85329623209999994</v>
      </c>
      <c r="CT658" s="180">
        <f t="shared" si="1207"/>
        <v>0.90497737556561086</v>
      </c>
      <c r="CU658" s="180">
        <f t="shared" si="1208"/>
        <v>0.5338235294117647</v>
      </c>
      <c r="CV658" s="180">
        <f t="shared" si="1209"/>
        <v>0.88972433127405692</v>
      </c>
      <c r="CW658" s="180">
        <f t="shared" si="1210"/>
        <v>0.42982423775949252</v>
      </c>
      <c r="CX658" s="181">
        <f>INDEX('State Tax Lookup'!$D$7:$Z$91,MATCH(Calculation!$C658,'State Tax Lookup'!$B$7:$B$91,0),MATCH($H658,'State Tax Lookup'!$D$6:$Z$6,0))</f>
        <v>0.39649667</v>
      </c>
      <c r="CY658" s="72">
        <v>0.37</v>
      </c>
      <c r="CZ658" s="70">
        <f t="shared" si="1212"/>
        <v>13.231834282120763</v>
      </c>
      <c r="DA658" s="70"/>
      <c r="DB658" s="69">
        <f t="shared" ref="DB658:DB677" si="1216">LN(CZ658/CZ657)</f>
        <v>1.4816568140198673E-2</v>
      </c>
      <c r="DC658" s="111">
        <f>VLOOKUP($H658,RoR!$E:$F,2,FALSE)</f>
        <v>5.6666666666666671E-2</v>
      </c>
      <c r="DD658" s="216">
        <f>HLOOKUP($H658,'GDP-PI'!$D$8:$CQ$11,3,FALSE)</f>
        <v>1.8855119140166909E-2</v>
      </c>
      <c r="DE658" s="111">
        <f>VLOOKUP(H658,'HW Dx Data'!$E:$F,2,FALSE)</f>
        <v>369.23301095560191</v>
      </c>
      <c r="DF658" s="66"/>
      <c r="DG658" s="69"/>
      <c r="DH658" s="66">
        <f>HLOOKUP(H658,'GDP-PI'!$8:$9,2,FALSE)</f>
        <v>82.566999999999993</v>
      </c>
      <c r="DI658" s="69">
        <f t="shared" ref="DI658:DI677" si="1217">LN(DH658/DH657)</f>
        <v>1.8679564681853753E-2</v>
      </c>
      <c r="EB658"/>
    </row>
    <row r="659" spans="1:132" s="160" customFormat="1" ht="21">
      <c r="A659" s="160" t="s">
        <v>198</v>
      </c>
      <c r="B659" s="161" t="s">
        <v>198</v>
      </c>
      <c r="C659" s="161">
        <v>4057014</v>
      </c>
      <c r="D659" s="161" t="s">
        <v>171</v>
      </c>
      <c r="E659" s="161" t="s">
        <v>3</v>
      </c>
      <c r="F659" s="161"/>
      <c r="G659" s="161" t="s">
        <v>115</v>
      </c>
      <c r="H659" s="162">
        <v>2004</v>
      </c>
      <c r="I659" s="163"/>
      <c r="J659" s="159">
        <f>IFERROR(INDEX('Labor Expenditures'!$F$7:$X$91,MATCH($C659,'Labor Expenditures'!$D$7:$D$91,0),MATCH($G659,'Labor Expenditures'!$F$5:$X$5,0)),"NA")</f>
        <v>39789.832194550661</v>
      </c>
      <c r="K659" s="159">
        <f t="shared" ref="K659:K677" si="1218">+J659/DF659</f>
        <v>421.72583142078076</v>
      </c>
      <c r="L659" s="165"/>
      <c r="M659" s="76"/>
      <c r="N659" s="152"/>
      <c r="O659" s="76"/>
      <c r="P659" s="76"/>
      <c r="Q659" s="159">
        <f>IFERROR(INDEX('Non-Labor Expenditures'!$F$7:$AB$91,MATCH($C659,'Non-Labor Expenditures'!$D$7:$D$91,0),MATCH($G659,'Non-Labor Expenditures'!$F$5:$AB$5,0)),"NA")</f>
        <v>57623.108733236208</v>
      </c>
      <c r="R659" s="159">
        <f t="shared" ref="R659:R677" si="1219">+Q659/DH659</f>
        <v>679.69412740612188</v>
      </c>
      <c r="S659" s="159"/>
      <c r="T659" s="159"/>
      <c r="U659" s="159"/>
      <c r="V659" s="159"/>
      <c r="W659" s="159">
        <f t="shared" si="1200"/>
        <v>63014.655135468478</v>
      </c>
      <c r="X659" s="163"/>
      <c r="Y659" s="167">
        <v>4351.8703672741458</v>
      </c>
      <c r="Z659" s="168">
        <v>1.3567726723468555E-2</v>
      </c>
      <c r="AA659" s="76">
        <f t="shared" ref="AA659:AA677" si="1220">+Z659*$AR659</f>
        <v>0</v>
      </c>
      <c r="AB659" s="168"/>
      <c r="AC659" s="168"/>
      <c r="AD659" s="163">
        <f t="shared" si="1166"/>
        <v>160427.59606325533</v>
      </c>
      <c r="AE659" s="168"/>
      <c r="AF659" s="163"/>
      <c r="AG659" s="163"/>
      <c r="AH659" s="163"/>
      <c r="AI659" s="163"/>
      <c r="AJ659" s="167"/>
      <c r="AK659" s="168"/>
      <c r="AL659" s="115">
        <f t="shared" ref="AL659:AL677" si="1221">+J659/AD659</f>
        <v>0.248023614209502</v>
      </c>
      <c r="AM659" s="115">
        <f t="shared" ref="AM659:AM677" si="1222">+Q659/AD659</f>
        <v>0.35918451779652594</v>
      </c>
      <c r="AN659" s="115">
        <f t="shared" ref="AN659:AN677" si="1223">+W659/AD659</f>
        <v>0.39279186799397214</v>
      </c>
      <c r="AO659" s="115"/>
      <c r="AP659" s="115"/>
      <c r="AQ659" s="168"/>
      <c r="AR659" s="79"/>
      <c r="AS659" s="115"/>
      <c r="AT659" s="115"/>
      <c r="AU659" s="115"/>
      <c r="AV659" s="113">
        <f>IFERROR(INDEX('Total Customers'!$F$7:$AB$91,MATCH($C659,'Total Customers'!$D$7:$D$91,0),MATCH($G659,'Total Customers'!$F$5:$AB$5,0)),"NA")</f>
        <v>560566</v>
      </c>
      <c r="AW659" s="68">
        <f t="shared" si="1195"/>
        <v>6.6169638308727395E-3</v>
      </c>
      <c r="AX659" s="114"/>
      <c r="AY659" s="114"/>
      <c r="AZ659" s="116"/>
      <c r="BA659" s="116"/>
      <c r="BB659" s="166"/>
      <c r="BC659" s="166"/>
      <c r="BD659" s="166"/>
      <c r="BE659" s="166"/>
      <c r="BF659" s="166"/>
      <c r="BG659" s="166"/>
      <c r="BH659" s="166"/>
      <c r="BI659" s="113"/>
      <c r="BJ659" s="113"/>
      <c r="BK659" s="113">
        <f>INDEX('Dist. Plant Gas Additions'!$F$7:$AE$91,MATCH($C659,'Dist. Plant Gas Additions'!$D$7:$D$91,0),MATCH(Calculation!$G659,'Dist. Plant Gas Additions'!$F$5:$AE$5,0))</f>
        <v>33944</v>
      </c>
      <c r="BL659" s="113">
        <f>INDEX('Gen. Plant Additions'!$F$7:$AE$91,MATCH($C659,'Gen. Plant Additions'!$D$7:$D$91,0),MATCH(Calculation!$G659,'Gen. Plant Additions'!$F$5:$AE$5,0))</f>
        <v>835</v>
      </c>
      <c r="BM659" s="231">
        <f t="shared" si="1201"/>
        <v>0.96107213154757443</v>
      </c>
      <c r="BN659" s="61">
        <f t="shared" ref="BN659:BN675" si="1224">+BM659*BL659</f>
        <v>802.4952298422246</v>
      </c>
      <c r="BO659" s="113">
        <f>INDEX('Dist Plant Depreciation'!$E$7:$AD$94,MATCH($C659,'Dist Plant Depreciation'!$D$7:$D$94,0),MATCH(Calculation!$G659,'Dist Plant Depreciation'!$E$5:$AD$5,0))</f>
        <v>452988</v>
      </c>
      <c r="BP659" s="113">
        <f>INDEX('Gen. Plant Depreciation'!$E$7:$AD$94,MATCH($C659,'Gen. Plant Depreciation'!$D$7:$D$94,0),MATCH(Calculation!$G659,'Gen. Plant Depreciation'!$E$5:$AD$5,0))</f>
        <v>15132</v>
      </c>
      <c r="BQ659" s="113"/>
      <c r="BR659" s="113"/>
      <c r="BS659" s="113"/>
      <c r="BT659" s="113"/>
      <c r="BU659" s="113"/>
      <c r="BV659" s="113"/>
      <c r="BW659" s="113">
        <f>INDEX('Gross Dx Plant'!$E$7:$AD$91,MATCH($C659,'Gross Dx Plant'!$D$7:$D$91,0),MATCH(Calculation!$G659,'Gross Dx Plant'!$E$5:$AD$5,0))</f>
        <v>1307579</v>
      </c>
      <c r="BX659" s="113">
        <f>INDEX('Gross Gen Plant'!$E$7:$AD$91,MATCH($C659,'Gross Gen Plant'!$D$7:$D$91,0),MATCH(Calculation!$G659,'Gross Gen Plant'!$E$5:$AD$5,0))</f>
        <v>52963</v>
      </c>
      <c r="BY659" s="113">
        <f t="shared" si="1196"/>
        <v>892422</v>
      </c>
      <c r="BZ659" s="113"/>
      <c r="CA659" s="116">
        <v>2004</v>
      </c>
      <c r="CB659" s="113"/>
      <c r="CC659" s="113"/>
      <c r="CD659" s="113"/>
      <c r="CE659" s="175"/>
      <c r="CF659" s="113">
        <f t="shared" si="1202"/>
        <v>34779</v>
      </c>
      <c r="CG659" s="113">
        <f t="shared" si="1203"/>
        <v>83.827605973183452</v>
      </c>
      <c r="CH659" s="178">
        <v>0.967741935483871</v>
      </c>
      <c r="CI659" s="61">
        <f>+CI653*CH659+CG654*CH658+CG655*CH657+CG656*CH656+CG657*CH655+CG658*CH654+CG659</f>
        <v>4351.8703672741458</v>
      </c>
      <c r="CJ659" s="114">
        <f t="shared" si="1204"/>
        <v>1.3567726723468555E-2</v>
      </c>
      <c r="CK659" s="114"/>
      <c r="CL659" s="169">
        <f t="shared" si="1205"/>
        <v>5.8653741511172303E-3</v>
      </c>
      <c r="CM659" s="169">
        <f t="shared" si="1213"/>
        <v>5.7459279017709379E-3</v>
      </c>
      <c r="CN659" s="114">
        <f>VLOOKUP($H659,RoR!$E:$F,2,FALSE)</f>
        <v>5.6283333333333331E-2</v>
      </c>
      <c r="CO659" s="169">
        <v>2.6778252812867276E-2</v>
      </c>
      <c r="CP659" s="169">
        <f t="shared" si="1211"/>
        <v>2.9505080520466055E-2</v>
      </c>
      <c r="CQ659" s="169">
        <f t="shared" si="1214"/>
        <v>2.5156013706762688E-2</v>
      </c>
      <c r="CR659" s="169">
        <f t="shared" si="1215"/>
        <v>5.5940039414565046E-2</v>
      </c>
      <c r="CS659" s="179">
        <f t="shared" si="1206"/>
        <v>0.85329623209999994</v>
      </c>
      <c r="CT659" s="180">
        <f t="shared" si="1207"/>
        <v>0.91114097628755619</v>
      </c>
      <c r="CU659" s="180">
        <f t="shared" si="1208"/>
        <v>0.53081877405981637</v>
      </c>
      <c r="CV659" s="180">
        <f t="shared" si="1209"/>
        <v>0.88811215519385678</v>
      </c>
      <c r="CW659" s="180">
        <f t="shared" si="1210"/>
        <v>0.42953609753547711</v>
      </c>
      <c r="CX659" s="181">
        <f>INDEX('State Tax Lookup'!$D$7:$Z$91,MATCH(Calculation!$C659,'State Tax Lookup'!$B$7:$B$91,0),MATCH($H659,'State Tax Lookup'!$D$6:$Z$6,0))</f>
        <v>0.39649667</v>
      </c>
      <c r="CY659" s="72">
        <v>0.37</v>
      </c>
      <c r="CZ659" s="70">
        <f t="shared" si="1212"/>
        <v>14.677699852051202</v>
      </c>
      <c r="DA659" s="70"/>
      <c r="DB659" s="69">
        <f t="shared" si="1216"/>
        <v>0.10370371090290022</v>
      </c>
      <c r="DC659" s="111">
        <f>VLOOKUP($H659,RoR!$E:$F,2,FALSE)</f>
        <v>5.6283333333333331E-2</v>
      </c>
      <c r="DD659" s="216">
        <f>HLOOKUP($H659,'GDP-PI'!$D$8:$CQ$11,3,FALSE)</f>
        <v>2.6778252812867276E-2</v>
      </c>
      <c r="DE659" s="111">
        <f>VLOOKUP(H659,'HW Dx Data'!$E:$F,2,FALSE)</f>
        <v>414.88719135228365</v>
      </c>
      <c r="DF659" s="72">
        <f>VLOOKUP(G659,EG$8:EH$27,2,FALSE)</f>
        <v>94.35</v>
      </c>
      <c r="DG659" s="69"/>
      <c r="DH659" s="66">
        <f>HLOOKUP(H659,'GDP-PI'!$8:$9,2,FALSE)</f>
        <v>84.778000000000006</v>
      </c>
      <c r="DI659" s="69">
        <f t="shared" si="1217"/>
        <v>2.6425990216022755E-2</v>
      </c>
      <c r="EB659"/>
    </row>
    <row r="660" spans="1:132" s="160" customFormat="1" ht="21">
      <c r="A660" s="160" t="s">
        <v>198</v>
      </c>
      <c r="B660" s="161" t="s">
        <v>198</v>
      </c>
      <c r="C660" s="161">
        <v>4057014</v>
      </c>
      <c r="D660" s="161" t="s">
        <v>171</v>
      </c>
      <c r="E660" s="161" t="s">
        <v>3</v>
      </c>
      <c r="F660" s="161"/>
      <c r="G660" s="161" t="s">
        <v>116</v>
      </c>
      <c r="H660" s="162">
        <v>2005</v>
      </c>
      <c r="I660" s="163"/>
      <c r="J660" s="159">
        <f>IFERROR(INDEX('Labor Expenditures'!$F$7:$X$91,MATCH($C660,'Labor Expenditures'!$D$7:$D$91,0),MATCH($G660,'Labor Expenditures'!$F$5:$X$5,0)),"NA")</f>
        <v>36445.944642605893</v>
      </c>
      <c r="K660" s="159">
        <f t="shared" si="1218"/>
        <v>367.30606845659759</v>
      </c>
      <c r="L660" s="165">
        <f t="shared" ref="L660:L676" si="1225">LN(K660/K659)</f>
        <v>-0.13815993983292363</v>
      </c>
      <c r="M660" s="76"/>
      <c r="N660" s="62">
        <v>100</v>
      </c>
      <c r="O660" s="77"/>
      <c r="P660" s="77"/>
      <c r="Q660" s="159">
        <f>IFERROR(INDEX('Non-Labor Expenditures'!$F$7:$AB$91,MATCH($C660,'Non-Labor Expenditures'!$D$7:$D$91,0),MATCH($G660,'Non-Labor Expenditures'!$F$5:$AB$5,0)),"NA")</f>
        <v>52780.535005975871</v>
      </c>
      <c r="R660" s="159">
        <f t="shared" si="1219"/>
        <v>603.84791842730988</v>
      </c>
      <c r="S660" s="165">
        <f>LN(R660/R659)</f>
        <v>-0.1183205087890873</v>
      </c>
      <c r="T660" s="165"/>
      <c r="U660" s="165"/>
      <c r="V660" s="165"/>
      <c r="W660" s="159">
        <f t="shared" si="1200"/>
        <v>71683.094284794541</v>
      </c>
      <c r="X660" s="163"/>
      <c r="Y660" s="167">
        <v>4487.4511403778615</v>
      </c>
      <c r="Z660" s="168">
        <v>3.0679143638532417E-2</v>
      </c>
      <c r="AA660" s="76">
        <f t="shared" si="1220"/>
        <v>0</v>
      </c>
      <c r="AB660" s="168"/>
      <c r="AC660" s="168"/>
      <c r="AD660" s="163">
        <f t="shared" si="1166"/>
        <v>160909.57393337629</v>
      </c>
      <c r="AE660" s="168">
        <f>LN(AD660/AD659)</f>
        <v>2.9998286943778603E-3</v>
      </c>
      <c r="AF660" s="163"/>
      <c r="AG660" s="163"/>
      <c r="AH660" s="163"/>
      <c r="AI660" s="163"/>
      <c r="AJ660" s="116"/>
      <c r="AK660" s="114"/>
      <c r="AL660" s="115">
        <f t="shared" si="1221"/>
        <v>0.22649954102604319</v>
      </c>
      <c r="AM660" s="115">
        <f t="shared" si="1222"/>
        <v>0.32801363968454328</v>
      </c>
      <c r="AN660" s="115">
        <f t="shared" si="1223"/>
        <v>0.44548681928941358</v>
      </c>
      <c r="AO660" s="115">
        <f t="shared" ref="AO660:AO676" si="1226">+(((AL660+AL659)/2)*L660+((AM659+AM660)/2)*S660+((AN659+AN660)/2)*Z660)</f>
        <v>-6.0576026976234036E-2</v>
      </c>
      <c r="AP660" s="166">
        <v>100</v>
      </c>
      <c r="AQ660" s="168"/>
      <c r="AR660" s="16"/>
      <c r="AS660" s="115"/>
      <c r="AT660" s="115"/>
      <c r="AU660" s="115"/>
      <c r="AV660" s="113">
        <f>IFERROR(INDEX('Total Customers'!$F$7:$AB$91,MATCH($C660,'Total Customers'!$D$7:$D$91,0),MATCH($G660,'Total Customers'!$F$5:$AB$5,0)),"NA")</f>
        <v>566446</v>
      </c>
      <c r="AW660" s="68">
        <f t="shared" si="1195"/>
        <v>1.0434766183913452E-2</v>
      </c>
      <c r="AX660" s="114"/>
      <c r="AY660" s="114"/>
      <c r="AZ660" s="116"/>
      <c r="BA660" s="116"/>
      <c r="BB660" s="166"/>
      <c r="BC660" s="166"/>
      <c r="BD660" s="166"/>
      <c r="BE660" s="166"/>
      <c r="BF660" s="166"/>
      <c r="BG660" s="166"/>
      <c r="BH660" s="166"/>
      <c r="BI660" s="113"/>
      <c r="BJ660" s="113"/>
      <c r="BK660" s="113">
        <f>INDEX('Dist. Plant Gas Additions'!$F$7:$AE$91,MATCH($C660,'Dist. Plant Gas Additions'!$D$7:$D$91,0),MATCH(Calculation!$G660,'Dist. Plant Gas Additions'!$F$5:$AE$5,0))</f>
        <v>74924</v>
      </c>
      <c r="BL660" s="113">
        <f>INDEX('Gen. Plant Additions'!$F$7:$AE$91,MATCH($C660,'Gen. Plant Additions'!$D$7:$D$91,0),MATCH(Calculation!$G660,'Gen. Plant Additions'!$F$5:$AE$5,0))</f>
        <v>1087</v>
      </c>
      <c r="BM660" s="231">
        <f t="shared" si="1201"/>
        <v>0.96320486087599366</v>
      </c>
      <c r="BN660" s="61">
        <f t="shared" si="1224"/>
        <v>1047.003683772205</v>
      </c>
      <c r="BO660" s="113">
        <f>INDEX('Dist Plant Depreciation'!$E$7:$AD$94,MATCH($C660,'Dist Plant Depreciation'!$D$7:$D$94,0),MATCH(Calculation!$G660,'Dist Plant Depreciation'!$E$5:$AD$5,0))</f>
        <v>477715</v>
      </c>
      <c r="BP660" s="113">
        <f>INDEX('Gen. Plant Depreciation'!$E$7:$AD$94,MATCH($C660,'Gen. Plant Depreciation'!$D$7:$D$94,0),MATCH(Calculation!$G660,'Gen. Plant Depreciation'!$E$5:$AD$5,0))</f>
        <v>17256</v>
      </c>
      <c r="BQ660" s="113"/>
      <c r="BR660" s="113"/>
      <c r="BS660" s="113"/>
      <c r="BT660" s="113"/>
      <c r="BU660" s="113"/>
      <c r="BV660" s="113"/>
      <c r="BW660" s="113">
        <f>INDEX('Gross Dx Plant'!$E$7:$AD$91,MATCH($C660,'Gross Dx Plant'!$D$7:$D$91,0),MATCH(Calculation!$G660,'Gross Dx Plant'!$E$5:$AD$5,0))</f>
        <v>1379790</v>
      </c>
      <c r="BX660" s="113">
        <f>INDEX('Gross Gen Plant'!$E$7:$AD$91,MATCH($C660,'Gross Gen Plant'!$D$7:$D$91,0),MATCH(Calculation!$G660,'Gross Gen Plant'!$E$5:$AD$5,0))</f>
        <v>52709</v>
      </c>
      <c r="BY660" s="113">
        <f t="shared" si="1196"/>
        <v>937528</v>
      </c>
      <c r="BZ660" s="113"/>
      <c r="CA660" s="116">
        <v>2005</v>
      </c>
      <c r="CB660" s="113"/>
      <c r="CC660" s="113"/>
      <c r="CD660" s="113"/>
      <c r="CE660" s="175"/>
      <c r="CF660" s="113">
        <f t="shared" si="1202"/>
        <v>76011</v>
      </c>
      <c r="CG660" s="113">
        <f t="shared" si="1203"/>
        <v>161.99950397688193</v>
      </c>
      <c r="CH660" s="178">
        <v>0.96174863387978138</v>
      </c>
      <c r="CI660" s="61">
        <f>+CI653*CH660+CG654*CH659+CG655*CH658+CG656*CH657+CG657*CH656+CG658*CH655+CG659*CH654+CG660</f>
        <v>4487.4511403778615</v>
      </c>
      <c r="CJ660" s="114">
        <f t="shared" si="1204"/>
        <v>3.0679143638532417E-2</v>
      </c>
      <c r="CK660" s="114"/>
      <c r="CL660" s="169">
        <f t="shared" si="1205"/>
        <v>6.0706612659774456E-3</v>
      </c>
      <c r="CM660" s="169">
        <f t="shared" si="1213"/>
        <v>5.876666459577796E-3</v>
      </c>
      <c r="CN660" s="114">
        <f>VLOOKUP($H660,RoR!$E:$F,2,FALSE)</f>
        <v>5.2350000000000001E-2</v>
      </c>
      <c r="CO660" s="169">
        <v>3.1010403642454332E-2</v>
      </c>
      <c r="CP660" s="169">
        <f t="shared" si="1211"/>
        <v>2.1339596357545669E-2</v>
      </c>
      <c r="CQ660" s="169">
        <f t="shared" si="1214"/>
        <v>2.502527514895583E-2</v>
      </c>
      <c r="CR660" s="169">
        <f t="shared" si="1215"/>
        <v>9.2129610649277341E-2</v>
      </c>
      <c r="CS660" s="179">
        <f t="shared" si="1206"/>
        <v>0.85329623209999994</v>
      </c>
      <c r="CT660" s="180">
        <f t="shared" si="1207"/>
        <v>0.97959983346802826</v>
      </c>
      <c r="CU660" s="180">
        <f t="shared" si="1208"/>
        <v>0.49744508118433622</v>
      </c>
      <c r="CV660" s="180">
        <f t="shared" si="1209"/>
        <v>0.87010519444335932</v>
      </c>
      <c r="CW660" s="180">
        <f t="shared" si="1210"/>
        <v>0.42399975420741998</v>
      </c>
      <c r="CX660" s="181">
        <f>INDEX('State Tax Lookup'!$D$7:$Z$91,MATCH(Calculation!$C660,'State Tax Lookup'!$B$7:$B$91,0),MATCH($H660,'State Tax Lookup'!$D$6:$Z$6,0))</f>
        <v>0.39649667</v>
      </c>
      <c r="CY660" s="72">
        <v>0.37</v>
      </c>
      <c r="CZ660" s="70">
        <f t="shared" si="1212"/>
        <v>16.471789882310819</v>
      </c>
      <c r="DA660" s="70"/>
      <c r="DB660" s="69">
        <f t="shared" si="1216"/>
        <v>0.11531988850980249</v>
      </c>
      <c r="DC660" s="111">
        <f>VLOOKUP($H660,RoR!$E:$F,2,FALSE)</f>
        <v>5.2350000000000001E-2</v>
      </c>
      <c r="DD660" s="216">
        <f>HLOOKUP($H660,'GDP-PI'!$D$8:$CQ$11,3,FALSE)</f>
        <v>3.1010403642454332E-2</v>
      </c>
      <c r="DE660" s="111">
        <f>VLOOKUP(H660,'HW Dx Data'!$E:$F,2,FALSE)</f>
        <v>469.20514034936258</v>
      </c>
      <c r="DF660" s="72">
        <f t="shared" ref="DF660:DF678" si="1227">VLOOKUP(G660,EG$8:EH$27,2,FALSE)</f>
        <v>99.224999999999994</v>
      </c>
      <c r="DG660" s="69">
        <f t="shared" ref="DG660:DG678" si="1228">LN(DF660/DF659)</f>
        <v>5.0378726854569796E-2</v>
      </c>
      <c r="DH660" s="66">
        <f>HLOOKUP(H660,'GDP-PI'!$8:$9,2,FALSE)</f>
        <v>87.406999999999996</v>
      </c>
      <c r="DI660" s="69">
        <f t="shared" si="1217"/>
        <v>3.0539295810733648E-2</v>
      </c>
      <c r="EB660"/>
    </row>
    <row r="661" spans="1:132" s="160" customFormat="1" ht="21">
      <c r="A661" s="160" t="s">
        <v>198</v>
      </c>
      <c r="B661" s="161" t="s">
        <v>198</v>
      </c>
      <c r="C661" s="161">
        <v>4057014</v>
      </c>
      <c r="D661" s="161" t="s">
        <v>171</v>
      </c>
      <c r="E661" s="161" t="s">
        <v>3</v>
      </c>
      <c r="F661" s="161"/>
      <c r="G661" s="161" t="s">
        <v>117</v>
      </c>
      <c r="H661" s="162">
        <v>2006</v>
      </c>
      <c r="I661" s="163"/>
      <c r="J661" s="159">
        <f>IFERROR(INDEX('Labor Expenditures'!$F$7:$X$91,MATCH($C661,'Labor Expenditures'!$D$7:$D$91,0),MATCH($G661,'Labor Expenditures'!$F$5:$X$5,0)),"NA")</f>
        <v>38953.903642193036</v>
      </c>
      <c r="K661" s="159">
        <f t="shared" si="1218"/>
        <v>356.0685890511246</v>
      </c>
      <c r="L661" s="165">
        <f t="shared" si="1225"/>
        <v>-3.1072096319371342E-2</v>
      </c>
      <c r="M661" s="76">
        <f t="shared" ref="M661:M677" si="1229">+L661*$AR661</f>
        <v>-6.5396102975083059E-4</v>
      </c>
      <c r="N661" s="62">
        <f>+N660*EXP(O661)</f>
        <v>108.64484869844853</v>
      </c>
      <c r="O661" s="96">
        <f t="shared" ref="O661:O677" si="1230">+M661+M686+M711+M736+M761+M786+M811+M836+M861+M886+M911+M936+M961+M986+M1011+M1036+M1061+M1086+M1111+M1136+M1161+M1186+M1211+M1236+M1261+M1286+M1311+M1336+M1361+M1386+M1411+M1436+M1461+M1486+M1511+M1536+M1561+M1586+M1611+M1636+M1661+M1686+M1711+M1736+M1761+M1786+M1811+M1836+M1861+M1886+M1911+M1936+M1961+M1986</f>
        <v>8.2914107703102022E-2</v>
      </c>
      <c r="P661" s="96"/>
      <c r="Q661" s="159">
        <f>IFERROR(INDEX('Non-Labor Expenditures'!$F$7:$AB$91,MATCH($C661,'Non-Labor Expenditures'!$D$7:$D$91,0),MATCH($G661,'Non-Labor Expenditures'!$F$5:$AB$5,0)),"NA")</f>
        <v>56412.528059505275</v>
      </c>
      <c r="R661" s="159">
        <f t="shared" si="1219"/>
        <v>626.29091701828804</v>
      </c>
      <c r="S661" s="165">
        <f t="shared" ref="S661:S676" si="1231">LN(R661/R660)</f>
        <v>3.6492611273926286E-2</v>
      </c>
      <c r="T661" s="165">
        <f t="shared" ref="T661:T677" si="1232">+S661*AR661</f>
        <v>7.6804427360491776E-4</v>
      </c>
      <c r="U661" s="165"/>
      <c r="V661" s="165"/>
      <c r="W661" s="159">
        <f t="shared" si="1200"/>
        <v>72156.387354838545</v>
      </c>
      <c r="X661" s="163"/>
      <c r="Y661" s="167">
        <v>4598.4808878026315</v>
      </c>
      <c r="Z661" s="168">
        <v>2.4441141354144772E-2</v>
      </c>
      <c r="AA661" s="76">
        <f t="shared" si="1220"/>
        <v>5.1440217627921883E-4</v>
      </c>
      <c r="AB661" s="168"/>
      <c r="AC661" s="168"/>
      <c r="AD661" s="163">
        <f t="shared" si="1166"/>
        <v>167522.81905653686</v>
      </c>
      <c r="AE661" s="168">
        <f t="shared" ref="AE661:AE677" si="1233">LN(AD661/AD660)</f>
        <v>4.0277020548739287E-2</v>
      </c>
      <c r="AF661" s="163"/>
      <c r="AG661" s="163"/>
      <c r="AH661" s="163"/>
      <c r="AI661" s="163"/>
      <c r="AJ661" s="116">
        <f t="shared" ref="AJ661:AJ677" si="1234">+(AD661*1000)/AV661</f>
        <v>295.21468269455846</v>
      </c>
      <c r="AK661" s="114">
        <f>+AV661/$AX$11</f>
        <v>1.6362090292132835E-2</v>
      </c>
      <c r="AL661" s="115">
        <f t="shared" si="1221"/>
        <v>0.23252894060388621</v>
      </c>
      <c r="AM661" s="115">
        <f t="shared" si="1222"/>
        <v>0.33674533640976251</v>
      </c>
      <c r="AN661" s="115">
        <f t="shared" si="1223"/>
        <v>0.43072572298635131</v>
      </c>
      <c r="AO661" s="115">
        <f t="shared" si="1226"/>
        <v>1.570572415647967E-2</v>
      </c>
      <c r="AP661" s="166">
        <f>+AP660*EXP(AO661)</f>
        <v>101.58297072732505</v>
      </c>
      <c r="AQ661" s="168">
        <f>LN(AP661/AP660)</f>
        <v>1.5705724156479733E-2</v>
      </c>
      <c r="AR661" s="69">
        <f>+AD661/$AF$11</f>
        <v>2.1046569340837498E-2</v>
      </c>
      <c r="AS661" s="169">
        <f>+AR661*AQ661</f>
        <v>3.3055161250741724E-4</v>
      </c>
      <c r="AT661" s="115"/>
      <c r="AU661" s="115"/>
      <c r="AV661" s="113">
        <f>IFERROR(INDEX('Total Customers'!$F$7:$AB$91,MATCH($C661,'Total Customers'!$D$7:$D$91,0),MATCH($G661,'Total Customers'!$F$5:$AB$5,0)),"NA")</f>
        <v>567461</v>
      </c>
      <c r="AW661" s="68">
        <f t="shared" si="1195"/>
        <v>1.7902707560593202E-3</v>
      </c>
      <c r="AX661" s="114"/>
      <c r="AY661" s="114"/>
      <c r="AZ661" s="116">
        <v>8247377</v>
      </c>
      <c r="BA661" s="116"/>
      <c r="BB661" s="166"/>
      <c r="BC661" s="166"/>
      <c r="BD661" s="166"/>
      <c r="BE661" s="166"/>
      <c r="BF661" s="166"/>
      <c r="BG661" s="166"/>
      <c r="BH661" s="166"/>
      <c r="BI661" s="113"/>
      <c r="BJ661" s="113"/>
      <c r="BK661" s="113">
        <f>INDEX('Dist. Plant Gas Additions'!$F$7:$AE$91,MATCH($C661,'Dist. Plant Gas Additions'!$D$7:$D$91,0),MATCH(Calculation!$G661,'Dist. Plant Gas Additions'!$F$5:$AE$5,0))</f>
        <v>64046</v>
      </c>
      <c r="BL661" s="113">
        <f>INDEX('Gen. Plant Additions'!$F$7:$AE$91,MATCH($C661,'Gen. Plant Additions'!$D$7:$D$91,0),MATCH(Calculation!$G661,'Gen. Plant Additions'!$F$5:$AE$5,0))</f>
        <v>104</v>
      </c>
      <c r="BM661" s="231">
        <f t="shared" si="1201"/>
        <v>0.96463040644848941</v>
      </c>
      <c r="BN661" s="61">
        <f t="shared" si="1224"/>
        <v>100.3215622706429</v>
      </c>
      <c r="BO661" s="113">
        <f>INDEX('Dist Plant Depreciation'!$E$7:$AD$94,MATCH($C661,'Dist Plant Depreciation'!$D$7:$D$94,0),MATCH(Calculation!$G661,'Dist Plant Depreciation'!$E$5:$AD$5,0))</f>
        <v>507494</v>
      </c>
      <c r="BP661" s="113">
        <f>INDEX('Gen. Plant Depreciation'!$E$7:$AD$94,MATCH($C661,'Gen. Plant Depreciation'!$D$7:$D$94,0),MATCH(Calculation!$G661,'Gen. Plant Depreciation'!$E$5:$AD$5,0))</f>
        <v>13187</v>
      </c>
      <c r="BQ661" s="113"/>
      <c r="BR661" s="113"/>
      <c r="BS661" s="113"/>
      <c r="BT661" s="113"/>
      <c r="BU661" s="113"/>
      <c r="BV661" s="113"/>
      <c r="BW661" s="113">
        <f>INDEX('Gross Dx Plant'!$E$7:$AD$91,MATCH($C661,'Gross Dx Plant'!$D$7:$D$91,0),MATCH(Calculation!$G661,'Gross Dx Plant'!$E$5:$AD$5,0))</f>
        <v>1436544</v>
      </c>
      <c r="BX661" s="113">
        <f>INDEX('Gross Gen Plant'!$E$7:$AD$91,MATCH($C661,'Gross Gen Plant'!$D$7:$D$91,0),MATCH(Calculation!$G661,'Gross Gen Plant'!$E$5:$AD$5,0))</f>
        <v>52673</v>
      </c>
      <c r="BY661" s="113">
        <f t="shared" si="1196"/>
        <v>968536</v>
      </c>
      <c r="BZ661" s="114"/>
      <c r="CA661" s="116">
        <v>2006</v>
      </c>
      <c r="CB661" s="113"/>
      <c r="CC661" s="113"/>
      <c r="CD661" s="113"/>
      <c r="CE661" s="175"/>
      <c r="CF661" s="113">
        <f t="shared" si="1202"/>
        <v>64150</v>
      </c>
      <c r="CG661" s="113">
        <f t="shared" si="1203"/>
        <v>139.12815729063828</v>
      </c>
      <c r="CH661" s="178">
        <v>0.9555555555555556</v>
      </c>
      <c r="CI661" s="61">
        <f>+CI653*CH661+CG654*CH660+CG655*CH659+CG656*CH658+CG657*CH657+CG658*CH656+CG659*CH655+CG660*CH654+CG661</f>
        <v>4598.4808878026315</v>
      </c>
      <c r="CJ661" s="114">
        <f t="shared" si="1204"/>
        <v>2.4441141354144772E-2</v>
      </c>
      <c r="CK661" s="114"/>
      <c r="CL661" s="169">
        <f t="shared" si="1205"/>
        <v>6.2615522680659853E-3</v>
      </c>
      <c r="CM661" s="169">
        <f t="shared" si="1213"/>
        <v>6.0658625617202207E-3</v>
      </c>
      <c r="CN661" s="114">
        <f>VLOOKUP($H661,RoR!$E:$F,2,FALSE)</f>
        <v>5.5874999999999994E-2</v>
      </c>
      <c r="CO661" s="169">
        <v>3.0512430354548314E-2</v>
      </c>
      <c r="CP661" s="169">
        <f t="shared" si="1211"/>
        <v>2.536256964545168E-2</v>
      </c>
      <c r="CQ661" s="169">
        <f t="shared" si="1214"/>
        <v>2.4836079046813404E-2</v>
      </c>
      <c r="CR661" s="169">
        <f t="shared" si="1215"/>
        <v>7.9087823893859641E-2</v>
      </c>
      <c r="CS661" s="179">
        <f t="shared" si="1206"/>
        <v>0.85329623209999994</v>
      </c>
      <c r="CT661" s="180">
        <f t="shared" si="1207"/>
        <v>0.91779957551769631</v>
      </c>
      <c r="CU661" s="180">
        <f t="shared" si="1208"/>
        <v>0.52757270693512304</v>
      </c>
      <c r="CV661" s="180">
        <f t="shared" si="1209"/>
        <v>0.88636824549024895</v>
      </c>
      <c r="CW661" s="180">
        <f t="shared" si="1210"/>
        <v>0.42918482841932087</v>
      </c>
      <c r="CX661" s="181">
        <f>INDEX('State Tax Lookup'!$D$7:$Z$91,MATCH(Calculation!$C661,'State Tax Lookup'!$B$7:$B$91,0),MATCH($H661,'State Tax Lookup'!$D$6:$Z$6,0))</f>
        <v>0.39649667</v>
      </c>
      <c r="CY661" s="72">
        <v>0.37</v>
      </c>
      <c r="CZ661" s="70">
        <f t="shared" si="1212"/>
        <v>16.079592868561615</v>
      </c>
      <c r="DA661" s="70">
        <v>14.788696346247992</v>
      </c>
      <c r="DB661" s="69">
        <f t="shared" si="1216"/>
        <v>-2.4098269281107115E-2</v>
      </c>
      <c r="DC661" s="111">
        <f>VLOOKUP($H661,RoR!$E:$F,2,FALSE)</f>
        <v>5.5874999999999994E-2</v>
      </c>
      <c r="DD661" s="216">
        <f>HLOOKUP($H661,'GDP-PI'!$D$8:$CQ$11,3,FALSE)</f>
        <v>3.0512430354548314E-2</v>
      </c>
      <c r="DE661" s="111">
        <f>VLOOKUP(H661,'HW Dx Data'!$E:$F,2,FALSE)</f>
        <v>461.08567272971823</v>
      </c>
      <c r="DF661" s="72">
        <f t="shared" si="1227"/>
        <v>109.4</v>
      </c>
      <c r="DG661" s="69">
        <f t="shared" si="1228"/>
        <v>9.7620891318751846E-2</v>
      </c>
      <c r="DH661" s="66">
        <f>HLOOKUP(H661,'GDP-PI'!$8:$9,2,FALSE)</f>
        <v>90.073999999999998</v>
      </c>
      <c r="DI661" s="69">
        <f t="shared" si="1217"/>
        <v>3.005618372545445E-2</v>
      </c>
      <c r="EB661"/>
    </row>
    <row r="662" spans="1:132" s="160" customFormat="1" ht="21">
      <c r="A662" s="160" t="s">
        <v>198</v>
      </c>
      <c r="B662" s="161" t="s">
        <v>198</v>
      </c>
      <c r="C662" s="161">
        <v>4057014</v>
      </c>
      <c r="D662" s="161" t="s">
        <v>171</v>
      </c>
      <c r="E662" s="161" t="s">
        <v>3</v>
      </c>
      <c r="F662" s="161"/>
      <c r="G662" s="161" t="s">
        <v>118</v>
      </c>
      <c r="H662" s="162">
        <v>2007</v>
      </c>
      <c r="I662" s="163"/>
      <c r="J662" s="159">
        <f>IFERROR(INDEX('Labor Expenditures'!$F$7:$X$91,MATCH($C662,'Labor Expenditures'!$D$7:$D$91,0),MATCH($G662,'Labor Expenditures'!$F$5:$X$5,0)),"NA")</f>
        <v>37162.287193302844</v>
      </c>
      <c r="K662" s="159">
        <f t="shared" si="1218"/>
        <v>355.53491694142883</v>
      </c>
      <c r="L662" s="165">
        <f t="shared" si="1225"/>
        <v>-1.4999145036630863E-3</v>
      </c>
      <c r="M662" s="76">
        <f t="shared" si="1229"/>
        <v>-3.0386803595282053E-5</v>
      </c>
      <c r="N662" s="62">
        <f t="shared" ref="N662:N675" si="1235">+N661*EXP(O662)</f>
        <v>117.94425214070236</v>
      </c>
      <c r="O662" s="96">
        <f t="shared" si="1230"/>
        <v>8.2127779654202579E-2</v>
      </c>
      <c r="P662" s="96"/>
      <c r="Q662" s="159">
        <f>IFERROR(INDEX('Non-Labor Expenditures'!$F$7:$AB$91,MATCH($C662,'Non-Labor Expenditures'!$D$7:$D$91,0),MATCH($G662,'Non-Labor Expenditures'!$F$5:$AB$5,0)),"NA")</f>
        <v>53817.932813718005</v>
      </c>
      <c r="R662" s="159">
        <f t="shared" si="1219"/>
        <v>581.82806994440966</v>
      </c>
      <c r="S662" s="165">
        <f t="shared" si="1231"/>
        <v>-7.3639995198953631E-2</v>
      </c>
      <c r="T662" s="165">
        <f t="shared" si="1232"/>
        <v>-1.4918744137770871E-3</v>
      </c>
      <c r="U662" s="165"/>
      <c r="V662" s="165"/>
      <c r="W662" s="159">
        <f t="shared" si="1200"/>
        <v>79352.512798061536</v>
      </c>
      <c r="X662" s="163"/>
      <c r="Y662" s="167">
        <v>4680.9860147013096</v>
      </c>
      <c r="Z662" s="168">
        <v>1.7782767468989186E-2</v>
      </c>
      <c r="AA662" s="76">
        <f t="shared" si="1220"/>
        <v>3.602615090000639E-4</v>
      </c>
      <c r="AB662" s="168"/>
      <c r="AC662" s="168"/>
      <c r="AD662" s="163">
        <f t="shared" si="1166"/>
        <v>170332.7328050824</v>
      </c>
      <c r="AE662" s="168">
        <f t="shared" si="1233"/>
        <v>1.6634200763630355E-2</v>
      </c>
      <c r="AF662" s="163"/>
      <c r="AG662" s="163"/>
      <c r="AH662" s="163"/>
      <c r="AI662" s="163"/>
      <c r="AJ662" s="116">
        <f t="shared" si="1234"/>
        <v>298.35774119345109</v>
      </c>
      <c r="AK662" s="114">
        <f>+AV662/$AX$12</f>
        <v>1.6337340624999912E-2</v>
      </c>
      <c r="AL662" s="115">
        <f t="shared" si="1221"/>
        <v>0.21817466661460147</v>
      </c>
      <c r="AM662" s="115">
        <f t="shared" si="1222"/>
        <v>0.31595766666471392</v>
      </c>
      <c r="AN662" s="115">
        <f t="shared" si="1223"/>
        <v>0.46586766672068453</v>
      </c>
      <c r="AO662" s="115">
        <f t="shared" si="1226"/>
        <v>-1.6398575563337164E-2</v>
      </c>
      <c r="AP662" s="166">
        <f>+AP661*EXP(AO662)</f>
        <v>99.930738855925512</v>
      </c>
      <c r="AQ662" s="168">
        <f>LN(AP662/AP661)</f>
        <v>-1.6398575563337046E-2</v>
      </c>
      <c r="AR662" s="69">
        <f>+AD662/$AF$12</f>
        <v>2.0259023778403037E-2</v>
      </c>
      <c r="AS662" s="169">
        <f t="shared" ref="AS662:AS676" si="1236">+AR662*AQ662</f>
        <v>-3.322191322695842E-4</v>
      </c>
      <c r="AT662" s="115"/>
      <c r="AU662" s="115"/>
      <c r="AV662" s="113">
        <f>IFERROR(INDEX('Total Customers'!$F$7:$AB$91,MATCH($C662,'Total Customers'!$D$7:$D$91,0),MATCH($G662,'Total Customers'!$F$5:$AB$5,0)),"NA")</f>
        <v>570901</v>
      </c>
      <c r="AW662" s="68">
        <f t="shared" si="1195"/>
        <v>6.0437900618277507E-3</v>
      </c>
      <c r="AX662" s="114"/>
      <c r="AY662" s="114"/>
      <c r="AZ662" s="116">
        <v>8187757</v>
      </c>
      <c r="BA662" s="116"/>
      <c r="BB662" s="166"/>
      <c r="BC662" s="166"/>
      <c r="BD662" s="166"/>
      <c r="BE662" s="166"/>
      <c r="BF662" s="166"/>
      <c r="BG662" s="166"/>
      <c r="BH662" s="166"/>
      <c r="BI662" s="113"/>
      <c r="BJ662" s="113"/>
      <c r="BK662" s="113">
        <f>INDEX('Dist. Plant Gas Additions'!$F$7:$AE$91,MATCH($C662,'Dist. Plant Gas Additions'!$D$7:$D$91,0),MATCH(Calculation!$G662,'Dist. Plant Gas Additions'!$F$5:$AE$5,0))</f>
        <v>54148</v>
      </c>
      <c r="BL662" s="113">
        <f>INDEX('Gen. Plant Additions'!$F$7:$AE$91,MATCH($C662,'Gen. Plant Additions'!$D$7:$D$91,0),MATCH(Calculation!$G662,'Gen. Plant Additions'!$F$5:$AE$5,0))</f>
        <v>1749</v>
      </c>
      <c r="BM662" s="231">
        <f t="shared" si="1201"/>
        <v>0.95748112007313957</v>
      </c>
      <c r="BN662" s="61">
        <f t="shared" si="1224"/>
        <v>1674.6344790079211</v>
      </c>
      <c r="BO662" s="113">
        <f>INDEX('Dist Plant Depreciation'!$E$7:$AD$94,MATCH($C662,'Dist Plant Depreciation'!$D$7:$D$94,0),MATCH(Calculation!$G662,'Dist Plant Depreciation'!$E$5:$AD$5,0))</f>
        <v>516989</v>
      </c>
      <c r="BP662" s="113">
        <f>INDEX('Gen. Plant Depreciation'!$E$7:$AD$94,MATCH($C662,'Gen. Plant Depreciation'!$D$7:$D$94,0),MATCH(Calculation!$G662,'Gen. Plant Depreciation'!$E$5:$AD$5,0))</f>
        <v>25231</v>
      </c>
      <c r="BQ662" s="113"/>
      <c r="BR662" s="113"/>
      <c r="BS662" s="113"/>
      <c r="BT662" s="113"/>
      <c r="BU662" s="113"/>
      <c r="BV662" s="113"/>
      <c r="BW662" s="113">
        <f>INDEX('Gross Dx Plant'!$E$7:$AD$91,MATCH($C662,'Gross Dx Plant'!$D$7:$D$91,0),MATCH(Calculation!$G662,'Gross Dx Plant'!$E$5:$AD$5,0))</f>
        <v>1468304</v>
      </c>
      <c r="BX662" s="113">
        <f>INDEX('Gross Gen Plant'!$E$7:$AD$91,MATCH($C662,'Gross Gen Plant'!$D$7:$D$91,0),MATCH(Calculation!$G662,'Gross Gen Plant'!$E$5:$AD$5,0))</f>
        <v>65203</v>
      </c>
      <c r="BY662" s="113">
        <f t="shared" si="1196"/>
        <v>991287</v>
      </c>
      <c r="BZ662" s="113"/>
      <c r="CA662" s="116">
        <v>2007</v>
      </c>
      <c r="CB662" s="113"/>
      <c r="CC662" s="113"/>
      <c r="CD662" s="113"/>
      <c r="CE662" s="175"/>
      <c r="CF662" s="113">
        <f t="shared" si="1202"/>
        <v>55897</v>
      </c>
      <c r="CG662" s="113">
        <f t="shared" si="1203"/>
        <v>112.23794248342648</v>
      </c>
      <c r="CH662" s="178">
        <v>0.94915254237288138</v>
      </c>
      <c r="CI662" s="61">
        <f>+CI653*CH662+CG654*CH661+CG655*CH660+CG656*CH659+CG657*CH658+CG658*CH657+CG659*CH656+CG660*CH655+CG661*CH654+CG662</f>
        <v>4680.9860147013096</v>
      </c>
      <c r="CJ662" s="114">
        <f t="shared" si="1204"/>
        <v>1.7782767468989186E-2</v>
      </c>
      <c r="CK662" s="114"/>
      <c r="CL662" s="169">
        <f t="shared" si="1205"/>
        <v>6.4657908361898412E-3</v>
      </c>
      <c r="CM662" s="169">
        <f t="shared" si="1213"/>
        <v>6.2660014567444237E-3</v>
      </c>
      <c r="CN662" s="114">
        <f>VLOOKUP($H662,RoR!$E:$F,2,FALSE)</f>
        <v>5.5558333333333321E-2</v>
      </c>
      <c r="CO662" s="169">
        <v>2.691120634145272E-2</v>
      </c>
      <c r="CP662" s="169">
        <f t="shared" si="1211"/>
        <v>2.86471269918806E-2</v>
      </c>
      <c r="CQ662" s="169">
        <f t="shared" si="1214"/>
        <v>2.4635940151789201E-2</v>
      </c>
      <c r="CR662" s="169">
        <f t="shared" si="1215"/>
        <v>6.4575155250632399E-2</v>
      </c>
      <c r="CS662" s="179">
        <f t="shared" si="1206"/>
        <v>0.85329623209999994</v>
      </c>
      <c r="CT662" s="180">
        <f t="shared" si="1207"/>
        <v>0.92303077153834634</v>
      </c>
      <c r="CU662" s="180">
        <f t="shared" si="1208"/>
        <v>0.52502249887505614</v>
      </c>
      <c r="CV662" s="180">
        <f t="shared" si="1209"/>
        <v>0.88499666072084604</v>
      </c>
      <c r="CW662" s="180">
        <f t="shared" si="1210"/>
        <v>0.42887993290280618</v>
      </c>
      <c r="CX662" s="181">
        <f>INDEX('State Tax Lookup'!$D$7:$Z$91,MATCH(Calculation!$C662,'State Tax Lookup'!$B$7:$B$91,0),MATCH($H662,'State Tax Lookup'!$D$6:$Z$6,0))</f>
        <v>0.39649667</v>
      </c>
      <c r="CY662" s="72">
        <v>0.37</v>
      </c>
      <c r="CZ662" s="70">
        <f t="shared" si="1212"/>
        <v>17.25624499354609</v>
      </c>
      <c r="DA662" s="70">
        <v>16.108943221861779</v>
      </c>
      <c r="DB662" s="69">
        <f t="shared" si="1216"/>
        <v>7.0623162261207323E-2</v>
      </c>
      <c r="DC662" s="111">
        <f>VLOOKUP($H662,RoR!$E:$F,2,FALSE)</f>
        <v>5.5558333333333321E-2</v>
      </c>
      <c r="DD662" s="216">
        <f>HLOOKUP($H662,'GDP-PI'!$D$8:$CQ$11,3,FALSE)</f>
        <v>2.691120634145272E-2</v>
      </c>
      <c r="DE662" s="111">
        <f>VLOOKUP(H662,'HW Dx Data'!$E:$F,2,FALSE)</f>
        <v>498.0223154772637</v>
      </c>
      <c r="DF662" s="72">
        <f t="shared" si="1227"/>
        <v>104.52499999999999</v>
      </c>
      <c r="DG662" s="69">
        <f t="shared" si="1228"/>
        <v>-4.5584612745252218E-2</v>
      </c>
      <c r="DH662" s="66">
        <f>HLOOKUP(H662,'GDP-PI'!$8:$9,2,FALSE)</f>
        <v>92.498000000000005</v>
      </c>
      <c r="DI662" s="69">
        <f t="shared" si="1217"/>
        <v>2.6555467950038037E-2</v>
      </c>
      <c r="EB662"/>
    </row>
    <row r="663" spans="1:132" s="160" customFormat="1" ht="21">
      <c r="A663" s="160" t="s">
        <v>198</v>
      </c>
      <c r="B663" s="161" t="s">
        <v>198</v>
      </c>
      <c r="C663" s="161">
        <v>4057014</v>
      </c>
      <c r="D663" s="161" t="s">
        <v>171</v>
      </c>
      <c r="E663" s="161" t="s">
        <v>3</v>
      </c>
      <c r="F663" s="161"/>
      <c r="G663" s="161" t="s">
        <v>120</v>
      </c>
      <c r="H663" s="162">
        <v>2008</v>
      </c>
      <c r="I663" s="163"/>
      <c r="J663" s="159">
        <f>IFERROR(INDEX('Labor Expenditures'!$F$7:$X$91,MATCH($C663,'Labor Expenditures'!$D$7:$D$91,0),MATCH($G663,'Labor Expenditures'!$F$5:$X$5,0)),"NA")</f>
        <v>41060.856287976232</v>
      </c>
      <c r="K663" s="159">
        <f t="shared" si="1218"/>
        <v>380.54547069486773</v>
      </c>
      <c r="L663" s="165">
        <f t="shared" si="1225"/>
        <v>6.7982208980487263E-2</v>
      </c>
      <c r="M663" s="76">
        <f t="shared" si="1229"/>
        <v>1.453675427734351E-3</v>
      </c>
      <c r="N663" s="62">
        <f t="shared" si="1235"/>
        <v>110.01081109617326</v>
      </c>
      <c r="O663" s="96">
        <f t="shared" si="1230"/>
        <v>-6.9633429689923018E-2</v>
      </c>
      <c r="P663" s="96"/>
      <c r="Q663" s="159">
        <f>IFERROR(INDEX('Non-Labor Expenditures'!$F$7:$AB$91,MATCH($C663,'Non-Labor Expenditures'!$D$7:$D$91,0),MATCH($G663,'Non-Labor Expenditures'!$F$5:$AB$5,0)),"NA")</f>
        <v>59463.789015071001</v>
      </c>
      <c r="R663" s="159">
        <f t="shared" si="1219"/>
        <v>630.8218303389524</v>
      </c>
      <c r="S663" s="165">
        <f t="shared" si="1231"/>
        <v>8.0848470253915589E-2</v>
      </c>
      <c r="T663" s="165">
        <f t="shared" si="1232"/>
        <v>1.7287969358536473E-3</v>
      </c>
      <c r="U663" s="165"/>
      <c r="V663" s="165"/>
      <c r="W663" s="159">
        <f t="shared" si="1200"/>
        <v>91688.37136614132</v>
      </c>
      <c r="X663" s="163"/>
      <c r="Y663" s="167">
        <v>4765.2583279062774</v>
      </c>
      <c r="Z663" s="168">
        <v>1.784297461794835E-2</v>
      </c>
      <c r="AA663" s="76">
        <f t="shared" si="1220"/>
        <v>3.8153943728489484E-4</v>
      </c>
      <c r="AB663" s="168"/>
      <c r="AC663" s="168"/>
      <c r="AD663" s="163">
        <f t="shared" si="1166"/>
        <v>192213.01666918857</v>
      </c>
      <c r="AE663" s="168">
        <f t="shared" si="1233"/>
        <v>0.12085044292533434</v>
      </c>
      <c r="AF663" s="163"/>
      <c r="AG663" s="163"/>
      <c r="AH663" s="163"/>
      <c r="AI663" s="163"/>
      <c r="AJ663" s="116">
        <f t="shared" si="1234"/>
        <v>333.82138234581095</v>
      </c>
      <c r="AK663" s="114">
        <f>+AV663/$AX$13</f>
        <v>1.6389321909723926E-2</v>
      </c>
      <c r="AL663" s="115">
        <f t="shared" si="1221"/>
        <v>0.21362162146721159</v>
      </c>
      <c r="AM663" s="115">
        <f t="shared" si="1222"/>
        <v>0.3093640068997624</v>
      </c>
      <c r="AN663" s="115">
        <f t="shared" si="1223"/>
        <v>0.4770143716330259</v>
      </c>
      <c r="AO663" s="115">
        <f t="shared" si="1226"/>
        <v>4.836729324787372E-2</v>
      </c>
      <c r="AP663" s="166">
        <f t="shared" ref="AP663:AP676" si="1237">+AP662*EXP(AO663)</f>
        <v>104.88291448512403</v>
      </c>
      <c r="AQ663" s="168">
        <f t="shared" ref="AQ663:AQ676" si="1238">LN(AP663/AP662)</f>
        <v>4.8367293247873824E-2</v>
      </c>
      <c r="AR663" s="69">
        <f>+AD663/$AF$13</f>
        <v>2.1383174355978859E-2</v>
      </c>
      <c r="AS663" s="169">
        <f t="shared" si="1236"/>
        <v>1.034246264646045E-3</v>
      </c>
      <c r="AT663" s="115"/>
      <c r="AU663" s="115"/>
      <c r="AV663" s="113">
        <f>IFERROR(INDEX('Total Customers'!$F$7:$AB$91,MATCH($C663,'Total Customers'!$D$7:$D$91,0),MATCH($G663,'Total Customers'!$F$5:$AB$5,0)),"NA")</f>
        <v>575796</v>
      </c>
      <c r="AW663" s="68">
        <f t="shared" si="1195"/>
        <v>8.5376167084704139E-3</v>
      </c>
      <c r="AX663" s="114"/>
      <c r="AY663" s="114"/>
      <c r="AZ663" s="116">
        <v>8244107</v>
      </c>
      <c r="BA663" s="116"/>
      <c r="BB663" s="166"/>
      <c r="BC663" s="166"/>
      <c r="BD663" s="166"/>
      <c r="BE663" s="166"/>
      <c r="BF663" s="166"/>
      <c r="BG663" s="166"/>
      <c r="BH663" s="166"/>
      <c r="BI663" s="113"/>
      <c r="BJ663" s="113"/>
      <c r="BK663" s="113">
        <f>INDEX('Dist. Plant Gas Additions'!$F$7:$AE$91,MATCH($C663,'Dist. Plant Gas Additions'!$D$7:$D$91,0),MATCH(Calculation!$G663,'Dist. Plant Gas Additions'!$F$5:$AE$5,0))</f>
        <v>63450</v>
      </c>
      <c r="BL663" s="113">
        <f>INDEX('Gen. Plant Additions'!$F$7:$AE$91,MATCH($C663,'Gen. Plant Additions'!$D$7:$D$91,0),MATCH(Calculation!$G663,'Gen. Plant Additions'!$F$5:$AE$5,0))</f>
        <v>2414</v>
      </c>
      <c r="BM663" s="231">
        <f t="shared" si="1201"/>
        <v>0.95730412786364427</v>
      </c>
      <c r="BN663" s="61">
        <f t="shared" si="1224"/>
        <v>2310.9321646628373</v>
      </c>
      <c r="BO663" s="113">
        <f>INDEX('Dist Plant Depreciation'!$E$7:$AD$94,MATCH($C663,'Dist Plant Depreciation'!$D$7:$D$94,0),MATCH(Calculation!$G663,'Dist Plant Depreciation'!$E$5:$AD$5,0))</f>
        <v>541008</v>
      </c>
      <c r="BP663" s="113">
        <f>INDEX('Gen. Plant Depreciation'!$E$7:$AD$94,MATCH($C663,'Gen. Plant Depreciation'!$D$7:$D$94,0),MATCH(Calculation!$G663,'Gen. Plant Depreciation'!$E$5:$AD$5,0))</f>
        <v>29144</v>
      </c>
      <c r="BQ663" s="113"/>
      <c r="BR663" s="113"/>
      <c r="BS663" s="113"/>
      <c r="BT663" s="113"/>
      <c r="BU663" s="113"/>
      <c r="BV663" s="113"/>
      <c r="BW663" s="113">
        <f>INDEX('Gross Dx Plant'!$E$7:$AD$91,MATCH($C663,'Gross Dx Plant'!$D$7:$D$91,0),MATCH(Calculation!$G663,'Gross Dx Plant'!$E$5:$AD$5,0))</f>
        <v>1525893</v>
      </c>
      <c r="BX663" s="113">
        <f>INDEX('Gross Gen Plant'!$E$7:$AD$91,MATCH($C663,'Gross Gen Plant'!$D$7:$D$91,0),MATCH(Calculation!$G663,'Gross Gen Plant'!$E$5:$AD$5,0))</f>
        <v>68055</v>
      </c>
      <c r="BY663" s="113">
        <f t="shared" si="1196"/>
        <v>1023796</v>
      </c>
      <c r="BZ663" s="113"/>
      <c r="CA663" s="116">
        <v>2008</v>
      </c>
      <c r="CB663" s="113"/>
      <c r="CC663" s="113"/>
      <c r="CD663" s="113"/>
      <c r="CE663" s="175"/>
      <c r="CF663" s="113">
        <f t="shared" si="1202"/>
        <v>65864</v>
      </c>
      <c r="CG663" s="113">
        <f t="shared" si="1203"/>
        <v>115.57496477255272</v>
      </c>
      <c r="CH663" s="178">
        <v>0.94252873563218387</v>
      </c>
      <c r="CI663" s="61">
        <f>+CI653*CH663+CG654*CH662+CG655*CH661+CG656*CH660+CG657*CH659+CG658*CH658+CG659*CH657+CG660*CH656+CG661*CH655+CG662*CH654+CG663</f>
        <v>4765.2583279062774</v>
      </c>
      <c r="CJ663" s="114">
        <f t="shared" si="1204"/>
        <v>1.784297461794835E-2</v>
      </c>
      <c r="CK663" s="114"/>
      <c r="CL663" s="169">
        <f t="shared" si="1205"/>
        <v>6.6871918585687893E-3</v>
      </c>
      <c r="CM663" s="169">
        <f t="shared" si="1213"/>
        <v>6.4715116542748722E-3</v>
      </c>
      <c r="CN663" s="114">
        <f>VLOOKUP($H663,RoR!$E:$F,2,FALSE)</f>
        <v>5.6316666666666668E-2</v>
      </c>
      <c r="CO663" s="169">
        <v>1.9092304698479889E-2</v>
      </c>
      <c r="CP663" s="169">
        <f t="shared" si="1211"/>
        <v>3.7224361968186778E-2</v>
      </c>
      <c r="CQ663" s="169">
        <f t="shared" si="1214"/>
        <v>2.4430429954258752E-2</v>
      </c>
      <c r="CR663" s="169">
        <f t="shared" si="1215"/>
        <v>6.9030581091053131E-2</v>
      </c>
      <c r="CS663" s="179">
        <f t="shared" si="1206"/>
        <v>0.85329623209999994</v>
      </c>
      <c r="CT663" s="180">
        <f t="shared" si="1207"/>
        <v>0.91060168006009956</v>
      </c>
      <c r="CU663" s="180">
        <f t="shared" si="1208"/>
        <v>0.53108168097070152</v>
      </c>
      <c r="CV663" s="180">
        <f t="shared" si="1209"/>
        <v>0.88825329850328805</v>
      </c>
      <c r="CW663" s="180">
        <f t="shared" si="1210"/>
        <v>0.4295627335323573</v>
      </c>
      <c r="CX663" s="181">
        <f>INDEX('State Tax Lookup'!$D$7:$Z$91,MATCH(Calculation!$C663,'State Tax Lookup'!$B$7:$B$91,0),MATCH($H663,'State Tax Lookup'!$D$6:$Z$6,0))</f>
        <v>0.39649667</v>
      </c>
      <c r="CY663" s="72">
        <v>0.37</v>
      </c>
      <c r="CZ663" s="70">
        <f t="shared" si="1212"/>
        <v>19.587405533402752</v>
      </c>
      <c r="DA663" s="70">
        <v>18.300102035478151</v>
      </c>
      <c r="DB663" s="69">
        <f t="shared" si="1216"/>
        <v>0.12671267829820398</v>
      </c>
      <c r="DC663" s="111">
        <f>VLOOKUP($H663,RoR!$E:$F,2,FALSE)</f>
        <v>5.6316666666666668E-2</v>
      </c>
      <c r="DD663" s="216">
        <f>HLOOKUP($H663,'GDP-PI'!$D$8:$CQ$11,3,FALSE)</f>
        <v>1.9092304698479889E-2</v>
      </c>
      <c r="DE663" s="111">
        <f>VLOOKUP(H663,'HW Dx Data'!$E:$F,2,FALSE)</f>
        <v>569.88120333515076</v>
      </c>
      <c r="DF663" s="72">
        <f t="shared" si="1227"/>
        <v>107.9</v>
      </c>
      <c r="DG663" s="69">
        <f t="shared" si="1228"/>
        <v>3.1778595021460486E-2</v>
      </c>
      <c r="DH663" s="66">
        <f>HLOOKUP(H663,'GDP-PI'!$8:$9,2,FALSE)</f>
        <v>94.263999999999996</v>
      </c>
      <c r="DI663" s="69">
        <f t="shared" si="1217"/>
        <v>1.8912333748032254E-2</v>
      </c>
      <c r="EB663"/>
    </row>
    <row r="664" spans="1:132" s="160" customFormat="1" ht="21">
      <c r="A664" s="160" t="s">
        <v>198</v>
      </c>
      <c r="B664" s="161" t="s">
        <v>198</v>
      </c>
      <c r="C664" s="161">
        <v>4057014</v>
      </c>
      <c r="D664" s="161" t="s">
        <v>171</v>
      </c>
      <c r="E664" s="161" t="s">
        <v>3</v>
      </c>
      <c r="F664" s="161"/>
      <c r="G664" s="161" t="s">
        <v>125</v>
      </c>
      <c r="H664" s="162">
        <v>2009</v>
      </c>
      <c r="I664" s="163"/>
      <c r="J664" s="159">
        <f>IFERROR(INDEX('Labor Expenditures'!$F$7:$X$91,MATCH($C664,'Labor Expenditures'!$D$7:$D$91,0),MATCH($G664,'Labor Expenditures'!$F$5:$X$5,0)),"NA")</f>
        <v>49328.988182943453</v>
      </c>
      <c r="K664" s="159">
        <f t="shared" si="1218"/>
        <v>444.70577582099122</v>
      </c>
      <c r="L664" s="165">
        <f t="shared" si="1225"/>
        <v>0.15580721291624766</v>
      </c>
      <c r="M664" s="76">
        <f t="shared" si="1229"/>
        <v>3.4933920531464136E-3</v>
      </c>
      <c r="N664" s="62">
        <f t="shared" si="1235"/>
        <v>118.16765975469421</v>
      </c>
      <c r="O664" s="96">
        <f t="shared" si="1230"/>
        <v>7.1525817743278264E-2</v>
      </c>
      <c r="P664" s="96"/>
      <c r="Q664" s="159">
        <f>IFERROR(INDEX('Non-Labor Expenditures'!$F$7:$AB$91,MATCH($C664,'Non-Labor Expenditures'!$D$7:$D$91,0),MATCH($G664,'Non-Labor Expenditures'!$F$5:$AB$5,0)),"NA")</f>
        <v>71437.588273005123</v>
      </c>
      <c r="R664" s="159">
        <f t="shared" si="1219"/>
        <v>751.9825290056225</v>
      </c>
      <c r="S664" s="165">
        <f t="shared" si="1231"/>
        <v>0.17568962909882185</v>
      </c>
      <c r="T664" s="165">
        <f t="shared" si="1232"/>
        <v>3.9391806234540683E-3</v>
      </c>
      <c r="U664" s="165"/>
      <c r="V664" s="165"/>
      <c r="W664" s="159">
        <f t="shared" si="1200"/>
        <v>89446.846501606284</v>
      </c>
      <c r="X664" s="163"/>
      <c r="Y664" s="167">
        <v>4858.3078906512055</v>
      </c>
      <c r="Z664" s="168">
        <v>1.9338457380905418E-2</v>
      </c>
      <c r="AA664" s="76">
        <f t="shared" si="1220"/>
        <v>4.3359233549014169E-4</v>
      </c>
      <c r="AB664" s="168"/>
      <c r="AC664" s="168"/>
      <c r="AD664" s="163">
        <f t="shared" si="1166"/>
        <v>210213.42295755487</v>
      </c>
      <c r="AE664" s="168">
        <f t="shared" si="1233"/>
        <v>8.9519095583799016E-2</v>
      </c>
      <c r="AF664" s="163"/>
      <c r="AG664" s="163"/>
      <c r="AH664" s="163"/>
      <c r="AI664" s="163"/>
      <c r="AJ664" s="116">
        <f t="shared" si="1234"/>
        <v>362.63576056795773</v>
      </c>
      <c r="AK664" s="114">
        <f>+AV664/$AX$14</f>
        <v>1.6478898423781519E-2</v>
      </c>
      <c r="AL664" s="115">
        <f t="shared" si="1221"/>
        <v>0.23466145733664062</v>
      </c>
      <c r="AM664" s="115">
        <f t="shared" si="1222"/>
        <v>0.33983361893797526</v>
      </c>
      <c r="AN664" s="115">
        <f t="shared" si="1223"/>
        <v>0.42550492372538407</v>
      </c>
      <c r="AO664" s="115">
        <f t="shared" si="1226"/>
        <v>0.10067817906497205</v>
      </c>
      <c r="AP664" s="166">
        <f t="shared" si="1237"/>
        <v>115.99218369472572</v>
      </c>
      <c r="AQ664" s="168">
        <f t="shared" si="1238"/>
        <v>0.1006781790649721</v>
      </c>
      <c r="AR664" s="69">
        <f>+AD664/$AF$14</f>
        <v>2.2421247307878138E-2</v>
      </c>
      <c r="AS664" s="169">
        <f t="shared" si="1236"/>
        <v>2.2573303513225788E-3</v>
      </c>
      <c r="AT664" s="115"/>
      <c r="AU664" s="115"/>
      <c r="AV664" s="113">
        <f>IFERROR(INDEX('Total Customers'!$F$7:$AB$91,MATCH($C664,'Total Customers'!$D$7:$D$91,0),MATCH($G664,'Total Customers'!$F$5:$AB$5,0)),"NA")</f>
        <v>579682</v>
      </c>
      <c r="AW664" s="68">
        <f t="shared" si="1195"/>
        <v>6.7262460228259659E-3</v>
      </c>
      <c r="AX664" s="114"/>
      <c r="AY664" s="114"/>
      <c r="AZ664" s="116">
        <v>8336812</v>
      </c>
      <c r="BA664" s="116"/>
      <c r="BB664" s="166"/>
      <c r="BC664" s="166"/>
      <c r="BD664" s="166"/>
      <c r="BE664" s="166"/>
      <c r="BF664" s="166"/>
      <c r="BG664" s="166"/>
      <c r="BH664" s="166"/>
      <c r="BI664" s="113"/>
      <c r="BJ664" s="113"/>
      <c r="BK664" s="113">
        <f>INDEX('Dist. Plant Gas Additions'!$F$7:$AE$91,MATCH($C664,'Dist. Plant Gas Additions'!$D$7:$D$91,0),MATCH(Calculation!$G664,'Dist. Plant Gas Additions'!$F$5:$AE$5,0))</f>
        <v>62903</v>
      </c>
      <c r="BL664" s="113">
        <f>INDEX('Gen. Plant Additions'!$F$7:$AE$91,MATCH($C664,'Gen. Plant Additions'!$D$7:$D$91,0),MATCH(Calculation!$G664,'Gen. Plant Additions'!$F$5:$AE$5,0))</f>
        <v>6520</v>
      </c>
      <c r="BM664" s="231">
        <f t="shared" si="1201"/>
        <v>0.95695595828276392</v>
      </c>
      <c r="BN664" s="61">
        <f t="shared" si="1224"/>
        <v>6239.3528480036211</v>
      </c>
      <c r="BO664" s="113">
        <f>INDEX('Dist Plant Depreciation'!$E$7:$AD$94,MATCH($C664,'Dist Plant Depreciation'!$D$7:$D$94,0),MATCH(Calculation!$G664,'Dist Plant Depreciation'!$E$5:$AD$5,0))</f>
        <v>566170</v>
      </c>
      <c r="BP664" s="113">
        <f>INDEX('Gen. Plant Depreciation'!$E$7:$AD$94,MATCH($C664,'Gen. Plant Depreciation'!$D$7:$D$94,0),MATCH(Calculation!$G664,'Gen. Plant Depreciation'!$E$5:$AD$5,0))</f>
        <v>21871</v>
      </c>
      <c r="BQ664" s="113"/>
      <c r="BR664" s="113"/>
      <c r="BS664" s="113"/>
      <c r="BT664" s="113"/>
      <c r="BU664" s="113"/>
      <c r="BV664" s="113"/>
      <c r="BW664" s="113">
        <f>INDEX('Gross Dx Plant'!$E$7:$AD$91,MATCH($C664,'Gross Dx Plant'!$D$7:$D$91,0),MATCH(Calculation!$G664,'Gross Dx Plant'!$E$5:$AD$5,0))</f>
        <v>1581697</v>
      </c>
      <c r="BX664" s="113">
        <f>INDEX('Gross Gen Plant'!$E$7:$AD$91,MATCH($C664,'Gross Gen Plant'!$D$7:$D$91,0),MATCH(Calculation!$G664,'Gross Gen Plant'!$E$5:$AD$5,0))</f>
        <v>71145</v>
      </c>
      <c r="BY664" s="113">
        <f t="shared" si="1196"/>
        <v>1064801</v>
      </c>
      <c r="BZ664" s="113"/>
      <c r="CA664" s="116">
        <v>2009</v>
      </c>
      <c r="CB664" s="113"/>
      <c r="CC664" s="113"/>
      <c r="CD664" s="113"/>
      <c r="CE664" s="175"/>
      <c r="CF664" s="113">
        <f t="shared" si="1202"/>
        <v>69423</v>
      </c>
      <c r="CG664" s="113">
        <f t="shared" si="1203"/>
        <v>126.00813111846878</v>
      </c>
      <c r="CH664" s="178">
        <v>0.93567251461988299</v>
      </c>
      <c r="CI664" s="61">
        <f>+CI653*CH664+CG654*CH663+CG655*CH662+CG656*CH661+CG657*CH660+CG658*CH659+CG659*CH658+CG660*CH657+CG661*CH656+CG662*CH655+CG663*CH654+CG664</f>
        <v>4858.3078906512055</v>
      </c>
      <c r="CJ664" s="114">
        <f t="shared" si="1204"/>
        <v>1.9338457380905418E-2</v>
      </c>
      <c r="CK664" s="114"/>
      <c r="CL664" s="169">
        <f t="shared" si="1205"/>
        <v>6.9164284715749532E-3</v>
      </c>
      <c r="CM664" s="169">
        <f t="shared" si="1213"/>
        <v>6.6898037221111949E-3</v>
      </c>
      <c r="CN664" s="114">
        <f>VLOOKUP($H664,RoR!$E:$F,2,FALSE)</f>
        <v>5.3133333333333324E-2</v>
      </c>
      <c r="CO664" s="169">
        <v>7.7972502758210105E-3</v>
      </c>
      <c r="CP664" s="169">
        <f t="shared" si="1211"/>
        <v>4.5336083057512314E-2</v>
      </c>
      <c r="CQ664" s="169">
        <f t="shared" si="1214"/>
        <v>2.421213788642243E-2</v>
      </c>
      <c r="CR664" s="169">
        <f t="shared" si="1215"/>
        <v>6.3720160300892073E-2</v>
      </c>
      <c r="CS664" s="179">
        <f t="shared" si="1206"/>
        <v>0.85329623209999994</v>
      </c>
      <c r="CT664" s="180">
        <f t="shared" si="1207"/>
        <v>0.96515780330083989</v>
      </c>
      <c r="CU664" s="180">
        <f t="shared" si="1208"/>
        <v>0.50448557089084056</v>
      </c>
      <c r="CV664" s="180">
        <f t="shared" si="1209"/>
        <v>0.87391435735465484</v>
      </c>
      <c r="CW664" s="180">
        <f t="shared" si="1210"/>
        <v>0.42551605393279146</v>
      </c>
      <c r="CX664" s="181">
        <f>INDEX('State Tax Lookup'!$D$7:$Z$91,MATCH(Calculation!$C664,'State Tax Lookup'!$B$7:$B$91,0),MATCH($H664,'State Tax Lookup'!$D$6:$Z$6,0))</f>
        <v>0.39649667</v>
      </c>
      <c r="CY664" s="72">
        <v>0.37</v>
      </c>
      <c r="CZ664" s="70">
        <f t="shared" si="1212"/>
        <v>18.770618578595876</v>
      </c>
      <c r="DA664" s="70">
        <v>17.478615056163342</v>
      </c>
      <c r="DB664" s="69">
        <f t="shared" si="1216"/>
        <v>-4.2593979109310606E-2</v>
      </c>
      <c r="DC664" s="111">
        <f>VLOOKUP($H664,RoR!$E:$F,2,FALSE)</f>
        <v>5.3133333333333324E-2</v>
      </c>
      <c r="DD664" s="216">
        <f>HLOOKUP($H664,'GDP-PI'!$D$8:$CQ$11,3,FALSE)</f>
        <v>7.7972502758210105E-3</v>
      </c>
      <c r="DE664" s="111">
        <f>VLOOKUP(H664,'HW Dx Data'!$E:$F,2,FALSE)</f>
        <v>550.94063679692806</v>
      </c>
      <c r="DF664" s="72">
        <f t="shared" si="1227"/>
        <v>110.925</v>
      </c>
      <c r="DG664" s="69">
        <f t="shared" si="1228"/>
        <v>2.7649425000884052E-2</v>
      </c>
      <c r="DH664" s="66">
        <f>HLOOKUP(H664,'GDP-PI'!$8:$9,2,FALSE)</f>
        <v>94.998999999999995</v>
      </c>
      <c r="DI664" s="69">
        <f t="shared" si="1217"/>
        <v>7.7670088183096342E-3</v>
      </c>
      <c r="EB664"/>
    </row>
    <row r="665" spans="1:132" s="160" customFormat="1" ht="21">
      <c r="A665" s="160" t="s">
        <v>198</v>
      </c>
      <c r="B665" s="161" t="s">
        <v>198</v>
      </c>
      <c r="C665" s="161">
        <v>4057014</v>
      </c>
      <c r="D665" s="161" t="s">
        <v>171</v>
      </c>
      <c r="E665" s="161" t="s">
        <v>3</v>
      </c>
      <c r="F665" s="161"/>
      <c r="G665" s="161" t="s">
        <v>126</v>
      </c>
      <c r="H665" s="162">
        <v>2010</v>
      </c>
      <c r="I665" s="163"/>
      <c r="J665" s="159">
        <f>IFERROR(INDEX('Labor Expenditures'!$F$7:$X$91,MATCH($C665,'Labor Expenditures'!$D$7:$D$91,0),MATCH($G665,'Labor Expenditures'!$F$5:$X$5,0)),"NA")</f>
        <v>61082.737792133747</v>
      </c>
      <c r="K665" s="159">
        <f t="shared" si="1218"/>
        <v>522.40955990706652</v>
      </c>
      <c r="L665" s="165">
        <f t="shared" si="1225"/>
        <v>0.16103899220865919</v>
      </c>
      <c r="M665" s="76">
        <f t="shared" si="1229"/>
        <v>4.025998093995768E-3</v>
      </c>
      <c r="N665" s="62">
        <f t="shared" si="1235"/>
        <v>97.619886843733426</v>
      </c>
      <c r="O665" s="96">
        <f t="shared" si="1230"/>
        <v>-0.19102323009086808</v>
      </c>
      <c r="P665" s="96"/>
      <c r="Q665" s="159">
        <f>IFERROR(INDEX('Non-Labor Expenditures'!$F$7:$AB$91,MATCH($C665,'Non-Labor Expenditures'!$D$7:$D$91,0),MATCH($G665,'Non-Labor Expenditures'!$F$5:$AB$5,0)),"NA")</f>
        <v>88459.21300472143</v>
      </c>
      <c r="R665" s="159">
        <f t="shared" si="1219"/>
        <v>920.40509218409761</v>
      </c>
      <c r="S665" s="165">
        <f t="shared" si="1231"/>
        <v>0.20210079974848541</v>
      </c>
      <c r="T665" s="165">
        <f t="shared" si="1232"/>
        <v>5.0525492206767034E-3</v>
      </c>
      <c r="U665" s="165"/>
      <c r="V665" s="165"/>
      <c r="W665" s="159">
        <f t="shared" si="1200"/>
        <v>93411.231399936165</v>
      </c>
      <c r="X665" s="163"/>
      <c r="Y665" s="167">
        <v>4930.516276116623</v>
      </c>
      <c r="Z665" s="168">
        <v>1.4753497254504304E-2</v>
      </c>
      <c r="AA665" s="76">
        <f t="shared" si="1220"/>
        <v>3.6883956495110427E-4</v>
      </c>
      <c r="AB665" s="168"/>
      <c r="AC665" s="168"/>
      <c r="AD665" s="163">
        <f t="shared" si="1166"/>
        <v>242953.18219679134</v>
      </c>
      <c r="AE665" s="168">
        <f t="shared" si="1233"/>
        <v>0.14474544448892909</v>
      </c>
      <c r="AF665" s="163"/>
      <c r="AG665" s="163"/>
      <c r="AH665" s="163"/>
      <c r="AI665" s="163"/>
      <c r="AJ665" s="116">
        <f t="shared" si="1234"/>
        <v>416.78148755640302</v>
      </c>
      <c r="AK665" s="114">
        <f>+AV665/$AX$15</f>
        <v>1.6480478026509923E-2</v>
      </c>
      <c r="AL665" s="115">
        <f t="shared" si="1221"/>
        <v>0.25141773093820569</v>
      </c>
      <c r="AM665" s="115">
        <f t="shared" si="1222"/>
        <v>0.36409983275324931</v>
      </c>
      <c r="AN665" s="115">
        <f t="shared" si="1223"/>
        <v>0.38448243630854506</v>
      </c>
      <c r="AO665" s="115">
        <f t="shared" si="1226"/>
        <v>0.1162466812311682</v>
      </c>
      <c r="AP665" s="166">
        <f t="shared" si="1237"/>
        <v>130.29087983966781</v>
      </c>
      <c r="AQ665" s="168">
        <f t="shared" si="1238"/>
        <v>0.11624668123116826</v>
      </c>
      <c r="AR665" s="69">
        <f>+AD665/$AF$15</f>
        <v>2.5000144615778881E-2</v>
      </c>
      <c r="AS665" s="169">
        <f t="shared" si="1236"/>
        <v>2.9061838418835552E-3</v>
      </c>
      <c r="AT665" s="115"/>
      <c r="AU665" s="115"/>
      <c r="AV665" s="113">
        <f>IFERROR(INDEX('Total Customers'!$F$7:$AB$91,MATCH($C665,'Total Customers'!$D$7:$D$91,0),MATCH($G665,'Total Customers'!$F$5:$AB$5,0)),"NA")</f>
        <v>582927</v>
      </c>
      <c r="AW665" s="68">
        <f t="shared" si="1195"/>
        <v>5.5822867820559535E-3</v>
      </c>
      <c r="AX665" s="114"/>
      <c r="AY665" s="114"/>
      <c r="AZ665" s="116">
        <v>8403441</v>
      </c>
      <c r="BA665" s="116"/>
      <c r="BB665" s="166"/>
      <c r="BC665" s="166"/>
      <c r="BD665" s="166"/>
      <c r="BE665" s="166"/>
      <c r="BF665" s="166"/>
      <c r="BG665" s="166"/>
      <c r="BH665" s="166"/>
      <c r="BI665" s="113"/>
      <c r="BJ665" s="113"/>
      <c r="BK665" s="113">
        <f>INDEX('Dist. Plant Gas Additions'!$F$7:$AE$91,MATCH($C665,'Dist. Plant Gas Additions'!$D$7:$D$91,0),MATCH(Calculation!$G665,'Dist. Plant Gas Additions'!$F$5:$AE$5,0))</f>
        <v>55435</v>
      </c>
      <c r="BL665" s="113">
        <f>INDEX('Gen. Plant Additions'!$F$7:$AE$91,MATCH($C665,'Gen. Plant Additions'!$D$7:$D$91,0),MATCH(Calculation!$G665,'Gen. Plant Additions'!$F$5:$AE$5,0))</f>
        <v>5418</v>
      </c>
      <c r="BM665" s="231">
        <f t="shared" si="1201"/>
        <v>0.95518000479301834</v>
      </c>
      <c r="BN665" s="61">
        <f t="shared" si="1224"/>
        <v>5175.1652659685733</v>
      </c>
      <c r="BO665" s="113">
        <f>INDEX('Dist Plant Depreciation'!$E$7:$AD$94,MATCH($C665,'Dist Plant Depreciation'!$D$7:$D$94,0),MATCH(Calculation!$G665,'Dist Plant Depreciation'!$E$5:$AD$5,0))</f>
        <v>585952</v>
      </c>
      <c r="BP665" s="113">
        <f>INDEX('Gen. Plant Depreciation'!$E$7:$AD$94,MATCH($C665,'Gen. Plant Depreciation'!$D$7:$D$94,0),MATCH(Calculation!$G665,'Gen. Plant Depreciation'!$E$5:$AD$5,0))</f>
        <v>25090</v>
      </c>
      <c r="BQ665" s="113"/>
      <c r="BR665" s="113"/>
      <c r="BS665" s="113"/>
      <c r="BT665" s="113"/>
      <c r="BU665" s="113"/>
      <c r="BV665" s="113"/>
      <c r="BW665" s="113">
        <f>INDEX('Gross Dx Plant'!$E$7:$AD$91,MATCH($C665,'Gross Dx Plant'!$D$7:$D$91,0),MATCH(Calculation!$G665,'Gross Dx Plant'!$E$5:$AD$5,0))</f>
        <v>1630157</v>
      </c>
      <c r="BX665" s="113">
        <f>INDEX('Gross Gen Plant'!$E$7:$AD$91,MATCH($C665,'Gross Gen Plant'!$D$7:$D$91,0),MATCH(Calculation!$G665,'Gross Gen Plant'!$E$5:$AD$5,0))</f>
        <v>76492</v>
      </c>
      <c r="BY665" s="113">
        <f t="shared" si="1196"/>
        <v>1095607</v>
      </c>
      <c r="BZ665" s="113"/>
      <c r="CA665" s="116">
        <v>2010</v>
      </c>
      <c r="CB665" s="113"/>
      <c r="CC665" s="113"/>
      <c r="CD665" s="113"/>
      <c r="CE665" s="175"/>
      <c r="CF665" s="113">
        <f t="shared" si="1202"/>
        <v>60853</v>
      </c>
      <c r="CG665" s="113">
        <f t="shared" si="1203"/>
        <v>106.94924900855587</v>
      </c>
      <c r="CH665" s="178">
        <v>0.9285714285714286</v>
      </c>
      <c r="CI665" s="61">
        <f>+CI653*CH665+CG654*CH664+CG655*CH663+CG656*CH662+CG657*CH661+CG658*CH660+CG659*CH659+CG660*CH658+CG661*CH657+CG662*CH656+CG663*CH655+CG664*CH654+CG665</f>
        <v>4930.516276116623</v>
      </c>
      <c r="CJ665" s="114">
        <f t="shared" si="1204"/>
        <v>1.4753497254504304E-2</v>
      </c>
      <c r="CK665" s="114"/>
      <c r="CL665" s="169">
        <f t="shared" si="1205"/>
        <v>7.1508155359996679E-3</v>
      </c>
      <c r="CM665" s="169">
        <f t="shared" si="1213"/>
        <v>6.9181452887144695E-3</v>
      </c>
      <c r="CN665" s="114">
        <f>VLOOKUP($H665,RoR!$E:$F,2,FALSE)</f>
        <v>4.9433333333333322E-2</v>
      </c>
      <c r="CO665" s="169">
        <v>1.1684333519300205E-2</v>
      </c>
      <c r="CP665" s="169">
        <f t="shared" si="1211"/>
        <v>3.7748999814033117E-2</v>
      </c>
      <c r="CQ665" s="169">
        <f t="shared" si="1214"/>
        <v>2.3983796319819155E-2</v>
      </c>
      <c r="CR665" s="169">
        <f t="shared" si="1215"/>
        <v>4.7937530248493419E-2</v>
      </c>
      <c r="CS665" s="179">
        <f t="shared" si="1206"/>
        <v>0.85329623209999994</v>
      </c>
      <c r="CT665" s="180">
        <f t="shared" si="1207"/>
        <v>1.037398205301105</v>
      </c>
      <c r="CU665" s="180">
        <f t="shared" si="1208"/>
        <v>0.46926837491571133</v>
      </c>
      <c r="CV665" s="180">
        <f t="shared" si="1209"/>
        <v>0.8548537519972772</v>
      </c>
      <c r="CW665" s="180">
        <f t="shared" si="1210"/>
        <v>0.41615833911547367</v>
      </c>
      <c r="CX665" s="181">
        <f>INDEX('State Tax Lookup'!$D$7:$Z$91,MATCH(Calculation!$C665,'State Tax Lookup'!$B$7:$B$91,0),MATCH($H665,'State Tax Lookup'!$D$6:$Z$6,0))</f>
        <v>0.39649667</v>
      </c>
      <c r="CY665" s="72">
        <v>0.37</v>
      </c>
      <c r="CZ665" s="70">
        <f t="shared" si="1212"/>
        <v>19.227112299672584</v>
      </c>
      <c r="DA665" s="70">
        <v>17.956102603965455</v>
      </c>
      <c r="DB665" s="69">
        <f t="shared" si="1216"/>
        <v>2.4028576139815464E-2</v>
      </c>
      <c r="DC665" s="111">
        <f>VLOOKUP($H665,RoR!$E:$F,2,FALSE)</f>
        <v>4.9433333333333322E-2</v>
      </c>
      <c r="DD665" s="216">
        <f>HLOOKUP($H665,'GDP-PI'!$D$8:$CQ$11,3,FALSE)</f>
        <v>1.1684333519300205E-2</v>
      </c>
      <c r="DE665" s="111">
        <f>VLOOKUP(H665,'HW Dx Data'!$E:$F,2,FALSE)</f>
        <v>568.98950262971744</v>
      </c>
      <c r="DF665" s="72">
        <f t="shared" si="1227"/>
        <v>116.925</v>
      </c>
      <c r="DG665" s="69">
        <f t="shared" si="1228"/>
        <v>5.2678406346976722E-2</v>
      </c>
      <c r="DH665" s="66">
        <f>HLOOKUP(H665,'GDP-PI'!$8:$9,2,FALSE)</f>
        <v>96.108999999999995</v>
      </c>
      <c r="DI665" s="69">
        <f t="shared" si="1217"/>
        <v>1.1616598807150427E-2</v>
      </c>
      <c r="EB665"/>
    </row>
    <row r="666" spans="1:132" s="160" customFormat="1" ht="21">
      <c r="A666" s="160" t="s">
        <v>198</v>
      </c>
      <c r="B666" s="161" t="s">
        <v>198</v>
      </c>
      <c r="C666" s="161">
        <v>4057014</v>
      </c>
      <c r="D666" s="161" t="s">
        <v>171</v>
      </c>
      <c r="E666" s="161" t="s">
        <v>3</v>
      </c>
      <c r="F666" s="161"/>
      <c r="G666" s="161" t="s">
        <v>127</v>
      </c>
      <c r="H666" s="162">
        <v>2011</v>
      </c>
      <c r="I666" s="163"/>
      <c r="J666" s="159">
        <f>IFERROR(INDEX('Labor Expenditures'!$F$7:$X$91,MATCH($C666,'Labor Expenditures'!$D$7:$D$91,0),MATCH($G666,'Labor Expenditures'!$F$5:$X$5,0)),"NA")</f>
        <v>61126.427342686664</v>
      </c>
      <c r="K666" s="159">
        <f t="shared" si="1218"/>
        <v>505.69950231798686</v>
      </c>
      <c r="L666" s="165">
        <f t="shared" si="1225"/>
        <v>-3.2509253829343776E-2</v>
      </c>
      <c r="M666" s="76">
        <f t="shared" si="1229"/>
        <v>-7.9860680732577393E-4</v>
      </c>
      <c r="N666" s="62">
        <f t="shared" si="1235"/>
        <v>117.02208689180314</v>
      </c>
      <c r="O666" s="96">
        <f t="shared" si="1230"/>
        <v>0.1812814625267832</v>
      </c>
      <c r="P666" s="96"/>
      <c r="Q666" s="159">
        <f>IFERROR(INDEX('Non-Labor Expenditures'!$F$7:$AB$91,MATCH($C666,'Non-Labor Expenditures'!$D$7:$D$91,0),MATCH($G666,'Non-Labor Expenditures'!$F$5:$AB$5,0)),"NA")</f>
        <v>88522.483634004515</v>
      </c>
      <c r="R666" s="159">
        <f t="shared" si="1219"/>
        <v>902.25949561729976</v>
      </c>
      <c r="S666" s="165">
        <f t="shared" si="1231"/>
        <v>-1.9911722880684265E-2</v>
      </c>
      <c r="T666" s="165">
        <f t="shared" si="1232"/>
        <v>-4.8914187700443469E-4</v>
      </c>
      <c r="U666" s="165"/>
      <c r="V666" s="165"/>
      <c r="W666" s="159">
        <f t="shared" si="1200"/>
        <v>101067.21857505412</v>
      </c>
      <c r="X666" s="163"/>
      <c r="Y666" s="167">
        <v>4992.3096609005052</v>
      </c>
      <c r="Z666" s="168">
        <v>1.2454956680112518E-2</v>
      </c>
      <c r="AA666" s="76">
        <f t="shared" si="1220"/>
        <v>3.059625189153798E-4</v>
      </c>
      <c r="AB666" s="168"/>
      <c r="AC666" s="168"/>
      <c r="AD666" s="163">
        <f t="shared" si="1166"/>
        <v>250716.12955174531</v>
      </c>
      <c r="AE666" s="168">
        <f t="shared" si="1233"/>
        <v>3.1452582233783263E-2</v>
      </c>
      <c r="AF666" s="163"/>
      <c r="AG666" s="163"/>
      <c r="AH666" s="163"/>
      <c r="AI666" s="163"/>
      <c r="AJ666" s="116">
        <f t="shared" si="1234"/>
        <v>428.02656009953978</v>
      </c>
      <c r="AK666" s="114">
        <f>+AV666/$AX$16</f>
        <v>1.6480358347610472E-2</v>
      </c>
      <c r="AL666" s="115">
        <f t="shared" si="1221"/>
        <v>0.24380731886685725</v>
      </c>
      <c r="AM666" s="115">
        <f t="shared" si="1222"/>
        <v>0.35307853464503308</v>
      </c>
      <c r="AN666" s="115">
        <f t="shared" si="1223"/>
        <v>0.40311414648810961</v>
      </c>
      <c r="AO666" s="115">
        <f t="shared" si="1226"/>
        <v>-1.028508621714069E-2</v>
      </c>
      <c r="AP666" s="166">
        <f t="shared" si="1237"/>
        <v>128.95769462200337</v>
      </c>
      <c r="AQ666" s="168">
        <f t="shared" si="1238"/>
        <v>-1.0285086217140556E-2</v>
      </c>
      <c r="AR666" s="69">
        <f>+AD666/$AF$16</f>
        <v>2.4565522528386324E-2</v>
      </c>
      <c r="AS666" s="169">
        <f t="shared" si="1236"/>
        <v>-2.5265851717356201E-4</v>
      </c>
      <c r="AT666" s="115"/>
      <c r="AU666" s="115"/>
      <c r="AV666" s="113">
        <f>IFERROR(INDEX('Total Customers'!$F$7:$AB$91,MATCH($C666,'Total Customers'!$D$7:$D$91,0),MATCH($G666,'Total Customers'!$F$5:$AB$5,0)),"NA")</f>
        <v>585749</v>
      </c>
      <c r="AW666" s="68">
        <f t="shared" si="1195"/>
        <v>4.8294060711922895E-3</v>
      </c>
      <c r="AX666" s="114"/>
      <c r="AY666" s="114"/>
      <c r="AZ666" s="116">
        <v>8437841</v>
      </c>
      <c r="BA666" s="116"/>
      <c r="BB666" s="166"/>
      <c r="BC666" s="166"/>
      <c r="BD666" s="166"/>
      <c r="BE666" s="166"/>
      <c r="BF666" s="166"/>
      <c r="BG666" s="166"/>
      <c r="BH666" s="166"/>
      <c r="BI666" s="113"/>
      <c r="BJ666" s="113"/>
      <c r="BK666" s="113">
        <f>INDEX('Dist. Plant Gas Additions'!$F$7:$AE$91,MATCH($C666,'Dist. Plant Gas Additions'!$D$7:$D$91,0),MATCH(Calculation!$G666,'Dist. Plant Gas Additions'!$F$5:$AE$5,0))</f>
        <v>59802</v>
      </c>
      <c r="BL666" s="113">
        <f>INDEX('Gen. Plant Additions'!$F$7:$AE$91,MATCH($C666,'Gen. Plant Additions'!$D$7:$D$91,0),MATCH(Calculation!$G666,'Gen. Plant Additions'!$F$5:$AE$5,0))</f>
        <v>321</v>
      </c>
      <c r="BM666" s="231">
        <f t="shared" si="1201"/>
        <v>0.95578768032745398</v>
      </c>
      <c r="BN666" s="61">
        <f t="shared" si="1224"/>
        <v>306.80784538511273</v>
      </c>
      <c r="BO666" s="113">
        <f>INDEX('Dist Plant Depreciation'!$E$7:$AD$94,MATCH($C666,'Dist Plant Depreciation'!$D$7:$D$94,0),MATCH(Calculation!$G666,'Dist Plant Depreciation'!$E$5:$AD$5,0))</f>
        <v>610795</v>
      </c>
      <c r="BP666" s="113">
        <f>INDEX('Gen. Plant Depreciation'!$E$7:$AD$94,MATCH($C666,'Gen. Plant Depreciation'!$D$7:$D$94,0),MATCH(Calculation!$G666,'Gen. Plant Depreciation'!$E$5:$AD$5,0))</f>
        <v>28635</v>
      </c>
      <c r="BQ666" s="113"/>
      <c r="BR666" s="113"/>
      <c r="BS666" s="113"/>
      <c r="BT666" s="113"/>
      <c r="BU666" s="113"/>
      <c r="BV666" s="113"/>
      <c r="BW666" s="113">
        <f>INDEX('Gross Dx Plant'!$E$7:$AD$91,MATCH($C666,'Gross Dx Plant'!$D$7:$D$91,0),MATCH(Calculation!$G666,'Gross Dx Plant'!$E$5:$AD$5,0))</f>
        <v>1680788</v>
      </c>
      <c r="BX666" s="113">
        <f>INDEX('Gross Gen Plant'!$E$7:$AD$91,MATCH($C666,'Gross Gen Plant'!$D$7:$D$91,0),MATCH(Calculation!$G666,'Gross Gen Plant'!$E$5:$AD$5,0))</f>
        <v>77749</v>
      </c>
      <c r="BY666" s="113">
        <f t="shared" si="1196"/>
        <v>1119107</v>
      </c>
      <c r="BZ666" s="113"/>
      <c r="CA666" s="116">
        <v>2011</v>
      </c>
      <c r="CB666" s="113"/>
      <c r="CC666" s="113"/>
      <c r="CD666" s="113"/>
      <c r="CE666" s="175"/>
      <c r="CF666" s="113">
        <f t="shared" si="1202"/>
        <v>60123</v>
      </c>
      <c r="CG666" s="113">
        <f t="shared" si="1203"/>
        <v>98.302663867833559</v>
      </c>
      <c r="CH666" s="178">
        <v>0.92121212121212126</v>
      </c>
      <c r="CI666" s="61">
        <f>+CI653*CH666+CG654*CH665+CG655*CH664+CG656*CH663+CG657*CH662+CG658*CH661+CG659*CH660+CG660*CH659+CG661*CH658+CG662*CH657+CG663*CH656+CG664*CH655+CG665*CH654+CG666</f>
        <v>4992.3096609005052</v>
      </c>
      <c r="CJ666" s="114">
        <f t="shared" si="1204"/>
        <v>1.2454956680112518E-2</v>
      </c>
      <c r="CK666" s="114"/>
      <c r="CL666" s="169">
        <f t="shared" si="1205"/>
        <v>7.4047578467192187E-3</v>
      </c>
      <c r="CM666" s="169">
        <f t="shared" si="1213"/>
        <v>7.1573339514312802E-3</v>
      </c>
      <c r="CN666" s="114">
        <f>VLOOKUP($H666,RoR!$E:$F,2,FALSE)</f>
        <v>4.6391666666666664E-2</v>
      </c>
      <c r="CO666" s="169">
        <v>2.0840920205183799E-2</v>
      </c>
      <c r="CP666" s="169">
        <f t="shared" si="1211"/>
        <v>2.5550746461482865E-2</v>
      </c>
      <c r="CQ666" s="169">
        <f t="shared" si="1214"/>
        <v>2.3744607657102346E-2</v>
      </c>
      <c r="CR666" s="169">
        <f t="shared" si="1215"/>
        <v>2.4810540821321614E-2</v>
      </c>
      <c r="CS666" s="179">
        <f t="shared" si="1206"/>
        <v>0.85329623209999994</v>
      </c>
      <c r="CT666" s="180">
        <f t="shared" si="1207"/>
        <v>1.1054151524782025</v>
      </c>
      <c r="CU666" s="180">
        <f t="shared" si="1208"/>
        <v>0.43611011316687626</v>
      </c>
      <c r="CV666" s="180">
        <f t="shared" si="1209"/>
        <v>0.83698442246886229</v>
      </c>
      <c r="CW666" s="180">
        <f t="shared" si="1210"/>
        <v>0.40349573304423936</v>
      </c>
      <c r="CX666" s="181">
        <f>INDEX('State Tax Lookup'!$D$7:$Z$91,MATCH(Calculation!$C666,'State Tax Lookup'!$B$7:$B$91,0),MATCH($H666,'State Tax Lookup'!$D$6:$Z$6,0))</f>
        <v>0.39649667</v>
      </c>
      <c r="CY666" s="72">
        <v>0.37</v>
      </c>
      <c r="CZ666" s="70">
        <f t="shared" si="1212"/>
        <v>20.49830340579603</v>
      </c>
      <c r="DA666" s="70">
        <v>19.146574949201604</v>
      </c>
      <c r="DB666" s="69">
        <f t="shared" si="1216"/>
        <v>6.4020740125731362E-2</v>
      </c>
      <c r="DC666" s="111">
        <f>VLOOKUP($H666,RoR!$E:$F,2,FALSE)</f>
        <v>4.6391666666666664E-2</v>
      </c>
      <c r="DD666" s="216">
        <f>HLOOKUP($H666,'GDP-PI'!$D$8:$CQ$11,3,FALSE)</f>
        <v>2.0840920205183799E-2</v>
      </c>
      <c r="DE666" s="111">
        <f>VLOOKUP(H666,'HW Dx Data'!$E:$F,2,FALSE)</f>
        <v>611.61109612283201</v>
      </c>
      <c r="DF666" s="72">
        <f t="shared" si="1227"/>
        <v>120.875</v>
      </c>
      <c r="DG666" s="69">
        <f t="shared" si="1228"/>
        <v>3.3224250161508609E-2</v>
      </c>
      <c r="DH666" s="66">
        <f>HLOOKUP(H666,'GDP-PI'!$8:$9,2,FALSE)</f>
        <v>98.111999999999995</v>
      </c>
      <c r="DI666" s="69">
        <f t="shared" si="1217"/>
        <v>2.0626719212849295E-2</v>
      </c>
      <c r="EB666"/>
    </row>
    <row r="667" spans="1:132" s="160" customFormat="1" ht="21">
      <c r="A667" s="160" t="s">
        <v>198</v>
      </c>
      <c r="B667" s="161" t="s">
        <v>198</v>
      </c>
      <c r="C667" s="161">
        <v>4057014</v>
      </c>
      <c r="D667" s="161" t="s">
        <v>171</v>
      </c>
      <c r="E667" s="161" t="s">
        <v>3</v>
      </c>
      <c r="F667" s="161"/>
      <c r="G667" s="161" t="s">
        <v>128</v>
      </c>
      <c r="H667" s="162">
        <v>2012</v>
      </c>
      <c r="I667" s="163"/>
      <c r="J667" s="159">
        <f>IFERROR(INDEX('Labor Expenditures'!$F$7:$X$91,MATCH($C667,'Labor Expenditures'!$D$7:$D$91,0),MATCH($G667,'Labor Expenditures'!$F$5:$X$5,0)),"NA")</f>
        <v>62205.307567235352</v>
      </c>
      <c r="K667" s="159">
        <f t="shared" si="1218"/>
        <v>498.43996448105247</v>
      </c>
      <c r="L667" s="165">
        <f t="shared" si="1225"/>
        <v>-1.4459474126239914E-2</v>
      </c>
      <c r="M667" s="76">
        <f t="shared" si="1229"/>
        <v>-3.5524709107987812E-4</v>
      </c>
      <c r="N667" s="62">
        <f t="shared" si="1235"/>
        <v>116.23510472870343</v>
      </c>
      <c r="O667" s="96">
        <f t="shared" si="1230"/>
        <v>-6.7477889427174599E-3</v>
      </c>
      <c r="P667" s="96"/>
      <c r="Q667" s="159">
        <f>IFERROR(INDEX('Non-Labor Expenditures'!$F$7:$AB$91,MATCH($C667,'Non-Labor Expenditures'!$D$7:$D$91,0),MATCH($G667,'Non-Labor Expenditures'!$F$5:$AB$5,0)),"NA")</f>
        <v>90084.903706181183</v>
      </c>
      <c r="R667" s="159">
        <f t="shared" si="1219"/>
        <v>900.84903706181183</v>
      </c>
      <c r="S667" s="165">
        <f t="shared" si="1231"/>
        <v>-1.5644747031134899E-3</v>
      </c>
      <c r="T667" s="165">
        <f t="shared" si="1232"/>
        <v>-3.8436742754049843E-5</v>
      </c>
      <c r="U667" s="165"/>
      <c r="V667" s="165"/>
      <c r="W667" s="159">
        <f t="shared" si="1200"/>
        <v>110445.76158778041</v>
      </c>
      <c r="X667" s="163"/>
      <c r="Y667" s="167">
        <v>5026.339561467089</v>
      </c>
      <c r="Z667" s="168">
        <v>6.7933372419546074E-3</v>
      </c>
      <c r="AA667" s="76">
        <f t="shared" si="1220"/>
        <v>1.669018715936208E-4</v>
      </c>
      <c r="AB667" s="168"/>
      <c r="AC667" s="168"/>
      <c r="AD667" s="163">
        <f t="shared" si="1166"/>
        <v>262735.97286119696</v>
      </c>
      <c r="AE667" s="168">
        <f t="shared" si="1233"/>
        <v>4.6828281301369692E-2</v>
      </c>
      <c r="AF667" s="163"/>
      <c r="AG667" s="163"/>
      <c r="AH667" s="163"/>
      <c r="AI667" s="163"/>
      <c r="AJ667" s="116">
        <f t="shared" si="1234"/>
        <v>445.90243907857803</v>
      </c>
      <c r="AK667" s="114">
        <f>+AV667/$AX$17</f>
        <v>1.649865362857229E-2</v>
      </c>
      <c r="AL667" s="115">
        <f t="shared" si="1221"/>
        <v>0.23675976642946539</v>
      </c>
      <c r="AM667" s="115">
        <f t="shared" si="1222"/>
        <v>0.34287236241446428</v>
      </c>
      <c r="AN667" s="115">
        <f t="shared" si="1223"/>
        <v>0.42036787115607022</v>
      </c>
      <c r="AO667" s="115">
        <f t="shared" si="1226"/>
        <v>-1.2216769251406513E-3</v>
      </c>
      <c r="AP667" s="166">
        <f t="shared" si="1237"/>
        <v>128.8002461773128</v>
      </c>
      <c r="AQ667" s="168">
        <f t="shared" si="1238"/>
        <v>-1.2216769251406723E-3</v>
      </c>
      <c r="AR667" s="69">
        <f>+AD667/$AF$17</f>
        <v>2.456846549040146E-2</v>
      </c>
      <c r="AS667" s="169">
        <f t="shared" si="1236"/>
        <v>-3.0014727375738374E-5</v>
      </c>
      <c r="AT667" s="115"/>
      <c r="AU667" s="115"/>
      <c r="AV667" s="113">
        <f>IFERROR(INDEX('Total Customers'!$F$7:$AB$91,MATCH($C667,'Total Customers'!$D$7:$D$91,0),MATCH($G667,'Total Customers'!$F$5:$AB$5,0)),"NA")</f>
        <v>589223</v>
      </c>
      <c r="AW667" s="68">
        <f t="shared" si="1195"/>
        <v>5.9133496341094369E-3</v>
      </c>
      <c r="AX667" s="114"/>
      <c r="AY667" s="114"/>
      <c r="AZ667" s="116">
        <v>8485072</v>
      </c>
      <c r="BA667" s="116"/>
      <c r="BB667" s="166"/>
      <c r="BC667" s="166"/>
      <c r="BD667" s="166"/>
      <c r="BE667" s="166"/>
      <c r="BF667" s="166"/>
      <c r="BG667" s="166"/>
      <c r="BH667" s="166"/>
      <c r="BI667" s="113"/>
      <c r="BJ667" s="113"/>
      <c r="BK667" s="113">
        <f>INDEX('Dist. Plant Gas Additions'!$F$7:$AE$91,MATCH($C667,'Dist. Plant Gas Additions'!$D$7:$D$91,0),MATCH(Calculation!$G667,'Dist. Plant Gas Additions'!$F$5:$AE$5,0))</f>
        <v>46545</v>
      </c>
      <c r="BL667" s="113">
        <f>INDEX('Gen. Plant Additions'!$F$7:$AE$91,MATCH($C667,'Gen. Plant Additions'!$D$7:$D$91,0),MATCH(Calculation!$G667,'Gen. Plant Additions'!$F$5:$AE$5,0))</f>
        <v>1850</v>
      </c>
      <c r="BM667" s="231">
        <f t="shared" si="1201"/>
        <v>0.95583157200827684</v>
      </c>
      <c r="BN667" s="61">
        <f t="shared" si="1224"/>
        <v>1768.2884082153121</v>
      </c>
      <c r="BO667" s="113">
        <f>INDEX('Dist Plant Depreciation'!$E$7:$AD$94,MATCH($C667,'Dist Plant Depreciation'!$D$7:$D$94,0),MATCH(Calculation!$G667,'Dist Plant Depreciation'!$E$5:$AD$5,0))</f>
        <v>640257</v>
      </c>
      <c r="BP667" s="113">
        <f>INDEX('Gen. Plant Depreciation'!$E$7:$AD$94,MATCH($C667,'Gen. Plant Depreciation'!$D$7:$D$94,0),MATCH(Calculation!$G667,'Gen. Plant Depreciation'!$E$5:$AD$5,0))</f>
        <v>46323</v>
      </c>
      <c r="BQ667" s="113"/>
      <c r="BR667" s="113"/>
      <c r="BS667" s="113"/>
      <c r="BT667" s="113"/>
      <c r="BU667" s="113"/>
      <c r="BV667" s="113"/>
      <c r="BW667" s="113">
        <f>INDEX('Gross Dx Plant'!$E$7:$AD$91,MATCH($C667,'Gross Dx Plant'!$D$7:$D$91,0),MATCH(Calculation!$G667,'Gross Dx Plant'!$E$5:$AD$5,0))</f>
        <v>1722549</v>
      </c>
      <c r="BX667" s="113">
        <f>INDEX('Gross Gen Plant'!$E$7:$AD$91,MATCH($C667,'Gross Gen Plant'!$D$7:$D$91,0),MATCH(Calculation!$G667,'Gross Gen Plant'!$E$5:$AD$5,0))</f>
        <v>79598</v>
      </c>
      <c r="BY667" s="113">
        <f t="shared" si="1196"/>
        <v>1115567</v>
      </c>
      <c r="BZ667" s="113"/>
      <c r="CA667" s="116">
        <v>2012</v>
      </c>
      <c r="CB667" s="113"/>
      <c r="CC667" s="113"/>
      <c r="CD667" s="113"/>
      <c r="CE667" s="175"/>
      <c r="CF667" s="113">
        <f t="shared" si="1202"/>
        <v>48395</v>
      </c>
      <c r="CG667" s="113">
        <f t="shared" si="1203"/>
        <v>72.348037199995915</v>
      </c>
      <c r="CH667" s="178">
        <v>0.9135802469135802</v>
      </c>
      <c r="CI667" s="61">
        <f>+CI653*CH667+CG654*CH666+CG655*CH665+CG656*CH664+CG657*CH663+CG658*CH662+CG659*CH661+CG660*CH660+CG661*CH659+CG662*CH658+CG663*CH657+CG664*CH656+CG665*CH655+CG666*CH654+CG667</f>
        <v>5026.339561467089</v>
      </c>
      <c r="CJ667" s="114">
        <f t="shared" si="1204"/>
        <v>6.7933372419546074E-3</v>
      </c>
      <c r="CK667" s="114"/>
      <c r="CL667" s="169">
        <f t="shared" si="1205"/>
        <v>7.6754326626646647E-3</v>
      </c>
      <c r="CM667" s="169">
        <f t="shared" si="1213"/>
        <v>7.4103353484611832E-3</v>
      </c>
      <c r="CN667" s="114">
        <f>VLOOKUP($H667,RoR!$E:$F,2,FALSE)</f>
        <v>3.6733333333333333E-2</v>
      </c>
      <c r="CO667" s="169">
        <v>1.924331376386168E-2</v>
      </c>
      <c r="CP667" s="169">
        <f t="shared" si="1211"/>
        <v>1.7490019569471653E-2</v>
      </c>
      <c r="CQ667" s="169">
        <f t="shared" si="1214"/>
        <v>2.3491606260072441E-2</v>
      </c>
      <c r="CR667" s="169">
        <f t="shared" si="1215"/>
        <v>6.7122682943869583E-2</v>
      </c>
      <c r="CS667" s="179">
        <f t="shared" si="1206"/>
        <v>0.85329623209999994</v>
      </c>
      <c r="CT667" s="180">
        <f t="shared" si="1207"/>
        <v>1.3960631020522127</v>
      </c>
      <c r="CU667" s="180">
        <f t="shared" si="1208"/>
        <v>0.29441923774954631</v>
      </c>
      <c r="CV667" s="180">
        <f t="shared" si="1209"/>
        <v>0.76377954189366437</v>
      </c>
      <c r="CW667" s="180">
        <f t="shared" si="1210"/>
        <v>0.31393465103033691</v>
      </c>
      <c r="CX667" s="181">
        <f>INDEX('State Tax Lookup'!$D$7:$Z$91,MATCH(Calculation!$C667,'State Tax Lookup'!$B$7:$B$91,0),MATCH($H667,'State Tax Lookup'!$D$6:$Z$6,0))</f>
        <v>0.39649667</v>
      </c>
      <c r="CY667" s="72">
        <v>0.37</v>
      </c>
      <c r="CZ667" s="70">
        <f t="shared" si="1212"/>
        <v>22.123179267661527</v>
      </c>
      <c r="DA667" s="70">
        <v>20.759737328210988</v>
      </c>
      <c r="DB667" s="69">
        <f t="shared" si="1216"/>
        <v>7.6283772494059238E-2</v>
      </c>
      <c r="DC667" s="111">
        <f>VLOOKUP($H667,RoR!$E:$F,2,FALSE)</f>
        <v>3.6733333333333333E-2</v>
      </c>
      <c r="DD667" s="216">
        <f>HLOOKUP($H667,'GDP-PI'!$D$8:$CQ$11,3,FALSE)</f>
        <v>1.924331376386168E-2</v>
      </c>
      <c r="DE667" s="111">
        <f>VLOOKUP(H667,'HW Dx Data'!$E:$F,2,FALSE)</f>
        <v>668.91932211262167</v>
      </c>
      <c r="DF667" s="72">
        <f t="shared" si="1227"/>
        <v>124.80000000000001</v>
      </c>
      <c r="DG667" s="69">
        <f t="shared" si="1228"/>
        <v>3.1955502161869064E-2</v>
      </c>
      <c r="DH667" s="66">
        <f>HLOOKUP(H667,'GDP-PI'!$8:$9,2,FALSE)</f>
        <v>100</v>
      </c>
      <c r="DI667" s="69">
        <f t="shared" si="1217"/>
        <v>1.9060502738742411E-2</v>
      </c>
      <c r="EB667"/>
    </row>
    <row r="668" spans="1:132" s="160" customFormat="1" ht="21">
      <c r="A668" s="160" t="s">
        <v>198</v>
      </c>
      <c r="B668" s="161" t="s">
        <v>198</v>
      </c>
      <c r="C668" s="161">
        <v>4057014</v>
      </c>
      <c r="D668" s="161" t="s">
        <v>171</v>
      </c>
      <c r="E668" s="161" t="s">
        <v>3</v>
      </c>
      <c r="F668" s="161"/>
      <c r="G668" s="161" t="s">
        <v>129</v>
      </c>
      <c r="H668" s="162">
        <v>2013</v>
      </c>
      <c r="I668" s="163"/>
      <c r="J668" s="159">
        <f>IFERROR(INDEX('Labor Expenditures'!$F$7:$X$91,MATCH($C668,'Labor Expenditures'!$D$7:$D$91,0),MATCH($G668,'Labor Expenditures'!$F$5:$X$5,0)),"NA")</f>
        <v>56187.921364873182</v>
      </c>
      <c r="K668" s="159">
        <f t="shared" si="1218"/>
        <v>443.12240824032477</v>
      </c>
      <c r="L668" s="165">
        <f t="shared" si="1225"/>
        <v>-0.1176371013681122</v>
      </c>
      <c r="M668" s="76">
        <f t="shared" si="1229"/>
        <v>-2.6156538418972879E-3</v>
      </c>
      <c r="N668" s="62">
        <f t="shared" si="1235"/>
        <v>108.36877321450683</v>
      </c>
      <c r="O668" s="96">
        <f t="shared" si="1230"/>
        <v>-7.0074927363403289E-2</v>
      </c>
      <c r="P668" s="96"/>
      <c r="Q668" s="159">
        <f>IFERROR(INDEX('Non-Labor Expenditures'!$F$7:$AB$91,MATCH($C668,'Non-Labor Expenditures'!$D$7:$D$91,0),MATCH($G668,'Non-Labor Expenditures'!$F$5:$AB$5,0)),"NA")</f>
        <v>81370.604592447344</v>
      </c>
      <c r="R668" s="159">
        <f t="shared" si="1219"/>
        <v>799.53037242144137</v>
      </c>
      <c r="S668" s="165">
        <f t="shared" si="1231"/>
        <v>-0.11931317231682446</v>
      </c>
      <c r="T668" s="165">
        <f t="shared" si="1232"/>
        <v>-2.6529211781824032E-3</v>
      </c>
      <c r="U668" s="165"/>
      <c r="V668" s="165"/>
      <c r="W668" s="159">
        <f t="shared" si="1200"/>
        <v>109054.38083317211</v>
      </c>
      <c r="X668" s="163"/>
      <c r="Y668" s="167">
        <v>5067.9818557900844</v>
      </c>
      <c r="Z668" s="168">
        <v>8.2506844849656018E-3</v>
      </c>
      <c r="AA668" s="76">
        <f t="shared" si="1220"/>
        <v>1.8345347105970557E-4</v>
      </c>
      <c r="AB668" s="168"/>
      <c r="AC668" s="168"/>
      <c r="AD668" s="163">
        <f t="shared" si="1166"/>
        <v>246612.90679049265</v>
      </c>
      <c r="AE668" s="168">
        <f t="shared" si="1233"/>
        <v>-6.332969412382794E-2</v>
      </c>
      <c r="AF668" s="163"/>
      <c r="AG668" s="163"/>
      <c r="AH668" s="163"/>
      <c r="AI668" s="163"/>
      <c r="AJ668" s="116">
        <f t="shared" si="1234"/>
        <v>415.24175165345906</v>
      </c>
      <c r="AK668" s="114">
        <f>+AV668/$AX$18</f>
        <v>1.6523682622608706E-2</v>
      </c>
      <c r="AL668" s="115">
        <f t="shared" si="1221"/>
        <v>0.22783852676699937</v>
      </c>
      <c r="AM668" s="115">
        <f t="shared" si="1222"/>
        <v>0.32995274112548728</v>
      </c>
      <c r="AN668" s="115">
        <f t="shared" si="1223"/>
        <v>0.44220873210751327</v>
      </c>
      <c r="AO668" s="115">
        <f t="shared" si="1226"/>
        <v>-6.3907023316155373E-2</v>
      </c>
      <c r="AP668" s="166">
        <f t="shared" si="1237"/>
        <v>120.82650838094185</v>
      </c>
      <c r="AQ668" s="168">
        <f t="shared" si="1238"/>
        <v>-6.3907023316155359E-2</v>
      </c>
      <c r="AR668" s="69">
        <f>+AD668/$AF$18</f>
        <v>2.223493958519375E-2</v>
      </c>
      <c r="AS668" s="169">
        <f t="shared" si="1236"/>
        <v>-1.4209688025042827E-3</v>
      </c>
      <c r="AT668" s="115"/>
      <c r="AU668" s="115"/>
      <c r="AV668" s="113">
        <f>IFERROR(INDEX('Total Customers'!$F$7:$AB$91,MATCH($C668,'Total Customers'!$D$7:$D$91,0),MATCH($G668,'Total Customers'!$F$5:$AB$5,0)),"NA")</f>
        <v>593902</v>
      </c>
      <c r="AW668" s="68">
        <f t="shared" si="1195"/>
        <v>7.9096027788599036E-3</v>
      </c>
      <c r="AX668" s="114"/>
      <c r="AY668" s="114"/>
      <c r="AZ668" s="116">
        <v>8534921</v>
      </c>
      <c r="BA668" s="116"/>
      <c r="BB668" s="166"/>
      <c r="BC668" s="166"/>
      <c r="BD668" s="166"/>
      <c r="BE668" s="166"/>
      <c r="BF668" s="166"/>
      <c r="BG668" s="166"/>
      <c r="BH668" s="166"/>
      <c r="BI668" s="113"/>
      <c r="BJ668" s="113"/>
      <c r="BK668" s="113">
        <f>INDEX('Dist. Plant Gas Additions'!$F$7:$AE$91,MATCH($C668,'Dist. Plant Gas Additions'!$D$7:$D$91,0),MATCH(Calculation!$G668,'Dist. Plant Gas Additions'!$F$5:$AE$5,0))</f>
        <v>51741</v>
      </c>
      <c r="BL668" s="113">
        <f>INDEX('Gen. Plant Additions'!$F$7:$AE$91,MATCH($C668,'Gen. Plant Additions'!$D$7:$D$91,0),MATCH(Calculation!$G668,'Gen. Plant Additions'!$F$5:$AE$5,0))</f>
        <v>2465</v>
      </c>
      <c r="BM668" s="231">
        <f t="shared" si="1201"/>
        <v>0.95574726131419152</v>
      </c>
      <c r="BN668" s="61">
        <f t="shared" si="1224"/>
        <v>2355.916999139482</v>
      </c>
      <c r="BO668" s="113">
        <f>INDEX('Dist Plant Depreciation'!$E$7:$AD$94,MATCH($C668,'Dist Plant Depreciation'!$D$7:$D$94,0),MATCH(Calculation!$G668,'Dist Plant Depreciation'!$E$5:$AD$5,0))</f>
        <v>670201</v>
      </c>
      <c r="BP668" s="113">
        <f>INDEX('Gen. Plant Depreciation'!$E$7:$AD$94,MATCH($C668,'Gen. Plant Depreciation'!$D$7:$D$94,0),MATCH(Calculation!$G668,'Gen. Plant Depreciation'!$E$5:$AD$5,0))</f>
        <v>35662</v>
      </c>
      <c r="BQ668" s="113"/>
      <c r="BR668" s="113"/>
      <c r="BS668" s="113"/>
      <c r="BT668" s="113"/>
      <c r="BU668" s="113"/>
      <c r="BV668" s="113"/>
      <c r="BW668" s="113">
        <f>INDEX('Gross Dx Plant'!$E$7:$AD$91,MATCH($C668,'Gross Dx Plant'!$D$7:$D$91,0),MATCH(Calculation!$G668,'Gross Dx Plant'!$E$5:$AD$5,0))</f>
        <v>1771511</v>
      </c>
      <c r="BX668" s="113">
        <f>INDEX('Gross Gen Plant'!$E$7:$AD$91,MATCH($C668,'Gross Gen Plant'!$D$7:$D$91,0),MATCH(Calculation!$G668,'Gross Gen Plant'!$E$5:$AD$5,0))</f>
        <v>82024</v>
      </c>
      <c r="BY668" s="113">
        <f t="shared" si="1196"/>
        <v>1147672</v>
      </c>
      <c r="BZ668" s="113"/>
      <c r="CA668" s="116">
        <v>2013</v>
      </c>
      <c r="CB668" s="113"/>
      <c r="CC668" s="113"/>
      <c r="CD668" s="113"/>
      <c r="CE668" s="175"/>
      <c r="CF668" s="113">
        <f t="shared" si="1202"/>
        <v>54206</v>
      </c>
      <c r="CG668" s="113">
        <f t="shared" si="1203"/>
        <v>81.728051739678477</v>
      </c>
      <c r="CH668" s="178">
        <v>0.90566037735849059</v>
      </c>
      <c r="CI668" s="61">
        <f>+CI653*CH668+CG654*CH667+CG655*CH666+CG656*CH665+CG657*CH664+CG658*CH663+CG659*CH662+CG660*CH661+CG661*CH660+CG662*CH659+CG663*CH658+CG664*CH657+CG665*CH656+CG666*CH655+CG667*CH654+CG668</f>
        <v>5067.9818557900844</v>
      </c>
      <c r="CJ668" s="114">
        <f t="shared" si="1204"/>
        <v>8.2506844849656018E-3</v>
      </c>
      <c r="CK668" s="114"/>
      <c r="CL668" s="169">
        <f t="shared" si="1205"/>
        <v>7.9751391497678275E-3</v>
      </c>
      <c r="CM668" s="169">
        <f t="shared" si="1213"/>
        <v>7.6851098863839036E-3</v>
      </c>
      <c r="CN668" s="114">
        <f>VLOOKUP($H668,RoR!$E:$F,2,FALSE)</f>
        <v>4.2350000000000006E-2</v>
      </c>
      <c r="CO668" s="169">
        <v>1.7730000000000024E-2</v>
      </c>
      <c r="CP668" s="169">
        <f t="shared" si="1211"/>
        <v>2.4619999999999982E-2</v>
      </c>
      <c r="CQ668" s="169">
        <f t="shared" si="1214"/>
        <v>2.3216831722149722E-2</v>
      </c>
      <c r="CR668" s="169">
        <f t="shared" si="1215"/>
        <v>5.3376742735721204E-2</v>
      </c>
      <c r="CS668" s="179">
        <f t="shared" si="1206"/>
        <v>0.85329623209999994</v>
      </c>
      <c r="CT668" s="180">
        <f t="shared" si="1207"/>
        <v>1.2109103018193925</v>
      </c>
      <c r="CU668" s="180">
        <f t="shared" si="1208"/>
        <v>0.38468122786304604</v>
      </c>
      <c r="CV668" s="180">
        <f t="shared" si="1209"/>
        <v>0.80969194503422559</v>
      </c>
      <c r="CW668" s="180">
        <f t="shared" si="1210"/>
        <v>0.37716621754800816</v>
      </c>
      <c r="CX668" s="181">
        <f>INDEX('State Tax Lookup'!$D$7:$Z$91,MATCH(Calculation!$C668,'State Tax Lookup'!$B$7:$B$91,0),MATCH($H668,'State Tax Lookup'!$D$6:$Z$6,0))</f>
        <v>0.39649667</v>
      </c>
      <c r="CY668" s="72">
        <v>0.37</v>
      </c>
      <c r="CZ668" s="70">
        <f t="shared" si="1212"/>
        <v>21.696580483579844</v>
      </c>
      <c r="DA668" s="70">
        <v>20.339519021246105</v>
      </c>
      <c r="DB668" s="69">
        <f t="shared" si="1216"/>
        <v>-1.9471227793380237E-2</v>
      </c>
      <c r="DC668" s="111">
        <f>VLOOKUP($H668,RoR!$E:$F,2,FALSE)</f>
        <v>4.2350000000000006E-2</v>
      </c>
      <c r="DD668" s="216">
        <f>HLOOKUP($H668,'GDP-PI'!$D$8:$CQ$11,3,FALSE)</f>
        <v>1.7730000000000024E-2</v>
      </c>
      <c r="DE668" s="111">
        <f>VLOOKUP(H668,'HW Dx Data'!$E:$F,2,FALSE)</f>
        <v>663.24840548821396</v>
      </c>
      <c r="DF668" s="72">
        <f t="shared" si="1227"/>
        <v>126.8</v>
      </c>
      <c r="DG668" s="69">
        <f t="shared" si="1228"/>
        <v>1.5898586067798204E-2</v>
      </c>
      <c r="DH668" s="66">
        <f>HLOOKUP(H668,'GDP-PI'!$8:$9,2,FALSE)</f>
        <v>101.773</v>
      </c>
      <c r="DI668" s="69">
        <f t="shared" si="1217"/>
        <v>1.7574657016510519E-2</v>
      </c>
      <c r="EB668"/>
    </row>
    <row r="669" spans="1:132" s="160" customFormat="1" ht="21">
      <c r="A669" s="160" t="s">
        <v>198</v>
      </c>
      <c r="B669" s="161" t="s">
        <v>198</v>
      </c>
      <c r="C669" s="161">
        <v>4057014</v>
      </c>
      <c r="D669" s="161" t="s">
        <v>171</v>
      </c>
      <c r="E669" s="161" t="s">
        <v>3</v>
      </c>
      <c r="F669" s="161"/>
      <c r="G669" s="161" t="s">
        <v>130</v>
      </c>
      <c r="H669" s="162">
        <v>2014</v>
      </c>
      <c r="I669" s="163"/>
      <c r="J669" s="159">
        <f>IFERROR(INDEX('Labor Expenditures'!$F$7:$X$91,MATCH($C669,'Labor Expenditures'!$D$7:$D$91,0),MATCH($G669,'Labor Expenditures'!$F$5:$X$5,0)),"NA")</f>
        <v>58852.195422929566</v>
      </c>
      <c r="K669" s="159">
        <f t="shared" si="1218"/>
        <v>454.808310841805</v>
      </c>
      <c r="L669" s="165">
        <f t="shared" si="1225"/>
        <v>2.6029986881839877E-2</v>
      </c>
      <c r="M669" s="76">
        <f t="shared" si="1229"/>
        <v>5.8584728208958868E-4</v>
      </c>
      <c r="N669" s="62">
        <f t="shared" si="1235"/>
        <v>120.37014995873369</v>
      </c>
      <c r="O669" s="96">
        <f t="shared" si="1230"/>
        <v>0.10503160067717335</v>
      </c>
      <c r="P669" s="96"/>
      <c r="Q669" s="159">
        <f>IFERROR(INDEX('Non-Labor Expenditures'!$F$7:$AB$91,MATCH($C669,'Non-Labor Expenditures'!$D$7:$D$91,0),MATCH($G669,'Non-Labor Expenditures'!$F$5:$AB$5,0)),"NA")</f>
        <v>85228.971046265884</v>
      </c>
      <c r="R669" s="159">
        <f t="shared" si="1219"/>
        <v>822.30041435126805</v>
      </c>
      <c r="S669" s="165">
        <f t="shared" si="1231"/>
        <v>2.8081275047258374E-2</v>
      </c>
      <c r="T669" s="165">
        <f t="shared" si="1232"/>
        <v>6.3201486572872511E-4</v>
      </c>
      <c r="U669" s="165"/>
      <c r="V669" s="165"/>
      <c r="W669" s="159">
        <f t="shared" si="1200"/>
        <v>112150.99420004923</v>
      </c>
      <c r="X669" s="163"/>
      <c r="Y669" s="167">
        <v>5156.8141923356388</v>
      </c>
      <c r="Z669" s="168">
        <v>1.7376301934091162E-2</v>
      </c>
      <c r="AA669" s="76">
        <f t="shared" si="1220"/>
        <v>3.9108199735426948E-4</v>
      </c>
      <c r="AB669" s="168"/>
      <c r="AC669" s="168"/>
      <c r="AD669" s="163">
        <f t="shared" si="1166"/>
        <v>256232.16066924468</v>
      </c>
      <c r="AE669" s="168">
        <f t="shared" si="1233"/>
        <v>3.8263982796143153E-2</v>
      </c>
      <c r="AF669" s="163"/>
      <c r="AG669" s="163"/>
      <c r="AH669" s="163"/>
      <c r="AI669" s="163"/>
      <c r="AJ669" s="116">
        <f t="shared" si="1234"/>
        <v>428.67542313292739</v>
      </c>
      <c r="AK669" s="114">
        <f>+AV669/$AX$19</f>
        <v>1.6541319259665753E-2</v>
      </c>
      <c r="AL669" s="115">
        <f t="shared" si="1221"/>
        <v>0.22968309391457878</v>
      </c>
      <c r="AM669" s="115">
        <f t="shared" si="1222"/>
        <v>0.3326240188728028</v>
      </c>
      <c r="AN669" s="115">
        <f t="shared" si="1223"/>
        <v>0.4376928872126184</v>
      </c>
      <c r="AO669" s="115">
        <f t="shared" si="1226"/>
        <v>2.2902359115767615E-2</v>
      </c>
      <c r="AP669" s="166">
        <f t="shared" si="1237"/>
        <v>123.62565160927556</v>
      </c>
      <c r="AQ669" s="168">
        <f t="shared" si="1238"/>
        <v>2.2902359115767545E-2</v>
      </c>
      <c r="AR669" s="69">
        <f>+AD669/$AF$19</f>
        <v>2.2506629939883369E-2</v>
      </c>
      <c r="AS669" s="169">
        <f t="shared" si="1236"/>
        <v>5.1545492136889463E-4</v>
      </c>
      <c r="AT669" s="115"/>
      <c r="AU669" s="115"/>
      <c r="AV669" s="113">
        <f>IFERROR(INDEX('Total Customers'!$F$7:$AB$91,MATCH($C669,'Total Customers'!$D$7:$D$91,0),MATCH($G669,'Total Customers'!$F$5:$AB$5,0)),"NA")</f>
        <v>597730</v>
      </c>
      <c r="AW669" s="68">
        <f t="shared" si="1195"/>
        <v>6.4248243883857246E-3</v>
      </c>
      <c r="AX669" s="114"/>
      <c r="AY669" s="114"/>
      <c r="AZ669" s="116">
        <v>8599754</v>
      </c>
      <c r="BA669" s="116"/>
      <c r="BB669" s="166"/>
      <c r="BC669" s="166"/>
      <c r="BD669" s="166"/>
      <c r="BE669" s="166"/>
      <c r="BF669" s="166"/>
      <c r="BG669" s="166"/>
      <c r="BH669" s="166"/>
      <c r="BI669" s="113"/>
      <c r="BJ669" s="113"/>
      <c r="BK669" s="113">
        <f>INDEX('Dist. Plant Gas Additions'!$F$7:$AE$91,MATCH($C669,'Dist. Plant Gas Additions'!$D$7:$D$91,0),MATCH(Calculation!$G669,'Dist. Plant Gas Additions'!$F$5:$AE$5,0))</f>
        <v>83801</v>
      </c>
      <c r="BL669" s="113">
        <f>INDEX('Gen. Plant Additions'!$F$7:$AE$91,MATCH($C669,'Gen. Plant Additions'!$D$7:$D$91,0),MATCH(Calculation!$G669,'Gen. Plant Additions'!$F$5:$AE$5,0))</f>
        <v>5743</v>
      </c>
      <c r="BM669" s="231">
        <f t="shared" si="1201"/>
        <v>0.95474861317553061</v>
      </c>
      <c r="BN669" s="61">
        <f t="shared" si="1224"/>
        <v>5483.1212854670721</v>
      </c>
      <c r="BO669" s="113">
        <f>INDEX('Dist Plant Depreciation'!$E$7:$AD$94,MATCH($C669,'Dist Plant Depreciation'!$D$7:$D$94,0),MATCH(Calculation!$G669,'Dist Plant Depreciation'!$E$5:$AD$5,0))</f>
        <v>680206</v>
      </c>
      <c r="BP669" s="113">
        <f>INDEX('Gen. Plant Depreciation'!$E$7:$AD$94,MATCH($C669,'Gen. Plant Depreciation'!$D$7:$D$94,0),MATCH(Calculation!$G669,'Gen. Plant Depreciation'!$E$5:$AD$5,0))</f>
        <v>39470</v>
      </c>
      <c r="BQ669" s="113"/>
      <c r="BR669" s="113"/>
      <c r="BS669" s="113"/>
      <c r="BT669" s="113"/>
      <c r="BU669" s="113"/>
      <c r="BV669" s="113"/>
      <c r="BW669" s="113">
        <f>INDEX('Gross Dx Plant'!$E$7:$AD$91,MATCH($C669,'Gross Dx Plant'!$D$7:$D$91,0),MATCH(Calculation!$G669,'Gross Dx Plant'!$E$5:$AD$5,0))</f>
        <v>1846058</v>
      </c>
      <c r="BX669" s="113">
        <f>INDEX('Gross Gen Plant'!$E$7:$AD$91,MATCH($C669,'Gross Gen Plant'!$D$7:$D$91,0),MATCH(Calculation!$G669,'Gross Gen Plant'!$E$5:$AD$5,0))</f>
        <v>87496</v>
      </c>
      <c r="BY669" s="113">
        <f t="shared" si="1196"/>
        <v>1213878</v>
      </c>
      <c r="BZ669" s="113"/>
      <c r="CA669" s="116">
        <v>2014</v>
      </c>
      <c r="CB669" s="113"/>
      <c r="CC669" s="113"/>
      <c r="CD669" s="113"/>
      <c r="CE669" s="175"/>
      <c r="CF669" s="113">
        <f t="shared" si="1202"/>
        <v>89544</v>
      </c>
      <c r="CG669" s="113">
        <f t="shared" si="1203"/>
        <v>130.82255195186684</v>
      </c>
      <c r="CH669" s="178">
        <v>0.89743589743589747</v>
      </c>
      <c r="CI669" s="61">
        <f>+CI653*CH669+CG654*CH668+CG655*CH667+CG656*CH666+CG657*CH665+CG658*CH664+CG659*CH663+CG660*CH662+CG661*CH661+CG662*CH660+CG663*CH659+CG664*CH658+CG665*CH657+CG666*CH656+CG667*CH655+CG668*CH654+CG669</f>
        <v>5156.8141923356388</v>
      </c>
      <c r="CJ669" s="114">
        <f t="shared" si="1204"/>
        <v>1.7376301934091162E-2</v>
      </c>
      <c r="CK669" s="114"/>
      <c r="CL669" s="169">
        <f t="shared" si="1205"/>
        <v>8.2853918189030804E-3</v>
      </c>
      <c r="CM669" s="169">
        <f t="shared" si="1213"/>
        <v>7.9786545437785256E-3</v>
      </c>
      <c r="CN669" s="114">
        <f>VLOOKUP($H669,RoR!$E:$F,2,FALSE)</f>
        <v>4.1625000000000002E-2</v>
      </c>
      <c r="CO669" s="169">
        <v>1.841352814597208E-2</v>
      </c>
      <c r="CP669" s="169">
        <f t="shared" si="1211"/>
        <v>2.3211471854027922E-2</v>
      </c>
      <c r="CQ669" s="169">
        <f t="shared" si="1214"/>
        <v>2.2923287064755098E-2</v>
      </c>
      <c r="CR669" s="169">
        <f t="shared" si="1215"/>
        <v>3.9072621432650924E-2</v>
      </c>
      <c r="CS669" s="179">
        <f t="shared" si="1206"/>
        <v>0.85329623209999994</v>
      </c>
      <c r="CT669" s="180">
        <f t="shared" si="1207"/>
        <v>1.2320012320012319</v>
      </c>
      <c r="CU669" s="180">
        <f t="shared" si="1208"/>
        <v>0.37439939939939942</v>
      </c>
      <c r="CV669" s="180">
        <f t="shared" si="1209"/>
        <v>0.80432100613819935</v>
      </c>
      <c r="CW669" s="180">
        <f t="shared" si="1210"/>
        <v>0.37100152660040037</v>
      </c>
      <c r="CX669" s="181">
        <f>INDEX('State Tax Lookup'!$D$7:$Z$91,MATCH(Calculation!$C669,'State Tax Lookup'!$B$7:$B$91,0),MATCH($H669,'State Tax Lookup'!$D$6:$Z$6,0))</f>
        <v>0.39649667</v>
      </c>
      <c r="CY669" s="72">
        <v>0.37</v>
      </c>
      <c r="CZ669" s="70">
        <f t="shared" si="1212"/>
        <v>22.129320386559513</v>
      </c>
      <c r="DA669" s="70">
        <v>20.763592984765573</v>
      </c>
      <c r="DB669" s="69">
        <f t="shared" si="1216"/>
        <v>1.9748776812549457E-2</v>
      </c>
      <c r="DC669" s="111">
        <f>VLOOKUP($H669,RoR!$E:$F,2,FALSE)</f>
        <v>4.1625000000000002E-2</v>
      </c>
      <c r="DD669" s="216">
        <f>HLOOKUP($H669,'GDP-PI'!$D$8:$CQ$11,3,FALSE)</f>
        <v>1.841352814597208E-2</v>
      </c>
      <c r="DE669" s="111">
        <f>VLOOKUP(H669,'HW Dx Data'!$E:$F,2,FALSE)</f>
        <v>684.46914285042885</v>
      </c>
      <c r="DF669" s="72">
        <f t="shared" si="1227"/>
        <v>129.4</v>
      </c>
      <c r="DG669" s="69">
        <f t="shared" si="1228"/>
        <v>2.0297340063674733E-2</v>
      </c>
      <c r="DH669" s="66">
        <f>HLOOKUP(H669,'GDP-PI'!$8:$9,2,FALSE)</f>
        <v>103.64700000000001</v>
      </c>
      <c r="DI669" s="69">
        <f t="shared" si="1217"/>
        <v>1.8246051898256087E-2</v>
      </c>
      <c r="EB669"/>
    </row>
    <row r="670" spans="1:132" s="160" customFormat="1" ht="21">
      <c r="A670" s="160" t="s">
        <v>198</v>
      </c>
      <c r="B670" s="161" t="s">
        <v>198</v>
      </c>
      <c r="C670" s="161">
        <v>4057014</v>
      </c>
      <c r="D670" s="161" t="s">
        <v>171</v>
      </c>
      <c r="E670" s="161" t="s">
        <v>3</v>
      </c>
      <c r="F670" s="161"/>
      <c r="G670" s="161" t="s">
        <v>132</v>
      </c>
      <c r="H670" s="162">
        <v>2015</v>
      </c>
      <c r="I670" s="163"/>
      <c r="J670" s="159">
        <f>IFERROR(INDEX('Labor Expenditures'!$F$7:$X$91,MATCH($C670,'Labor Expenditures'!$D$7:$D$91,0),MATCH($G670,'Labor Expenditures'!$F$5:$X$5,0)),"NA")</f>
        <v>53265.028989085979</v>
      </c>
      <c r="K670" s="159">
        <f t="shared" si="1218"/>
        <v>398.98898119165528</v>
      </c>
      <c r="L670" s="165">
        <f t="shared" si="1225"/>
        <v>-0.13094223488064619</v>
      </c>
      <c r="M670" s="76">
        <f t="shared" si="1229"/>
        <v>-2.7540287502532406E-3</v>
      </c>
      <c r="N670" s="62">
        <f t="shared" si="1235"/>
        <v>118.79876639122908</v>
      </c>
      <c r="O670" s="96">
        <f t="shared" si="1230"/>
        <v>-1.3140555243300774E-2</v>
      </c>
      <c r="P670" s="96"/>
      <c r="Q670" s="159">
        <f>IFERROR(INDEX('Non-Labor Expenditures'!$F$7:$AB$91,MATCH($C670,'Non-Labor Expenditures'!$D$7:$D$91,0),MATCH($G670,'Non-Labor Expenditures'!$F$5:$AB$5,0)),"NA")</f>
        <v>77137.71051131573</v>
      </c>
      <c r="R670" s="159">
        <f t="shared" si="1219"/>
        <v>737.17935484203531</v>
      </c>
      <c r="S670" s="165">
        <f t="shared" si="1231"/>
        <v>-0.10927457529258507</v>
      </c>
      <c r="T670" s="165">
        <f t="shared" si="1232"/>
        <v>-2.2983059843281525E-3</v>
      </c>
      <c r="U670" s="165"/>
      <c r="V670" s="165"/>
      <c r="W670" s="159">
        <f t="shared" si="1200"/>
        <v>111413.37312386579</v>
      </c>
      <c r="X670" s="163"/>
      <c r="Y670" s="167">
        <v>5276.8319772670202</v>
      </c>
      <c r="Z670" s="168">
        <v>2.3006929103406359E-2</v>
      </c>
      <c r="AA670" s="76">
        <f t="shared" si="1220"/>
        <v>4.8389081081114382E-4</v>
      </c>
      <c r="AB670" s="168"/>
      <c r="AC670" s="168"/>
      <c r="AD670" s="163">
        <f t="shared" si="1166"/>
        <v>241816.11262426752</v>
      </c>
      <c r="AE670" s="168">
        <f t="shared" si="1233"/>
        <v>-5.7906339004914799E-2</v>
      </c>
      <c r="AF670" s="163"/>
      <c r="AG670" s="163"/>
      <c r="AH670" s="163"/>
      <c r="AI670" s="163"/>
      <c r="AJ670" s="116">
        <f t="shared" si="1234"/>
        <v>401.05100973249711</v>
      </c>
      <c r="AK670" s="114">
        <f>+AV670/$AX$20</f>
        <v>1.65502628911527E-2</v>
      </c>
      <c r="AL670" s="115">
        <f t="shared" si="1221"/>
        <v>0.22027080168908708</v>
      </c>
      <c r="AM670" s="115">
        <f t="shared" si="1222"/>
        <v>0.31899326175659709</v>
      </c>
      <c r="AN670" s="115">
        <f t="shared" si="1223"/>
        <v>0.46073593655431577</v>
      </c>
      <c r="AO670" s="115">
        <f t="shared" si="1226"/>
        <v>-5.4726541012410618E-2</v>
      </c>
      <c r="AP670" s="166">
        <f t="shared" si="1237"/>
        <v>117.04184492288418</v>
      </c>
      <c r="AQ670" s="168">
        <f t="shared" si="1238"/>
        <v>-5.4726541012410666E-2</v>
      </c>
      <c r="AR670" s="69">
        <f>+AD670/$AF$20</f>
        <v>2.1032394572794155E-2</v>
      </c>
      <c r="AS670" s="169">
        <f t="shared" si="1236"/>
        <v>-1.1510302041772228E-3</v>
      </c>
      <c r="AT670" s="115"/>
      <c r="AU670" s="115"/>
      <c r="AV670" s="113">
        <f>IFERROR(INDEX('Total Customers'!$F$7:$AB$91,MATCH($C670,'Total Customers'!$D$7:$D$91,0),MATCH($G670,'Total Customers'!$F$5:$AB$5,0)),"NA")</f>
        <v>602956</v>
      </c>
      <c r="AW670" s="68">
        <f t="shared" si="1195"/>
        <v>8.7050785991486437E-3</v>
      </c>
      <c r="AX670" s="114"/>
      <c r="AY670" s="114"/>
      <c r="AZ670" s="116">
        <v>8659109</v>
      </c>
      <c r="BA670" s="116"/>
      <c r="BB670" s="166"/>
      <c r="BC670" s="166"/>
      <c r="BD670" s="166"/>
      <c r="BE670" s="166"/>
      <c r="BF670" s="166"/>
      <c r="BG670" s="166"/>
      <c r="BH670" s="166"/>
      <c r="BI670" s="113"/>
      <c r="BJ670" s="113"/>
      <c r="BK670" s="113">
        <f>INDEX('Dist. Plant Gas Additions'!$F$7:$AE$91,MATCH($C670,'Dist. Plant Gas Additions'!$D$7:$D$91,0),MATCH(Calculation!$G670,'Dist. Plant Gas Additions'!$F$5:$AE$5,0))</f>
        <v>107916</v>
      </c>
      <c r="BL670" s="113">
        <f>INDEX('Gen. Plant Additions'!$F$7:$AE$91,MATCH($C670,'Gen. Plant Additions'!$D$7:$D$91,0),MATCH(Calculation!$G670,'Gen. Plant Additions'!$F$5:$AE$5,0))</f>
        <v>3057</v>
      </c>
      <c r="BM670" s="231">
        <f t="shared" si="1201"/>
        <v>0.95555634084858765</v>
      </c>
      <c r="BN670" s="61">
        <f t="shared" si="1224"/>
        <v>2921.1357339741326</v>
      </c>
      <c r="BO670" s="113">
        <f>INDEX('Dist Plant Depreciation'!$E$7:$AD$94,MATCH($C670,'Dist Plant Depreciation'!$D$7:$D$94,0),MATCH(Calculation!$G670,'Dist Plant Depreciation'!$E$5:$AD$5,0))</f>
        <v>708737</v>
      </c>
      <c r="BP670" s="113">
        <f>INDEX('Gen. Plant Depreciation'!$E$7:$AD$94,MATCH($C670,'Gen. Plant Depreciation'!$D$7:$D$94,0),MATCH(Calculation!$G670,'Gen. Plant Depreciation'!$E$5:$AD$5,0))</f>
        <v>43358</v>
      </c>
      <c r="BQ670" s="113"/>
      <c r="BR670" s="113"/>
      <c r="BS670" s="113"/>
      <c r="BT670" s="113"/>
      <c r="BU670" s="113"/>
      <c r="BV670" s="113"/>
      <c r="BW670" s="113">
        <f>INDEX('Gross Dx Plant'!$E$7:$AD$91,MATCH($C670,'Gross Dx Plant'!$D$7:$D$91,0),MATCH(Calculation!$G670,'Gross Dx Plant'!$E$5:$AD$5,0))</f>
        <v>1946904</v>
      </c>
      <c r="BX670" s="113">
        <f>INDEX('Gross Gen Plant'!$E$7:$AD$91,MATCH($C670,'Gross Gen Plant'!$D$7:$D$91,0),MATCH(Calculation!$G670,'Gross Gen Plant'!$E$5:$AD$5,0))</f>
        <v>90552</v>
      </c>
      <c r="BY670" s="113">
        <f t="shared" si="1196"/>
        <v>1285361</v>
      </c>
      <c r="BZ670" s="113"/>
      <c r="CA670" s="116">
        <v>2015</v>
      </c>
      <c r="CB670" s="113"/>
      <c r="CC670" s="113"/>
      <c r="CD670" s="113"/>
      <c r="CE670" s="175"/>
      <c r="CF670" s="113">
        <f t="shared" si="1202"/>
        <v>110973</v>
      </c>
      <c r="CG670" s="113">
        <f t="shared" si="1203"/>
        <v>164.25487928377365</v>
      </c>
      <c r="CH670" s="178">
        <v>0.88888888888888884</v>
      </c>
      <c r="CI670" s="61">
        <f>+CI653*CH670+CG654*CH669+CG655*CH668+CG656*CH667+CG657*CH666+CG658*CH665+CG659*CH664+CG660*CH663+CG661*CH662+CG662*CH661+CG663*CH660+CG664*CH659+CG665*CH658+CG666*CH657+CG667*CH656+CG668*CH655+CG669*CH654+CG670</f>
        <v>5276.8319772670202</v>
      </c>
      <c r="CJ670" s="114">
        <f t="shared" si="1204"/>
        <v>2.3006929103406359E-2</v>
      </c>
      <c r="CK670" s="114"/>
      <c r="CL670" s="169">
        <f t="shared" si="1205"/>
        <v>8.5783766299239693E-3</v>
      </c>
      <c r="CM670" s="169">
        <f t="shared" si="1213"/>
        <v>8.2796358661982924E-3</v>
      </c>
      <c r="CN670" s="114">
        <f>VLOOKUP($H670,RoR!$E:$F,2,FALSE)</f>
        <v>3.8866666666666674E-2</v>
      </c>
      <c r="CO670" s="169">
        <v>9.5709475431029478E-3</v>
      </c>
      <c r="CP670" s="169">
        <f t="shared" si="1211"/>
        <v>2.9295719123563727E-2</v>
      </c>
      <c r="CQ670" s="169">
        <f t="shared" si="1214"/>
        <v>2.2622305742335334E-2</v>
      </c>
      <c r="CR670" s="169">
        <f t="shared" si="1215"/>
        <v>3.5270373279175926E-3</v>
      </c>
      <c r="CS670" s="179">
        <f t="shared" si="1206"/>
        <v>0.85329623209999994</v>
      </c>
      <c r="CT670" s="180">
        <f t="shared" si="1207"/>
        <v>1.3194352816994324</v>
      </c>
      <c r="CU670" s="180">
        <f t="shared" si="1208"/>
        <v>0.33177530017152673</v>
      </c>
      <c r="CV670" s="180">
        <f t="shared" si="1209"/>
        <v>0.78242572977668579</v>
      </c>
      <c r="CW670" s="180">
        <f t="shared" si="1210"/>
        <v>0.34251158643433932</v>
      </c>
      <c r="CX670" s="181">
        <f>INDEX('State Tax Lookup'!$D$7:$Z$91,MATCH(Calculation!$C670,'State Tax Lookup'!$B$7:$B$91,0),MATCH($H670,'State Tax Lookup'!$D$6:$Z$6,0))</f>
        <v>0.39649667</v>
      </c>
      <c r="CY670" s="72">
        <v>0.37</v>
      </c>
      <c r="CZ670" s="70">
        <f t="shared" si="1212"/>
        <v>21.605078051765936</v>
      </c>
      <c r="DA670" s="70">
        <v>20.279488671080099</v>
      </c>
      <c r="DB670" s="69">
        <f t="shared" si="1216"/>
        <v>-2.3975061491072716E-2</v>
      </c>
      <c r="DC670" s="111">
        <f>VLOOKUP($H670,RoR!$E:$F,2,FALSE)</f>
        <v>3.8866666666666674E-2</v>
      </c>
      <c r="DD670" s="216">
        <f>HLOOKUP($H670,'GDP-PI'!$D$8:$CQ$11,3,FALSE)</f>
        <v>9.5709475431029478E-3</v>
      </c>
      <c r="DE670" s="111">
        <f>VLOOKUP(H670,'HW Dx Data'!$E:$F,2,FALSE)</f>
        <v>675.61463308665782</v>
      </c>
      <c r="DF670" s="72">
        <f t="shared" si="1227"/>
        <v>133.5</v>
      </c>
      <c r="DG670" s="69">
        <f t="shared" si="1228"/>
        <v>3.1193095773504077E-2</v>
      </c>
      <c r="DH670" s="66">
        <f>HLOOKUP(H670,'GDP-PI'!$8:$9,2,FALSE)</f>
        <v>104.639</v>
      </c>
      <c r="DI670" s="69">
        <f t="shared" si="1217"/>
        <v>9.5254361854427965E-3</v>
      </c>
      <c r="EB670"/>
    </row>
    <row r="671" spans="1:132" s="160" customFormat="1" ht="21">
      <c r="A671" s="160" t="s">
        <v>198</v>
      </c>
      <c r="B671" s="161" t="s">
        <v>198</v>
      </c>
      <c r="C671" s="161">
        <v>4057014</v>
      </c>
      <c r="D671" s="161" t="s">
        <v>171</v>
      </c>
      <c r="E671" s="161" t="s">
        <v>3</v>
      </c>
      <c r="F671" s="161"/>
      <c r="G671" s="161" t="s">
        <v>133</v>
      </c>
      <c r="H671" s="162">
        <v>2016</v>
      </c>
      <c r="I671" s="163"/>
      <c r="J671" s="159">
        <f>IFERROR(INDEX('Labor Expenditures'!$F$7:$X$91,MATCH($C671,'Labor Expenditures'!$D$7:$D$91,0),MATCH($G671,'Labor Expenditures'!$F$5:$X$5,0)),"NA")</f>
        <v>57585.141320553004</v>
      </c>
      <c r="K671" s="159">
        <f t="shared" si="1218"/>
        <v>420.48295962433741</v>
      </c>
      <c r="L671" s="165">
        <f t="shared" si="1225"/>
        <v>5.2470154064307592E-2</v>
      </c>
      <c r="M671" s="76">
        <f t="shared" si="1229"/>
        <v>1.1148583033858471E-3</v>
      </c>
      <c r="N671" s="62">
        <f t="shared" si="1235"/>
        <v>298.78239096781203</v>
      </c>
      <c r="O671" s="96">
        <f t="shared" si="1230"/>
        <v>0.92228449605568008</v>
      </c>
      <c r="P671" s="96"/>
      <c r="Q671" s="159">
        <f>IFERROR(INDEX('Non-Labor Expenditures'!$F$7:$AB$91,MATCH($C671,'Non-Labor Expenditures'!$D$7:$D$91,0),MATCH($G671,'Non-Labor Expenditures'!$F$5:$AB$5,0)),"NA")</f>
        <v>83394.040052962111</v>
      </c>
      <c r="R671" s="159">
        <f t="shared" si="1219"/>
        <v>788.70053768784624</v>
      </c>
      <c r="S671" s="165">
        <f t="shared" si="1231"/>
        <v>6.7555481565885755E-2</v>
      </c>
      <c r="T671" s="165">
        <f t="shared" si="1232"/>
        <v>1.4353834271317598E-3</v>
      </c>
      <c r="U671" s="165"/>
      <c r="V671" s="165"/>
      <c r="W671" s="159">
        <f t="shared" si="1200"/>
        <v>111817.821479406</v>
      </c>
      <c r="X671" s="163"/>
      <c r="Y671" s="167">
        <v>5355.7344684307773</v>
      </c>
      <c r="Z671" s="168">
        <v>1.4841936792673115E-2</v>
      </c>
      <c r="AA671" s="76">
        <f t="shared" si="1220"/>
        <v>3.1535368566594816E-4</v>
      </c>
      <c r="AB671" s="168"/>
      <c r="AC671" s="168"/>
      <c r="AD671" s="163">
        <f t="shared" si="1166"/>
        <v>252797.00285292111</v>
      </c>
      <c r="AE671" s="168">
        <f t="shared" si="1233"/>
        <v>4.4409234275277737E-2</v>
      </c>
      <c r="AF671" s="163"/>
      <c r="AG671" s="163"/>
      <c r="AH671" s="163"/>
      <c r="AI671" s="163"/>
      <c r="AJ671" s="116">
        <f t="shared" si="1234"/>
        <v>415.18975752322103</v>
      </c>
      <c r="AK671" s="114">
        <f>+AV671/$AX$21</f>
        <v>1.6568200590301212E-2</v>
      </c>
      <c r="AL671" s="115">
        <f t="shared" si="1221"/>
        <v>0.2277920255014115</v>
      </c>
      <c r="AM671" s="115">
        <f t="shared" si="1222"/>
        <v>0.32988539860767768</v>
      </c>
      <c r="AN671" s="115">
        <f t="shared" si="1223"/>
        <v>0.44232257589091084</v>
      </c>
      <c r="AO671" s="115">
        <f t="shared" si="1226"/>
        <v>4.0374186656853779E-2</v>
      </c>
      <c r="AP671" s="166">
        <f t="shared" si="1237"/>
        <v>121.86400458118743</v>
      </c>
      <c r="AQ671" s="168">
        <f t="shared" si="1238"/>
        <v>4.0374186656853786E-2</v>
      </c>
      <c r="AR671" s="69">
        <f>+AD671/$AF$21</f>
        <v>2.1247475317481879E-2</v>
      </c>
      <c r="AS671" s="169">
        <f t="shared" si="1236"/>
        <v>8.5784953445490703E-4</v>
      </c>
      <c r="AT671" s="115"/>
      <c r="AU671" s="115"/>
      <c r="AV671" s="113">
        <f>IFERROR(INDEX('Total Customers'!$F$7:$AB$91,MATCH($C671,'Total Customers'!$D$7:$D$91,0),MATCH($G671,'Total Customers'!$F$5:$AB$5,0)),"NA")</f>
        <v>608871</v>
      </c>
      <c r="AW671" s="68">
        <f t="shared" si="1195"/>
        <v>9.7621970382335051E-3</v>
      </c>
      <c r="AX671" s="114"/>
      <c r="AY671" s="114"/>
      <c r="AZ671" s="116">
        <v>8759079</v>
      </c>
      <c r="BA671" s="116"/>
      <c r="BB671" s="166"/>
      <c r="BC671" s="166"/>
      <c r="BD671" s="166"/>
      <c r="BE671" s="166"/>
      <c r="BF671" s="166"/>
      <c r="BG671" s="166"/>
      <c r="BH671" s="166"/>
      <c r="BI671" s="113"/>
      <c r="BJ671" s="113"/>
      <c r="BK671" s="113">
        <f>INDEX('Dist. Plant Gas Additions'!$F$7:$AE$91,MATCH($C671,'Dist. Plant Gas Additions'!$D$7:$D$91,0),MATCH(Calculation!$G671,'Dist. Plant Gas Additions'!$F$5:$AE$5,0))</f>
        <v>81144</v>
      </c>
      <c r="BL671" s="113">
        <f>INDEX('Gen. Plant Additions'!$F$7:$AE$91,MATCH($C671,'Gen. Plant Additions'!$D$7:$D$91,0),MATCH(Calculation!$G671,'Gen. Plant Additions'!$F$5:$AE$5,0))</f>
        <v>3235</v>
      </c>
      <c r="BM671" s="231">
        <f t="shared" si="1201"/>
        <v>0.96123896667495345</v>
      </c>
      <c r="BN671" s="61">
        <f t="shared" si="1224"/>
        <v>3109.6080571934745</v>
      </c>
      <c r="BO671" s="113">
        <f>INDEX('Dist Plant Depreciation'!$E$7:$AD$94,MATCH($C671,'Dist Plant Depreciation'!$D$7:$D$94,0),MATCH(Calculation!$G671,'Dist Plant Depreciation'!$E$5:$AD$5,0))</f>
        <v>715306</v>
      </c>
      <c r="BP671" s="113">
        <f>INDEX('Gen. Plant Depreciation'!$E$7:$AD$94,MATCH($C671,'Gen. Plant Depreciation'!$D$7:$D$94,0),MATCH(Calculation!$G671,'Gen. Plant Depreciation'!$E$5:$AD$5,0))</f>
        <v>35456</v>
      </c>
      <c r="BQ671" s="113"/>
      <c r="BR671" s="113"/>
      <c r="BS671" s="113"/>
      <c r="BT671" s="113"/>
      <c r="BU671" s="113"/>
      <c r="BV671" s="113"/>
      <c r="BW671" s="113">
        <f>INDEX('Gross Dx Plant'!$E$7:$AD$91,MATCH($C671,'Gross Dx Plant'!$D$7:$D$91,0),MATCH(Calculation!$G671,'Gross Dx Plant'!$E$5:$AD$5,0))</f>
        <v>1991269</v>
      </c>
      <c r="BX671" s="113">
        <f>INDEX('Gross Gen Plant'!$E$7:$AD$91,MATCH($C671,'Gross Gen Plant'!$D$7:$D$91,0),MATCH(Calculation!$G671,'Gross Gen Plant'!$E$5:$AD$5,0))</f>
        <v>80296</v>
      </c>
      <c r="BY671" s="113">
        <f t="shared" si="1196"/>
        <v>1320803</v>
      </c>
      <c r="BZ671" s="113"/>
      <c r="CA671" s="116">
        <v>2016</v>
      </c>
      <c r="CB671" s="113"/>
      <c r="CC671" s="113"/>
      <c r="CD671" s="113"/>
      <c r="CE671" s="175"/>
      <c r="CF671" s="113">
        <f t="shared" si="1202"/>
        <v>84379</v>
      </c>
      <c r="CG671" s="113">
        <f t="shared" si="1203"/>
        <v>125.66564377318203</v>
      </c>
      <c r="CH671" s="178">
        <v>0.88</v>
      </c>
      <c r="CI671" s="61">
        <f>+CI653*CH671+CG654*CH670+CG655*CH669+CG656*CH668+CG657*CH667+CG658*CH666+CG659*CH665+CG660*CH664+CG661*CH663+CG662*CH662+CG663*CH661+CG664*CH660+CG665*CH659+CG666*CH658+CG667*CH657+CG668*CH656+CG669*CH655+CG670*CH654+CG671</f>
        <v>5355.7344684307773</v>
      </c>
      <c r="CJ671" s="114">
        <f t="shared" si="1204"/>
        <v>1.4841936792673115E-2</v>
      </c>
      <c r="CK671" s="114"/>
      <c r="CL671" s="169">
        <f t="shared" si="1205"/>
        <v>8.8619749142826686E-3</v>
      </c>
      <c r="CM671" s="169">
        <f t="shared" si="1213"/>
        <v>8.5752477877032388E-3</v>
      </c>
      <c r="CN671" s="114">
        <f>VLOOKUP($H671,RoR!$E:$F,2,FALSE)</f>
        <v>3.6658333333333334E-2</v>
      </c>
      <c r="CO671" s="169">
        <v>1.0483662879041455E-2</v>
      </c>
      <c r="CP671" s="169">
        <f t="shared" si="1211"/>
        <v>2.6174670454291879E-2</v>
      </c>
      <c r="CQ671" s="169">
        <f t="shared" si="1214"/>
        <v>2.2326693820830384E-2</v>
      </c>
      <c r="CR671" s="169">
        <f t="shared" si="1215"/>
        <v>4.301363574220729E-3</v>
      </c>
      <c r="CS671" s="179">
        <f t="shared" si="1206"/>
        <v>0.85329623209999994</v>
      </c>
      <c r="CT671" s="180">
        <f t="shared" si="1207"/>
        <v>1.3989193348138562</v>
      </c>
      <c r="CU671" s="180">
        <f t="shared" si="1208"/>
        <v>0.29302682427824522</v>
      </c>
      <c r="CV671" s="180">
        <f t="shared" si="1209"/>
        <v>0.76309497491941802</v>
      </c>
      <c r="CW671" s="180">
        <f t="shared" si="1210"/>
        <v>0.31280857135128509</v>
      </c>
      <c r="CX671" s="181">
        <f>INDEX('State Tax Lookup'!$D$7:$Z$91,MATCH(Calculation!$C671,'State Tax Lookup'!$B$7:$B$91,0),MATCH($H671,'State Tax Lookup'!$D$6:$Z$6,0))</f>
        <v>0.39649667</v>
      </c>
      <c r="CY671" s="72">
        <v>0.37</v>
      </c>
      <c r="CZ671" s="70">
        <f t="shared" si="1212"/>
        <v>21.190331994864607</v>
      </c>
      <c r="DA671" s="70">
        <v>19.909765876209278</v>
      </c>
      <c r="DB671" s="69">
        <f t="shared" si="1216"/>
        <v>-1.9383342365848003E-2</v>
      </c>
      <c r="DC671" s="111">
        <f>VLOOKUP($H671,RoR!$E:$F,2,FALSE)</f>
        <v>3.6658333333333334E-2</v>
      </c>
      <c r="DD671" s="216">
        <f>HLOOKUP($H671,'GDP-PI'!$D$8:$CQ$11,3,FALSE)</f>
        <v>1.0483662879041455E-2</v>
      </c>
      <c r="DE671" s="111">
        <f>VLOOKUP(H671,'HW Dx Data'!$E:$F,2,FALSE)</f>
        <v>671.45639385971219</v>
      </c>
      <c r="DF671" s="72">
        <f t="shared" si="1227"/>
        <v>136.94999999999999</v>
      </c>
      <c r="DG671" s="69">
        <f t="shared" si="1228"/>
        <v>2.5514417868782811E-2</v>
      </c>
      <c r="DH671" s="66">
        <f>HLOOKUP(H671,'GDP-PI'!$8:$9,2,FALSE)</f>
        <v>105.736</v>
      </c>
      <c r="DI671" s="69">
        <f t="shared" si="1217"/>
        <v>1.0429090367205095E-2</v>
      </c>
      <c r="EB671"/>
    </row>
    <row r="672" spans="1:132" s="160" customFormat="1" ht="21">
      <c r="A672" s="160" t="s">
        <v>198</v>
      </c>
      <c r="B672" s="161" t="s">
        <v>198</v>
      </c>
      <c r="C672" s="161">
        <v>4057014</v>
      </c>
      <c r="D672" s="161" t="s">
        <v>171</v>
      </c>
      <c r="E672" s="161" t="s">
        <v>3</v>
      </c>
      <c r="F672" s="161"/>
      <c r="G672" s="161" t="s">
        <v>135</v>
      </c>
      <c r="H672" s="162">
        <v>2017</v>
      </c>
      <c r="I672" s="163"/>
      <c r="J672" s="159">
        <f>IFERROR(INDEX('Labor Expenditures'!$F$7:$X$91,MATCH($C672,'Labor Expenditures'!$D$7:$D$91,0),MATCH($G672,'Labor Expenditures'!$F$5:$X$5,0)),"NA")</f>
        <v>58972.61271110837</v>
      </c>
      <c r="K672" s="159">
        <f t="shared" si="1218"/>
        <v>419.88332296979974</v>
      </c>
      <c r="L672" s="165">
        <f t="shared" si="1225"/>
        <v>-1.4270842815194205E-3</v>
      </c>
      <c r="M672" s="76">
        <f t="shared" si="1229"/>
        <v>-2.9719425752039029E-5</v>
      </c>
      <c r="N672" s="62">
        <f t="shared" si="1235"/>
        <v>165.90642379849052</v>
      </c>
      <c r="O672" s="96">
        <f t="shared" si="1230"/>
        <v>-0.58829160166421846</v>
      </c>
      <c r="P672" s="96"/>
      <c r="Q672" s="159">
        <f>IFERROR(INDEX('Non-Labor Expenditures'!$F$7:$AB$91,MATCH($C672,'Non-Labor Expenditures'!$D$7:$D$91,0),MATCH($G672,'Non-Labor Expenditures'!$F$5:$AB$5,0)),"NA")</f>
        <v>85403.357770395844</v>
      </c>
      <c r="R672" s="159">
        <f t="shared" si="1219"/>
        <v>792.59921272559734</v>
      </c>
      <c r="S672" s="165">
        <f t="shared" si="1231"/>
        <v>4.9309853319007974E-3</v>
      </c>
      <c r="T672" s="165">
        <f t="shared" si="1232"/>
        <v>1.0268913641161493E-4</v>
      </c>
      <c r="U672" s="165"/>
      <c r="V672" s="165"/>
      <c r="W672" s="159">
        <f t="shared" si="1200"/>
        <v>102211.32851909267</v>
      </c>
      <c r="X672" s="163"/>
      <c r="Y672" s="167">
        <v>5446.1839757968419</v>
      </c>
      <c r="Z672" s="168">
        <v>1.6747325371178193E-2</v>
      </c>
      <c r="AA672" s="76">
        <f t="shared" si="1220"/>
        <v>3.4876769323255734E-4</v>
      </c>
      <c r="AB672" s="168"/>
      <c r="AC672" s="168"/>
      <c r="AD672" s="163">
        <f t="shared" si="1166"/>
        <v>246587.29900059689</v>
      </c>
      <c r="AE672" s="168">
        <f t="shared" si="1233"/>
        <v>-2.4870721453504236E-2</v>
      </c>
      <c r="AF672" s="163"/>
      <c r="AG672" s="163"/>
      <c r="AH672" s="163"/>
      <c r="AI672" s="163"/>
      <c r="AJ672" s="116">
        <f t="shared" si="1234"/>
        <v>402.38916430692302</v>
      </c>
      <c r="AK672" s="114">
        <f>+AV672/$AX$22</f>
        <v>1.6550047251280453E-2</v>
      </c>
      <c r="AL672" s="115">
        <f t="shared" si="1221"/>
        <v>0.23915511038127565</v>
      </c>
      <c r="AM672" s="115">
        <f t="shared" si="1222"/>
        <v>0.34634126784522312</v>
      </c>
      <c r="AN672" s="115">
        <f t="shared" si="1223"/>
        <v>0.4145036217735012</v>
      </c>
      <c r="AO672" s="115">
        <f t="shared" si="1226"/>
        <v>8.5088189871180397E-3</v>
      </c>
      <c r="AP672" s="166">
        <f t="shared" si="1237"/>
        <v>122.90534735302811</v>
      </c>
      <c r="AQ672" s="168">
        <f t="shared" si="1238"/>
        <v>8.508818987117946E-3</v>
      </c>
      <c r="AR672" s="69">
        <f>+AD672/$AF$22</f>
        <v>2.0825277201145173E-2</v>
      </c>
      <c r="AS672" s="169">
        <f t="shared" si="1236"/>
        <v>1.7719851406109853E-4</v>
      </c>
      <c r="AT672" s="115"/>
      <c r="AU672" s="115"/>
      <c r="AV672" s="113">
        <f>IFERROR(INDEX('Total Customers'!$F$7:$AB$91,MATCH($C672,'Total Customers'!$D$7:$D$91,0),MATCH($G672,'Total Customers'!$F$5:$AB$5,0)),"NA")</f>
        <v>612808</v>
      </c>
      <c r="AW672" s="68">
        <f t="shared" si="1195"/>
        <v>6.4452505592449806E-3</v>
      </c>
      <c r="AX672" s="114"/>
      <c r="AY672" s="114"/>
      <c r="AZ672" s="116">
        <v>8824403</v>
      </c>
      <c r="BA672" s="116"/>
      <c r="BB672" s="166"/>
      <c r="BC672" s="166"/>
      <c r="BD672" s="166"/>
      <c r="BE672" s="166"/>
      <c r="BF672" s="166"/>
      <c r="BG672" s="166"/>
      <c r="BH672" s="166"/>
      <c r="BI672" s="113"/>
      <c r="BJ672" s="113"/>
      <c r="BK672" s="113">
        <f>INDEX('Dist. Plant Gas Additions'!$F$7:$AE$91,MATCH($C672,'Dist. Plant Gas Additions'!$D$7:$D$91,0),MATCH(Calculation!$G672,'Dist. Plant Gas Additions'!$F$5:$AE$5,0))</f>
        <v>95505</v>
      </c>
      <c r="BL672" s="113">
        <f>INDEX('Gen. Plant Additions'!$F$7:$AE$91,MATCH($C672,'Gen. Plant Additions'!$D$7:$D$91,0),MATCH(Calculation!$G672,'Gen. Plant Additions'!$F$5:$AE$5,0))</f>
        <v>4002</v>
      </c>
      <c r="BM672" s="231">
        <f t="shared" si="1201"/>
        <v>0.96163545509737081</v>
      </c>
      <c r="BN672" s="61">
        <f t="shared" si="1224"/>
        <v>3848.4650912996781</v>
      </c>
      <c r="BO672" s="113">
        <f>INDEX('Dist Plant Depreciation'!$E$7:$AD$94,MATCH($C672,'Dist Plant Depreciation'!$D$7:$D$94,0),MATCH(Calculation!$G672,'Dist Plant Depreciation'!$E$5:$AD$5,0))</f>
        <v>768267</v>
      </c>
      <c r="BP672" s="113">
        <f>INDEX('Gen. Plant Depreciation'!$E$7:$AD$94,MATCH($C672,'Gen. Plant Depreciation'!$D$7:$D$94,0),MATCH(Calculation!$G672,'Gen. Plant Depreciation'!$E$5:$AD$5,0))</f>
        <v>38991</v>
      </c>
      <c r="BQ672" s="113"/>
      <c r="BR672" s="113"/>
      <c r="BS672" s="113"/>
      <c r="BT672" s="113"/>
      <c r="BU672" s="113"/>
      <c r="BV672" s="113"/>
      <c r="BW672" s="113">
        <f>INDEX('Gross Dx Plant'!$E$7:$AD$91,MATCH($C672,'Gross Dx Plant'!$D$7:$D$91,0),MATCH(Calculation!$G672,'Gross Dx Plant'!$E$5:$AD$5,0))</f>
        <v>2100333</v>
      </c>
      <c r="BX672" s="113">
        <f>INDEX('Gross Gen Plant'!$E$7:$AD$91,MATCH($C672,'Gross Gen Plant'!$D$7:$D$91,0),MATCH(Calculation!$G672,'Gross Gen Plant'!$E$5:$AD$5,0))</f>
        <v>83793</v>
      </c>
      <c r="BY672" s="113">
        <f t="shared" si="1196"/>
        <v>1376868</v>
      </c>
      <c r="BZ672" s="113"/>
      <c r="CA672" s="116">
        <v>2017</v>
      </c>
      <c r="CB672" s="113"/>
      <c r="CC672" s="113"/>
      <c r="CD672" s="113"/>
      <c r="CE672" s="175"/>
      <c r="CF672" s="113">
        <f t="shared" si="1202"/>
        <v>99507</v>
      </c>
      <c r="CG672" s="113">
        <f t="shared" si="1203"/>
        <v>139.67294726285297</v>
      </c>
      <c r="CH672" s="178">
        <v>0.87074829931972786</v>
      </c>
      <c r="CI672" s="61">
        <f>+CI653*CH672+CG654*CH671+CG655*CH670+CG656*CH669+CG657*CH668+CG658*CH667+CG659*CH666+CG660*CH665+CG661*CH664+CG662*CH663+CG663*CH662+CG664*CH661+CG665*CH660+CG666*CH659+CG667*CH658+CG668*CH657+CG669*CH656+CG670*CH655+CG671*CH654+CG672</f>
        <v>5446.1839757968419</v>
      </c>
      <c r="CJ672" s="114">
        <f t="shared" si="1204"/>
        <v>1.6747325371178193E-2</v>
      </c>
      <c r="CK672" s="114"/>
      <c r="CL672" s="169">
        <f t="shared" si="1205"/>
        <v>9.1907916994269437E-3</v>
      </c>
      <c r="CM672" s="169">
        <f t="shared" si="1213"/>
        <v>8.8770477478778611E-3</v>
      </c>
      <c r="CN672" s="114">
        <f>VLOOKUP($H672,RoR!$E:$F,2,FALSE)</f>
        <v>3.7433333333333339E-2</v>
      </c>
      <c r="CO672" s="169">
        <v>1.9056896421275615E-2</v>
      </c>
      <c r="CP672" s="169">
        <f t="shared" si="1211"/>
        <v>1.8376436912057724E-2</v>
      </c>
      <c r="CQ672" s="169">
        <f t="shared" si="1214"/>
        <v>2.2024893860655766E-2</v>
      </c>
      <c r="CR672" s="169">
        <f t="shared" si="1215"/>
        <v>1.3976271617800498E-2</v>
      </c>
      <c r="CS672" s="179">
        <f t="shared" si="1206"/>
        <v>0.90509623210000001</v>
      </c>
      <c r="CT672" s="180">
        <f t="shared" si="1207"/>
        <v>1.3699568463593395</v>
      </c>
      <c r="CU672" s="180">
        <f t="shared" si="1208"/>
        <v>0.30714603739982199</v>
      </c>
      <c r="CV672" s="180">
        <f t="shared" si="1209"/>
        <v>0.77007188472689425</v>
      </c>
      <c r="CW672" s="180">
        <f t="shared" si="1210"/>
        <v>0.32402839633793828</v>
      </c>
      <c r="CX672" s="181">
        <f>INDEX('State Tax Lookup'!$D$7:$Z$91,MATCH(Calculation!$C672,'State Tax Lookup'!$B$7:$B$91,0),MATCH($H672,'State Tax Lookup'!$D$6:$Z$6,0))</f>
        <v>0.25649666999999998</v>
      </c>
      <c r="CY672" s="72">
        <v>0.37</v>
      </c>
      <c r="CZ672" s="70">
        <f t="shared" si="1212"/>
        <v>19.084465281386596</v>
      </c>
      <c r="DA672" s="70">
        <v>18.231812616449311</v>
      </c>
      <c r="DB672" s="69">
        <f t="shared" si="1216"/>
        <v>-0.10467037162063397</v>
      </c>
      <c r="DC672" s="111">
        <f>VLOOKUP($H672,RoR!$E:$F,2,FALSE)</f>
        <v>3.7433333333333339E-2</v>
      </c>
      <c r="DD672" s="216">
        <f>HLOOKUP($H672,'GDP-PI'!$D$8:$CQ$11,3,FALSE)</f>
        <v>1.9056896421275615E-2</v>
      </c>
      <c r="DE672" s="111">
        <f>VLOOKUP(H672,'HW Dx Data'!$E:$F,2,FALSE)</f>
        <v>712.42858370229726</v>
      </c>
      <c r="DF672" s="72">
        <f t="shared" si="1227"/>
        <v>140.44999999999999</v>
      </c>
      <c r="DG672" s="69">
        <f t="shared" si="1228"/>
        <v>2.5235657841165486E-2</v>
      </c>
      <c r="DH672" s="66">
        <f>HLOOKUP(H672,'GDP-PI'!$8:$9,2,FALSE)</f>
        <v>107.751</v>
      </c>
      <c r="DI672" s="69">
        <f t="shared" si="1217"/>
        <v>1.8877588227745139E-2</v>
      </c>
      <c r="EB672"/>
    </row>
    <row r="673" spans="1:132" s="160" customFormat="1" ht="21">
      <c r="A673" s="160" t="s">
        <v>198</v>
      </c>
      <c r="B673" s="161" t="s">
        <v>198</v>
      </c>
      <c r="C673" s="161">
        <v>4057014</v>
      </c>
      <c r="D673" s="161" t="s">
        <v>171</v>
      </c>
      <c r="E673" s="161" t="s">
        <v>3</v>
      </c>
      <c r="F673" s="161"/>
      <c r="G673" s="161" t="s">
        <v>136</v>
      </c>
      <c r="H673" s="162">
        <v>2018</v>
      </c>
      <c r="I673" s="163"/>
      <c r="J673" s="159">
        <f>IFERROR(INDEX('Labor Expenditures'!$F$7:$X$91,MATCH($C673,'Labor Expenditures'!$D$7:$D$91,0),MATCH($G673,'Labor Expenditures'!$F$5:$X$5,0)),"NA")</f>
        <v>56815.364485002305</v>
      </c>
      <c r="K673" s="159">
        <f t="shared" si="1218"/>
        <v>393.32201097267091</v>
      </c>
      <c r="L673" s="165">
        <f t="shared" si="1225"/>
        <v>-6.5348227515722432E-2</v>
      </c>
      <c r="M673" s="76">
        <f t="shared" si="1229"/>
        <v>-1.2567688968349925E-3</v>
      </c>
      <c r="N673" s="62">
        <f t="shared" si="1235"/>
        <v>114.17858241598969</v>
      </c>
      <c r="O673" s="96">
        <f t="shared" si="1230"/>
        <v>-0.37366018223912123</v>
      </c>
      <c r="P673" s="96"/>
      <c r="Q673" s="159">
        <f>IFERROR(INDEX('Non-Labor Expenditures'!$F$7:$AB$91,MATCH($C673,'Non-Labor Expenditures'!$D$7:$D$91,0),MATCH($G673,'Non-Labor Expenditures'!$F$5:$AB$5,0)),"NA")</f>
        <v>82279.259420604008</v>
      </c>
      <c r="R673" s="159">
        <f t="shared" si="1219"/>
        <v>745.81007795910159</v>
      </c>
      <c r="S673" s="165">
        <f t="shared" si="1231"/>
        <v>-6.0846706870239214E-2</v>
      </c>
      <c r="T673" s="165">
        <f t="shared" si="1232"/>
        <v>-1.1701962176549373E-3</v>
      </c>
      <c r="U673" s="165"/>
      <c r="V673" s="165"/>
      <c r="W673" s="159">
        <f t="shared" si="1200"/>
        <v>108430.48405529061</v>
      </c>
      <c r="X673" s="163"/>
      <c r="Y673" s="167">
        <v>5527.9997611345016</v>
      </c>
      <c r="Z673" s="168">
        <v>1.4910867753340497E-2</v>
      </c>
      <c r="AA673" s="76">
        <f t="shared" si="1220"/>
        <v>2.8676393422774279E-4</v>
      </c>
      <c r="AB673" s="168"/>
      <c r="AC673" s="168"/>
      <c r="AD673" s="163">
        <f t="shared" si="1166"/>
        <v>247525.10796089692</v>
      </c>
      <c r="AE673" s="168">
        <f t="shared" si="1233"/>
        <v>3.7959382244713543E-3</v>
      </c>
      <c r="AF673" s="163"/>
      <c r="AG673" s="163"/>
      <c r="AH673" s="163"/>
      <c r="AI673" s="163"/>
      <c r="AJ673" s="116">
        <f t="shared" si="1234"/>
        <v>399.21150896465025</v>
      </c>
      <c r="AK673" s="114">
        <f>+AV673/$AX$23</f>
        <v>1.6598573524156897E-2</v>
      </c>
      <c r="AL673" s="115">
        <f t="shared" si="1221"/>
        <v>0.22953374287176467</v>
      </c>
      <c r="AM673" s="115">
        <f t="shared" si="1222"/>
        <v>0.3324077306678811</v>
      </c>
      <c r="AN673" s="115">
        <f t="shared" si="1223"/>
        <v>0.43805852646035426</v>
      </c>
      <c r="AO673" s="115">
        <f t="shared" si="1226"/>
        <v>-2.9607592861819559E-2</v>
      </c>
      <c r="AP673" s="166">
        <f t="shared" si="1237"/>
        <v>119.31975812736198</v>
      </c>
      <c r="AQ673" s="168">
        <f t="shared" si="1238"/>
        <v>-2.9607592861819538E-2</v>
      </c>
      <c r="AR673" s="69">
        <f>+AD673/$AF$23</f>
        <v>1.9231874292728456E-2</v>
      </c>
      <c r="AS673" s="169">
        <f t="shared" si="1236"/>
        <v>-5.6940950402879764E-4</v>
      </c>
      <c r="AT673" s="115"/>
      <c r="AU673" s="115"/>
      <c r="AV673" s="113">
        <f>IFERROR(INDEX('Total Customers'!$F$7:$AB$91,MATCH($C673,'Total Customers'!$D$7:$D$91,0),MATCH($G673,'Total Customers'!$F$5:$AB$5,0)),"NA")</f>
        <v>620035</v>
      </c>
      <c r="AW673" s="68">
        <f t="shared" si="1195"/>
        <v>1.1724254887252953E-2</v>
      </c>
      <c r="AX673" s="114"/>
      <c r="AY673" s="114"/>
      <c r="AZ673" s="116">
        <v>8911356</v>
      </c>
      <c r="BA673" s="116"/>
      <c r="BB673" s="166"/>
      <c r="BC673" s="166"/>
      <c r="BD673" s="166"/>
      <c r="BE673" s="166"/>
      <c r="BF673" s="166"/>
      <c r="BG673" s="166"/>
      <c r="BH673" s="166"/>
      <c r="BI673" s="113"/>
      <c r="BJ673" s="113"/>
      <c r="BK673" s="113">
        <f>INDEX('Dist. Plant Gas Additions'!$F$7:$AE$91,MATCH($C673,'Dist. Plant Gas Additions'!$D$7:$D$91,0),MATCH(Calculation!$G673,'Dist. Plant Gas Additions'!$F$5:$AE$5,0))</f>
        <v>97827</v>
      </c>
      <c r="BL673" s="113">
        <f>INDEX('Gen. Plant Additions'!$F$7:$AE$91,MATCH($C673,'Gen. Plant Additions'!$D$7:$D$91,0),MATCH(Calculation!$G673,'Gen. Plant Additions'!$F$5:$AE$5,0))</f>
        <v>3134</v>
      </c>
      <c r="BM673" s="231">
        <f t="shared" si="1201"/>
        <v>0.96227909653046984</v>
      </c>
      <c r="BN673" s="61">
        <f t="shared" si="1224"/>
        <v>3015.7826885264926</v>
      </c>
      <c r="BO673" s="113">
        <f>INDEX('Dist Plant Depreciation'!$E$7:$AD$94,MATCH($C673,'Dist Plant Depreciation'!$D$7:$D$94,0),MATCH(Calculation!$G673,'Dist Plant Depreciation'!$E$5:$AD$5,0))</f>
        <v>793728</v>
      </c>
      <c r="BP673" s="113">
        <f>INDEX('Gen. Plant Depreciation'!$E$7:$AD$94,MATCH($C673,'Gen. Plant Depreciation'!$D$7:$D$94,0),MATCH(Calculation!$G673,'Gen. Plant Depreciation'!$E$5:$AD$5,0))</f>
        <v>42178</v>
      </c>
      <c r="BQ673" s="113"/>
      <c r="BR673" s="113"/>
      <c r="BS673" s="113"/>
      <c r="BT673" s="113"/>
      <c r="BU673" s="113"/>
      <c r="BV673" s="113"/>
      <c r="BW673" s="113">
        <f>INDEX('Gross Dx Plant'!$E$7:$AD$91,MATCH($C673,'Gross Dx Plant'!$D$7:$D$91,0),MATCH(Calculation!$G673,'Gross Dx Plant'!$E$5:$AD$5,0))</f>
        <v>2189107</v>
      </c>
      <c r="BX673" s="113">
        <f>INDEX('Gross Gen Plant'!$E$7:$AD$91,MATCH($C673,'Gross Gen Plant'!$D$7:$D$91,0),MATCH(Calculation!$G673,'Gross Gen Plant'!$E$5:$AD$5,0))</f>
        <v>85812</v>
      </c>
      <c r="BY673" s="113">
        <f t="shared" si="1196"/>
        <v>1439013</v>
      </c>
      <c r="BZ673" s="113"/>
      <c r="CA673" s="116">
        <v>2018</v>
      </c>
      <c r="CB673" s="113"/>
      <c r="CC673" s="113"/>
      <c r="CD673" s="113"/>
      <c r="CE673" s="175"/>
      <c r="CF673" s="113">
        <f t="shared" si="1202"/>
        <v>100961</v>
      </c>
      <c r="CG673" s="113">
        <f t="shared" si="1203"/>
        <v>133.69896878607943</v>
      </c>
      <c r="CH673" s="178">
        <v>0.86111111111111116</v>
      </c>
      <c r="CI673" s="61">
        <f>+CI653*CH673++CG654*CH672+CG655*CH671+CG656*CH670+CG657*CH669+CG658*CH668+CG659*CH667+CG660*CH666+CG661*CH665+CG662*CH664+CG663*CH663+CG664*CH662+CG665*CH661+CG666*CH660+CG667*CH659+CG668*CH658+CG669*CH657+CG670*CH656+CG671*CH655+CG672*CH654+CG673</f>
        <v>5527.9997611345016</v>
      </c>
      <c r="CJ673" s="114">
        <f t="shared" si="1204"/>
        <v>1.4910867753340497E-2</v>
      </c>
      <c r="CK673" s="114"/>
      <c r="CL673" s="169">
        <f t="shared" si="1205"/>
        <v>9.5265205286842354E-3</v>
      </c>
      <c r="CM673" s="169">
        <f t="shared" si="1213"/>
        <v>9.193095714131282E-3</v>
      </c>
      <c r="CN673" s="114">
        <f>VLOOKUP($H673,RoR!$E:$F,2,FALSE)</f>
        <v>3.9299999999999995E-2</v>
      </c>
      <c r="CO673" s="169">
        <v>2.386056741932796E-2</v>
      </c>
      <c r="CP673" s="169">
        <f t="shared" si="1211"/>
        <v>1.5439432580672034E-2</v>
      </c>
      <c r="CQ673" s="169">
        <f t="shared" si="1214"/>
        <v>2.1708845894402341E-2</v>
      </c>
      <c r="CR673" s="169">
        <f t="shared" si="1215"/>
        <v>3.8270792163076606E-2</v>
      </c>
      <c r="CS673" s="179">
        <f t="shared" si="1206"/>
        <v>0.90509623210000001</v>
      </c>
      <c r="CT673" s="180">
        <f t="shared" si="1207"/>
        <v>1.3048868010700074</v>
      </c>
      <c r="CU673" s="180">
        <f t="shared" si="1208"/>
        <v>0.33886768447837151</v>
      </c>
      <c r="CV673" s="180">
        <f t="shared" si="1209"/>
        <v>0.78602506232557801</v>
      </c>
      <c r="CW673" s="180">
        <f t="shared" si="1210"/>
        <v>0.34756768162358759</v>
      </c>
      <c r="CX673" s="181">
        <f>INDEX('State Tax Lookup'!$D$7:$Z$91,MATCH(Calculation!$C673,'State Tax Lookup'!$B$7:$B$91,0),MATCH($H673,'State Tax Lookup'!$D$6:$Z$6,0))</f>
        <v>0.25649666999999998</v>
      </c>
      <c r="CY673" s="72">
        <v>0.37</v>
      </c>
      <c r="CZ673" s="70">
        <f t="shared" si="1212"/>
        <v>19.909442012455322</v>
      </c>
      <c r="DA673" s="70">
        <v>19.050901628905343</v>
      </c>
      <c r="DB673" s="69">
        <f t="shared" si="1216"/>
        <v>4.2319424129131339E-2</v>
      </c>
      <c r="DC673" s="111">
        <f>VLOOKUP($H673,RoR!$E:$F,2,FALSE)</f>
        <v>3.9299999999999995E-2</v>
      </c>
      <c r="DD673" s="216">
        <f>HLOOKUP($H673,'GDP-PI'!$D$8:$CQ$11,3,FALSE)</f>
        <v>2.386056741932796E-2</v>
      </c>
      <c r="DE673" s="111">
        <f>VLOOKUP(H673,'HW Dx Data'!$E:$F,2,FALSE)</f>
        <v>755.13671434174842</v>
      </c>
      <c r="DF673" s="72">
        <f t="shared" si="1227"/>
        <v>144.44999999999999</v>
      </c>
      <c r="DG673" s="69">
        <f t="shared" si="1228"/>
        <v>2.80818733619915E-2</v>
      </c>
      <c r="DH673" s="66">
        <f>HLOOKUP(H673,'GDP-PI'!$8:$9,2,FALSE)</f>
        <v>110.322</v>
      </c>
      <c r="DI673" s="69">
        <f t="shared" si="1217"/>
        <v>2.3580352716508712E-2</v>
      </c>
      <c r="EB673"/>
    </row>
    <row r="674" spans="1:132" s="160" customFormat="1" ht="21">
      <c r="A674" s="160" t="s">
        <v>198</v>
      </c>
      <c r="B674" s="161" t="s">
        <v>198</v>
      </c>
      <c r="C674" s="161">
        <v>4057014</v>
      </c>
      <c r="D674" s="161" t="s">
        <v>171</v>
      </c>
      <c r="E674" s="161" t="s">
        <v>3</v>
      </c>
      <c r="F674" s="161"/>
      <c r="G674" s="161" t="s">
        <v>140</v>
      </c>
      <c r="H674" s="162">
        <v>2019</v>
      </c>
      <c r="I674" s="163"/>
      <c r="J674" s="159">
        <f>IFERROR(INDEX('Labor Expenditures'!$F$7:$X$91,MATCH($C674,'Labor Expenditures'!$D$7:$D$91,0),MATCH($G674,'Labor Expenditures'!$F$5:$X$5,0)),"NA")</f>
        <v>57214.058242494357</v>
      </c>
      <c r="K674" s="159">
        <f t="shared" si="1218"/>
        <v>382.25527471183801</v>
      </c>
      <c r="L674" s="165">
        <f t="shared" si="1225"/>
        <v>-2.8539998885281647E-2</v>
      </c>
      <c r="M674" s="76">
        <f t="shared" si="1229"/>
        <v>-5.3979511123890831E-4</v>
      </c>
      <c r="N674" s="62">
        <f t="shared" si="1235"/>
        <v>115.92299904195104</v>
      </c>
      <c r="O674" s="96">
        <f t="shared" si="1230"/>
        <v>1.5162434215444812E-2</v>
      </c>
      <c r="P674" s="96"/>
      <c r="Q674" s="159">
        <f>IFERROR(INDEX('Non-Labor Expenditures'!$F$7:$AB$91,MATCH($C674,'Non-Labor Expenditures'!$D$7:$D$91,0),MATCH($G674,'Non-Labor Expenditures'!$F$5:$AB$5,0)),"NA")</f>
        <v>82856.642447174614</v>
      </c>
      <c r="R674" s="159">
        <f t="shared" si="1219"/>
        <v>737.69691810016752</v>
      </c>
      <c r="S674" s="165">
        <f t="shared" si="1231"/>
        <v>-1.0937920437511977E-2</v>
      </c>
      <c r="T674" s="165">
        <f t="shared" si="1232"/>
        <v>-2.0687583076024497E-4</v>
      </c>
      <c r="U674" s="165"/>
      <c r="V674" s="165"/>
      <c r="W674" s="159">
        <f t="shared" si="1200"/>
        <v>110900.80915431326</v>
      </c>
      <c r="X674" s="163"/>
      <c r="Y674" s="167">
        <v>5612.5567083858814</v>
      </c>
      <c r="Z674" s="168">
        <v>1.5180313706104427E-2</v>
      </c>
      <c r="AA674" s="76">
        <f t="shared" si="1220"/>
        <v>2.8711490699651087E-4</v>
      </c>
      <c r="AB674" s="168"/>
      <c r="AC674" s="168"/>
      <c r="AD674" s="163">
        <f t="shared" si="1166"/>
        <v>250971.50984398223</v>
      </c>
      <c r="AE674" s="168">
        <f t="shared" si="1233"/>
        <v>1.3827402921671623E-2</v>
      </c>
      <c r="AF674" s="163"/>
      <c r="AG674" s="163"/>
      <c r="AH674" s="163"/>
      <c r="AI674" s="163"/>
      <c r="AJ674" s="116">
        <f t="shared" si="1234"/>
        <v>402.27077955460237</v>
      </c>
      <c r="AK674" s="114">
        <f>+AV674/$AX$24</f>
        <v>1.6563951126538082E-2</v>
      </c>
      <c r="AL674" s="115">
        <f t="shared" si="1221"/>
        <v>0.22797033128605626</v>
      </c>
      <c r="AM674" s="115">
        <f t="shared" si="1222"/>
        <v>0.33014361868677</v>
      </c>
      <c r="AN674" s="115">
        <f t="shared" si="1223"/>
        <v>0.44188605002717374</v>
      </c>
      <c r="AO674" s="115">
        <f t="shared" si="1226"/>
        <v>-3.4731324982087593E-3</v>
      </c>
      <c r="AP674" s="166">
        <f t="shared" si="1237"/>
        <v>118.90606362150197</v>
      </c>
      <c r="AQ674" s="168">
        <f t="shared" si="1238"/>
        <v>-3.4731324982088096E-3</v>
      </c>
      <c r="AR674" s="69">
        <f>+AD674/$AF$24</f>
        <v>1.8913634629372247E-2</v>
      </c>
      <c r="AS674" s="169">
        <f t="shared" si="1236"/>
        <v>-6.5689559090520287E-5</v>
      </c>
      <c r="AT674" s="115"/>
      <c r="AU674" s="115"/>
      <c r="AV674" s="113">
        <f>IFERROR(INDEX('Total Customers'!$F$7:$AB$91,MATCH($C674,'Total Customers'!$D$7:$D$91,0),MATCH($G674,'Total Customers'!$F$5:$AB$5,0)),"NA")</f>
        <v>623887</v>
      </c>
      <c r="AW674" s="68">
        <f t="shared" si="1195"/>
        <v>6.1933341684023207E-3</v>
      </c>
      <c r="AX674" s="114"/>
      <c r="AY674" s="114"/>
      <c r="AZ674" s="116">
        <v>8963640</v>
      </c>
      <c r="BA674" s="116"/>
      <c r="BB674" s="166"/>
      <c r="BC674" s="166"/>
      <c r="BD674" s="166"/>
      <c r="BE674" s="166"/>
      <c r="BF674" s="166"/>
      <c r="BG674" s="166"/>
      <c r="BH674" s="166"/>
      <c r="BI674" s="113"/>
      <c r="BJ674" s="113"/>
      <c r="BK674" s="113">
        <f>INDEX('Dist. Plant Gas Additions'!$F$7:$AE$91,MATCH($C674,'Dist. Plant Gas Additions'!$D$7:$D$91,0),MATCH(Calculation!$G674,'Dist. Plant Gas Additions'!$F$5:$AE$5,0))</f>
        <v>101385</v>
      </c>
      <c r="BL674" s="113">
        <f>INDEX('Gen. Plant Additions'!$F$7:$AE$91,MATCH($C674,'Gen. Plant Additions'!$D$7:$D$91,0),MATCH(Calculation!$G674,'Gen. Plant Additions'!$F$5:$AE$5,0))</f>
        <v>6301</v>
      </c>
      <c r="BM674" s="231">
        <f t="shared" si="1201"/>
        <v>0.96189367229267453</v>
      </c>
      <c r="BN674" s="61">
        <f t="shared" si="1224"/>
        <v>6060.8920291161421</v>
      </c>
      <c r="BO674" s="113">
        <f>INDEX('Dist Plant Depreciation'!$E$7:$AD$94,MATCH($C674,'Dist Plant Depreciation'!$D$7:$D$94,0),MATCH(Calculation!$G674,'Dist Plant Depreciation'!$E$5:$AD$5,0))</f>
        <v>819260</v>
      </c>
      <c r="BP674" s="113">
        <f>INDEX('Gen. Plant Depreciation'!$E$7:$AD$94,MATCH($C674,'Gen. Plant Depreciation'!$D$7:$D$94,0),MATCH(Calculation!$G674,'Gen. Plant Depreciation'!$E$5:$AD$5,0))</f>
        <v>44074</v>
      </c>
      <c r="BQ674" s="113"/>
      <c r="BR674" s="113"/>
      <c r="BS674" s="113"/>
      <c r="BT674" s="113"/>
      <c r="BU674" s="113"/>
      <c r="BV674" s="113"/>
      <c r="BW674" s="113">
        <f>INDEX('Gross Dx Plant'!$E$7:$AD$91,MATCH($C674,'Gross Dx Plant'!$D$7:$D$91,0),MATCH(Calculation!$G674,'Gross Dx Plant'!$E$5:$AD$5,0))</f>
        <v>2278325</v>
      </c>
      <c r="BX674" s="113">
        <f>INDEX('Gross Gen Plant'!$E$7:$AD$91,MATCH($C674,'Gross Gen Plant'!$D$7:$D$91,0),MATCH(Calculation!$G674,'Gross Gen Plant'!$E$5:$AD$5,0))</f>
        <v>90258</v>
      </c>
      <c r="BY674" s="113">
        <f t="shared" si="1196"/>
        <v>1505249</v>
      </c>
      <c r="BZ674" s="113"/>
      <c r="CA674" s="116">
        <v>2019</v>
      </c>
      <c r="CB674" s="113"/>
      <c r="CC674" s="113"/>
      <c r="CD674" s="113"/>
      <c r="CE674" s="175"/>
      <c r="CF674" s="113">
        <f t="shared" si="1202"/>
        <v>107686</v>
      </c>
      <c r="CG674" s="113">
        <f t="shared" si="1203"/>
        <v>139.21206108967206</v>
      </c>
      <c r="CH674" s="178">
        <v>0.85106382978723405</v>
      </c>
      <c r="CI674" s="61">
        <f>CI653*CH674+CG654*CH673+CG655*CH672+CG656*CH671+CG657*CH670+CG658*CH669+CG659*CH668+CG660*CH667+CG661*CH666+CG662*CH665+CG663*CH664+CG664*CH663+CG665*CH662+CG666*CH661+CG667*CH660+CG668*CH659+CG669*CH658+CG670*CH657+CG671*CH656+CG672*CH655+CG673*CH654+CG674</f>
        <v>5612.5567083858814</v>
      </c>
      <c r="CJ674" s="114">
        <f t="shared" si="1204"/>
        <v>1.5180313706104427E-2</v>
      </c>
      <c r="CK674" s="114"/>
      <c r="CL674" s="169">
        <f t="shared" si="1205"/>
        <v>9.8869602387745888E-3</v>
      </c>
      <c r="CM674" s="169">
        <f t="shared" si="1213"/>
        <v>9.5347574889619226E-3</v>
      </c>
      <c r="CN674" s="114">
        <f>VLOOKUP($H674,RoR!$E:$F,2,FALSE)</f>
        <v>3.3875000000000009E-2</v>
      </c>
      <c r="CO674" s="169">
        <v>1.8092492884465461E-2</v>
      </c>
      <c r="CP674" s="169">
        <f t="shared" si="1211"/>
        <v>1.5782507115534548E-2</v>
      </c>
      <c r="CQ674" s="169">
        <f t="shared" si="1214"/>
        <v>2.1367184119571704E-2</v>
      </c>
      <c r="CR674" s="169">
        <f t="shared" si="1215"/>
        <v>4.8445665544254078E-2</v>
      </c>
      <c r="CS674" s="179">
        <f t="shared" si="1206"/>
        <v>0.90509623210000001</v>
      </c>
      <c r="CT674" s="180">
        <f t="shared" si="1207"/>
        <v>1.513861292459078</v>
      </c>
      <c r="CU674" s="180">
        <f t="shared" si="1208"/>
        <v>0.23699261992619944</v>
      </c>
      <c r="CV674" s="180">
        <f t="shared" si="1209"/>
        <v>0.73619765810468829</v>
      </c>
      <c r="CW674" s="180">
        <f t="shared" si="1210"/>
        <v>0.26412854465362851</v>
      </c>
      <c r="CX674" s="181">
        <f>INDEX('State Tax Lookup'!$D$7:$Z$91,MATCH(Calculation!$C674,'State Tax Lookup'!$B$7:$B$91,0),MATCH($H674,'State Tax Lookup'!$D$6:$Z$6,0))</f>
        <v>0.25649666999999998</v>
      </c>
      <c r="CY674" s="72">
        <v>0.37</v>
      </c>
      <c r="CZ674" s="70">
        <f t="shared" si="1212"/>
        <v>20.061652305779639</v>
      </c>
      <c r="DA674" s="70">
        <v>19.236104090735289</v>
      </c>
      <c r="DB674" s="69">
        <f t="shared" si="1216"/>
        <v>7.6160551347097261E-3</v>
      </c>
      <c r="DC674" s="111">
        <f>VLOOKUP($H674,RoR!$E:$F,2,FALSE)</f>
        <v>3.3875000000000009E-2</v>
      </c>
      <c r="DD674" s="216">
        <f>HLOOKUP($H674,'GDP-PI'!$D$8:$CQ$11,3,FALSE)</f>
        <v>1.8092492884465461E-2</v>
      </c>
      <c r="DE674" s="111">
        <f>VLOOKUP(H674,'HW Dx Data'!$E:$F,2,FALSE)</f>
        <v>773.53929793938721</v>
      </c>
      <c r="DF674" s="72">
        <f t="shared" si="1227"/>
        <v>149.67500000000001</v>
      </c>
      <c r="DG674" s="69">
        <f t="shared" si="1228"/>
        <v>3.5532849899171604E-2</v>
      </c>
      <c r="DH674" s="66">
        <f>HLOOKUP(H674,'GDP-PI'!$8:$9,2,FALSE)</f>
        <v>112.318</v>
      </c>
      <c r="DI674" s="69">
        <f t="shared" si="1217"/>
        <v>1.7930771451401852E-2</v>
      </c>
      <c r="EB674"/>
    </row>
    <row r="675" spans="1:132" s="160" customFormat="1" ht="21">
      <c r="A675" s="160" t="s">
        <v>198</v>
      </c>
      <c r="B675" s="160" t="s">
        <v>198</v>
      </c>
      <c r="C675" s="160">
        <v>4057014</v>
      </c>
      <c r="D675" s="160" t="s">
        <v>171</v>
      </c>
      <c r="E675" s="160" t="s">
        <v>3</v>
      </c>
      <c r="G675" s="161" t="s">
        <v>141</v>
      </c>
      <c r="H675" s="162">
        <v>2020</v>
      </c>
      <c r="I675" s="163"/>
      <c r="J675" s="159">
        <f>IFERROR(INDEX('Labor Expenditures'!$F$7:$X$91,MATCH($C675,'Labor Expenditures'!$D$7:$D$91,0),MATCH($G675,'Labor Expenditures'!$F$5:$X$5,0)),"NA")</f>
        <v>58929.906502001904</v>
      </c>
      <c r="K675" s="159">
        <f t="shared" si="1218"/>
        <v>384.78554686256547</v>
      </c>
      <c r="L675" s="165">
        <f t="shared" si="1225"/>
        <v>6.5975141283809947E-3</v>
      </c>
      <c r="M675" s="76">
        <f t="shared" si="1229"/>
        <v>1.2574624037292801E-4</v>
      </c>
      <c r="N675" s="62">
        <f t="shared" si="1235"/>
        <v>116.12198455771706</v>
      </c>
      <c r="O675" s="96">
        <f t="shared" si="1230"/>
        <v>1.7150602564588078E-3</v>
      </c>
      <c r="P675" s="96"/>
      <c r="Q675" s="159">
        <f>IFERROR(INDEX('Non-Labor Expenditures'!$F$7:$AB$91,MATCH($C675,'Non-Labor Expenditures'!$D$7:$D$91,0),MATCH($G675,'Non-Labor Expenditures'!$F$5:$AB$5,0)),"NA")</f>
        <v>85341.511203190094</v>
      </c>
      <c r="R675" s="159">
        <f t="shared" si="1219"/>
        <v>751.09362719863134</v>
      </c>
      <c r="S675" s="165">
        <f t="shared" si="1231"/>
        <v>1.7997253864356872E-2</v>
      </c>
      <c r="T675" s="165">
        <f t="shared" si="1232"/>
        <v>3.4302116925293794E-4</v>
      </c>
      <c r="U675" s="165"/>
      <c r="V675" s="165"/>
      <c r="W675" s="159">
        <f t="shared" si="1200"/>
        <v>116405.13396840444</v>
      </c>
      <c r="X675" s="163"/>
      <c r="Y675" s="167">
        <v>5681.2156115717435</v>
      </c>
      <c r="Z675" s="168">
        <v>1.2158868995302212E-2</v>
      </c>
      <c r="AA675" s="76">
        <f t="shared" si="1220"/>
        <v>2.3174365883797018E-4</v>
      </c>
      <c r="AB675" s="168"/>
      <c r="AC675" s="168"/>
      <c r="AD675" s="163">
        <f t="shared" si="1166"/>
        <v>260676.55167359643</v>
      </c>
      <c r="AE675" s="168">
        <f t="shared" si="1233"/>
        <v>3.7940947087907136E-2</v>
      </c>
      <c r="AF675" s="163"/>
      <c r="AG675" s="163"/>
      <c r="AH675" s="163"/>
      <c r="AI675" s="163"/>
      <c r="AJ675" s="116">
        <f t="shared" si="1234"/>
        <v>414.49207301821963</v>
      </c>
      <c r="AK675" s="114">
        <f>+AV675/$AX$25</f>
        <v>1.6579295133339205E-2</v>
      </c>
      <c r="AL675" s="115">
        <f t="shared" si="1221"/>
        <v>0.22606523725920083</v>
      </c>
      <c r="AM675" s="115">
        <f t="shared" si="1222"/>
        <v>0.32738468671340115</v>
      </c>
      <c r="AN675" s="115">
        <f t="shared" si="1223"/>
        <v>0.44655007602739805</v>
      </c>
      <c r="AO675" s="115">
        <f t="shared" si="1226"/>
        <v>1.2815794190471713E-2</v>
      </c>
      <c r="AP675" s="166">
        <f t="shared" si="1237"/>
        <v>120.43974594787167</v>
      </c>
      <c r="AQ675" s="168">
        <f t="shared" si="1238"/>
        <v>1.2815794190471675E-2</v>
      </c>
      <c r="AR675" s="69">
        <f>+AD675/$AF$25</f>
        <v>1.9059639422672317E-2</v>
      </c>
      <c r="AS675" s="169">
        <f t="shared" si="1236"/>
        <v>2.4426441618556881E-4</v>
      </c>
      <c r="AT675" s="115"/>
      <c r="AU675" s="115"/>
      <c r="AV675" s="113">
        <f>IFERROR(INDEX('Total Customers'!$F$7:$AB$91,MATCH($C675,'Total Customers'!$D$7:$D$91,0),MATCH($G675,'Total Customers'!$F$5:$AB$5,0)),"NA")</f>
        <v>628906</v>
      </c>
      <c r="AW675" s="68">
        <f t="shared" si="1195"/>
        <v>8.0125397443199936E-3</v>
      </c>
      <c r="AX675" s="114"/>
      <c r="AY675" s="114"/>
      <c r="AZ675" s="116">
        <v>9060252</v>
      </c>
      <c r="BA675" s="116"/>
      <c r="BB675" s="166"/>
      <c r="BC675" s="166"/>
      <c r="BD675" s="166"/>
      <c r="BE675" s="166"/>
      <c r="BF675" s="166"/>
      <c r="BG675" s="166"/>
      <c r="BH675" s="166"/>
      <c r="BI675" s="113"/>
      <c r="BJ675" s="113"/>
      <c r="BK675" s="113">
        <f>INDEX('Dist. Plant Gas Additions'!$F$7:$AE$91,MATCH($C675,'Dist. Plant Gas Additions'!$D$7:$D$91,0),MATCH(Calculation!$G675,'Dist. Plant Gas Additions'!$F$5:$AE$5,0))</f>
        <v>99009</v>
      </c>
      <c r="BL675" s="113">
        <f>INDEX('Gen. Plant Additions'!$F$7:$AE$91,MATCH($C675,'Gen. Plant Additions'!$D$7:$D$91,0),MATCH(Calculation!$G675,'Gen. Plant Additions'!$F$5:$AE$5,0))</f>
        <v>3655</v>
      </c>
      <c r="BM675" s="231">
        <f t="shared" si="1201"/>
        <v>0.96302601180399017</v>
      </c>
      <c r="BN675" s="61">
        <f t="shared" si="1224"/>
        <v>3519.860073143584</v>
      </c>
      <c r="BO675" s="113">
        <f>INDEX('Dist Plant Depreciation'!$E$7:$AD$94,MATCH($C675,'Dist Plant Depreciation'!$D$7:$D$94,0),MATCH(Calculation!$G675,'Dist Plant Depreciation'!$E$5:$AD$5,0))</f>
        <v>852599</v>
      </c>
      <c r="BP675" s="113">
        <f>INDEX('Gen. Plant Depreciation'!$E$7:$AD$94,MATCH($C675,'Gen. Plant Depreciation'!$D$7:$D$94,0),MATCH(Calculation!$G675,'Gen. Plant Depreciation'!$E$5:$AD$5,0))</f>
        <v>45271</v>
      </c>
      <c r="BQ675" s="113"/>
      <c r="BR675" s="113"/>
      <c r="BS675" s="113"/>
      <c r="BT675" s="113"/>
      <c r="BU675" s="113"/>
      <c r="BV675" s="113"/>
      <c r="BW675" s="113">
        <f>INDEX('Gross Dx Plant'!$E$7:$AD$91,MATCH($C675,'Gross Dx Plant'!$D$7:$D$91,0),MATCH(Calculation!$G675,'Gross Dx Plant'!$E$5:$AD$5,0))</f>
        <v>2368080</v>
      </c>
      <c r="BX675" s="113">
        <f>INDEX('Gross Gen Plant'!$E$7:$AD$91,MATCH($C675,'Gross Gen Plant'!$D$7:$D$91,0),MATCH(Calculation!$G675,'Gross Gen Plant'!$E$5:$AD$5,0))</f>
        <v>90919</v>
      </c>
      <c r="BY675" s="113">
        <f t="shared" si="1196"/>
        <v>1561129</v>
      </c>
      <c r="BZ675" s="113"/>
      <c r="CA675" s="116">
        <v>2020</v>
      </c>
      <c r="CB675" s="113"/>
      <c r="CC675" s="113"/>
      <c r="CD675" s="113"/>
      <c r="CE675" s="175"/>
      <c r="CF675" s="113">
        <f t="shared" si="1202"/>
        <v>102664</v>
      </c>
      <c r="CG675" s="113">
        <f t="shared" si="1203"/>
        <v>126.26553289596211</v>
      </c>
      <c r="CH675" s="178">
        <v>0.84057971014492749</v>
      </c>
      <c r="CI675" s="61">
        <f>CI653*CH675+CG654*CH674+CG655*CH673+CG656*CH672+CG657*CH671+CG658*CH670+CG659*CH669+CG660*CH668+CG661*CH667+CG662*CH666+CG663*CH665+CG664*CH664+CG665*CH663+CG666*CH662+CG667*CH661+CG668*CH660+CG669*CH659+CG670*CH658+CG671*CH657+CG672*CH656+CG673*CH655+CG674*CH654+CG675</f>
        <v>5681.2156115717435</v>
      </c>
      <c r="CJ675" s="114">
        <f t="shared" si="1204"/>
        <v>1.2158868995302212E-2</v>
      </c>
      <c r="CK675" s="114"/>
      <c r="CL675" s="169">
        <f t="shared" si="1205"/>
        <v>1.0263883770479917E-2</v>
      </c>
      <c r="CM675" s="169">
        <f t="shared" si="1213"/>
        <v>9.8924548459795817E-3</v>
      </c>
      <c r="CN675" s="114">
        <f>VLOOKUP($H675,RoR!$E:$F,2,FALSE)</f>
        <v>2.4766666666666666E-2</v>
      </c>
      <c r="CO675" s="169">
        <v>1.1618796630994188E-2</v>
      </c>
      <c r="CP675" s="169">
        <f t="shared" si="1211"/>
        <v>1.3147870035672478E-2</v>
      </c>
      <c r="CQ675" s="169">
        <f t="shared" si="1214"/>
        <v>2.1009486762554042E-2</v>
      </c>
      <c r="CR675" s="169">
        <f t="shared" si="1215"/>
        <v>4.5144642961987357E-2</v>
      </c>
      <c r="CS675" s="179">
        <f t="shared" si="1206"/>
        <v>0.90509623210000001</v>
      </c>
      <c r="CT675" s="180">
        <f t="shared" si="1207"/>
        <v>2.0706077233668081</v>
      </c>
      <c r="CU675" s="180">
        <f t="shared" si="1208"/>
        <v>-3.4421265141318998E-2</v>
      </c>
      <c r="CV675" s="180">
        <f t="shared" si="1209"/>
        <v>0.62416226176410472</v>
      </c>
      <c r="CW675" s="180">
        <f t="shared" si="1210"/>
        <v>-4.4485877841158712E-2</v>
      </c>
      <c r="CX675" s="181">
        <f>INDEX('State Tax Lookup'!$D$7:$Z$91,MATCH(Calculation!$C675,'State Tax Lookup'!$B$7:$B$91,0),MATCH($H675,'State Tax Lookup'!$D$6:$Z$6,0))</f>
        <v>0.25649666999999998</v>
      </c>
      <c r="CY675" s="72">
        <v>0.37</v>
      </c>
      <c r="CZ675" s="70">
        <f t="shared" si="1212"/>
        <v>20.7401261165843</v>
      </c>
      <c r="DA675" s="70">
        <v>19.952659173050833</v>
      </c>
      <c r="DB675" s="69">
        <f t="shared" si="1216"/>
        <v>3.3260136294949193E-2</v>
      </c>
      <c r="DC675" s="111">
        <f>VLOOKUP($H675,RoR!$E:$F,2,FALSE)</f>
        <v>2.4766666666666666E-2</v>
      </c>
      <c r="DD675" s="216">
        <f>HLOOKUP($H675,'GDP-PI'!$D$8:$CQ$11,3,FALSE)</f>
        <v>1.1618796630994188E-2</v>
      </c>
      <c r="DE675" s="111">
        <f>VLOOKUP(H675,'HW Dx Data'!$E:$F,2,FALSE)</f>
        <v>813.080162458833</v>
      </c>
      <c r="DF675" s="72">
        <f t="shared" si="1227"/>
        <v>153.15</v>
      </c>
      <c r="DG675" s="69">
        <f t="shared" si="1228"/>
        <v>2.2951556467368479E-2</v>
      </c>
      <c r="DH675" s="66">
        <f>HLOOKUP(H675,'GDP-PI'!$8:$9,2,FALSE)</f>
        <v>113.623</v>
      </c>
      <c r="DI675" s="69">
        <f t="shared" si="1217"/>
        <v>1.1551816731392881E-2</v>
      </c>
      <c r="EB675"/>
    </row>
    <row r="676" spans="1:132" s="160" customFormat="1" ht="21">
      <c r="A676" s="160" t="s">
        <v>198</v>
      </c>
      <c r="B676" s="160" t="s">
        <v>198</v>
      </c>
      <c r="C676" s="160">
        <v>4057014</v>
      </c>
      <c r="D676" s="160" t="s">
        <v>171</v>
      </c>
      <c r="E676" s="160" t="s">
        <v>3</v>
      </c>
      <c r="G676" s="161" t="s">
        <v>142</v>
      </c>
      <c r="H676" s="162">
        <v>2021</v>
      </c>
      <c r="I676" s="163"/>
      <c r="J676" s="159">
        <v>68612.533024318866</v>
      </c>
      <c r="K676" s="159">
        <f t="shared" si="1218"/>
        <v>436.32771398612954</v>
      </c>
      <c r="L676" s="164">
        <f t="shared" si="1225"/>
        <v>0.1257074406361566</v>
      </c>
      <c r="M676" s="76">
        <f t="shared" si="1229"/>
        <v>2.818491538804666E-3</v>
      </c>
      <c r="N676" s="166">
        <f>+N675*EXP(O676)</f>
        <v>120.17493961096666</v>
      </c>
      <c r="O676" s="114">
        <f t="shared" si="1230"/>
        <v>3.4307281684117528E-2</v>
      </c>
      <c r="P676" s="114"/>
      <c r="Q676" s="159">
        <v>96718.871853557939</v>
      </c>
      <c r="R676" s="159">
        <f t="shared" si="1219"/>
        <v>816.26189428270698</v>
      </c>
      <c r="S676" s="165">
        <f t="shared" si="1231"/>
        <v>8.3204938315304733E-2</v>
      </c>
      <c r="T676" s="165">
        <f t="shared" si="1232"/>
        <v>1.8655412395771815E-3</v>
      </c>
      <c r="U676" s="165"/>
      <c r="V676" s="165"/>
      <c r="W676" s="159">
        <f t="shared" si="1200"/>
        <v>178211.77535224447</v>
      </c>
      <c r="X676" s="163"/>
      <c r="Y676" s="167">
        <v>5868.1316721601634</v>
      </c>
      <c r="Z676" s="168"/>
      <c r="AA676" s="76">
        <f t="shared" si="1220"/>
        <v>0</v>
      </c>
      <c r="AB676" s="168"/>
      <c r="AC676" s="168"/>
      <c r="AD676" s="163">
        <f t="shared" si="1166"/>
        <v>343543.18023012124</v>
      </c>
      <c r="AE676" s="168">
        <f t="shared" si="1233"/>
        <v>0.27603243722024495</v>
      </c>
      <c r="AF676" s="113"/>
      <c r="AG676" s="114"/>
      <c r="AH676" s="114"/>
      <c r="AI676" s="114"/>
      <c r="AJ676" s="116">
        <f t="shared" si="1234"/>
        <v>542.11332962520964</v>
      </c>
      <c r="AK676" s="114">
        <f>+AV676/$AX$26</f>
        <v>1.6414714714333454E-2</v>
      </c>
      <c r="AL676" s="115">
        <f t="shared" si="1221"/>
        <v>0.19972025926510603</v>
      </c>
      <c r="AM676" s="115">
        <f t="shared" si="1222"/>
        <v>0.28153337751828206</v>
      </c>
      <c r="AN676" s="115">
        <f t="shared" si="1223"/>
        <v>0.51874636321661194</v>
      </c>
      <c r="AO676" s="115">
        <f t="shared" si="1226"/>
        <v>5.2094697500768866E-2</v>
      </c>
      <c r="AP676" s="166">
        <f t="shared" si="1237"/>
        <v>126.88032149641371</v>
      </c>
      <c r="AQ676" s="168">
        <f t="shared" si="1238"/>
        <v>5.2094697500768894E-2</v>
      </c>
      <c r="AR676" s="69">
        <f>+AD676/$AF$26</f>
        <v>2.2421039872750358E-2</v>
      </c>
      <c r="AS676" s="169">
        <f t="shared" si="1236"/>
        <v>1.1680172898236077E-3</v>
      </c>
      <c r="AT676" s="115"/>
      <c r="AU676" s="115"/>
      <c r="AV676" s="113">
        <f>INDEX('Total Customers'!$E$7:$E$91,MATCH(Calculation!$C676,'Total Customers'!$D$7:$D$91,0))</f>
        <v>633711</v>
      </c>
      <c r="AW676" s="68">
        <f t="shared" si="1195"/>
        <v>7.6112125788551418E-3</v>
      </c>
      <c r="AX676" s="113"/>
      <c r="AY676" s="113"/>
      <c r="AZ676" s="116"/>
      <c r="BA676" s="116"/>
      <c r="BB676" s="166"/>
      <c r="BC676" s="166"/>
      <c r="BD676" s="166"/>
      <c r="BE676" s="166"/>
      <c r="BF676" s="166"/>
      <c r="BG676" s="166"/>
      <c r="BH676" s="166"/>
      <c r="BI676" s="113"/>
      <c r="BJ676" s="113"/>
      <c r="BK676" s="113">
        <f>INDEX('Dist. Plant Gas Additions'!$E$7:$AE$91,MATCH($C676,'Dist. Plant Gas Additions'!$D$7:$D$91,0),MATCH(Calculation!$G676,'Dist. Plant Gas Additions'!$E$5:$AE$5,0))</f>
        <v>122093</v>
      </c>
      <c r="BL676" s="113">
        <f>INDEX('Gen. Plant Additions'!$E$7:$AE$91,MATCH($C676,'Gen. Plant Additions'!$D$7:$D$91,0),MATCH(Calculation!$G676,'Gen. Plant Additions'!$E$5:$AE$5,0))</f>
        <v>-3554</v>
      </c>
      <c r="BM676" s="232">
        <v>0.96302601180399017</v>
      </c>
      <c r="BN676" s="61">
        <f>+BM676*BL676</f>
        <v>-3422.5944459513812</v>
      </c>
      <c r="BO676" s="113"/>
      <c r="BP676" s="113"/>
      <c r="BQ676" s="175"/>
      <c r="BR676" s="175"/>
      <c r="BS676" s="170"/>
      <c r="BT676" s="176"/>
      <c r="BU676" s="177"/>
      <c r="BV676" s="177"/>
      <c r="BW676" s="113"/>
      <c r="BX676" s="113"/>
      <c r="BY676" s="113"/>
      <c r="BZ676" s="113"/>
      <c r="CA676" s="116">
        <v>2021</v>
      </c>
      <c r="CB676" s="113"/>
      <c r="CC676" s="113"/>
      <c r="CD676" s="113"/>
      <c r="CE676" s="175"/>
      <c r="CF676" s="113">
        <f t="shared" si="1202"/>
        <v>118539</v>
      </c>
      <c r="CG676" s="113">
        <f t="shared" si="1203"/>
        <v>127.0483831842495</v>
      </c>
      <c r="CH676" s="178">
        <f>+(51-23)/(51-23*0.75)</f>
        <v>0.82962962962962961</v>
      </c>
      <c r="CI676" s="113">
        <f>CI653*CH676+CG654*CH675+CG655*CH674+CG656*CH673+CG657*CH672+CG658*CH671+CG659*CH670+CG660*CH669+CG661*CH668+CG662*CH667+CG663*CH666+CG664*CH665+CG665*CH664+CG666*CH663+CG667*CH662+CG658*CH661+CG669*CH660+CG670*CH659+CG671*CH658+CG672*CH657+CG673*CH656+CG674*CH655+CG676+CG675*CH654</f>
        <v>5868.1316721601634</v>
      </c>
      <c r="CJ676" s="114"/>
      <c r="CK676" s="113"/>
      <c r="CL676" s="169">
        <f t="shared" si="1205"/>
        <v>-1.0537828784781437E-2</v>
      </c>
      <c r="CM676" s="169">
        <f t="shared" si="1213"/>
        <v>3.2043384081576897E-3</v>
      </c>
      <c r="CN676" s="114">
        <f>VLOOKUP($H676,RoR!$E:$F,2,FALSE)</f>
        <v>2.7033333333333336E-2</v>
      </c>
      <c r="CO676" s="169"/>
      <c r="CP676" s="169"/>
      <c r="CQ676" s="169">
        <f t="shared" si="1214"/>
        <v>2.7697603200375936E-2</v>
      </c>
      <c r="CR676" s="169">
        <f t="shared" si="1215"/>
        <v>7.433422950153494E-2</v>
      </c>
      <c r="CS676" s="179">
        <f t="shared" si="1206"/>
        <v>0.90509623210000001</v>
      </c>
      <c r="CT676" s="180">
        <f t="shared" si="1207"/>
        <v>1.8969932656739068</v>
      </c>
      <c r="CU676" s="180">
        <f t="shared" si="1208"/>
        <v>5.0215782983970621E-2</v>
      </c>
      <c r="CV676" s="180">
        <f t="shared" si="1209"/>
        <v>0.655952481704143</v>
      </c>
      <c r="CW676" s="180">
        <f t="shared" si="1210"/>
        <v>6.2485378865697057E-2</v>
      </c>
      <c r="CX676" s="181">
        <f>CX675</f>
        <v>0.25649666999999998</v>
      </c>
      <c r="CY676" s="72">
        <v>0.37</v>
      </c>
      <c r="CZ676" s="182">
        <f t="shared" si="1212"/>
        <v>31.368599176073356</v>
      </c>
      <c r="DA676" s="182"/>
      <c r="DB676" s="169">
        <f t="shared" si="1216"/>
        <v>0.41373708269356124</v>
      </c>
      <c r="DC676" s="181">
        <f>VLOOKUP($H676,RoR!$E:$F,2,FALSE)</f>
        <v>2.7033333333333336E-2</v>
      </c>
      <c r="DD676" s="183">
        <f>HLOOKUP($H676,'GDP-PI'!$D$8:$CR$11,3,FALSE)</f>
        <v>4.2834637353352578E-2</v>
      </c>
      <c r="DE676" s="181">
        <f>VLOOKUP(H676,'HW Dx Data'!$E:$F,2,FALSE)</f>
        <v>933.02249921662576</v>
      </c>
      <c r="DF676" s="72">
        <f t="shared" si="1227"/>
        <v>157.25</v>
      </c>
      <c r="DG676" s="69">
        <f t="shared" si="1228"/>
        <v>2.6419062301765574E-2</v>
      </c>
      <c r="DH676" s="175">
        <f>HLOOKUP(H676,'GDP-PI'!$8:$9,2,FALSE)</f>
        <v>118.49</v>
      </c>
      <c r="DI676" s="169">
        <f t="shared" si="1217"/>
        <v>4.194261824609434E-2</v>
      </c>
      <c r="EB676"/>
    </row>
    <row r="677" spans="1:132" s="160" customFormat="1" ht="21">
      <c r="G677" s="161" t="s">
        <v>144</v>
      </c>
      <c r="H677" s="162"/>
      <c r="I677" s="163"/>
      <c r="J677" s="159">
        <v>70775.533229105684</v>
      </c>
      <c r="K677" s="159">
        <f t="shared" si="1218"/>
        <v>435.40777132639607</v>
      </c>
      <c r="L677" s="164">
        <f t="shared" ref="L677" si="1239">LN(K677/K676)</f>
        <v>-2.1106012471307756E-3</v>
      </c>
      <c r="M677" s="76">
        <f t="shared" si="1229"/>
        <v>-4.1692331162454365E-5</v>
      </c>
      <c r="N677" s="166">
        <f>+N676*EXP(O677)</f>
        <v>118.91118511692378</v>
      </c>
      <c r="O677" s="114">
        <f t="shared" si="1230"/>
        <v>-1.0571640367519581E-2</v>
      </c>
      <c r="P677" s="114"/>
      <c r="Q677" s="163">
        <v>99767.920335004412</v>
      </c>
      <c r="R677" s="159">
        <f t="shared" si="1219"/>
        <v>784.03080813362999</v>
      </c>
      <c r="S677" s="165">
        <f t="shared" ref="S677" si="1240">LN(R677/R676)</f>
        <v>-4.0286936679749828E-2</v>
      </c>
      <c r="T677" s="165">
        <f t="shared" si="1232"/>
        <v>-7.9581887287157754E-4</v>
      </c>
      <c r="U677" s="166"/>
      <c r="V677" s="114"/>
      <c r="W677" s="159">
        <f t="shared" si="1200"/>
        <v>150360.37930864494</v>
      </c>
      <c r="X677" s="168"/>
      <c r="Y677" s="167">
        <v>5798.7088047311345</v>
      </c>
      <c r="Z677" s="168">
        <v>-1.1901026152468143E-2</v>
      </c>
      <c r="AA677" s="76">
        <f t="shared" si="1220"/>
        <v>-2.3509013092655863E-4</v>
      </c>
      <c r="AB677" s="166"/>
      <c r="AC677" s="114"/>
      <c r="AD677" s="163">
        <f t="shared" si="1166"/>
        <v>320903.83287275501</v>
      </c>
      <c r="AE677" s="168">
        <f t="shared" si="1233"/>
        <v>-6.8171318220932531E-2</v>
      </c>
      <c r="AF677" s="113"/>
      <c r="AG677" s="114"/>
      <c r="AH677" s="114"/>
      <c r="AI677" s="114"/>
      <c r="AJ677" s="116">
        <f t="shared" si="1234"/>
        <v>504.14327752489658</v>
      </c>
      <c r="AK677" s="114"/>
      <c r="AL677" s="115">
        <f t="shared" si="1221"/>
        <v>0.2205506010804478</v>
      </c>
      <c r="AM677" s="115">
        <f t="shared" si="1222"/>
        <v>0.31089663043870358</v>
      </c>
      <c r="AN677" s="115">
        <f t="shared" si="1223"/>
        <v>0.4685527684808487</v>
      </c>
      <c r="AO677" s="115"/>
      <c r="AP677" s="166"/>
      <c r="AQ677" s="168"/>
      <c r="AR677" s="69">
        <f>+AD677/$AF$27</f>
        <v>1.9753769793859625E-2</v>
      </c>
      <c r="AS677" s="169"/>
      <c r="AT677" s="166"/>
      <c r="AU677" s="168"/>
      <c r="AV677" s="113">
        <v>636533</v>
      </c>
      <c r="AW677" s="68">
        <f t="shared" si="1195"/>
        <v>4.4432481362094538E-3</v>
      </c>
      <c r="AX677" s="113"/>
      <c r="AY677" s="113"/>
      <c r="AZ677" s="113"/>
      <c r="BA677" s="113"/>
      <c r="BB677" s="171"/>
      <c r="BC677" s="172"/>
      <c r="BD677" s="173"/>
      <c r="BE677" s="115"/>
      <c r="BF677" s="174"/>
      <c r="BG677" s="174"/>
      <c r="BH677" s="166"/>
      <c r="BI677" s="113"/>
      <c r="BJ677" s="113"/>
      <c r="BK677" s="113"/>
      <c r="BL677" s="113"/>
      <c r="BM677" s="232">
        <v>0.96302601180399017</v>
      </c>
      <c r="BN677" s="61">
        <f t="shared" ref="BN677:BN689" si="1241">+BM677*BL677</f>
        <v>0</v>
      </c>
      <c r="BO677" s="113"/>
      <c r="BP677" s="113"/>
      <c r="BQ677" s="175"/>
      <c r="BR677" s="175"/>
      <c r="BS677" s="170"/>
      <c r="BT677" s="176"/>
      <c r="BU677" s="177"/>
      <c r="BV677" s="177"/>
      <c r="BW677" s="113"/>
      <c r="BX677" s="113"/>
      <c r="BY677" s="113"/>
      <c r="BZ677" s="113"/>
      <c r="CA677" s="116">
        <v>2022</v>
      </c>
      <c r="CB677" s="113"/>
      <c r="CC677" s="113"/>
      <c r="CD677" s="113"/>
      <c r="CE677" s="175"/>
      <c r="CF677" s="238">
        <v>172561</v>
      </c>
      <c r="CG677" s="113">
        <f>+CF677/DE677</f>
        <v>167.4033041976698</v>
      </c>
      <c r="CH677" s="178">
        <f>+(51-24)/(51-24*0.75)</f>
        <v>0.81818181818181823</v>
      </c>
      <c r="CI677" s="113">
        <f>+CI653*CH677+CG654*CH676+CG655*CH675+CG656*CH674+CG657*CH673+CG658*CH672+CG659*CH671+CG660*CH670+CG661*CH669+CG662*CH668+CG663*CH667+CG664*CH666+CG665*CH665+CG666*CH664+CG667*CH663+CG668*CH662+CG669*CH661+CG670*CH660+CG671*CH659+CG672*CH658+CG673*CH657+CG674*CH656+CG675*CH655+CG676*CH654+CG677*CH653</f>
        <v>5851.1161348889718</v>
      </c>
      <c r="CJ677" s="114">
        <f t="shared" ref="CJ677" si="1242">LN(CI677/CI676)</f>
        <v>-2.9038637134727644E-3</v>
      </c>
      <c r="CK677" s="113"/>
      <c r="CL677" s="169">
        <f t="shared" si="1205"/>
        <v>3.1427181899102388E-2</v>
      </c>
      <c r="CM677" s="169">
        <f t="shared" si="1213"/>
        <v>1.0384412294933624E-2</v>
      </c>
      <c r="CN677" s="114"/>
      <c r="CO677" s="169"/>
      <c r="CP677" s="169"/>
      <c r="CQ677" s="69">
        <f t="shared" si="1214"/>
        <v>2.05175293136E-2</v>
      </c>
      <c r="CR677" s="169">
        <f t="shared" si="1215"/>
        <v>0.10114668178709289</v>
      </c>
      <c r="CS677" s="179">
        <f t="shared" si="1206"/>
        <v>0.90509623210000001</v>
      </c>
      <c r="CT677" s="180"/>
      <c r="CU677" s="180"/>
      <c r="CV677" s="180"/>
      <c r="CW677" s="180"/>
      <c r="CX677" s="181">
        <f>CX676</f>
        <v>0.25649666999999998</v>
      </c>
      <c r="CY677" s="72">
        <v>0.37</v>
      </c>
      <c r="CZ677" s="182">
        <f t="shared" si="1212"/>
        <v>25.623211561865759</v>
      </c>
      <c r="DA677" s="182"/>
      <c r="DB677" s="169">
        <f t="shared" si="1216"/>
        <v>-0.2023087239993856</v>
      </c>
      <c r="DC677" s="181">
        <v>0.04</v>
      </c>
      <c r="DD677" s="183">
        <v>7.0000000000000001E-3</v>
      </c>
      <c r="DE677" s="181">
        <v>1030.81</v>
      </c>
      <c r="DF677" s="72">
        <f t="shared" si="1227"/>
        <v>162.55000000000001</v>
      </c>
      <c r="DG677" s="169">
        <f t="shared" si="1228"/>
        <v>3.3148751169364422E-2</v>
      </c>
      <c r="DH677" s="175">
        <v>127.25</v>
      </c>
      <c r="DI677" s="169">
        <f t="shared" si="1217"/>
        <v>7.1325086601983473E-2</v>
      </c>
      <c r="EB677"/>
    </row>
    <row r="678" spans="1:132" s="160" customFormat="1" ht="21">
      <c r="A678" s="160" t="s">
        <v>199</v>
      </c>
      <c r="B678" s="161" t="s">
        <v>199</v>
      </c>
      <c r="C678" s="161">
        <v>4057130</v>
      </c>
      <c r="D678" s="161" t="s">
        <v>200</v>
      </c>
      <c r="E678" s="161"/>
      <c r="F678" s="161"/>
      <c r="G678" s="161" t="s">
        <v>100</v>
      </c>
      <c r="H678" s="162">
        <v>1998</v>
      </c>
      <c r="I678" s="163"/>
      <c r="J678" s="159"/>
      <c r="K678" s="159"/>
      <c r="L678" s="159"/>
      <c r="M678" s="60"/>
      <c r="N678" s="131"/>
      <c r="O678" s="76"/>
      <c r="P678" s="76"/>
      <c r="Q678" s="165"/>
      <c r="R678" s="165"/>
      <c r="S678" s="165"/>
      <c r="T678" s="159"/>
      <c r="U678" s="165"/>
      <c r="V678" s="165"/>
      <c r="W678" s="159"/>
      <c r="X678" s="163"/>
      <c r="Y678" s="167">
        <v>808.27609406629438</v>
      </c>
      <c r="Z678" s="168"/>
      <c r="AA678" s="78"/>
      <c r="AB678" s="168"/>
      <c r="AC678" s="168"/>
      <c r="AD678" s="163">
        <f t="shared" si="1166"/>
        <v>0</v>
      </c>
      <c r="AE678" s="163"/>
      <c r="AF678" s="163"/>
      <c r="AG678" s="114"/>
      <c r="AH678" s="114"/>
      <c r="AI678" s="114"/>
      <c r="AJ678" s="166">
        <f>+(AJ675+AJ676+AJ677)/3</f>
        <v>486.91622672277526</v>
      </c>
      <c r="AK678" s="168"/>
      <c r="AL678" s="115"/>
      <c r="AM678" s="115"/>
      <c r="AN678" s="115"/>
      <c r="AO678" s="115"/>
      <c r="AP678" s="115"/>
      <c r="AQ678" s="168">
        <f>AVERAGE(AQ687:AQ701)</f>
        <v>2.1278074771663314E-2</v>
      </c>
      <c r="AR678" s="79"/>
      <c r="AS678" s="115"/>
      <c r="AT678" s="115"/>
      <c r="AU678" s="115"/>
      <c r="AV678" s="113">
        <f>IFERROR(INDEX('Total Customers'!$F$7:$AB$91,MATCH($C678,'Total Customers'!$D$7:$D$91,0),MATCH($G678,'Total Customers'!$F$5:$AB$5,0)),"NA")</f>
        <v>143698</v>
      </c>
      <c r="AW678" s="68"/>
      <c r="AX678" s="114"/>
      <c r="AY678" s="114"/>
      <c r="AZ678" s="116"/>
      <c r="BA678" s="116"/>
      <c r="BB678" s="166"/>
      <c r="BC678" s="166"/>
      <c r="BD678" s="166"/>
      <c r="BE678" s="166"/>
      <c r="BF678" s="166"/>
      <c r="BG678" s="166"/>
      <c r="BH678" s="166"/>
      <c r="BI678" s="113">
        <f>INDEX('Gross Dx Plant'!$E$7:$AD$91,MATCH($C678,'Gross Dx Plant'!$D$7:$D$91,0),MATCH(Calculation!$G678,'Gross Dx Plant'!$E$5:$AD$5,0))</f>
        <v>247040</v>
      </c>
      <c r="BJ678" s="113">
        <f>INDEX('Gross Gen Plant'!$E$7:$AD$91,MATCH($C678,'Gross Gen Plant'!$D$7:$D$91,0),MATCH(Calculation!$G678,'Gross Gen Plant'!$E$5:$AD$5,0))</f>
        <v>13559</v>
      </c>
      <c r="BK678" s="113">
        <f>INDEX('Dist. Plant Gas Additions'!$F$7:$AE$91,MATCH($C678,'Dist. Plant Gas Additions'!$D$7:$D$91,0),MATCH(Calculation!$G678,'Dist. Plant Gas Additions'!$F$5:$AE$5,0))</f>
        <v>10025</v>
      </c>
      <c r="BL678" s="113">
        <f>INDEX('Gen. Plant Additions'!$F$7:$AE$91,MATCH($C678,'Gen. Plant Additions'!$D$7:$D$91,0),MATCH(Calculation!$G678,'Gen. Plant Additions'!$F$5:$AE$5,0))</f>
        <v>898</v>
      </c>
      <c r="BM678" s="231">
        <f>+(BW678/(BW678+BX678))</f>
        <v>0.94796986941622952</v>
      </c>
      <c r="BN678" s="61">
        <f t="shared" si="1241"/>
        <v>851.27694273577413</v>
      </c>
      <c r="BO678" s="113">
        <f>INDEX('Dist Plant Depreciation'!$E$7:$AD$94,MATCH($C678,'Dist Plant Depreciation'!$D$7:$D$94,0),MATCH(Calculation!$G678,'Dist Plant Depreciation'!$E$5:$AD$5,0))</f>
        <v>90389</v>
      </c>
      <c r="BP678" s="113">
        <f>INDEX('Gen. Plant Depreciation'!$E$7:$AD$94,MATCH($C678,'Gen. Plant Depreciation'!$D$7:$D$94,0),MATCH(Calculation!$G678,'Gen. Plant Depreciation'!$E$5:$AD$5,0))</f>
        <v>7165</v>
      </c>
      <c r="BQ678" s="113"/>
      <c r="BR678" s="113"/>
      <c r="BS678" s="113"/>
      <c r="BT678" s="113"/>
      <c r="BU678" s="113"/>
      <c r="BV678" s="113"/>
      <c r="BW678" s="113">
        <f>INDEX('Gross Dx Plant'!$E$7:$AD$91,MATCH($C678,'Gross Dx Plant'!$D$7:$D$91,0),MATCH(Calculation!$G678,'Gross Dx Plant'!$E$5:$AD$5,0))</f>
        <v>247040</v>
      </c>
      <c r="BX678" s="113">
        <f>INDEX('Gross Gen Plant'!$E$7:$AD$91,MATCH($C678,'Gross Gen Plant'!$D$7:$D$91,0),MATCH(Calculation!$G678,'Gross Gen Plant'!$E$5:$AD$5,0))</f>
        <v>13559</v>
      </c>
      <c r="BY678" s="113">
        <f t="shared" si="1196"/>
        <v>163045</v>
      </c>
      <c r="BZ678" s="113"/>
      <c r="CA678" s="116">
        <v>1998</v>
      </c>
      <c r="CB678" s="113">
        <f>BI678+BJ678</f>
        <v>260599</v>
      </c>
      <c r="CC678" s="113">
        <f>90389+7165</f>
        <v>97554</v>
      </c>
      <c r="CD678" s="113">
        <f>+CB678-CC678</f>
        <v>163045</v>
      </c>
      <c r="CE678" s="113">
        <f>CD678/$BV$3</f>
        <v>808.27609406629438</v>
      </c>
      <c r="CF678" s="175"/>
      <c r="CG678" s="175"/>
      <c r="CH678" s="178">
        <v>1</v>
      </c>
      <c r="CI678" s="113">
        <f>+CE678</f>
        <v>808.27609406629438</v>
      </c>
      <c r="CJ678" s="114"/>
      <c r="CK678" s="114"/>
      <c r="CL678" s="169"/>
      <c r="CM678" s="169"/>
      <c r="CN678" s="114" t="e">
        <f>VLOOKUP($H678,RoR!$E:$F,2,FALSE)</f>
        <v>#N/A</v>
      </c>
      <c r="CO678" s="169">
        <v>1.1028127770464469E-2</v>
      </c>
      <c r="CP678" s="169"/>
      <c r="CQ678" s="69">
        <f t="shared" si="1214"/>
        <v>3.0901941608533625E-2</v>
      </c>
      <c r="CR678" s="169"/>
      <c r="CS678" s="179">
        <f t="shared" si="1206"/>
        <v>0.90509623210000001</v>
      </c>
      <c r="CT678" s="180"/>
      <c r="CU678" s="180"/>
      <c r="CV678" s="180"/>
      <c r="CW678" s="180"/>
      <c r="CX678" s="181">
        <f>CX677</f>
        <v>0.25649666999999998</v>
      </c>
      <c r="CY678" s="72">
        <v>0.37</v>
      </c>
      <c r="CZ678" s="182">
        <f t="shared" si="1212"/>
        <v>12.385617077888138</v>
      </c>
      <c r="DA678" s="66"/>
      <c r="DB678" s="69"/>
      <c r="DC678" s="111" t="e">
        <f>VLOOKUP($H678,RoR!$E:$F,2,FALSE)</f>
        <v>#N/A</v>
      </c>
      <c r="DD678" s="216">
        <f>HLOOKUP($H678,'GDP-PI'!$D$8:$CQ$11,3,FALSE)</f>
        <v>1.1028127770464469E-2</v>
      </c>
      <c r="DE678" s="111">
        <f>VLOOKUP(H678,'HW Dx Data'!$E:$F,2,FALSE)</f>
        <v>329.24564746449528</v>
      </c>
      <c r="DF678" s="72" t="e">
        <f t="shared" si="1227"/>
        <v>#N/A</v>
      </c>
      <c r="DG678" s="169" t="e">
        <f t="shared" si="1228"/>
        <v>#N/A</v>
      </c>
      <c r="DH678" s="66">
        <f>HLOOKUP(H678,'GDP-PI'!$8:$9,2,FALSE)</f>
        <v>75.266999999999996</v>
      </c>
      <c r="DI678"/>
      <c r="EB678"/>
    </row>
    <row r="679" spans="1:132" s="160" customFormat="1" ht="21">
      <c r="A679" s="160" t="s">
        <v>199</v>
      </c>
      <c r="B679" s="161" t="s">
        <v>199</v>
      </c>
      <c r="C679" s="161">
        <v>4057130</v>
      </c>
      <c r="D679" s="161" t="s">
        <v>200</v>
      </c>
      <c r="E679" s="161"/>
      <c r="F679" s="161"/>
      <c r="G679" s="161" t="s">
        <v>106</v>
      </c>
      <c r="H679" s="162">
        <v>1999</v>
      </c>
      <c r="I679" s="163"/>
      <c r="J679" s="159"/>
      <c r="K679" s="163"/>
      <c r="L679" s="163"/>
      <c r="M679" s="60"/>
      <c r="N679" s="152"/>
      <c r="O679" s="60"/>
      <c r="P679" s="59"/>
      <c r="Q679" s="169"/>
      <c r="R679" s="169"/>
      <c r="S679" s="169"/>
      <c r="T679" s="187"/>
      <c r="U679" s="169"/>
      <c r="V679" s="169"/>
      <c r="W679" s="159">
        <f t="shared" ref="W679:W702" si="1243">+CI678*CZ679</f>
        <v>0</v>
      </c>
      <c r="X679" s="163"/>
      <c r="Y679" s="167">
        <v>837.18108636761121</v>
      </c>
      <c r="Z679" s="168">
        <v>3.5136698050658277E-2</v>
      </c>
      <c r="AA679" s="78"/>
      <c r="AB679" s="168"/>
      <c r="AC679" s="168"/>
      <c r="AD679" s="163">
        <f t="shared" si="1166"/>
        <v>0</v>
      </c>
      <c r="AE679" s="168"/>
      <c r="AF679" s="163"/>
      <c r="AG679" s="114"/>
      <c r="AH679" s="114"/>
      <c r="AI679" s="114"/>
      <c r="AJ679" s="167"/>
      <c r="AK679" s="168"/>
      <c r="AL679" s="115"/>
      <c r="AM679" s="115"/>
      <c r="AN679" s="115"/>
      <c r="AO679" s="115"/>
      <c r="AP679" s="115"/>
      <c r="AQ679" s="168"/>
      <c r="AR679" s="79"/>
      <c r="AS679" s="115"/>
      <c r="AT679" s="115"/>
      <c r="AU679" s="115"/>
      <c r="AV679" s="113">
        <f>IFERROR(INDEX('Total Customers'!$F$7:$AB$91,MATCH($C679,'Total Customers'!$D$7:$D$91,0),MATCH($G679,'Total Customers'!$F$5:$AB$5,0)),"NA")</f>
        <v>146606</v>
      </c>
      <c r="AW679" s="68">
        <f t="shared" si="1195"/>
        <v>2.0034841205799306E-2</v>
      </c>
      <c r="AX679" s="114"/>
      <c r="AY679" s="114"/>
      <c r="AZ679" s="116"/>
      <c r="BA679" s="116"/>
      <c r="BB679" s="166"/>
      <c r="BC679" s="166"/>
      <c r="BD679" s="166"/>
      <c r="BE679" s="166"/>
      <c r="BF679" s="166"/>
      <c r="BG679" s="166"/>
      <c r="BH679" s="166"/>
      <c r="BI679" s="113"/>
      <c r="BJ679" s="113"/>
      <c r="BK679" s="113">
        <f>INDEX('Dist. Plant Gas Additions'!$F$7:$AE$91,MATCH($C679,'Dist. Plant Gas Additions'!$D$7:$D$91,0),MATCH(Calculation!$G679,'Dist. Plant Gas Additions'!$F$5:$AE$5,0))</f>
        <v>10053</v>
      </c>
      <c r="BL679" s="113">
        <f>INDEX('Gen. Plant Additions'!$F$7:$AE$91,MATCH($C679,'Gen. Plant Additions'!$D$7:$D$91,0),MATCH(Calculation!$G679,'Gen. Plant Additions'!$F$5:$AE$5,0))</f>
        <v>988</v>
      </c>
      <c r="BM679" s="231">
        <f t="shared" ref="BM679:BM700" si="1244">+(BW679/(BW679+BX679))</f>
        <v>0.94780855118314189</v>
      </c>
      <c r="BN679" s="61">
        <f t="shared" si="1241"/>
        <v>936.43484856894418</v>
      </c>
      <c r="BO679" s="113">
        <f>INDEX('Dist Plant Depreciation'!$E$7:$AD$94,MATCH($C679,'Dist Plant Depreciation'!$D$7:$D$94,0),MATCH(Calculation!$G679,'Dist Plant Depreciation'!$E$5:$AD$5,0))</f>
        <v>96082</v>
      </c>
      <c r="BP679" s="113">
        <f>INDEX('Gen. Plant Depreciation'!$E$7:$AD$94,MATCH($C679,'Gen. Plant Depreciation'!$D$7:$D$94,0),MATCH(Calculation!$G679,'Gen. Plant Depreciation'!$E$5:$AD$5,0))</f>
        <v>7879</v>
      </c>
      <c r="BQ679" s="113"/>
      <c r="BR679" s="113"/>
      <c r="BS679" s="113"/>
      <c r="BT679" s="113"/>
      <c r="BU679" s="113"/>
      <c r="BV679" s="113"/>
      <c r="BW679" s="113">
        <f>INDEX('Gross Dx Plant'!$E$7:$AD$91,MATCH($C679,'Gross Dx Plant'!$D$7:$D$91,0),MATCH(Calculation!$G679,'Gross Dx Plant'!$E$5:$AD$5,0))</f>
        <v>256150</v>
      </c>
      <c r="BX679" s="113">
        <f>INDEX('Gross Gen Plant'!$E$7:$AD$91,MATCH($C679,'Gross Gen Plant'!$D$7:$D$91,0),MATCH(Calculation!$G679,'Gross Gen Plant'!$E$5:$AD$5,0))</f>
        <v>14105</v>
      </c>
      <c r="BY679" s="113">
        <f t="shared" si="1196"/>
        <v>166294</v>
      </c>
      <c r="BZ679" s="113"/>
      <c r="CA679" s="116">
        <v>1999</v>
      </c>
      <c r="CB679" s="113"/>
      <c r="CC679" s="113"/>
      <c r="CD679" s="113"/>
      <c r="CE679" s="175"/>
      <c r="CF679" s="113">
        <f t="shared" ref="CF679:CF701" si="1245">+BL679+BK679</f>
        <v>11041</v>
      </c>
      <c r="CG679" s="113">
        <f t="shared" ref="CG679:CG701" si="1246">+CF679/$DE679</f>
        <v>32.926266401149185</v>
      </c>
      <c r="CH679" s="178">
        <v>0.99502487562189057</v>
      </c>
      <c r="CI679" s="61">
        <f>+CI678*CH679+CG679</f>
        <v>837.18108636761121</v>
      </c>
      <c r="CJ679" s="114">
        <f t="shared" ref="CJ679:CJ700" si="1247">LN(CI679/CI678)</f>
        <v>3.5136698050658277E-2</v>
      </c>
      <c r="CK679" s="114"/>
      <c r="CL679" s="169">
        <f t="shared" ref="CL679:CL702" si="1248">+(CI678-CI679+CG679)/CI678</f>
        <v>4.9751243781094977E-3</v>
      </c>
      <c r="CM679" s="169"/>
      <c r="CN679" s="114">
        <f>VLOOKUP($H679,RoR!$E:$F,2,FALSE)</f>
        <v>7.0416666666666669E-2</v>
      </c>
      <c r="CO679" s="169">
        <v>1.4335631817396832E-2</v>
      </c>
      <c r="CP679" s="169">
        <f>+CN679-CO679</f>
        <v>5.6081034849269837E-2</v>
      </c>
      <c r="CQ679" s="169"/>
      <c r="CR679" s="169"/>
      <c r="CS679" s="179">
        <f t="shared" ref="CS679:CS703" si="1249">1-CX679*CY679</f>
        <v>0.85171695000000003</v>
      </c>
      <c r="CT679" s="180">
        <f t="shared" ref="CT679:CT701" si="1250">2/(DC679*39)</f>
        <v>0.72826581702321336</v>
      </c>
      <c r="CU679" s="180">
        <f t="shared" ref="CU679:CU701" si="1251">+(DC679*40-(1+DC679))/(DC679*40)</f>
        <v>0.61997041420118348</v>
      </c>
      <c r="CV679" s="180">
        <f t="shared" ref="CV679:CV701" si="1252">+(1-(1/(1+DC679)^40))</f>
        <v>0.93425155319585029</v>
      </c>
      <c r="CW679" s="180">
        <f t="shared" ref="CW679:CW701" si="1253">+CV679*CU679*CT679</f>
        <v>0.42181762214141483</v>
      </c>
      <c r="CX679" s="181">
        <f>INDEX('State Tax Lookup'!$D$7:$Z$91,MATCH(Calculation!$C679,'State Tax Lookup'!$B$7:$B$91,0),MATCH($H679,'State Tax Lookup'!$D$6:$Z$6,0))</f>
        <v>0.40076499999999998</v>
      </c>
      <c r="CY679" s="72">
        <v>0.37</v>
      </c>
      <c r="CZ679" s="70"/>
      <c r="DA679" s="70"/>
      <c r="DB679" s="69"/>
      <c r="DC679" s="111">
        <f>VLOOKUP($H679,RoR!$E:$F,2,FALSE)</f>
        <v>7.0416666666666669E-2</v>
      </c>
      <c r="DD679" s="216">
        <f>HLOOKUP($H679,'GDP-PI'!$D$8:$CQ$11,3,FALSE)</f>
        <v>1.4335631817396832E-2</v>
      </c>
      <c r="DE679" s="111">
        <f>VLOOKUP(H679,'HW Dx Data'!$E:$F,2,FALSE)</f>
        <v>335.32499146683239</v>
      </c>
      <c r="DF679" s="66"/>
      <c r="DG679" s="69"/>
      <c r="DH679" s="66">
        <f>HLOOKUP(H679,'GDP-PI'!$8:$9,2,FALSE)</f>
        <v>76.346000000000004</v>
      </c>
      <c r="DI679"/>
      <c r="EB679"/>
    </row>
    <row r="680" spans="1:132" s="160" customFormat="1" ht="21">
      <c r="A680" s="160" t="s">
        <v>199</v>
      </c>
      <c r="B680" s="161" t="s">
        <v>199</v>
      </c>
      <c r="C680" s="161">
        <v>4057130</v>
      </c>
      <c r="D680" s="161" t="s">
        <v>200</v>
      </c>
      <c r="E680" s="161"/>
      <c r="F680" s="161"/>
      <c r="G680" s="161" t="s">
        <v>107</v>
      </c>
      <c r="H680" s="162">
        <v>2000</v>
      </c>
      <c r="I680" s="163"/>
      <c r="J680" s="159"/>
      <c r="K680" s="159"/>
      <c r="L680" s="159"/>
      <c r="M680" s="60"/>
      <c r="N680" s="152"/>
      <c r="O680" s="60"/>
      <c r="P680" s="60"/>
      <c r="Q680" s="159"/>
      <c r="R680" s="159"/>
      <c r="S680" s="159"/>
      <c r="T680" s="159"/>
      <c r="U680" s="159"/>
      <c r="V680" s="159"/>
      <c r="W680" s="159">
        <f t="shared" si="1243"/>
        <v>0</v>
      </c>
      <c r="X680" s="163"/>
      <c r="Y680" s="167">
        <v>868.65998268516068</v>
      </c>
      <c r="Z680" s="168">
        <v>3.6911375674827732E-2</v>
      </c>
      <c r="AA680" s="78"/>
      <c r="AB680" s="168"/>
      <c r="AC680" s="168"/>
      <c r="AD680" s="163">
        <f t="shared" si="1166"/>
        <v>0</v>
      </c>
      <c r="AE680" s="168"/>
      <c r="AF680" s="163"/>
      <c r="AG680" s="163"/>
      <c r="AH680" s="163"/>
      <c r="AI680" s="163"/>
      <c r="AJ680" s="167"/>
      <c r="AK680" s="168"/>
      <c r="AL680" s="115"/>
      <c r="AM680" s="115"/>
      <c r="AN680" s="115"/>
      <c r="AO680" s="115"/>
      <c r="AP680" s="115"/>
      <c r="AQ680" s="168"/>
      <c r="AR680" s="79"/>
      <c r="AS680" s="115"/>
      <c r="AT680" s="115"/>
      <c r="AU680" s="115"/>
      <c r="AV680" s="113">
        <f>IFERROR(INDEX('Total Customers'!$F$7:$AB$91,MATCH($C680,'Total Customers'!$D$7:$D$91,0),MATCH($G680,'Total Customers'!$F$5:$AB$5,0)),"NA")</f>
        <v>149033</v>
      </c>
      <c r="AW680" s="68">
        <f t="shared" si="1195"/>
        <v>1.6419041623782271E-2</v>
      </c>
      <c r="AX680" s="114"/>
      <c r="AY680" s="114"/>
      <c r="AZ680" s="116"/>
      <c r="BA680" s="116"/>
      <c r="BB680" s="166"/>
      <c r="BC680" s="166"/>
      <c r="BD680" s="166"/>
      <c r="BE680" s="166"/>
      <c r="BF680" s="166"/>
      <c r="BG680" s="166"/>
      <c r="BH680" s="166"/>
      <c r="BI680" s="113"/>
      <c r="BJ680" s="113"/>
      <c r="BK680" s="113">
        <f>INDEX('Dist. Plant Gas Additions'!$F$7:$AE$91,MATCH($C680,'Dist. Plant Gas Additions'!$D$7:$D$91,0),MATCH(Calculation!$G680,'Dist. Plant Gas Additions'!$F$5:$AE$5,0))</f>
        <v>10573</v>
      </c>
      <c r="BL680" s="113">
        <f>INDEX('Gen. Plant Additions'!$F$7:$AE$91,MATCH($C680,'Gen. Plant Additions'!$D$7:$D$91,0),MATCH(Calculation!$G680,'Gen. Plant Additions'!$F$5:$AE$5,0))</f>
        <v>1828</v>
      </c>
      <c r="BM680" s="231">
        <f t="shared" si="1244"/>
        <v>0.94587633456711395</v>
      </c>
      <c r="BN680" s="61">
        <f t="shared" si="1241"/>
        <v>1729.0619395886843</v>
      </c>
      <c r="BO680" s="113">
        <f>INDEX('Dist Plant Depreciation'!$E$7:$AD$94,MATCH($C680,'Dist Plant Depreciation'!$D$7:$D$94,0),MATCH(Calculation!$G680,'Dist Plant Depreciation'!$E$5:$AD$5,0))</f>
        <v>101270</v>
      </c>
      <c r="BP680" s="113">
        <f>INDEX('Gen. Plant Depreciation'!$E$7:$AD$94,MATCH($C680,'Gen. Plant Depreciation'!$D$7:$D$94,0),MATCH(Calculation!$G680,'Gen. Plant Depreciation'!$E$5:$AD$5,0))</f>
        <v>8211</v>
      </c>
      <c r="BQ680" s="113"/>
      <c r="BR680" s="113"/>
      <c r="BS680" s="113"/>
      <c r="BT680" s="113"/>
      <c r="BU680" s="113"/>
      <c r="BV680" s="113"/>
      <c r="BW680" s="113">
        <f>INDEX('Gross Dx Plant'!$E$7:$AD$91,MATCH($C680,'Gross Dx Plant'!$D$7:$D$91,0),MATCH(Calculation!$G680,'Gross Dx Plant'!$E$5:$AD$5,0))</f>
        <v>265516</v>
      </c>
      <c r="BX680" s="113">
        <f>INDEX('Gross Gen Plant'!$E$7:$AD$91,MATCH($C680,'Gross Gen Plant'!$D$7:$D$91,0),MATCH(Calculation!$G680,'Gross Gen Plant'!$E$5:$AD$5,0))</f>
        <v>15193</v>
      </c>
      <c r="BY680" s="113">
        <f t="shared" si="1196"/>
        <v>171228</v>
      </c>
      <c r="BZ680" s="113"/>
      <c r="CA680" s="116">
        <v>2000</v>
      </c>
      <c r="CB680" s="113"/>
      <c r="CC680" s="113"/>
      <c r="CD680" s="113"/>
      <c r="CE680" s="175"/>
      <c r="CF680" s="113">
        <f t="shared" si="1245"/>
        <v>12401</v>
      </c>
      <c r="CG680" s="113">
        <f t="shared" si="1246"/>
        <v>35.785839478938243</v>
      </c>
      <c r="CH680" s="178">
        <v>0.98989898989898994</v>
      </c>
      <c r="CI680" s="61">
        <f>+CI678*CH680+CG679*CH679+CG680</f>
        <v>868.65998268516068</v>
      </c>
      <c r="CJ680" s="114">
        <f t="shared" si="1247"/>
        <v>3.6911375674827732E-2</v>
      </c>
      <c r="CK680" s="114"/>
      <c r="CL680" s="169">
        <f t="shared" si="1248"/>
        <v>5.1445777162452142E-3</v>
      </c>
      <c r="CM680" s="169"/>
      <c r="CN680" s="114">
        <f>VLOOKUP($H680,RoR!$E:$F,2,FALSE)</f>
        <v>7.6225000000000001E-2</v>
      </c>
      <c r="CO680" s="169">
        <v>2.2568307442433211E-2</v>
      </c>
      <c r="CP680" s="169">
        <f t="shared" ref="CP680:CP700" si="1254">+CN680-CO680</f>
        <v>5.365669255756679E-2</v>
      </c>
      <c r="CQ680" s="169"/>
      <c r="CR680" s="169"/>
      <c r="CS680" s="179">
        <f t="shared" si="1249"/>
        <v>0.85171695000000003</v>
      </c>
      <c r="CT680" s="180">
        <f t="shared" si="1250"/>
        <v>0.67277207323124022</v>
      </c>
      <c r="CU680" s="180">
        <f t="shared" si="1251"/>
        <v>0.6470236142997704</v>
      </c>
      <c r="CV680" s="180">
        <f t="shared" si="1252"/>
        <v>0.94704866037543145</v>
      </c>
      <c r="CW680" s="180">
        <f t="shared" si="1253"/>
        <v>0.41224973107878493</v>
      </c>
      <c r="CX680" s="181">
        <f>INDEX('State Tax Lookup'!$D$7:$Z$91,MATCH(Calculation!$C680,'State Tax Lookup'!$B$7:$B$91,0),MATCH($H680,'State Tax Lookup'!$D$6:$Z$6,0))</f>
        <v>0.40076499999999998</v>
      </c>
      <c r="CY680" s="72">
        <v>0.37</v>
      </c>
      <c r="CZ680" s="70"/>
      <c r="DA680" s="70"/>
      <c r="DB680" s="69"/>
      <c r="DC680" s="111">
        <f>VLOOKUP($H680,RoR!$E:$F,2,FALSE)</f>
        <v>7.6225000000000001E-2</v>
      </c>
      <c r="DD680" s="216">
        <f>HLOOKUP($H680,'GDP-PI'!$D$8:$CQ$11,3,FALSE)</f>
        <v>2.2568307442433211E-2</v>
      </c>
      <c r="DE680" s="111">
        <f>VLOOKUP(H680,'HW Dx Data'!$E:$F,2,FALSE)</f>
        <v>346.53371782150339</v>
      </c>
      <c r="DF680" s="66"/>
      <c r="DG680" s="69"/>
      <c r="DH680" s="66">
        <f>HLOOKUP(H680,'GDP-PI'!$8:$9,2,FALSE)</f>
        <v>78.069000000000003</v>
      </c>
      <c r="DI680"/>
      <c r="EB680"/>
    </row>
    <row r="681" spans="1:132" s="160" customFormat="1" ht="21">
      <c r="A681" s="160" t="s">
        <v>199</v>
      </c>
      <c r="B681" s="161" t="s">
        <v>199</v>
      </c>
      <c r="C681" s="161">
        <v>4057130</v>
      </c>
      <c r="D681" s="161" t="s">
        <v>200</v>
      </c>
      <c r="E681" s="161"/>
      <c r="F681" s="161"/>
      <c r="G681" s="161" t="s">
        <v>111</v>
      </c>
      <c r="H681" s="162">
        <v>2001</v>
      </c>
      <c r="I681" s="163"/>
      <c r="J681" s="159"/>
      <c r="K681" s="159"/>
      <c r="L681" s="159"/>
      <c r="M681" s="60"/>
      <c r="N681" s="152"/>
      <c r="O681" s="60"/>
      <c r="P681" s="60"/>
      <c r="Q681" s="159"/>
      <c r="R681" s="159"/>
      <c r="S681" s="159"/>
      <c r="T681" s="159"/>
      <c r="U681" s="159"/>
      <c r="V681" s="159"/>
      <c r="W681" s="159">
        <f t="shared" si="1243"/>
        <v>11240.224369490466</v>
      </c>
      <c r="X681" s="163"/>
      <c r="Y681" s="167">
        <v>884.83186630911916</v>
      </c>
      <c r="Z681" s="168">
        <v>1.8445870930196343E-2</v>
      </c>
      <c r="AA681" s="78"/>
      <c r="AB681" s="168"/>
      <c r="AC681" s="168"/>
      <c r="AD681" s="163">
        <f t="shared" si="1166"/>
        <v>11240.224369490466</v>
      </c>
      <c r="AE681" s="168"/>
      <c r="AF681" s="163"/>
      <c r="AG681" s="163"/>
      <c r="AH681" s="163"/>
      <c r="AI681" s="163"/>
      <c r="AJ681" s="167"/>
      <c r="AK681" s="168"/>
      <c r="AL681" s="115"/>
      <c r="AM681" s="115"/>
      <c r="AN681" s="115"/>
      <c r="AO681" s="115"/>
      <c r="AP681" s="115"/>
      <c r="AQ681" s="168"/>
      <c r="AR681" s="79"/>
      <c r="AS681" s="115"/>
      <c r="AT681" s="115"/>
      <c r="AU681" s="115"/>
      <c r="AV681" s="113">
        <f>IFERROR(INDEX('Total Customers'!$F$7:$AB$91,MATCH($C681,'Total Customers'!$D$7:$D$91,0),MATCH($G681,'Total Customers'!$F$5:$AB$5,0)),"NA")</f>
        <v>150213</v>
      </c>
      <c r="AW681" s="68">
        <f t="shared" si="1195"/>
        <v>7.8865289164451458E-3</v>
      </c>
      <c r="AX681" s="114"/>
      <c r="AY681" s="114"/>
      <c r="AZ681" s="116"/>
      <c r="BA681" s="116"/>
      <c r="BB681" s="166"/>
      <c r="BC681" s="166"/>
      <c r="BD681" s="166"/>
      <c r="BE681" s="166"/>
      <c r="BF681" s="166"/>
      <c r="BG681" s="166"/>
      <c r="BH681" s="166"/>
      <c r="BI681" s="113"/>
      <c r="BJ681" s="113"/>
      <c r="BK681" s="113">
        <f>INDEX('Dist. Plant Gas Additions'!$F$7:$AE$91,MATCH($C681,'Dist. Plant Gas Additions'!$D$7:$D$91,0),MATCH(Calculation!$G681,'Dist. Plant Gas Additions'!$F$5:$AE$5,0))</f>
        <v>6639</v>
      </c>
      <c r="BL681" s="113">
        <f>INDEX('Gen. Plant Additions'!$F$7:$AE$91,MATCH($C681,'Gen. Plant Additions'!$D$7:$D$91,0),MATCH(Calculation!$G681,'Gen. Plant Additions'!$F$5:$AE$5,0))</f>
        <v>646</v>
      </c>
      <c r="BM681" s="231">
        <f t="shared" si="1244"/>
        <v>0.94732100769915673</v>
      </c>
      <c r="BN681" s="61">
        <f t="shared" si="1241"/>
        <v>611.96937097365526</v>
      </c>
      <c r="BO681" s="113">
        <f>INDEX('Dist Plant Depreciation'!$E$7:$AD$94,MATCH($C681,'Dist Plant Depreciation'!$D$7:$D$94,0),MATCH(Calculation!$G681,'Dist Plant Depreciation'!$E$5:$AD$5,0))</f>
        <v>105452</v>
      </c>
      <c r="BP681" s="113">
        <f>INDEX('Gen. Plant Depreciation'!$E$7:$AD$94,MATCH($C681,'Gen. Plant Depreciation'!$D$7:$D$94,0),MATCH(Calculation!$G681,'Gen. Plant Depreciation'!$E$5:$AD$5,0))</f>
        <v>8356</v>
      </c>
      <c r="BQ681" s="113"/>
      <c r="BR681" s="113"/>
      <c r="BS681" s="113"/>
      <c r="BT681" s="113"/>
      <c r="BU681" s="113"/>
      <c r="BV681" s="113"/>
      <c r="BW681" s="113">
        <f>INDEX('Gross Dx Plant'!$E$7:$AD$91,MATCH($C681,'Gross Dx Plant'!$D$7:$D$91,0),MATCH(Calculation!$G681,'Gross Dx Plant'!$E$5:$AD$5,0))</f>
        <v>271308</v>
      </c>
      <c r="BX681" s="113">
        <f>INDEX('Gross Gen Plant'!$E$7:$AD$91,MATCH($C681,'Gross Gen Plant'!$D$7:$D$91,0),MATCH(Calculation!$G681,'Gross Gen Plant'!$E$5:$AD$5,0))</f>
        <v>15087</v>
      </c>
      <c r="BY681" s="113">
        <f t="shared" si="1196"/>
        <v>172587</v>
      </c>
      <c r="BZ681" s="113"/>
      <c r="CA681" s="116">
        <v>2001</v>
      </c>
      <c r="CB681" s="113"/>
      <c r="CC681" s="113"/>
      <c r="CD681" s="113"/>
      <c r="CE681" s="175"/>
      <c r="CF681" s="113">
        <f t="shared" si="1245"/>
        <v>7285</v>
      </c>
      <c r="CG681" s="113">
        <f t="shared" si="1246"/>
        <v>20.611271744033022</v>
      </c>
      <c r="CH681" s="178">
        <v>0.98461538461538467</v>
      </c>
      <c r="CI681" s="61">
        <f>+CI678*CH681+CG679*CH680+CG680*CH678+CG681</f>
        <v>884.83186630911916</v>
      </c>
      <c r="CJ681" s="114">
        <f t="shared" si="1247"/>
        <v>1.8445870930196343E-2</v>
      </c>
      <c r="CK681" s="114"/>
      <c r="CL681" s="169">
        <f t="shared" si="1248"/>
        <v>5.110616591720637E-3</v>
      </c>
      <c r="CM681" s="169">
        <f>+(CL681+CL680+CL679)/3</f>
        <v>5.0767728953584499E-3</v>
      </c>
      <c r="CN681" s="114">
        <f>VLOOKUP($H681,RoR!$E:$F,2,FALSE)</f>
        <v>7.0824999999999999E-2</v>
      </c>
      <c r="CO681" s="169">
        <v>2.2454495382290052E-2</v>
      </c>
      <c r="CP681" s="169">
        <f t="shared" si="1254"/>
        <v>4.8370504617709947E-2</v>
      </c>
      <c r="CQ681" s="169">
        <f>+$CP$2-CM681</f>
        <v>2.5825168713175174E-2</v>
      </c>
      <c r="CR681" s="169">
        <v>2.3947275901631187E-2</v>
      </c>
      <c r="CS681" s="179">
        <f t="shared" si="1249"/>
        <v>0.85171695000000003</v>
      </c>
      <c r="CT681" s="180">
        <f t="shared" si="1250"/>
        <v>0.72406708481540816</v>
      </c>
      <c r="CU681" s="180">
        <f t="shared" si="1251"/>
        <v>0.62201729615248857</v>
      </c>
      <c r="CV681" s="180">
        <f t="shared" si="1252"/>
        <v>0.9352469954311422</v>
      </c>
      <c r="CW681" s="180">
        <f t="shared" si="1253"/>
        <v>0.42121864641655071</v>
      </c>
      <c r="CX681" s="181">
        <f>INDEX('State Tax Lookup'!$D$7:$Z$91,MATCH(Calculation!$C681,'State Tax Lookup'!$B$7:$B$91,0),MATCH($H681,'State Tax Lookup'!$D$6:$Z$6,0))</f>
        <v>0.40076499999999998</v>
      </c>
      <c r="CY681" s="72">
        <v>0.37</v>
      </c>
      <c r="CZ681" s="70">
        <f t="shared" ref="CZ681:CZ702" si="1255">+(DE681*CQ681-CR681)*CS681/(1-CX681)</f>
        <v>12.939728539980875</v>
      </c>
      <c r="DA681" s="70"/>
      <c r="DB681" s="69"/>
      <c r="DC681" s="111">
        <f>VLOOKUP($H681,RoR!$E:$F,2,FALSE)</f>
        <v>7.0824999999999999E-2</v>
      </c>
      <c r="DD681" s="216">
        <f>HLOOKUP($H681,'GDP-PI'!$D$8:$CQ$11,3,FALSE)</f>
        <v>2.2454495382290052E-2</v>
      </c>
      <c r="DE681" s="111">
        <f>VLOOKUP(H681,'HW Dx Data'!$E:$F,2,FALSE)</f>
        <v>353.44738017483138</v>
      </c>
      <c r="DF681" s="66"/>
      <c r="DG681" s="69"/>
      <c r="DH681" s="66">
        <f>HLOOKUP(H681,'GDP-PI'!$8:$9,2,FALSE)</f>
        <v>79.822000000000003</v>
      </c>
      <c r="DI681"/>
      <c r="EB681"/>
    </row>
    <row r="682" spans="1:132" s="160" customFormat="1" ht="21">
      <c r="A682" s="160" t="s">
        <v>199</v>
      </c>
      <c r="B682" s="161" t="s">
        <v>199</v>
      </c>
      <c r="C682" s="161">
        <v>4057130</v>
      </c>
      <c r="D682" s="161" t="s">
        <v>200</v>
      </c>
      <c r="E682" s="161"/>
      <c r="F682" s="161"/>
      <c r="G682" s="161" t="s">
        <v>113</v>
      </c>
      <c r="H682" s="162">
        <v>2002</v>
      </c>
      <c r="I682" s="163"/>
      <c r="J682" s="159"/>
      <c r="K682" s="159"/>
      <c r="L682" s="159"/>
      <c r="M682" s="60"/>
      <c r="N682" s="152"/>
      <c r="O682" s="60"/>
      <c r="P682" s="60"/>
      <c r="Q682" s="159"/>
      <c r="R682" s="159"/>
      <c r="S682" s="159"/>
      <c r="T682" s="159"/>
      <c r="U682" s="159"/>
      <c r="V682" s="159"/>
      <c r="W682" s="159">
        <f t="shared" si="1243"/>
        <v>11594.911412844314</v>
      </c>
      <c r="X682" s="163"/>
      <c r="Y682" s="167">
        <v>907.92611059152864</v>
      </c>
      <c r="Z682" s="168">
        <v>2.5765353902039861E-2</v>
      </c>
      <c r="AA682" s="78"/>
      <c r="AB682" s="168"/>
      <c r="AC682" s="168"/>
      <c r="AD682" s="163">
        <f t="shared" si="1166"/>
        <v>11594.911412844314</v>
      </c>
      <c r="AE682" s="168"/>
      <c r="AF682" s="163"/>
      <c r="AG682" s="163"/>
      <c r="AH682" s="163"/>
      <c r="AI682" s="163"/>
      <c r="AJ682" s="167"/>
      <c r="AK682" s="168"/>
      <c r="AL682" s="115"/>
      <c r="AM682" s="115"/>
      <c r="AN682" s="115"/>
      <c r="AO682" s="115"/>
      <c r="AP682" s="115"/>
      <c r="AQ682" s="168"/>
      <c r="AR682" s="79"/>
      <c r="AS682" s="115"/>
      <c r="AT682" s="115"/>
      <c r="AU682" s="115"/>
      <c r="AV682" s="113">
        <f>IFERROR(INDEX('Total Customers'!$F$7:$AB$91,MATCH($C682,'Total Customers'!$D$7:$D$91,0),MATCH($G682,'Total Customers'!$F$5:$AB$5,0)),"NA")</f>
        <v>151548</v>
      </c>
      <c r="AW682" s="68">
        <f t="shared" si="1195"/>
        <v>8.8481196023636102E-3</v>
      </c>
      <c r="AX682" s="114"/>
      <c r="AY682" s="114"/>
      <c r="AZ682" s="116"/>
      <c r="BA682" s="116"/>
      <c r="BB682" s="166"/>
      <c r="BC682" s="166"/>
      <c r="BD682" s="166"/>
      <c r="BE682" s="166"/>
      <c r="BF682" s="166"/>
      <c r="BG682" s="166"/>
      <c r="BH682" s="166"/>
      <c r="BI682" s="113"/>
      <c r="BJ682" s="113"/>
      <c r="BK682" s="113">
        <f>INDEX('Dist. Plant Gas Additions'!$F$7:$AE$91,MATCH($C682,'Dist. Plant Gas Additions'!$D$7:$D$91,0),MATCH(Calculation!$G682,'Dist. Plant Gas Additions'!$F$5:$AE$5,0))</f>
        <v>9639</v>
      </c>
      <c r="BL682" s="113">
        <f>INDEX('Gen. Plant Additions'!$F$7:$AE$91,MATCH($C682,'Gen. Plant Additions'!$D$7:$D$91,0),MATCH(Calculation!$G682,'Gen. Plant Additions'!$F$5:$AE$5,0))</f>
        <v>528</v>
      </c>
      <c r="BM682" s="231">
        <f t="shared" si="1244"/>
        <v>0.94966922088429873</v>
      </c>
      <c r="BN682" s="61">
        <f t="shared" si="1241"/>
        <v>501.42534862690974</v>
      </c>
      <c r="BO682" s="113">
        <f>INDEX('Dist Plant Depreciation'!$E$7:$AD$94,MATCH($C682,'Dist Plant Depreciation'!$D$7:$D$94,0),MATCH(Calculation!$G682,'Dist Plant Depreciation'!$E$5:$AD$5,0))</f>
        <v>109058</v>
      </c>
      <c r="BP682" s="113">
        <f>INDEX('Gen. Plant Depreciation'!$E$7:$AD$94,MATCH($C682,'Gen. Plant Depreciation'!$D$7:$D$94,0),MATCH(Calculation!$G682,'Gen. Plant Depreciation'!$E$5:$AD$5,0))</f>
        <v>8484</v>
      </c>
      <c r="BQ682" s="113"/>
      <c r="BR682" s="113"/>
      <c r="BS682" s="113"/>
      <c r="BT682" s="113"/>
      <c r="BU682" s="113"/>
      <c r="BV682" s="113"/>
      <c r="BW682" s="113">
        <f>INDEX('Gross Dx Plant'!$E$7:$AD$91,MATCH($C682,'Gross Dx Plant'!$D$7:$D$91,0),MATCH(Calculation!$G682,'Gross Dx Plant'!$E$5:$AD$5,0))</f>
        <v>279349</v>
      </c>
      <c r="BX682" s="113">
        <f>INDEX('Gross Gen Plant'!$E$7:$AD$91,MATCH($C682,'Gross Gen Plant'!$D$7:$D$91,0),MATCH(Calculation!$G682,'Gross Gen Plant'!$E$5:$AD$5,0))</f>
        <v>14805</v>
      </c>
      <c r="BY682" s="113">
        <f t="shared" si="1196"/>
        <v>176612</v>
      </c>
      <c r="BZ682" s="113"/>
      <c r="CA682" s="116">
        <v>2002</v>
      </c>
      <c r="CB682" s="113"/>
      <c r="CC682" s="113"/>
      <c r="CD682" s="113"/>
      <c r="CE682" s="175"/>
      <c r="CF682" s="113">
        <f t="shared" si="1245"/>
        <v>10167</v>
      </c>
      <c r="CG682" s="113">
        <f t="shared" si="1246"/>
        <v>28.136298905362175</v>
      </c>
      <c r="CH682" s="178">
        <v>0.97916666666666663</v>
      </c>
      <c r="CI682" s="61">
        <f>+CI678*CH682+CG679*CH681+CG680*CH680+CG681*CH679+CG682</f>
        <v>907.92611059152864</v>
      </c>
      <c r="CJ682" s="114">
        <f t="shared" si="1247"/>
        <v>2.5765353902039861E-2</v>
      </c>
      <c r="CK682" s="114"/>
      <c r="CL682" s="169">
        <f t="shared" si="1248"/>
        <v>5.6983194377758064E-3</v>
      </c>
      <c r="CM682" s="169">
        <f t="shared" ref="CM682:CM702" si="1256">+(CL682+CL681+CL680)/3</f>
        <v>5.3178379152472198E-3</v>
      </c>
      <c r="CN682" s="114">
        <f>VLOOKUP($H682,RoR!$E:$F,2,FALSE)</f>
        <v>6.4916666666666664E-2</v>
      </c>
      <c r="CO682" s="169">
        <v>1.5246423291824351E-2</v>
      </c>
      <c r="CP682" s="169">
        <f t="shared" si="1254"/>
        <v>4.9670243374842313E-2</v>
      </c>
      <c r="CQ682" s="169">
        <f t="shared" ref="CQ682:CQ703" si="1257">+$CP$2-CM682</f>
        <v>2.5584103693286404E-2</v>
      </c>
      <c r="CR682" s="169">
        <v>2.5243621214759093E-2</v>
      </c>
      <c r="CS682" s="179">
        <f t="shared" si="1249"/>
        <v>0.85171695000000003</v>
      </c>
      <c r="CT682" s="180">
        <f t="shared" si="1250"/>
        <v>0.78996741384417901</v>
      </c>
      <c r="CU682" s="180">
        <f t="shared" si="1251"/>
        <v>0.58989088575096271</v>
      </c>
      <c r="CV682" s="180">
        <f t="shared" si="1252"/>
        <v>0.91920675783645744</v>
      </c>
      <c r="CW682" s="180">
        <f t="shared" si="1253"/>
        <v>0.42834536472275586</v>
      </c>
      <c r="CX682" s="181">
        <f>INDEX('State Tax Lookup'!$D$7:$Z$91,MATCH(Calculation!$C682,'State Tax Lookup'!$B$7:$B$91,0),MATCH($H682,'State Tax Lookup'!$D$6:$Z$6,0))</f>
        <v>0.40076499999999998</v>
      </c>
      <c r="CY682" s="72">
        <v>0.37</v>
      </c>
      <c r="CZ682" s="70">
        <f t="shared" si="1255"/>
        <v>13.104084351312897</v>
      </c>
      <c r="DA682" s="70"/>
      <c r="DB682" s="69">
        <f>LN(CZ682/CZ681)</f>
        <v>1.2621653666440061E-2</v>
      </c>
      <c r="DC682" s="111">
        <f>VLOOKUP($H682,RoR!$E:$F,2,FALSE)</f>
        <v>6.4916666666666664E-2</v>
      </c>
      <c r="DD682" s="216">
        <f>HLOOKUP($H682,'GDP-PI'!$D$8:$CQ$11,3,FALSE)</f>
        <v>1.5246423291824351E-2</v>
      </c>
      <c r="DE682" s="111">
        <f>VLOOKUP(H682,'HW Dx Data'!$E:$F,2,FALSE)</f>
        <v>361.34816573413599</v>
      </c>
      <c r="DF682" s="66"/>
      <c r="DG682" s="69"/>
      <c r="DH682" s="66">
        <f>HLOOKUP(H682,'GDP-PI'!$8:$9,2,FALSE)</f>
        <v>81.039000000000001</v>
      </c>
      <c r="DI682" s="69">
        <f>LN(DH682/DH681)</f>
        <v>1.513136459537477E-2</v>
      </c>
      <c r="EB682"/>
    </row>
    <row r="683" spans="1:132" s="160" customFormat="1" ht="21">
      <c r="A683" s="160" t="s">
        <v>199</v>
      </c>
      <c r="B683" s="161" t="s">
        <v>199</v>
      </c>
      <c r="C683" s="161">
        <v>4057130</v>
      </c>
      <c r="D683" s="161" t="s">
        <v>200</v>
      </c>
      <c r="E683" s="161"/>
      <c r="F683" s="161"/>
      <c r="G683" s="161" t="s">
        <v>114</v>
      </c>
      <c r="H683" s="162">
        <v>2003</v>
      </c>
      <c r="I683" s="163"/>
      <c r="J683" s="159"/>
      <c r="K683" s="159"/>
      <c r="L683" s="159"/>
      <c r="M683" s="76"/>
      <c r="N683" s="152"/>
      <c r="O683" s="76"/>
      <c r="P683" s="76"/>
      <c r="Q683" s="159"/>
      <c r="R683" s="159"/>
      <c r="S683" s="159"/>
      <c r="T683" s="159"/>
      <c r="U683" s="159"/>
      <c r="V683" s="159"/>
      <c r="W683" s="159">
        <f t="shared" si="1243"/>
        <v>12077.644285077595</v>
      </c>
      <c r="X683" s="163"/>
      <c r="Y683" s="167">
        <v>929.33399400988162</v>
      </c>
      <c r="Z683" s="168">
        <v>2.3305194836991176E-2</v>
      </c>
      <c r="AA683" s="78"/>
      <c r="AB683" s="168"/>
      <c r="AC683" s="168"/>
      <c r="AD683" s="163">
        <f t="shared" si="1166"/>
        <v>12077.644285077595</v>
      </c>
      <c r="AE683" s="168"/>
      <c r="AF683" s="163"/>
      <c r="AG683" s="163"/>
      <c r="AH683" s="163"/>
      <c r="AI683" s="163"/>
      <c r="AJ683" s="167"/>
      <c r="AK683" s="168"/>
      <c r="AL683" s="115"/>
      <c r="AM683" s="115"/>
      <c r="AN683" s="115"/>
      <c r="AO683" s="115"/>
      <c r="AP683" s="115"/>
      <c r="AQ683" s="168"/>
      <c r="AR683" s="79"/>
      <c r="AS683" s="115"/>
      <c r="AT683" s="115"/>
      <c r="AU683" s="115"/>
      <c r="AV683" s="113">
        <f>IFERROR(INDEX('Total Customers'!$F$7:$AB$91,MATCH($C683,'Total Customers'!$D$7:$D$91,0),MATCH($G683,'Total Customers'!$F$5:$AB$5,0)),"NA")</f>
        <v>152638</v>
      </c>
      <c r="AW683" s="68">
        <f t="shared" si="1195"/>
        <v>7.16669843673473E-3</v>
      </c>
      <c r="AX683" s="114"/>
      <c r="AY683" s="114"/>
      <c r="AZ683" s="116"/>
      <c r="BA683" s="116"/>
      <c r="BB683" s="166"/>
      <c r="BC683" s="166"/>
      <c r="BD683" s="166"/>
      <c r="BE683" s="166"/>
      <c r="BF683" s="166"/>
      <c r="BG683" s="166"/>
      <c r="BH683" s="166"/>
      <c r="BI683" s="113"/>
      <c r="BJ683" s="113"/>
      <c r="BK683" s="113">
        <f>INDEX('Dist. Plant Gas Additions'!$F$7:$AE$91,MATCH($C683,'Dist. Plant Gas Additions'!$D$7:$D$91,0),MATCH(Calculation!$G683,'Dist. Plant Gas Additions'!$F$5:$AE$5,0))</f>
        <v>7123</v>
      </c>
      <c r="BL683" s="113">
        <f>INDEX('Gen. Plant Additions'!$F$7:$AE$91,MATCH($C683,'Gen. Plant Additions'!$D$7:$D$91,0),MATCH(Calculation!$G683,'Gen. Plant Additions'!$F$5:$AE$5,0))</f>
        <v>2686</v>
      </c>
      <c r="BM683" s="231">
        <f t="shared" si="1244"/>
        <v>0.94553446341188108</v>
      </c>
      <c r="BN683" s="61">
        <f t="shared" si="1241"/>
        <v>2539.7055687243128</v>
      </c>
      <c r="BO683" s="113">
        <f>INDEX('Dist Plant Depreciation'!$E$7:$AD$94,MATCH($C683,'Dist Plant Depreciation'!$D$7:$D$94,0),MATCH(Calculation!$G683,'Dist Plant Depreciation'!$E$5:$AD$5,0))</f>
        <v>112894</v>
      </c>
      <c r="BP683" s="113">
        <f>INDEX('Gen. Plant Depreciation'!$E$7:$AD$94,MATCH($C683,'Gen. Plant Depreciation'!$D$7:$D$94,0),MATCH(Calculation!$G683,'Gen. Plant Depreciation'!$E$5:$AD$5,0))</f>
        <v>8525</v>
      </c>
      <c r="BQ683" s="113"/>
      <c r="BR683" s="113"/>
      <c r="BS683" s="113"/>
      <c r="BT683" s="113"/>
      <c r="BU683" s="113"/>
      <c r="BV683" s="113"/>
      <c r="BW683" s="113">
        <f>INDEX('Gross Dx Plant'!$E$7:$AD$91,MATCH($C683,'Gross Dx Plant'!$D$7:$D$91,0),MATCH(Calculation!$G683,'Gross Dx Plant'!$E$5:$AD$5,0))</f>
        <v>284812</v>
      </c>
      <c r="BX683" s="113">
        <f>INDEX('Gross Gen Plant'!$E$7:$AD$91,MATCH($C683,'Gross Gen Plant'!$D$7:$D$91,0),MATCH(Calculation!$G683,'Gross Gen Plant'!$E$5:$AD$5,0))</f>
        <v>16406</v>
      </c>
      <c r="BY683" s="113">
        <f t="shared" si="1196"/>
        <v>179799</v>
      </c>
      <c r="BZ683" s="113"/>
      <c r="CA683" s="116">
        <v>2003</v>
      </c>
      <c r="CB683" s="113"/>
      <c r="CC683" s="113"/>
      <c r="CD683" s="113"/>
      <c r="CE683" s="175"/>
      <c r="CF683" s="113">
        <f t="shared" si="1245"/>
        <v>9809</v>
      </c>
      <c r="CG683" s="113">
        <f t="shared" si="1246"/>
        <v>26.565880376225284</v>
      </c>
      <c r="CH683" s="178">
        <v>0.97354497354497349</v>
      </c>
      <c r="CI683" s="61">
        <f>+CI678*CH683+CG679*CH682+CG680*CH681+CG681*CH680+CG682*CH679+CG683</f>
        <v>929.33399400988162</v>
      </c>
      <c r="CJ683" s="114">
        <f t="shared" si="1247"/>
        <v>2.3305194836991176E-2</v>
      </c>
      <c r="CK683" s="114"/>
      <c r="CL683" s="169">
        <f t="shared" si="1248"/>
        <v>5.681075692945744E-3</v>
      </c>
      <c r="CM683" s="169">
        <f t="shared" si="1256"/>
        <v>5.4966705741473958E-3</v>
      </c>
      <c r="CN683" s="114">
        <f>VLOOKUP($H683,RoR!$E:$F,2,FALSE)</f>
        <v>5.6666666666666671E-2</v>
      </c>
      <c r="CO683" s="169">
        <v>1.8855119140166909E-2</v>
      </c>
      <c r="CP683" s="169">
        <f t="shared" si="1254"/>
        <v>3.7811547526499761E-2</v>
      </c>
      <c r="CQ683" s="169">
        <f t="shared" si="1257"/>
        <v>2.540527103438623E-2</v>
      </c>
      <c r="CR683" s="169">
        <v>2.1375012817671957E-2</v>
      </c>
      <c r="CS683" s="179">
        <f t="shared" si="1249"/>
        <v>0.85171695000000003</v>
      </c>
      <c r="CT683" s="180">
        <f t="shared" si="1250"/>
        <v>0.90497737556561086</v>
      </c>
      <c r="CU683" s="180">
        <f t="shared" si="1251"/>
        <v>0.5338235294117647</v>
      </c>
      <c r="CV683" s="180">
        <f t="shared" si="1252"/>
        <v>0.88972433127405692</v>
      </c>
      <c r="CW683" s="180">
        <f t="shared" si="1253"/>
        <v>0.42982423775949252</v>
      </c>
      <c r="CX683" s="181">
        <f>INDEX('State Tax Lookup'!$D$7:$Z$91,MATCH(Calculation!$C683,'State Tax Lookup'!$B$7:$B$91,0),MATCH($H683,'State Tax Lookup'!$D$6:$Z$6,0))</f>
        <v>0.40076499999999998</v>
      </c>
      <c r="CY683" s="72">
        <v>0.37</v>
      </c>
      <c r="CZ683" s="70">
        <f t="shared" si="1255"/>
        <v>13.302452858425685</v>
      </c>
      <c r="DA683" s="70"/>
      <c r="DB683" s="69">
        <f t="shared" ref="DB683:DB701" si="1258">LN(CZ683/CZ682)</f>
        <v>1.5024479512968151E-2</v>
      </c>
      <c r="DC683" s="111">
        <f>VLOOKUP($H683,RoR!$E:$F,2,FALSE)</f>
        <v>5.6666666666666671E-2</v>
      </c>
      <c r="DD683" s="216">
        <f>HLOOKUP($H683,'GDP-PI'!$D$8:$CQ$11,3,FALSE)</f>
        <v>1.8855119140166909E-2</v>
      </c>
      <c r="DE683" s="111">
        <f>VLOOKUP(H683,'HW Dx Data'!$E:$F,2,FALSE)</f>
        <v>369.23301095560191</v>
      </c>
      <c r="DF683" s="66"/>
      <c r="DG683" s="69"/>
      <c r="DH683" s="66">
        <f>HLOOKUP(H683,'GDP-PI'!$8:$9,2,FALSE)</f>
        <v>82.566999999999993</v>
      </c>
      <c r="DI683" s="69">
        <f t="shared" ref="DI683:DI702" si="1259">LN(DH683/DH682)</f>
        <v>1.8679564681853753E-2</v>
      </c>
      <c r="EB683"/>
    </row>
    <row r="684" spans="1:132" s="160" customFormat="1" ht="21">
      <c r="A684" s="160" t="s">
        <v>199</v>
      </c>
      <c r="B684" s="161" t="s">
        <v>199</v>
      </c>
      <c r="C684" s="161">
        <v>4057130</v>
      </c>
      <c r="D684" s="161" t="s">
        <v>200</v>
      </c>
      <c r="E684" s="161"/>
      <c r="F684" s="161"/>
      <c r="G684" s="161" t="s">
        <v>115</v>
      </c>
      <c r="H684" s="162">
        <v>2004</v>
      </c>
      <c r="I684" s="163"/>
      <c r="J684" s="159"/>
      <c r="K684" s="159">
        <f t="shared" ref="K684:K702" si="1260">+J684/DF684</f>
        <v>0</v>
      </c>
      <c r="L684" s="165"/>
      <c r="M684" s="76"/>
      <c r="N684" s="152"/>
      <c r="O684" s="76"/>
      <c r="P684" s="76"/>
      <c r="Q684" s="159"/>
      <c r="R684" s="159">
        <f t="shared" ref="R684:R702" si="1261">+Q684/DH684</f>
        <v>0</v>
      </c>
      <c r="S684" s="159"/>
      <c r="T684" s="159"/>
      <c r="U684" s="159"/>
      <c r="V684" s="159"/>
      <c r="W684" s="159">
        <f t="shared" si="1243"/>
        <v>13709.971873959968</v>
      </c>
      <c r="X684" s="163"/>
      <c r="Y684" s="167">
        <v>946.71327781463867</v>
      </c>
      <c r="Z684" s="168">
        <v>1.8528084276614887E-2</v>
      </c>
      <c r="AA684" s="76">
        <f t="shared" ref="AA684:AA702" si="1262">+Z684*$AR684</f>
        <v>0</v>
      </c>
      <c r="AB684" s="168"/>
      <c r="AC684" s="168"/>
      <c r="AD684" s="163">
        <f t="shared" si="1166"/>
        <v>13709.971873959968</v>
      </c>
      <c r="AE684" s="168"/>
      <c r="AF684" s="163"/>
      <c r="AG684" s="163"/>
      <c r="AH684" s="163"/>
      <c r="AI684" s="163"/>
      <c r="AJ684" s="167"/>
      <c r="AK684" s="168"/>
      <c r="AL684" s="115">
        <f t="shared" ref="AL684:AL702" si="1263">+J684/AD684</f>
        <v>0</v>
      </c>
      <c r="AM684" s="115">
        <f t="shared" ref="AM684:AM702" si="1264">+Q684/AD684</f>
        <v>0</v>
      </c>
      <c r="AN684" s="115">
        <f t="shared" ref="AN684:AN702" si="1265">+W684/AD684</f>
        <v>1</v>
      </c>
      <c r="AO684" s="115"/>
      <c r="AP684" s="115"/>
      <c r="AQ684" s="168"/>
      <c r="AR684" s="79"/>
      <c r="AS684" s="115"/>
      <c r="AT684" s="115"/>
      <c r="AU684" s="115"/>
      <c r="AV684" s="113">
        <f>IFERROR(INDEX('Total Customers'!$F$7:$AB$91,MATCH($C684,'Total Customers'!$D$7:$D$91,0),MATCH($G684,'Total Customers'!$F$5:$AB$5,0)),"NA")</f>
        <v>153856</v>
      </c>
      <c r="AW684" s="68">
        <f t="shared" si="1195"/>
        <v>7.9479951438648742E-3</v>
      </c>
      <c r="AX684" s="114"/>
      <c r="AY684" s="114"/>
      <c r="AZ684" s="116"/>
      <c r="BA684" s="116"/>
      <c r="BB684" s="166"/>
      <c r="BC684" s="166"/>
      <c r="BD684" s="166"/>
      <c r="BE684" s="166"/>
      <c r="BF684" s="166"/>
      <c r="BG684" s="166"/>
      <c r="BH684" s="166"/>
      <c r="BI684" s="113"/>
      <c r="BJ684" s="113"/>
      <c r="BK684" s="113">
        <f>INDEX('Dist. Plant Gas Additions'!$F$7:$AE$91,MATCH($C684,'Dist. Plant Gas Additions'!$D$7:$D$91,0),MATCH(Calculation!$G684,'Dist. Plant Gas Additions'!$F$5:$AE$5,0))</f>
        <v>8464</v>
      </c>
      <c r="BL684" s="113">
        <f>INDEX('Gen. Plant Additions'!$F$7:$AE$91,MATCH($C684,'Gen. Plant Additions'!$D$7:$D$91,0),MATCH(Calculation!$G684,'Gen. Plant Additions'!$F$5:$AE$5,0))</f>
        <v>1010</v>
      </c>
      <c r="BM684" s="231">
        <f t="shared" si="1244"/>
        <v>0.94549759958479307</v>
      </c>
      <c r="BN684" s="61">
        <f t="shared" si="1241"/>
        <v>954.952575580641</v>
      </c>
      <c r="BO684" s="113">
        <f>INDEX('Dist Plant Depreciation'!$E$7:$AD$94,MATCH($C684,'Dist Plant Depreciation'!$D$7:$D$94,0),MATCH(Calculation!$G684,'Dist Plant Depreciation'!$E$5:$AD$5,0))</f>
        <v>116771</v>
      </c>
      <c r="BP684" s="113">
        <f>INDEX('Gen. Plant Depreciation'!$E$7:$AD$94,MATCH($C684,'Gen. Plant Depreciation'!$D$7:$D$94,0),MATCH(Calculation!$G684,'Gen. Plant Depreciation'!$E$5:$AD$5,0))</f>
        <v>9205</v>
      </c>
      <c r="BQ684" s="113"/>
      <c r="BR684" s="113"/>
      <c r="BS684" s="113"/>
      <c r="BT684" s="113"/>
      <c r="BU684" s="113"/>
      <c r="BV684" s="113"/>
      <c r="BW684" s="113">
        <f>INDEX('Gross Dx Plant'!$E$7:$AD$91,MATCH($C684,'Gross Dx Plant'!$D$7:$D$91,0),MATCH(Calculation!$G684,'Gross Dx Plant'!$E$5:$AD$5,0))</f>
        <v>291478</v>
      </c>
      <c r="BX684" s="113">
        <f>INDEX('Gross Gen Plant'!$E$7:$AD$91,MATCH($C684,'Gross Gen Plant'!$D$7:$D$91,0),MATCH(Calculation!$G684,'Gross Gen Plant'!$E$5:$AD$5,0))</f>
        <v>16802</v>
      </c>
      <c r="BY684" s="113">
        <f t="shared" si="1196"/>
        <v>182304</v>
      </c>
      <c r="BZ684" s="113"/>
      <c r="CA684" s="116">
        <v>2004</v>
      </c>
      <c r="CB684" s="113"/>
      <c r="CC684" s="113"/>
      <c r="CD684" s="113"/>
      <c r="CE684" s="175"/>
      <c r="CF684" s="113">
        <f t="shared" si="1245"/>
        <v>9474</v>
      </c>
      <c r="CG684" s="113">
        <f t="shared" si="1246"/>
        <v>22.835122889960608</v>
      </c>
      <c r="CH684" s="178">
        <v>0.967741935483871</v>
      </c>
      <c r="CI684" s="61">
        <f>+CI678*CH684+CG679*CH683+CG680*CH682+CG681*CH681+CG682*CH680+CG683*CH679+CG684</f>
        <v>946.71327781463867</v>
      </c>
      <c r="CJ684" s="114">
        <f t="shared" si="1247"/>
        <v>1.8528084276614887E-2</v>
      </c>
      <c r="CK684" s="114"/>
      <c r="CL684" s="169">
        <f t="shared" si="1248"/>
        <v>5.8706978549904901E-3</v>
      </c>
      <c r="CM684" s="169">
        <f t="shared" si="1256"/>
        <v>5.7500309952373471E-3</v>
      </c>
      <c r="CN684" s="114">
        <f>VLOOKUP($H684,RoR!$E:$F,2,FALSE)</f>
        <v>5.6283333333333331E-2</v>
      </c>
      <c r="CO684" s="169">
        <v>2.6778252812867276E-2</v>
      </c>
      <c r="CP684" s="169">
        <f t="shared" si="1254"/>
        <v>2.9505080520466055E-2</v>
      </c>
      <c r="CQ684" s="169">
        <f t="shared" si="1257"/>
        <v>2.5151910613296278E-2</v>
      </c>
      <c r="CR684" s="169">
        <v>5.5940039414565046E-2</v>
      </c>
      <c r="CS684" s="179">
        <f t="shared" si="1249"/>
        <v>0.85171695000000003</v>
      </c>
      <c r="CT684" s="180">
        <f t="shared" si="1250"/>
        <v>0.91114097628755619</v>
      </c>
      <c r="CU684" s="180">
        <f t="shared" si="1251"/>
        <v>0.53081877405981637</v>
      </c>
      <c r="CV684" s="180">
        <f t="shared" si="1252"/>
        <v>0.88811215519385678</v>
      </c>
      <c r="CW684" s="180">
        <f t="shared" si="1253"/>
        <v>0.42953609753547711</v>
      </c>
      <c r="CX684" s="181">
        <f>INDEX('State Tax Lookup'!$D$7:$Z$91,MATCH(Calculation!$C684,'State Tax Lookup'!$B$7:$B$91,0),MATCH($H684,'State Tax Lookup'!$D$6:$Z$6,0))</f>
        <v>0.40076499999999998</v>
      </c>
      <c r="CY684" s="72">
        <v>0.37</v>
      </c>
      <c r="CZ684" s="70">
        <f t="shared" si="1255"/>
        <v>14.752470007907824</v>
      </c>
      <c r="DA684" s="70"/>
      <c r="DB684" s="69">
        <f t="shared" si="1258"/>
        <v>0.1034620832605516</v>
      </c>
      <c r="DC684" s="111">
        <f>VLOOKUP($H684,RoR!$E:$F,2,FALSE)</f>
        <v>5.6283333333333331E-2</v>
      </c>
      <c r="DD684" s="216">
        <f>HLOOKUP($H684,'GDP-PI'!$D$8:$CQ$11,3,FALSE)</f>
        <v>2.6778252812867276E-2</v>
      </c>
      <c r="DE684" s="111">
        <f>VLOOKUP(H684,'HW Dx Data'!$E:$F,2,FALSE)</f>
        <v>414.88719135228365</v>
      </c>
      <c r="DF684" s="72">
        <f>VLOOKUP(G684,EG$8:EH$27,2,FALSE)</f>
        <v>94.35</v>
      </c>
      <c r="DG684" s="69"/>
      <c r="DH684" s="66">
        <f>HLOOKUP(H684,'GDP-PI'!$8:$9,2,FALSE)</f>
        <v>84.778000000000006</v>
      </c>
      <c r="DI684" s="69">
        <f t="shared" si="1259"/>
        <v>2.6425990216022755E-2</v>
      </c>
      <c r="EB684"/>
    </row>
    <row r="685" spans="1:132" s="160" customFormat="1" ht="21">
      <c r="A685" s="160" t="s">
        <v>199</v>
      </c>
      <c r="B685" s="161" t="s">
        <v>199</v>
      </c>
      <c r="C685" s="161">
        <v>4057130</v>
      </c>
      <c r="D685" s="161" t="s">
        <v>200</v>
      </c>
      <c r="E685" s="161"/>
      <c r="F685" s="161"/>
      <c r="G685" s="161" t="s">
        <v>116</v>
      </c>
      <c r="H685" s="162">
        <v>2005</v>
      </c>
      <c r="I685" s="163"/>
      <c r="J685" s="159">
        <f>IFERROR(INDEX('Labor Expenditures'!$F$7:$X$91,MATCH($C685,'Labor Expenditures'!$D$7:$D$91,0),MATCH($G685,'Labor Expenditures'!$F$5:$X$5,0)),"NA")</f>
        <v>17887.113512207841</v>
      </c>
      <c r="K685" s="159">
        <f t="shared" si="1260"/>
        <v>180.26821377886463</v>
      </c>
      <c r="L685" s="165"/>
      <c r="M685" s="76"/>
      <c r="N685" s="62">
        <v>100</v>
      </c>
      <c r="O685" s="77"/>
      <c r="P685" s="77"/>
      <c r="Q685" s="159">
        <f>IFERROR(INDEX('Non-Labor Expenditures'!$F$7:$AB$91,MATCH($C685,'Non-Labor Expenditures'!$D$7:$D$91,0),MATCH($G685,'Non-Labor Expenditures'!$F$5:$AB$5,0)),"NA")</f>
        <v>25903.881217645598</v>
      </c>
      <c r="R685" s="159">
        <f t="shared" si="1261"/>
        <v>296.35934441916095</v>
      </c>
      <c r="S685" s="165"/>
      <c r="T685" s="165"/>
      <c r="U685" s="165"/>
      <c r="V685" s="165"/>
      <c r="W685" s="159">
        <f t="shared" si="1243"/>
        <v>15677.648932126109</v>
      </c>
      <c r="X685" s="163"/>
      <c r="Y685" s="167">
        <v>970.66093926352619</v>
      </c>
      <c r="Z685" s="168">
        <v>2.4980941743880446E-2</v>
      </c>
      <c r="AA685" s="76">
        <f t="shared" si="1262"/>
        <v>0</v>
      </c>
      <c r="AB685" s="168"/>
      <c r="AC685" s="168"/>
      <c r="AD685" s="163">
        <f t="shared" si="1166"/>
        <v>59468.64366197955</v>
      </c>
      <c r="AE685" s="168">
        <f>LN(AD685/AD684)</f>
        <v>1.4673257342881179</v>
      </c>
      <c r="AF685" s="163"/>
      <c r="AG685" s="163"/>
      <c r="AH685" s="163"/>
      <c r="AI685" s="163"/>
      <c r="AJ685" s="167"/>
      <c r="AK685" s="114"/>
      <c r="AL685" s="115">
        <f t="shared" si="1263"/>
        <v>0.30078226794406809</v>
      </c>
      <c r="AM685" s="115">
        <f t="shared" si="1264"/>
        <v>0.43558890236144537</v>
      </c>
      <c r="AN685" s="115">
        <f t="shared" si="1265"/>
        <v>0.26362882969448648</v>
      </c>
      <c r="AO685" s="115">
        <f t="shared" ref="AO685:AO701" si="1266">+(((AL685+AL684)/2)*L685+((AM684+AM685)/2)*S685+((AN684+AN685)/2)*Z685)</f>
        <v>1.5783319090242897E-2</v>
      </c>
      <c r="AP685" s="166">
        <v>100</v>
      </c>
      <c r="AQ685" s="168"/>
      <c r="AR685" s="16"/>
      <c r="AS685" s="115"/>
      <c r="AT685" s="115"/>
      <c r="AU685" s="115"/>
      <c r="AV685" s="113">
        <f>IFERROR(INDEX('Total Customers'!$F$7:$AB$91,MATCH($C685,'Total Customers'!$D$7:$D$91,0),MATCH($G685,'Total Customers'!$F$5:$AB$5,0)),"NA")</f>
        <v>155511</v>
      </c>
      <c r="AW685" s="68">
        <f t="shared" si="1195"/>
        <v>1.0699368634571126E-2</v>
      </c>
      <c r="AX685" s="114"/>
      <c r="AY685" s="114"/>
      <c r="AZ685" s="116"/>
      <c r="BA685" s="116"/>
      <c r="BB685" s="166"/>
      <c r="BC685" s="166"/>
      <c r="BD685" s="166"/>
      <c r="BE685" s="166"/>
      <c r="BF685" s="166"/>
      <c r="BG685" s="166"/>
      <c r="BH685" s="166"/>
      <c r="BI685" s="113"/>
      <c r="BJ685" s="113"/>
      <c r="BK685" s="113">
        <f>INDEX('Dist. Plant Gas Additions'!$F$7:$AE$91,MATCH($C685,'Dist. Plant Gas Additions'!$D$7:$D$91,0),MATCH(Calculation!$G685,'Dist. Plant Gas Additions'!$F$5:$AE$5,0))</f>
        <v>12834</v>
      </c>
      <c r="BL685" s="113">
        <f>INDEX('Gen. Plant Additions'!$F$7:$AE$91,MATCH($C685,'Gen. Plant Additions'!$D$7:$D$91,0),MATCH(Calculation!$G685,'Gen. Plant Additions'!$F$5:$AE$5,0))</f>
        <v>1099</v>
      </c>
      <c r="BM685" s="231">
        <f t="shared" si="1244"/>
        <v>0.9496786698909454</v>
      </c>
      <c r="BN685" s="61">
        <f t="shared" si="1241"/>
        <v>1043.696858210149</v>
      </c>
      <c r="BO685" s="113">
        <f>INDEX('Dist Plant Depreciation'!$E$7:$AD$94,MATCH($C685,'Dist Plant Depreciation'!$D$7:$D$94,0),MATCH(Calculation!$G685,'Dist Plant Depreciation'!$E$5:$AD$5,0))</f>
        <v>119745</v>
      </c>
      <c r="BP685" s="113">
        <f>INDEX('Gen. Plant Depreciation'!$E$7:$AD$94,MATCH($C685,'Gen. Plant Depreciation'!$D$7:$D$94,0),MATCH(Calculation!$G685,'Gen. Plant Depreciation'!$E$5:$AD$5,0))</f>
        <v>8500</v>
      </c>
      <c r="BQ685" s="113"/>
      <c r="BR685" s="113"/>
      <c r="BS685" s="113"/>
      <c r="BT685" s="113"/>
      <c r="BU685" s="113"/>
      <c r="BV685" s="113"/>
      <c r="BW685" s="113">
        <f>INDEX('Gross Dx Plant'!$E$7:$AD$91,MATCH($C685,'Gross Dx Plant'!$D$7:$D$91,0),MATCH(Calculation!$G685,'Gross Dx Plant'!$E$5:$AD$5,0))</f>
        <v>302787</v>
      </c>
      <c r="BX685" s="113">
        <f>INDEX('Gross Gen Plant'!$E$7:$AD$91,MATCH($C685,'Gross Gen Plant'!$D$7:$D$91,0),MATCH(Calculation!$G685,'Gross Gen Plant'!$E$5:$AD$5,0))</f>
        <v>16044</v>
      </c>
      <c r="BY685" s="113">
        <f t="shared" si="1196"/>
        <v>190586</v>
      </c>
      <c r="BZ685" s="113"/>
      <c r="CA685" s="116">
        <v>2005</v>
      </c>
      <c r="CB685" s="113"/>
      <c r="CC685" s="113"/>
      <c r="CD685" s="113"/>
      <c r="CE685" s="175"/>
      <c r="CF685" s="113">
        <f t="shared" si="1245"/>
        <v>13933</v>
      </c>
      <c r="CG685" s="113">
        <f t="shared" si="1246"/>
        <v>29.694900592149764</v>
      </c>
      <c r="CH685" s="178">
        <v>0.96174863387978138</v>
      </c>
      <c r="CI685" s="61">
        <f>+CI678*CH685+CG679*CH684+CG680*CH683+CG681*CH682+CG682*CH681+CG683*CH680+CG684*CH679+CG685</f>
        <v>970.66093926352619</v>
      </c>
      <c r="CJ685" s="114">
        <f t="shared" si="1247"/>
        <v>2.4980941743880446E-2</v>
      </c>
      <c r="CK685" s="114"/>
      <c r="CL685" s="169">
        <f t="shared" si="1248"/>
        <v>6.0707283587793171E-3</v>
      </c>
      <c r="CM685" s="169">
        <f t="shared" si="1256"/>
        <v>5.8741673022385177E-3</v>
      </c>
      <c r="CN685" s="114">
        <f>VLOOKUP($H685,RoR!$E:$F,2,FALSE)</f>
        <v>5.2350000000000001E-2</v>
      </c>
      <c r="CO685" s="169">
        <v>3.1010403642454332E-2</v>
      </c>
      <c r="CP685" s="169">
        <f t="shared" si="1254"/>
        <v>2.1339596357545669E-2</v>
      </c>
      <c r="CQ685" s="169">
        <f t="shared" si="1257"/>
        <v>2.5027774306295106E-2</v>
      </c>
      <c r="CR685" s="169">
        <v>9.2129610649277341E-2</v>
      </c>
      <c r="CS685" s="179">
        <f t="shared" si="1249"/>
        <v>0.85171695000000003</v>
      </c>
      <c r="CT685" s="180">
        <f t="shared" si="1250"/>
        <v>0.97959983346802826</v>
      </c>
      <c r="CU685" s="180">
        <f t="shared" si="1251"/>
        <v>0.49744508118433622</v>
      </c>
      <c r="CV685" s="180">
        <f t="shared" si="1252"/>
        <v>0.87010519444335932</v>
      </c>
      <c r="CW685" s="180">
        <f t="shared" si="1253"/>
        <v>0.42399975420741998</v>
      </c>
      <c r="CX685" s="181">
        <f>INDEX('State Tax Lookup'!$D$7:$Z$91,MATCH(Calculation!$C685,'State Tax Lookup'!$B$7:$B$91,0),MATCH($H685,'State Tax Lookup'!$D$6:$Z$6,0))</f>
        <v>0.40076499999999998</v>
      </c>
      <c r="CY685" s="72">
        <v>0.37</v>
      </c>
      <c r="CZ685" s="70">
        <f t="shared" si="1255"/>
        <v>16.560081388438821</v>
      </c>
      <c r="DA685" s="70"/>
      <c r="DB685" s="69">
        <f t="shared" si="1258"/>
        <v>0.11558453677631664</v>
      </c>
      <c r="DC685" s="111">
        <f>VLOOKUP($H685,RoR!$E:$F,2,FALSE)</f>
        <v>5.2350000000000001E-2</v>
      </c>
      <c r="DD685" s="216">
        <f>HLOOKUP($H685,'GDP-PI'!$D$8:$CQ$11,3,FALSE)</f>
        <v>3.1010403642454332E-2</v>
      </c>
      <c r="DE685" s="111">
        <f>VLOOKUP(H685,'HW Dx Data'!$E:$F,2,FALSE)</f>
        <v>469.20514034936258</v>
      </c>
      <c r="DF685" s="72">
        <f t="shared" ref="DF685:DF703" si="1267">VLOOKUP(G685,EG$8:EH$27,2,FALSE)</f>
        <v>99.224999999999994</v>
      </c>
      <c r="DG685" s="69">
        <f t="shared" ref="DG685:DG703" si="1268">LN(DF685/DF684)</f>
        <v>5.0378726854569796E-2</v>
      </c>
      <c r="DH685" s="66">
        <f>HLOOKUP(H685,'GDP-PI'!$8:$9,2,FALSE)</f>
        <v>87.406999999999996</v>
      </c>
      <c r="DI685" s="69">
        <f t="shared" si="1259"/>
        <v>3.0539295810733648E-2</v>
      </c>
      <c r="EB685"/>
    </row>
    <row r="686" spans="1:132" s="160" customFormat="1" ht="21">
      <c r="A686" s="160" t="s">
        <v>199</v>
      </c>
      <c r="B686" s="161" t="s">
        <v>199</v>
      </c>
      <c r="C686" s="161">
        <v>4057130</v>
      </c>
      <c r="D686" s="161" t="s">
        <v>200</v>
      </c>
      <c r="E686" s="161"/>
      <c r="F686" s="161"/>
      <c r="G686" s="161" t="s">
        <v>117</v>
      </c>
      <c r="H686" s="162">
        <v>2006</v>
      </c>
      <c r="I686" s="163"/>
      <c r="J686" s="159">
        <f>IFERROR(INDEX('Labor Expenditures'!$F$7:$X$91,MATCH($C686,'Labor Expenditures'!$D$7:$D$91,0),MATCH($G686,'Labor Expenditures'!$F$5:$X$5,0)),"NA")</f>
        <v>8158.5105712471286</v>
      </c>
      <c r="K686" s="159">
        <f t="shared" si="1260"/>
        <v>74.575050925476489</v>
      </c>
      <c r="L686" s="165">
        <f t="shared" ref="L686:L701" si="1269">LN(K686/K685)</f>
        <v>-0.88263980510042284</v>
      </c>
      <c r="M686" s="76">
        <f t="shared" ref="M686:M702" si="1270">+L686*$AR686</f>
        <v>-3.9544071711797883E-3</v>
      </c>
      <c r="N686" s="62">
        <f>+N685*EXP(O686)</f>
        <v>108.71592143244671</v>
      </c>
      <c r="O686" s="96">
        <f t="shared" ref="O686:O702" si="1271">+M686+M711+M736+M761+M786+M811+M836+M861+M886+M911+M936+M961+M986+M1011+M1036+M1061+M1086+M1111+M1136+M1161+M1186+M1211+M1236+M1261+M1286+M1311+M1336+M1361+M1386+M1411+M1436+M1461+M1486+M1511+M1536+M1561+M1586+M1611+M1636+M1661+M1686+M1711+M1736+M1761+M1786+M1811+M1836+M1861+M1886+M1911+M1936+M1961+M1986+M2011</f>
        <v>8.3568068732852857E-2</v>
      </c>
      <c r="P686" s="96"/>
      <c r="Q686" s="159">
        <f>IFERROR(INDEX('Non-Labor Expenditures'!$F$7:$AB$91,MATCH($C686,'Non-Labor Expenditures'!$D$7:$D$91,0),MATCH($G686,'Non-Labor Expenditures'!$F$5:$AB$5,0)),"NA")</f>
        <v>11815.047106748405</v>
      </c>
      <c r="R686" s="159">
        <f t="shared" si="1261"/>
        <v>131.17044992726431</v>
      </c>
      <c r="S686" s="165">
        <f t="shared" ref="S686:S701" si="1272">LN(R686/R685)</f>
        <v>-0.81507509750712537</v>
      </c>
      <c r="T686" s="165">
        <f t="shared" ref="T686:T702" si="1273">+S686*AR686</f>
        <v>-3.6517034378089571E-3</v>
      </c>
      <c r="U686" s="165"/>
      <c r="V686" s="165"/>
      <c r="W686" s="159">
        <f t="shared" si="1243"/>
        <v>15687.19733715917</v>
      </c>
      <c r="X686" s="163"/>
      <c r="Y686" s="167">
        <v>983.65260685667295</v>
      </c>
      <c r="Z686" s="168">
        <v>1.3295572758942671E-2</v>
      </c>
      <c r="AA686" s="76">
        <f t="shared" si="1262"/>
        <v>5.9566890093885653E-5</v>
      </c>
      <c r="AB686" s="168"/>
      <c r="AC686" s="168"/>
      <c r="AD686" s="163">
        <f t="shared" si="1166"/>
        <v>35660.755015154704</v>
      </c>
      <c r="AE686" s="168">
        <f t="shared" ref="AE686:AE702" si="1274">LN(AD686/AD685)</f>
        <v>-0.51139839154450606</v>
      </c>
      <c r="AF686" s="163"/>
      <c r="AG686" s="163"/>
      <c r="AH686" s="163"/>
      <c r="AI686" s="163"/>
      <c r="AJ686" s="116"/>
      <c r="AK686" s="114">
        <f>+AV686/$AX$11</f>
        <v>4.5128448929570384E-3</v>
      </c>
      <c r="AL686" s="115">
        <f t="shared" si="1263"/>
        <v>0.22878120689761103</v>
      </c>
      <c r="AM686" s="115">
        <f t="shared" si="1264"/>
        <v>0.33131791802297456</v>
      </c>
      <c r="AN686" s="115">
        <f t="shared" si="1265"/>
        <v>0.43990087507941439</v>
      </c>
      <c r="AO686" s="115">
        <f t="shared" si="1266"/>
        <v>-0.54157331162418698</v>
      </c>
      <c r="AP686" s="166">
        <f>+AP685*EXP(AO686)</f>
        <v>58.183212863759103</v>
      </c>
      <c r="AQ686" s="168">
        <f>LN(AP686/AP685)</f>
        <v>-0.54157331162418687</v>
      </c>
      <c r="AR686" s="69">
        <f>+AD686/$AF$11</f>
        <v>4.4802048902948281E-3</v>
      </c>
      <c r="AS686" s="169">
        <f>+AR686*AQ686</f>
        <v>-2.426359399191847E-3</v>
      </c>
      <c r="AT686" s="115"/>
      <c r="AU686" s="115"/>
      <c r="AV686" s="113">
        <f>IFERROR(INDEX('Total Customers'!$F$7:$AB$91,MATCH($C686,'Total Customers'!$D$7:$D$91,0),MATCH($G686,'Total Customers'!$F$5:$AB$5,0)),"NA")</f>
        <v>156512</v>
      </c>
      <c r="AW686" s="68">
        <f t="shared" si="1195"/>
        <v>6.4162156897425862E-3</v>
      </c>
      <c r="AX686" s="114"/>
      <c r="AY686" s="114"/>
      <c r="AZ686" s="116"/>
      <c r="BA686" s="116"/>
      <c r="BB686" s="166"/>
      <c r="BC686" s="166"/>
      <c r="BD686" s="166"/>
      <c r="BE686" s="166"/>
      <c r="BF686" s="166"/>
      <c r="BG686" s="166"/>
      <c r="BH686" s="166"/>
      <c r="BI686" s="113"/>
      <c r="BJ686" s="113"/>
      <c r="BK686" s="113">
        <f>INDEX('Dist. Plant Gas Additions'!$F$7:$AE$91,MATCH($C686,'Dist. Plant Gas Additions'!$D$7:$D$91,0),MATCH(Calculation!$G686,'Dist. Plant Gas Additions'!$F$5:$AE$5,0))</f>
        <v>7710</v>
      </c>
      <c r="BL686" s="113">
        <f>INDEX('Gen. Plant Additions'!$F$7:$AE$91,MATCH($C686,'Gen. Plant Additions'!$D$7:$D$91,0),MATCH(Calculation!$G686,'Gen. Plant Additions'!$F$5:$AE$5,0))</f>
        <v>1086</v>
      </c>
      <c r="BM686" s="231">
        <f t="shared" si="1244"/>
        <v>0.95114052934630677</v>
      </c>
      <c r="BN686" s="61">
        <f t="shared" si="1241"/>
        <v>1032.9386148700892</v>
      </c>
      <c r="BO686" s="113">
        <f>INDEX('Dist Plant Depreciation'!$E$7:$AD$94,MATCH($C686,'Dist Plant Depreciation'!$D$7:$D$94,0),MATCH(Calculation!$G686,'Dist Plant Depreciation'!$E$5:$AD$5,0))</f>
        <v>124453</v>
      </c>
      <c r="BP686" s="113">
        <f>INDEX('Gen. Plant Depreciation'!$E$7:$AD$94,MATCH($C686,'Gen. Plant Depreciation'!$D$7:$D$94,0),MATCH(Calculation!$G686,'Gen. Plant Depreciation'!$E$5:$AD$5,0))</f>
        <v>8643</v>
      </c>
      <c r="BQ686" s="113"/>
      <c r="BR686" s="113"/>
      <c r="BS686" s="113"/>
      <c r="BT686" s="113"/>
      <c r="BU686" s="113"/>
      <c r="BV686" s="113"/>
      <c r="BW686" s="113">
        <f>INDEX('Gross Dx Plant'!$E$7:$AD$91,MATCH($C686,'Gross Dx Plant'!$D$7:$D$91,0),MATCH(Calculation!$G686,'Gross Dx Plant'!$E$5:$AD$5,0))</f>
        <v>313689</v>
      </c>
      <c r="BX686" s="113">
        <f>INDEX('Gross Gen Plant'!$E$7:$AD$91,MATCH($C686,'Gross Gen Plant'!$D$7:$D$91,0),MATCH(Calculation!$G686,'Gross Gen Plant'!$E$5:$AD$5,0))</f>
        <v>16114</v>
      </c>
      <c r="BY686" s="113">
        <f t="shared" si="1196"/>
        <v>196707</v>
      </c>
      <c r="BZ686" s="114"/>
      <c r="CA686" s="116">
        <v>2006</v>
      </c>
      <c r="CB686" s="113"/>
      <c r="CC686" s="113"/>
      <c r="CD686" s="113"/>
      <c r="CE686" s="175"/>
      <c r="CF686" s="113">
        <f t="shared" si="1245"/>
        <v>8796</v>
      </c>
      <c r="CG686" s="113">
        <f t="shared" si="1246"/>
        <v>19.076715066694533</v>
      </c>
      <c r="CH686" s="178">
        <v>0.9555555555555556</v>
      </c>
      <c r="CI686" s="61">
        <f>+CI678*CH686+CG679*CH685+CG680*CH684+CG681*CH683+CG682*CH682+CG683*CH681+CG684*CH680+CG685*CH679+CG686</f>
        <v>983.65260685667295</v>
      </c>
      <c r="CJ686" s="114">
        <f t="shared" si="1247"/>
        <v>1.3295572758942671E-2</v>
      </c>
      <c r="CK686" s="114"/>
      <c r="CL686" s="169">
        <f t="shared" si="1248"/>
        <v>6.2689732608017679E-3</v>
      </c>
      <c r="CM686" s="169">
        <f t="shared" si="1256"/>
        <v>6.070133158190525E-3</v>
      </c>
      <c r="CN686" s="114">
        <f>VLOOKUP($H686,RoR!$E:$F,2,FALSE)</f>
        <v>5.5874999999999994E-2</v>
      </c>
      <c r="CO686" s="169">
        <v>3.0512430354548314E-2</v>
      </c>
      <c r="CP686" s="169">
        <f t="shared" si="1254"/>
        <v>2.536256964545168E-2</v>
      </c>
      <c r="CQ686" s="169">
        <f t="shared" si="1257"/>
        <v>2.48318084503431E-2</v>
      </c>
      <c r="CR686" s="169">
        <v>7.9087823893859641E-2</v>
      </c>
      <c r="CS686" s="179">
        <f t="shared" si="1249"/>
        <v>0.85171695000000003</v>
      </c>
      <c r="CT686" s="180">
        <f t="shared" si="1250"/>
        <v>0.91779957551769631</v>
      </c>
      <c r="CU686" s="180">
        <f t="shared" si="1251"/>
        <v>0.52757270693512304</v>
      </c>
      <c r="CV686" s="180">
        <f t="shared" si="1252"/>
        <v>0.88636824549024895</v>
      </c>
      <c r="CW686" s="180">
        <f t="shared" si="1253"/>
        <v>0.42918482841932087</v>
      </c>
      <c r="CX686" s="181">
        <f>INDEX('State Tax Lookup'!$D$7:$Z$91,MATCH(Calculation!$C686,'State Tax Lookup'!$B$7:$B$91,0),MATCH($H686,'State Tax Lookup'!$D$6:$Z$6,0))</f>
        <v>0.40076499999999998</v>
      </c>
      <c r="CY686" s="72">
        <v>0.37</v>
      </c>
      <c r="CZ686" s="70">
        <f t="shared" si="1255"/>
        <v>16.161356352777094</v>
      </c>
      <c r="DA686" s="70">
        <v>14.788696346247992</v>
      </c>
      <c r="DB686" s="69">
        <f t="shared" si="1258"/>
        <v>-2.437208141368416E-2</v>
      </c>
      <c r="DC686" s="111">
        <f>VLOOKUP($H686,RoR!$E:$F,2,FALSE)</f>
        <v>5.5874999999999994E-2</v>
      </c>
      <c r="DD686" s="216">
        <f>HLOOKUP($H686,'GDP-PI'!$D$8:$CQ$11,3,FALSE)</f>
        <v>3.0512430354548314E-2</v>
      </c>
      <c r="DE686" s="111">
        <f>VLOOKUP(H686,'HW Dx Data'!$E:$F,2,FALSE)</f>
        <v>461.08567272971823</v>
      </c>
      <c r="DF686" s="72">
        <f t="shared" si="1267"/>
        <v>109.4</v>
      </c>
      <c r="DG686" s="69">
        <f t="shared" si="1268"/>
        <v>9.7620891318751846E-2</v>
      </c>
      <c r="DH686" s="66">
        <f>HLOOKUP(H686,'GDP-PI'!$8:$9,2,FALSE)</f>
        <v>90.073999999999998</v>
      </c>
      <c r="DI686" s="69">
        <f t="shared" si="1259"/>
        <v>3.005618372545445E-2</v>
      </c>
      <c r="EB686"/>
    </row>
    <row r="687" spans="1:132" s="160" customFormat="1" ht="21">
      <c r="A687" s="160" t="s">
        <v>199</v>
      </c>
      <c r="B687" s="161" t="s">
        <v>199</v>
      </c>
      <c r="C687" s="161">
        <v>4057130</v>
      </c>
      <c r="D687" s="161" t="s">
        <v>200</v>
      </c>
      <c r="E687" s="161"/>
      <c r="F687" s="161"/>
      <c r="G687" s="161" t="s">
        <v>118</v>
      </c>
      <c r="H687" s="162">
        <v>2007</v>
      </c>
      <c r="I687" s="163"/>
      <c r="J687" s="159">
        <f>IFERROR(INDEX('Labor Expenditures'!$F$7:$X$91,MATCH($C687,'Labor Expenditures'!$D$7:$D$91,0),MATCH($G687,'Labor Expenditures'!$F$5:$X$5,0)),"NA")</f>
        <v>13715.707748635125</v>
      </c>
      <c r="K687" s="159">
        <f t="shared" si="1260"/>
        <v>131.21939965209401</v>
      </c>
      <c r="L687" s="165">
        <f t="shared" si="1269"/>
        <v>0.56506471550467618</v>
      </c>
      <c r="M687" s="76">
        <f t="shared" si="1270"/>
        <v>3.4030334909503288E-3</v>
      </c>
      <c r="N687" s="62">
        <f t="shared" ref="N687:N700" si="1275">+N686*EXP(O687)</f>
        <v>118.024994658943</v>
      </c>
      <c r="O687" s="96">
        <f t="shared" si="1271"/>
        <v>8.215816645779786E-2</v>
      </c>
      <c r="P687" s="96"/>
      <c r="Q687" s="159">
        <f>IFERROR(INDEX('Non-Labor Expenditures'!$F$7:$AB$91,MATCH($C687,'Non-Labor Expenditures'!$D$7:$D$91,0),MATCH($G687,'Non-Labor Expenditures'!$F$5:$AB$5,0)),"NA")</f>
        <v>19862.906560865864</v>
      </c>
      <c r="R687" s="159">
        <f t="shared" si="1261"/>
        <v>214.73876798272246</v>
      </c>
      <c r="S687" s="165">
        <f t="shared" si="1272"/>
        <v>0.4929246348093857</v>
      </c>
      <c r="T687" s="165">
        <f t="shared" si="1273"/>
        <v>2.9685786331086501E-3</v>
      </c>
      <c r="U687" s="165"/>
      <c r="V687" s="165"/>
      <c r="W687" s="159">
        <f t="shared" si="1243"/>
        <v>17056.014886849971</v>
      </c>
      <c r="X687" s="163"/>
      <c r="Y687" s="167">
        <v>993.05495020129274</v>
      </c>
      <c r="Z687" s="168">
        <v>9.5132071723513217E-3</v>
      </c>
      <c r="AA687" s="76">
        <f t="shared" si="1262"/>
        <v>5.7292132609884248E-5</v>
      </c>
      <c r="AB687" s="168"/>
      <c r="AC687" s="168"/>
      <c r="AD687" s="163">
        <f t="shared" si="1166"/>
        <v>50634.629196350957</v>
      </c>
      <c r="AE687" s="168">
        <f t="shared" si="1274"/>
        <v>0.35058492886989084</v>
      </c>
      <c r="AF687" s="163"/>
      <c r="AG687" s="163"/>
      <c r="AH687" s="163"/>
      <c r="AI687" s="163"/>
      <c r="AJ687" s="116">
        <f t="shared" ref="AJ687:AJ702" si="1276">+(AD687*1000)/AV687</f>
        <v>320.71388701839334</v>
      </c>
      <c r="AK687" s="114">
        <f>+AV687/$AX$12</f>
        <v>4.5180437154876433E-3</v>
      </c>
      <c r="AL687" s="115">
        <f t="shared" si="1263"/>
        <v>0.27087603812498273</v>
      </c>
      <c r="AM687" s="115">
        <f t="shared" si="1264"/>
        <v>0.39227909587016996</v>
      </c>
      <c r="AN687" s="115">
        <f t="shared" si="1265"/>
        <v>0.33684486600484737</v>
      </c>
      <c r="AO687" s="115">
        <f t="shared" si="1266"/>
        <v>0.32320340799307934</v>
      </c>
      <c r="AP687" s="166">
        <f>+AP686*EXP(AO687)</f>
        <v>80.382804775275645</v>
      </c>
      <c r="AQ687" s="168">
        <f>LN(AP687/AP686)</f>
        <v>0.32320340799307928</v>
      </c>
      <c r="AR687" s="69">
        <f>+AD687/$AF$12</f>
        <v>6.0223783180497793E-3</v>
      </c>
      <c r="AS687" s="169">
        <f t="shared" ref="AS687:AS701" si="1277">+AR687*AQ687</f>
        <v>1.9464531966173174E-3</v>
      </c>
      <c r="AT687" s="115"/>
      <c r="AU687" s="115"/>
      <c r="AV687" s="113">
        <f>IFERROR(INDEX('Total Customers'!$F$7:$AB$91,MATCH($C687,'Total Customers'!$D$7:$D$91,0),MATCH($G687,'Total Customers'!$F$5:$AB$5,0)),"NA")</f>
        <v>157881</v>
      </c>
      <c r="AW687" s="68">
        <f t="shared" si="1195"/>
        <v>8.7089003421401794E-3</v>
      </c>
      <c r="AX687" s="114"/>
      <c r="AY687" s="114"/>
      <c r="AZ687" s="116"/>
      <c r="BA687" s="116"/>
      <c r="BB687" s="166"/>
      <c r="BC687" s="166"/>
      <c r="BD687" s="166"/>
      <c r="BE687" s="166"/>
      <c r="BF687" s="166"/>
      <c r="BG687" s="166"/>
      <c r="BH687" s="166"/>
      <c r="BI687" s="113"/>
      <c r="BJ687" s="113"/>
      <c r="BK687" s="113">
        <f>INDEX('Dist. Plant Gas Additions'!$F$7:$AE$91,MATCH($C687,'Dist. Plant Gas Additions'!$D$7:$D$91,0),MATCH(Calculation!$G687,'Dist. Plant Gas Additions'!$F$5:$AE$5,0))</f>
        <v>6792</v>
      </c>
      <c r="BL687" s="113">
        <f>INDEX('Gen. Plant Additions'!$F$7:$AE$91,MATCH($C687,'Gen. Plant Additions'!$D$7:$D$91,0),MATCH(Calculation!$G687,'Gen. Plant Additions'!$F$5:$AE$5,0))</f>
        <v>1070</v>
      </c>
      <c r="BM687" s="231">
        <f t="shared" si="1244"/>
        <v>0.95679435960373715</v>
      </c>
      <c r="BN687" s="61">
        <f t="shared" si="1241"/>
        <v>1023.7699647759988</v>
      </c>
      <c r="BO687" s="113">
        <f>INDEX('Dist Plant Depreciation'!$E$7:$AD$94,MATCH($C687,'Dist Plant Depreciation'!$D$7:$D$94,0),MATCH(Calculation!$G687,'Dist Plant Depreciation'!$E$5:$AD$5,0))</f>
        <v>127799</v>
      </c>
      <c r="BP687" s="113">
        <f>INDEX('Gen. Plant Depreciation'!$E$7:$AD$94,MATCH($C687,'Gen. Plant Depreciation'!$D$7:$D$94,0),MATCH(Calculation!$G687,'Gen. Plant Depreciation'!$E$5:$AD$5,0))</f>
        <v>7832</v>
      </c>
      <c r="BQ687" s="113"/>
      <c r="BR687" s="113"/>
      <c r="BS687" s="113"/>
      <c r="BT687" s="113"/>
      <c r="BU687" s="113"/>
      <c r="BV687" s="113"/>
      <c r="BW687" s="113">
        <f>INDEX('Gross Dx Plant'!$E$7:$AD$91,MATCH($C687,'Gross Dx Plant'!$D$7:$D$91,0),MATCH(Calculation!$G687,'Gross Dx Plant'!$E$5:$AD$5,0))</f>
        <v>336008</v>
      </c>
      <c r="BX687" s="113">
        <f>INDEX('Gross Gen Plant'!$E$7:$AD$91,MATCH($C687,'Gross Gen Plant'!$D$7:$D$91,0),MATCH(Calculation!$G687,'Gross Gen Plant'!$E$5:$AD$5,0))</f>
        <v>15173</v>
      </c>
      <c r="BY687" s="113">
        <f t="shared" si="1196"/>
        <v>215550</v>
      </c>
      <c r="BZ687" s="113"/>
      <c r="CA687" s="116">
        <v>2007</v>
      </c>
      <c r="CB687" s="113"/>
      <c r="CC687" s="113"/>
      <c r="CD687" s="113"/>
      <c r="CE687" s="175"/>
      <c r="CF687" s="113">
        <f t="shared" si="1245"/>
        <v>7862</v>
      </c>
      <c r="CG687" s="113">
        <f t="shared" si="1246"/>
        <v>15.78644120086407</v>
      </c>
      <c r="CH687" s="178">
        <v>0.94915254237288138</v>
      </c>
      <c r="CI687" s="61">
        <f>+CI678*CH687+CG679*CH686+CG680*CH685+CG681*CH684+CG682*CH683+CG683*CH682+CG684*CH681+CG685*CH680+CG686*CH679+CG687</f>
        <v>993.05495020129274</v>
      </c>
      <c r="CJ687" s="114">
        <f t="shared" si="1247"/>
        <v>9.5132071723513217E-3</v>
      </c>
      <c r="CK687" s="114"/>
      <c r="CL687" s="169">
        <f t="shared" si="1248"/>
        <v>6.4901956358811306E-3</v>
      </c>
      <c r="CM687" s="169">
        <f t="shared" si="1256"/>
        <v>6.2766324184874052E-3</v>
      </c>
      <c r="CN687" s="114">
        <f>VLOOKUP($H687,RoR!$E:$F,2,FALSE)</f>
        <v>5.5558333333333321E-2</v>
      </c>
      <c r="CO687" s="169">
        <v>2.691120634145272E-2</v>
      </c>
      <c r="CP687" s="169">
        <f t="shared" si="1254"/>
        <v>2.86471269918806E-2</v>
      </c>
      <c r="CQ687" s="169">
        <f t="shared" si="1257"/>
        <v>2.462530919004622E-2</v>
      </c>
      <c r="CR687" s="169">
        <v>6.4575155250632399E-2</v>
      </c>
      <c r="CS687" s="179">
        <f t="shared" si="1249"/>
        <v>0.85171695000000003</v>
      </c>
      <c r="CT687" s="180">
        <f t="shared" si="1250"/>
        <v>0.92303077153834634</v>
      </c>
      <c r="CU687" s="180">
        <f t="shared" si="1251"/>
        <v>0.52502249887505614</v>
      </c>
      <c r="CV687" s="180">
        <f t="shared" si="1252"/>
        <v>0.88499666072084604</v>
      </c>
      <c r="CW687" s="180">
        <f t="shared" si="1253"/>
        <v>0.42887993290280618</v>
      </c>
      <c r="CX687" s="181">
        <f>INDEX('State Tax Lookup'!$D$7:$Z$91,MATCH(Calculation!$C687,'State Tax Lookup'!$B$7:$B$91,0),MATCH($H687,'State Tax Lookup'!$D$6:$Z$6,0))</f>
        <v>0.40076499999999998</v>
      </c>
      <c r="CY687" s="72">
        <v>0.37</v>
      </c>
      <c r="CZ687" s="70">
        <f t="shared" si="1255"/>
        <v>17.339470020166566</v>
      </c>
      <c r="DA687" s="70">
        <v>16.108943221861779</v>
      </c>
      <c r="DB687" s="69">
        <f t="shared" si="1258"/>
        <v>7.036242458892171E-2</v>
      </c>
      <c r="DC687" s="111">
        <f>VLOOKUP($H687,RoR!$E:$F,2,FALSE)</f>
        <v>5.5558333333333321E-2</v>
      </c>
      <c r="DD687" s="216">
        <f>HLOOKUP($H687,'GDP-PI'!$D$8:$CQ$11,3,FALSE)</f>
        <v>2.691120634145272E-2</v>
      </c>
      <c r="DE687" s="111">
        <f>VLOOKUP(H687,'HW Dx Data'!$E:$F,2,FALSE)</f>
        <v>498.0223154772637</v>
      </c>
      <c r="DF687" s="72">
        <f t="shared" si="1267"/>
        <v>104.52499999999999</v>
      </c>
      <c r="DG687" s="69">
        <f t="shared" si="1268"/>
        <v>-4.5584612745252218E-2</v>
      </c>
      <c r="DH687" s="66">
        <f>HLOOKUP(H687,'GDP-PI'!$8:$9,2,FALSE)</f>
        <v>92.498000000000005</v>
      </c>
      <c r="DI687" s="69">
        <f t="shared" si="1259"/>
        <v>2.6555467950038037E-2</v>
      </c>
      <c r="EB687"/>
    </row>
    <row r="688" spans="1:132" s="160" customFormat="1" ht="21">
      <c r="A688" s="160" t="s">
        <v>199</v>
      </c>
      <c r="B688" s="161" t="s">
        <v>199</v>
      </c>
      <c r="C688" s="161">
        <v>4057130</v>
      </c>
      <c r="D688" s="161" t="s">
        <v>200</v>
      </c>
      <c r="E688" s="161"/>
      <c r="F688" s="161"/>
      <c r="G688" s="161" t="s">
        <v>120</v>
      </c>
      <c r="H688" s="162">
        <v>2008</v>
      </c>
      <c r="I688" s="163"/>
      <c r="J688" s="159">
        <f>IFERROR(INDEX('Labor Expenditures'!$F$7:$X$91,MATCH($C688,'Labor Expenditures'!$D$7:$D$91,0),MATCH($G688,'Labor Expenditures'!$F$5:$X$5,0)),"NA")</f>
        <v>16162.11949267045</v>
      </c>
      <c r="K688" s="159">
        <f t="shared" si="1260"/>
        <v>149.78794710537952</v>
      </c>
      <c r="L688" s="165">
        <f t="shared" si="1269"/>
        <v>0.13234987915412375</v>
      </c>
      <c r="M688" s="76">
        <f t="shared" si="1270"/>
        <v>8.7019780098691944E-4</v>
      </c>
      <c r="N688" s="62">
        <f t="shared" si="1275"/>
        <v>109.92620929094032</v>
      </c>
      <c r="O688" s="96">
        <f t="shared" si="1271"/>
        <v>-7.1087105117657368E-2</v>
      </c>
      <c r="P688" s="96"/>
      <c r="Q688" s="159">
        <f>IFERROR(INDEX('Non-Labor Expenditures'!$F$7:$AB$91,MATCH($C688,'Non-Labor Expenditures'!$D$7:$D$91,0),MATCH($G688,'Non-Labor Expenditures'!$F$5:$AB$5,0)),"NA")</f>
        <v>23405.767692914567</v>
      </c>
      <c r="R688" s="159">
        <f t="shared" si="1261"/>
        <v>248.30017496514648</v>
      </c>
      <c r="S688" s="165">
        <f t="shared" si="1272"/>
        <v>0.14521614042755213</v>
      </c>
      <c r="T688" s="165">
        <f t="shared" si="1273"/>
        <v>9.5479321080986588E-4</v>
      </c>
      <c r="U688" s="165"/>
      <c r="V688" s="165"/>
      <c r="W688" s="159">
        <f t="shared" si="1243"/>
        <v>19534.503716488962</v>
      </c>
      <c r="X688" s="163"/>
      <c r="Y688" s="167">
        <v>1004.5628412627908</v>
      </c>
      <c r="Z688" s="168">
        <v>1.1521741963804524E-2</v>
      </c>
      <c r="AA688" s="76">
        <f t="shared" si="1262"/>
        <v>7.5755222328278287E-5</v>
      </c>
      <c r="AB688" s="168"/>
      <c r="AC688" s="168"/>
      <c r="AD688" s="163">
        <f t="shared" si="1166"/>
        <v>59102.390902073981</v>
      </c>
      <c r="AE688" s="168">
        <f t="shared" si="1274"/>
        <v>0.1546356651021579</v>
      </c>
      <c r="AF688" s="163"/>
      <c r="AG688" s="163"/>
      <c r="AH688" s="163"/>
      <c r="AI688" s="163"/>
      <c r="AJ688" s="116">
        <f t="shared" si="1276"/>
        <v>373.4653841424165</v>
      </c>
      <c r="AK688" s="114">
        <f>+AV688/$AX$13</f>
        <v>4.5045046327196608E-3</v>
      </c>
      <c r="AL688" s="115">
        <f t="shared" si="1263"/>
        <v>0.27345965613217349</v>
      </c>
      <c r="AM688" s="115">
        <f t="shared" si="1264"/>
        <v>0.39602065729786284</v>
      </c>
      <c r="AN688" s="115">
        <f t="shared" si="1265"/>
        <v>0.33051968656996361</v>
      </c>
      <c r="AO688" s="115">
        <f t="shared" si="1266"/>
        <v>9.7102906589910623E-2</v>
      </c>
      <c r="AP688" s="166">
        <f t="shared" ref="AP688:AP701" si="1278">+AP687*EXP(AO688)</f>
        <v>88.57974227259912</v>
      </c>
      <c r="AQ688" s="168">
        <f t="shared" ref="AQ688:AQ701" si="1279">LN(AP688/AP687)</f>
        <v>9.7102906589910581E-2</v>
      </c>
      <c r="AR688" s="69">
        <f>+AD688/$AF$13</f>
        <v>6.5749799436806353E-3</v>
      </c>
      <c r="AS688" s="169">
        <f t="shared" si="1277"/>
        <v>6.3844966330175621E-4</v>
      </c>
      <c r="AT688" s="115"/>
      <c r="AU688" s="115"/>
      <c r="AV688" s="113">
        <f>IFERROR(INDEX('Total Customers'!$F$7:$AB$91,MATCH($C688,'Total Customers'!$D$7:$D$91,0),MATCH($G688,'Total Customers'!$F$5:$AB$5,0)),"NA")</f>
        <v>158254</v>
      </c>
      <c r="AW688" s="68">
        <f t="shared" si="1195"/>
        <v>2.359752467049911E-3</v>
      </c>
      <c r="AX688" s="114"/>
      <c r="AY688" s="114"/>
      <c r="AZ688" s="116"/>
      <c r="BA688" s="116"/>
      <c r="BB688" s="166"/>
      <c r="BC688" s="166"/>
      <c r="BD688" s="166"/>
      <c r="BE688" s="166"/>
      <c r="BF688" s="166"/>
      <c r="BG688" s="166"/>
      <c r="BH688" s="166"/>
      <c r="BI688" s="113"/>
      <c r="BJ688" s="113"/>
      <c r="BK688" s="113">
        <f>INDEX('Dist. Plant Gas Additions'!$F$7:$AE$91,MATCH($C688,'Dist. Plant Gas Additions'!$D$7:$D$91,0),MATCH(Calculation!$G688,'Dist. Plant Gas Additions'!$F$5:$AE$5,0))</f>
        <v>9519</v>
      </c>
      <c r="BL688" s="113">
        <f>INDEX('Gen. Plant Additions'!$F$7:$AE$91,MATCH($C688,'Gen. Plant Additions'!$D$7:$D$91,0),MATCH(Calculation!$G688,'Gen. Plant Additions'!$F$5:$AE$5,0))</f>
        <v>846</v>
      </c>
      <c r="BM688" s="231">
        <f t="shared" si="1244"/>
        <v>0.95610106414071261</v>
      </c>
      <c r="BN688" s="61">
        <f t="shared" si="1241"/>
        <v>808.8615002630429</v>
      </c>
      <c r="BO688" s="113">
        <f>INDEX('Dist Plant Depreciation'!$E$7:$AD$94,MATCH($C688,'Dist Plant Depreciation'!$D$7:$D$94,0),MATCH(Calculation!$G688,'Dist Plant Depreciation'!$E$5:$AD$5,0))</f>
        <v>132473</v>
      </c>
      <c r="BP688" s="113">
        <f>INDEX('Gen. Plant Depreciation'!$E$7:$AD$94,MATCH($C688,'Gen. Plant Depreciation'!$D$7:$D$94,0),MATCH(Calculation!$G688,'Gen. Plant Depreciation'!$E$5:$AD$5,0))</f>
        <v>8678</v>
      </c>
      <c r="BQ688" s="113"/>
      <c r="BR688" s="113"/>
      <c r="BS688" s="113"/>
      <c r="BT688" s="113"/>
      <c r="BU688" s="113"/>
      <c r="BV688" s="113"/>
      <c r="BW688" s="113">
        <f>INDEX('Gross Dx Plant'!$E$7:$AD$91,MATCH($C688,'Gross Dx Plant'!$D$7:$D$91,0),MATCH(Calculation!$G688,'Gross Dx Plant'!$E$5:$AD$5,0))</f>
        <v>343486</v>
      </c>
      <c r="BX688" s="113">
        <f>INDEX('Gross Gen Plant'!$E$7:$AD$91,MATCH($C688,'Gross Gen Plant'!$D$7:$D$91,0),MATCH(Calculation!$G688,'Gross Gen Plant'!$E$5:$AD$5,0))</f>
        <v>15771</v>
      </c>
      <c r="BY688" s="113">
        <f t="shared" si="1196"/>
        <v>218106</v>
      </c>
      <c r="BZ688" s="113"/>
      <c r="CA688" s="116">
        <v>2008</v>
      </c>
      <c r="CB688" s="113"/>
      <c r="CC688" s="113"/>
      <c r="CD688" s="113"/>
      <c r="CE688" s="175"/>
      <c r="CF688" s="113">
        <f t="shared" si="1245"/>
        <v>10365</v>
      </c>
      <c r="CG688" s="113">
        <f t="shared" si="1246"/>
        <v>18.188001182246886</v>
      </c>
      <c r="CH688" s="178">
        <v>0.94252873563218387</v>
      </c>
      <c r="CI688" s="61">
        <f>+CI678*CH688+CG679*CH687+CG680*CH686+CG681*CH685+CG682*CH684+CG683*CH683+CG684*CH682+CG685*CH681+CG686*CH680+CG687*CH679+CG688</f>
        <v>1004.5628412627908</v>
      </c>
      <c r="CJ688" s="114">
        <f t="shared" si="1247"/>
        <v>1.1521741963804524E-2</v>
      </c>
      <c r="CK688" s="114"/>
      <c r="CL688" s="169">
        <f t="shared" si="1248"/>
        <v>6.7268282781277637E-3</v>
      </c>
      <c r="CM688" s="169">
        <f t="shared" si="1256"/>
        <v>6.4953323916035546E-3</v>
      </c>
      <c r="CN688" s="114">
        <f>VLOOKUP($H688,RoR!$E:$F,2,FALSE)</f>
        <v>5.6316666666666668E-2</v>
      </c>
      <c r="CO688" s="169">
        <v>1.9092304698479889E-2</v>
      </c>
      <c r="CP688" s="169">
        <f t="shared" si="1254"/>
        <v>3.7224361968186778E-2</v>
      </c>
      <c r="CQ688" s="169">
        <f t="shared" si="1257"/>
        <v>2.440660921693007E-2</v>
      </c>
      <c r="CR688" s="169">
        <v>6.9030581091053131E-2</v>
      </c>
      <c r="CS688" s="179">
        <f t="shared" si="1249"/>
        <v>0.85171695000000003</v>
      </c>
      <c r="CT688" s="180">
        <f t="shared" si="1250"/>
        <v>0.91060168006009956</v>
      </c>
      <c r="CU688" s="180">
        <f t="shared" si="1251"/>
        <v>0.53108168097070152</v>
      </c>
      <c r="CV688" s="180">
        <f t="shared" si="1252"/>
        <v>0.88825329850328805</v>
      </c>
      <c r="CW688" s="180">
        <f t="shared" si="1253"/>
        <v>0.4295627335323573</v>
      </c>
      <c r="CX688" s="181">
        <f>INDEX('State Tax Lookup'!$D$7:$Z$91,MATCH(Calculation!$C688,'State Tax Lookup'!$B$7:$B$91,0),MATCH($H688,'State Tax Lookup'!$D$6:$Z$6,0))</f>
        <v>0.40076499999999998</v>
      </c>
      <c r="CY688" s="72">
        <v>0.37</v>
      </c>
      <c r="CZ688" s="70">
        <f t="shared" si="1255"/>
        <v>19.671120628852723</v>
      </c>
      <c r="DA688" s="70">
        <v>18.300102035478151</v>
      </c>
      <c r="DB688" s="69">
        <f t="shared" si="1258"/>
        <v>0.1261661953690057</v>
      </c>
      <c r="DC688" s="111">
        <f>VLOOKUP($H688,RoR!$E:$F,2,FALSE)</f>
        <v>5.6316666666666668E-2</v>
      </c>
      <c r="DD688" s="216">
        <f>HLOOKUP($H688,'GDP-PI'!$D$8:$CQ$11,3,FALSE)</f>
        <v>1.9092304698479889E-2</v>
      </c>
      <c r="DE688" s="111">
        <f>VLOOKUP(H688,'HW Dx Data'!$E:$F,2,FALSE)</f>
        <v>569.88120333515076</v>
      </c>
      <c r="DF688" s="72">
        <f t="shared" si="1267"/>
        <v>107.9</v>
      </c>
      <c r="DG688" s="69">
        <f t="shared" si="1268"/>
        <v>3.1778595021460486E-2</v>
      </c>
      <c r="DH688" s="66">
        <f>HLOOKUP(H688,'GDP-PI'!$8:$9,2,FALSE)</f>
        <v>94.263999999999996</v>
      </c>
      <c r="DI688" s="69">
        <f t="shared" si="1259"/>
        <v>1.8912333748032254E-2</v>
      </c>
      <c r="EB688"/>
    </row>
    <row r="689" spans="1:132" s="160" customFormat="1" ht="21">
      <c r="A689" s="160" t="s">
        <v>199</v>
      </c>
      <c r="B689" s="161" t="s">
        <v>199</v>
      </c>
      <c r="C689" s="161">
        <v>4057130</v>
      </c>
      <c r="D689" s="161" t="s">
        <v>200</v>
      </c>
      <c r="E689" s="161"/>
      <c r="F689" s="161"/>
      <c r="G689" s="161" t="s">
        <v>125</v>
      </c>
      <c r="H689" s="162">
        <v>2009</v>
      </c>
      <c r="I689" s="163"/>
      <c r="J689" s="159">
        <f>IFERROR(INDEX('Labor Expenditures'!$F$7:$X$91,MATCH($C689,'Labor Expenditures'!$D$7:$D$91,0),MATCH($G689,'Labor Expenditures'!$F$5:$X$5,0)),"NA")</f>
        <v>17094.090313365698</v>
      </c>
      <c r="K689" s="159">
        <f t="shared" si="1260"/>
        <v>154.1049385924336</v>
      </c>
      <c r="L689" s="165">
        <f t="shared" si="1269"/>
        <v>2.841318184884721E-2</v>
      </c>
      <c r="M689" s="76">
        <f t="shared" si="1270"/>
        <v>1.8417807120924516E-4</v>
      </c>
      <c r="N689" s="62">
        <f t="shared" si="1275"/>
        <v>117.66501622509782</v>
      </c>
      <c r="O689" s="96">
        <f t="shared" si="1271"/>
        <v>6.8032425690131848E-2</v>
      </c>
      <c r="P689" s="96"/>
      <c r="Q689" s="159">
        <f>IFERROR(INDEX('Non-Labor Expenditures'!$F$7:$AB$91,MATCH($C689,'Non-Labor Expenditures'!$D$7:$D$91,0),MATCH($G689,'Non-Labor Expenditures'!$F$5:$AB$5,0)),"NA")</f>
        <v>24755.435509419724</v>
      </c>
      <c r="R689" s="159">
        <f t="shared" si="1261"/>
        <v>260.58627469152015</v>
      </c>
      <c r="S689" s="165">
        <f t="shared" si="1272"/>
        <v>4.8295598031421749E-2</v>
      </c>
      <c r="T689" s="165">
        <f t="shared" si="1273"/>
        <v>3.1305857051293839E-4</v>
      </c>
      <c r="U689" s="165"/>
      <c r="V689" s="165"/>
      <c r="W689" s="159">
        <f t="shared" si="1243"/>
        <v>18924.600558270569</v>
      </c>
      <c r="X689" s="163"/>
      <c r="Y689" s="167">
        <v>1011.3538504110752</v>
      </c>
      <c r="Z689" s="168">
        <v>6.7374161490666353E-3</v>
      </c>
      <c r="AA689" s="76">
        <f t="shared" si="1262"/>
        <v>4.3672838820741184E-5</v>
      </c>
      <c r="AB689" s="168"/>
      <c r="AC689" s="168"/>
      <c r="AD689" s="163">
        <f t="shared" si="1166"/>
        <v>60774.12638105599</v>
      </c>
      <c r="AE689" s="168">
        <f t="shared" si="1274"/>
        <v>2.7892766666012491E-2</v>
      </c>
      <c r="AF689" s="163"/>
      <c r="AG689" s="163"/>
      <c r="AH689" s="163"/>
      <c r="AI689" s="163"/>
      <c r="AJ689" s="116">
        <f t="shared" si="1276"/>
        <v>384.64393504506927</v>
      </c>
      <c r="AK689" s="114">
        <f>+AV689/$AX$14</f>
        <v>4.4915702572374235E-3</v>
      </c>
      <c r="AL689" s="115">
        <f t="shared" si="1263"/>
        <v>0.28127249754583272</v>
      </c>
      <c r="AM689" s="115">
        <f t="shared" si="1264"/>
        <v>0.40733511090233104</v>
      </c>
      <c r="AN689" s="115">
        <f t="shared" si="1265"/>
        <v>0.31139239155183629</v>
      </c>
      <c r="AO689" s="115">
        <f t="shared" si="1266"/>
        <v>2.9442540809247589E-2</v>
      </c>
      <c r="AP689" s="166">
        <f t="shared" si="1278"/>
        <v>91.226527797426257</v>
      </c>
      <c r="AQ689" s="168">
        <f t="shared" si="1279"/>
        <v>2.9442540809247613E-2</v>
      </c>
      <c r="AR689" s="69">
        <f>+AD689/$AF$14</f>
        <v>6.4821346721756793E-3</v>
      </c>
      <c r="AS689" s="169">
        <f t="shared" si="1277"/>
        <v>1.9085051461657134E-4</v>
      </c>
      <c r="AT689" s="115"/>
      <c r="AU689" s="115"/>
      <c r="AV689" s="113">
        <f>IFERROR(INDEX('Total Customers'!$F$7:$AB$91,MATCH($C689,'Total Customers'!$D$7:$D$91,0),MATCH($G689,'Total Customers'!$F$5:$AB$5,0)),"NA")</f>
        <v>158001</v>
      </c>
      <c r="AW689" s="68">
        <f t="shared" si="1195"/>
        <v>-1.5999750452745393E-3</v>
      </c>
      <c r="AX689" s="114"/>
      <c r="AY689" s="114"/>
      <c r="AZ689" s="116"/>
      <c r="BA689" s="116"/>
      <c r="BB689" s="166"/>
      <c r="BC689" s="166"/>
      <c r="BD689" s="166"/>
      <c r="BE689" s="166"/>
      <c r="BF689" s="166"/>
      <c r="BG689" s="166"/>
      <c r="BH689" s="166"/>
      <c r="BI689" s="113"/>
      <c r="BJ689" s="113"/>
      <c r="BK689" s="113">
        <f>INDEX('Dist. Plant Gas Additions'!$F$7:$AE$91,MATCH($C689,'Dist. Plant Gas Additions'!$D$7:$D$91,0),MATCH(Calculation!$G689,'Dist. Plant Gas Additions'!$F$5:$AE$5,0))</f>
        <v>6411</v>
      </c>
      <c r="BL689" s="113">
        <f>INDEX('Gen. Plant Additions'!$F$7:$AE$91,MATCH($C689,'Gen. Plant Additions'!$D$7:$D$91,0),MATCH(Calculation!$G689,'Gen. Plant Additions'!$F$5:$AE$5,0))</f>
        <v>1188</v>
      </c>
      <c r="BM689" s="231">
        <f t="shared" si="1244"/>
        <v>0.95544084767716542</v>
      </c>
      <c r="BN689" s="61">
        <f t="shared" si="1241"/>
        <v>1135.0637270404725</v>
      </c>
      <c r="BO689" s="113">
        <f>INDEX('Dist Plant Depreciation'!$E$7:$AD$94,MATCH($C689,'Dist Plant Depreciation'!$D$7:$D$94,0),MATCH(Calculation!$G689,'Dist Plant Depreciation'!$E$5:$AD$5,0))</f>
        <v>134822</v>
      </c>
      <c r="BP689" s="113">
        <f>INDEX('Gen. Plant Depreciation'!$E$7:$AD$94,MATCH($C689,'Gen. Plant Depreciation'!$D$7:$D$94,0),MATCH(Calculation!$G689,'Gen. Plant Depreciation'!$E$5:$AD$5,0))</f>
        <v>9230</v>
      </c>
      <c r="BQ689" s="113"/>
      <c r="BR689" s="113"/>
      <c r="BS689" s="113"/>
      <c r="BT689" s="113"/>
      <c r="BU689" s="113"/>
      <c r="BV689" s="113"/>
      <c r="BW689" s="113">
        <f>INDEX('Gross Dx Plant'!$E$7:$AD$91,MATCH($C689,'Gross Dx Plant'!$D$7:$D$91,0),MATCH(Calculation!$G689,'Gross Dx Plant'!$E$5:$AD$5,0))</f>
        <v>347426</v>
      </c>
      <c r="BX689" s="113">
        <f>INDEX('Gross Gen Plant'!$E$7:$AD$91,MATCH($C689,'Gross Gen Plant'!$D$7:$D$91,0),MATCH(Calculation!$G689,'Gross Gen Plant'!$E$5:$AD$5,0))</f>
        <v>16203</v>
      </c>
      <c r="BY689" s="113">
        <f t="shared" si="1196"/>
        <v>219577</v>
      </c>
      <c r="BZ689" s="113"/>
      <c r="CA689" s="116">
        <v>2009</v>
      </c>
      <c r="CB689" s="113"/>
      <c r="CC689" s="113"/>
      <c r="CD689" s="113"/>
      <c r="CE689" s="175"/>
      <c r="CF689" s="113">
        <f t="shared" si="1245"/>
        <v>7599</v>
      </c>
      <c r="CG689" s="113">
        <f t="shared" si="1246"/>
        <v>13.792774561301648</v>
      </c>
      <c r="CH689" s="178">
        <v>0.93567251461988299</v>
      </c>
      <c r="CI689" s="61">
        <f>+CI678*CH689+CG679*CH688+CG680*CH687+CG681*CH686+CG682*CH685+CG683*CH684+CG684*CH683+CG685*CH682+CG686*CH681+CG687*CH680+CG688*CH679+CG689</f>
        <v>1011.3538504110752</v>
      </c>
      <c r="CJ689" s="114">
        <f t="shared" si="1247"/>
        <v>6.7374161490666353E-3</v>
      </c>
      <c r="CK689" s="114"/>
      <c r="CL689" s="169">
        <f t="shared" si="1248"/>
        <v>6.9699625801564148E-3</v>
      </c>
      <c r="CM689" s="169">
        <f t="shared" si="1256"/>
        <v>6.728995498055103E-3</v>
      </c>
      <c r="CN689" s="114">
        <f>VLOOKUP($H689,RoR!$E:$F,2,FALSE)</f>
        <v>5.3133333333333324E-2</v>
      </c>
      <c r="CO689" s="169">
        <v>7.7972502758210105E-3</v>
      </c>
      <c r="CP689" s="169">
        <f t="shared" si="1254"/>
        <v>4.5336083057512314E-2</v>
      </c>
      <c r="CQ689" s="169">
        <f t="shared" si="1257"/>
        <v>2.4172946110478523E-2</v>
      </c>
      <c r="CR689" s="169">
        <v>6.3720160300892073E-2</v>
      </c>
      <c r="CS689" s="179">
        <f t="shared" si="1249"/>
        <v>0.85171695000000003</v>
      </c>
      <c r="CT689" s="180">
        <f t="shared" si="1250"/>
        <v>0.96515780330083989</v>
      </c>
      <c r="CU689" s="180">
        <f t="shared" si="1251"/>
        <v>0.50448557089084056</v>
      </c>
      <c r="CV689" s="180">
        <f t="shared" si="1252"/>
        <v>0.87391435735465484</v>
      </c>
      <c r="CW689" s="180">
        <f t="shared" si="1253"/>
        <v>0.42551605393279146</v>
      </c>
      <c r="CX689" s="181">
        <f>INDEX('State Tax Lookup'!$D$7:$Z$91,MATCH(Calculation!$C689,'State Tax Lookup'!$B$7:$B$91,0),MATCH($H689,'State Tax Lookup'!$D$6:$Z$6,0))</f>
        <v>0.40076499999999998</v>
      </c>
      <c r="CY689" s="72">
        <v>0.37</v>
      </c>
      <c r="CZ689" s="70">
        <f t="shared" si="1255"/>
        <v>18.83864282146979</v>
      </c>
      <c r="DA689" s="70">
        <v>17.478615056163342</v>
      </c>
      <c r="DB689" s="69">
        <f t="shared" si="1258"/>
        <v>-4.3241372773630819E-2</v>
      </c>
      <c r="DC689" s="111">
        <f>VLOOKUP($H689,RoR!$E:$F,2,FALSE)</f>
        <v>5.3133333333333324E-2</v>
      </c>
      <c r="DD689" s="216">
        <f>HLOOKUP($H689,'GDP-PI'!$D$8:$CQ$11,3,FALSE)</f>
        <v>7.7972502758210105E-3</v>
      </c>
      <c r="DE689" s="111">
        <f>VLOOKUP(H689,'HW Dx Data'!$E:$F,2,FALSE)</f>
        <v>550.94063679692806</v>
      </c>
      <c r="DF689" s="72">
        <f t="shared" si="1267"/>
        <v>110.925</v>
      </c>
      <c r="DG689" s="69">
        <f t="shared" si="1268"/>
        <v>2.7649425000884052E-2</v>
      </c>
      <c r="DH689" s="66">
        <f>HLOOKUP(H689,'GDP-PI'!$8:$9,2,FALSE)</f>
        <v>94.998999999999995</v>
      </c>
      <c r="DI689" s="69">
        <f t="shared" si="1259"/>
        <v>7.7670088183096342E-3</v>
      </c>
      <c r="EB689"/>
    </row>
    <row r="690" spans="1:132" s="160" customFormat="1" ht="21">
      <c r="A690" s="160" t="s">
        <v>199</v>
      </c>
      <c r="B690" s="161" t="s">
        <v>199</v>
      </c>
      <c r="C690" s="161">
        <v>4057130</v>
      </c>
      <c r="D690" s="161" t="s">
        <v>200</v>
      </c>
      <c r="E690" s="161"/>
      <c r="F690" s="161"/>
      <c r="G690" s="161" t="s">
        <v>126</v>
      </c>
      <c r="H690" s="162">
        <v>2010</v>
      </c>
      <c r="I690" s="163"/>
      <c r="J690" s="159">
        <f>IFERROR(INDEX('Labor Expenditures'!$F$7:$X$91,MATCH($C690,'Labor Expenditures'!$D$7:$D$91,0),MATCH($G690,'Labor Expenditures'!$F$5:$X$5,0)),"NA")</f>
        <v>19317.156288614809</v>
      </c>
      <c r="K690" s="159">
        <f t="shared" si="1260"/>
        <v>165.2098036229618</v>
      </c>
      <c r="L690" s="165">
        <f t="shared" si="1269"/>
        <v>6.9582413506544219E-2</v>
      </c>
      <c r="M690" s="76">
        <f t="shared" si="1270"/>
        <v>4.7823417226055837E-4</v>
      </c>
      <c r="N690" s="62">
        <f t="shared" si="1275"/>
        <v>96.81408729163536</v>
      </c>
      <c r="O690" s="96">
        <f t="shared" si="1271"/>
        <v>-0.19504922818486387</v>
      </c>
      <c r="P690" s="96"/>
      <c r="Q690" s="159">
        <f>IFERROR(INDEX('Non-Labor Expenditures'!$F$7:$AB$91,MATCH($C690,'Non-Labor Expenditures'!$D$7:$D$91,0),MATCH($G690,'Non-Labor Expenditures'!$F$5:$AB$5,0)),"NA")</f>
        <v>27974.850253030549</v>
      </c>
      <c r="R690" s="159">
        <f t="shared" si="1261"/>
        <v>291.074199638229</v>
      </c>
      <c r="S690" s="165">
        <f t="shared" si="1272"/>
        <v>0.1106442210463703</v>
      </c>
      <c r="T690" s="165">
        <f t="shared" si="1273"/>
        <v>7.6044857890059548E-4</v>
      </c>
      <c r="U690" s="165"/>
      <c r="V690" s="165"/>
      <c r="W690" s="159">
        <f t="shared" si="1243"/>
        <v>19499.492072419624</v>
      </c>
      <c r="X690" s="163"/>
      <c r="Y690" s="167">
        <v>1021.7424019410886</v>
      </c>
      <c r="Z690" s="168">
        <v>1.0219527906543688E-2</v>
      </c>
      <c r="AA690" s="76">
        <f t="shared" si="1262"/>
        <v>7.0237969955151745E-5</v>
      </c>
      <c r="AB690" s="168"/>
      <c r="AC690" s="168"/>
      <c r="AD690" s="163">
        <f t="shared" si="1166"/>
        <v>66791.498614064985</v>
      </c>
      <c r="AE690" s="168">
        <f t="shared" si="1274"/>
        <v>9.4411660731437877E-2</v>
      </c>
      <c r="AF690" s="163"/>
      <c r="AG690" s="163"/>
      <c r="AH690" s="163"/>
      <c r="AI690" s="163"/>
      <c r="AJ690" s="116">
        <f t="shared" si="1276"/>
        <v>423.12735102542246</v>
      </c>
      <c r="AK690" s="114">
        <f>+AV690/$AX$15</f>
        <v>4.4627825052547644E-3</v>
      </c>
      <c r="AL690" s="115">
        <f t="shared" si="1263"/>
        <v>0.28921579376790618</v>
      </c>
      <c r="AM690" s="115">
        <f t="shared" si="1264"/>
        <v>0.41883848743498009</v>
      </c>
      <c r="AN690" s="115">
        <f t="shared" si="1265"/>
        <v>0.29194571879711367</v>
      </c>
      <c r="AO690" s="115">
        <f t="shared" si="1266"/>
        <v>6.8636558539867734E-2</v>
      </c>
      <c r="AP690" s="166">
        <f t="shared" si="1278"/>
        <v>97.707887565832891</v>
      </c>
      <c r="AQ690" s="168">
        <f t="shared" si="1279"/>
        <v>6.8636558539867831E-2</v>
      </c>
      <c r="AR690" s="69">
        <f>+AD690/$AF$15</f>
        <v>6.8729172812549899E-3</v>
      </c>
      <c r="AS690" s="169">
        <f t="shared" si="1277"/>
        <v>4.717333893145274E-4</v>
      </c>
      <c r="AT690" s="115"/>
      <c r="AU690" s="115"/>
      <c r="AV690" s="113">
        <f>IFERROR(INDEX('Total Customers'!$F$7:$AB$91,MATCH($C690,'Total Customers'!$D$7:$D$91,0),MATCH($G690,'Total Customers'!$F$5:$AB$5,0)),"NA")</f>
        <v>157852</v>
      </c>
      <c r="AW690" s="68">
        <f t="shared" si="1195"/>
        <v>-9.4347694055577536E-4</v>
      </c>
      <c r="AX690" s="114"/>
      <c r="AY690" s="114"/>
      <c r="AZ690" s="116"/>
      <c r="BA690" s="116"/>
      <c r="BB690" s="166"/>
      <c r="BC690" s="166"/>
      <c r="BD690" s="166"/>
      <c r="BE690" s="166"/>
      <c r="BF690" s="166"/>
      <c r="BG690" s="166"/>
      <c r="BH690" s="166"/>
      <c r="BI690" s="113"/>
      <c r="BJ690" s="113"/>
      <c r="BK690" s="113">
        <f>INDEX('Dist. Plant Gas Additions'!$F$7:$AE$91,MATCH($C690,'Dist. Plant Gas Additions'!$D$7:$D$91,0),MATCH(Calculation!$G690,'Dist. Plant Gas Additions'!$F$5:$AE$5,0))</f>
        <v>9532</v>
      </c>
      <c r="BL690" s="113">
        <f>INDEX('Gen. Plant Additions'!$F$7:$AE$91,MATCH($C690,'Gen. Plant Additions'!$D$7:$D$91,0),MATCH(Calculation!$G690,'Gen. Plant Additions'!$F$5:$AE$5,0))</f>
        <v>542</v>
      </c>
      <c r="BM690" s="231">
        <f t="shared" si="1244"/>
        <v>0.9638174107553904</v>
      </c>
      <c r="BN690" s="61">
        <f>+BM690*BL690</f>
        <v>522.38903662942164</v>
      </c>
      <c r="BO690" s="113">
        <f>INDEX('Dist Plant Depreciation'!$E$7:$AD$94,MATCH($C690,'Dist Plant Depreciation'!$D$7:$D$94,0),MATCH(Calculation!$G690,'Dist Plant Depreciation'!$E$5:$AD$5,0))</f>
        <v>140663</v>
      </c>
      <c r="BP690" s="113">
        <f>INDEX('Gen. Plant Depreciation'!$E$7:$AD$94,MATCH($C690,'Gen. Plant Depreciation'!$D$7:$D$94,0),MATCH(Calculation!$G690,'Gen. Plant Depreciation'!$E$5:$AD$5,0))</f>
        <v>7033</v>
      </c>
      <c r="BQ690" s="113"/>
      <c r="BR690" s="113"/>
      <c r="BS690" s="113"/>
      <c r="BT690" s="113"/>
      <c r="BU690" s="113"/>
      <c r="BV690" s="113"/>
      <c r="BW690" s="113">
        <f>INDEX('Gross Dx Plant'!$E$7:$AD$91,MATCH($C690,'Gross Dx Plant'!$D$7:$D$91,0),MATCH(Calculation!$G690,'Gross Dx Plant'!$E$5:$AD$5,0))</f>
        <v>355905</v>
      </c>
      <c r="BX690" s="113">
        <f>INDEX('Gross Gen Plant'!$E$7:$AD$91,MATCH($C690,'Gross Gen Plant'!$D$7:$D$91,0),MATCH(Calculation!$G690,'Gross Gen Plant'!$E$5:$AD$5,0))</f>
        <v>13361</v>
      </c>
      <c r="BY690" s="113">
        <f t="shared" si="1196"/>
        <v>221570</v>
      </c>
      <c r="BZ690" s="113"/>
      <c r="CA690" s="116">
        <v>2010</v>
      </c>
      <c r="CB690" s="113"/>
      <c r="CC690" s="113"/>
      <c r="CD690" s="113"/>
      <c r="CE690" s="175"/>
      <c r="CF690" s="113">
        <f t="shared" si="1245"/>
        <v>10074</v>
      </c>
      <c r="CG690" s="113">
        <f t="shared" si="1246"/>
        <v>17.7050718043842</v>
      </c>
      <c r="CH690" s="178">
        <v>0.9285714285714286</v>
      </c>
      <c r="CI690" s="61">
        <f>+CI678*CH690+CG679*CH689+CG680*CH688+CG681*CH687+CG682*CH686+CG683*CH685+CG684*CH684+CG685*CH683+CG686*CH682+CG687*CH681+CG688*CH680+CG689*CH679+CG690</f>
        <v>1021.7424019410886</v>
      </c>
      <c r="CJ690" s="114">
        <f t="shared" si="1247"/>
        <v>1.0219527906543688E-2</v>
      </c>
      <c r="CK690" s="114"/>
      <c r="CL690" s="169">
        <f t="shared" si="1248"/>
        <v>7.2343821812681465E-3</v>
      </c>
      <c r="CM690" s="169">
        <f t="shared" si="1256"/>
        <v>6.9770576798507747E-3</v>
      </c>
      <c r="CN690" s="114">
        <f>VLOOKUP($H690,RoR!$E:$F,2,FALSE)</f>
        <v>4.9433333333333322E-2</v>
      </c>
      <c r="CO690" s="169">
        <v>1.1684333519300205E-2</v>
      </c>
      <c r="CP690" s="169">
        <f t="shared" si="1254"/>
        <v>3.7748999814033117E-2</v>
      </c>
      <c r="CQ690" s="169">
        <f t="shared" si="1257"/>
        <v>2.392488392868285E-2</v>
      </c>
      <c r="CR690" s="169">
        <v>4.7937530248493419E-2</v>
      </c>
      <c r="CS690" s="179">
        <f t="shared" si="1249"/>
        <v>0.85171695000000003</v>
      </c>
      <c r="CT690" s="180">
        <f t="shared" si="1250"/>
        <v>1.037398205301105</v>
      </c>
      <c r="CU690" s="180">
        <f t="shared" si="1251"/>
        <v>0.46926837491571133</v>
      </c>
      <c r="CV690" s="180">
        <f t="shared" si="1252"/>
        <v>0.8548537519972772</v>
      </c>
      <c r="CW690" s="180">
        <f t="shared" si="1253"/>
        <v>0.41615833911547367</v>
      </c>
      <c r="CX690" s="181">
        <f>INDEX('State Tax Lookup'!$D$7:$Z$91,MATCH(Calculation!$C690,'State Tax Lookup'!$B$7:$B$91,0),MATCH($H690,'State Tax Lookup'!$D$6:$Z$6,0))</f>
        <v>0.40076499999999998</v>
      </c>
      <c r="CY690" s="72">
        <v>0.37</v>
      </c>
      <c r="CZ690" s="70">
        <f t="shared" si="1255"/>
        <v>19.280583214760942</v>
      </c>
      <c r="DA690" s="70">
        <v>17.956102603965455</v>
      </c>
      <c r="DB690" s="69">
        <f t="shared" si="1258"/>
        <v>2.3188308976703285E-2</v>
      </c>
      <c r="DC690" s="111">
        <f>VLOOKUP($H690,RoR!$E:$F,2,FALSE)</f>
        <v>4.9433333333333322E-2</v>
      </c>
      <c r="DD690" s="216">
        <f>HLOOKUP($H690,'GDP-PI'!$D$8:$CQ$11,3,FALSE)</f>
        <v>1.1684333519300205E-2</v>
      </c>
      <c r="DE690" s="111">
        <f>VLOOKUP(H690,'HW Dx Data'!$E:$F,2,FALSE)</f>
        <v>568.98950262971744</v>
      </c>
      <c r="DF690" s="72">
        <f t="shared" si="1267"/>
        <v>116.925</v>
      </c>
      <c r="DG690" s="69">
        <f t="shared" si="1268"/>
        <v>5.2678406346976722E-2</v>
      </c>
      <c r="DH690" s="66">
        <f>HLOOKUP(H690,'GDP-PI'!$8:$9,2,FALSE)</f>
        <v>96.108999999999995</v>
      </c>
      <c r="DI690" s="69">
        <f t="shared" si="1259"/>
        <v>1.1616598807150427E-2</v>
      </c>
      <c r="EB690"/>
    </row>
    <row r="691" spans="1:132" s="160" customFormat="1" ht="21">
      <c r="A691" s="160" t="s">
        <v>199</v>
      </c>
      <c r="B691" s="161" t="s">
        <v>199</v>
      </c>
      <c r="C691" s="161">
        <v>4057130</v>
      </c>
      <c r="D691" s="161" t="s">
        <v>200</v>
      </c>
      <c r="E691" s="161"/>
      <c r="F691" s="161"/>
      <c r="G691" s="161" t="s">
        <v>127</v>
      </c>
      <c r="H691" s="162">
        <v>2011</v>
      </c>
      <c r="I691" s="163"/>
      <c r="J691" s="159">
        <f>IFERROR(INDEX('Labor Expenditures'!$F$7:$X$91,MATCH($C691,'Labor Expenditures'!$D$7:$D$91,0),MATCH($G691,'Labor Expenditures'!$F$5:$X$5,0)),"NA")</f>
        <v>18074.186524216544</v>
      </c>
      <c r="K691" s="159">
        <f t="shared" si="1260"/>
        <v>149.52791333374597</v>
      </c>
      <c r="L691" s="165">
        <f t="shared" si="1269"/>
        <v>-9.9733116625876514E-2</v>
      </c>
      <c r="M691" s="76">
        <f t="shared" si="1270"/>
        <v>-6.3746088838676602E-4</v>
      </c>
      <c r="N691" s="62">
        <f t="shared" si="1275"/>
        <v>116.14885287156639</v>
      </c>
      <c r="O691" s="96">
        <f t="shared" si="1271"/>
        <v>0.18208006933410897</v>
      </c>
      <c r="P691" s="96"/>
      <c r="Q691" s="159">
        <f>IFERROR(INDEX('Non-Labor Expenditures'!$F$7:$AB$91,MATCH($C691,'Non-Labor Expenditures'!$D$7:$D$91,0),MATCH($G691,'Non-Labor Expenditures'!$F$5:$AB$5,0)),"NA")</f>
        <v>26174.797879453181</v>
      </c>
      <c r="R691" s="159">
        <f t="shared" si="1261"/>
        <v>266.78487727753162</v>
      </c>
      <c r="S691" s="165">
        <f t="shared" si="1272"/>
        <v>-8.7135585677217228E-2</v>
      </c>
      <c r="T691" s="165">
        <f t="shared" si="1273"/>
        <v>-5.5694166326181324E-4</v>
      </c>
      <c r="U691" s="165"/>
      <c r="V691" s="165"/>
      <c r="W691" s="159">
        <f t="shared" si="1243"/>
        <v>20984.476644314349</v>
      </c>
      <c r="X691" s="163"/>
      <c r="Y691" s="167">
        <v>1026.5336165918623</v>
      </c>
      <c r="Z691" s="168">
        <v>4.6782985749839485E-3</v>
      </c>
      <c r="AA691" s="76">
        <f t="shared" si="1262"/>
        <v>2.9902127464189227E-5</v>
      </c>
      <c r="AB691" s="168"/>
      <c r="AC691" s="168"/>
      <c r="AD691" s="163">
        <f t="shared" si="1166"/>
        <v>65233.461047984078</v>
      </c>
      <c r="AE691" s="168">
        <f t="shared" si="1274"/>
        <v>-2.3603262642311364E-2</v>
      </c>
      <c r="AF691" s="163"/>
      <c r="AG691" s="163"/>
      <c r="AH691" s="163"/>
      <c r="AI691" s="163"/>
      <c r="AJ691" s="116">
        <f t="shared" si="1276"/>
        <v>412.23599810408092</v>
      </c>
      <c r="AK691" s="114">
        <f>+AV691/$AX$16</f>
        <v>4.4522506158797097E-3</v>
      </c>
      <c r="AL691" s="115">
        <f t="shared" si="1263"/>
        <v>0.27706925608196126</v>
      </c>
      <c r="AM691" s="115">
        <f t="shared" si="1264"/>
        <v>0.40124803220543004</v>
      </c>
      <c r="AN691" s="115">
        <f t="shared" si="1265"/>
        <v>0.32168271171260865</v>
      </c>
      <c r="AO691" s="115">
        <f t="shared" si="1266"/>
        <v>-6.253267755150084E-2</v>
      </c>
      <c r="AP691" s="166">
        <f t="shared" si="1278"/>
        <v>91.785066559008712</v>
      </c>
      <c r="AQ691" s="168">
        <f t="shared" si="1279"/>
        <v>-6.2532677551500812E-2</v>
      </c>
      <c r="AR691" s="69">
        <f>+AD691/$AF$16</f>
        <v>6.3916671809027973E-3</v>
      </c>
      <c r="AS691" s="169">
        <f t="shared" si="1277"/>
        <v>-3.9968806283990481E-4</v>
      </c>
      <c r="AT691" s="115"/>
      <c r="AU691" s="115"/>
      <c r="AV691" s="113">
        <f>IFERROR(INDEX('Total Customers'!$F$7:$AB$91,MATCH($C691,'Total Customers'!$D$7:$D$91,0),MATCH($G691,'Total Customers'!$F$5:$AB$5,0)),"NA")</f>
        <v>158243</v>
      </c>
      <c r="AW691" s="68">
        <f t="shared" si="1195"/>
        <v>2.4739410583686432E-3</v>
      </c>
      <c r="AX691" s="114"/>
      <c r="AY691" s="114"/>
      <c r="AZ691" s="116"/>
      <c r="BA691" s="116"/>
      <c r="BB691" s="166"/>
      <c r="BC691" s="166"/>
      <c r="BD691" s="166"/>
      <c r="BE691" s="166"/>
      <c r="BF691" s="166"/>
      <c r="BG691" s="166"/>
      <c r="BH691" s="166"/>
      <c r="BI691" s="113"/>
      <c r="BJ691" s="113"/>
      <c r="BK691" s="113">
        <f>INDEX('Dist. Plant Gas Additions'!$F$7:$AE$91,MATCH($C691,'Dist. Plant Gas Additions'!$D$7:$D$91,0),MATCH(Calculation!$G691,'Dist. Plant Gas Additions'!$F$5:$AE$5,0))</f>
        <v>5979</v>
      </c>
      <c r="BL691" s="113">
        <f>INDEX('Gen. Plant Additions'!$F$7:$AE$91,MATCH($C691,'Gen. Plant Additions'!$D$7:$D$91,0),MATCH(Calculation!$G691,'Gen. Plant Additions'!$F$5:$AE$5,0))</f>
        <v>1640</v>
      </c>
      <c r="BM691" s="231">
        <f t="shared" si="1244"/>
        <v>0.96324896209990629</v>
      </c>
      <c r="BN691" s="61">
        <f t="shared" ref="BN691:BN707" si="1280">+BM691*BL691</f>
        <v>1579.7282978438463</v>
      </c>
      <c r="BO691" s="113">
        <f>INDEX('Dist Plant Depreciation'!$E$7:$AD$94,MATCH($C691,'Dist Plant Depreciation'!$D$7:$D$94,0),MATCH(Calculation!$G691,'Dist Plant Depreciation'!$E$5:$AD$5,0))</f>
        <v>145474</v>
      </c>
      <c r="BP691" s="113">
        <f>INDEX('Gen. Plant Depreciation'!$E$7:$AD$94,MATCH($C691,'Gen. Plant Depreciation'!$D$7:$D$94,0),MATCH(Calculation!$G691,'Gen. Plant Depreciation'!$E$5:$AD$5,0))</f>
        <v>6974</v>
      </c>
      <c r="BQ691" s="113"/>
      <c r="BR691" s="113"/>
      <c r="BS691" s="113"/>
      <c r="BT691" s="113"/>
      <c r="BU691" s="113"/>
      <c r="BV691" s="113"/>
      <c r="BW691" s="113">
        <f>INDEX('Gross Dx Plant'!$E$7:$AD$91,MATCH($C691,'Gross Dx Plant'!$D$7:$D$91,0),MATCH(Calculation!$G691,'Gross Dx Plant'!$E$5:$AD$5,0))</f>
        <v>359629</v>
      </c>
      <c r="BX691" s="113">
        <f>INDEX('Gross Gen Plant'!$E$7:$AD$91,MATCH($C691,'Gross Gen Plant'!$D$7:$D$91,0),MATCH(Calculation!$G691,'Gross Gen Plant'!$E$5:$AD$5,0))</f>
        <v>13721</v>
      </c>
      <c r="BY691" s="113">
        <f t="shared" si="1196"/>
        <v>220902</v>
      </c>
      <c r="BZ691" s="113"/>
      <c r="CA691" s="116">
        <v>2011</v>
      </c>
      <c r="CB691" s="113"/>
      <c r="CC691" s="113"/>
      <c r="CD691" s="113"/>
      <c r="CE691" s="175"/>
      <c r="CF691" s="113">
        <f t="shared" si="1245"/>
        <v>7619</v>
      </c>
      <c r="CG691" s="113">
        <f t="shared" si="1246"/>
        <v>12.457262545265937</v>
      </c>
      <c r="CH691" s="178">
        <v>0.92121212121212126</v>
      </c>
      <c r="CI691" s="61">
        <f>+CI678*CH691+CG679*CH690+CG680*CH689+CG681*CH688+CG682*CH687+CG683*CH686+CG684*CH685+CG685*CH684+CG686*CH683+CG687*CH682+CG688*CH681+CG689*CH680+CG690*CH679+CG691</f>
        <v>1026.5336165918623</v>
      </c>
      <c r="CJ691" s="114">
        <f t="shared" si="1247"/>
        <v>4.6782985749839485E-3</v>
      </c>
      <c r="CK691" s="114"/>
      <c r="CL691" s="169">
        <f t="shared" si="1248"/>
        <v>7.5029164688951381E-3</v>
      </c>
      <c r="CM691" s="169">
        <f t="shared" si="1256"/>
        <v>7.2357537434399001E-3</v>
      </c>
      <c r="CN691" s="114">
        <f>VLOOKUP($H691,RoR!$E:$F,2,FALSE)</f>
        <v>4.6391666666666664E-2</v>
      </c>
      <c r="CO691" s="169">
        <v>2.0840920205183799E-2</v>
      </c>
      <c r="CP691" s="169">
        <f t="shared" si="1254"/>
        <v>2.5550746461482865E-2</v>
      </c>
      <c r="CQ691" s="169">
        <f t="shared" si="1257"/>
        <v>2.3666187865093724E-2</v>
      </c>
      <c r="CR691" s="169">
        <v>2.4810540821321614E-2</v>
      </c>
      <c r="CS691" s="179">
        <f t="shared" si="1249"/>
        <v>0.85171695000000003</v>
      </c>
      <c r="CT691" s="180">
        <f t="shared" si="1250"/>
        <v>1.1054151524782025</v>
      </c>
      <c r="CU691" s="180">
        <f t="shared" si="1251"/>
        <v>0.43611011316687626</v>
      </c>
      <c r="CV691" s="180">
        <f t="shared" si="1252"/>
        <v>0.83698442246886229</v>
      </c>
      <c r="CW691" s="180">
        <f t="shared" si="1253"/>
        <v>0.40349573304423936</v>
      </c>
      <c r="CX691" s="181">
        <f>INDEX('State Tax Lookup'!$D$7:$Z$91,MATCH(Calculation!$C691,'State Tax Lookup'!$B$7:$B$91,0),MATCH($H691,'State Tax Lookup'!$D$6:$Z$6,0))</f>
        <v>0.40076499999999998</v>
      </c>
      <c r="CY691" s="72">
        <v>0.37</v>
      </c>
      <c r="CZ691" s="70">
        <f t="shared" si="1255"/>
        <v>20.537932657437338</v>
      </c>
      <c r="DA691" s="70">
        <v>19.146574949201604</v>
      </c>
      <c r="DB691" s="69">
        <f t="shared" si="1258"/>
        <v>6.3175011392527861E-2</v>
      </c>
      <c r="DC691" s="111">
        <f>VLOOKUP($H691,RoR!$E:$F,2,FALSE)</f>
        <v>4.6391666666666664E-2</v>
      </c>
      <c r="DD691" s="216">
        <f>HLOOKUP($H691,'GDP-PI'!$D$8:$CQ$11,3,FALSE)</f>
        <v>2.0840920205183799E-2</v>
      </c>
      <c r="DE691" s="111">
        <f>VLOOKUP(H691,'HW Dx Data'!$E:$F,2,FALSE)</f>
        <v>611.61109612283201</v>
      </c>
      <c r="DF691" s="72">
        <f t="shared" si="1267"/>
        <v>120.875</v>
      </c>
      <c r="DG691" s="69">
        <f t="shared" si="1268"/>
        <v>3.3224250161508609E-2</v>
      </c>
      <c r="DH691" s="66">
        <f>HLOOKUP(H691,'GDP-PI'!$8:$9,2,FALSE)</f>
        <v>98.111999999999995</v>
      </c>
      <c r="DI691" s="69">
        <f t="shared" si="1259"/>
        <v>2.0626719212849295E-2</v>
      </c>
      <c r="EB691"/>
    </row>
    <row r="692" spans="1:132" s="160" customFormat="1" ht="21">
      <c r="A692" s="160" t="s">
        <v>199</v>
      </c>
      <c r="B692" s="161" t="s">
        <v>199</v>
      </c>
      <c r="C692" s="161">
        <v>4057130</v>
      </c>
      <c r="D692" s="161" t="s">
        <v>200</v>
      </c>
      <c r="E692" s="161"/>
      <c r="F692" s="161"/>
      <c r="G692" s="161" t="s">
        <v>128</v>
      </c>
      <c r="H692" s="162">
        <v>2012</v>
      </c>
      <c r="I692" s="163"/>
      <c r="J692" s="159">
        <f>IFERROR(INDEX('Labor Expenditures'!$F$7:$X$91,MATCH($C692,'Labor Expenditures'!$D$7:$D$91,0),MATCH($G692,'Labor Expenditures'!$F$5:$X$5,0)),"NA")</f>
        <v>16891.467955283602</v>
      </c>
      <c r="K692" s="159">
        <f t="shared" si="1260"/>
        <v>135.34830092374679</v>
      </c>
      <c r="L692" s="165">
        <f t="shared" si="1269"/>
        <v>-9.9631623888037812E-2</v>
      </c>
      <c r="M692" s="76">
        <f t="shared" si="1270"/>
        <v>-5.9703897013360814E-4</v>
      </c>
      <c r="N692" s="62">
        <f t="shared" si="1275"/>
        <v>115.40873460743865</v>
      </c>
      <c r="O692" s="96">
        <f t="shared" si="1271"/>
        <v>-6.3925418516375806E-3</v>
      </c>
      <c r="P692" s="96"/>
      <c r="Q692" s="159">
        <f>IFERROR(INDEX('Non-Labor Expenditures'!$F$7:$AB$91,MATCH($C692,'Non-Labor Expenditures'!$D$7:$D$91,0),MATCH($G692,'Non-Labor Expenditures'!$F$5:$AB$5,0)),"NA")</f>
        <v>24462.000490280625</v>
      </c>
      <c r="R692" s="159">
        <f t="shared" si="1261"/>
        <v>244.62000490280624</v>
      </c>
      <c r="S692" s="165">
        <f t="shared" si="1272"/>
        <v>-8.6736624464911261E-2</v>
      </c>
      <c r="T692" s="165">
        <f t="shared" si="1273"/>
        <v>-5.1976614374558711E-4</v>
      </c>
      <c r="U692" s="165"/>
      <c r="V692" s="165"/>
      <c r="W692" s="159">
        <f t="shared" si="1243"/>
        <v>22730.142850840159</v>
      </c>
      <c r="X692" s="163"/>
      <c r="Y692" s="167">
        <v>1044.3001023366255</v>
      </c>
      <c r="Z692" s="168">
        <v>1.7159196808178984E-2</v>
      </c>
      <c r="AA692" s="76">
        <f t="shared" si="1262"/>
        <v>1.0282587787776787E-4</v>
      </c>
      <c r="AB692" s="168"/>
      <c r="AC692" s="168"/>
      <c r="AD692" s="163">
        <f t="shared" si="1166"/>
        <v>64083.611296404386</v>
      </c>
      <c r="AE692" s="168">
        <f t="shared" si="1274"/>
        <v>-1.7783886311336677E-2</v>
      </c>
      <c r="AF692" s="163"/>
      <c r="AG692" s="163"/>
      <c r="AH692" s="163"/>
      <c r="AI692" s="163"/>
      <c r="AJ692" s="116">
        <f t="shared" si="1276"/>
        <v>404.82893843513114</v>
      </c>
      <c r="AK692" s="114">
        <f>+AV692/$AX$17</f>
        <v>4.432454048969128E-3</v>
      </c>
      <c r="AL692" s="115">
        <f t="shared" si="1263"/>
        <v>0.26358483258934801</v>
      </c>
      <c r="AM692" s="115">
        <f t="shared" si="1264"/>
        <v>0.38172006844522421</v>
      </c>
      <c r="AN692" s="115">
        <f t="shared" si="1265"/>
        <v>0.35469509896542778</v>
      </c>
      <c r="AO692" s="115">
        <f t="shared" si="1266"/>
        <v>-5.5086077480030353E-2</v>
      </c>
      <c r="AP692" s="166">
        <f t="shared" si="1278"/>
        <v>86.865724797514389</v>
      </c>
      <c r="AQ692" s="168">
        <f t="shared" si="1279"/>
        <v>-5.5086077480030381E-2</v>
      </c>
      <c r="AR692" s="69">
        <f>+AD692/$AF$17</f>
        <v>5.9924645091054378E-3</v>
      </c>
      <c r="AS692" s="169">
        <f t="shared" si="1277"/>
        <v>-3.3010136424491436E-4</v>
      </c>
      <c r="AT692" s="115"/>
      <c r="AU692" s="115"/>
      <c r="AV692" s="113">
        <f>IFERROR(INDEX('Total Customers'!$F$7:$AB$91,MATCH($C692,'Total Customers'!$D$7:$D$91,0),MATCH($G692,'Total Customers'!$F$5:$AB$5,0)),"NA")</f>
        <v>158298</v>
      </c>
      <c r="AW692" s="68">
        <f t="shared" si="1195"/>
        <v>3.4750632969181674E-4</v>
      </c>
      <c r="AX692" s="114"/>
      <c r="AY692" s="114"/>
      <c r="AZ692" s="116"/>
      <c r="BA692" s="116"/>
      <c r="BB692" s="166"/>
      <c r="BC692" s="166"/>
      <c r="BD692" s="166"/>
      <c r="BE692" s="166"/>
      <c r="BF692" s="166"/>
      <c r="BG692" s="166"/>
      <c r="BH692" s="166"/>
      <c r="BI692" s="113"/>
      <c r="BJ692" s="113"/>
      <c r="BK692" s="113">
        <f>INDEX('Dist. Plant Gas Additions'!$F$7:$AE$91,MATCH($C692,'Dist. Plant Gas Additions'!$D$7:$D$91,0),MATCH(Calculation!$G692,'Dist. Plant Gas Additions'!$F$5:$AE$5,0))</f>
        <v>15082</v>
      </c>
      <c r="BL692" s="113">
        <f>INDEX('Gen. Plant Additions'!$F$7:$AE$91,MATCH($C692,'Gen. Plant Additions'!$D$7:$D$91,0),MATCH(Calculation!$G692,'Gen. Plant Additions'!$F$5:$AE$5,0))</f>
        <v>2158</v>
      </c>
      <c r="BM692" s="231">
        <f t="shared" si="1244"/>
        <v>0.96064564053359747</v>
      </c>
      <c r="BN692" s="61">
        <f t="shared" si="1280"/>
        <v>2073.0732922715033</v>
      </c>
      <c r="BO692" s="113">
        <f>INDEX('Dist Plant Depreciation'!$E$7:$AD$94,MATCH($C692,'Dist Plant Depreciation'!$D$7:$D$94,0),MATCH(Calculation!$G692,'Dist Plant Depreciation'!$E$5:$AD$5,0))</f>
        <v>150719</v>
      </c>
      <c r="BP692" s="113">
        <f>INDEX('Gen. Plant Depreciation'!$E$7:$AD$94,MATCH($C692,'Gen. Plant Depreciation'!$D$7:$D$94,0),MATCH(Calculation!$G692,'Gen. Plant Depreciation'!$E$5:$AD$5,0))</f>
        <v>7390</v>
      </c>
      <c r="BQ692" s="113"/>
      <c r="BR692" s="113"/>
      <c r="BS692" s="113"/>
      <c r="BT692" s="113"/>
      <c r="BU692" s="113"/>
      <c r="BV692" s="113"/>
      <c r="BW692" s="113">
        <f>INDEX('Gross Dx Plant'!$E$7:$AD$91,MATCH($C692,'Gross Dx Plant'!$D$7:$D$91,0),MATCH(Calculation!$G692,'Gross Dx Plant'!$E$5:$AD$5,0))</f>
        <v>372450</v>
      </c>
      <c r="BX692" s="113">
        <f>INDEX('Gross Gen Plant'!$E$7:$AD$91,MATCH($C692,'Gross Gen Plant'!$D$7:$D$91,0),MATCH(Calculation!$G692,'Gross Gen Plant'!$E$5:$AD$5,0))</f>
        <v>15258</v>
      </c>
      <c r="BY692" s="113">
        <f t="shared" si="1196"/>
        <v>229599</v>
      </c>
      <c r="BZ692" s="113"/>
      <c r="CA692" s="116">
        <v>2012</v>
      </c>
      <c r="CB692" s="113"/>
      <c r="CC692" s="113"/>
      <c r="CD692" s="113"/>
      <c r="CE692" s="175"/>
      <c r="CF692" s="113">
        <f t="shared" si="1245"/>
        <v>17240</v>
      </c>
      <c r="CG692" s="113">
        <f t="shared" si="1246"/>
        <v>25.772913758196704</v>
      </c>
      <c r="CH692" s="178">
        <v>0.9135802469135802</v>
      </c>
      <c r="CI692" s="61">
        <f>+CI678*CH692+CG679*CH691+CG680*CH690+CG681*CH689+CG682*CH688+CG683*CH687+CG684*CH686+CG685*CH685+CG686*CH684+CG687*CH683+CG688*CH682+CG689*CH681+CG690*CH680+CG691*CH679+CG692</f>
        <v>1044.3001023366255</v>
      </c>
      <c r="CJ692" s="114">
        <f t="shared" si="1247"/>
        <v>1.7159196808178984E-2</v>
      </c>
      <c r="CK692" s="114"/>
      <c r="CL692" s="169">
        <f t="shared" si="1248"/>
        <v>7.7994796117979524E-3</v>
      </c>
      <c r="CM692" s="169">
        <f t="shared" si="1256"/>
        <v>7.5122594206537456E-3</v>
      </c>
      <c r="CN692" s="114">
        <f>VLOOKUP($H692,RoR!$E:$F,2,FALSE)</f>
        <v>3.6733333333333333E-2</v>
      </c>
      <c r="CO692" s="169">
        <v>1.924331376386168E-2</v>
      </c>
      <c r="CP692" s="169">
        <f t="shared" si="1254"/>
        <v>1.7490019569471653E-2</v>
      </c>
      <c r="CQ692" s="169">
        <f t="shared" si="1257"/>
        <v>2.338968218787988E-2</v>
      </c>
      <c r="CR692" s="169">
        <v>6.7122682943869583E-2</v>
      </c>
      <c r="CS692" s="179">
        <f t="shared" si="1249"/>
        <v>0.85171695000000003</v>
      </c>
      <c r="CT692" s="180">
        <f t="shared" si="1250"/>
        <v>1.3960631020522127</v>
      </c>
      <c r="CU692" s="180">
        <f t="shared" si="1251"/>
        <v>0.29441923774954631</v>
      </c>
      <c r="CV692" s="180">
        <f t="shared" si="1252"/>
        <v>0.76377954189366437</v>
      </c>
      <c r="CW692" s="180">
        <f t="shared" si="1253"/>
        <v>0.31393465103033691</v>
      </c>
      <c r="CX692" s="181">
        <f>INDEX('State Tax Lookup'!$D$7:$Z$91,MATCH(Calculation!$C692,'State Tax Lookup'!$B$7:$B$91,0),MATCH($H692,'State Tax Lookup'!$D$6:$Z$6,0))</f>
        <v>0.40076499999999998</v>
      </c>
      <c r="CY692" s="72">
        <v>0.37</v>
      </c>
      <c r="CZ692" s="70">
        <f t="shared" si="1255"/>
        <v>22.142619085681048</v>
      </c>
      <c r="DA692" s="70">
        <v>20.759737328210988</v>
      </c>
      <c r="DB692" s="69">
        <f t="shared" si="1258"/>
        <v>7.5230666991219816E-2</v>
      </c>
      <c r="DC692" s="111">
        <f>VLOOKUP($H692,RoR!$E:$F,2,FALSE)</f>
        <v>3.6733333333333333E-2</v>
      </c>
      <c r="DD692" s="216">
        <f>HLOOKUP($H692,'GDP-PI'!$D$8:$CQ$11,3,FALSE)</f>
        <v>1.924331376386168E-2</v>
      </c>
      <c r="DE692" s="111">
        <f>VLOOKUP(H692,'HW Dx Data'!$E:$F,2,FALSE)</f>
        <v>668.91932211262167</v>
      </c>
      <c r="DF692" s="72">
        <f t="shared" si="1267"/>
        <v>124.80000000000001</v>
      </c>
      <c r="DG692" s="69">
        <f t="shared" si="1268"/>
        <v>3.1955502161869064E-2</v>
      </c>
      <c r="DH692" s="66">
        <f>HLOOKUP(H692,'GDP-PI'!$8:$9,2,FALSE)</f>
        <v>100</v>
      </c>
      <c r="DI692" s="69">
        <f t="shared" si="1259"/>
        <v>1.9060502738742411E-2</v>
      </c>
      <c r="EB692"/>
    </row>
    <row r="693" spans="1:132" s="160" customFormat="1" ht="21">
      <c r="A693" s="160" t="s">
        <v>199</v>
      </c>
      <c r="B693" s="161" t="s">
        <v>199</v>
      </c>
      <c r="C693" s="161">
        <v>4057130</v>
      </c>
      <c r="D693" s="161" t="s">
        <v>200</v>
      </c>
      <c r="E693" s="161"/>
      <c r="F693" s="161"/>
      <c r="G693" s="161" t="s">
        <v>129</v>
      </c>
      <c r="H693" s="162">
        <v>2013</v>
      </c>
      <c r="I693" s="163"/>
      <c r="J693" s="159">
        <f>IFERROR(INDEX('Labor Expenditures'!$F$7:$X$91,MATCH($C693,'Labor Expenditures'!$D$7:$D$91,0),MATCH($G693,'Labor Expenditures'!$F$5:$X$5,0)),"NA")</f>
        <v>18781.019658696114</v>
      </c>
      <c r="K693" s="159">
        <f t="shared" si="1260"/>
        <v>148.11529699287155</v>
      </c>
      <c r="L693" s="165">
        <f t="shared" si="1269"/>
        <v>9.0139541433618062E-2</v>
      </c>
      <c r="M693" s="76">
        <f t="shared" si="1270"/>
        <v>5.5793649924169712E-4</v>
      </c>
      <c r="N693" s="62">
        <f t="shared" si="1275"/>
        <v>107.88013692740142</v>
      </c>
      <c r="O693" s="96">
        <f t="shared" si="1271"/>
        <v>-6.7459273521506005E-2</v>
      </c>
      <c r="P693" s="96"/>
      <c r="Q693" s="159">
        <f>IFERROR(INDEX('Non-Labor Expenditures'!$F$7:$AB$91,MATCH($C693,'Non-Labor Expenditures'!$D$7:$D$91,0),MATCH($G693,'Non-Labor Expenditures'!$F$5:$AB$5,0)),"NA")</f>
        <v>27198.424276398593</v>
      </c>
      <c r="R693" s="159">
        <f t="shared" si="1261"/>
        <v>267.24597168599325</v>
      </c>
      <c r="S693" s="165">
        <f t="shared" si="1272"/>
        <v>8.8463470484905923E-2</v>
      </c>
      <c r="T693" s="165">
        <f t="shared" si="1273"/>
        <v>5.475621269880527E-4</v>
      </c>
      <c r="U693" s="165"/>
      <c r="V693" s="165"/>
      <c r="W693" s="159">
        <f t="shared" si="1243"/>
        <v>22671.936942371391</v>
      </c>
      <c r="X693" s="163"/>
      <c r="Y693" s="167">
        <v>1076.5558051472676</v>
      </c>
      <c r="Z693" s="168">
        <v>3.041997341068526E-2</v>
      </c>
      <c r="AA693" s="76">
        <f t="shared" si="1262"/>
        <v>1.882904350504415E-4</v>
      </c>
      <c r="AB693" s="168"/>
      <c r="AC693" s="168"/>
      <c r="AD693" s="163">
        <f t="shared" si="1166"/>
        <v>68651.380877466101</v>
      </c>
      <c r="AE693" s="168">
        <f t="shared" si="1274"/>
        <v>6.8852589526510327E-2</v>
      </c>
      <c r="AF693" s="163"/>
      <c r="AG693" s="163"/>
      <c r="AH693" s="163"/>
      <c r="AI693" s="163"/>
      <c r="AJ693" s="116">
        <f t="shared" si="1276"/>
        <v>433.049775294683</v>
      </c>
      <c r="AK693" s="114">
        <f>+AV693/$AX$18</f>
        <v>4.4106593447440119E-3</v>
      </c>
      <c r="AL693" s="115">
        <f t="shared" si="1263"/>
        <v>0.27357089425801678</v>
      </c>
      <c r="AM693" s="115">
        <f t="shared" si="1264"/>
        <v>0.39618175088049995</v>
      </c>
      <c r="AN693" s="115">
        <f t="shared" si="1265"/>
        <v>0.33024735486148321</v>
      </c>
      <c r="AO693" s="115">
        <f t="shared" si="1266"/>
        <v>6.9035398381901619E-2</v>
      </c>
      <c r="AP693" s="166">
        <f t="shared" si="1278"/>
        <v>93.074377506019999</v>
      </c>
      <c r="AQ693" s="168">
        <f t="shared" si="1279"/>
        <v>6.9035398381901564E-2</v>
      </c>
      <c r="AR693" s="69">
        <f>+AD693/$AF$18</f>
        <v>6.189697555235304E-3</v>
      </c>
      <c r="AS693" s="169">
        <f t="shared" si="1277"/>
        <v>4.2730823658915137E-4</v>
      </c>
      <c r="AT693" s="115"/>
      <c r="AU693" s="115"/>
      <c r="AV693" s="113">
        <f>IFERROR(INDEX('Total Customers'!$F$7:$AB$91,MATCH($C693,'Total Customers'!$D$7:$D$91,0),MATCH($G693,'Total Customers'!$F$5:$AB$5,0)),"NA")</f>
        <v>158530</v>
      </c>
      <c r="AW693" s="68">
        <f t="shared" si="1195"/>
        <v>1.4645172867698388E-3</v>
      </c>
      <c r="AX693" s="114"/>
      <c r="AY693" s="114"/>
      <c r="AZ693" s="116"/>
      <c r="BA693" s="116"/>
      <c r="BB693" s="166"/>
      <c r="BC693" s="166"/>
      <c r="BD693" s="166"/>
      <c r="BE693" s="166"/>
      <c r="BF693" s="166"/>
      <c r="BG693" s="166"/>
      <c r="BH693" s="166"/>
      <c r="BI693" s="113"/>
      <c r="BJ693" s="113"/>
      <c r="BK693" s="113">
        <f>INDEX('Dist. Plant Gas Additions'!$F$7:$AE$91,MATCH($C693,'Dist. Plant Gas Additions'!$D$7:$D$91,0),MATCH(Calculation!$G693,'Dist. Plant Gas Additions'!$F$5:$AE$5,0))</f>
        <v>25173</v>
      </c>
      <c r="BL693" s="113">
        <f>INDEX('Gen. Plant Additions'!$F$7:$AE$91,MATCH($C693,'Gen. Plant Additions'!$D$7:$D$91,0),MATCH(Calculation!$G693,'Gen. Plant Additions'!$F$5:$AE$5,0))</f>
        <v>1812</v>
      </c>
      <c r="BM693" s="231">
        <f t="shared" si="1244"/>
        <v>0.96078846504836646</v>
      </c>
      <c r="BN693" s="61">
        <f t="shared" si="1280"/>
        <v>1740.94869866764</v>
      </c>
      <c r="BO693" s="113">
        <f>INDEX('Dist Plant Depreciation'!$E$7:$AD$94,MATCH($C693,'Dist Plant Depreciation'!$D$7:$D$94,0),MATCH(Calculation!$G693,'Dist Plant Depreciation'!$E$5:$AD$5,0))</f>
        <v>155548</v>
      </c>
      <c r="BP693" s="113">
        <f>INDEX('Gen. Plant Depreciation'!$E$7:$AD$94,MATCH($C693,'Gen. Plant Depreciation'!$D$7:$D$94,0),MATCH(Calculation!$G693,'Gen. Plant Depreciation'!$E$5:$AD$5,0))</f>
        <v>7852</v>
      </c>
      <c r="BQ693" s="113"/>
      <c r="BR693" s="113"/>
      <c r="BS693" s="113"/>
      <c r="BT693" s="113"/>
      <c r="BU693" s="113"/>
      <c r="BV693" s="113"/>
      <c r="BW693" s="113">
        <f>INDEX('Gross Dx Plant'!$E$7:$AD$91,MATCH($C693,'Gross Dx Plant'!$D$7:$D$91,0),MATCH(Calculation!$G693,'Gross Dx Plant'!$E$5:$AD$5,0))</f>
        <v>394812</v>
      </c>
      <c r="BX693" s="113">
        <f>INDEX('Gross Gen Plant'!$E$7:$AD$91,MATCH($C693,'Gross Gen Plant'!$D$7:$D$91,0),MATCH(Calculation!$G693,'Gross Gen Plant'!$E$5:$AD$5,0))</f>
        <v>16113</v>
      </c>
      <c r="BY693" s="113">
        <f t="shared" si="1196"/>
        <v>247525</v>
      </c>
      <c r="BZ693" s="113"/>
      <c r="CA693" s="116">
        <v>2013</v>
      </c>
      <c r="CB693" s="113"/>
      <c r="CC693" s="113"/>
      <c r="CD693" s="113"/>
      <c r="CE693" s="175"/>
      <c r="CF693" s="113">
        <f t="shared" si="1245"/>
        <v>26985</v>
      </c>
      <c r="CG693" s="113">
        <f t="shared" si="1246"/>
        <v>40.686113644157906</v>
      </c>
      <c r="CH693" s="178">
        <v>0.90566037735849059</v>
      </c>
      <c r="CI693" s="61">
        <f>+CI678*CH693+CG679*CH692+CG680*CH691+CG681*CH690+CG682*CH689+CG683*CH688+CG684*CH687+CG685*CH686+CG686*CH685+CG687*CH684+CG688*CH683+CG689*CH682+CG690*CH681+CG691*CH680+CG692*CH679+CG693</f>
        <v>1076.5558051472676</v>
      </c>
      <c r="CJ693" s="114">
        <f t="shared" si="1247"/>
        <v>3.041997341068526E-2</v>
      </c>
      <c r="CK693" s="114"/>
      <c r="CL693" s="169">
        <f t="shared" si="1248"/>
        <v>8.0727856050695802E-3</v>
      </c>
      <c r="CM693" s="169">
        <f t="shared" si="1256"/>
        <v>7.7917272285875569E-3</v>
      </c>
      <c r="CN693" s="114">
        <f>VLOOKUP($H693,RoR!$E:$F,2,FALSE)</f>
        <v>4.2350000000000006E-2</v>
      </c>
      <c r="CO693" s="169">
        <v>1.7730000000000024E-2</v>
      </c>
      <c r="CP693" s="169">
        <f t="shared" si="1254"/>
        <v>2.4619999999999982E-2</v>
      </c>
      <c r="CQ693" s="169">
        <f t="shared" si="1257"/>
        <v>2.3110214379946068E-2</v>
      </c>
      <c r="CR693" s="169">
        <v>5.3376742735721204E-2</v>
      </c>
      <c r="CS693" s="179">
        <f t="shared" si="1249"/>
        <v>0.85171695000000003</v>
      </c>
      <c r="CT693" s="180">
        <f t="shared" si="1250"/>
        <v>1.2109103018193925</v>
      </c>
      <c r="CU693" s="180">
        <f t="shared" si="1251"/>
        <v>0.38468122786304604</v>
      </c>
      <c r="CV693" s="180">
        <f t="shared" si="1252"/>
        <v>0.80969194503422559</v>
      </c>
      <c r="CW693" s="180">
        <f t="shared" si="1253"/>
        <v>0.37716621754800816</v>
      </c>
      <c r="CX693" s="181">
        <f>INDEX('State Tax Lookup'!$D$7:$Z$91,MATCH(Calculation!$C693,'State Tax Lookup'!$B$7:$B$91,0),MATCH($H693,'State Tax Lookup'!$D$6:$Z$6,0))</f>
        <v>0.40076499999999998</v>
      </c>
      <c r="CY693" s="72">
        <v>0.37</v>
      </c>
      <c r="CZ693" s="70">
        <f t="shared" si="1255"/>
        <v>21.710174011898346</v>
      </c>
      <c r="DA693" s="70">
        <v>20.339519021246105</v>
      </c>
      <c r="DB693" s="69">
        <f t="shared" si="1258"/>
        <v>-1.9723217691010392E-2</v>
      </c>
      <c r="DC693" s="111">
        <f>VLOOKUP($H693,RoR!$E:$F,2,FALSE)</f>
        <v>4.2350000000000006E-2</v>
      </c>
      <c r="DD693" s="216">
        <f>HLOOKUP($H693,'GDP-PI'!$D$8:$CQ$11,3,FALSE)</f>
        <v>1.7730000000000024E-2</v>
      </c>
      <c r="DE693" s="111">
        <f>VLOOKUP(H693,'HW Dx Data'!$E:$F,2,FALSE)</f>
        <v>663.24840548821396</v>
      </c>
      <c r="DF693" s="72">
        <f t="shared" si="1267"/>
        <v>126.8</v>
      </c>
      <c r="DG693" s="69">
        <f t="shared" si="1268"/>
        <v>1.5898586067798204E-2</v>
      </c>
      <c r="DH693" s="66">
        <f>HLOOKUP(H693,'GDP-PI'!$8:$9,2,FALSE)</f>
        <v>101.773</v>
      </c>
      <c r="DI693" s="69">
        <f t="shared" si="1259"/>
        <v>1.7574657016510519E-2</v>
      </c>
      <c r="EB693"/>
    </row>
    <row r="694" spans="1:132" s="160" customFormat="1" ht="21">
      <c r="A694" s="160" t="s">
        <v>199</v>
      </c>
      <c r="B694" s="161" t="s">
        <v>199</v>
      </c>
      <c r="C694" s="161">
        <v>4057130</v>
      </c>
      <c r="D694" s="161" t="s">
        <v>200</v>
      </c>
      <c r="E694" s="161"/>
      <c r="F694" s="161"/>
      <c r="G694" s="161" t="s">
        <v>130</v>
      </c>
      <c r="H694" s="162">
        <v>2014</v>
      </c>
      <c r="I694" s="163"/>
      <c r="J694" s="159">
        <f>IFERROR(INDEX('Labor Expenditures'!$F$7:$X$91,MATCH($C694,'Labor Expenditures'!$D$7:$D$91,0),MATCH($G694,'Labor Expenditures'!$F$5:$X$5,0)),"NA")</f>
        <v>24911.709117123566</v>
      </c>
      <c r="K694" s="159">
        <f t="shared" si="1260"/>
        <v>192.5170720025005</v>
      </c>
      <c r="L694" s="165">
        <f t="shared" si="1269"/>
        <v>0.26219383131230978</v>
      </c>
      <c r="M694" s="76">
        <f t="shared" si="1270"/>
        <v>1.9541261246851325E-3</v>
      </c>
      <c r="N694" s="62">
        <f t="shared" si="1275"/>
        <v>119.75721930221175</v>
      </c>
      <c r="O694" s="96">
        <f t="shared" si="1271"/>
        <v>0.10444575339508375</v>
      </c>
      <c r="P694" s="96"/>
      <c r="Q694" s="159">
        <f>IFERROR(INDEX('Non-Labor Expenditures'!$F$7:$AB$91,MATCH($C694,'Non-Labor Expenditures'!$D$7:$D$91,0),MATCH($G694,'Non-Labor Expenditures'!$F$5:$AB$5,0)),"NA")</f>
        <v>36076.807667044093</v>
      </c>
      <c r="R694" s="159">
        <f t="shared" si="1261"/>
        <v>348.07382429828255</v>
      </c>
      <c r="S694" s="165">
        <f t="shared" si="1272"/>
        <v>0.26424511947772861</v>
      </c>
      <c r="T694" s="165">
        <f t="shared" si="1273"/>
        <v>1.9694143401753276E-3</v>
      </c>
      <c r="U694" s="165"/>
      <c r="V694" s="165"/>
      <c r="W694" s="159">
        <f t="shared" si="1243"/>
        <v>23861.765146296158</v>
      </c>
      <c r="X694" s="163"/>
      <c r="Y694" s="167">
        <v>1116.8432927978922</v>
      </c>
      <c r="Z694" s="168">
        <v>3.6739341406244318E-2</v>
      </c>
      <c r="AA694" s="76">
        <f t="shared" si="1262"/>
        <v>2.7381768093602592E-4</v>
      </c>
      <c r="AB694" s="168"/>
      <c r="AC694" s="168"/>
      <c r="AD694" s="163">
        <f t="shared" si="1166"/>
        <v>84850.281930463825</v>
      </c>
      <c r="AE694" s="168">
        <f t="shared" si="1274"/>
        <v>0.21184706760736358</v>
      </c>
      <c r="AF694" s="163"/>
      <c r="AG694" s="163"/>
      <c r="AH694" s="163"/>
      <c r="AI694" s="163"/>
      <c r="AJ694" s="116">
        <f t="shared" si="1276"/>
        <v>534.0223799662898</v>
      </c>
      <c r="AK694" s="114">
        <f>+AV694/$AX$19</f>
        <v>4.3970248705084772E-3</v>
      </c>
      <c r="AL694" s="115">
        <f t="shared" si="1263"/>
        <v>0.2935960676894287</v>
      </c>
      <c r="AM694" s="115">
        <f t="shared" si="1264"/>
        <v>0.42518194219566197</v>
      </c>
      <c r="AN694" s="115">
        <f t="shared" si="1265"/>
        <v>0.28122199011490923</v>
      </c>
      <c r="AO694" s="115">
        <f t="shared" si="1266"/>
        <v>0.19410700349144142</v>
      </c>
      <c r="AP694" s="166">
        <f t="shared" si="1278"/>
        <v>113.01334794436958</v>
      </c>
      <c r="AQ694" s="168">
        <f t="shared" si="1279"/>
        <v>0.19410700349144139</v>
      </c>
      <c r="AR694" s="69">
        <f>+AD694/$AF$19</f>
        <v>7.4529828367986784E-3</v>
      </c>
      <c r="AS694" s="169">
        <f t="shared" si="1277"/>
        <v>1.4466761655241337E-3</v>
      </c>
      <c r="AT694" s="115"/>
      <c r="AU694" s="115"/>
      <c r="AV694" s="113">
        <f>IFERROR(INDEX('Total Customers'!$F$7:$AB$91,MATCH($C694,'Total Customers'!$D$7:$D$91,0),MATCH($G694,'Total Customers'!$F$5:$AB$5,0)),"NA")</f>
        <v>158889</v>
      </c>
      <c r="AW694" s="68">
        <f t="shared" si="1195"/>
        <v>2.2619953630519892E-3</v>
      </c>
      <c r="AX694" s="114"/>
      <c r="AY694" s="114"/>
      <c r="AZ694" s="116"/>
      <c r="BA694" s="116"/>
      <c r="BB694" s="166"/>
      <c r="BC694" s="166"/>
      <c r="BD694" s="166"/>
      <c r="BE694" s="166"/>
      <c r="BF694" s="166"/>
      <c r="BG694" s="166"/>
      <c r="BH694" s="166"/>
      <c r="BI694" s="113"/>
      <c r="BJ694" s="113"/>
      <c r="BK694" s="113">
        <f>INDEX('Dist. Plant Gas Additions'!$F$7:$AE$91,MATCH($C694,'Dist. Plant Gas Additions'!$D$7:$D$91,0),MATCH(Calculation!$G694,'Dist. Plant Gas Additions'!$F$5:$AE$5,0))</f>
        <v>31214</v>
      </c>
      <c r="BL694" s="113">
        <f>INDEX('Gen. Plant Additions'!$F$7:$AE$91,MATCH($C694,'Gen. Plant Additions'!$D$7:$D$91,0),MATCH(Calculation!$G694,'Gen. Plant Additions'!$F$5:$AE$5,0))</f>
        <v>2487</v>
      </c>
      <c r="BM694" s="231">
        <f t="shared" si="1244"/>
        <v>0.95900033449610556</v>
      </c>
      <c r="BN694" s="61">
        <f t="shared" si="1280"/>
        <v>2385.0338318918143</v>
      </c>
      <c r="BO694" s="113">
        <f>INDEX('Dist Plant Depreciation'!$E$7:$AD$94,MATCH($C694,'Dist Plant Depreciation'!$D$7:$D$94,0),MATCH(Calculation!$G694,'Dist Plant Depreciation'!$E$5:$AD$5,0))</f>
        <v>158990</v>
      </c>
      <c r="BP694" s="113">
        <f>INDEX('Gen. Plant Depreciation'!$E$7:$AD$94,MATCH($C694,'Gen. Plant Depreciation'!$D$7:$D$94,0),MATCH(Calculation!$G694,'Gen. Plant Depreciation'!$E$5:$AD$5,0))</f>
        <v>8623</v>
      </c>
      <c r="BQ694" s="113"/>
      <c r="BR694" s="113"/>
      <c r="BS694" s="113"/>
      <c r="BT694" s="113"/>
      <c r="BU694" s="113"/>
      <c r="BV694" s="113"/>
      <c r="BW694" s="113">
        <f>INDEX('Gross Dx Plant'!$E$7:$AD$91,MATCH($C694,'Gross Dx Plant'!$D$7:$D$91,0),MATCH(Calculation!$G694,'Gross Dx Plant'!$E$5:$AD$5,0))</f>
        <v>421449</v>
      </c>
      <c r="BX694" s="113">
        <f>INDEX('Gross Gen Plant'!$E$7:$AD$91,MATCH($C694,'Gross Gen Plant'!$D$7:$D$91,0),MATCH(Calculation!$G694,'Gross Gen Plant'!$E$5:$AD$5,0))</f>
        <v>18018</v>
      </c>
      <c r="BY694" s="113">
        <f t="shared" si="1196"/>
        <v>271854</v>
      </c>
      <c r="BZ694" s="113"/>
      <c r="CA694" s="116">
        <v>2014</v>
      </c>
      <c r="CB694" s="113"/>
      <c r="CC694" s="113"/>
      <c r="CD694" s="113"/>
      <c r="CE694" s="175"/>
      <c r="CF694" s="113">
        <f t="shared" si="1245"/>
        <v>33701</v>
      </c>
      <c r="CG694" s="113">
        <f t="shared" si="1246"/>
        <v>49.236697303335397</v>
      </c>
      <c r="CH694" s="178">
        <v>0.89743589743589747</v>
      </c>
      <c r="CI694" s="61">
        <f>+CI678*CH694+CG679*CH693+CG680*CH692+CG681*CH691+CG682*CH690+CG683*CH689+CG684*CH688+CG685*CH687+CG686*CH686+CG687*CH685+CG688*CH684+CG689*CH683+CG690*CH682+CG691*CH681+CG692*CH680+CG693*CH679+CG694</f>
        <v>1116.8432927978922</v>
      </c>
      <c r="CJ694" s="114">
        <f t="shared" si="1247"/>
        <v>3.6739341406244318E-2</v>
      </c>
      <c r="CK694" s="114"/>
      <c r="CL694" s="169">
        <f t="shared" si="1248"/>
        <v>8.3128153783784478E-3</v>
      </c>
      <c r="CM694" s="169">
        <f t="shared" si="1256"/>
        <v>8.0616935317486607E-3</v>
      </c>
      <c r="CN694" s="114">
        <f>VLOOKUP($H694,RoR!$E:$F,2,FALSE)</f>
        <v>4.1625000000000002E-2</v>
      </c>
      <c r="CO694" s="169">
        <v>1.841352814597208E-2</v>
      </c>
      <c r="CP694" s="169">
        <f t="shared" si="1254"/>
        <v>2.3211471854027922E-2</v>
      </c>
      <c r="CQ694" s="169">
        <f t="shared" si="1257"/>
        <v>2.2840248076784964E-2</v>
      </c>
      <c r="CR694" s="169">
        <v>3.9072621432650924E-2</v>
      </c>
      <c r="CS694" s="179">
        <f t="shared" si="1249"/>
        <v>0.85171695000000003</v>
      </c>
      <c r="CT694" s="180">
        <f t="shared" si="1250"/>
        <v>1.2320012320012319</v>
      </c>
      <c r="CU694" s="180">
        <f t="shared" si="1251"/>
        <v>0.37439939939939942</v>
      </c>
      <c r="CV694" s="180">
        <f t="shared" si="1252"/>
        <v>0.80432100613819935</v>
      </c>
      <c r="CW694" s="180">
        <f t="shared" si="1253"/>
        <v>0.37100152660040037</v>
      </c>
      <c r="CX694" s="181">
        <f>INDEX('State Tax Lookup'!$D$7:$Z$91,MATCH(Calculation!$C694,'State Tax Lookup'!$B$7:$B$91,0),MATCH($H694,'State Tax Lookup'!$D$6:$Z$6,0))</f>
        <v>0.40076499999999998</v>
      </c>
      <c r="CY694" s="72">
        <v>0.37</v>
      </c>
      <c r="CZ694" s="70">
        <f t="shared" si="1255"/>
        <v>22.1649124292558</v>
      </c>
      <c r="DA694" s="70">
        <v>20.763592984765573</v>
      </c>
      <c r="DB694" s="69">
        <f t="shared" si="1258"/>
        <v>2.0729518186378811E-2</v>
      </c>
      <c r="DC694" s="111">
        <f>VLOOKUP($H694,RoR!$E:$F,2,FALSE)</f>
        <v>4.1625000000000002E-2</v>
      </c>
      <c r="DD694" s="216">
        <f>HLOOKUP($H694,'GDP-PI'!$D$8:$CQ$11,3,FALSE)</f>
        <v>1.841352814597208E-2</v>
      </c>
      <c r="DE694" s="111">
        <f>VLOOKUP(H694,'HW Dx Data'!$E:$F,2,FALSE)</f>
        <v>684.46914285042885</v>
      </c>
      <c r="DF694" s="72">
        <f t="shared" si="1267"/>
        <v>129.4</v>
      </c>
      <c r="DG694" s="69">
        <f t="shared" si="1268"/>
        <v>2.0297340063674733E-2</v>
      </c>
      <c r="DH694" s="66">
        <f>HLOOKUP(H694,'GDP-PI'!$8:$9,2,FALSE)</f>
        <v>103.64700000000001</v>
      </c>
      <c r="DI694" s="69">
        <f t="shared" si="1259"/>
        <v>1.8246051898256087E-2</v>
      </c>
      <c r="EB694"/>
    </row>
    <row r="695" spans="1:132" s="160" customFormat="1" ht="21">
      <c r="A695" s="160" t="s">
        <v>199</v>
      </c>
      <c r="B695" s="161" t="s">
        <v>199</v>
      </c>
      <c r="C695" s="161">
        <v>4057130</v>
      </c>
      <c r="D695" s="161" t="s">
        <v>200</v>
      </c>
      <c r="E695" s="161"/>
      <c r="F695" s="161"/>
      <c r="G695" s="161" t="s">
        <v>132</v>
      </c>
      <c r="H695" s="162">
        <v>2015</v>
      </c>
      <c r="I695" s="163"/>
      <c r="J695" s="159">
        <f>IFERROR(INDEX('Labor Expenditures'!$F$7:$X$91,MATCH($C695,'Labor Expenditures'!$D$7:$D$91,0),MATCH($G695,'Labor Expenditures'!$F$5:$X$5,0)),"NA")</f>
        <v>22061.793265834429</v>
      </c>
      <c r="K695" s="159">
        <f t="shared" si="1260"/>
        <v>165.25687839576352</v>
      </c>
      <c r="L695" s="165">
        <f t="shared" si="1269"/>
        <v>-0.15268373347712197</v>
      </c>
      <c r="M695" s="76">
        <f t="shared" si="1270"/>
        <v>-1.0389926630013145E-3</v>
      </c>
      <c r="N695" s="62">
        <f t="shared" si="1275"/>
        <v>118.51979516490431</v>
      </c>
      <c r="O695" s="96">
        <f t="shared" si="1271"/>
        <v>-1.0386526493047533E-2</v>
      </c>
      <c r="P695" s="96"/>
      <c r="Q695" s="159">
        <f>IFERROR(INDEX('Non-Labor Expenditures'!$F$7:$AB$91,MATCH($C695,'Non-Labor Expenditures'!$D$7:$D$91,0),MATCH($G695,'Non-Labor Expenditures'!$F$5:$AB$5,0)),"NA")</f>
        <v>31949.59722352033</v>
      </c>
      <c r="R695" s="159">
        <f t="shared" si="1261"/>
        <v>305.33163756840503</v>
      </c>
      <c r="S695" s="165">
        <f t="shared" si="1272"/>
        <v>-0.13101607388906092</v>
      </c>
      <c r="T695" s="165">
        <f t="shared" si="1273"/>
        <v>-8.9154709808277803E-4</v>
      </c>
      <c r="U695" s="165"/>
      <c r="V695" s="165"/>
      <c r="W695" s="159">
        <f t="shared" si="1243"/>
        <v>24226.336475882352</v>
      </c>
      <c r="X695" s="163"/>
      <c r="Y695" s="167">
        <v>1156.6353421666463</v>
      </c>
      <c r="Z695" s="168">
        <v>3.500900590791773E-2</v>
      </c>
      <c r="AA695" s="76">
        <f t="shared" si="1262"/>
        <v>2.3823166652357547E-4</v>
      </c>
      <c r="AB695" s="168"/>
      <c r="AC695" s="168"/>
      <c r="AD695" s="163">
        <f t="shared" si="1166"/>
        <v>78237.726965237118</v>
      </c>
      <c r="AE695" s="168">
        <f t="shared" si="1274"/>
        <v>-8.1136341143037097E-2</v>
      </c>
      <c r="AF695" s="163"/>
      <c r="AG695" s="163"/>
      <c r="AH695" s="163"/>
      <c r="AI695" s="163"/>
      <c r="AJ695" s="116">
        <f t="shared" si="1276"/>
        <v>492.88264696026152</v>
      </c>
      <c r="AK695" s="114">
        <f>+AV695/$AX$20</f>
        <v>4.357044261981179E-3</v>
      </c>
      <c r="AL695" s="115">
        <f t="shared" si="1263"/>
        <v>0.28198407752358406</v>
      </c>
      <c r="AM695" s="115">
        <f t="shared" si="1264"/>
        <v>0.40836561161492196</v>
      </c>
      <c r="AN695" s="115">
        <f t="shared" si="1265"/>
        <v>0.3096503108614938</v>
      </c>
      <c r="AO695" s="115">
        <f t="shared" si="1266"/>
        <v>-8.8202000755406199E-2</v>
      </c>
      <c r="AP695" s="166">
        <f t="shared" si="1278"/>
        <v>103.47229900121249</v>
      </c>
      <c r="AQ695" s="168">
        <f t="shared" si="1279"/>
        <v>-8.820200075540624E-2</v>
      </c>
      <c r="AR695" s="69">
        <f>+AD695/$AF$20</f>
        <v>6.8048680716665637E-3</v>
      </c>
      <c r="AS695" s="169">
        <f t="shared" si="1277"/>
        <v>-6.0020297879757401E-4</v>
      </c>
      <c r="AT695" s="115"/>
      <c r="AU695" s="115"/>
      <c r="AV695" s="113">
        <f>IFERROR(INDEX('Total Customers'!$F$7:$AB$91,MATCH($C695,'Total Customers'!$D$7:$D$91,0),MATCH($G695,'Total Customers'!$F$5:$AB$5,0)),"NA")</f>
        <v>158735</v>
      </c>
      <c r="AW695" s="68">
        <f t="shared" si="1195"/>
        <v>-9.6970009865382566E-4</v>
      </c>
      <c r="AX695" s="114"/>
      <c r="AY695" s="114"/>
      <c r="AZ695" s="116"/>
      <c r="BA695" s="116"/>
      <c r="BB695" s="166"/>
      <c r="BC695" s="166"/>
      <c r="BD695" s="166"/>
      <c r="BE695" s="166"/>
      <c r="BF695" s="166"/>
      <c r="BG695" s="166"/>
      <c r="BH695" s="166"/>
      <c r="BI695" s="113"/>
      <c r="BJ695" s="113"/>
      <c r="BK695" s="113">
        <f>INDEX('Dist. Plant Gas Additions'!$F$7:$AE$91,MATCH($C695,'Dist. Plant Gas Additions'!$D$7:$D$91,0),MATCH(Calculation!$G695,'Dist. Plant Gas Additions'!$F$5:$AE$5,0))</f>
        <v>32687</v>
      </c>
      <c r="BL695" s="113">
        <f>INDEX('Gen. Plant Additions'!$F$7:$AE$91,MATCH($C695,'Gen. Plant Additions'!$D$7:$D$91,0),MATCH(Calculation!$G695,'Gen. Plant Additions'!$F$5:$AE$5,0))</f>
        <v>639</v>
      </c>
      <c r="BM695" s="231">
        <f t="shared" si="1244"/>
        <v>0.9614312616088625</v>
      </c>
      <c r="BN695" s="61">
        <f t="shared" si="1280"/>
        <v>614.35457616806309</v>
      </c>
      <c r="BO695" s="113">
        <f>INDEX('Dist Plant Depreciation'!$E$7:$AD$94,MATCH($C695,'Dist Plant Depreciation'!$D$7:$D$94,0),MATCH(Calculation!$G695,'Dist Plant Depreciation'!$E$5:$AD$5,0))</f>
        <v>162583</v>
      </c>
      <c r="BP695" s="113">
        <f>INDEX('Gen. Plant Depreciation'!$E$7:$AD$94,MATCH($C695,'Gen. Plant Depreciation'!$D$7:$D$94,0),MATCH(Calculation!$G695,'Gen. Plant Depreciation'!$E$5:$AD$5,0))</f>
        <v>9016</v>
      </c>
      <c r="BQ695" s="113"/>
      <c r="BR695" s="113"/>
      <c r="BS695" s="113"/>
      <c r="BT695" s="113"/>
      <c r="BU695" s="113"/>
      <c r="BV695" s="113"/>
      <c r="BW695" s="113">
        <f>INDEX('Gross Dx Plant'!$E$7:$AD$91,MATCH($C695,'Gross Dx Plant'!$D$7:$D$91,0),MATCH(Calculation!$G695,'Gross Dx Plant'!$E$5:$AD$5,0))</f>
        <v>448774</v>
      </c>
      <c r="BX695" s="113">
        <f>INDEX('Gross Gen Plant'!$E$7:$AD$91,MATCH($C695,'Gross Gen Plant'!$D$7:$D$91,0),MATCH(Calculation!$G695,'Gross Gen Plant'!$E$5:$AD$5,0))</f>
        <v>18003</v>
      </c>
      <c r="BY695" s="113">
        <f t="shared" si="1196"/>
        <v>295178</v>
      </c>
      <c r="BZ695" s="113"/>
      <c r="CA695" s="116">
        <v>2015</v>
      </c>
      <c r="CB695" s="113"/>
      <c r="CC695" s="113"/>
      <c r="CD695" s="113"/>
      <c r="CE695" s="175"/>
      <c r="CF695" s="113">
        <f t="shared" si="1245"/>
        <v>33326</v>
      </c>
      <c r="CG695" s="113">
        <f t="shared" si="1246"/>
        <v>49.326936344976168</v>
      </c>
      <c r="CH695" s="178">
        <v>0.88888888888888884</v>
      </c>
      <c r="CI695" s="61">
        <f>+CI678*CH695+CG679*CH694+CG680*CH693+CG681*CH692+CG682*CH691+CG683*CH690+CG684*CH689+CG685*CH688+CG686*CH687+CG687*CH686+CG688*CH685+CG689*CH684+CG690*CH683+CG691*CH682+CG692*CH681+CG693*CH680+CG694*CH679+CG695</f>
        <v>1156.6353421666463</v>
      </c>
      <c r="CJ695" s="114">
        <f t="shared" si="1247"/>
        <v>3.500900590791773E-2</v>
      </c>
      <c r="CK695" s="114"/>
      <c r="CL695" s="169">
        <f t="shared" si="1248"/>
        <v>8.5373543788184406E-3</v>
      </c>
      <c r="CM695" s="169">
        <f t="shared" si="1256"/>
        <v>8.3076517874221562E-3</v>
      </c>
      <c r="CN695" s="114">
        <f>VLOOKUP($H695,RoR!$E:$F,2,FALSE)</f>
        <v>3.8866666666666674E-2</v>
      </c>
      <c r="CO695" s="169">
        <v>9.5709475431029478E-3</v>
      </c>
      <c r="CP695" s="169">
        <f t="shared" si="1254"/>
        <v>2.9295719123563727E-2</v>
      </c>
      <c r="CQ695" s="169">
        <f t="shared" si="1257"/>
        <v>2.2594289821111467E-2</v>
      </c>
      <c r="CR695" s="169">
        <v>3.5270373279175926E-3</v>
      </c>
      <c r="CS695" s="179">
        <f t="shared" si="1249"/>
        <v>0.85171695000000003</v>
      </c>
      <c r="CT695" s="180">
        <f t="shared" si="1250"/>
        <v>1.3194352816994324</v>
      </c>
      <c r="CU695" s="180">
        <f t="shared" si="1251"/>
        <v>0.33177530017152673</v>
      </c>
      <c r="CV695" s="180">
        <f t="shared" si="1252"/>
        <v>0.78242572977668579</v>
      </c>
      <c r="CW695" s="180">
        <f t="shared" si="1253"/>
        <v>0.34251158643433932</v>
      </c>
      <c r="CX695" s="181">
        <f>INDEX('State Tax Lookup'!$D$7:$Z$91,MATCH(Calculation!$C695,'State Tax Lookup'!$B$7:$B$91,0),MATCH($H695,'State Tax Lookup'!$D$6:$Z$6,0))</f>
        <v>0.40076499999999998</v>
      </c>
      <c r="CY695" s="72">
        <v>0.37</v>
      </c>
      <c r="CZ695" s="70">
        <f t="shared" si="1255"/>
        <v>21.691795645914699</v>
      </c>
      <c r="DA695" s="70">
        <v>20.279488671080099</v>
      </c>
      <c r="DB695" s="69">
        <f t="shared" si="1258"/>
        <v>-2.1576409109855109E-2</v>
      </c>
      <c r="DC695" s="111">
        <f>VLOOKUP($H695,RoR!$E:$F,2,FALSE)</f>
        <v>3.8866666666666674E-2</v>
      </c>
      <c r="DD695" s="216">
        <f>HLOOKUP($H695,'GDP-PI'!$D$8:$CQ$11,3,FALSE)</f>
        <v>9.5709475431029478E-3</v>
      </c>
      <c r="DE695" s="111">
        <f>VLOOKUP(H695,'HW Dx Data'!$E:$F,2,FALSE)</f>
        <v>675.61463308665782</v>
      </c>
      <c r="DF695" s="72">
        <f t="shared" si="1267"/>
        <v>133.5</v>
      </c>
      <c r="DG695" s="69">
        <f t="shared" si="1268"/>
        <v>3.1193095773504077E-2</v>
      </c>
      <c r="DH695" s="66">
        <f>HLOOKUP(H695,'GDP-PI'!$8:$9,2,FALSE)</f>
        <v>104.639</v>
      </c>
      <c r="DI695" s="69">
        <f t="shared" si="1259"/>
        <v>9.5254361854427965E-3</v>
      </c>
      <c r="EB695"/>
    </row>
    <row r="696" spans="1:132" s="160" customFormat="1" ht="21">
      <c r="A696" s="160" t="s">
        <v>199</v>
      </c>
      <c r="B696" s="161" t="s">
        <v>199</v>
      </c>
      <c r="C696" s="161">
        <v>4057130</v>
      </c>
      <c r="D696" s="161" t="s">
        <v>200</v>
      </c>
      <c r="E696" s="161"/>
      <c r="F696" s="161"/>
      <c r="G696" s="161" t="s">
        <v>133</v>
      </c>
      <c r="H696" s="162">
        <v>2016</v>
      </c>
      <c r="I696" s="163"/>
      <c r="J696" s="159">
        <f>IFERROR(INDEX('Labor Expenditures'!$F$7:$X$91,MATCH($C696,'Labor Expenditures'!$D$7:$D$91,0),MATCH($G696,'Labor Expenditures'!$F$5:$X$5,0)),"NA")</f>
        <v>18325.01919332103</v>
      </c>
      <c r="K696" s="159">
        <f t="shared" si="1260"/>
        <v>133.80809925754679</v>
      </c>
      <c r="L696" s="165">
        <f t="shared" si="1269"/>
        <v>-0.21109442361592529</v>
      </c>
      <c r="M696" s="76">
        <f t="shared" si="1270"/>
        <v>-1.2337849268567577E-3</v>
      </c>
      <c r="N696" s="62">
        <f t="shared" si="1275"/>
        <v>297.7486374831102</v>
      </c>
      <c r="O696" s="96">
        <f t="shared" si="1271"/>
        <v>0.92116963775229421</v>
      </c>
      <c r="P696" s="96"/>
      <c r="Q696" s="159">
        <f>IFERROR(INDEX('Non-Labor Expenditures'!$F$7:$AB$91,MATCH($C696,'Non-Labor Expenditures'!$D$7:$D$91,0),MATCH($G696,'Non-Labor Expenditures'!$F$5:$AB$5,0)),"NA")</f>
        <v>26538.050433396726</v>
      </c>
      <c r="R696" s="159">
        <f t="shared" si="1261"/>
        <v>250.98405872547406</v>
      </c>
      <c r="S696" s="165">
        <f t="shared" si="1272"/>
        <v>-0.19600909611434741</v>
      </c>
      <c r="T696" s="165">
        <f t="shared" si="1273"/>
        <v>-1.1456156167947917E-3</v>
      </c>
      <c r="U696" s="165"/>
      <c r="V696" s="165"/>
      <c r="W696" s="159">
        <f t="shared" si="1243"/>
        <v>24675.745511356236</v>
      </c>
      <c r="X696" s="163"/>
      <c r="Y696" s="167">
        <v>1176.3176694417671</v>
      </c>
      <c r="Z696" s="168">
        <v>1.6873716851381469E-2</v>
      </c>
      <c r="AA696" s="76">
        <f t="shared" si="1262"/>
        <v>9.862192072473459E-5</v>
      </c>
      <c r="AB696" s="168"/>
      <c r="AC696" s="168"/>
      <c r="AD696" s="163">
        <f t="shared" ref="AD696:AD762" si="1281">+J696+Q696+W696</f>
        <v>69538.815138073987</v>
      </c>
      <c r="AE696" s="168">
        <f t="shared" si="1274"/>
        <v>-0.11786688535634887</v>
      </c>
      <c r="AF696" s="163"/>
      <c r="AG696" s="163"/>
      <c r="AH696" s="163"/>
      <c r="AI696" s="163"/>
      <c r="AJ696" s="116">
        <f t="shared" si="1276"/>
        <v>435.54585170941806</v>
      </c>
      <c r="AK696" s="114">
        <f>+AV696/$AX$21</f>
        <v>4.3445365899293957E-3</v>
      </c>
      <c r="AL696" s="115">
        <f t="shared" si="1263"/>
        <v>0.26352216610155743</v>
      </c>
      <c r="AM696" s="115">
        <f t="shared" si="1264"/>
        <v>0.381629315666418</v>
      </c>
      <c r="AN696" s="115">
        <f t="shared" si="1265"/>
        <v>0.35484851823202462</v>
      </c>
      <c r="AO696" s="115">
        <f t="shared" si="1266"/>
        <v>-0.12939347630903711</v>
      </c>
      <c r="AP696" s="166">
        <f t="shared" si="1278"/>
        <v>90.913677560211795</v>
      </c>
      <c r="AQ696" s="168">
        <f t="shared" si="1279"/>
        <v>-0.12939347630903714</v>
      </c>
      <c r="AR696" s="69">
        <f>+AD696/$AF$21</f>
        <v>5.8447063912098482E-3</v>
      </c>
      <c r="AS696" s="169">
        <f t="shared" si="1277"/>
        <v>-7.5626687796428939E-4</v>
      </c>
      <c r="AT696" s="115"/>
      <c r="AU696" s="115"/>
      <c r="AV696" s="113">
        <f>IFERROR(INDEX('Total Customers'!$F$7:$AB$91,MATCH($C696,'Total Customers'!$D$7:$D$91,0),MATCH($G696,'Total Customers'!$F$5:$AB$5,0)),"NA")</f>
        <v>159659</v>
      </c>
      <c r="AW696" s="68">
        <f t="shared" si="1195"/>
        <v>5.8041457689710458E-3</v>
      </c>
      <c r="AX696" s="114"/>
      <c r="AY696" s="114"/>
      <c r="AZ696" s="116"/>
      <c r="BA696" s="116"/>
      <c r="BB696" s="166"/>
      <c r="BC696" s="166"/>
      <c r="BD696" s="166"/>
      <c r="BE696" s="166"/>
      <c r="BF696" s="166"/>
      <c r="BG696" s="166"/>
      <c r="BH696" s="166"/>
      <c r="BI696" s="113"/>
      <c r="BJ696" s="113"/>
      <c r="BK696" s="113">
        <f>INDEX('Dist. Plant Gas Additions'!$F$7:$AE$91,MATCH($C696,'Dist. Plant Gas Additions'!$D$7:$D$91,0),MATCH(Calculation!$G696,'Dist. Plant Gas Additions'!$F$5:$AE$5,0))</f>
        <v>17652</v>
      </c>
      <c r="BL696" s="113">
        <f>INDEX('Gen. Plant Additions'!$F$7:$AE$91,MATCH($C696,'Gen. Plant Additions'!$D$7:$D$91,0),MATCH(Calculation!$G696,'Gen. Plant Additions'!$F$5:$AE$5,0))</f>
        <v>2378</v>
      </c>
      <c r="BM696" s="231">
        <f t="shared" si="1244"/>
        <v>0.96407904701732661</v>
      </c>
      <c r="BN696" s="61">
        <f t="shared" si="1280"/>
        <v>2292.5799738072028</v>
      </c>
      <c r="BO696" s="113">
        <f>INDEX('Dist Plant Depreciation'!$E$7:$AD$94,MATCH($C696,'Dist Plant Depreciation'!$D$7:$D$94,0),MATCH(Calculation!$G696,'Dist Plant Depreciation'!$E$5:$AD$5,0))</f>
        <v>166455</v>
      </c>
      <c r="BP696" s="113">
        <f>INDEX('Gen. Plant Depreciation'!$E$7:$AD$94,MATCH($C696,'Gen. Plant Depreciation'!$D$7:$D$94,0),MATCH(Calculation!$G696,'Gen. Plant Depreciation'!$E$5:$AD$5,0))</f>
        <v>7188</v>
      </c>
      <c r="BQ696" s="113"/>
      <c r="BR696" s="113"/>
      <c r="BS696" s="113"/>
      <c r="BT696" s="113"/>
      <c r="BU696" s="113"/>
      <c r="BV696" s="113"/>
      <c r="BW696" s="113">
        <f>INDEX('Gross Dx Plant'!$E$7:$AD$91,MATCH($C696,'Gross Dx Plant'!$D$7:$D$91,0),MATCH(Calculation!$G696,'Gross Dx Plant'!$E$5:$AD$5,0))</f>
        <v>460824</v>
      </c>
      <c r="BX696" s="113">
        <f>INDEX('Gross Gen Plant'!$E$7:$AD$91,MATCH($C696,'Gross Gen Plant'!$D$7:$D$91,0),MATCH(Calculation!$G696,'Gross Gen Plant'!$E$5:$AD$5,0))</f>
        <v>17170</v>
      </c>
      <c r="BY696" s="113">
        <f t="shared" si="1196"/>
        <v>304351</v>
      </c>
      <c r="BZ696" s="113"/>
      <c r="CA696" s="116">
        <v>2016</v>
      </c>
      <c r="CB696" s="113"/>
      <c r="CC696" s="113"/>
      <c r="CD696" s="113"/>
      <c r="CE696" s="175"/>
      <c r="CF696" s="113">
        <f t="shared" si="1245"/>
        <v>20030</v>
      </c>
      <c r="CG696" s="113">
        <f t="shared" si="1246"/>
        <v>29.830678779990709</v>
      </c>
      <c r="CH696" s="178">
        <v>0.88</v>
      </c>
      <c r="CI696" s="61">
        <f>+CI678*CH696+CG679*CH695+CG680*CH694+CG681*CH693+CG682*CH692+CG683*CH691+CG684*CH690+CG685*CH689+CG686*CH688+CG687*CH687+CG688*CH686+CG689*CH685+CG690*CH684+CG691*CH683+CG692*CH682+CG693*CH681+CG694*CH680+CG695*CH679+CG696</f>
        <v>1176.3176694417671</v>
      </c>
      <c r="CJ696" s="114">
        <f t="shared" si="1247"/>
        <v>1.6873716851381469E-2</v>
      </c>
      <c r="CK696" s="114"/>
      <c r="CL696" s="169">
        <f t="shared" si="1248"/>
        <v>8.7740285420119732E-3</v>
      </c>
      <c r="CM696" s="169">
        <f t="shared" si="1256"/>
        <v>8.54139943306962E-3</v>
      </c>
      <c r="CN696" s="114">
        <f>VLOOKUP($H696,RoR!$E:$F,2,FALSE)</f>
        <v>3.6658333333333334E-2</v>
      </c>
      <c r="CO696" s="169">
        <v>1.0483662879041455E-2</v>
      </c>
      <c r="CP696" s="169">
        <f t="shared" si="1254"/>
        <v>2.6174670454291879E-2</v>
      </c>
      <c r="CQ696" s="169">
        <f t="shared" si="1257"/>
        <v>2.2360542175464005E-2</v>
      </c>
      <c r="CR696" s="169">
        <v>4.301363574220729E-3</v>
      </c>
      <c r="CS696" s="179">
        <f t="shared" si="1249"/>
        <v>0.85171695000000003</v>
      </c>
      <c r="CT696" s="180">
        <f t="shared" si="1250"/>
        <v>1.3989193348138562</v>
      </c>
      <c r="CU696" s="180">
        <f t="shared" si="1251"/>
        <v>0.29302682427824522</v>
      </c>
      <c r="CV696" s="180">
        <f t="shared" si="1252"/>
        <v>0.76309497491941802</v>
      </c>
      <c r="CW696" s="180">
        <f t="shared" si="1253"/>
        <v>0.31280857135128509</v>
      </c>
      <c r="CX696" s="181">
        <f>INDEX('State Tax Lookup'!$D$7:$Z$91,MATCH(Calculation!$C696,'State Tax Lookup'!$B$7:$B$91,0),MATCH($H696,'State Tax Lookup'!$D$6:$Z$6,0))</f>
        <v>0.40076499999999998</v>
      </c>
      <c r="CY696" s="72">
        <v>0.37</v>
      </c>
      <c r="CZ696" s="70">
        <f t="shared" si="1255"/>
        <v>21.334075323284555</v>
      </c>
      <c r="DA696" s="70">
        <v>19.909765876209278</v>
      </c>
      <c r="DB696" s="69">
        <f t="shared" si="1258"/>
        <v>-1.6628533356723062E-2</v>
      </c>
      <c r="DC696" s="111">
        <f>VLOOKUP($H696,RoR!$E:$F,2,FALSE)</f>
        <v>3.6658333333333334E-2</v>
      </c>
      <c r="DD696" s="216">
        <f>HLOOKUP($H696,'GDP-PI'!$D$8:$CQ$11,3,FALSE)</f>
        <v>1.0483662879041455E-2</v>
      </c>
      <c r="DE696" s="111">
        <f>VLOOKUP(H696,'HW Dx Data'!$E:$F,2,FALSE)</f>
        <v>671.45639385971219</v>
      </c>
      <c r="DF696" s="72">
        <f t="shared" si="1267"/>
        <v>136.94999999999999</v>
      </c>
      <c r="DG696" s="69">
        <f t="shared" si="1268"/>
        <v>2.5514417868782811E-2</v>
      </c>
      <c r="DH696" s="66">
        <f>HLOOKUP(H696,'GDP-PI'!$8:$9,2,FALSE)</f>
        <v>105.736</v>
      </c>
      <c r="DI696" s="69">
        <f t="shared" si="1259"/>
        <v>1.0429090367205095E-2</v>
      </c>
      <c r="EB696"/>
    </row>
    <row r="697" spans="1:132" s="160" customFormat="1" ht="21">
      <c r="A697" s="160" t="s">
        <v>199</v>
      </c>
      <c r="B697" s="161" t="s">
        <v>199</v>
      </c>
      <c r="C697" s="161">
        <v>4057130</v>
      </c>
      <c r="D697" s="161" t="s">
        <v>200</v>
      </c>
      <c r="E697" s="161"/>
      <c r="F697" s="161"/>
      <c r="G697" s="161" t="s">
        <v>135</v>
      </c>
      <c r="H697" s="162">
        <v>2017</v>
      </c>
      <c r="I697" s="163"/>
      <c r="J697" s="159">
        <f>IFERROR(INDEX('Labor Expenditures'!$F$7:$X$91,MATCH($C697,'Labor Expenditures'!$D$7:$D$91,0),MATCH($G697,'Labor Expenditures'!$F$5:$X$5,0)),"NA")</f>
        <v>16619.858035695579</v>
      </c>
      <c r="K697" s="159">
        <f t="shared" si="1260"/>
        <v>118.332915882489</v>
      </c>
      <c r="L697" s="165">
        <f t="shared" si="1269"/>
        <v>-0.12290470538225087</v>
      </c>
      <c r="M697" s="76">
        <f t="shared" si="1270"/>
        <v>-6.5710492586085829E-4</v>
      </c>
      <c r="N697" s="62">
        <f t="shared" si="1275"/>
        <v>165.33731987994034</v>
      </c>
      <c r="O697" s="96">
        <f t="shared" si="1271"/>
        <v>-0.58826188223846643</v>
      </c>
      <c r="P697" s="96"/>
      <c r="Q697" s="159">
        <f>IFERROR(INDEX('Non-Labor Expenditures'!$F$7:$AB$91,MATCH($C697,'Non-Labor Expenditures'!$D$7:$D$91,0),MATCH($G697,'Non-Labor Expenditures'!$F$5:$AB$5,0)),"NA")</f>
        <v>24068.658596981826</v>
      </c>
      <c r="R697" s="159">
        <f t="shared" si="1261"/>
        <v>223.37294871492446</v>
      </c>
      <c r="S697" s="165">
        <f t="shared" si="1272"/>
        <v>-0.11654663576883034</v>
      </c>
      <c r="T697" s="165">
        <f t="shared" si="1273"/>
        <v>-6.2311176954555725E-4</v>
      </c>
      <c r="U697" s="165"/>
      <c r="V697" s="165"/>
      <c r="W697" s="159">
        <f t="shared" si="1243"/>
        <v>22617.665862790243</v>
      </c>
      <c r="X697" s="163"/>
      <c r="Y697" s="167">
        <v>1209.2517993301542</v>
      </c>
      <c r="Z697" s="168">
        <v>2.7612880616841449E-2</v>
      </c>
      <c r="AA697" s="76">
        <f t="shared" si="1262"/>
        <v>1.4763112457006592E-4</v>
      </c>
      <c r="AB697" s="168"/>
      <c r="AC697" s="168"/>
      <c r="AD697" s="163">
        <f t="shared" si="1281"/>
        <v>63306.182495467649</v>
      </c>
      <c r="AE697" s="168">
        <f t="shared" si="1274"/>
        <v>-9.3902093732516637E-2</v>
      </c>
      <c r="AF697" s="163"/>
      <c r="AG697" s="163"/>
      <c r="AH697" s="163"/>
      <c r="AI697" s="163"/>
      <c r="AJ697" s="116">
        <f t="shared" si="1276"/>
        <v>395.34983166778648</v>
      </c>
      <c r="AK697" s="114">
        <f>+AV697/$AX$22</f>
        <v>4.3245346278210873E-3</v>
      </c>
      <c r="AL697" s="115">
        <f t="shared" si="1263"/>
        <v>0.26253135761085361</v>
      </c>
      <c r="AM697" s="115">
        <f t="shared" si="1264"/>
        <v>0.38019443991437962</v>
      </c>
      <c r="AN697" s="115">
        <f t="shared" si="1265"/>
        <v>0.35727420247476677</v>
      </c>
      <c r="AO697" s="115">
        <f t="shared" si="1266"/>
        <v>-6.6889344718734756E-2</v>
      </c>
      <c r="AP697" s="166">
        <f t="shared" si="1278"/>
        <v>85.03144364793387</v>
      </c>
      <c r="AQ697" s="168">
        <f t="shared" si="1279"/>
        <v>-6.6889344718734742E-2</v>
      </c>
      <c r="AR697" s="69">
        <f>+AD697/$AF$22</f>
        <v>5.3464586552416345E-3</v>
      </c>
      <c r="AS697" s="169">
        <f t="shared" si="1277"/>
        <v>-3.5762111601492068E-4</v>
      </c>
      <c r="AT697" s="115"/>
      <c r="AU697" s="115"/>
      <c r="AV697" s="113">
        <f>IFERROR(INDEX('Total Customers'!$F$7:$AB$91,MATCH($C697,'Total Customers'!$D$7:$D$91,0),MATCH($G697,'Total Customers'!$F$5:$AB$5,0)),"NA")</f>
        <v>160127</v>
      </c>
      <c r="AW697" s="68">
        <f t="shared" si="1195"/>
        <v>2.9269594923889814E-3</v>
      </c>
      <c r="AX697" s="114"/>
      <c r="AY697" s="114"/>
      <c r="AZ697" s="116"/>
      <c r="BA697" s="116"/>
      <c r="BB697" s="166"/>
      <c r="BC697" s="166"/>
      <c r="BD697" s="166"/>
      <c r="BE697" s="166"/>
      <c r="BF697" s="166"/>
      <c r="BG697" s="166"/>
      <c r="BH697" s="166"/>
      <c r="BI697" s="113"/>
      <c r="BJ697" s="113"/>
      <c r="BK697" s="113">
        <f>INDEX('Dist. Plant Gas Additions'!$F$7:$AE$91,MATCH($C697,'Dist. Plant Gas Additions'!$D$7:$D$91,0),MATCH(Calculation!$G697,'Dist. Plant Gas Additions'!$F$5:$AE$5,0))</f>
        <v>30029</v>
      </c>
      <c r="BL697" s="113">
        <f>INDEX('Gen. Plant Additions'!$F$7:$AE$91,MATCH($C697,'Gen. Plant Additions'!$D$7:$D$91,0),MATCH(Calculation!$G697,'Gen. Plant Additions'!$F$5:$AE$5,0))</f>
        <v>1053</v>
      </c>
      <c r="BM697" s="231">
        <f t="shared" si="1244"/>
        <v>0.96510496509106503</v>
      </c>
      <c r="BN697" s="61">
        <f t="shared" si="1280"/>
        <v>1016.2555282408915</v>
      </c>
      <c r="BO697" s="113">
        <f>INDEX('Dist Plant Depreciation'!$E$7:$AD$94,MATCH($C697,'Dist Plant Depreciation'!$D$7:$D$94,0),MATCH(Calculation!$G697,'Dist Plant Depreciation'!$E$5:$AD$5,0))</f>
        <v>171669</v>
      </c>
      <c r="BP697" s="113">
        <f>INDEX('Gen. Plant Depreciation'!$E$7:$AD$94,MATCH($C697,'Gen. Plant Depreciation'!$D$7:$D$94,0),MATCH(Calculation!$G697,'Gen. Plant Depreciation'!$E$5:$AD$5,0))</f>
        <v>7440</v>
      </c>
      <c r="BQ697" s="113"/>
      <c r="BR697" s="113"/>
      <c r="BS697" s="113"/>
      <c r="BT697" s="113"/>
      <c r="BU697" s="113"/>
      <c r="BV697" s="113"/>
      <c r="BW697" s="113">
        <f>INDEX('Gross Dx Plant'!$E$7:$AD$91,MATCH($C697,'Gross Dx Plant'!$D$7:$D$91,0),MATCH(Calculation!$G697,'Gross Dx Plant'!$E$5:$AD$5,0))</f>
        <v>486023</v>
      </c>
      <c r="BX697" s="113">
        <f>INDEX('Gross Gen Plant'!$E$7:$AD$91,MATCH($C697,'Gross Gen Plant'!$D$7:$D$91,0),MATCH(Calculation!$G697,'Gross Gen Plant'!$E$5:$AD$5,0))</f>
        <v>17573</v>
      </c>
      <c r="BY697" s="113">
        <f t="shared" si="1196"/>
        <v>324487</v>
      </c>
      <c r="BZ697" s="113"/>
      <c r="CA697" s="116">
        <v>2017</v>
      </c>
      <c r="CB697" s="113"/>
      <c r="CC697" s="113"/>
      <c r="CD697" s="113"/>
      <c r="CE697" s="175"/>
      <c r="CF697" s="113">
        <f t="shared" si="1245"/>
        <v>31082</v>
      </c>
      <c r="CG697" s="113">
        <f t="shared" si="1246"/>
        <v>43.628232655230249</v>
      </c>
      <c r="CH697" s="178">
        <v>0.87074829931972786</v>
      </c>
      <c r="CI697" s="61">
        <f>+CI678*CH697+CG679*CH696+CG680*CH695+CG681*CH694+CG682*CH693+CG683*CH692+CG684*CH691+CG685*CH690+CG686*CH689+CG687*CH688+CG688*CH687+CG689*CH686+CG690*CH685+CG691*CH684+CG692*CH683+CG693*CH682+CG694*CH681+CG695*CH680+CG696*CH679+CG697</f>
        <v>1209.2517993301542</v>
      </c>
      <c r="CJ697" s="114">
        <f t="shared" si="1247"/>
        <v>2.7612880616841449E-2</v>
      </c>
      <c r="CK697" s="114"/>
      <c r="CL697" s="169">
        <f t="shared" si="1248"/>
        <v>9.0911690308266013E-3</v>
      </c>
      <c r="CM697" s="169">
        <f t="shared" si="1256"/>
        <v>8.8008506505523384E-3</v>
      </c>
      <c r="CN697" s="114">
        <f>VLOOKUP($H697,RoR!$E:$F,2,FALSE)</f>
        <v>3.7433333333333339E-2</v>
      </c>
      <c r="CO697" s="169">
        <v>1.9056896421275615E-2</v>
      </c>
      <c r="CP697" s="169">
        <f t="shared" si="1254"/>
        <v>1.8376436912057724E-2</v>
      </c>
      <c r="CQ697" s="169">
        <f t="shared" si="1257"/>
        <v>2.2101090957981288E-2</v>
      </c>
      <c r="CR697" s="169">
        <v>1.3976271617800498E-2</v>
      </c>
      <c r="CS697" s="179">
        <f t="shared" si="1249"/>
        <v>0.90351694999999999</v>
      </c>
      <c r="CT697" s="180">
        <f t="shared" si="1250"/>
        <v>1.3699568463593395</v>
      </c>
      <c r="CU697" s="180">
        <f t="shared" si="1251"/>
        <v>0.30714603739982199</v>
      </c>
      <c r="CV697" s="180">
        <f t="shared" si="1252"/>
        <v>0.77007188472689425</v>
      </c>
      <c r="CW697" s="180">
        <f t="shared" si="1253"/>
        <v>0.32402839633793828</v>
      </c>
      <c r="CX697" s="181">
        <f>INDEX('State Tax Lookup'!$D$7:$Z$91,MATCH(Calculation!$C697,'State Tax Lookup'!$B$7:$B$91,0),MATCH($H697,'State Tax Lookup'!$D$6:$Z$6,0))</f>
        <v>0.26076499999999997</v>
      </c>
      <c r="CY697" s="72">
        <v>0.37</v>
      </c>
      <c r="CZ697" s="70">
        <f t="shared" si="1255"/>
        <v>19.227515194533868</v>
      </c>
      <c r="DA697" s="70">
        <v>18.231812616449311</v>
      </c>
      <c r="DB697" s="69">
        <f t="shared" si="1258"/>
        <v>-0.10396323866682521</v>
      </c>
      <c r="DC697" s="111">
        <f>VLOOKUP($H697,RoR!$E:$F,2,FALSE)</f>
        <v>3.7433333333333339E-2</v>
      </c>
      <c r="DD697" s="216">
        <f>HLOOKUP($H697,'GDP-PI'!$D$8:$CQ$11,3,FALSE)</f>
        <v>1.9056896421275615E-2</v>
      </c>
      <c r="DE697" s="111">
        <f>VLOOKUP(H697,'HW Dx Data'!$E:$F,2,FALSE)</f>
        <v>712.42858370229726</v>
      </c>
      <c r="DF697" s="72">
        <f t="shared" si="1267"/>
        <v>140.44999999999999</v>
      </c>
      <c r="DG697" s="69">
        <f t="shared" si="1268"/>
        <v>2.5235657841165486E-2</v>
      </c>
      <c r="DH697" s="66">
        <f>HLOOKUP(H697,'GDP-PI'!$8:$9,2,FALSE)</f>
        <v>107.751</v>
      </c>
      <c r="DI697" s="69">
        <f t="shared" si="1259"/>
        <v>1.8877588227745139E-2</v>
      </c>
      <c r="EB697"/>
    </row>
    <row r="698" spans="1:132" s="160" customFormat="1" ht="21">
      <c r="A698" s="160" t="s">
        <v>199</v>
      </c>
      <c r="B698" s="161" t="s">
        <v>199</v>
      </c>
      <c r="C698" s="161">
        <v>4057130</v>
      </c>
      <c r="D698" s="161" t="s">
        <v>200</v>
      </c>
      <c r="E698" s="161"/>
      <c r="F698" s="161"/>
      <c r="G698" s="161" t="s">
        <v>136</v>
      </c>
      <c r="H698" s="162">
        <v>2018</v>
      </c>
      <c r="I698" s="163"/>
      <c r="J698" s="159">
        <f>IFERROR(INDEX('Labor Expenditures'!$F$7:$X$91,MATCH($C698,'Labor Expenditures'!$D$7:$D$91,0),MATCH($G698,'Labor Expenditures'!$F$5:$X$5,0)),"NA")</f>
        <v>17033.83902273218</v>
      </c>
      <c r="K698" s="159">
        <f t="shared" si="1260"/>
        <v>117.92204238651561</v>
      </c>
      <c r="L698" s="165">
        <f t="shared" si="1269"/>
        <v>-3.4782246536899358E-3</v>
      </c>
      <c r="M698" s="76">
        <f t="shared" si="1270"/>
        <v>-1.7836370597547042E-5</v>
      </c>
      <c r="N698" s="62">
        <f t="shared" si="1275"/>
        <v>113.93001274772774</v>
      </c>
      <c r="O698" s="96">
        <f t="shared" si="1271"/>
        <v>-0.37240341334228622</v>
      </c>
      <c r="P698" s="96"/>
      <c r="Q698" s="159">
        <f>IFERROR(INDEX('Non-Labor Expenditures'!$F$7:$AB$91,MATCH($C698,'Non-Labor Expenditures'!$D$7:$D$91,0),MATCH($G698,'Non-Labor Expenditures'!$F$5:$AB$5,0)),"NA")</f>
        <v>24668.180387193584</v>
      </c>
      <c r="R698" s="159">
        <f t="shared" si="1261"/>
        <v>223.60164234870274</v>
      </c>
      <c r="S698" s="165">
        <f t="shared" si="1272"/>
        <v>1.0232959917930984E-3</v>
      </c>
      <c r="T698" s="165">
        <f t="shared" si="1273"/>
        <v>5.2474720174395074E-6</v>
      </c>
      <c r="U698" s="165"/>
      <c r="V698" s="165"/>
      <c r="W698" s="159">
        <f t="shared" si="1243"/>
        <v>24298.371123713892</v>
      </c>
      <c r="X698" s="163"/>
      <c r="Y698" s="167">
        <v>1271.0300788629718</v>
      </c>
      <c r="Z698" s="168">
        <v>4.9825836745246412E-2</v>
      </c>
      <c r="AA698" s="76">
        <f t="shared" si="1262"/>
        <v>2.5550738609660714E-4</v>
      </c>
      <c r="AB698" s="168"/>
      <c r="AC698" s="168"/>
      <c r="AD698" s="163">
        <f t="shared" si="1281"/>
        <v>66000.390533639656</v>
      </c>
      <c r="AE698" s="168">
        <f t="shared" si="1274"/>
        <v>4.1677665049903875E-2</v>
      </c>
      <c r="AF698" s="163"/>
      <c r="AG698" s="163"/>
      <c r="AH698" s="163"/>
      <c r="AI698" s="163"/>
      <c r="AJ698" s="116">
        <f t="shared" si="1276"/>
        <v>405.82908875699991</v>
      </c>
      <c r="AK698" s="114">
        <f>+AV698/$AX$23</f>
        <v>4.3536939218062854E-3</v>
      </c>
      <c r="AL698" s="115">
        <f t="shared" si="1263"/>
        <v>0.25808694289543976</v>
      </c>
      <c r="AM698" s="115">
        <f t="shared" si="1264"/>
        <v>0.37375809730429538</v>
      </c>
      <c r="AN698" s="115">
        <f t="shared" si="1265"/>
        <v>0.36815495980026491</v>
      </c>
      <c r="AO698" s="115">
        <f t="shared" si="1266"/>
        <v>1.7552902105555778E-2</v>
      </c>
      <c r="AP698" s="166">
        <f t="shared" si="1278"/>
        <v>86.537168514938287</v>
      </c>
      <c r="AQ698" s="168">
        <f t="shared" si="1279"/>
        <v>1.7552902105555768E-2</v>
      </c>
      <c r="AR698" s="69">
        <f>+AD698/$AF$23</f>
        <v>5.1280099399631978E-3</v>
      </c>
      <c r="AS698" s="169">
        <f t="shared" si="1277"/>
        <v>9.0011456472490926E-5</v>
      </c>
      <c r="AT698" s="115"/>
      <c r="AU698" s="115"/>
      <c r="AV698" s="113">
        <f>IFERROR(INDEX('Total Customers'!$F$7:$AB$91,MATCH($C698,'Total Customers'!$D$7:$D$91,0),MATCH($G698,'Total Customers'!$F$5:$AB$5,0)),"NA")</f>
        <v>162631</v>
      </c>
      <c r="AW698" s="68">
        <f t="shared" si="1195"/>
        <v>1.5516580467569938E-2</v>
      </c>
      <c r="AX698" s="114"/>
      <c r="AY698" s="114"/>
      <c r="AZ698" s="116"/>
      <c r="BA698" s="116"/>
      <c r="BB698" s="166"/>
      <c r="BC698" s="166"/>
      <c r="BD698" s="166"/>
      <c r="BE698" s="166"/>
      <c r="BF698" s="166"/>
      <c r="BG698" s="166"/>
      <c r="BH698" s="166"/>
      <c r="BI698" s="113"/>
      <c r="BJ698" s="113"/>
      <c r="BK698" s="113">
        <f>INDEX('Dist. Plant Gas Additions'!$F$7:$AE$91,MATCH($C698,'Dist. Plant Gas Additions'!$D$7:$D$91,0),MATCH(Calculation!$G698,'Dist. Plant Gas Additions'!$F$5:$AE$5,0))</f>
        <v>53291</v>
      </c>
      <c r="BL698" s="113">
        <f>INDEX('Gen. Plant Additions'!$F$7:$AE$91,MATCH($C698,'Gen. Plant Additions'!$D$7:$D$91,0),MATCH(Calculation!$G698,'Gen. Plant Additions'!$F$5:$AE$5,0))</f>
        <v>1921</v>
      </c>
      <c r="BM698" s="231">
        <f t="shared" si="1244"/>
        <v>0.96631008626015658</v>
      </c>
      <c r="BN698" s="61">
        <f t="shared" si="1280"/>
        <v>1856.2816757057608</v>
      </c>
      <c r="BO698" s="113">
        <f>INDEX('Dist Plant Depreciation'!$E$7:$AD$94,MATCH($C698,'Dist Plant Depreciation'!$D$7:$D$94,0),MATCH(Calculation!$G698,'Dist Plant Depreciation'!$E$5:$AD$5,0))</f>
        <v>188787</v>
      </c>
      <c r="BP698" s="113">
        <f>INDEX('Gen. Plant Depreciation'!$E$7:$AD$94,MATCH($C698,'Gen. Plant Depreciation'!$D$7:$D$94,0),MATCH(Calculation!$G698,'Gen. Plant Depreciation'!$E$5:$AD$5,0))</f>
        <v>7650</v>
      </c>
      <c r="BQ698" s="113"/>
      <c r="BR698" s="113"/>
      <c r="BS698" s="113"/>
      <c r="BT698" s="113"/>
      <c r="BU698" s="113"/>
      <c r="BV698" s="113"/>
      <c r="BW698" s="113">
        <f>INDEX('Gross Dx Plant'!$E$7:$AD$91,MATCH($C698,'Gross Dx Plant'!$D$7:$D$91,0),MATCH(Calculation!$G698,'Gross Dx Plant'!$E$5:$AD$5,0))</f>
        <v>536477</v>
      </c>
      <c r="BX698" s="113">
        <f>INDEX('Gross Gen Plant'!$E$7:$AD$91,MATCH($C698,'Gross Gen Plant'!$D$7:$D$91,0),MATCH(Calculation!$G698,'Gross Gen Plant'!$E$5:$AD$5,0))</f>
        <v>18704</v>
      </c>
      <c r="BY698" s="113">
        <f t="shared" si="1196"/>
        <v>358744</v>
      </c>
      <c r="BZ698" s="113"/>
      <c r="CA698" s="116">
        <v>2018</v>
      </c>
      <c r="CB698" s="113"/>
      <c r="CC698" s="113"/>
      <c r="CD698" s="113"/>
      <c r="CE698" s="175"/>
      <c r="CF698" s="113">
        <f t="shared" si="1245"/>
        <v>55212</v>
      </c>
      <c r="CG698" s="113">
        <f t="shared" si="1246"/>
        <v>73.115237216519418</v>
      </c>
      <c r="CH698" s="178">
        <v>0.86111111111111116</v>
      </c>
      <c r="CI698" s="61">
        <f>+CI678*CH698++CG679*CH697+CG680*CH696+CG681*CH695+CG682*CH694+CG683*CH693+CG684*CH692+CG685*CH691+CG686*CH690+CG687*CH689+CG688*CH688+CG689*CH687+CG690*CH686+CG691*CH685+CG692*CH684+CG693*CH683+CG694*CH682+CG695*CH681+CG696*CH680+CG697*CH679+CG698</f>
        <v>1271.0300788629718</v>
      </c>
      <c r="CJ698" s="114">
        <f t="shared" si="1247"/>
        <v>4.9825836745246412E-2</v>
      </c>
      <c r="CK698" s="114"/>
      <c r="CL698" s="169">
        <f t="shared" si="1248"/>
        <v>9.3751836383305504E-3</v>
      </c>
      <c r="CM698" s="169">
        <f t="shared" si="1256"/>
        <v>9.0801270703897083E-3</v>
      </c>
      <c r="CN698" s="114">
        <f>VLOOKUP($H698,RoR!$E:$F,2,FALSE)</f>
        <v>3.9299999999999995E-2</v>
      </c>
      <c r="CO698" s="169">
        <v>2.386056741932796E-2</v>
      </c>
      <c r="CP698" s="169">
        <f t="shared" si="1254"/>
        <v>1.5439432580672034E-2</v>
      </c>
      <c r="CQ698" s="169">
        <f t="shared" si="1257"/>
        <v>2.1821814538143917E-2</v>
      </c>
      <c r="CR698" s="169">
        <v>3.8270792163076606E-2</v>
      </c>
      <c r="CS698" s="179">
        <f t="shared" si="1249"/>
        <v>0.90351694999999999</v>
      </c>
      <c r="CT698" s="180">
        <f t="shared" si="1250"/>
        <v>1.3048868010700074</v>
      </c>
      <c r="CU698" s="180">
        <f t="shared" si="1251"/>
        <v>0.33886768447837151</v>
      </c>
      <c r="CV698" s="180">
        <f t="shared" si="1252"/>
        <v>0.78602506232557801</v>
      </c>
      <c r="CW698" s="180">
        <f t="shared" si="1253"/>
        <v>0.34756768162358759</v>
      </c>
      <c r="CX698" s="181">
        <f>INDEX('State Tax Lookup'!$D$7:$Z$91,MATCH(Calculation!$C698,'State Tax Lookup'!$B$7:$B$91,0),MATCH($H698,'State Tax Lookup'!$D$6:$Z$6,0))</f>
        <v>0.26076499999999997</v>
      </c>
      <c r="CY698" s="72">
        <v>0.37</v>
      </c>
      <c r="CZ698" s="70">
        <f t="shared" si="1255"/>
        <v>20.093723356188999</v>
      </c>
      <c r="DA698" s="70">
        <v>19.050901628905343</v>
      </c>
      <c r="DB698" s="69">
        <f t="shared" si="1258"/>
        <v>4.4065159263108486E-2</v>
      </c>
      <c r="DC698" s="111">
        <f>VLOOKUP($H698,RoR!$E:$F,2,FALSE)</f>
        <v>3.9299999999999995E-2</v>
      </c>
      <c r="DD698" s="216">
        <f>HLOOKUP($H698,'GDP-PI'!$D$8:$CQ$11,3,FALSE)</f>
        <v>2.386056741932796E-2</v>
      </c>
      <c r="DE698" s="111">
        <f>VLOOKUP(H698,'HW Dx Data'!$E:$F,2,FALSE)</f>
        <v>755.13671434174842</v>
      </c>
      <c r="DF698" s="72">
        <f t="shared" si="1267"/>
        <v>144.44999999999999</v>
      </c>
      <c r="DG698" s="69">
        <f t="shared" si="1268"/>
        <v>2.80818733619915E-2</v>
      </c>
      <c r="DH698" s="66">
        <f>HLOOKUP(H698,'GDP-PI'!$8:$9,2,FALSE)</f>
        <v>110.322</v>
      </c>
      <c r="DI698" s="69">
        <f t="shared" si="1259"/>
        <v>2.3580352716508712E-2</v>
      </c>
      <c r="EB698"/>
    </row>
    <row r="699" spans="1:132" s="160" customFormat="1" ht="21">
      <c r="A699" s="160" t="s">
        <v>199</v>
      </c>
      <c r="B699" s="161" t="s">
        <v>199</v>
      </c>
      <c r="C699" s="161">
        <v>4057130</v>
      </c>
      <c r="D699" s="161" t="s">
        <v>200</v>
      </c>
      <c r="E699" s="161"/>
      <c r="F699" s="161"/>
      <c r="G699" s="161" t="s">
        <v>140</v>
      </c>
      <c r="H699" s="162">
        <v>2019</v>
      </c>
      <c r="I699" s="163"/>
      <c r="J699" s="159">
        <f>IFERROR(INDEX('Labor Expenditures'!$F$7:$X$91,MATCH($C699,'Labor Expenditures'!$D$7:$D$91,0),MATCH($G699,'Labor Expenditures'!$F$5:$X$5,0)),"NA")</f>
        <v>15728.230746896625</v>
      </c>
      <c r="K699" s="159">
        <f t="shared" si="1260"/>
        <v>105.08255050540586</v>
      </c>
      <c r="L699" s="165">
        <f t="shared" si="1269"/>
        <v>-0.11527751183630547</v>
      </c>
      <c r="M699" s="76">
        <f t="shared" si="1270"/>
        <v>-5.589194736334911E-4</v>
      </c>
      <c r="N699" s="62">
        <f t="shared" si="1275"/>
        <v>115.73308703101425</v>
      </c>
      <c r="O699" s="96">
        <f t="shared" si="1271"/>
        <v>1.570222932668372E-2</v>
      </c>
      <c r="P699" s="96"/>
      <c r="Q699" s="159">
        <f>IFERROR(INDEX('Non-Labor Expenditures'!$F$7:$AB$91,MATCH($C699,'Non-Labor Expenditures'!$D$7:$D$91,0),MATCH($G699,'Non-Labor Expenditures'!$F$5:$AB$5,0)),"NA")</f>
        <v>22777.415749794869</v>
      </c>
      <c r="R699" s="159">
        <f t="shared" si="1261"/>
        <v>202.79399339193068</v>
      </c>
      <c r="S699" s="165">
        <f t="shared" si="1272"/>
        <v>-9.7675433388535585E-2</v>
      </c>
      <c r="T699" s="165">
        <f t="shared" si="1273"/>
        <v>-4.7357633719545647E-4</v>
      </c>
      <c r="U699" s="165"/>
      <c r="V699" s="165"/>
      <c r="W699" s="159">
        <f t="shared" si="1243"/>
        <v>25830.356440353677</v>
      </c>
      <c r="X699" s="163"/>
      <c r="Y699" s="167">
        <v>1298.1797674679285</v>
      </c>
      <c r="Z699" s="168">
        <v>2.1135446993146637E-2</v>
      </c>
      <c r="AA699" s="76">
        <f t="shared" si="1262"/>
        <v>1.0247456524905391E-4</v>
      </c>
      <c r="AB699" s="168"/>
      <c r="AC699" s="168"/>
      <c r="AD699" s="163">
        <f t="shared" si="1281"/>
        <v>64336.002937045167</v>
      </c>
      <c r="AE699" s="168">
        <f t="shared" si="1274"/>
        <v>-2.5541263378700919E-2</v>
      </c>
      <c r="AF699" s="163"/>
      <c r="AG699" s="163"/>
      <c r="AH699" s="163"/>
      <c r="AI699" s="163"/>
      <c r="AJ699" s="116">
        <f t="shared" si="1276"/>
        <v>394.62435326438015</v>
      </c>
      <c r="AK699" s="114">
        <f>+AV699/$AX$24</f>
        <v>4.3284080548410689E-3</v>
      </c>
      <c r="AL699" s="115">
        <f t="shared" si="1263"/>
        <v>0.244470126039493</v>
      </c>
      <c r="AM699" s="115">
        <f t="shared" si="1264"/>
        <v>0.35403840322631325</v>
      </c>
      <c r="AN699" s="115">
        <f t="shared" si="1265"/>
        <v>0.40149147073419383</v>
      </c>
      <c r="AO699" s="115">
        <f t="shared" si="1266"/>
        <v>-5.6377272867263455E-2</v>
      </c>
      <c r="AP699" s="166">
        <f t="shared" si="1278"/>
        <v>81.793415281952178</v>
      </c>
      <c r="AQ699" s="168">
        <f t="shared" si="1279"/>
        <v>-5.637727286726351E-2</v>
      </c>
      <c r="AR699" s="69">
        <f>+AD699/$AF$24</f>
        <v>4.8484692697666736E-3</v>
      </c>
      <c r="AS699" s="169">
        <f t="shared" si="1277"/>
        <v>-2.7334347501017762E-4</v>
      </c>
      <c r="AT699" s="115"/>
      <c r="AU699" s="115"/>
      <c r="AV699" s="113">
        <f>IFERROR(INDEX('Total Customers'!$F$7:$AB$91,MATCH($C699,'Total Customers'!$D$7:$D$91,0),MATCH($G699,'Total Customers'!$F$5:$AB$5,0)),"NA")</f>
        <v>163031</v>
      </c>
      <c r="AW699" s="68">
        <f t="shared" si="1195"/>
        <v>2.4565359246842356E-3</v>
      </c>
      <c r="AX699" s="114"/>
      <c r="AY699" s="114"/>
      <c r="AZ699" s="116"/>
      <c r="BA699" s="116"/>
      <c r="BB699" s="166"/>
      <c r="BC699" s="166"/>
      <c r="BD699" s="166"/>
      <c r="BE699" s="166"/>
      <c r="BF699" s="166"/>
      <c r="BG699" s="166"/>
      <c r="BH699" s="166"/>
      <c r="BI699" s="113"/>
      <c r="BJ699" s="113"/>
      <c r="BK699" s="113">
        <f>INDEX('Dist. Plant Gas Additions'!$F$7:$AE$91,MATCH($C699,'Dist. Plant Gas Additions'!$D$7:$D$91,0),MATCH(Calculation!$G699,'Dist. Plant Gas Additions'!$F$5:$AE$5,0))</f>
        <v>27330</v>
      </c>
      <c r="BL699" s="113">
        <f>INDEX('Gen. Plant Additions'!$F$7:$AE$91,MATCH($C699,'Gen. Plant Additions'!$D$7:$D$91,0),MATCH(Calculation!$G699,'Gen. Plant Additions'!$F$5:$AE$5,0))</f>
        <v>3077</v>
      </c>
      <c r="BM699" s="231">
        <f t="shared" si="1244"/>
        <v>0.96470381824874518</v>
      </c>
      <c r="BN699" s="61">
        <f t="shared" si="1280"/>
        <v>2968.3936487513888</v>
      </c>
      <c r="BO699" s="113">
        <f>INDEX('Dist Plant Depreciation'!$E$7:$AD$94,MATCH($C699,'Dist Plant Depreciation'!$D$7:$D$94,0),MATCH(Calculation!$G699,'Dist Plant Depreciation'!$E$5:$AD$5,0))</f>
        <v>198985</v>
      </c>
      <c r="BP699" s="113">
        <f>INDEX('Gen. Plant Depreciation'!$E$7:$AD$94,MATCH($C699,'Gen. Plant Depreciation'!$D$7:$D$94,0),MATCH(Calculation!$G699,'Gen. Plant Depreciation'!$E$5:$AD$5,0))</f>
        <v>7687</v>
      </c>
      <c r="BQ699" s="113"/>
      <c r="BR699" s="113"/>
      <c r="BS699" s="113"/>
      <c r="BT699" s="113"/>
      <c r="BU699" s="113"/>
      <c r="BV699" s="113"/>
      <c r="BW699" s="113">
        <f>INDEX('Gross Dx Plant'!$E$7:$AD$91,MATCH($C699,'Gross Dx Plant'!$D$7:$D$91,0),MATCH(Calculation!$G699,'Gross Dx Plant'!$E$5:$AD$5,0))</f>
        <v>560846</v>
      </c>
      <c r="BX699" s="113">
        <f>INDEX('Gross Gen Plant'!$E$7:$AD$91,MATCH($C699,'Gross Gen Plant'!$D$7:$D$91,0),MATCH(Calculation!$G699,'Gross Gen Plant'!$E$5:$AD$5,0))</f>
        <v>20520</v>
      </c>
      <c r="BY699" s="113">
        <f t="shared" si="1196"/>
        <v>374694</v>
      </c>
      <c r="BZ699" s="113"/>
      <c r="CA699" s="116">
        <v>2019</v>
      </c>
      <c r="CB699" s="113"/>
      <c r="CC699" s="113"/>
      <c r="CD699" s="113"/>
      <c r="CE699" s="175"/>
      <c r="CF699" s="113">
        <f t="shared" si="1245"/>
        <v>30407</v>
      </c>
      <c r="CG699" s="113">
        <f t="shared" si="1246"/>
        <v>39.308927265880968</v>
      </c>
      <c r="CH699" s="178">
        <v>0.85106382978723405</v>
      </c>
      <c r="CI699" s="61">
        <f>CI678*CH699+CG679*CH698+CG680*CH697+CG681*CH696+CG682*CH695+CG683*CH694+CG684*CH693+CG685*CH692+CG686*CH691+CG687*CH690+CG688*CH689+CG689*CH688+CG690*CH687+CG691*CH686+CG692*CH685+CG693*CH684+CG694*CH683+CG695*CH682+CG696*CH681+CG697*CH680+CG698*CH679+CG699</f>
        <v>1298.1797674679285</v>
      </c>
      <c r="CJ699" s="114">
        <f t="shared" si="1247"/>
        <v>2.1135446993146637E-2</v>
      </c>
      <c r="CK699" s="114"/>
      <c r="CL699" s="169">
        <f t="shared" si="1248"/>
        <v>9.5664444635342929E-3</v>
      </c>
      <c r="CM699" s="169">
        <f t="shared" si="1256"/>
        <v>9.3442657108971493E-3</v>
      </c>
      <c r="CN699" s="114">
        <f>VLOOKUP($H699,RoR!$E:$F,2,FALSE)</f>
        <v>3.3875000000000009E-2</v>
      </c>
      <c r="CO699" s="169">
        <v>1.8092492884465461E-2</v>
      </c>
      <c r="CP699" s="169">
        <f t="shared" si="1254"/>
        <v>1.5782507115534548E-2</v>
      </c>
      <c r="CQ699" s="169">
        <f t="shared" si="1257"/>
        <v>2.1557675897636477E-2</v>
      </c>
      <c r="CR699" s="169">
        <v>4.8445665544254078E-2</v>
      </c>
      <c r="CS699" s="179">
        <f t="shared" si="1249"/>
        <v>0.90351694999999999</v>
      </c>
      <c r="CT699" s="180">
        <f t="shared" si="1250"/>
        <v>1.513861292459078</v>
      </c>
      <c r="CU699" s="180">
        <f t="shared" si="1251"/>
        <v>0.23699261992619944</v>
      </c>
      <c r="CV699" s="180">
        <f t="shared" si="1252"/>
        <v>0.73619765810468829</v>
      </c>
      <c r="CW699" s="180">
        <f t="shared" si="1253"/>
        <v>0.26412854465362851</v>
      </c>
      <c r="CX699" s="181">
        <f>INDEX('State Tax Lookup'!$D$7:$Z$91,MATCH(Calculation!$C699,'State Tax Lookup'!$B$7:$B$91,0),MATCH($H699,'State Tax Lookup'!$D$6:$Z$6,0))</f>
        <v>0.26076499999999997</v>
      </c>
      <c r="CY699" s="72">
        <v>0.37</v>
      </c>
      <c r="CZ699" s="70">
        <f t="shared" si="1255"/>
        <v>20.322380146550739</v>
      </c>
      <c r="DA699" s="70">
        <v>19.236104090735289</v>
      </c>
      <c r="DB699" s="69">
        <f t="shared" si="1258"/>
        <v>1.1315253585146758E-2</v>
      </c>
      <c r="DC699" s="111">
        <f>VLOOKUP($H699,RoR!$E:$F,2,FALSE)</f>
        <v>3.3875000000000009E-2</v>
      </c>
      <c r="DD699" s="216">
        <f>HLOOKUP($H699,'GDP-PI'!$D$8:$CQ$11,3,FALSE)</f>
        <v>1.8092492884465461E-2</v>
      </c>
      <c r="DE699" s="111">
        <f>VLOOKUP(H699,'HW Dx Data'!$E:$F,2,FALSE)</f>
        <v>773.53929793938721</v>
      </c>
      <c r="DF699" s="72">
        <f t="shared" si="1267"/>
        <v>149.67500000000001</v>
      </c>
      <c r="DG699" s="69">
        <f t="shared" si="1268"/>
        <v>3.5532849899171604E-2</v>
      </c>
      <c r="DH699" s="66">
        <f>HLOOKUP(H699,'GDP-PI'!$8:$9,2,FALSE)</f>
        <v>112.318</v>
      </c>
      <c r="DI699" s="69">
        <f t="shared" si="1259"/>
        <v>1.7930771451401852E-2</v>
      </c>
      <c r="EB699"/>
    </row>
    <row r="700" spans="1:132" s="160" customFormat="1" ht="21">
      <c r="A700" s="160" t="s">
        <v>199</v>
      </c>
      <c r="B700" s="160" t="s">
        <v>199</v>
      </c>
      <c r="C700" s="160">
        <v>4057130</v>
      </c>
      <c r="D700" s="160" t="s">
        <v>200</v>
      </c>
      <c r="G700" s="161" t="s">
        <v>141</v>
      </c>
      <c r="H700" s="162">
        <v>2020</v>
      </c>
      <c r="I700" s="163"/>
      <c r="J700" s="159">
        <f>IFERROR(INDEX('Labor Expenditures'!$F$7:$X$91,MATCH($C700,'Labor Expenditures'!$D$7:$D$91,0),MATCH($G700,'Labor Expenditures'!$F$5:$X$5,0)),"NA")</f>
        <v>14566.847653664079</v>
      </c>
      <c r="K700" s="159">
        <f t="shared" si="1260"/>
        <v>95.114904692550297</v>
      </c>
      <c r="L700" s="165">
        <f t="shared" si="1269"/>
        <v>-9.9660552761208568E-2</v>
      </c>
      <c r="M700" s="76">
        <f t="shared" si="1270"/>
        <v>-4.5946128723872899E-4</v>
      </c>
      <c r="N700" s="62">
        <f t="shared" si="1275"/>
        <v>115.91716949202713</v>
      </c>
      <c r="O700" s="96">
        <f t="shared" si="1271"/>
        <v>1.5893140160858784E-3</v>
      </c>
      <c r="P700" s="96"/>
      <c r="Q700" s="159">
        <f>IFERROR(INDEX('Non-Labor Expenditures'!$F$7:$AB$91,MATCH($C700,'Non-Labor Expenditures'!$D$7:$D$91,0),MATCH($G700,'Non-Labor Expenditures'!$F$5:$AB$5,0)),"NA")</f>
        <v>21095.516114353668</v>
      </c>
      <c r="R700" s="159">
        <f t="shared" si="1261"/>
        <v>185.6623757016948</v>
      </c>
      <c r="S700" s="165">
        <f t="shared" si="1272"/>
        <v>-8.8260813025233184E-2</v>
      </c>
      <c r="T700" s="165">
        <f t="shared" si="1273"/>
        <v>-4.0690549712759435E-4</v>
      </c>
      <c r="U700" s="165"/>
      <c r="V700" s="165"/>
      <c r="W700" s="159">
        <f t="shared" si="1243"/>
        <v>27391.676600433293</v>
      </c>
      <c r="X700" s="163"/>
      <c r="Y700" s="167">
        <v>1311.2565573337818</v>
      </c>
      <c r="Z700" s="168">
        <v>1.0022777112138967E-2</v>
      </c>
      <c r="AA700" s="76">
        <f t="shared" si="1262"/>
        <v>4.6207631264942175E-5</v>
      </c>
      <c r="AB700" s="168"/>
      <c r="AC700" s="168"/>
      <c r="AD700" s="163">
        <f t="shared" si="1281"/>
        <v>63054.040368451038</v>
      </c>
      <c r="AE700" s="168">
        <f t="shared" si="1274"/>
        <v>-2.0127253474963355E-2</v>
      </c>
      <c r="AF700" s="163"/>
      <c r="AG700" s="163"/>
      <c r="AH700" s="163"/>
      <c r="AI700" s="163"/>
      <c r="AJ700" s="116">
        <f t="shared" si="1276"/>
        <v>385.90653378654423</v>
      </c>
      <c r="AK700" s="114">
        <f>+AV700/$AX$25</f>
        <v>4.3073594311813842E-3</v>
      </c>
      <c r="AL700" s="115">
        <f t="shared" si="1263"/>
        <v>0.23102163744851109</v>
      </c>
      <c r="AM700" s="115">
        <f t="shared" si="1264"/>
        <v>0.33456247991538329</v>
      </c>
      <c r="AN700" s="115">
        <f t="shared" si="1265"/>
        <v>0.43441588263610564</v>
      </c>
      <c r="AO700" s="115">
        <f t="shared" si="1266"/>
        <v>-4.9893066344683788E-2</v>
      </c>
      <c r="AP700" s="166">
        <f t="shared" si="1278"/>
        <v>77.8126236900099</v>
      </c>
      <c r="AQ700" s="168">
        <f t="shared" si="1279"/>
        <v>-4.9893066344683788E-2</v>
      </c>
      <c r="AR700" s="69">
        <f>+AD700/$AF$25</f>
        <v>4.6102622803991479E-3</v>
      </c>
      <c r="AS700" s="169">
        <f t="shared" si="1277"/>
        <v>-2.3002012182234786E-4</v>
      </c>
      <c r="AT700" s="115"/>
      <c r="AU700" s="115"/>
      <c r="AV700" s="113">
        <f>IFERROR(INDEX('Total Customers'!$F$7:$AB$91,MATCH($C700,'Total Customers'!$D$7:$D$91,0),MATCH($G700,'Total Customers'!$F$5:$AB$5,0)),"NA")</f>
        <v>163392</v>
      </c>
      <c r="AW700" s="68">
        <f t="shared" si="1195"/>
        <v>2.2118548458701644E-3</v>
      </c>
      <c r="AX700" s="114"/>
      <c r="AY700" s="114"/>
      <c r="AZ700" s="116"/>
      <c r="BA700" s="116"/>
      <c r="BB700" s="166"/>
      <c r="BC700" s="166"/>
      <c r="BD700" s="166"/>
      <c r="BE700" s="166"/>
      <c r="BF700" s="166"/>
      <c r="BG700" s="166"/>
      <c r="BH700" s="166"/>
      <c r="BI700" s="113"/>
      <c r="BJ700" s="113"/>
      <c r="BK700" s="113">
        <f>INDEX('Dist. Plant Gas Additions'!$F$7:$AE$91,MATCH($C700,'Dist. Plant Gas Additions'!$D$7:$D$91,0),MATCH(Calculation!$G700,'Dist. Plant Gas Additions'!$F$5:$AE$5,0))</f>
        <v>19592</v>
      </c>
      <c r="BL700" s="113">
        <f>INDEX('Gen. Plant Additions'!$F$7:$AE$91,MATCH($C700,'Gen. Plant Additions'!$D$7:$D$91,0),MATCH(Calculation!$G700,'Gen. Plant Additions'!$F$5:$AE$5,0))</f>
        <v>1491</v>
      </c>
      <c r="BM700" s="231">
        <f t="shared" si="1244"/>
        <v>0.96427837952009399</v>
      </c>
      <c r="BN700" s="61">
        <f t="shared" si="1280"/>
        <v>1437.7390638644601</v>
      </c>
      <c r="BO700" s="113">
        <f>INDEX('Dist Plant Depreciation'!$E$7:$AD$94,MATCH($C700,'Dist Plant Depreciation'!$D$7:$D$94,0),MATCH(Calculation!$G700,'Dist Plant Depreciation'!$E$5:$AD$5,0))</f>
        <v>209645</v>
      </c>
      <c r="BP700" s="113">
        <f>INDEX('Gen. Plant Depreciation'!$E$7:$AD$94,MATCH($C700,'Gen. Plant Depreciation'!$D$7:$D$94,0),MATCH(Calculation!$G700,'Gen. Plant Depreciation'!$E$5:$AD$5,0))</f>
        <v>8137</v>
      </c>
      <c r="BQ700" s="113"/>
      <c r="BR700" s="113"/>
      <c r="BS700" s="113"/>
      <c r="BT700" s="113"/>
      <c r="BU700" s="113"/>
      <c r="BV700" s="113"/>
      <c r="BW700" s="113">
        <f>INDEX('Gross Dx Plant'!$E$7:$AD$91,MATCH($C700,'Gross Dx Plant'!$D$7:$D$91,0),MATCH(Calculation!$G700,'Gross Dx Plant'!$E$5:$AD$5,0))</f>
        <v>577515</v>
      </c>
      <c r="BX700" s="113">
        <f>INDEX('Gross Gen Plant'!$E$7:$AD$91,MATCH($C700,'Gross Gen Plant'!$D$7:$D$91,0),MATCH(Calculation!$G700,'Gross Gen Plant'!$E$5:$AD$5,0))</f>
        <v>21394</v>
      </c>
      <c r="BY700" s="113">
        <f t="shared" si="1196"/>
        <v>381127</v>
      </c>
      <c r="BZ700" s="113"/>
      <c r="CA700" s="116">
        <v>2020</v>
      </c>
      <c r="CB700" s="113"/>
      <c r="CC700" s="113"/>
      <c r="CD700" s="113"/>
      <c r="CE700" s="175"/>
      <c r="CF700" s="113">
        <f t="shared" si="1245"/>
        <v>21083</v>
      </c>
      <c r="CG700" s="113">
        <f t="shared" si="1246"/>
        <v>25.929792624927622</v>
      </c>
      <c r="CH700" s="178">
        <v>0.84057971014492749</v>
      </c>
      <c r="CI700" s="61">
        <f>CI678*CH700+CG679*CH699+CG680*CH698+CG681*CH697+CG682*CH696+CG683*CH695+CG684*CH694+CG685*CH693+CG686*CH692+CG687*CH691+CG688*CH690+CG689*CH689+CG690*CH688+CG691*CH687+CG692*CH686+CG693*CH685+CG694*CH684+CG695*CH683+CG696*CH682+CG697*CH681+CG698*CH680+CG699*CH679+CG700</f>
        <v>1311.2565573337818</v>
      </c>
      <c r="CJ700" s="114">
        <f t="shared" si="1247"/>
        <v>1.0022777112138967E-2</v>
      </c>
      <c r="CK700" s="114"/>
      <c r="CL700" s="169">
        <f t="shared" si="1248"/>
        <v>9.9007880735530809E-3</v>
      </c>
      <c r="CM700" s="169">
        <f t="shared" si="1256"/>
        <v>9.6141387251393092E-3</v>
      </c>
      <c r="CN700" s="114">
        <f>VLOOKUP($H700,RoR!$E:$F,2,FALSE)</f>
        <v>2.4766666666666666E-2</v>
      </c>
      <c r="CO700" s="169">
        <v>1.1618796630994188E-2</v>
      </c>
      <c r="CP700" s="169">
        <f t="shared" si="1254"/>
        <v>1.3147870035672478E-2</v>
      </c>
      <c r="CQ700" s="169">
        <f t="shared" si="1257"/>
        <v>2.1287802883394318E-2</v>
      </c>
      <c r="CR700" s="169">
        <v>4.5144642961987357E-2</v>
      </c>
      <c r="CS700" s="179">
        <f t="shared" si="1249"/>
        <v>0.90351694999999999</v>
      </c>
      <c r="CT700" s="180">
        <f t="shared" si="1250"/>
        <v>2.0706077233668081</v>
      </c>
      <c r="CU700" s="180">
        <f t="shared" si="1251"/>
        <v>-3.4421265141318998E-2</v>
      </c>
      <c r="CV700" s="180">
        <f t="shared" si="1252"/>
        <v>0.62416226176410472</v>
      </c>
      <c r="CW700" s="180">
        <f t="shared" si="1253"/>
        <v>-4.4485877841158712E-2</v>
      </c>
      <c r="CX700" s="181">
        <f>INDEX('State Tax Lookup'!$D$7:$Z$91,MATCH(Calculation!$C700,'State Tax Lookup'!$B$7:$B$91,0),MATCH($H700,'State Tax Lookup'!$D$6:$Z$6,0))</f>
        <v>0.26076499999999997</v>
      </c>
      <c r="CY700" s="72">
        <v>0.37</v>
      </c>
      <c r="CZ700" s="70">
        <f t="shared" si="1255"/>
        <v>21.100064326114222</v>
      </c>
      <c r="DA700" s="70">
        <v>19.952659173050833</v>
      </c>
      <c r="DB700" s="69">
        <f t="shared" si="1258"/>
        <v>3.7553340061261029E-2</v>
      </c>
      <c r="DC700" s="111">
        <f>VLOOKUP($H700,RoR!$E:$F,2,FALSE)</f>
        <v>2.4766666666666666E-2</v>
      </c>
      <c r="DD700" s="216">
        <f>HLOOKUP($H700,'GDP-PI'!$D$8:$CQ$11,3,FALSE)</f>
        <v>1.1618796630994188E-2</v>
      </c>
      <c r="DE700" s="111">
        <f>VLOOKUP(H700,'HW Dx Data'!$E:$F,2,FALSE)</f>
        <v>813.080162458833</v>
      </c>
      <c r="DF700" s="72">
        <f t="shared" si="1267"/>
        <v>153.15</v>
      </c>
      <c r="DG700" s="69">
        <f t="shared" si="1268"/>
        <v>2.2951556467368479E-2</v>
      </c>
      <c r="DH700" s="66">
        <f>HLOOKUP(H700,'GDP-PI'!$8:$9,2,FALSE)</f>
        <v>113.623</v>
      </c>
      <c r="DI700" s="69">
        <f t="shared" si="1259"/>
        <v>1.1551816731392881E-2</v>
      </c>
      <c r="EB700"/>
    </row>
    <row r="701" spans="1:132" s="160" customFormat="1" ht="21">
      <c r="A701" s="160" t="s">
        <v>199</v>
      </c>
      <c r="B701" s="160" t="s">
        <v>199</v>
      </c>
      <c r="C701" s="160">
        <v>4057130</v>
      </c>
      <c r="D701" s="160" t="s">
        <v>200</v>
      </c>
      <c r="G701" s="161" t="s">
        <v>142</v>
      </c>
      <c r="H701" s="162">
        <v>2021</v>
      </c>
      <c r="I701" s="163"/>
      <c r="J701" s="159">
        <v>16104.580314140641</v>
      </c>
      <c r="K701" s="159">
        <f t="shared" si="1260"/>
        <v>102.41386527275448</v>
      </c>
      <c r="L701" s="164">
        <f t="shared" si="1269"/>
        <v>7.3936422697218576E-2</v>
      </c>
      <c r="M701" s="76">
        <f t="shared" si="1270"/>
        <v>3.1328774468791819E-4</v>
      </c>
      <c r="N701" s="166">
        <f>+N700*EXP(O701)</f>
        <v>119.62533738076057</v>
      </c>
      <c r="O701" s="114">
        <f t="shared" si="1271"/>
        <v>3.1488790145312862E-2</v>
      </c>
      <c r="P701" s="114"/>
      <c r="Q701" s="159">
        <v>22701.637310294638</v>
      </c>
      <c r="R701" s="159">
        <f t="shared" si="1261"/>
        <v>191.59116643003324</v>
      </c>
      <c r="S701" s="165">
        <f t="shared" si="1272"/>
        <v>3.1433920376366525E-2</v>
      </c>
      <c r="T701" s="165">
        <f t="shared" si="1273"/>
        <v>1.3319365019511464E-4</v>
      </c>
      <c r="U701" s="165"/>
      <c r="V701" s="165"/>
      <c r="W701" s="159">
        <f t="shared" si="1243"/>
        <v>26118.572275811195</v>
      </c>
      <c r="X701" s="163"/>
      <c r="Y701" s="167">
        <v>1320.6697023635118</v>
      </c>
      <c r="Z701" s="168"/>
      <c r="AA701" s="76">
        <f t="shared" si="1262"/>
        <v>0</v>
      </c>
      <c r="AB701" s="168"/>
      <c r="AC701" s="168"/>
      <c r="AD701" s="163">
        <f t="shared" si="1281"/>
        <v>64924.789900246476</v>
      </c>
      <c r="AE701" s="168">
        <f t="shared" si="1274"/>
        <v>2.9237379174172708E-2</v>
      </c>
      <c r="AF701" s="113"/>
      <c r="AG701" s="114"/>
      <c r="AH701" s="114"/>
      <c r="AI701" s="114"/>
      <c r="AJ701" s="116">
        <f t="shared" si="1276"/>
        <v>396.68348862794102</v>
      </c>
      <c r="AK701" s="114">
        <f>+AV701/$AX$26</f>
        <v>4.2394402852092544E-3</v>
      </c>
      <c r="AL701" s="115">
        <f t="shared" si="1263"/>
        <v>0.24804978712883757</v>
      </c>
      <c r="AM701" s="115">
        <f t="shared" si="1264"/>
        <v>0.34966054330209628</v>
      </c>
      <c r="AN701" s="115">
        <f t="shared" si="1265"/>
        <v>0.40228966956906609</v>
      </c>
      <c r="AO701" s="115">
        <f t="shared" si="1266"/>
        <v>2.8464319690602279E-2</v>
      </c>
      <c r="AP701" s="166">
        <f t="shared" si="1278"/>
        <v>80.059330891292689</v>
      </c>
      <c r="AQ701" s="168">
        <f t="shared" si="1279"/>
        <v>2.8464319690602334E-2</v>
      </c>
      <c r="AR701" s="69">
        <f>+AD701/$AF$26</f>
        <v>4.2372586238163213E-3</v>
      </c>
      <c r="AS701" s="169">
        <f t="shared" si="1277"/>
        <v>1.2061068408006946E-4</v>
      </c>
      <c r="AT701" s="115"/>
      <c r="AU701" s="115"/>
      <c r="AV701" s="113">
        <f>INDEX('Total Customers'!$E$7:$E$91,MATCH(Calculation!$C701,'Total Customers'!$D$7:$D$91,0))</f>
        <v>163669</v>
      </c>
      <c r="AW701" s="68">
        <f t="shared" si="1195"/>
        <v>1.6938740249121881E-3</v>
      </c>
      <c r="AX701" s="113"/>
      <c r="AY701" s="113"/>
      <c r="AZ701" s="116"/>
      <c r="BA701" s="116"/>
      <c r="BB701" s="166"/>
      <c r="BC701" s="166"/>
      <c r="BD701" s="166"/>
      <c r="BE701" s="166"/>
      <c r="BF701" s="166"/>
      <c r="BG701" s="166"/>
      <c r="BH701" s="166"/>
      <c r="BI701" s="113"/>
      <c r="BJ701" s="113"/>
      <c r="BK701" s="113">
        <f>INDEX('Dist. Plant Gas Additions'!$E$7:$AE$91,MATCH($C701,'Dist. Plant Gas Additions'!$D$7:$D$91,0),MATCH(Calculation!$G701,'Dist. Plant Gas Additions'!$E$5:$AE$5,0))</f>
        <v>31660</v>
      </c>
      <c r="BL701" s="113">
        <f>INDEX('Gen. Plant Additions'!$E$7:$AE$91,MATCH($C701,'Gen. Plant Additions'!$D$7:$D$91,0),MATCH(Calculation!$G701,'Gen. Plant Additions'!$E$5:$AE$5,0))</f>
        <v>2324</v>
      </c>
      <c r="BM701" s="232">
        <v>0.96427837952009399</v>
      </c>
      <c r="BN701" s="61">
        <f t="shared" si="1280"/>
        <v>2240.9829540046985</v>
      </c>
      <c r="BO701" s="113"/>
      <c r="BP701" s="113"/>
      <c r="BQ701" s="175"/>
      <c r="BR701" s="175"/>
      <c r="BS701" s="170"/>
      <c r="BT701" s="176"/>
      <c r="BU701" s="177"/>
      <c r="BV701" s="177"/>
      <c r="BW701" s="113"/>
      <c r="BX701" s="113"/>
      <c r="BY701" s="113"/>
      <c r="BZ701" s="113"/>
      <c r="CA701" s="116">
        <v>2021</v>
      </c>
      <c r="CB701" s="113"/>
      <c r="CC701" s="113"/>
      <c r="CD701" s="113"/>
      <c r="CE701" s="175"/>
      <c r="CF701" s="113">
        <f t="shared" si="1245"/>
        <v>33984</v>
      </c>
      <c r="CG701" s="113">
        <f t="shared" si="1246"/>
        <v>36.423558947971003</v>
      </c>
      <c r="CH701" s="178">
        <f>+(51-23)/(51-23*0.75)</f>
        <v>0.82962962962962961</v>
      </c>
      <c r="CI701" s="113">
        <f>CI678*CH701+CG679*CH700+CG680*CH699+CG681*CH698+CG682*CH697+CG683*CH696+CG684*CH695+CG685*CH694+CG686*CH693+CG687*CH692+CG688*CH691+CG689*CH690+CG690*CH689+CG691*CH688+CG692*CH687+CG683*CH686+CG694*CH685+CG695*CH684+CG696*CH683+CG697*CH682+CG698*CH681+CG699*CH680+CG701+CG700*CH679</f>
        <v>1320.6697023635118</v>
      </c>
      <c r="CJ701" s="114"/>
      <c r="CK701" s="113"/>
      <c r="CL701" s="169">
        <f t="shared" si="1248"/>
        <v>2.0598878051113129E-2</v>
      </c>
      <c r="CM701" s="169">
        <f t="shared" si="1256"/>
        <v>1.3355370196066835E-2</v>
      </c>
      <c r="CN701" s="114">
        <f>VLOOKUP($H701,RoR!$E:$F,2,FALSE)</f>
        <v>2.7033333333333336E-2</v>
      </c>
      <c r="CO701" s="169"/>
      <c r="CP701" s="169"/>
      <c r="CQ701" s="169">
        <f t="shared" si="1257"/>
        <v>1.754657141246679E-2</v>
      </c>
      <c r="CR701" s="169">
        <v>7.433422950153494E-2</v>
      </c>
      <c r="CS701" s="179">
        <f t="shared" si="1249"/>
        <v>0.90351694999999999</v>
      </c>
      <c r="CT701" s="180">
        <f t="shared" si="1250"/>
        <v>1.8969932656739068</v>
      </c>
      <c r="CU701" s="180">
        <f t="shared" si="1251"/>
        <v>5.0215782983970621E-2</v>
      </c>
      <c r="CV701" s="180">
        <f t="shared" si="1252"/>
        <v>0.655952481704143</v>
      </c>
      <c r="CW701" s="180">
        <f t="shared" si="1253"/>
        <v>6.2485378865697057E-2</v>
      </c>
      <c r="CX701" s="181">
        <f>CX700</f>
        <v>0.26076499999999997</v>
      </c>
      <c r="CY701" s="72">
        <v>0.37</v>
      </c>
      <c r="CZ701" s="182">
        <f t="shared" si="1255"/>
        <v>19.918735299916356</v>
      </c>
      <c r="DA701" s="182"/>
      <c r="DB701" s="169">
        <f t="shared" si="1258"/>
        <v>-5.7615327927458902E-2</v>
      </c>
      <c r="DC701" s="181">
        <f>VLOOKUP($H701,RoR!$E:$F,2,FALSE)</f>
        <v>2.7033333333333336E-2</v>
      </c>
      <c r="DD701" s="183">
        <f>HLOOKUP($H701,'GDP-PI'!$D$8:$CR$11,3,FALSE)</f>
        <v>4.2834637353352578E-2</v>
      </c>
      <c r="DE701" s="181">
        <f>VLOOKUP(H701,'HW Dx Data'!$E:$F,2,FALSE)</f>
        <v>933.02249921662576</v>
      </c>
      <c r="DF701" s="72">
        <f t="shared" si="1267"/>
        <v>157.25</v>
      </c>
      <c r="DG701" s="69">
        <f t="shared" si="1268"/>
        <v>2.6419062301765574E-2</v>
      </c>
      <c r="DH701" s="175">
        <f>HLOOKUP(H701,'GDP-PI'!$8:$9,2,FALSE)</f>
        <v>118.49</v>
      </c>
      <c r="DI701" s="169">
        <f t="shared" si="1259"/>
        <v>4.194261824609434E-2</v>
      </c>
      <c r="EB701"/>
    </row>
    <row r="702" spans="1:132" s="160" customFormat="1" ht="21">
      <c r="G702" s="161" t="s">
        <v>144</v>
      </c>
      <c r="H702" s="162"/>
      <c r="I702" s="163"/>
      <c r="J702" s="159">
        <v>17326.24891909078</v>
      </c>
      <c r="K702" s="159">
        <f t="shared" si="1260"/>
        <v>106.59027326416967</v>
      </c>
      <c r="L702" s="164">
        <f t="shared" ref="L702" si="1282">LN(K702/K701)</f>
        <v>3.9970155898520793E-2</v>
      </c>
      <c r="M702" s="76">
        <f t="shared" si="1270"/>
        <v>1.8640330211660579E-4</v>
      </c>
      <c r="N702" s="166">
        <f>+N701*EXP(O702)</f>
        <v>118.372297594275</v>
      </c>
      <c r="O702" s="114">
        <f t="shared" si="1271"/>
        <v>-1.0529948036357126E-2</v>
      </c>
      <c r="P702" s="114"/>
      <c r="Q702" s="163">
        <v>24423.74847630869</v>
      </c>
      <c r="R702" s="159">
        <f t="shared" si="1261"/>
        <v>191.9351550201076</v>
      </c>
      <c r="S702" s="165">
        <f t="shared" ref="S702" si="1283">LN(R702/R701)</f>
        <v>1.7938204659018536E-3</v>
      </c>
      <c r="T702" s="165">
        <f t="shared" si="1273"/>
        <v>8.3655930464066118E-6</v>
      </c>
      <c r="U702" s="166"/>
      <c r="V702" s="114"/>
      <c r="W702" s="159">
        <f t="shared" si="1243"/>
        <v>34010.475252901124</v>
      </c>
      <c r="X702" s="168"/>
      <c r="Y702" s="167">
        <v>1352.857361292221</v>
      </c>
      <c r="Z702" s="168">
        <v>2.4079961389672468E-2</v>
      </c>
      <c r="AA702" s="76">
        <f t="shared" si="1262"/>
        <v>1.1229839406359263E-4</v>
      </c>
      <c r="AB702" s="166"/>
      <c r="AC702" s="114"/>
      <c r="AD702" s="163">
        <f t="shared" si="1281"/>
        <v>75760.472648300594</v>
      </c>
      <c r="AE702" s="168">
        <f t="shared" si="1274"/>
        <v>0.15434716611050339</v>
      </c>
      <c r="AF702" s="113"/>
      <c r="AG702" s="114"/>
      <c r="AH702" s="114"/>
      <c r="AI702" s="114"/>
      <c r="AJ702" s="116">
        <f t="shared" si="1276"/>
        <v>461.99917460423325</v>
      </c>
      <c r="AK702" s="114"/>
      <c r="AL702" s="115">
        <f t="shared" si="1263"/>
        <v>0.22869774056880082</v>
      </c>
      <c r="AM702" s="115">
        <f t="shared" si="1264"/>
        <v>0.32238115236806864</v>
      </c>
      <c r="AN702" s="115">
        <f t="shared" si="1265"/>
        <v>0.44892110706313054</v>
      </c>
      <c r="AO702" s="115"/>
      <c r="AP702" s="166"/>
      <c r="AQ702" s="168"/>
      <c r="AR702" s="69">
        <f>+AD702/$AF$27</f>
        <v>4.6635620483908135E-3</v>
      </c>
      <c r="AS702" s="169"/>
      <c r="AT702" s="166"/>
      <c r="AU702" s="168"/>
      <c r="AV702" s="113">
        <v>163984</v>
      </c>
      <c r="AW702" s="68">
        <v>0</v>
      </c>
      <c r="AX702" s="113"/>
      <c r="AY702" s="113"/>
      <c r="AZ702" s="113"/>
      <c r="BA702" s="113"/>
      <c r="BB702" s="171"/>
      <c r="BC702" s="172"/>
      <c r="BD702" s="173"/>
      <c r="BE702" s="115"/>
      <c r="BF702" s="174"/>
      <c r="BG702" s="174"/>
      <c r="BH702" s="166"/>
      <c r="BI702" s="113"/>
      <c r="BJ702" s="113"/>
      <c r="BK702" s="113"/>
      <c r="BL702" s="113"/>
      <c r="BM702" s="232">
        <v>0.96427837952009399</v>
      </c>
      <c r="BN702" s="61">
        <f t="shared" si="1280"/>
        <v>0</v>
      </c>
      <c r="BO702" s="113"/>
      <c r="BP702" s="113"/>
      <c r="BQ702" s="175"/>
      <c r="BR702" s="175"/>
      <c r="BS702" s="170"/>
      <c r="BT702" s="176"/>
      <c r="BU702" s="177"/>
      <c r="BV702" s="177"/>
      <c r="BW702" s="113"/>
      <c r="BX702" s="113"/>
      <c r="BY702" s="113"/>
      <c r="BZ702" s="113"/>
      <c r="CA702" s="116">
        <v>2022</v>
      </c>
      <c r="CB702" s="113"/>
      <c r="CC702" s="113"/>
      <c r="CD702" s="113"/>
      <c r="CE702" s="175"/>
      <c r="CF702" s="238">
        <v>25954</v>
      </c>
      <c r="CG702" s="113">
        <f>+CF702/DE702</f>
        <v>25.178257874875101</v>
      </c>
      <c r="CH702" s="178">
        <f>+(51-24)/(51-24*0.75)</f>
        <v>0.81818181818181823</v>
      </c>
      <c r="CI702" s="113">
        <f>+CI678*CH702+CG679*CH701+CG680*CH700+CG681*CH699+CG682*CH698+CG683*CH697+CG684*CH696+CG685*CH695+CG686*CH694+CG687*CH693+CG688*CH692+CG689*CH691+CG690*CH690+CG691*CH689+CG692*CH688+CG693*CH687+CG694*CH686+CG695*CH685+CG696*CH684+CG697*CH683+CG698*CH682+CG699*CH681+CG700*CH680+CG701*CH679+CG702*CH678</f>
        <v>1345.0673708963186</v>
      </c>
      <c r="CJ702" s="114">
        <f t="shared" ref="CJ702" si="1284">LN(CI702/CI701)</f>
        <v>1.8305143470053617E-2</v>
      </c>
      <c r="CK702" s="113"/>
      <c r="CL702" s="169">
        <f t="shared" si="1248"/>
        <v>5.910556899058763E-4</v>
      </c>
      <c r="CM702" s="169">
        <f t="shared" si="1256"/>
        <v>1.0363573938190694E-2</v>
      </c>
      <c r="CN702" s="114"/>
      <c r="CO702" s="169"/>
      <c r="CP702" s="169"/>
      <c r="CQ702" s="69">
        <f t="shared" si="1257"/>
        <v>2.0538367670342929E-2</v>
      </c>
      <c r="CR702" s="169">
        <v>0.10114668178709289</v>
      </c>
      <c r="CS702" s="179">
        <f t="shared" si="1249"/>
        <v>0.90351694999999999</v>
      </c>
      <c r="CT702" s="180"/>
      <c r="CU702" s="180"/>
      <c r="CV702" s="180"/>
      <c r="CW702" s="180"/>
      <c r="CX702" s="181">
        <f>CX701</f>
        <v>0.26076499999999997</v>
      </c>
      <c r="CY702" s="72">
        <v>0.37</v>
      </c>
      <c r="CZ702" s="182">
        <f t="shared" si="1255"/>
        <v>25.752446044635469</v>
      </c>
      <c r="DA702" s="182"/>
      <c r="DB702" s="169"/>
      <c r="DC702" s="181">
        <v>0.04</v>
      </c>
      <c r="DD702" s="183">
        <v>7.0000000000000001E-3</v>
      </c>
      <c r="DE702" s="181">
        <v>1030.81</v>
      </c>
      <c r="DF702" s="72">
        <f t="shared" si="1267"/>
        <v>162.55000000000001</v>
      </c>
      <c r="DG702" s="169">
        <f t="shared" si="1268"/>
        <v>3.3148751169364422E-2</v>
      </c>
      <c r="DH702" s="175">
        <v>127.25</v>
      </c>
      <c r="DI702" s="169">
        <f t="shared" si="1259"/>
        <v>7.1325086601983473E-2</v>
      </c>
      <c r="EB702"/>
    </row>
    <row r="703" spans="1:132" s="160" customFormat="1" ht="21">
      <c r="A703" s="160" t="s">
        <v>201</v>
      </c>
      <c r="B703" s="161" t="s">
        <v>201</v>
      </c>
      <c r="C703" s="161">
        <v>4057131</v>
      </c>
      <c r="D703" s="161" t="s">
        <v>200</v>
      </c>
      <c r="E703" s="161"/>
      <c r="F703" s="161"/>
      <c r="G703" s="161" t="s">
        <v>100</v>
      </c>
      <c r="H703" s="162">
        <v>1998</v>
      </c>
      <c r="I703" s="163"/>
      <c r="J703" s="159"/>
      <c r="K703" s="159"/>
      <c r="L703" s="159"/>
      <c r="M703" s="60"/>
      <c r="N703" s="131"/>
      <c r="O703" s="76"/>
      <c r="P703" s="76"/>
      <c r="Q703" s="165"/>
      <c r="R703" s="165"/>
      <c r="S703" s="165"/>
      <c r="T703" s="159"/>
      <c r="U703" s="165"/>
      <c r="V703" s="165"/>
      <c r="W703" s="159"/>
      <c r="X703" s="163"/>
      <c r="Y703" s="167">
        <v>5985.6601220638559</v>
      </c>
      <c r="Z703" s="168"/>
      <c r="AA703" s="78"/>
      <c r="AB703" s="168"/>
      <c r="AC703" s="168"/>
      <c r="AD703" s="163">
        <f t="shared" si="1281"/>
        <v>0</v>
      </c>
      <c r="AE703" s="163"/>
      <c r="AF703" s="163"/>
      <c r="AG703" s="114"/>
      <c r="AH703" s="114"/>
      <c r="AI703" s="114"/>
      <c r="AJ703" s="166">
        <f>+(AJ700+AJ701+AJ702)/3</f>
        <v>414.8630656729062</v>
      </c>
      <c r="AK703" s="168"/>
      <c r="AL703" s="115"/>
      <c r="AM703" s="115"/>
      <c r="AN703" s="115"/>
      <c r="AO703" s="115"/>
      <c r="AP703" s="115"/>
      <c r="AQ703" s="168">
        <f>AVERAGE(AQ712:AQ726)</f>
        <v>2.2632867596804909E-2</v>
      </c>
      <c r="AR703" s="79"/>
      <c r="AS703" s="115"/>
      <c r="AT703" s="115"/>
      <c r="AU703" s="115"/>
      <c r="AV703" s="113">
        <f>IFERROR(INDEX('Total Customers'!$F$7:$AB$91,MATCH($C703,'Total Customers'!$D$7:$D$91,0),MATCH($G703,'Total Customers'!$F$5:$AB$5,0)),"NA")</f>
        <v>1898034</v>
      </c>
      <c r="AW703" s="68"/>
      <c r="AX703" s="114"/>
      <c r="AY703" s="114"/>
      <c r="AZ703" s="116"/>
      <c r="BA703" s="116"/>
      <c r="BB703" s="166"/>
      <c r="BC703" s="166"/>
      <c r="BD703" s="166"/>
      <c r="BE703" s="166"/>
      <c r="BF703" s="166"/>
      <c r="BG703" s="166"/>
      <c r="BH703" s="166"/>
      <c r="BI703" s="113">
        <f>INDEX('Gross Dx Plant'!$E$7:$AD$91,MATCH($C703,'Gross Dx Plant'!$D$7:$D$91,0),MATCH(Calculation!$G703,'Gross Dx Plant'!$E$5:$AD$5,0))</f>
        <v>2104253</v>
      </c>
      <c r="BJ703" s="113">
        <f>INDEX('Gross Gen Plant'!$E$7:$AD$91,MATCH($C703,'Gross Gen Plant'!$D$7:$D$91,0),MATCH(Calculation!$G703,'Gross Gen Plant'!$E$5:$AD$5,0))</f>
        <v>225670</v>
      </c>
      <c r="BK703" s="113">
        <f>INDEX('Dist. Plant Gas Additions'!$F$7:$AE$91,MATCH($C703,'Dist. Plant Gas Additions'!$D$7:$D$91,0),MATCH(Calculation!$G703,'Dist. Plant Gas Additions'!$F$5:$AE$5,0))</f>
        <v>69195</v>
      </c>
      <c r="BL703" s="113">
        <f>INDEX('Gen. Plant Additions'!$F$7:$AE$91,MATCH($C703,'Gen. Plant Additions'!$D$7:$D$91,0),MATCH(Calculation!$G703,'Gen. Plant Additions'!$F$5:$AE$5,0))</f>
        <v>17269</v>
      </c>
      <c r="BM703" s="231">
        <f>+(BW703/(BW703+BX703))</f>
        <v>0.90314272188394207</v>
      </c>
      <c r="BN703" s="61">
        <f t="shared" si="1280"/>
        <v>15596.371664213795</v>
      </c>
      <c r="BO703" s="113">
        <f>INDEX('Dist Plant Depreciation'!$E$7:$AD$94,MATCH($C703,'Dist Plant Depreciation'!$D$7:$D$94,0),MATCH(Calculation!$G703,'Dist Plant Depreciation'!$E$5:$AD$5,0))</f>
        <v>1040376</v>
      </c>
      <c r="BP703" s="113">
        <f>INDEX('Gen. Plant Depreciation'!$E$7:$AD$94,MATCH($C703,'Gen. Plant Depreciation'!$D$7:$D$94,0),MATCH(Calculation!$G703,'Gen. Plant Depreciation'!$E$5:$AD$5,0))</f>
        <v>82123</v>
      </c>
      <c r="BQ703" s="113"/>
      <c r="BR703" s="113"/>
      <c r="BS703" s="113"/>
      <c r="BT703" s="113"/>
      <c r="BU703" s="113"/>
      <c r="BV703" s="113"/>
      <c r="BW703" s="113">
        <f>INDEX('Gross Dx Plant'!$E$7:$AD$91,MATCH($C703,'Gross Dx Plant'!$D$7:$D$91,0),MATCH(Calculation!$G703,'Gross Dx Plant'!$E$5:$AD$5,0))</f>
        <v>2104253</v>
      </c>
      <c r="BX703" s="113">
        <f>INDEX('Gross Gen Plant'!$E$7:$AD$91,MATCH($C703,'Gross Gen Plant'!$D$7:$D$91,0),MATCH(Calculation!$G703,'Gross Gen Plant'!$E$5:$AD$5,0))</f>
        <v>225670</v>
      </c>
      <c r="BY703" s="113">
        <f t="shared" si="1196"/>
        <v>1207424</v>
      </c>
      <c r="BZ703" s="113"/>
      <c r="CA703" s="116">
        <v>1998</v>
      </c>
      <c r="CB703" s="113">
        <f>BI703+BJ703</f>
        <v>2329923</v>
      </c>
      <c r="CC703" s="113">
        <f>1040376+82123</f>
        <v>1122499</v>
      </c>
      <c r="CD703" s="113">
        <f>+CB703-CC703</f>
        <v>1207424</v>
      </c>
      <c r="CE703" s="113">
        <f>CD703/$BV$3</f>
        <v>5985.6601220638559</v>
      </c>
      <c r="CF703" s="175"/>
      <c r="CG703" s="175"/>
      <c r="CH703" s="178">
        <v>1</v>
      </c>
      <c r="CI703" s="113">
        <f>+CE703</f>
        <v>5985.6601220638559</v>
      </c>
      <c r="CJ703" s="114"/>
      <c r="CK703" s="114"/>
      <c r="CL703" s="169"/>
      <c r="CM703" s="169"/>
      <c r="CN703" s="114" t="e">
        <f>VLOOKUP($H703,RoR!$E:$F,2,FALSE)</f>
        <v>#N/A</v>
      </c>
      <c r="CO703" s="169">
        <v>1.1028127770464469E-2</v>
      </c>
      <c r="CP703" s="169"/>
      <c r="CQ703" s="69">
        <f t="shared" si="1257"/>
        <v>3.0901941608533625E-2</v>
      </c>
      <c r="CR703" s="169"/>
      <c r="CS703" s="179">
        <f t="shared" si="1249"/>
        <v>0.90351694999999999</v>
      </c>
      <c r="CT703" s="180"/>
      <c r="CU703" s="180"/>
      <c r="CV703" s="180"/>
      <c r="CW703" s="180"/>
      <c r="CX703" s="181">
        <f>CX702</f>
        <v>0.26076499999999997</v>
      </c>
      <c r="CY703" s="72">
        <v>0.37</v>
      </c>
      <c r="CZ703" s="182"/>
      <c r="DA703" s="66"/>
      <c r="DB703" s="69"/>
      <c r="DC703" s="111" t="e">
        <f>VLOOKUP($H703,RoR!$E:$F,2,FALSE)</f>
        <v>#N/A</v>
      </c>
      <c r="DD703" s="216">
        <f>HLOOKUP($H703,'GDP-PI'!$D$8:$CQ$11,3,FALSE)</f>
        <v>1.1028127770464469E-2</v>
      </c>
      <c r="DE703" s="111">
        <f>VLOOKUP(H703,'HW Dx Data'!$E:$F,2,FALSE)</f>
        <v>329.24564746449528</v>
      </c>
      <c r="DF703" s="72" t="e">
        <f t="shared" si="1267"/>
        <v>#N/A</v>
      </c>
      <c r="DG703" s="169" t="e">
        <f t="shared" si="1268"/>
        <v>#N/A</v>
      </c>
      <c r="DH703" s="66">
        <f>HLOOKUP(H703,'GDP-PI'!$8:$9,2,FALSE)</f>
        <v>75.266999999999996</v>
      </c>
      <c r="DI703"/>
      <c r="EB703"/>
    </row>
    <row r="704" spans="1:132" s="160" customFormat="1" ht="21">
      <c r="A704" s="160" t="s">
        <v>201</v>
      </c>
      <c r="B704" s="161" t="s">
        <v>201</v>
      </c>
      <c r="C704" s="161">
        <v>4057131</v>
      </c>
      <c r="D704" s="161" t="s">
        <v>200</v>
      </c>
      <c r="E704" s="161"/>
      <c r="F704" s="161"/>
      <c r="G704" s="161" t="s">
        <v>106</v>
      </c>
      <c r="H704" s="162">
        <v>1999</v>
      </c>
      <c r="I704" s="163"/>
      <c r="J704" s="159"/>
      <c r="K704" s="163"/>
      <c r="L704" s="163"/>
      <c r="M704" s="60"/>
      <c r="N704" s="152"/>
      <c r="O704" s="60"/>
      <c r="P704" s="59"/>
      <c r="Q704" s="169"/>
      <c r="R704" s="169"/>
      <c r="S704" s="169"/>
      <c r="T704" s="187"/>
      <c r="U704" s="169"/>
      <c r="V704" s="169"/>
      <c r="W704" s="159">
        <f t="shared" ref="W704:W727" si="1285">+CI703*CZ704</f>
        <v>0</v>
      </c>
      <c r="X704" s="163"/>
      <c r="Y704" s="167">
        <v>6249.6524399560385</v>
      </c>
      <c r="Z704" s="168">
        <v>4.3159223583047732E-2</v>
      </c>
      <c r="AA704" s="78"/>
      <c r="AB704" s="168"/>
      <c r="AC704" s="168"/>
      <c r="AD704" s="163">
        <f t="shared" si="1281"/>
        <v>0</v>
      </c>
      <c r="AE704" s="168"/>
      <c r="AF704" s="163"/>
      <c r="AG704" s="114"/>
      <c r="AH704" s="114"/>
      <c r="AI704" s="114"/>
      <c r="AJ704" s="167"/>
      <c r="AK704" s="168"/>
      <c r="AL704" s="115"/>
      <c r="AM704" s="115"/>
      <c r="AN704" s="115"/>
      <c r="AO704" s="115"/>
      <c r="AP704" s="115"/>
      <c r="AQ704" s="168"/>
      <c r="AR704" s="79"/>
      <c r="AS704" s="115"/>
      <c r="AT704" s="115"/>
      <c r="AU704" s="115"/>
      <c r="AV704" s="113">
        <f>IFERROR(INDEX('Total Customers'!$F$7:$AB$91,MATCH($C704,'Total Customers'!$D$7:$D$91,0),MATCH($G704,'Total Customers'!$F$5:$AB$5,0)),"NA")</f>
        <v>1929041</v>
      </c>
      <c r="AW704" s="68">
        <f t="shared" si="1195"/>
        <v>1.6204374613200991E-2</v>
      </c>
      <c r="AX704" s="114"/>
      <c r="AY704" s="114"/>
      <c r="AZ704" s="116"/>
      <c r="BA704" s="116"/>
      <c r="BB704" s="166"/>
      <c r="BC704" s="166"/>
      <c r="BD704" s="166"/>
      <c r="BE704" s="166"/>
      <c r="BF704" s="166"/>
      <c r="BG704" s="166"/>
      <c r="BH704" s="166"/>
      <c r="BI704" s="113"/>
      <c r="BJ704" s="113"/>
      <c r="BK704" s="113">
        <f>INDEX('Dist. Plant Gas Additions'!$F$7:$AE$91,MATCH($C704,'Dist. Plant Gas Additions'!$D$7:$D$91,0),MATCH(Calculation!$G704,'Dist. Plant Gas Additions'!$F$5:$AE$5,0))</f>
        <v>83643</v>
      </c>
      <c r="BL704" s="113">
        <f>INDEX('Gen. Plant Additions'!$F$7:$AE$91,MATCH($C704,'Gen. Plant Additions'!$D$7:$D$91,0),MATCH(Calculation!$G704,'Gen. Plant Additions'!$F$5:$AE$5,0))</f>
        <v>14866</v>
      </c>
      <c r="BM704" s="231">
        <f t="shared" ref="BM704:BM725" si="1286">+(BW704/(BW704+BX704))</f>
        <v>0.90501923958065478</v>
      </c>
      <c r="BN704" s="61">
        <f t="shared" si="1280"/>
        <v>13454.016015606014</v>
      </c>
      <c r="BO704" s="113">
        <f>INDEX('Dist Plant Depreciation'!$E$7:$AD$94,MATCH($C704,'Dist Plant Depreciation'!$D$7:$D$94,0),MATCH(Calculation!$G704,'Dist Plant Depreciation'!$E$5:$AD$5,0))</f>
        <v>1107660</v>
      </c>
      <c r="BP704" s="113">
        <f>INDEX('Gen. Plant Depreciation'!$E$7:$AD$94,MATCH($C704,'Gen. Plant Depreciation'!$D$7:$D$94,0),MATCH(Calculation!$G704,'Gen. Plant Depreciation'!$E$5:$AD$5,0))</f>
        <v>91914</v>
      </c>
      <c r="BQ704" s="113"/>
      <c r="BR704" s="113"/>
      <c r="BS704" s="113"/>
      <c r="BT704" s="113"/>
      <c r="BU704" s="113"/>
      <c r="BV704" s="113"/>
      <c r="BW704" s="113">
        <f>INDEX('Gross Dx Plant'!$E$7:$AD$91,MATCH($C704,'Gross Dx Plant'!$D$7:$D$91,0),MATCH(Calculation!$G704,'Gross Dx Plant'!$E$5:$AD$5,0))</f>
        <v>2178632</v>
      </c>
      <c r="BX704" s="113">
        <f>INDEX('Gross Gen Plant'!$E$7:$AD$91,MATCH($C704,'Gross Gen Plant'!$D$7:$D$91,0),MATCH(Calculation!$G704,'Gross Gen Plant'!$E$5:$AD$5,0))</f>
        <v>228645</v>
      </c>
      <c r="BY704" s="113">
        <f t="shared" si="1196"/>
        <v>1207703</v>
      </c>
      <c r="BZ704" s="113"/>
      <c r="CA704" s="116">
        <v>1999</v>
      </c>
      <c r="CB704" s="113"/>
      <c r="CC704" s="113"/>
      <c r="CD704" s="113"/>
      <c r="CE704" s="175"/>
      <c r="CF704" s="113">
        <f t="shared" ref="CF704:CF726" si="1287">+BL704+BK704</f>
        <v>98509</v>
      </c>
      <c r="CG704" s="113">
        <f t="shared" ref="CG704:CG726" si="1288">+CF704/$DE704</f>
        <v>293.77172148453991</v>
      </c>
      <c r="CH704" s="178">
        <v>0.99502487562189057</v>
      </c>
      <c r="CI704" s="61">
        <f>+CI703*CH704+CG704</f>
        <v>6249.6524399560385</v>
      </c>
      <c r="CJ704" s="114">
        <f t="shared" ref="CJ704:CJ725" si="1289">LN(CI704/CI703)</f>
        <v>4.3159223583047732E-2</v>
      </c>
      <c r="CK704" s="114"/>
      <c r="CL704" s="169">
        <f t="shared" ref="CL704:CL727" si="1290">+(CI703-CI704+CG704)/CI703</f>
        <v>4.9751243781094136E-3</v>
      </c>
      <c r="CM704" s="169"/>
      <c r="CN704" s="114">
        <f>VLOOKUP($H704,RoR!$E:$F,2,FALSE)</f>
        <v>7.0416666666666669E-2</v>
      </c>
      <c r="CO704" s="169">
        <v>1.4335631817396832E-2</v>
      </c>
      <c r="CP704" s="169">
        <f>+CN704-CO704</f>
        <v>5.6081034849269837E-2</v>
      </c>
      <c r="CQ704" s="169"/>
      <c r="CR704" s="169"/>
      <c r="CS704" s="179">
        <f t="shared" ref="CS704:CS727" si="1291">1-CX704*CY704</f>
        <v>0.85171695000000003</v>
      </c>
      <c r="CT704" s="180">
        <f t="shared" ref="CT704:CT726" si="1292">2/(DC704*39)</f>
        <v>0.72826581702321336</v>
      </c>
      <c r="CU704" s="180">
        <f t="shared" ref="CU704:CU726" si="1293">+(DC704*40-(1+DC704))/(DC704*40)</f>
        <v>0.61997041420118348</v>
      </c>
      <c r="CV704" s="180">
        <f t="shared" ref="CV704:CV726" si="1294">+(1-(1/(1+DC704)^40))</f>
        <v>0.93425155319585029</v>
      </c>
      <c r="CW704" s="180">
        <f t="shared" ref="CW704:CW726" si="1295">+CV704*CU704*CT704</f>
        <v>0.42181762214141483</v>
      </c>
      <c r="CX704" s="181">
        <f>INDEX('State Tax Lookup'!$D$7:$Z$91,MATCH(Calculation!$C704,'State Tax Lookup'!$B$7:$B$91,0),MATCH($H704,'State Tax Lookup'!$D$6:$Z$6,0))</f>
        <v>0.40076499999999998</v>
      </c>
      <c r="CY704" s="72">
        <v>0.37</v>
      </c>
      <c r="CZ704" s="70"/>
      <c r="DA704" s="70"/>
      <c r="DB704" s="69"/>
      <c r="DC704" s="111">
        <f>VLOOKUP($H704,RoR!$E:$F,2,FALSE)</f>
        <v>7.0416666666666669E-2</v>
      </c>
      <c r="DD704" s="216">
        <f>HLOOKUP($H704,'GDP-PI'!$D$8:$CQ$11,3,FALSE)</f>
        <v>1.4335631817396832E-2</v>
      </c>
      <c r="DE704" s="111">
        <f>VLOOKUP(H704,'HW Dx Data'!$E:$F,2,FALSE)</f>
        <v>335.32499146683239</v>
      </c>
      <c r="DF704" s="66"/>
      <c r="DG704" s="69"/>
      <c r="DH704" s="66">
        <f>HLOOKUP(H704,'GDP-PI'!$8:$9,2,FALSE)</f>
        <v>76.346000000000004</v>
      </c>
      <c r="DI704"/>
      <c r="EB704"/>
    </row>
    <row r="705" spans="1:132" s="160" customFormat="1" ht="21">
      <c r="A705" s="160" t="s">
        <v>201</v>
      </c>
      <c r="B705" s="161" t="s">
        <v>201</v>
      </c>
      <c r="C705" s="161">
        <v>4057131</v>
      </c>
      <c r="D705" s="161" t="s">
        <v>200</v>
      </c>
      <c r="E705" s="161"/>
      <c r="F705" s="161"/>
      <c r="G705" s="161" t="s">
        <v>107</v>
      </c>
      <c r="H705" s="162">
        <v>2000</v>
      </c>
      <c r="I705" s="163"/>
      <c r="J705" s="159"/>
      <c r="K705" s="159"/>
      <c r="L705" s="159"/>
      <c r="M705" s="60"/>
      <c r="N705" s="152"/>
      <c r="O705" s="60"/>
      <c r="P705" s="60"/>
      <c r="Q705" s="159"/>
      <c r="R705" s="159"/>
      <c r="S705" s="159"/>
      <c r="T705" s="159"/>
      <c r="U705" s="159"/>
      <c r="V705" s="159"/>
      <c r="W705" s="159">
        <f t="shared" si="1285"/>
        <v>0</v>
      </c>
      <c r="X705" s="163"/>
      <c r="Y705" s="167">
        <v>6537.4894861455568</v>
      </c>
      <c r="Z705" s="168">
        <v>4.5027368556970038E-2</v>
      </c>
      <c r="AA705" s="78"/>
      <c r="AB705" s="168"/>
      <c r="AC705" s="168"/>
      <c r="AD705" s="163">
        <f t="shared" si="1281"/>
        <v>0</v>
      </c>
      <c r="AE705" s="168"/>
      <c r="AF705" s="163"/>
      <c r="AG705" s="163"/>
      <c r="AH705" s="163"/>
      <c r="AI705" s="163"/>
      <c r="AJ705" s="167"/>
      <c r="AK705" s="168"/>
      <c r="AL705" s="115"/>
      <c r="AM705" s="115"/>
      <c r="AN705" s="115"/>
      <c r="AO705" s="115"/>
      <c r="AP705" s="115"/>
      <c r="AQ705" s="168"/>
      <c r="AR705" s="79"/>
      <c r="AS705" s="115"/>
      <c r="AT705" s="115"/>
      <c r="AU705" s="115"/>
      <c r="AV705" s="113">
        <f>IFERROR(INDEX('Total Customers'!$F$7:$AB$91,MATCH($C705,'Total Customers'!$D$7:$D$91,0),MATCH($G705,'Total Customers'!$F$5:$AB$5,0)),"NA")</f>
        <v>1962235</v>
      </c>
      <c r="AW705" s="68">
        <f t="shared" si="1195"/>
        <v>1.7061141475925422E-2</v>
      </c>
      <c r="AX705" s="114"/>
      <c r="AY705" s="114"/>
      <c r="AZ705" s="116"/>
      <c r="BA705" s="116"/>
      <c r="BB705" s="166"/>
      <c r="BC705" s="166"/>
      <c r="BD705" s="166"/>
      <c r="BE705" s="166"/>
      <c r="BF705" s="166"/>
      <c r="BG705" s="166"/>
      <c r="BH705" s="166"/>
      <c r="BI705" s="113"/>
      <c r="BJ705" s="113"/>
      <c r="BK705" s="113">
        <f>INDEX('Dist. Plant Gas Additions'!$F$7:$AE$91,MATCH($C705,'Dist. Plant Gas Additions'!$D$7:$D$91,0),MATCH(Calculation!$G705,'Dist. Plant Gas Additions'!$F$5:$AE$5,0))</f>
        <v>86506</v>
      </c>
      <c r="BL705" s="113">
        <f>INDEX('Gen. Plant Additions'!$F$7:$AE$91,MATCH($C705,'Gen. Plant Additions'!$D$7:$D$91,0),MATCH(Calculation!$G705,'Gen. Plant Additions'!$F$5:$AE$5,0))</f>
        <v>24378</v>
      </c>
      <c r="BM705" s="231">
        <f t="shared" si="1286"/>
        <v>0.90491493429219361</v>
      </c>
      <c r="BN705" s="61">
        <f t="shared" si="1280"/>
        <v>22060.016268175095</v>
      </c>
      <c r="BO705" s="113">
        <f>INDEX('Dist Plant Depreciation'!$E$7:$AD$94,MATCH($C705,'Dist Plant Depreciation'!$D$7:$D$94,0),MATCH(Calculation!$G705,'Dist Plant Depreciation'!$E$5:$AD$5,0))</f>
        <v>1181107</v>
      </c>
      <c r="BP705" s="113">
        <f>INDEX('Gen. Plant Depreciation'!$E$7:$AD$94,MATCH($C705,'Gen. Plant Depreciation'!$D$7:$D$94,0),MATCH(Calculation!$G705,'Gen. Plant Depreciation'!$E$5:$AD$5,0))</f>
        <v>99562</v>
      </c>
      <c r="BQ705" s="113"/>
      <c r="BR705" s="113"/>
      <c r="BS705" s="113"/>
      <c r="BT705" s="113"/>
      <c r="BU705" s="113"/>
      <c r="BV705" s="113"/>
      <c r="BW705" s="113">
        <f>INDEX('Gross Dx Plant'!$E$7:$AD$91,MATCH($C705,'Gross Dx Plant'!$D$7:$D$91,0),MATCH(Calculation!$G705,'Gross Dx Plant'!$E$5:$AD$5,0))</f>
        <v>2256923</v>
      </c>
      <c r="BX705" s="113">
        <f>INDEX('Gross Gen Plant'!$E$7:$AD$91,MATCH($C705,'Gross Gen Plant'!$D$7:$D$91,0),MATCH(Calculation!$G705,'Gross Gen Plant'!$E$5:$AD$5,0))</f>
        <v>237149</v>
      </c>
      <c r="BY705" s="113">
        <f t="shared" si="1196"/>
        <v>1213403</v>
      </c>
      <c r="BZ705" s="113"/>
      <c r="CA705" s="116">
        <v>2000</v>
      </c>
      <c r="CB705" s="113"/>
      <c r="CC705" s="113"/>
      <c r="CD705" s="113"/>
      <c r="CE705" s="175"/>
      <c r="CF705" s="113">
        <f t="shared" si="1287"/>
        <v>110884</v>
      </c>
      <c r="CG705" s="113">
        <f t="shared" si="1288"/>
        <v>319.98040680449867</v>
      </c>
      <c r="CH705" s="178">
        <v>0.98989898989898994</v>
      </c>
      <c r="CI705" s="61">
        <f>+CI703*CH705+CG704*CH704+CG705</f>
        <v>6537.4894861455568</v>
      </c>
      <c r="CJ705" s="114">
        <f t="shared" si="1289"/>
        <v>4.5027368556970038E-2</v>
      </c>
      <c r="CK705" s="114"/>
      <c r="CL705" s="169">
        <f t="shared" si="1290"/>
        <v>5.1432237110463127E-3</v>
      </c>
      <c r="CM705" s="169"/>
      <c r="CN705" s="114">
        <f>VLOOKUP($H705,RoR!$E:$F,2,FALSE)</f>
        <v>7.6225000000000001E-2</v>
      </c>
      <c r="CO705" s="169">
        <v>2.2568307442433211E-2</v>
      </c>
      <c r="CP705" s="169">
        <f t="shared" ref="CP705:CP725" si="1296">+CN705-CO705</f>
        <v>5.365669255756679E-2</v>
      </c>
      <c r="CQ705" s="169"/>
      <c r="CR705" s="169"/>
      <c r="CS705" s="179">
        <f t="shared" si="1291"/>
        <v>0.85171695000000003</v>
      </c>
      <c r="CT705" s="180">
        <f t="shared" si="1292"/>
        <v>0.67277207323124022</v>
      </c>
      <c r="CU705" s="180">
        <f t="shared" si="1293"/>
        <v>0.6470236142997704</v>
      </c>
      <c r="CV705" s="180">
        <f t="shared" si="1294"/>
        <v>0.94704866037543145</v>
      </c>
      <c r="CW705" s="180">
        <f t="shared" si="1295"/>
        <v>0.41224973107878493</v>
      </c>
      <c r="CX705" s="181">
        <f>INDEX('State Tax Lookup'!$D$7:$Z$91,MATCH(Calculation!$C705,'State Tax Lookup'!$B$7:$B$91,0),MATCH($H705,'State Tax Lookup'!$D$6:$Z$6,0))</f>
        <v>0.40076499999999998</v>
      </c>
      <c r="CY705" s="72">
        <v>0.37</v>
      </c>
      <c r="CZ705" s="70"/>
      <c r="DA705" s="70"/>
      <c r="DB705" s="69"/>
      <c r="DC705" s="111">
        <f>VLOOKUP($H705,RoR!$E:$F,2,FALSE)</f>
        <v>7.6225000000000001E-2</v>
      </c>
      <c r="DD705" s="216">
        <f>HLOOKUP($H705,'GDP-PI'!$D$8:$CQ$11,3,FALSE)</f>
        <v>2.2568307442433211E-2</v>
      </c>
      <c r="DE705" s="111">
        <f>VLOOKUP(H705,'HW Dx Data'!$E:$F,2,FALSE)</f>
        <v>346.53371782150339</v>
      </c>
      <c r="DF705" s="66"/>
      <c r="DG705" s="69"/>
      <c r="DH705" s="66">
        <f>HLOOKUP(H705,'GDP-PI'!$8:$9,2,FALSE)</f>
        <v>78.069000000000003</v>
      </c>
      <c r="DI705"/>
      <c r="EB705"/>
    </row>
    <row r="706" spans="1:132" s="160" customFormat="1" ht="21">
      <c r="A706" s="160" t="s">
        <v>201</v>
      </c>
      <c r="B706" s="161" t="s">
        <v>201</v>
      </c>
      <c r="C706" s="161">
        <v>4057131</v>
      </c>
      <c r="D706" s="161" t="s">
        <v>200</v>
      </c>
      <c r="E706" s="161"/>
      <c r="F706" s="161"/>
      <c r="G706" s="161" t="s">
        <v>111</v>
      </c>
      <c r="H706" s="162">
        <v>2001</v>
      </c>
      <c r="I706" s="163"/>
      <c r="J706" s="159"/>
      <c r="K706" s="159"/>
      <c r="L706" s="159"/>
      <c r="M706" s="60"/>
      <c r="N706" s="152"/>
      <c r="O706" s="60"/>
      <c r="P706" s="60"/>
      <c r="Q706" s="159"/>
      <c r="R706" s="159"/>
      <c r="S706" s="159"/>
      <c r="T706" s="159"/>
      <c r="U706" s="159"/>
      <c r="V706" s="159"/>
      <c r="W706" s="159">
        <f t="shared" si="1285"/>
        <v>84641.524566709995</v>
      </c>
      <c r="X706" s="163"/>
      <c r="Y706" s="167">
        <v>6851.011927188455</v>
      </c>
      <c r="Z706" s="168">
        <v>4.6843146808514743E-2</v>
      </c>
      <c r="AA706" s="78"/>
      <c r="AB706" s="168"/>
      <c r="AC706" s="168"/>
      <c r="AD706" s="163">
        <f t="shared" si="1281"/>
        <v>84641.524566709995</v>
      </c>
      <c r="AE706" s="168"/>
      <c r="AF706" s="163"/>
      <c r="AG706" s="163"/>
      <c r="AH706" s="163"/>
      <c r="AI706" s="163"/>
      <c r="AJ706" s="167"/>
      <c r="AK706" s="168"/>
      <c r="AL706" s="115"/>
      <c r="AM706" s="115"/>
      <c r="AN706" s="115"/>
      <c r="AO706" s="115"/>
      <c r="AP706" s="115"/>
      <c r="AQ706" s="168"/>
      <c r="AR706" s="79"/>
      <c r="AS706" s="115"/>
      <c r="AT706" s="115"/>
      <c r="AU706" s="115"/>
      <c r="AV706" s="113">
        <f>IFERROR(INDEX('Total Customers'!$F$7:$AB$91,MATCH($C706,'Total Customers'!$D$7:$D$91,0),MATCH($G706,'Total Customers'!$F$5:$AB$5,0)),"NA")</f>
        <v>1991684</v>
      </c>
      <c r="AW706" s="68">
        <f t="shared" si="1195"/>
        <v>1.4896382330792634E-2</v>
      </c>
      <c r="AX706" s="114"/>
      <c r="AY706" s="114"/>
      <c r="AZ706" s="116"/>
      <c r="BA706" s="116"/>
      <c r="BB706" s="166"/>
      <c r="BC706" s="166"/>
      <c r="BD706" s="166"/>
      <c r="BE706" s="166"/>
      <c r="BF706" s="166"/>
      <c r="BG706" s="166"/>
      <c r="BH706" s="166"/>
      <c r="BI706" s="113"/>
      <c r="BJ706" s="113"/>
      <c r="BK706" s="113">
        <f>INDEX('Dist. Plant Gas Additions'!$F$7:$AE$91,MATCH($C706,'Dist. Plant Gas Additions'!$D$7:$D$91,0),MATCH(Calculation!$G706,'Dist. Plant Gas Additions'!$F$5:$AE$5,0))</f>
        <v>105964</v>
      </c>
      <c r="BL706" s="113">
        <f>INDEX('Gen. Plant Additions'!$F$7:$AE$91,MATCH($C706,'Gen. Plant Additions'!$D$7:$D$91,0),MATCH(Calculation!$G706,'Gen. Plant Additions'!$F$5:$AE$5,0))</f>
        <v>16560</v>
      </c>
      <c r="BM706" s="231">
        <f t="shared" si="1286"/>
        <v>0.90737166239802347</v>
      </c>
      <c r="BN706" s="61">
        <f t="shared" si="1280"/>
        <v>15026.074729311269</v>
      </c>
      <c r="BO706" s="113">
        <f>INDEX('Dist Plant Depreciation'!$E$7:$AD$94,MATCH($C706,'Dist Plant Depreciation'!$D$7:$D$94,0),MATCH(Calculation!$G706,'Dist Plant Depreciation'!$E$5:$AD$5,0))</f>
        <v>1268622</v>
      </c>
      <c r="BP706" s="113">
        <f>INDEX('Gen. Plant Depreciation'!$E$7:$AD$94,MATCH($C706,'Gen. Plant Depreciation'!$D$7:$D$94,0),MATCH(Calculation!$G706,'Gen. Plant Depreciation'!$E$5:$AD$5,0))</f>
        <v>100711</v>
      </c>
      <c r="BQ706" s="113"/>
      <c r="BR706" s="113"/>
      <c r="BS706" s="113"/>
      <c r="BT706" s="113"/>
      <c r="BU706" s="113"/>
      <c r="BV706" s="113"/>
      <c r="BW706" s="113">
        <f>INDEX('Gross Dx Plant'!$E$7:$AD$91,MATCH($C706,'Gross Dx Plant'!$D$7:$D$91,0),MATCH(Calculation!$G706,'Gross Dx Plant'!$E$5:$AD$5,0))</f>
        <v>2355594</v>
      </c>
      <c r="BX706" s="113">
        <f>INDEX('Gross Gen Plant'!$E$7:$AD$91,MATCH($C706,'Gross Gen Plant'!$D$7:$D$91,0),MATCH(Calculation!$G706,'Gross Gen Plant'!$E$5:$AD$5,0))</f>
        <v>240469</v>
      </c>
      <c r="BY706" s="113">
        <f t="shared" si="1196"/>
        <v>1226730</v>
      </c>
      <c r="BZ706" s="113"/>
      <c r="CA706" s="116">
        <v>2001</v>
      </c>
      <c r="CB706" s="113"/>
      <c r="CC706" s="113"/>
      <c r="CD706" s="113"/>
      <c r="CE706" s="175"/>
      <c r="CF706" s="113">
        <f t="shared" si="1287"/>
        <v>122524</v>
      </c>
      <c r="CG706" s="113">
        <f t="shared" si="1288"/>
        <v>346.65414676264959</v>
      </c>
      <c r="CH706" s="178">
        <v>0.98461538461538467</v>
      </c>
      <c r="CI706" s="61">
        <f>+CI703*CH706+CG704*CH705+CG705*CH703+CG706</f>
        <v>6851.011927188455</v>
      </c>
      <c r="CJ706" s="114">
        <f t="shared" si="1289"/>
        <v>4.6843146808514743E-2</v>
      </c>
      <c r="CK706" s="114"/>
      <c r="CL706" s="169">
        <f t="shared" si="1290"/>
        <v>5.0679554881067242E-3</v>
      </c>
      <c r="CM706" s="169">
        <f>+(CL706+CL705+CL704)/3</f>
        <v>5.0621011924208174E-3</v>
      </c>
      <c r="CN706" s="114">
        <f>VLOOKUP($H706,RoR!$E:$F,2,FALSE)</f>
        <v>7.0824999999999999E-2</v>
      </c>
      <c r="CO706" s="169">
        <v>2.2454495382290052E-2</v>
      </c>
      <c r="CP706" s="169">
        <f t="shared" si="1296"/>
        <v>4.8370504617709947E-2</v>
      </c>
      <c r="CQ706" s="169">
        <f>+$CP$2-CM706</f>
        <v>2.5839840416112807E-2</v>
      </c>
      <c r="CR706" s="169">
        <f>+((DE704/DE703-1)+(DE705/DE704-1)+(DE706/DE705-1))/3</f>
        <v>2.3947275901631187E-2</v>
      </c>
      <c r="CS706" s="179">
        <f t="shared" si="1291"/>
        <v>0.85171695000000003</v>
      </c>
      <c r="CT706" s="180">
        <f t="shared" si="1292"/>
        <v>0.72406708481540816</v>
      </c>
      <c r="CU706" s="180">
        <f t="shared" si="1293"/>
        <v>0.62201729615248857</v>
      </c>
      <c r="CV706" s="180">
        <f t="shared" si="1294"/>
        <v>0.9352469954311422</v>
      </c>
      <c r="CW706" s="180">
        <f t="shared" si="1295"/>
        <v>0.42121864641655071</v>
      </c>
      <c r="CX706" s="181">
        <f>INDEX('State Tax Lookup'!$D$7:$Z$91,MATCH(Calculation!$C706,'State Tax Lookup'!$B$7:$B$91,0),MATCH($H706,'State Tax Lookup'!$D$6:$Z$6,0))</f>
        <v>0.40076499999999998</v>
      </c>
      <c r="CY706" s="72">
        <v>0.37</v>
      </c>
      <c r="CZ706" s="70">
        <f t="shared" ref="CZ706:CZ727" si="1297">+(DE706*CQ706-CR706)*CS706/(1-CX706)</f>
        <v>12.947099149617731</v>
      </c>
      <c r="DA706" s="70"/>
      <c r="DB706" s="69"/>
      <c r="DC706" s="111">
        <f>VLOOKUP($H706,RoR!$E:$F,2,FALSE)</f>
        <v>7.0824999999999999E-2</v>
      </c>
      <c r="DD706" s="216">
        <f>HLOOKUP($H706,'GDP-PI'!$D$8:$CQ$11,3,FALSE)</f>
        <v>2.2454495382290052E-2</v>
      </c>
      <c r="DE706" s="111">
        <f>VLOOKUP(H706,'HW Dx Data'!$E:$F,2,FALSE)</f>
        <v>353.44738017483138</v>
      </c>
      <c r="DF706" s="66"/>
      <c r="DG706" s="69"/>
      <c r="DH706" s="66">
        <f>HLOOKUP(H706,'GDP-PI'!$8:$9,2,FALSE)</f>
        <v>79.822000000000003</v>
      </c>
      <c r="DI706"/>
      <c r="EB706"/>
    </row>
    <row r="707" spans="1:132" s="160" customFormat="1" ht="21">
      <c r="A707" s="160" t="s">
        <v>201</v>
      </c>
      <c r="B707" s="161" t="s">
        <v>201</v>
      </c>
      <c r="C707" s="161">
        <v>4057131</v>
      </c>
      <c r="D707" s="161" t="s">
        <v>200</v>
      </c>
      <c r="E707" s="161"/>
      <c r="F707" s="161"/>
      <c r="G707" s="161" t="s">
        <v>113</v>
      </c>
      <c r="H707" s="162">
        <v>2002</v>
      </c>
      <c r="I707" s="163"/>
      <c r="J707" s="159"/>
      <c r="K707" s="159"/>
      <c r="L707" s="159"/>
      <c r="M707" s="60"/>
      <c r="N707" s="152"/>
      <c r="O707" s="60"/>
      <c r="P707" s="60"/>
      <c r="Q707" s="159"/>
      <c r="R707" s="159"/>
      <c r="S707" s="159"/>
      <c r="T707" s="159"/>
      <c r="U707" s="159"/>
      <c r="V707" s="159"/>
      <c r="W707" s="159">
        <f t="shared" si="1285"/>
        <v>89813.505269983289</v>
      </c>
      <c r="X707" s="163"/>
      <c r="Y707" s="167">
        <v>7149.3528140007083</v>
      </c>
      <c r="Z707" s="168">
        <v>4.262546912427316E-2</v>
      </c>
      <c r="AA707" s="78"/>
      <c r="AB707" s="168"/>
      <c r="AC707" s="168"/>
      <c r="AD707" s="163">
        <f t="shared" si="1281"/>
        <v>89813.505269983289</v>
      </c>
      <c r="AE707" s="168"/>
      <c r="AF707" s="163"/>
      <c r="AG707" s="163"/>
      <c r="AH707" s="163"/>
      <c r="AI707" s="163"/>
      <c r="AJ707" s="167"/>
      <c r="AK707" s="168"/>
      <c r="AL707" s="115"/>
      <c r="AM707" s="115"/>
      <c r="AN707" s="115"/>
      <c r="AO707" s="115"/>
      <c r="AP707" s="115"/>
      <c r="AQ707" s="168"/>
      <c r="AR707" s="79"/>
      <c r="AS707" s="115"/>
      <c r="AT707" s="115"/>
      <c r="AU707" s="115"/>
      <c r="AV707" s="113">
        <f>IFERROR(INDEX('Total Customers'!$F$7:$AB$91,MATCH($C707,'Total Customers'!$D$7:$D$91,0),MATCH($G707,'Total Customers'!$F$5:$AB$5,0)),"NA")</f>
        <v>2023255</v>
      </c>
      <c r="AW707" s="68">
        <f t="shared" si="1195"/>
        <v>1.5727088621625133E-2</v>
      </c>
      <c r="AX707" s="114"/>
      <c r="AY707" s="114"/>
      <c r="AZ707" s="116"/>
      <c r="BA707" s="116"/>
      <c r="BB707" s="166"/>
      <c r="BC707" s="166"/>
      <c r="BD707" s="166"/>
      <c r="BE707" s="166"/>
      <c r="BF707" s="166"/>
      <c r="BG707" s="166"/>
      <c r="BH707" s="166"/>
      <c r="BI707" s="113"/>
      <c r="BJ707" s="113"/>
      <c r="BK707" s="113">
        <f>INDEX('Dist. Plant Gas Additions'!$F$7:$AE$91,MATCH($C707,'Dist. Plant Gas Additions'!$D$7:$D$91,0),MATCH(Calculation!$G707,'Dist. Plant Gas Additions'!$F$5:$AE$5,0))</f>
        <v>101672</v>
      </c>
      <c r="BL707" s="113">
        <f>INDEX('Gen. Plant Additions'!$F$7:$AE$91,MATCH($C707,'Gen. Plant Additions'!$D$7:$D$91,0),MATCH(Calculation!$G707,'Gen. Plant Additions'!$F$5:$AE$5,0))</f>
        <v>20270</v>
      </c>
      <c r="BM707" s="231">
        <f t="shared" si="1286"/>
        <v>0.90885778208460688</v>
      </c>
      <c r="BN707" s="61">
        <f t="shared" si="1280"/>
        <v>18422.54724285498</v>
      </c>
      <c r="BO707" s="113">
        <f>INDEX('Dist Plant Depreciation'!$E$7:$AD$94,MATCH($C707,'Dist Plant Depreciation'!$D$7:$D$94,0),MATCH(Calculation!$G707,'Dist Plant Depreciation'!$E$5:$AD$5,0))</f>
        <v>1344731</v>
      </c>
      <c r="BP707" s="113">
        <f>INDEX('Gen. Plant Depreciation'!$E$7:$AD$94,MATCH($C707,'Gen. Plant Depreciation'!$D$7:$D$94,0),MATCH(Calculation!$G707,'Gen. Plant Depreciation'!$E$5:$AD$5,0))</f>
        <v>108022</v>
      </c>
      <c r="BQ707" s="113"/>
      <c r="BR707" s="113"/>
      <c r="BS707" s="113"/>
      <c r="BT707" s="113"/>
      <c r="BU707" s="113"/>
      <c r="BV707" s="113"/>
      <c r="BW707" s="113">
        <f>INDEX('Gross Dx Plant'!$E$7:$AD$91,MATCH($C707,'Gross Dx Plant'!$D$7:$D$91,0),MATCH(Calculation!$G707,'Gross Dx Plant'!$E$5:$AD$5,0))</f>
        <v>2445101</v>
      </c>
      <c r="BX707" s="113">
        <f>INDEX('Gross Gen Plant'!$E$7:$AD$91,MATCH($C707,'Gross Gen Plant'!$D$7:$D$91,0),MATCH(Calculation!$G707,'Gross Gen Plant'!$E$5:$AD$5,0))</f>
        <v>245200</v>
      </c>
      <c r="BY707" s="113">
        <f t="shared" si="1196"/>
        <v>1237548</v>
      </c>
      <c r="BZ707" s="113"/>
      <c r="CA707" s="116">
        <v>2002</v>
      </c>
      <c r="CB707" s="113"/>
      <c r="CC707" s="113"/>
      <c r="CD707" s="113"/>
      <c r="CE707" s="175"/>
      <c r="CF707" s="113">
        <f t="shared" si="1287"/>
        <v>121942</v>
      </c>
      <c r="CG707" s="113">
        <f t="shared" si="1288"/>
        <v>337.46400719166661</v>
      </c>
      <c r="CH707" s="178">
        <v>0.97916666666666663</v>
      </c>
      <c r="CI707" s="61">
        <f>+CI703*CH707+CG704*CH706+CG705*CH705+CG706*CH704+CG707</f>
        <v>7149.3528140007083</v>
      </c>
      <c r="CJ707" s="114">
        <f t="shared" si="1289"/>
        <v>4.262546912427316E-2</v>
      </c>
      <c r="CK707" s="114"/>
      <c r="CL707" s="169">
        <f t="shared" si="1290"/>
        <v>5.7105608332328221E-3</v>
      </c>
      <c r="CM707" s="169">
        <f t="shared" ref="CM707:CM727" si="1298">+(CL707+CL706+CL705)/3</f>
        <v>5.3072466774619536E-3</v>
      </c>
      <c r="CN707" s="114">
        <f>VLOOKUP($H707,RoR!$E:$F,2,FALSE)</f>
        <v>6.4916666666666664E-2</v>
      </c>
      <c r="CO707" s="169">
        <v>1.5246423291824351E-2</v>
      </c>
      <c r="CP707" s="169">
        <f t="shared" si="1296"/>
        <v>4.9670243374842313E-2</v>
      </c>
      <c r="CQ707" s="169">
        <f t="shared" ref="CQ707:CQ727" si="1299">+$CP$2-CM707</f>
        <v>2.5594694931071672E-2</v>
      </c>
      <c r="CR707" s="169">
        <f t="shared" ref="CR707:CR727" si="1300">+((DE705/DE704-1)+(DE706/DE705-1)+(DE707/DE706-1))/3</f>
        <v>2.5243621214759093E-2</v>
      </c>
      <c r="CS707" s="179">
        <f t="shared" si="1291"/>
        <v>0.85171695000000003</v>
      </c>
      <c r="CT707" s="180">
        <f t="shared" si="1292"/>
        <v>0.78996741384417901</v>
      </c>
      <c r="CU707" s="180">
        <f t="shared" si="1293"/>
        <v>0.58989088575096271</v>
      </c>
      <c r="CV707" s="180">
        <f t="shared" si="1294"/>
        <v>0.91920675783645744</v>
      </c>
      <c r="CW707" s="180">
        <f t="shared" si="1295"/>
        <v>0.42834536472275586</v>
      </c>
      <c r="CX707" s="181">
        <f>INDEX('State Tax Lookup'!$D$7:$Z$91,MATCH(Calculation!$C707,'State Tax Lookup'!$B$7:$B$91,0),MATCH($H707,'State Tax Lookup'!$D$6:$Z$6,0))</f>
        <v>0.40076499999999998</v>
      </c>
      <c r="CY707" s="72">
        <v>0.37</v>
      </c>
      <c r="CZ707" s="70">
        <f t="shared" si="1297"/>
        <v>13.109523997988616</v>
      </c>
      <c r="DA707" s="70"/>
      <c r="DB707" s="69">
        <f>LN(CZ707/CZ706)</f>
        <v>1.2467229638908117E-2</v>
      </c>
      <c r="DC707" s="111">
        <f>VLOOKUP($H707,RoR!$E:$F,2,FALSE)</f>
        <v>6.4916666666666664E-2</v>
      </c>
      <c r="DD707" s="216">
        <f>HLOOKUP($H707,'GDP-PI'!$D$8:$CQ$11,3,FALSE)</f>
        <v>1.5246423291824351E-2</v>
      </c>
      <c r="DE707" s="111">
        <f>VLOOKUP(H707,'HW Dx Data'!$E:$F,2,FALSE)</f>
        <v>361.34816573413599</v>
      </c>
      <c r="DF707" s="66"/>
      <c r="DG707" s="69"/>
      <c r="DH707" s="66">
        <f>HLOOKUP(H707,'GDP-PI'!$8:$9,2,FALSE)</f>
        <v>81.039000000000001</v>
      </c>
      <c r="DI707" s="69">
        <f>LN(DH707/DH706)</f>
        <v>1.513136459537477E-2</v>
      </c>
      <c r="EB707"/>
    </row>
    <row r="708" spans="1:132" s="160" customFormat="1" ht="21">
      <c r="A708" s="160" t="s">
        <v>201</v>
      </c>
      <c r="B708" s="161" t="s">
        <v>201</v>
      </c>
      <c r="C708" s="161">
        <v>4057131</v>
      </c>
      <c r="D708" s="161" t="s">
        <v>200</v>
      </c>
      <c r="E708" s="161"/>
      <c r="F708" s="161"/>
      <c r="G708" s="161" t="s">
        <v>114</v>
      </c>
      <c r="H708" s="162">
        <v>2003</v>
      </c>
      <c r="I708" s="163"/>
      <c r="J708" s="159"/>
      <c r="K708" s="159"/>
      <c r="L708" s="159"/>
      <c r="M708" s="76"/>
      <c r="N708" s="152"/>
      <c r="O708" s="76"/>
      <c r="P708" s="76"/>
      <c r="Q708" s="159"/>
      <c r="R708" s="159"/>
      <c r="S708" s="159"/>
      <c r="T708" s="159"/>
      <c r="U708" s="159"/>
      <c r="V708" s="159"/>
      <c r="W708" s="159">
        <f t="shared" si="1285"/>
        <v>95180.338231212489</v>
      </c>
      <c r="X708" s="163"/>
      <c r="Y708" s="167">
        <v>7480.1201018312895</v>
      </c>
      <c r="Z708" s="168">
        <v>4.5227011167278314E-2</v>
      </c>
      <c r="AA708" s="78"/>
      <c r="AB708" s="168"/>
      <c r="AC708" s="168"/>
      <c r="AD708" s="163">
        <f t="shared" si="1281"/>
        <v>95180.338231212489</v>
      </c>
      <c r="AE708" s="168"/>
      <c r="AF708" s="163"/>
      <c r="AG708" s="163"/>
      <c r="AH708" s="163"/>
      <c r="AI708" s="163"/>
      <c r="AJ708" s="167"/>
      <c r="AK708" s="168"/>
      <c r="AL708" s="115"/>
      <c r="AM708" s="115"/>
      <c r="AN708" s="115"/>
      <c r="AO708" s="115"/>
      <c r="AP708" s="115"/>
      <c r="AQ708" s="168"/>
      <c r="AR708" s="79"/>
      <c r="AS708" s="115"/>
      <c r="AT708" s="115"/>
      <c r="AU708" s="115"/>
      <c r="AV708" s="113">
        <f>IFERROR(INDEX('Total Customers'!$F$7:$AB$91,MATCH($C708,'Total Customers'!$D$7:$D$91,0),MATCH($G708,'Total Customers'!$F$5:$AB$5,0)),"NA")</f>
        <v>2056612</v>
      </c>
      <c r="AW708" s="68">
        <f t="shared" ref="AW708:AW752" si="1301">LN(AV708/AV707)</f>
        <v>1.6352368006932152E-2</v>
      </c>
      <c r="AX708" s="114"/>
      <c r="AY708" s="114"/>
      <c r="AZ708" s="116"/>
      <c r="BA708" s="116"/>
      <c r="BB708" s="166"/>
      <c r="BC708" s="166"/>
      <c r="BD708" s="166"/>
      <c r="BE708" s="166"/>
      <c r="BF708" s="166"/>
      <c r="BG708" s="166"/>
      <c r="BH708" s="166"/>
      <c r="BI708" s="113"/>
      <c r="BJ708" s="113"/>
      <c r="BK708" s="113">
        <f>INDEX('Dist. Plant Gas Additions'!$F$7:$AE$91,MATCH($C708,'Dist. Plant Gas Additions'!$D$7:$D$91,0),MATCH(Calculation!$G708,'Dist. Plant Gas Additions'!$F$5:$AE$5,0))</f>
        <v>117190</v>
      </c>
      <c r="BL708" s="113">
        <f>INDEX('Gen. Plant Additions'!$F$7:$AE$91,MATCH($C708,'Gen. Plant Additions'!$D$7:$D$91,0),MATCH(Calculation!$G708,'Gen. Plant Additions'!$F$5:$AE$5,0))</f>
        <v>19856</v>
      </c>
      <c r="BM708" s="231">
        <f t="shared" si="1286"/>
        <v>0.91174616373470663</v>
      </c>
      <c r="BN708" s="61">
        <f>+BM708*BL708</f>
        <v>18103.631827116336</v>
      </c>
      <c r="BO708" s="113">
        <f>INDEX('Dist Plant Depreciation'!$E$7:$AD$94,MATCH($C708,'Dist Plant Depreciation'!$D$7:$D$94,0),MATCH(Calculation!$G708,'Dist Plant Depreciation'!$E$5:$AD$5,0))</f>
        <v>1423003</v>
      </c>
      <c r="BP708" s="113">
        <f>INDEX('Gen. Plant Depreciation'!$E$7:$AD$94,MATCH($C708,'Gen. Plant Depreciation'!$D$7:$D$94,0),MATCH(Calculation!$G708,'Gen. Plant Depreciation'!$E$5:$AD$5,0))</f>
        <v>116381</v>
      </c>
      <c r="BQ708" s="113"/>
      <c r="BR708" s="113"/>
      <c r="BS708" s="113"/>
      <c r="BT708" s="113"/>
      <c r="BU708" s="113"/>
      <c r="BV708" s="113"/>
      <c r="BW708" s="113">
        <f>INDEX('Gross Dx Plant'!$E$7:$AD$91,MATCH($C708,'Gross Dx Plant'!$D$7:$D$91,0),MATCH(Calculation!$G708,'Gross Dx Plant'!$E$5:$AD$5,0))</f>
        <v>2552582</v>
      </c>
      <c r="BX708" s="113">
        <f>INDEX('Gross Gen Plant'!$E$7:$AD$91,MATCH($C708,'Gross Gen Plant'!$D$7:$D$91,0),MATCH(Calculation!$G708,'Gross Gen Plant'!$E$5:$AD$5,0))</f>
        <v>247081</v>
      </c>
      <c r="BY708" s="113">
        <f t="shared" si="1196"/>
        <v>1260279</v>
      </c>
      <c r="BZ708" s="113"/>
      <c r="CA708" s="116">
        <v>2003</v>
      </c>
      <c r="CB708" s="113"/>
      <c r="CC708" s="113"/>
      <c r="CD708" s="113"/>
      <c r="CE708" s="175"/>
      <c r="CF708" s="113">
        <f t="shared" si="1287"/>
        <v>137046</v>
      </c>
      <c r="CG708" s="113">
        <f t="shared" si="1288"/>
        <v>371.16399653789074</v>
      </c>
      <c r="CH708" s="178">
        <v>0.97354497354497349</v>
      </c>
      <c r="CI708" s="61">
        <f>+CI703*CH708+CG704*CH707+CG705*CH706+CG706*CH705+CG707*CH704+CG708</f>
        <v>7480.1201018312895</v>
      </c>
      <c r="CJ708" s="114">
        <f t="shared" si="1289"/>
        <v>4.5227011167278314E-2</v>
      </c>
      <c r="CK708" s="114"/>
      <c r="CL708" s="169">
        <f t="shared" si="1290"/>
        <v>5.6504007786830675E-3</v>
      </c>
      <c r="CM708" s="169">
        <f t="shared" si="1298"/>
        <v>5.4763057000075379E-3</v>
      </c>
      <c r="CN708" s="114">
        <f>VLOOKUP($H708,RoR!$E:$F,2,FALSE)</f>
        <v>5.6666666666666671E-2</v>
      </c>
      <c r="CO708" s="169">
        <v>1.8855119140166909E-2</v>
      </c>
      <c r="CP708" s="169">
        <f t="shared" si="1296"/>
        <v>3.7811547526499761E-2</v>
      </c>
      <c r="CQ708" s="169">
        <f t="shared" si="1299"/>
        <v>2.5425635908526086E-2</v>
      </c>
      <c r="CR708" s="169">
        <f t="shared" si="1300"/>
        <v>2.1375012817671957E-2</v>
      </c>
      <c r="CS708" s="179">
        <f t="shared" si="1291"/>
        <v>0.85171695000000003</v>
      </c>
      <c r="CT708" s="180">
        <f t="shared" si="1292"/>
        <v>0.90497737556561086</v>
      </c>
      <c r="CU708" s="180">
        <f t="shared" si="1293"/>
        <v>0.5338235294117647</v>
      </c>
      <c r="CV708" s="180">
        <f t="shared" si="1294"/>
        <v>0.88972433127405692</v>
      </c>
      <c r="CW708" s="180">
        <f t="shared" si="1295"/>
        <v>0.42982423775949252</v>
      </c>
      <c r="CX708" s="181">
        <f>INDEX('State Tax Lookup'!$D$7:$Z$91,MATCH(Calculation!$C708,'State Tax Lookup'!$B$7:$B$91,0),MATCH($H708,'State Tax Lookup'!$D$6:$Z$6,0))</f>
        <v>0.40076499999999998</v>
      </c>
      <c r="CY708" s="72">
        <v>0.37</v>
      </c>
      <c r="CZ708" s="70">
        <f t="shared" si="1297"/>
        <v>13.313140462842886</v>
      </c>
      <c r="DA708" s="70"/>
      <c r="DB708" s="69">
        <f t="shared" ref="DB708:DB726" si="1302">LN(CZ708/CZ707)</f>
        <v>1.5412563395998689E-2</v>
      </c>
      <c r="DC708" s="111">
        <f>VLOOKUP($H708,RoR!$E:$F,2,FALSE)</f>
        <v>5.6666666666666671E-2</v>
      </c>
      <c r="DD708" s="216">
        <f>HLOOKUP($H708,'GDP-PI'!$D$8:$CQ$11,3,FALSE)</f>
        <v>1.8855119140166909E-2</v>
      </c>
      <c r="DE708" s="111">
        <f>VLOOKUP(H708,'HW Dx Data'!$E:$F,2,FALSE)</f>
        <v>369.23301095560191</v>
      </c>
      <c r="DF708" s="66"/>
      <c r="DG708" s="69"/>
      <c r="DH708" s="66">
        <f>HLOOKUP(H708,'GDP-PI'!$8:$9,2,FALSE)</f>
        <v>82.566999999999993</v>
      </c>
      <c r="DI708" s="69">
        <f t="shared" ref="DI708:DI727" si="1303">LN(DH708/DH707)</f>
        <v>1.8679564681853753E-2</v>
      </c>
      <c r="EB708"/>
    </row>
    <row r="709" spans="1:132" s="160" customFormat="1" ht="21">
      <c r="A709" s="160" t="s">
        <v>201</v>
      </c>
      <c r="B709" s="161" t="s">
        <v>201</v>
      </c>
      <c r="C709" s="161">
        <v>4057131</v>
      </c>
      <c r="D709" s="161" t="s">
        <v>200</v>
      </c>
      <c r="E709" s="161"/>
      <c r="F709" s="161"/>
      <c r="G709" s="161" t="s">
        <v>115</v>
      </c>
      <c r="H709" s="162">
        <v>2004</v>
      </c>
      <c r="I709" s="163"/>
      <c r="J709" s="159">
        <f>IFERROR(INDEX('Labor Expenditures'!$F$7:$X$91,MATCH($C709,'Labor Expenditures'!$D$7:$D$91,0),MATCH($G709,'Labor Expenditures'!$F$5:$X$5,0)),"NA")</f>
        <v>64527.2722849407</v>
      </c>
      <c r="K709" s="159">
        <f t="shared" ref="K709:K727" si="1304">+J709/DF709</f>
        <v>683.91385569624492</v>
      </c>
      <c r="L709" s="165"/>
      <c r="M709" s="76"/>
      <c r="N709" s="152"/>
      <c r="O709" s="76"/>
      <c r="P709" s="76"/>
      <c r="Q709" s="159">
        <f>IFERROR(INDEX('Non-Labor Expenditures'!$F$7:$AB$91,MATCH($C709,'Non-Labor Expenditures'!$D$7:$D$91,0),MATCH($G709,'Non-Labor Expenditures'!$F$5:$AB$5,0)),"NA")</f>
        <v>93447.542300605739</v>
      </c>
      <c r="R709" s="159">
        <f t="shared" ref="R709:R727" si="1305">+Q709/DH709</f>
        <v>1102.2616987969252</v>
      </c>
      <c r="S709" s="159"/>
      <c r="T709" s="159"/>
      <c r="U709" s="159"/>
      <c r="V709" s="159"/>
      <c r="W709" s="159">
        <f t="shared" si="1285"/>
        <v>110451.17320141742</v>
      </c>
      <c r="X709" s="163"/>
      <c r="Y709" s="167">
        <v>7738.6256879023222</v>
      </c>
      <c r="Z709" s="168">
        <v>3.3975263881462464E-2</v>
      </c>
      <c r="AA709" s="76">
        <f t="shared" ref="AA709:AA727" si="1306">+Z709*$AR709</f>
        <v>0</v>
      </c>
      <c r="AB709" s="168"/>
      <c r="AC709" s="168"/>
      <c r="AD709" s="163">
        <f t="shared" si="1281"/>
        <v>268425.98778696387</v>
      </c>
      <c r="AE709" s="168"/>
      <c r="AF709" s="163"/>
      <c r="AG709" s="163"/>
      <c r="AH709" s="163"/>
      <c r="AI709" s="163"/>
      <c r="AJ709" s="167"/>
      <c r="AK709" s="168"/>
      <c r="AL709" s="115">
        <f t="shared" ref="AL709:AL727" si="1307">+J709/AD709</f>
        <v>0.24039130047330862</v>
      </c>
      <c r="AM709" s="115">
        <f t="shared" ref="AM709:AM727" si="1308">+Q709/AD709</f>
        <v>0.34813150198694742</v>
      </c>
      <c r="AN709" s="115">
        <f t="shared" ref="AN709:AN727" si="1309">+W709/AD709</f>
        <v>0.41147719753974393</v>
      </c>
      <c r="AO709" s="115"/>
      <c r="AP709" s="115"/>
      <c r="AQ709" s="168"/>
      <c r="AR709" s="79"/>
      <c r="AS709" s="115"/>
      <c r="AT709" s="115"/>
      <c r="AU709" s="115"/>
      <c r="AV709" s="113">
        <f>IFERROR(INDEX('Total Customers'!$F$7:$AB$91,MATCH($C709,'Total Customers'!$D$7:$D$91,0),MATCH($G709,'Total Customers'!$F$5:$AB$5,0)),"NA")</f>
        <v>2092607</v>
      </c>
      <c r="AW709" s="68">
        <f t="shared" si="1301"/>
        <v>1.7350688411095216E-2</v>
      </c>
      <c r="AX709" s="114"/>
      <c r="AY709" s="114"/>
      <c r="AZ709" s="116"/>
      <c r="BA709" s="116"/>
      <c r="BB709" s="166"/>
      <c r="BC709" s="166"/>
      <c r="BD709" s="166"/>
      <c r="BE709" s="166"/>
      <c r="BF709" s="166"/>
      <c r="BG709" s="166"/>
      <c r="BH709" s="166"/>
      <c r="BI709" s="113"/>
      <c r="BJ709" s="113"/>
      <c r="BK709" s="113">
        <f>INDEX('Dist. Plant Gas Additions'!$F$7:$AE$91,MATCH($C709,'Dist. Plant Gas Additions'!$D$7:$D$91,0),MATCH(Calculation!$G709,'Dist. Plant Gas Additions'!$F$5:$AE$5,0))</f>
        <v>107642</v>
      </c>
      <c r="BL709" s="113">
        <f>INDEX('Gen. Plant Additions'!$F$7:$AE$91,MATCH($C709,'Gen. Plant Additions'!$D$7:$D$91,0),MATCH(Calculation!$G709,'Gen. Plant Additions'!$F$5:$AE$5,0))</f>
        <v>17672</v>
      </c>
      <c r="BM709" s="231">
        <f t="shared" si="1286"/>
        <v>0.91503438708853679</v>
      </c>
      <c r="BN709" s="61">
        <f t="shared" ref="BN709:BN725" si="1310">+BM709*BL709</f>
        <v>16170.487688628622</v>
      </c>
      <c r="BO709" s="113">
        <f>INDEX('Dist Plant Depreciation'!$E$7:$AD$94,MATCH($C709,'Dist Plant Depreciation'!$D$7:$D$94,0),MATCH(Calculation!$G709,'Dist Plant Depreciation'!$E$5:$AD$5,0))</f>
        <v>1507331</v>
      </c>
      <c r="BP709" s="113">
        <f>INDEX('Gen. Plant Depreciation'!$E$7:$AD$94,MATCH($C709,'Gen. Plant Depreciation'!$D$7:$D$94,0),MATCH(Calculation!$G709,'Gen. Plant Depreciation'!$E$5:$AD$5,0))</f>
        <v>126079</v>
      </c>
      <c r="BQ709" s="113"/>
      <c r="BR709" s="113"/>
      <c r="BS709" s="113"/>
      <c r="BT709" s="113"/>
      <c r="BU709" s="113"/>
      <c r="BV709" s="113"/>
      <c r="BW709" s="113">
        <f>INDEX('Gross Dx Plant'!$E$7:$AD$91,MATCH($C709,'Gross Dx Plant'!$D$7:$D$91,0),MATCH(Calculation!$G709,'Gross Dx Plant'!$E$5:$AD$5,0))</f>
        <v>2651669</v>
      </c>
      <c r="BX709" s="113">
        <f>INDEX('Gross Gen Plant'!$E$7:$AD$91,MATCH($C709,'Gross Gen Plant'!$D$7:$D$91,0),MATCH(Calculation!$G709,'Gross Gen Plant'!$E$5:$AD$5,0))</f>
        <v>246221</v>
      </c>
      <c r="BY709" s="113">
        <f t="shared" si="1196"/>
        <v>1264480</v>
      </c>
      <c r="BZ709" s="113"/>
      <c r="CA709" s="116">
        <v>2004</v>
      </c>
      <c r="CB709" s="113"/>
      <c r="CC709" s="113"/>
      <c r="CD709" s="113"/>
      <c r="CE709" s="175"/>
      <c r="CF709" s="113">
        <f t="shared" si="1287"/>
        <v>125314</v>
      </c>
      <c r="CG709" s="113">
        <f t="shared" si="1288"/>
        <v>302.04354969733203</v>
      </c>
      <c r="CH709" s="178">
        <v>0.967741935483871</v>
      </c>
      <c r="CI709" s="61">
        <f>+CI703*CH709+CG704*CH708+CG705*CH707+CG706*CH706+CG707*CH705+CG708*CH704+CG709</f>
        <v>7738.6256879023222</v>
      </c>
      <c r="CJ709" s="114">
        <f t="shared" si="1289"/>
        <v>3.3975263881462464E-2</v>
      </c>
      <c r="CK709" s="114"/>
      <c r="CL709" s="169">
        <f t="shared" si="1290"/>
        <v>5.8204899164172987E-3</v>
      </c>
      <c r="CM709" s="169">
        <f t="shared" si="1298"/>
        <v>5.7271505094443967E-3</v>
      </c>
      <c r="CN709" s="114">
        <f>VLOOKUP($H709,RoR!$E:$F,2,FALSE)</f>
        <v>5.6283333333333331E-2</v>
      </c>
      <c r="CO709" s="169">
        <v>2.6778252812867276E-2</v>
      </c>
      <c r="CP709" s="169">
        <f t="shared" si="1296"/>
        <v>2.9505080520466055E-2</v>
      </c>
      <c r="CQ709" s="169">
        <f t="shared" si="1299"/>
        <v>2.5174791099089228E-2</v>
      </c>
      <c r="CR709" s="169">
        <f t="shared" si="1300"/>
        <v>5.5940039414565046E-2</v>
      </c>
      <c r="CS709" s="179">
        <f t="shared" si="1291"/>
        <v>0.85171695000000003</v>
      </c>
      <c r="CT709" s="180">
        <f t="shared" si="1292"/>
        <v>0.91114097628755619</v>
      </c>
      <c r="CU709" s="180">
        <f t="shared" si="1293"/>
        <v>0.53081877405981637</v>
      </c>
      <c r="CV709" s="180">
        <f t="shared" si="1294"/>
        <v>0.88811215519385678</v>
      </c>
      <c r="CW709" s="180">
        <f t="shared" si="1295"/>
        <v>0.42953609753547711</v>
      </c>
      <c r="CX709" s="181">
        <f>INDEX('State Tax Lookup'!$D$7:$Z$91,MATCH(Calculation!$C709,'State Tax Lookup'!$B$7:$B$91,0),MATCH($H709,'State Tax Lookup'!$D$6:$Z$6,0))</f>
        <v>0.40076499999999998</v>
      </c>
      <c r="CY709" s="72">
        <v>0.37</v>
      </c>
      <c r="CZ709" s="70">
        <f t="shared" si="1297"/>
        <v>14.765962537737417</v>
      </c>
      <c r="DA709" s="70"/>
      <c r="DB709" s="69">
        <f t="shared" si="1302"/>
        <v>0.10357315137409863</v>
      </c>
      <c r="DC709" s="111">
        <f>VLOOKUP($H709,RoR!$E:$F,2,FALSE)</f>
        <v>5.6283333333333331E-2</v>
      </c>
      <c r="DD709" s="216">
        <f>HLOOKUP($H709,'GDP-PI'!$D$8:$CQ$11,3,FALSE)</f>
        <v>2.6778252812867276E-2</v>
      </c>
      <c r="DE709" s="111">
        <f>VLOOKUP(H709,'HW Dx Data'!$E:$F,2,FALSE)</f>
        <v>414.88719135228365</v>
      </c>
      <c r="DF709" s="72">
        <f>VLOOKUP(G709,EG$8:EH$27,2,FALSE)</f>
        <v>94.35</v>
      </c>
      <c r="DG709" s="69"/>
      <c r="DH709" s="66">
        <f>HLOOKUP(H709,'GDP-PI'!$8:$9,2,FALSE)</f>
        <v>84.778000000000006</v>
      </c>
      <c r="DI709" s="69">
        <f t="shared" si="1303"/>
        <v>2.6425990216022755E-2</v>
      </c>
      <c r="EB709"/>
    </row>
    <row r="710" spans="1:132" s="160" customFormat="1" ht="21">
      <c r="A710" s="160" t="s">
        <v>201</v>
      </c>
      <c r="B710" s="161" t="s">
        <v>201</v>
      </c>
      <c r="C710" s="161">
        <v>4057131</v>
      </c>
      <c r="D710" s="161" t="s">
        <v>200</v>
      </c>
      <c r="E710" s="161"/>
      <c r="F710" s="161"/>
      <c r="G710" s="161" t="s">
        <v>116</v>
      </c>
      <c r="H710" s="162">
        <v>2005</v>
      </c>
      <c r="I710" s="163"/>
      <c r="J710" s="159">
        <f>IFERROR(INDEX('Labor Expenditures'!$F$7:$X$91,MATCH($C710,'Labor Expenditures'!$D$7:$D$91,0),MATCH($G710,'Labor Expenditures'!$F$5:$X$5,0)),"NA")</f>
        <v>68307.586646397118</v>
      </c>
      <c r="K710" s="159">
        <f t="shared" si="1304"/>
        <v>688.41105211788488</v>
      </c>
      <c r="L710" s="165">
        <f t="shared" ref="L710:L726" si="1311">LN(K710/K709)</f>
        <v>6.5541512725185193E-3</v>
      </c>
      <c r="M710" s="76"/>
      <c r="N710" s="62">
        <v>100</v>
      </c>
      <c r="O710" s="77"/>
      <c r="P710" s="77"/>
      <c r="Q710" s="159">
        <f>IFERROR(INDEX('Non-Labor Expenditures'!$F$7:$AB$91,MATCH($C710,'Non-Labor Expenditures'!$D$7:$D$91,0),MATCH($G710,'Non-Labor Expenditures'!$F$5:$AB$5,0)),"NA")</f>
        <v>98922.143561323071</v>
      </c>
      <c r="R710" s="159">
        <f t="shared" si="1305"/>
        <v>1131.741663268652</v>
      </c>
      <c r="S710" s="165">
        <f>LN(R710/R709)</f>
        <v>2.6393582316354892E-2</v>
      </c>
      <c r="T710" s="165"/>
      <c r="U710" s="165"/>
      <c r="V710" s="165"/>
      <c r="W710" s="159">
        <f t="shared" si="1285"/>
        <v>128408.01730383465</v>
      </c>
      <c r="X710" s="163"/>
      <c r="Y710" s="167">
        <v>7981.0810039255948</v>
      </c>
      <c r="Z710" s="168">
        <v>3.0849754304851696E-2</v>
      </c>
      <c r="AA710" s="76">
        <f t="shared" si="1306"/>
        <v>0</v>
      </c>
      <c r="AB710" s="168"/>
      <c r="AC710" s="168"/>
      <c r="AD710" s="163">
        <f t="shared" si="1281"/>
        <v>295637.74751155486</v>
      </c>
      <c r="AE710" s="168">
        <f>LN(AD710/AD709)</f>
        <v>9.655965361305785E-2</v>
      </c>
      <c r="AF710" s="163"/>
      <c r="AG710" s="163"/>
      <c r="AH710" s="163"/>
      <c r="AI710" s="163"/>
      <c r="AJ710" s="116"/>
      <c r="AK710" s="114"/>
      <c r="AL710" s="115">
        <f t="shared" si="1307"/>
        <v>0.23105164080485815</v>
      </c>
      <c r="AM710" s="115">
        <f t="shared" si="1308"/>
        <v>0.33460593037922787</v>
      </c>
      <c r="AN710" s="115">
        <f t="shared" si="1309"/>
        <v>0.43434242881591395</v>
      </c>
      <c r="AO710" s="115">
        <f t="shared" ref="AO710:AO726" si="1312">+(((AL710+AL709)/2)*L710+((AM709+AM710)/2)*S710+((AN709+AN710)/2)*Z710)</f>
        <v>2.3601561317202552E-2</v>
      </c>
      <c r="AP710" s="166">
        <v>100</v>
      </c>
      <c r="AQ710" s="168"/>
      <c r="AR710" s="16"/>
      <c r="AS710" s="115"/>
      <c r="AT710" s="115"/>
      <c r="AU710" s="115"/>
      <c r="AV710" s="113">
        <f>IFERROR(INDEX('Total Customers'!$F$7:$AB$91,MATCH($C710,'Total Customers'!$D$7:$D$91,0),MATCH($G710,'Total Customers'!$F$5:$AB$5,0)),"NA")</f>
        <v>2106684</v>
      </c>
      <c r="AW710" s="68">
        <f t="shared" si="1301"/>
        <v>6.7044902247918297E-3</v>
      </c>
      <c r="AX710" s="114"/>
      <c r="AY710" s="114"/>
      <c r="AZ710" s="116"/>
      <c r="BA710" s="116"/>
      <c r="BB710" s="166"/>
      <c r="BC710" s="166"/>
      <c r="BD710" s="166"/>
      <c r="BE710" s="166"/>
      <c r="BF710" s="166"/>
      <c r="BG710" s="166"/>
      <c r="BH710" s="166"/>
      <c r="BI710" s="113"/>
      <c r="BJ710" s="113"/>
      <c r="BK710" s="113">
        <f>INDEX('Dist. Plant Gas Additions'!$F$7:$AE$91,MATCH($C710,'Dist. Plant Gas Additions'!$D$7:$D$91,0),MATCH(Calculation!$G710,'Dist. Plant Gas Additions'!$F$5:$AE$5,0))</f>
        <v>114566</v>
      </c>
      <c r="BL710" s="113">
        <f>INDEX('Gen. Plant Additions'!$F$7:$AE$91,MATCH($C710,'Gen. Plant Additions'!$D$7:$D$91,0),MATCH(Calculation!$G710,'Gen. Plant Additions'!$F$5:$AE$5,0))</f>
        <v>20992</v>
      </c>
      <c r="BM710" s="231">
        <f t="shared" si="1286"/>
        <v>0.9205697545496565</v>
      </c>
      <c r="BN710" s="61">
        <f t="shared" si="1310"/>
        <v>19324.60028750639</v>
      </c>
      <c r="BO710" s="113">
        <f>INDEX('Dist Plant Depreciation'!$E$7:$AD$94,MATCH($C710,'Dist Plant Depreciation'!$D$7:$D$94,0),MATCH(Calculation!$G710,'Dist Plant Depreciation'!$E$5:$AD$5,0))</f>
        <v>1501953</v>
      </c>
      <c r="BP710" s="113">
        <f>INDEX('Gen. Plant Depreciation'!$E$7:$AD$94,MATCH($C710,'Gen. Plant Depreciation'!$D$7:$D$94,0),MATCH(Calculation!$G710,'Gen. Plant Depreciation'!$E$5:$AD$5,0))</f>
        <v>130135</v>
      </c>
      <c r="BQ710" s="113"/>
      <c r="BR710" s="113"/>
      <c r="BS710" s="113"/>
      <c r="BT710" s="113"/>
      <c r="BU710" s="113"/>
      <c r="BV710" s="113"/>
      <c r="BW710" s="113">
        <f>INDEX('Gross Dx Plant'!$E$7:$AD$91,MATCH($C710,'Gross Dx Plant'!$D$7:$D$91,0),MATCH(Calculation!$G710,'Gross Dx Plant'!$E$5:$AD$5,0))</f>
        <v>2822164</v>
      </c>
      <c r="BX710" s="113">
        <f>INDEX('Gross Gen Plant'!$E$7:$AD$91,MATCH($C710,'Gross Gen Plant'!$D$7:$D$91,0),MATCH(Calculation!$G710,'Gross Gen Plant'!$E$5:$AD$5,0))</f>
        <v>243507</v>
      </c>
      <c r="BY710" s="113">
        <f t="shared" si="1196"/>
        <v>1433583</v>
      </c>
      <c r="BZ710" s="113"/>
      <c r="CA710" s="116">
        <v>2005</v>
      </c>
      <c r="CB710" s="113"/>
      <c r="CC710" s="113"/>
      <c r="CD710" s="113"/>
      <c r="CE710" s="175"/>
      <c r="CF710" s="113">
        <f t="shared" si="1287"/>
        <v>135558</v>
      </c>
      <c r="CG710" s="113">
        <f t="shared" si="1288"/>
        <v>288.9098783083785</v>
      </c>
      <c r="CH710" s="178">
        <v>0.96174863387978138</v>
      </c>
      <c r="CI710" s="61">
        <f>+CI703*CH710+CG704*CH709+CG705*CH708+CG706*CH707+CG707*CH706+CG708*CH705+CG709*CH704+CG710</f>
        <v>7981.0810039255948</v>
      </c>
      <c r="CJ710" s="114">
        <f t="shared" si="1289"/>
        <v>3.0849754304851696E-2</v>
      </c>
      <c r="CK710" s="114"/>
      <c r="CL710" s="169">
        <f t="shared" si="1290"/>
        <v>6.0029473137236207E-3</v>
      </c>
      <c r="CM710" s="169">
        <f t="shared" si="1298"/>
        <v>5.8246126696079965E-3</v>
      </c>
      <c r="CN710" s="114">
        <f>VLOOKUP($H710,RoR!$E:$F,2,FALSE)</f>
        <v>5.2350000000000001E-2</v>
      </c>
      <c r="CO710" s="169">
        <v>3.1010403642454332E-2</v>
      </c>
      <c r="CP710" s="169">
        <f t="shared" si="1296"/>
        <v>2.1339596357545669E-2</v>
      </c>
      <c r="CQ710" s="169">
        <f t="shared" si="1299"/>
        <v>2.5077328938925628E-2</v>
      </c>
      <c r="CR710" s="169">
        <f t="shared" si="1300"/>
        <v>9.2129610649277341E-2</v>
      </c>
      <c r="CS710" s="179">
        <f t="shared" si="1291"/>
        <v>0.85171695000000003</v>
      </c>
      <c r="CT710" s="180">
        <f t="shared" si="1292"/>
        <v>0.97959983346802826</v>
      </c>
      <c r="CU710" s="180">
        <f t="shared" si="1293"/>
        <v>0.49744508118433622</v>
      </c>
      <c r="CV710" s="180">
        <f t="shared" si="1294"/>
        <v>0.87010519444335932</v>
      </c>
      <c r="CW710" s="180">
        <f t="shared" si="1295"/>
        <v>0.42399975420741998</v>
      </c>
      <c r="CX710" s="181">
        <f>INDEX('State Tax Lookup'!$D$7:$Z$91,MATCH(Calculation!$C710,'State Tax Lookup'!$B$7:$B$91,0),MATCH($H710,'State Tax Lookup'!$D$6:$Z$6,0))</f>
        <v>0.40076499999999998</v>
      </c>
      <c r="CY710" s="72">
        <v>0.37</v>
      </c>
      <c r="CZ710" s="70">
        <f t="shared" si="1297"/>
        <v>16.593129385308426</v>
      </c>
      <c r="DA710" s="70"/>
      <c r="DB710" s="69">
        <f t="shared" si="1302"/>
        <v>0.11666401366266509</v>
      </c>
      <c r="DC710" s="111">
        <f>VLOOKUP($H710,RoR!$E:$F,2,FALSE)</f>
        <v>5.2350000000000001E-2</v>
      </c>
      <c r="DD710" s="216">
        <f>HLOOKUP($H710,'GDP-PI'!$D$8:$CQ$11,3,FALSE)</f>
        <v>3.1010403642454332E-2</v>
      </c>
      <c r="DE710" s="111">
        <f>VLOOKUP(H710,'HW Dx Data'!$E:$F,2,FALSE)</f>
        <v>469.20514034936258</v>
      </c>
      <c r="DF710" s="72">
        <f t="shared" ref="DF710:DF728" si="1313">VLOOKUP(G710,EG$8:EH$27,2,FALSE)</f>
        <v>99.224999999999994</v>
      </c>
      <c r="DG710" s="69">
        <f t="shared" ref="DG710:DG728" si="1314">LN(DF710/DF709)</f>
        <v>5.0378726854569796E-2</v>
      </c>
      <c r="DH710" s="66">
        <f>HLOOKUP(H710,'GDP-PI'!$8:$9,2,FALSE)</f>
        <v>87.406999999999996</v>
      </c>
      <c r="DI710" s="69">
        <f t="shared" si="1303"/>
        <v>3.0539295810733648E-2</v>
      </c>
      <c r="EB710"/>
    </row>
    <row r="711" spans="1:132" s="160" customFormat="1" ht="21">
      <c r="A711" s="160" t="s">
        <v>201</v>
      </c>
      <c r="B711" s="161" t="s">
        <v>201</v>
      </c>
      <c r="C711" s="161">
        <v>4057131</v>
      </c>
      <c r="D711" s="161" t="s">
        <v>200</v>
      </c>
      <c r="E711" s="161"/>
      <c r="F711" s="161"/>
      <c r="G711" s="161" t="s">
        <v>117</v>
      </c>
      <c r="H711" s="162">
        <v>2006</v>
      </c>
      <c r="I711" s="163"/>
      <c r="J711" s="159">
        <f>IFERROR(INDEX('Labor Expenditures'!$F$7:$X$91,MATCH($C711,'Labor Expenditures'!$D$7:$D$91,0),MATCH($G711,'Labor Expenditures'!$F$5:$X$5,0)),"NA")</f>
        <v>72860.734558007287</v>
      </c>
      <c r="K711" s="159">
        <f t="shared" si="1304"/>
        <v>666.00305811706835</v>
      </c>
      <c r="L711" s="165">
        <f t="shared" si="1311"/>
        <v>-3.309185670194275E-2</v>
      </c>
      <c r="M711" s="76">
        <f t="shared" ref="M711:M727" si="1315">+L711*$AR711</f>
        <v>-1.2792563521525243E-3</v>
      </c>
      <c r="N711" s="62">
        <f>+N710*EXP(O711)</f>
        <v>109.14667958702265</v>
      </c>
      <c r="O711" s="96">
        <f t="shared" ref="O711:O727" si="1316">+M711+M736+M761+M786+M811+M836+M861+M886+M911+M936+M961+M986+M1011+M1036+M1061+M1086+M1111+M1136+M1161+M1186+M1211+M1236+M1261+M1286+M1311+M1336+M1361+M1386+M1411+M1436+M1461+M1486+M1511+M1536+M1561+M1586+M1611+M1636+M1661+M1686+M1711+M1736+M1761+M1786+M1811+M1836+M1861+M1886+M1911+M1936+M1961+M1986+M2011+M2036</f>
        <v>8.7522475904032643E-2</v>
      </c>
      <c r="P711" s="96"/>
      <c r="Q711" s="159">
        <f>IFERROR(INDEX('Non-Labor Expenditures'!$F$7:$AB$91,MATCH($C711,'Non-Labor Expenditures'!$D$7:$D$91,0),MATCH($G711,'Non-Labor Expenditures'!$F$5:$AB$5,0)),"NA")</f>
        <v>105515.95214805925</v>
      </c>
      <c r="R711" s="159">
        <f t="shared" si="1305"/>
        <v>1171.4362873643811</v>
      </c>
      <c r="S711" s="165">
        <f t="shared" ref="S711:S726" si="1317">LN(R711/R710)</f>
        <v>3.4472850891354899E-2</v>
      </c>
      <c r="T711" s="165">
        <f t="shared" ref="T711:T727" si="1318">+S711*AR711</f>
        <v>1.332642464784503E-3</v>
      </c>
      <c r="U711" s="165"/>
      <c r="V711" s="165"/>
      <c r="W711" s="159">
        <f t="shared" si="1285"/>
        <v>129324.4532764332</v>
      </c>
      <c r="X711" s="163"/>
      <c r="Y711" s="167">
        <v>8218.2289074911132</v>
      </c>
      <c r="Z711" s="168">
        <v>2.9280858038819874E-2</v>
      </c>
      <c r="AA711" s="76">
        <f t="shared" si="1306"/>
        <v>1.1319317613398697E-3</v>
      </c>
      <c r="AB711" s="168"/>
      <c r="AC711" s="168"/>
      <c r="AD711" s="163">
        <f t="shared" si="1281"/>
        <v>307701.13998249976</v>
      </c>
      <c r="AE711" s="168">
        <f t="shared" ref="AE711:AE727" si="1319">LN(AD711/AD710)</f>
        <v>3.9994108308617021E-2</v>
      </c>
      <c r="AF711" s="163"/>
      <c r="AG711" s="163"/>
      <c r="AH711" s="163"/>
      <c r="AI711" s="163"/>
      <c r="AJ711" s="116">
        <f t="shared" ref="AJ711:AJ727" si="1320">+(AD711*1000)/AV711</f>
        <v>143.44941176751666</v>
      </c>
      <c r="AK711" s="114">
        <f>+AV711/$AX$11</f>
        <v>6.1849059420787174E-2</v>
      </c>
      <c r="AL711" s="115">
        <f t="shared" si="1307"/>
        <v>0.23679059025309812</v>
      </c>
      <c r="AM711" s="115">
        <f t="shared" si="1308"/>
        <v>0.34291700106818057</v>
      </c>
      <c r="AN711" s="115">
        <f t="shared" si="1309"/>
        <v>0.4202924086787212</v>
      </c>
      <c r="AO711" s="115">
        <f t="shared" si="1312"/>
        <v>1.6449410136841702E-2</v>
      </c>
      <c r="AP711" s="166">
        <f>+AP710*EXP(AO711)</f>
        <v>101.6585446566512</v>
      </c>
      <c r="AQ711" s="168">
        <f>LN(AP711/AP710)</f>
        <v>1.6449410136841661E-2</v>
      </c>
      <c r="AR711" s="69">
        <f>+AD711/$AF$11</f>
        <v>3.8657738780714046E-2</v>
      </c>
      <c r="AS711" s="169">
        <f>+AR711*AQ711</f>
        <v>6.3589700016685455E-4</v>
      </c>
      <c r="AT711" s="115"/>
      <c r="AU711" s="115"/>
      <c r="AV711" s="113">
        <f>IFERROR(INDEX('Total Customers'!$F$7:$AB$91,MATCH($C711,'Total Customers'!$D$7:$D$91,0),MATCH($G711,'Total Customers'!$F$5:$AB$5,0)),"NA")</f>
        <v>2145015</v>
      </c>
      <c r="AW711" s="68">
        <f t="shared" si="1301"/>
        <v>1.8031398057613349E-2</v>
      </c>
      <c r="AX711" s="114"/>
      <c r="AY711" s="114"/>
      <c r="AZ711" s="116"/>
      <c r="BA711" s="116"/>
      <c r="BB711" s="166"/>
      <c r="BC711" s="166"/>
      <c r="BD711" s="166"/>
      <c r="BE711" s="166"/>
      <c r="BF711" s="166"/>
      <c r="BG711" s="166"/>
      <c r="BH711" s="166"/>
      <c r="BI711" s="113"/>
      <c r="BJ711" s="113"/>
      <c r="BK711" s="113">
        <f>INDEX('Dist. Plant Gas Additions'!$F$7:$AE$91,MATCH($C711,'Dist. Plant Gas Additions'!$D$7:$D$91,0),MATCH(Calculation!$G711,'Dist. Plant Gas Additions'!$F$5:$AE$5,0))</f>
        <v>111073</v>
      </c>
      <c r="BL711" s="113">
        <f>INDEX('Gen. Plant Additions'!$F$7:$AE$91,MATCH($C711,'Gen. Plant Additions'!$D$7:$D$91,0),MATCH(Calculation!$G711,'Gen. Plant Additions'!$F$5:$AE$5,0))</f>
        <v>21060</v>
      </c>
      <c r="BM711" s="231">
        <f t="shared" si="1286"/>
        <v>0.92103817870232385</v>
      </c>
      <c r="BN711" s="61">
        <f t="shared" si="1310"/>
        <v>19397.064043470938</v>
      </c>
      <c r="BO711" s="113">
        <f>INDEX('Dist Plant Depreciation'!$E$7:$AD$94,MATCH($C711,'Dist Plant Depreciation'!$D$7:$D$94,0),MATCH(Calculation!$G711,'Dist Plant Depreciation'!$E$5:$AD$5,0))</f>
        <v>1588374</v>
      </c>
      <c r="BP711" s="113">
        <f>INDEX('Gen. Plant Depreciation'!$E$7:$AD$94,MATCH($C711,'Gen. Plant Depreciation'!$D$7:$D$94,0),MATCH(Calculation!$G711,'Gen. Plant Depreciation'!$E$5:$AD$5,0))</f>
        <v>126980</v>
      </c>
      <c r="BQ711" s="113"/>
      <c r="BR711" s="113"/>
      <c r="BS711" s="113"/>
      <c r="BT711" s="113"/>
      <c r="BU711" s="113"/>
      <c r="BV711" s="113"/>
      <c r="BW711" s="113">
        <f>INDEX('Gross Dx Plant'!$E$7:$AD$91,MATCH($C711,'Gross Dx Plant'!$D$7:$D$91,0),MATCH(Calculation!$G711,'Gross Dx Plant'!$E$5:$AD$5,0))</f>
        <v>2926410</v>
      </c>
      <c r="BX711" s="113">
        <f>INDEX('Gross Gen Plant'!$E$7:$AD$91,MATCH($C711,'Gross Gen Plant'!$D$7:$D$91,0),MATCH(Calculation!$G711,'Gross Gen Plant'!$E$5:$AD$5,0))</f>
        <v>250885</v>
      </c>
      <c r="BY711" s="113">
        <f t="shared" si="1196"/>
        <v>1461941</v>
      </c>
      <c r="BZ711" s="114"/>
      <c r="CA711" s="116">
        <v>2006</v>
      </c>
      <c r="CB711" s="113"/>
      <c r="CC711" s="113"/>
      <c r="CD711" s="113"/>
      <c r="CE711" s="175"/>
      <c r="CF711" s="113">
        <f t="shared" si="1287"/>
        <v>132133</v>
      </c>
      <c r="CG711" s="113">
        <f t="shared" si="1288"/>
        <v>286.56930330918016</v>
      </c>
      <c r="CH711" s="178">
        <v>0.9555555555555556</v>
      </c>
      <c r="CI711" s="61">
        <f>+CI703*CH711+CG704*CH710+CG705*CH709+CG706*CH708+CG707*CH707+CG708*CH706+CG709*CH705+CG710*CH704+CG711</f>
        <v>8218.2289074911132</v>
      </c>
      <c r="CJ711" s="114">
        <f t="shared" si="1289"/>
        <v>2.9280858038819874E-2</v>
      </c>
      <c r="CK711" s="114"/>
      <c r="CL711" s="169">
        <f t="shared" si="1290"/>
        <v>6.192319025374286E-3</v>
      </c>
      <c r="CM711" s="169">
        <f t="shared" si="1298"/>
        <v>6.0052520851717342E-3</v>
      </c>
      <c r="CN711" s="114">
        <f>VLOOKUP($H711,RoR!$E:$F,2,FALSE)</f>
        <v>5.5874999999999994E-2</v>
      </c>
      <c r="CO711" s="169">
        <v>3.0512430354548314E-2</v>
      </c>
      <c r="CP711" s="169">
        <f t="shared" si="1296"/>
        <v>2.536256964545168E-2</v>
      </c>
      <c r="CQ711" s="169">
        <f t="shared" si="1299"/>
        <v>2.4896689523361892E-2</v>
      </c>
      <c r="CR711" s="169">
        <f t="shared" si="1300"/>
        <v>7.9087823893859641E-2</v>
      </c>
      <c r="CS711" s="179">
        <f t="shared" si="1291"/>
        <v>0.85171695000000003</v>
      </c>
      <c r="CT711" s="180">
        <f t="shared" si="1292"/>
        <v>0.91779957551769631</v>
      </c>
      <c r="CU711" s="180">
        <f t="shared" si="1293"/>
        <v>0.52757270693512304</v>
      </c>
      <c r="CV711" s="180">
        <f t="shared" si="1294"/>
        <v>0.88636824549024895</v>
      </c>
      <c r="CW711" s="180">
        <f t="shared" si="1295"/>
        <v>0.42918482841932087</v>
      </c>
      <c r="CX711" s="181">
        <f>INDEX('State Tax Lookup'!$D$7:$Z$91,MATCH(Calculation!$C711,'State Tax Lookup'!$B$7:$B$91,0),MATCH($H711,'State Tax Lookup'!$D$6:$Z$6,0))</f>
        <v>0.40076499999999998</v>
      </c>
      <c r="CY711" s="72">
        <v>0.37</v>
      </c>
      <c r="CZ711" s="70">
        <f t="shared" si="1297"/>
        <v>16.203876794737873</v>
      </c>
      <c r="DA711" s="70">
        <v>14.788696346247992</v>
      </c>
      <c r="DB711" s="69">
        <f t="shared" si="1302"/>
        <v>-2.3738195308252594E-2</v>
      </c>
      <c r="DC711" s="111">
        <f>VLOOKUP($H711,RoR!$E:$F,2,FALSE)</f>
        <v>5.5874999999999994E-2</v>
      </c>
      <c r="DD711" s="216">
        <f>HLOOKUP($H711,'GDP-PI'!$D$8:$CQ$11,3,FALSE)</f>
        <v>3.0512430354548314E-2</v>
      </c>
      <c r="DE711" s="111">
        <f>VLOOKUP(H711,'HW Dx Data'!$E:$F,2,FALSE)</f>
        <v>461.08567272971823</v>
      </c>
      <c r="DF711" s="72">
        <f t="shared" si="1313"/>
        <v>109.4</v>
      </c>
      <c r="DG711" s="69">
        <f t="shared" si="1314"/>
        <v>9.7620891318751846E-2</v>
      </c>
      <c r="DH711" s="66">
        <f>HLOOKUP(H711,'GDP-PI'!$8:$9,2,FALSE)</f>
        <v>90.073999999999998</v>
      </c>
      <c r="DI711" s="69">
        <f t="shared" si="1303"/>
        <v>3.005618372545445E-2</v>
      </c>
      <c r="EB711"/>
    </row>
    <row r="712" spans="1:132" s="160" customFormat="1" ht="21">
      <c r="A712" s="160" t="s">
        <v>201</v>
      </c>
      <c r="B712" s="161" t="s">
        <v>201</v>
      </c>
      <c r="C712" s="161">
        <v>4057131</v>
      </c>
      <c r="D712" s="161" t="s">
        <v>200</v>
      </c>
      <c r="E712" s="161"/>
      <c r="F712" s="161"/>
      <c r="G712" s="161" t="s">
        <v>118</v>
      </c>
      <c r="H712" s="162">
        <v>2007</v>
      </c>
      <c r="I712" s="163"/>
      <c r="J712" s="159">
        <f>IFERROR(INDEX('Labor Expenditures'!$F$7:$X$91,MATCH($C712,'Labor Expenditures'!$D$7:$D$91,0),MATCH($G712,'Labor Expenditures'!$F$5:$X$5,0)),"NA")</f>
        <v>67648.578433905044</v>
      </c>
      <c r="K712" s="159">
        <f t="shared" si="1304"/>
        <v>647.19998501702992</v>
      </c>
      <c r="L712" s="165">
        <f t="shared" si="1311"/>
        <v>-2.8638919703383472E-2</v>
      </c>
      <c r="M712" s="76">
        <f t="shared" si="1315"/>
        <v>-1.0511515325840352E-3</v>
      </c>
      <c r="N712" s="62">
        <f t="shared" ref="N712:N725" si="1321">+N711*EXP(O712)</f>
        <v>118.09008847846748</v>
      </c>
      <c r="O712" s="96">
        <f t="shared" si="1316"/>
        <v>7.8755132966847538E-2</v>
      </c>
      <c r="P712" s="96"/>
      <c r="Q712" s="159">
        <f>IFERROR(INDEX('Non-Labor Expenditures'!$F$7:$AB$91,MATCH($C712,'Non-Labor Expenditures'!$D$7:$D$91,0),MATCH($G712,'Non-Labor Expenditures'!$F$5:$AB$5,0)),"NA")</f>
        <v>97967.776583878833</v>
      </c>
      <c r="R712" s="159">
        <f t="shared" si="1305"/>
        <v>1059.1339983986554</v>
      </c>
      <c r="S712" s="165">
        <f t="shared" si="1317"/>
        <v>-0.10077900039867388</v>
      </c>
      <c r="T712" s="165">
        <f t="shared" si="1318"/>
        <v>-3.698952398293077E-3</v>
      </c>
      <c r="U712" s="165"/>
      <c r="V712" s="165"/>
      <c r="W712" s="159">
        <f t="shared" si="1285"/>
        <v>142978.22644690669</v>
      </c>
      <c r="X712" s="163"/>
      <c r="Y712" s="167">
        <v>8408.8194071644648</v>
      </c>
      <c r="Z712" s="168">
        <v>2.2926360006030051E-2</v>
      </c>
      <c r="AA712" s="76">
        <f t="shared" si="1306"/>
        <v>8.4148001064665492E-4</v>
      </c>
      <c r="AB712" s="168"/>
      <c r="AC712" s="168"/>
      <c r="AD712" s="163">
        <f t="shared" si="1281"/>
        <v>308594.58146469056</v>
      </c>
      <c r="AE712" s="168">
        <f t="shared" si="1319"/>
        <v>2.8993941609222903E-3</v>
      </c>
      <c r="AF712" s="163"/>
      <c r="AG712" s="163"/>
      <c r="AH712" s="163"/>
      <c r="AI712" s="163"/>
      <c r="AJ712" s="116">
        <f t="shared" si="1320"/>
        <v>142.68864221220781</v>
      </c>
      <c r="AK712" s="114">
        <f>+AV712/$AX$12</f>
        <v>6.1889852978214144E-2</v>
      </c>
      <c r="AL712" s="115">
        <f t="shared" si="1307"/>
        <v>0.21921505592490581</v>
      </c>
      <c r="AM712" s="115">
        <f t="shared" si="1308"/>
        <v>0.31746434470395368</v>
      </c>
      <c r="AN712" s="115">
        <f t="shared" si="1309"/>
        <v>0.46332059937114051</v>
      </c>
      <c r="AO712" s="115">
        <f t="shared" si="1312"/>
        <v>-2.9677025532732899E-2</v>
      </c>
      <c r="AP712" s="166">
        <f>+AP711*EXP(AO712)</f>
        <v>98.685948504198379</v>
      </c>
      <c r="AQ712" s="168">
        <f>LN(AP712/AP711)</f>
        <v>-2.9677025532732874E-2</v>
      </c>
      <c r="AR712" s="69">
        <f>+AD712/$AF$12</f>
        <v>3.670360277101687E-2</v>
      </c>
      <c r="AS712" s="169">
        <f t="shared" ref="AS712:AS726" si="1322">+AR712*AQ712</f>
        <v>-1.0892537565787527E-3</v>
      </c>
      <c r="AT712" s="115"/>
      <c r="AU712" s="115"/>
      <c r="AV712" s="113">
        <f>IFERROR(INDEX('Total Customers'!$F$7:$AB$91,MATCH($C712,'Total Customers'!$D$7:$D$91,0),MATCH($G712,'Total Customers'!$F$5:$AB$5,0)),"NA")</f>
        <v>2162713</v>
      </c>
      <c r="AW712" s="68">
        <f t="shared" si="1301"/>
        <v>8.2169067206796838E-3</v>
      </c>
      <c r="AX712" s="114"/>
      <c r="AY712" s="114"/>
      <c r="AZ712" s="116"/>
      <c r="BA712" s="116"/>
      <c r="BB712" s="166"/>
      <c r="BC712" s="166"/>
      <c r="BD712" s="166"/>
      <c r="BE712" s="166"/>
      <c r="BF712" s="166"/>
      <c r="BG712" s="166"/>
      <c r="BH712" s="166"/>
      <c r="BI712" s="113"/>
      <c r="BJ712" s="113"/>
      <c r="BK712" s="113">
        <f>INDEX('Dist. Plant Gas Additions'!$F$7:$AE$91,MATCH($C712,'Dist. Plant Gas Additions'!$D$7:$D$91,0),MATCH(Calculation!$G712,'Dist. Plant Gas Additions'!$F$5:$AE$5,0))</f>
        <v>105278</v>
      </c>
      <c r="BL712" s="113">
        <f>INDEX('Gen. Plant Additions'!$F$7:$AE$91,MATCH($C712,'Gen. Plant Additions'!$D$7:$D$91,0),MATCH(Calculation!$G712,'Gen. Plant Additions'!$F$5:$AE$5,0))</f>
        <v>15785</v>
      </c>
      <c r="BM712" s="231">
        <f t="shared" si="1286"/>
        <v>0.92184017930949691</v>
      </c>
      <c r="BN712" s="61">
        <f t="shared" si="1310"/>
        <v>14551.24723040041</v>
      </c>
      <c r="BO712" s="113">
        <f>INDEX('Dist Plant Depreciation'!$E$7:$AD$94,MATCH($C712,'Dist Plant Depreciation'!$D$7:$D$94,0),MATCH(Calculation!$G712,'Dist Plant Depreciation'!$E$5:$AD$5,0))</f>
        <v>1675408</v>
      </c>
      <c r="BP712" s="113">
        <f>INDEX('Gen. Plant Depreciation'!$E$7:$AD$94,MATCH($C712,'Gen. Plant Depreciation'!$D$7:$D$94,0),MATCH(Calculation!$G712,'Gen. Plant Depreciation'!$E$5:$AD$5,0))</f>
        <v>143255</v>
      </c>
      <c r="BQ712" s="113"/>
      <c r="BR712" s="113"/>
      <c r="BS712" s="113"/>
      <c r="BT712" s="113"/>
      <c r="BU712" s="113"/>
      <c r="BV712" s="113"/>
      <c r="BW712" s="113">
        <f>INDEX('Gross Dx Plant'!$E$7:$AD$91,MATCH($C712,'Gross Dx Plant'!$D$7:$D$91,0),MATCH(Calculation!$G712,'Gross Dx Plant'!$E$5:$AD$5,0))</f>
        <v>3014304</v>
      </c>
      <c r="BX712" s="113">
        <f>INDEX('Gross Gen Plant'!$E$7:$AD$91,MATCH($C712,'Gross Gen Plant'!$D$7:$D$91,0),MATCH(Calculation!$G712,'Gross Gen Plant'!$E$5:$AD$5,0))</f>
        <v>255573</v>
      </c>
      <c r="BY712" s="113">
        <f t="shared" si="1196"/>
        <v>1451214</v>
      </c>
      <c r="BZ712" s="113"/>
      <c r="CA712" s="116">
        <v>2007</v>
      </c>
      <c r="CB712" s="113"/>
      <c r="CC712" s="113"/>
      <c r="CD712" s="113"/>
      <c r="CE712" s="175"/>
      <c r="CF712" s="113">
        <f t="shared" si="1287"/>
        <v>121063</v>
      </c>
      <c r="CG712" s="113">
        <f t="shared" si="1288"/>
        <v>243.08750077591034</v>
      </c>
      <c r="CH712" s="178">
        <v>0.94915254237288138</v>
      </c>
      <c r="CI712" s="61">
        <f>+CI703*CH712+CG704*CH711+CG705*CH710+CG706*CH709+CG707*CH708+CG708*CH707+CG709*CH706+CG710*CH705+CG711*CH704+CG712</f>
        <v>8408.8194071644648</v>
      </c>
      <c r="CJ712" s="114">
        <f t="shared" si="1289"/>
        <v>2.2926360006030051E-2</v>
      </c>
      <c r="CK712" s="114"/>
      <c r="CL712" s="169">
        <f t="shared" si="1290"/>
        <v>6.3878728243632246E-3</v>
      </c>
      <c r="CM712" s="169">
        <f t="shared" si="1298"/>
        <v>6.1943797211537104E-3</v>
      </c>
      <c r="CN712" s="114">
        <f>VLOOKUP($H712,RoR!$E:$F,2,FALSE)</f>
        <v>5.5558333333333321E-2</v>
      </c>
      <c r="CO712" s="169">
        <v>2.691120634145272E-2</v>
      </c>
      <c r="CP712" s="169">
        <f t="shared" si="1296"/>
        <v>2.86471269918806E-2</v>
      </c>
      <c r="CQ712" s="169">
        <f t="shared" si="1299"/>
        <v>2.4707561887379915E-2</v>
      </c>
      <c r="CR712" s="169">
        <f t="shared" si="1300"/>
        <v>6.4575155250632399E-2</v>
      </c>
      <c r="CS712" s="179">
        <f t="shared" si="1291"/>
        <v>0.85171695000000003</v>
      </c>
      <c r="CT712" s="180">
        <f t="shared" si="1292"/>
        <v>0.92303077153834634</v>
      </c>
      <c r="CU712" s="180">
        <f t="shared" si="1293"/>
        <v>0.52502249887505614</v>
      </c>
      <c r="CV712" s="180">
        <f t="shared" si="1294"/>
        <v>0.88499666072084604</v>
      </c>
      <c r="CW712" s="180">
        <f t="shared" si="1295"/>
        <v>0.42887993290280618</v>
      </c>
      <c r="CX712" s="181">
        <f>INDEX('State Tax Lookup'!$D$7:$Z$91,MATCH(Calculation!$C712,'State Tax Lookup'!$B$7:$B$91,0),MATCH($H712,'State Tax Lookup'!$D$6:$Z$6,0))</f>
        <v>0.40076499999999998</v>
      </c>
      <c r="CY712" s="72">
        <v>0.37</v>
      </c>
      <c r="CZ712" s="70">
        <f t="shared" si="1297"/>
        <v>17.397693354170094</v>
      </c>
      <c r="DA712" s="70">
        <v>16.108943221861779</v>
      </c>
      <c r="DB712" s="69">
        <f t="shared" si="1302"/>
        <v>7.1087109654737579E-2</v>
      </c>
      <c r="DC712" s="111">
        <f>VLOOKUP($H712,RoR!$E:$F,2,FALSE)</f>
        <v>5.5558333333333321E-2</v>
      </c>
      <c r="DD712" s="216">
        <f>HLOOKUP($H712,'GDP-PI'!$D$8:$CQ$11,3,FALSE)</f>
        <v>2.691120634145272E-2</v>
      </c>
      <c r="DE712" s="111">
        <f>VLOOKUP(H712,'HW Dx Data'!$E:$F,2,FALSE)</f>
        <v>498.0223154772637</v>
      </c>
      <c r="DF712" s="72">
        <f t="shared" si="1313"/>
        <v>104.52499999999999</v>
      </c>
      <c r="DG712" s="69">
        <f t="shared" si="1314"/>
        <v>-4.5584612745252218E-2</v>
      </c>
      <c r="DH712" s="66">
        <f>HLOOKUP(H712,'GDP-PI'!$8:$9,2,FALSE)</f>
        <v>92.498000000000005</v>
      </c>
      <c r="DI712" s="69">
        <f t="shared" si="1303"/>
        <v>2.6555467950038037E-2</v>
      </c>
      <c r="EB712"/>
    </row>
    <row r="713" spans="1:132" s="160" customFormat="1" ht="21">
      <c r="A713" s="160" t="s">
        <v>201</v>
      </c>
      <c r="B713" s="161" t="s">
        <v>201</v>
      </c>
      <c r="C713" s="161">
        <v>4057131</v>
      </c>
      <c r="D713" s="161" t="s">
        <v>200</v>
      </c>
      <c r="E713" s="161"/>
      <c r="F713" s="161"/>
      <c r="G713" s="161" t="s">
        <v>120</v>
      </c>
      <c r="H713" s="162">
        <v>2008</v>
      </c>
      <c r="I713" s="163"/>
      <c r="J713" s="159">
        <f>IFERROR(INDEX('Labor Expenditures'!$F$7:$X$91,MATCH($C713,'Labor Expenditures'!$D$7:$D$91,0),MATCH($G713,'Labor Expenditures'!$F$5:$X$5,0)),"NA")</f>
        <v>72149.571579223761</v>
      </c>
      <c r="K713" s="159">
        <f t="shared" si="1304"/>
        <v>668.67072825971968</v>
      </c>
      <c r="L713" s="165">
        <f t="shared" si="1311"/>
        <v>3.263641140856835E-2</v>
      </c>
      <c r="M713" s="76">
        <f t="shared" si="1315"/>
        <v>1.2444074860926599E-3</v>
      </c>
      <c r="N713" s="62">
        <f t="shared" si="1321"/>
        <v>109.89116775025597</v>
      </c>
      <c r="O713" s="96">
        <f t="shared" si="1316"/>
        <v>-7.1957302918644286E-2</v>
      </c>
      <c r="P713" s="96"/>
      <c r="Q713" s="159">
        <f>IFERROR(INDEX('Non-Labor Expenditures'!$F$7:$AB$91,MATCH($C713,'Non-Labor Expenditures'!$D$7:$D$91,0),MATCH($G713,'Non-Labor Expenditures'!$F$5:$AB$5,0)),"NA")</f>
        <v>104486.05532785834</v>
      </c>
      <c r="R713" s="159">
        <f t="shared" si="1305"/>
        <v>1108.440712550479</v>
      </c>
      <c r="S713" s="165">
        <f t="shared" si="1317"/>
        <v>4.550267268199662E-2</v>
      </c>
      <c r="T713" s="165">
        <f t="shared" si="1318"/>
        <v>1.7349905850198518E-3</v>
      </c>
      <c r="U713" s="165"/>
      <c r="V713" s="165"/>
      <c r="W713" s="159">
        <f t="shared" si="1285"/>
        <v>166109.14072783029</v>
      </c>
      <c r="X713" s="163"/>
      <c r="Y713" s="167">
        <v>8606.406113588293</v>
      </c>
      <c r="Z713" s="168">
        <v>2.3225738407108405E-2</v>
      </c>
      <c r="AA713" s="76">
        <f t="shared" si="1306"/>
        <v>8.8558396883817679E-4</v>
      </c>
      <c r="AB713" s="168"/>
      <c r="AC713" s="168"/>
      <c r="AD713" s="163">
        <f t="shared" si="1281"/>
        <v>342744.76763491239</v>
      </c>
      <c r="AE713" s="168">
        <f t="shared" si="1319"/>
        <v>0.10495767115792885</v>
      </c>
      <c r="AF713" s="163"/>
      <c r="AG713" s="163"/>
      <c r="AH713" s="163"/>
      <c r="AI713" s="163"/>
      <c r="AJ713" s="116">
        <f t="shared" si="1320"/>
        <v>157.69669029043428</v>
      </c>
      <c r="AK713" s="114">
        <f>+AV713/$AX$13</f>
        <v>6.1864370331568989E-2</v>
      </c>
      <c r="AL713" s="115">
        <f t="shared" si="1307"/>
        <v>0.21050524586294084</v>
      </c>
      <c r="AM713" s="115">
        <f t="shared" si="1308"/>
        <v>0.30485091296610434</v>
      </c>
      <c r="AN713" s="115">
        <f t="shared" si="1309"/>
        <v>0.48464384117095483</v>
      </c>
      <c r="AO713" s="115">
        <f t="shared" si="1312"/>
        <v>3.2179355074903458E-2</v>
      </c>
      <c r="AP713" s="166">
        <f t="shared" ref="AP713:AP726" si="1323">+AP712*EXP(AO713)</f>
        <v>101.91324637707487</v>
      </c>
      <c r="AQ713" s="168">
        <f t="shared" ref="AQ713:AQ726" si="1324">LN(AP713/AP712)</f>
        <v>3.2179355074903472E-2</v>
      </c>
      <c r="AR713" s="69">
        <f>+AD713/$AF$13</f>
        <v>3.8129421476956679E-2</v>
      </c>
      <c r="AS713" s="169">
        <f t="shared" si="1322"/>
        <v>1.2269801925076393E-3</v>
      </c>
      <c r="AT713" s="115"/>
      <c r="AU713" s="115"/>
      <c r="AV713" s="113">
        <f>IFERROR(INDEX('Total Customers'!$F$7:$AB$91,MATCH($C713,'Total Customers'!$D$7:$D$91,0),MATCH($G713,'Total Customers'!$F$5:$AB$5,0)),"NA")</f>
        <v>2173443</v>
      </c>
      <c r="AW713" s="68">
        <f t="shared" si="1301"/>
        <v>4.9490940368799472E-3</v>
      </c>
      <c r="AX713" s="114"/>
      <c r="AY713" s="114"/>
      <c r="AZ713" s="116"/>
      <c r="BA713" s="116"/>
      <c r="BB713" s="166"/>
      <c r="BC713" s="166"/>
      <c r="BD713" s="166"/>
      <c r="BE713" s="166"/>
      <c r="BF713" s="166"/>
      <c r="BG713" s="166"/>
      <c r="BH713" s="166"/>
      <c r="BI713" s="113"/>
      <c r="BJ713" s="113"/>
      <c r="BK713" s="113">
        <f>INDEX('Dist. Plant Gas Additions'!$F$7:$AE$91,MATCH($C713,'Dist. Plant Gas Additions'!$D$7:$D$91,0),MATCH(Calculation!$G713,'Dist. Plant Gas Additions'!$F$5:$AE$5,0))</f>
        <v>121628</v>
      </c>
      <c r="BL713" s="113">
        <f>INDEX('Gen. Plant Additions'!$F$7:$AE$91,MATCH($C713,'Gen. Plant Additions'!$D$7:$D$91,0),MATCH(Calculation!$G713,'Gen. Plant Additions'!$F$5:$AE$5,0))</f>
        <v>22592</v>
      </c>
      <c r="BM713" s="231">
        <f t="shared" si="1286"/>
        <v>0.92237566082076927</v>
      </c>
      <c r="BN713" s="61">
        <f t="shared" si="1310"/>
        <v>20838.310929262818</v>
      </c>
      <c r="BO713" s="113">
        <f>INDEX('Dist Plant Depreciation'!$E$7:$AD$94,MATCH($C713,'Dist Plant Depreciation'!$D$7:$D$94,0),MATCH(Calculation!$G713,'Dist Plant Depreciation'!$E$5:$AD$5,0))</f>
        <v>1754092</v>
      </c>
      <c r="BP713" s="113">
        <f>INDEX('Gen. Plant Depreciation'!$E$7:$AD$94,MATCH($C713,'Gen. Plant Depreciation'!$D$7:$D$94,0),MATCH(Calculation!$G713,'Gen. Plant Depreciation'!$E$5:$AD$5,0))</f>
        <v>159930</v>
      </c>
      <c r="BQ713" s="113"/>
      <c r="BR713" s="113"/>
      <c r="BS713" s="113"/>
      <c r="BT713" s="113"/>
      <c r="BU713" s="113"/>
      <c r="BV713" s="113"/>
      <c r="BW713" s="113">
        <f>INDEX('Gross Dx Plant'!$E$7:$AD$91,MATCH($C713,'Gross Dx Plant'!$D$7:$D$91,0),MATCH(Calculation!$G713,'Gross Dx Plant'!$E$5:$AD$5,0))</f>
        <v>3122237</v>
      </c>
      <c r="BX713" s="113">
        <f>INDEX('Gross Gen Plant'!$E$7:$AD$91,MATCH($C713,'Gross Gen Plant'!$D$7:$D$91,0),MATCH(Calculation!$G713,'Gross Gen Plant'!$E$5:$AD$5,0))</f>
        <v>262758</v>
      </c>
      <c r="BY713" s="113">
        <f t="shared" si="1196"/>
        <v>1470973</v>
      </c>
      <c r="BZ713" s="113"/>
      <c r="CA713" s="116">
        <v>2008</v>
      </c>
      <c r="CB713" s="113"/>
      <c r="CC713" s="113"/>
      <c r="CD713" s="113"/>
      <c r="CE713" s="175"/>
      <c r="CF713" s="113">
        <f t="shared" si="1287"/>
        <v>144220</v>
      </c>
      <c r="CG713" s="113">
        <f t="shared" si="1288"/>
        <v>253.07028755462093</v>
      </c>
      <c r="CH713" s="178">
        <v>0.94252873563218387</v>
      </c>
      <c r="CI713" s="61">
        <f>+CI703*CH713+CG704*CH712+CG705*CH711+CG706*CH710+CG707*CH709+CG708*CH708+CG709*CH707+CG710*CH706+CG711*CH705+CG712*CH704+CG713</f>
        <v>8606.406113588293</v>
      </c>
      <c r="CJ713" s="114">
        <f t="shared" si="1289"/>
        <v>2.3225738407108405E-2</v>
      </c>
      <c r="CK713" s="114"/>
      <c r="CL713" s="169">
        <f t="shared" si="1290"/>
        <v>6.5982605219847756E-3</v>
      </c>
      <c r="CM713" s="169">
        <f t="shared" si="1298"/>
        <v>6.3928174572407612E-3</v>
      </c>
      <c r="CN713" s="114">
        <f>VLOOKUP($H713,RoR!$E:$F,2,FALSE)</f>
        <v>5.6316666666666668E-2</v>
      </c>
      <c r="CO713" s="169">
        <v>1.9092304698479889E-2</v>
      </c>
      <c r="CP713" s="169">
        <f t="shared" si="1296"/>
        <v>3.7224361968186778E-2</v>
      </c>
      <c r="CQ713" s="169">
        <f t="shared" si="1299"/>
        <v>2.4509124151292864E-2</v>
      </c>
      <c r="CR713" s="169">
        <f t="shared" si="1300"/>
        <v>6.9030581091053131E-2</v>
      </c>
      <c r="CS713" s="179">
        <f t="shared" si="1291"/>
        <v>0.85171695000000003</v>
      </c>
      <c r="CT713" s="180">
        <f t="shared" si="1292"/>
        <v>0.91060168006009956</v>
      </c>
      <c r="CU713" s="180">
        <f t="shared" si="1293"/>
        <v>0.53108168097070152</v>
      </c>
      <c r="CV713" s="180">
        <f t="shared" si="1294"/>
        <v>0.88825329850328805</v>
      </c>
      <c r="CW713" s="180">
        <f t="shared" si="1295"/>
        <v>0.4295627335323573</v>
      </c>
      <c r="CX713" s="181">
        <f>INDEX('State Tax Lookup'!$D$7:$Z$91,MATCH(Calculation!$C713,'State Tax Lookup'!$B$7:$B$91,0),MATCH($H713,'State Tax Lookup'!$D$6:$Z$6,0))</f>
        <v>0.40076499999999998</v>
      </c>
      <c r="CY713" s="72">
        <v>0.37</v>
      </c>
      <c r="CZ713" s="70">
        <f t="shared" si="1297"/>
        <v>19.75415723476025</v>
      </c>
      <c r="DA713" s="70">
        <v>18.300102035478151</v>
      </c>
      <c r="DB713" s="69">
        <f t="shared" si="1302"/>
        <v>0.12702633051530121</v>
      </c>
      <c r="DC713" s="111">
        <f>VLOOKUP($H713,RoR!$E:$F,2,FALSE)</f>
        <v>5.6316666666666668E-2</v>
      </c>
      <c r="DD713" s="216">
        <f>HLOOKUP($H713,'GDP-PI'!$D$8:$CQ$11,3,FALSE)</f>
        <v>1.9092304698479889E-2</v>
      </c>
      <c r="DE713" s="111">
        <f>VLOOKUP(H713,'HW Dx Data'!$E:$F,2,FALSE)</f>
        <v>569.88120333515076</v>
      </c>
      <c r="DF713" s="72">
        <f t="shared" si="1313"/>
        <v>107.9</v>
      </c>
      <c r="DG713" s="69">
        <f t="shared" si="1314"/>
        <v>3.1778595021460486E-2</v>
      </c>
      <c r="DH713" s="66">
        <f>HLOOKUP(H713,'GDP-PI'!$8:$9,2,FALSE)</f>
        <v>94.263999999999996</v>
      </c>
      <c r="DI713" s="69">
        <f t="shared" si="1303"/>
        <v>1.8912333748032254E-2</v>
      </c>
      <c r="EB713"/>
    </row>
    <row r="714" spans="1:132" s="160" customFormat="1" ht="21">
      <c r="A714" s="160" t="s">
        <v>201</v>
      </c>
      <c r="B714" s="161" t="s">
        <v>201</v>
      </c>
      <c r="C714" s="161">
        <v>4057131</v>
      </c>
      <c r="D714" s="161" t="s">
        <v>200</v>
      </c>
      <c r="E714" s="161"/>
      <c r="F714" s="161"/>
      <c r="G714" s="161" t="s">
        <v>125</v>
      </c>
      <c r="H714" s="162">
        <v>2009</v>
      </c>
      <c r="I714" s="163"/>
      <c r="J714" s="159">
        <f>IFERROR(INDEX('Labor Expenditures'!$F$7:$X$91,MATCH($C714,'Labor Expenditures'!$D$7:$D$91,0),MATCH($G714,'Labor Expenditures'!$F$5:$X$5,0)),"NA")</f>
        <v>77318.023482481367</v>
      </c>
      <c r="K714" s="159">
        <f t="shared" si="1304"/>
        <v>697.02973615038422</v>
      </c>
      <c r="L714" s="165">
        <f t="shared" si="1311"/>
        <v>4.1536318904585055E-2</v>
      </c>
      <c r="M714" s="76">
        <f t="shared" si="1315"/>
        <v>1.5607290806567864E-3</v>
      </c>
      <c r="N714" s="62">
        <f t="shared" si="1321"/>
        <v>117.6058453468071</v>
      </c>
      <c r="O714" s="96">
        <f t="shared" si="1316"/>
        <v>6.7848247618922594E-2</v>
      </c>
      <c r="P714" s="96"/>
      <c r="Q714" s="159">
        <f>IFERROR(INDEX('Non-Labor Expenditures'!$F$7:$AB$91,MATCH($C714,'Non-Labor Expenditures'!$D$7:$D$91,0),MATCH($G714,'Non-Labor Expenditures'!$F$5:$AB$5,0)),"NA")</f>
        <v>111970.93901743327</v>
      </c>
      <c r="R714" s="159">
        <f t="shared" si="1305"/>
        <v>1178.6538702242474</v>
      </c>
      <c r="S714" s="165">
        <f t="shared" si="1317"/>
        <v>6.1418735087159587E-2</v>
      </c>
      <c r="T714" s="165">
        <f t="shared" si="1318"/>
        <v>2.3078117771554341E-3</v>
      </c>
      <c r="U714" s="165"/>
      <c r="V714" s="165"/>
      <c r="W714" s="159">
        <f t="shared" si="1285"/>
        <v>163000.93751917881</v>
      </c>
      <c r="X714" s="163"/>
      <c r="Y714" s="167">
        <v>8812.6646650201383</v>
      </c>
      <c r="Z714" s="168">
        <v>2.368303046586025E-2</v>
      </c>
      <c r="AA714" s="76">
        <f t="shared" si="1306"/>
        <v>8.8989095184524244E-4</v>
      </c>
      <c r="AB714" s="168"/>
      <c r="AC714" s="168"/>
      <c r="AD714" s="163">
        <f t="shared" si="1281"/>
        <v>352289.90001909342</v>
      </c>
      <c r="AE714" s="168">
        <f t="shared" si="1319"/>
        <v>2.7468363751720216E-2</v>
      </c>
      <c r="AF714" s="163"/>
      <c r="AG714" s="163"/>
      <c r="AH714" s="163"/>
      <c r="AI714" s="163"/>
      <c r="AJ714" s="116">
        <f t="shared" si="1320"/>
        <v>162.14203921855395</v>
      </c>
      <c r="AK714" s="114">
        <f>+AV714/$AX$14</f>
        <v>6.1765067914670936E-2</v>
      </c>
      <c r="AL714" s="115">
        <f t="shared" si="1307"/>
        <v>0.21947272254552538</v>
      </c>
      <c r="AM714" s="115">
        <f t="shared" si="1308"/>
        <v>0.31783749409609718</v>
      </c>
      <c r="AN714" s="115">
        <f t="shared" si="1309"/>
        <v>0.46268978335837752</v>
      </c>
      <c r="AO714" s="115">
        <f t="shared" si="1312"/>
        <v>3.9270083712010198E-2</v>
      </c>
      <c r="AP714" s="166">
        <f t="shared" si="1323"/>
        <v>105.99500913580461</v>
      </c>
      <c r="AQ714" s="168">
        <f t="shared" si="1324"/>
        <v>3.9270083712010115E-2</v>
      </c>
      <c r="AR714" s="69">
        <f>+AD714/$AF$14</f>
        <v>3.7575045690543915E-2</v>
      </c>
      <c r="AS714" s="169">
        <f t="shared" si="1322"/>
        <v>1.4755751897502643E-3</v>
      </c>
      <c r="AT714" s="115"/>
      <c r="AU714" s="115"/>
      <c r="AV714" s="113">
        <f>IFERROR(INDEX('Total Customers'!$F$7:$AB$91,MATCH($C714,'Total Customers'!$D$7:$D$91,0),MATCH($G714,'Total Customers'!$F$5:$AB$5,0)),"NA")</f>
        <v>2172724</v>
      </c>
      <c r="AW714" s="68">
        <f t="shared" si="1301"/>
        <v>-3.308662582727146E-4</v>
      </c>
      <c r="AX714" s="114"/>
      <c r="AY714" s="114"/>
      <c r="AZ714" s="116"/>
      <c r="BA714" s="116"/>
      <c r="BB714" s="166"/>
      <c r="BC714" s="166"/>
      <c r="BD714" s="166"/>
      <c r="BE714" s="166"/>
      <c r="BF714" s="166"/>
      <c r="BG714" s="166"/>
      <c r="BH714" s="166"/>
      <c r="BI714" s="113"/>
      <c r="BJ714" s="113"/>
      <c r="BK714" s="113">
        <f>INDEX('Dist. Plant Gas Additions'!$F$7:$AE$91,MATCH($C714,'Dist. Plant Gas Additions'!$D$7:$D$91,0),MATCH(Calculation!$G714,'Dist. Plant Gas Additions'!$F$5:$AE$5,0))</f>
        <v>112762</v>
      </c>
      <c r="BL714" s="113">
        <f>INDEX('Gen. Plant Additions'!$F$7:$AE$91,MATCH($C714,'Gen. Plant Additions'!$D$7:$D$91,0),MATCH(Calculation!$G714,'Gen. Plant Additions'!$F$5:$AE$5,0))</f>
        <v>33186</v>
      </c>
      <c r="BM714" s="231">
        <f t="shared" si="1286"/>
        <v>0.92121942545992597</v>
      </c>
      <c r="BN714" s="61">
        <f t="shared" si="1310"/>
        <v>30571.587853313104</v>
      </c>
      <c r="BO714" s="113">
        <f>INDEX('Dist Plant Depreciation'!$E$7:$AD$94,MATCH($C714,'Dist Plant Depreciation'!$D$7:$D$94,0),MATCH(Calculation!$G714,'Dist Plant Depreciation'!$E$5:$AD$5,0))</f>
        <v>1832394</v>
      </c>
      <c r="BP714" s="113">
        <f>INDEX('Gen. Plant Depreciation'!$E$7:$AD$94,MATCH($C714,'Gen. Plant Depreciation'!$D$7:$D$94,0),MATCH(Calculation!$G714,'Gen. Plant Depreciation'!$E$5:$AD$5,0))</f>
        <v>172593</v>
      </c>
      <c r="BQ714" s="113"/>
      <c r="BR714" s="113"/>
      <c r="BS714" s="113"/>
      <c r="BT714" s="113"/>
      <c r="BU714" s="113"/>
      <c r="BV714" s="113"/>
      <c r="BW714" s="113">
        <f>INDEX('Gross Dx Plant'!$E$7:$AD$91,MATCH($C714,'Gross Dx Plant'!$D$7:$D$91,0),MATCH(Calculation!$G714,'Gross Dx Plant'!$E$5:$AD$5,0))</f>
        <v>3222584</v>
      </c>
      <c r="BX714" s="113">
        <f>INDEX('Gross Gen Plant'!$E$7:$AD$91,MATCH($C714,'Gross Gen Plant'!$D$7:$D$91,0),MATCH(Calculation!$G714,'Gross Gen Plant'!$E$5:$AD$5,0))</f>
        <v>275588</v>
      </c>
      <c r="BY714" s="113">
        <f t="shared" si="1196"/>
        <v>1493185</v>
      </c>
      <c r="BZ714" s="113"/>
      <c r="CA714" s="116">
        <v>2009</v>
      </c>
      <c r="CB714" s="113"/>
      <c r="CC714" s="113"/>
      <c r="CD714" s="113"/>
      <c r="CE714" s="175"/>
      <c r="CF714" s="113">
        <f t="shared" si="1287"/>
        <v>145948</v>
      </c>
      <c r="CG714" s="113">
        <f t="shared" si="1288"/>
        <v>264.90694323895946</v>
      </c>
      <c r="CH714" s="178">
        <v>0.93567251461988299</v>
      </c>
      <c r="CI714" s="61">
        <f>+CI703*CH714+CG704*CH713+CG705*CH712+CG706*CH711+CG707*CH710+CG708*CH709+CG709*CH708+CG710*CH707+CG711*CH706+CG712*CH705+CG713*CH704+CG714</f>
        <v>8812.6646650201383</v>
      </c>
      <c r="CJ714" s="114">
        <f t="shared" si="1289"/>
        <v>2.368303046586025E-2</v>
      </c>
      <c r="CK714" s="114"/>
      <c r="CL714" s="169">
        <f t="shared" si="1290"/>
        <v>6.8145043393335472E-3</v>
      </c>
      <c r="CM714" s="169">
        <f t="shared" si="1298"/>
        <v>6.6002125618938494E-3</v>
      </c>
      <c r="CN714" s="114">
        <f>VLOOKUP($H714,RoR!$E:$F,2,FALSE)</f>
        <v>5.3133333333333324E-2</v>
      </c>
      <c r="CO714" s="169">
        <v>7.7972502758210105E-3</v>
      </c>
      <c r="CP714" s="169">
        <f t="shared" si="1296"/>
        <v>4.5336083057512314E-2</v>
      </c>
      <c r="CQ714" s="169">
        <f t="shared" si="1299"/>
        <v>2.4301729046639776E-2</v>
      </c>
      <c r="CR714" s="169">
        <f t="shared" si="1300"/>
        <v>6.3720160300892073E-2</v>
      </c>
      <c r="CS714" s="179">
        <f t="shared" si="1291"/>
        <v>0.85171695000000003</v>
      </c>
      <c r="CT714" s="180">
        <f t="shared" si="1292"/>
        <v>0.96515780330083989</v>
      </c>
      <c r="CU714" s="180">
        <f t="shared" si="1293"/>
        <v>0.50448557089084056</v>
      </c>
      <c r="CV714" s="180">
        <f t="shared" si="1294"/>
        <v>0.87391435735465484</v>
      </c>
      <c r="CW714" s="180">
        <f t="shared" si="1295"/>
        <v>0.42551605393279146</v>
      </c>
      <c r="CX714" s="181">
        <f>INDEX('State Tax Lookup'!$D$7:$Z$91,MATCH(Calculation!$C714,'State Tax Lookup'!$B$7:$B$91,0),MATCH($H714,'State Tax Lookup'!$D$6:$Z$6,0))</f>
        <v>0.40076499999999998</v>
      </c>
      <c r="CY714" s="72">
        <v>0.37</v>
      </c>
      <c r="CZ714" s="70">
        <f t="shared" si="1297"/>
        <v>18.939489418448833</v>
      </c>
      <c r="DA714" s="70">
        <v>17.478615056163342</v>
      </c>
      <c r="DB714" s="69">
        <f t="shared" si="1302"/>
        <v>-4.2114832544549646E-2</v>
      </c>
      <c r="DC714" s="111">
        <f>VLOOKUP($H714,RoR!$E:$F,2,FALSE)</f>
        <v>5.3133333333333324E-2</v>
      </c>
      <c r="DD714" s="216">
        <f>HLOOKUP($H714,'GDP-PI'!$D$8:$CQ$11,3,FALSE)</f>
        <v>7.7972502758210105E-3</v>
      </c>
      <c r="DE714" s="111">
        <f>VLOOKUP(H714,'HW Dx Data'!$E:$F,2,FALSE)</f>
        <v>550.94063679692806</v>
      </c>
      <c r="DF714" s="72">
        <f t="shared" si="1313"/>
        <v>110.925</v>
      </c>
      <c r="DG714" s="69">
        <f t="shared" si="1314"/>
        <v>2.7649425000884052E-2</v>
      </c>
      <c r="DH714" s="66">
        <f>HLOOKUP(H714,'GDP-PI'!$8:$9,2,FALSE)</f>
        <v>94.998999999999995</v>
      </c>
      <c r="DI714" s="69">
        <f t="shared" si="1303"/>
        <v>7.7670088183096342E-3</v>
      </c>
      <c r="EB714"/>
    </row>
    <row r="715" spans="1:132" s="160" customFormat="1" ht="21">
      <c r="A715" s="160" t="s">
        <v>201</v>
      </c>
      <c r="B715" s="161" t="s">
        <v>201</v>
      </c>
      <c r="C715" s="161">
        <v>4057131</v>
      </c>
      <c r="D715" s="161" t="s">
        <v>200</v>
      </c>
      <c r="E715" s="161"/>
      <c r="F715" s="161"/>
      <c r="G715" s="161" t="s">
        <v>126</v>
      </c>
      <c r="H715" s="162">
        <v>2010</v>
      </c>
      <c r="I715" s="163"/>
      <c r="J715" s="159">
        <f>IFERROR(INDEX('Labor Expenditures'!$F$7:$X$91,MATCH($C715,'Labor Expenditures'!$D$7:$D$91,0),MATCH($G715,'Labor Expenditures'!$F$5:$X$5,0)),"NA")</f>
        <v>85135.003723387475</v>
      </c>
      <c r="K715" s="159">
        <f t="shared" si="1304"/>
        <v>728.11634572065407</v>
      </c>
      <c r="L715" s="165">
        <f t="shared" si="1311"/>
        <v>4.3632778070903419E-2</v>
      </c>
      <c r="M715" s="76">
        <f t="shared" si="1315"/>
        <v>1.7038325553904829E-3</v>
      </c>
      <c r="N715" s="62">
        <f t="shared" si="1321"/>
        <v>96.719136380876975</v>
      </c>
      <c r="O715" s="96">
        <f t="shared" si="1316"/>
        <v>-0.19552746235712443</v>
      </c>
      <c r="P715" s="96"/>
      <c r="Q715" s="159">
        <f>IFERROR(INDEX('Non-Labor Expenditures'!$F$7:$AB$91,MATCH($C715,'Non-Labor Expenditures'!$D$7:$D$91,0),MATCH($G715,'Non-Labor Expenditures'!$F$5:$AB$5,0)),"NA")</f>
        <v>123291.38641678118</v>
      </c>
      <c r="R715" s="159">
        <f t="shared" si="1305"/>
        <v>1282.8287300542218</v>
      </c>
      <c r="S715" s="165">
        <f t="shared" si="1317"/>
        <v>8.4694585610729664E-2</v>
      </c>
      <c r="T715" s="165">
        <f t="shared" si="1318"/>
        <v>3.3072703276965489E-3</v>
      </c>
      <c r="U715" s="165"/>
      <c r="V715" s="165"/>
      <c r="W715" s="159">
        <f t="shared" si="1285"/>
        <v>171058.17629913436</v>
      </c>
      <c r="X715" s="163"/>
      <c r="Y715" s="167">
        <v>8981.2051806924428</v>
      </c>
      <c r="Z715" s="168">
        <v>1.8944227157011845E-2</v>
      </c>
      <c r="AA715" s="76">
        <f t="shared" si="1306"/>
        <v>7.3976016183012114E-4</v>
      </c>
      <c r="AB715" s="168"/>
      <c r="AC715" s="168"/>
      <c r="AD715" s="163">
        <f t="shared" si="1281"/>
        <v>379484.56643930299</v>
      </c>
      <c r="AE715" s="168">
        <f t="shared" si="1319"/>
        <v>7.4359511622376404E-2</v>
      </c>
      <c r="AF715" s="163"/>
      <c r="AG715" s="163"/>
      <c r="AH715" s="163"/>
      <c r="AI715" s="163"/>
      <c r="AJ715" s="116">
        <f t="shared" si="1320"/>
        <v>174.3139314600536</v>
      </c>
      <c r="AK715" s="114">
        <f>+AV715/$AX$15</f>
        <v>6.1548525479719715E-2</v>
      </c>
      <c r="AL715" s="115">
        <f t="shared" si="1307"/>
        <v>0.22434378431304261</v>
      </c>
      <c r="AM715" s="115">
        <f t="shared" si="1308"/>
        <v>0.32489170132430445</v>
      </c>
      <c r="AN715" s="115">
        <f t="shared" si="1309"/>
        <v>0.45076451436265302</v>
      </c>
      <c r="AO715" s="115">
        <f t="shared" si="1312"/>
        <v>4.5552657863794005E-2</v>
      </c>
      <c r="AP715" s="166">
        <f t="shared" si="1323"/>
        <v>110.93502474276346</v>
      </c>
      <c r="AQ715" s="168">
        <f t="shared" si="1324"/>
        <v>4.555265786379406E-2</v>
      </c>
      <c r="AR715" s="69">
        <f>+AD715/$AF$15</f>
        <v>3.904937138363615E-2</v>
      </c>
      <c r="AS715" s="169">
        <f t="shared" si="1322"/>
        <v>1.778802654435008E-3</v>
      </c>
      <c r="AT715" s="115"/>
      <c r="AU715" s="115"/>
      <c r="AV715" s="113">
        <f>IFERROR(INDEX('Total Customers'!$F$7:$AB$91,MATCH($C715,'Total Customers'!$D$7:$D$91,0),MATCH($G715,'Total Customers'!$F$5:$AB$5,0)),"NA")</f>
        <v>2177018</v>
      </c>
      <c r="AW715" s="68">
        <f t="shared" si="1301"/>
        <v>1.9743706154911767E-3</v>
      </c>
      <c r="AX715" s="114"/>
      <c r="AY715" s="114"/>
      <c r="AZ715" s="116"/>
      <c r="BA715" s="116"/>
      <c r="BB715" s="166"/>
      <c r="BC715" s="166"/>
      <c r="BD715" s="166"/>
      <c r="BE715" s="166"/>
      <c r="BF715" s="166"/>
      <c r="BG715" s="166"/>
      <c r="BH715" s="166"/>
      <c r="BI715" s="113"/>
      <c r="BJ715" s="113"/>
      <c r="BK715" s="113">
        <f>INDEX('Dist. Plant Gas Additions'!$F$7:$AE$91,MATCH($C715,'Dist. Plant Gas Additions'!$D$7:$D$91,0),MATCH(Calculation!$G715,'Dist. Plant Gas Additions'!$F$5:$AE$5,0))</f>
        <v>110513</v>
      </c>
      <c r="BL715" s="113">
        <f>INDEX('Gen. Plant Additions'!$F$7:$AE$91,MATCH($C715,'Gen. Plant Additions'!$D$7:$D$91,0),MATCH(Calculation!$G715,'Gen. Plant Additions'!$F$5:$AE$5,0))</f>
        <v>20668</v>
      </c>
      <c r="BM715" s="231">
        <f t="shared" si="1286"/>
        <v>0.92345609260497075</v>
      </c>
      <c r="BN715" s="61">
        <f t="shared" si="1310"/>
        <v>19085.990521959535</v>
      </c>
      <c r="BO715" s="113">
        <f>INDEX('Dist Plant Depreciation'!$E$7:$AD$94,MATCH($C715,'Dist Plant Depreciation'!$D$7:$D$94,0),MATCH(Calculation!$G715,'Dist Plant Depreciation'!$E$5:$AD$5,0))</f>
        <v>1924415</v>
      </c>
      <c r="BP715" s="113">
        <f>INDEX('Gen. Plant Depreciation'!$E$7:$AD$94,MATCH($C715,'Gen. Plant Depreciation'!$D$7:$D$94,0),MATCH(Calculation!$G715,'Gen. Plant Depreciation'!$E$5:$AD$5,0))</f>
        <v>183792</v>
      </c>
      <c r="BQ715" s="113"/>
      <c r="BR715" s="113"/>
      <c r="BS715" s="113"/>
      <c r="BT715" s="113"/>
      <c r="BU715" s="113"/>
      <c r="BV715" s="113"/>
      <c r="BW715" s="113">
        <f>INDEX('Gross Dx Plant'!$E$7:$AD$91,MATCH($C715,'Gross Dx Plant'!$D$7:$D$91,0),MATCH(Calculation!$G715,'Gross Dx Plant'!$E$5:$AD$5,0))</f>
        <v>3321232</v>
      </c>
      <c r="BX715" s="113">
        <f>INDEX('Gross Gen Plant'!$E$7:$AD$91,MATCH($C715,'Gross Gen Plant'!$D$7:$D$91,0),MATCH(Calculation!$G715,'Gross Gen Plant'!$E$5:$AD$5,0))</f>
        <v>275292</v>
      </c>
      <c r="BY715" s="113">
        <f t="shared" si="1196"/>
        <v>1488317</v>
      </c>
      <c r="BZ715" s="113"/>
      <c r="CA715" s="116">
        <v>2010</v>
      </c>
      <c r="CB715" s="113"/>
      <c r="CC715" s="113"/>
      <c r="CD715" s="113"/>
      <c r="CE715" s="175"/>
      <c r="CF715" s="113">
        <f t="shared" si="1287"/>
        <v>131181</v>
      </c>
      <c r="CG715" s="113">
        <f t="shared" si="1288"/>
        <v>230.5508263223073</v>
      </c>
      <c r="CH715" s="178">
        <v>0.9285714285714286</v>
      </c>
      <c r="CI715" s="61">
        <f>+CI703*CH715+CG704*CH714+CG705*CH713+CG706*CH712+CG707*CH711+CG708*CH710+CG709*CH709+CG710*CH708+CG711*CH707+CG712*CH706+CG713*CH705+CG714*CH704+CG715</f>
        <v>8981.2051806924428</v>
      </c>
      <c r="CJ715" s="114">
        <f t="shared" si="1289"/>
        <v>1.8944227157011845E-2</v>
      </c>
      <c r="CK715" s="114"/>
      <c r="CL715" s="169">
        <f t="shared" si="1290"/>
        <v>7.0364995159907249E-3</v>
      </c>
      <c r="CM715" s="169">
        <f t="shared" si="1298"/>
        <v>6.8164214591030156E-3</v>
      </c>
      <c r="CN715" s="114">
        <f>VLOOKUP($H715,RoR!$E:$F,2,FALSE)</f>
        <v>4.9433333333333322E-2</v>
      </c>
      <c r="CO715" s="169">
        <v>1.1684333519300205E-2</v>
      </c>
      <c r="CP715" s="169">
        <f t="shared" si="1296"/>
        <v>3.7748999814033117E-2</v>
      </c>
      <c r="CQ715" s="169">
        <f t="shared" si="1299"/>
        <v>2.4085520149430609E-2</v>
      </c>
      <c r="CR715" s="169">
        <f t="shared" si="1300"/>
        <v>4.7937530248493419E-2</v>
      </c>
      <c r="CS715" s="179">
        <f t="shared" si="1291"/>
        <v>0.85171695000000003</v>
      </c>
      <c r="CT715" s="180">
        <f t="shared" si="1292"/>
        <v>1.037398205301105</v>
      </c>
      <c r="CU715" s="180">
        <f t="shared" si="1293"/>
        <v>0.46926837491571133</v>
      </c>
      <c r="CV715" s="180">
        <f t="shared" si="1294"/>
        <v>0.8548537519972772</v>
      </c>
      <c r="CW715" s="180">
        <f t="shared" si="1295"/>
        <v>0.41615833911547367</v>
      </c>
      <c r="CX715" s="181">
        <f>INDEX('State Tax Lookup'!$D$7:$Z$91,MATCH(Calculation!$C715,'State Tax Lookup'!$B$7:$B$91,0),MATCH($H715,'State Tax Lookup'!$D$6:$Z$6,0))</f>
        <v>0.40076499999999998</v>
      </c>
      <c r="CY715" s="72">
        <v>0.37</v>
      </c>
      <c r="CZ715" s="70">
        <f t="shared" si="1297"/>
        <v>19.410494192308345</v>
      </c>
      <c r="DA715" s="70">
        <v>17.956102603965455</v>
      </c>
      <c r="DB715" s="69">
        <f t="shared" si="1302"/>
        <v>2.4564728011739978E-2</v>
      </c>
      <c r="DC715" s="111">
        <f>VLOOKUP($H715,RoR!$E:$F,2,FALSE)</f>
        <v>4.9433333333333322E-2</v>
      </c>
      <c r="DD715" s="216">
        <f>HLOOKUP($H715,'GDP-PI'!$D$8:$CQ$11,3,FALSE)</f>
        <v>1.1684333519300205E-2</v>
      </c>
      <c r="DE715" s="111">
        <f>VLOOKUP(H715,'HW Dx Data'!$E:$F,2,FALSE)</f>
        <v>568.98950262971744</v>
      </c>
      <c r="DF715" s="72">
        <f t="shared" si="1313"/>
        <v>116.925</v>
      </c>
      <c r="DG715" s="69">
        <f t="shared" si="1314"/>
        <v>5.2678406346976722E-2</v>
      </c>
      <c r="DH715" s="66">
        <f>HLOOKUP(H715,'GDP-PI'!$8:$9,2,FALSE)</f>
        <v>96.108999999999995</v>
      </c>
      <c r="DI715" s="69">
        <f t="shared" si="1303"/>
        <v>1.1616598807150427E-2</v>
      </c>
      <c r="EB715"/>
    </row>
    <row r="716" spans="1:132" s="160" customFormat="1" ht="21">
      <c r="A716" s="160" t="s">
        <v>201</v>
      </c>
      <c r="B716" s="161" t="s">
        <v>201</v>
      </c>
      <c r="C716" s="161">
        <v>4057131</v>
      </c>
      <c r="D716" s="161" t="s">
        <v>200</v>
      </c>
      <c r="E716" s="161"/>
      <c r="F716" s="161"/>
      <c r="G716" s="161" t="s">
        <v>127</v>
      </c>
      <c r="H716" s="162">
        <v>2011</v>
      </c>
      <c r="I716" s="163"/>
      <c r="J716" s="159">
        <f>IFERROR(INDEX('Labor Expenditures'!$F$7:$X$91,MATCH($C716,'Labor Expenditures'!$D$7:$D$91,0),MATCH($G716,'Labor Expenditures'!$F$5:$X$5,0)),"NA")</f>
        <v>84659.048029339086</v>
      </c>
      <c r="K716" s="159">
        <f t="shared" si="1304"/>
        <v>700.3850922799511</v>
      </c>
      <c r="L716" s="165">
        <f t="shared" si="1311"/>
        <v>-3.8830535373023119E-2</v>
      </c>
      <c r="M716" s="76">
        <f t="shared" si="1315"/>
        <v>-1.4960947934578995E-3</v>
      </c>
      <c r="N716" s="62">
        <f t="shared" si="1321"/>
        <v>116.10893060694306</v>
      </c>
      <c r="O716" s="96">
        <f t="shared" si="1316"/>
        <v>0.18271753022249573</v>
      </c>
      <c r="P716" s="96"/>
      <c r="Q716" s="159">
        <f>IFERROR(INDEX('Non-Labor Expenditures'!$F$7:$AB$91,MATCH($C716,'Non-Labor Expenditures'!$D$7:$D$91,0),MATCH($G716,'Non-Labor Expenditures'!$F$5:$AB$5,0)),"NA")</f>
        <v>122602.11367553778</v>
      </c>
      <c r="R716" s="159">
        <f t="shared" si="1305"/>
        <v>1249.613846171088</v>
      </c>
      <c r="S716" s="165">
        <f t="shared" si="1317"/>
        <v>-2.6233004424363951E-2</v>
      </c>
      <c r="T716" s="165">
        <f t="shared" si="1318"/>
        <v>-1.0107267633326323E-3</v>
      </c>
      <c r="U716" s="165"/>
      <c r="V716" s="165"/>
      <c r="W716" s="159">
        <f t="shared" si="1285"/>
        <v>185964.63546317816</v>
      </c>
      <c r="X716" s="163"/>
      <c r="Y716" s="167">
        <v>9125.457119735067</v>
      </c>
      <c r="Z716" s="168">
        <v>1.5933913014073573E-2</v>
      </c>
      <c r="AA716" s="76">
        <f t="shared" si="1306"/>
        <v>6.1391490152690631E-4</v>
      </c>
      <c r="AB716" s="168"/>
      <c r="AC716" s="168"/>
      <c r="AD716" s="163">
        <f t="shared" si="1281"/>
        <v>393225.79716805503</v>
      </c>
      <c r="AE716" s="168">
        <f t="shared" si="1319"/>
        <v>3.5570066516866915E-2</v>
      </c>
      <c r="AF716" s="163"/>
      <c r="AG716" s="163"/>
      <c r="AH716" s="163"/>
      <c r="AI716" s="163"/>
      <c r="AJ716" s="116">
        <f t="shared" si="1320"/>
        <v>179.97526517059686</v>
      </c>
      <c r="AK716" s="114">
        <f>+AV716/$AX$16</f>
        <v>6.1472981071062777E-2</v>
      </c>
      <c r="AL716" s="115">
        <f t="shared" si="1307"/>
        <v>0.21529372853724013</v>
      </c>
      <c r="AM716" s="115">
        <f t="shared" si="1308"/>
        <v>0.31178553024368505</v>
      </c>
      <c r="AN716" s="115">
        <f t="shared" si="1309"/>
        <v>0.47292074121907485</v>
      </c>
      <c r="AO716" s="115">
        <f t="shared" si="1312"/>
        <v>-9.5276980559170499E-3</v>
      </c>
      <c r="AP716" s="166">
        <f t="shared" si="1323"/>
        <v>109.8830885460419</v>
      </c>
      <c r="AQ716" s="168">
        <f t="shared" si="1324"/>
        <v>-9.5276980559170395E-3</v>
      </c>
      <c r="AR716" s="69">
        <f>+AD716/$AF$16</f>
        <v>3.8528822203602348E-2</v>
      </c>
      <c r="AS716" s="169">
        <f t="shared" si="1322"/>
        <v>-3.6709098440603535E-4</v>
      </c>
      <c r="AT716" s="115"/>
      <c r="AU716" s="115"/>
      <c r="AV716" s="113">
        <f>IFERROR(INDEX('Total Customers'!$F$7:$AB$91,MATCH($C716,'Total Customers'!$D$7:$D$91,0),MATCH($G716,'Total Customers'!$F$5:$AB$5,0)),"NA")</f>
        <v>2184888</v>
      </c>
      <c r="AW716" s="68">
        <f t="shared" si="1301"/>
        <v>3.6085181752512122E-3</v>
      </c>
      <c r="AX716" s="114"/>
      <c r="AY716" s="114"/>
      <c r="AZ716" s="116"/>
      <c r="BA716" s="116"/>
      <c r="BB716" s="166"/>
      <c r="BC716" s="166"/>
      <c r="BD716" s="166"/>
      <c r="BE716" s="166"/>
      <c r="BF716" s="166"/>
      <c r="BG716" s="166"/>
      <c r="BH716" s="166"/>
      <c r="BI716" s="113"/>
      <c r="BJ716" s="113"/>
      <c r="BK716" s="113">
        <f>INDEX('Dist. Plant Gas Additions'!$F$7:$AE$91,MATCH($C716,'Dist. Plant Gas Additions'!$D$7:$D$91,0),MATCH(Calculation!$G716,'Dist. Plant Gas Additions'!$F$5:$AE$5,0))</f>
        <v>106288</v>
      </c>
      <c r="BL716" s="113">
        <f>INDEX('Gen. Plant Additions'!$F$7:$AE$91,MATCH($C716,'Gen. Plant Additions'!$D$7:$D$91,0),MATCH(Calculation!$G716,'Gen. Plant Additions'!$F$5:$AE$5,0))</f>
        <v>21907</v>
      </c>
      <c r="BM716" s="231">
        <f t="shared" si="1286"/>
        <v>0.92349262123797848</v>
      </c>
      <c r="BN716" s="61">
        <f t="shared" si="1310"/>
        <v>20230.952853460396</v>
      </c>
      <c r="BO716" s="113">
        <f>INDEX('Dist Plant Depreciation'!$E$7:$AD$94,MATCH($C716,'Dist Plant Depreciation'!$D$7:$D$94,0),MATCH(Calculation!$G716,'Dist Plant Depreciation'!$E$5:$AD$5,0))</f>
        <v>2016234</v>
      </c>
      <c r="BP716" s="113">
        <f>INDEX('Gen. Plant Depreciation'!$E$7:$AD$94,MATCH($C716,'Gen. Plant Depreciation'!$D$7:$D$94,0),MATCH(Calculation!$G716,'Gen. Plant Depreciation'!$E$5:$AD$5,0))</f>
        <v>200428</v>
      </c>
      <c r="BQ716" s="113"/>
      <c r="BR716" s="113"/>
      <c r="BS716" s="113"/>
      <c r="BT716" s="113"/>
      <c r="BU716" s="113"/>
      <c r="BV716" s="113"/>
      <c r="BW716" s="113">
        <f>INDEX('Gross Dx Plant'!$E$7:$AD$91,MATCH($C716,'Gross Dx Plant'!$D$7:$D$91,0),MATCH(Calculation!$G716,'Gross Dx Plant'!$E$5:$AD$5,0))</f>
        <v>3413491</v>
      </c>
      <c r="BX716" s="113">
        <f>INDEX('Gross Gen Plant'!$E$7:$AD$91,MATCH($C716,'Gross Gen Plant'!$D$7:$D$91,0),MATCH(Calculation!$G716,'Gross Gen Plant'!$E$5:$AD$5,0))</f>
        <v>282793</v>
      </c>
      <c r="BY716" s="113">
        <f t="shared" si="1196"/>
        <v>1479622</v>
      </c>
      <c r="BZ716" s="113"/>
      <c r="CA716" s="116">
        <v>2011</v>
      </c>
      <c r="CB716" s="113"/>
      <c r="CC716" s="113"/>
      <c r="CD716" s="113"/>
      <c r="CE716" s="175"/>
      <c r="CF716" s="113">
        <f t="shared" si="1287"/>
        <v>128195</v>
      </c>
      <c r="CG716" s="113">
        <f t="shared" si="1288"/>
        <v>209.60214883716588</v>
      </c>
      <c r="CH716" s="178">
        <v>0.92121212121212126</v>
      </c>
      <c r="CI716" s="61">
        <f>+CI703*CH716+CG704*CH715+CG705*CH714+CG706*CH713+CG707*CH712+CG708*CH711+CG709*CH710+CG710*CH709+CG711*CH708+CG712*CH707+CG713*CH706+CG714*CH705+CG715*CH704+CG716</f>
        <v>9125.457119735067</v>
      </c>
      <c r="CJ716" s="114">
        <f t="shared" si="1289"/>
        <v>1.5933913014073573E-2</v>
      </c>
      <c r="CK716" s="114"/>
      <c r="CL716" s="169">
        <f t="shared" si="1290"/>
        <v>7.2763296773388376E-3</v>
      </c>
      <c r="CM716" s="169">
        <f t="shared" si="1298"/>
        <v>7.0424445108877029E-3</v>
      </c>
      <c r="CN716" s="114">
        <f>VLOOKUP($H716,RoR!$E:$F,2,FALSE)</f>
        <v>4.6391666666666664E-2</v>
      </c>
      <c r="CO716" s="169">
        <v>2.0840920205183799E-2</v>
      </c>
      <c r="CP716" s="169">
        <f t="shared" si="1296"/>
        <v>2.5550746461482865E-2</v>
      </c>
      <c r="CQ716" s="169">
        <f t="shared" si="1299"/>
        <v>2.3859497097645923E-2</v>
      </c>
      <c r="CR716" s="169">
        <f t="shared" si="1300"/>
        <v>2.4810540821321614E-2</v>
      </c>
      <c r="CS716" s="179">
        <f t="shared" si="1291"/>
        <v>0.85171695000000003</v>
      </c>
      <c r="CT716" s="180">
        <f t="shared" si="1292"/>
        <v>1.1054151524782025</v>
      </c>
      <c r="CU716" s="180">
        <f t="shared" si="1293"/>
        <v>0.43611011316687626</v>
      </c>
      <c r="CV716" s="180">
        <f t="shared" si="1294"/>
        <v>0.83698442246886229</v>
      </c>
      <c r="CW716" s="180">
        <f t="shared" si="1295"/>
        <v>0.40349573304423936</v>
      </c>
      <c r="CX716" s="181">
        <f>INDEX('State Tax Lookup'!$D$7:$Z$91,MATCH(Calculation!$C716,'State Tax Lookup'!$B$7:$B$91,0),MATCH($H716,'State Tax Lookup'!$D$6:$Z$6,0))</f>
        <v>0.40076499999999998</v>
      </c>
      <c r="CY716" s="72">
        <v>0.37</v>
      </c>
      <c r="CZ716" s="70">
        <f t="shared" si="1297"/>
        <v>20.705977841699909</v>
      </c>
      <c r="DA716" s="70">
        <v>19.146574949201604</v>
      </c>
      <c r="DB716" s="69">
        <f t="shared" si="1302"/>
        <v>6.4608585641201935E-2</v>
      </c>
      <c r="DC716" s="111">
        <f>VLOOKUP($H716,RoR!$E:$F,2,FALSE)</f>
        <v>4.6391666666666664E-2</v>
      </c>
      <c r="DD716" s="216">
        <f>HLOOKUP($H716,'GDP-PI'!$D$8:$CQ$11,3,FALSE)</f>
        <v>2.0840920205183799E-2</v>
      </c>
      <c r="DE716" s="111">
        <f>VLOOKUP(H716,'HW Dx Data'!$E:$F,2,FALSE)</f>
        <v>611.61109612283201</v>
      </c>
      <c r="DF716" s="72">
        <f t="shared" si="1313"/>
        <v>120.875</v>
      </c>
      <c r="DG716" s="69">
        <f t="shared" si="1314"/>
        <v>3.3224250161508609E-2</v>
      </c>
      <c r="DH716" s="66">
        <f>HLOOKUP(H716,'GDP-PI'!$8:$9,2,FALSE)</f>
        <v>98.111999999999995</v>
      </c>
      <c r="DI716" s="69">
        <f t="shared" si="1303"/>
        <v>2.0626719212849295E-2</v>
      </c>
      <c r="EB716"/>
    </row>
    <row r="717" spans="1:132" s="160" customFormat="1" ht="21">
      <c r="A717" s="160" t="s">
        <v>201</v>
      </c>
      <c r="B717" s="161" t="s">
        <v>201</v>
      </c>
      <c r="C717" s="161">
        <v>4057131</v>
      </c>
      <c r="D717" s="161" t="s">
        <v>200</v>
      </c>
      <c r="E717" s="161"/>
      <c r="F717" s="161"/>
      <c r="G717" s="161" t="s">
        <v>128</v>
      </c>
      <c r="H717" s="162">
        <v>2012</v>
      </c>
      <c r="I717" s="163"/>
      <c r="J717" s="159">
        <f>IFERROR(INDEX('Labor Expenditures'!$F$7:$X$91,MATCH($C717,'Labor Expenditures'!$D$7:$D$91,0),MATCH($G717,'Labor Expenditures'!$F$5:$X$5,0)),"NA")</f>
        <v>84205.961880325092</v>
      </c>
      <c r="K717" s="159">
        <f t="shared" si="1304"/>
        <v>674.727258656451</v>
      </c>
      <c r="L717" s="165">
        <f t="shared" si="1311"/>
        <v>-3.7321767636782757E-2</v>
      </c>
      <c r="M717" s="76">
        <f t="shared" si="1315"/>
        <v>-1.4316262407834371E-3</v>
      </c>
      <c r="N717" s="62">
        <f t="shared" si="1321"/>
        <v>115.43796712844622</v>
      </c>
      <c r="O717" s="96">
        <f t="shared" si="1316"/>
        <v>-5.7955028815039724E-3</v>
      </c>
      <c r="P717" s="96"/>
      <c r="Q717" s="159">
        <f>IFERROR(INDEX('Non-Labor Expenditures'!$F$7:$AB$91,MATCH($C717,'Non-Labor Expenditures'!$D$7:$D$91,0),MATCH($G717,'Non-Labor Expenditures'!$F$5:$AB$5,0)),"NA")</f>
        <v>121945.96030694597</v>
      </c>
      <c r="R717" s="159">
        <f t="shared" si="1305"/>
        <v>1219.4596030694597</v>
      </c>
      <c r="S717" s="165">
        <f t="shared" si="1317"/>
        <v>-2.4426768213656375E-2</v>
      </c>
      <c r="T717" s="165">
        <f t="shared" si="1318"/>
        <v>-9.3698676580742312E-4</v>
      </c>
      <c r="U717" s="165"/>
      <c r="V717" s="165"/>
      <c r="W717" s="159">
        <f t="shared" si="1285"/>
        <v>204060.63671473888</v>
      </c>
      <c r="X717" s="163"/>
      <c r="Y717" s="167">
        <v>9268.9481390541241</v>
      </c>
      <c r="Z717" s="168">
        <v>1.5601910254670668E-2</v>
      </c>
      <c r="AA717" s="76">
        <f t="shared" si="1306"/>
        <v>5.9847390788964679E-4</v>
      </c>
      <c r="AB717" s="168"/>
      <c r="AC717" s="168"/>
      <c r="AD717" s="163">
        <f t="shared" si="1281"/>
        <v>410212.55890200997</v>
      </c>
      <c r="AE717" s="168">
        <f t="shared" si="1319"/>
        <v>4.2291467321575606E-2</v>
      </c>
      <c r="AF717" s="163"/>
      <c r="AG717" s="163"/>
      <c r="AH717" s="163"/>
      <c r="AI717" s="163"/>
      <c r="AJ717" s="116">
        <f t="shared" si="1320"/>
        <v>187.4932566663924</v>
      </c>
      <c r="AK717" s="114">
        <f>+AV717/$AX$17</f>
        <v>6.1262133016238528E-2</v>
      </c>
      <c r="AL717" s="115">
        <f t="shared" si="1307"/>
        <v>0.20527397334131814</v>
      </c>
      <c r="AM717" s="115">
        <f t="shared" si="1308"/>
        <v>0.29727505328786374</v>
      </c>
      <c r="AN717" s="115">
        <f t="shared" si="1309"/>
        <v>0.49745097337081801</v>
      </c>
      <c r="AO717" s="115">
        <f t="shared" si="1312"/>
        <v>-7.7170296711721537E-3</v>
      </c>
      <c r="AP717" s="166">
        <f t="shared" si="1323"/>
        <v>109.0383810000065</v>
      </c>
      <c r="AQ717" s="168">
        <f t="shared" si="1324"/>
        <v>-7.7170296711721199E-3</v>
      </c>
      <c r="AR717" s="69">
        <f>+AD717/$AF$17</f>
        <v>3.8359014897581825E-2</v>
      </c>
      <c r="AS717" s="169">
        <f t="shared" si="1322"/>
        <v>-2.9601765612157231E-4</v>
      </c>
      <c r="AT717" s="115"/>
      <c r="AU717" s="115"/>
      <c r="AV717" s="113">
        <f>IFERROR(INDEX('Total Customers'!$F$7:$AB$91,MATCH($C717,'Total Customers'!$D$7:$D$91,0),MATCH($G717,'Total Customers'!$F$5:$AB$5,0)),"NA")</f>
        <v>2187879</v>
      </c>
      <c r="AW717" s="68">
        <f t="shared" si="1301"/>
        <v>1.3680127326523501E-3</v>
      </c>
      <c r="AX717" s="114"/>
      <c r="AY717" s="114"/>
      <c r="AZ717" s="116"/>
      <c r="BA717" s="116"/>
      <c r="BB717" s="166"/>
      <c r="BC717" s="166"/>
      <c r="BD717" s="166"/>
      <c r="BE717" s="166"/>
      <c r="BF717" s="166"/>
      <c r="BG717" s="166"/>
      <c r="BH717" s="166"/>
      <c r="BI717" s="113"/>
      <c r="BJ717" s="113"/>
      <c r="BK717" s="113">
        <f>INDEX('Dist. Plant Gas Additions'!$F$7:$AE$91,MATCH($C717,'Dist. Plant Gas Additions'!$D$7:$D$91,0),MATCH(Calculation!$G717,'Dist. Plant Gas Additions'!$F$5:$AE$5,0))</f>
        <v>111344</v>
      </c>
      <c r="BL717" s="113">
        <f>INDEX('Gen. Plant Additions'!$F$7:$AE$91,MATCH($C717,'Gen. Plant Additions'!$D$7:$D$91,0),MATCH(Calculation!$G717,'Gen. Plant Additions'!$F$5:$AE$5,0))</f>
        <v>30621</v>
      </c>
      <c r="BM717" s="231">
        <f t="shared" si="1286"/>
        <v>0.92189426011617603</v>
      </c>
      <c r="BN717" s="61">
        <f t="shared" si="1310"/>
        <v>28229.324139017426</v>
      </c>
      <c r="BO717" s="113">
        <f>INDEX('Dist Plant Depreciation'!$E$7:$AD$94,MATCH($C717,'Dist Plant Depreciation'!$D$7:$D$94,0),MATCH(Calculation!$G717,'Dist Plant Depreciation'!$E$5:$AD$5,0))</f>
        <v>2116200</v>
      </c>
      <c r="BP717" s="113">
        <f>INDEX('Gen. Plant Depreciation'!$E$7:$AD$94,MATCH($C717,'Gen. Plant Depreciation'!$D$7:$D$94,0),MATCH(Calculation!$G717,'Gen. Plant Depreciation'!$E$5:$AD$5,0))</f>
        <v>208885</v>
      </c>
      <c r="BQ717" s="113"/>
      <c r="BR717" s="113"/>
      <c r="BS717" s="113"/>
      <c r="BT717" s="113"/>
      <c r="BU717" s="113"/>
      <c r="BV717" s="113"/>
      <c r="BW717" s="113">
        <f>INDEX('Gross Dx Plant'!$E$7:$AD$91,MATCH($C717,'Gross Dx Plant'!$D$7:$D$91,0),MATCH(Calculation!$G717,'Gross Dx Plant'!$E$5:$AD$5,0))</f>
        <v>3511380</v>
      </c>
      <c r="BX717" s="113">
        <f>INDEX('Gross Gen Plant'!$E$7:$AD$91,MATCH($C717,'Gross Gen Plant'!$D$7:$D$91,0),MATCH(Calculation!$G717,'Gross Gen Plant'!$E$5:$AD$5,0))</f>
        <v>297495</v>
      </c>
      <c r="BY717" s="113">
        <f t="shared" si="1196"/>
        <v>1483790</v>
      </c>
      <c r="BZ717" s="113"/>
      <c r="CA717" s="116">
        <v>2012</v>
      </c>
      <c r="CB717" s="113"/>
      <c r="CC717" s="113"/>
      <c r="CD717" s="113"/>
      <c r="CE717" s="175"/>
      <c r="CF717" s="113">
        <f t="shared" si="1287"/>
        <v>141965</v>
      </c>
      <c r="CG717" s="113">
        <f t="shared" si="1288"/>
        <v>212.23037712774914</v>
      </c>
      <c r="CH717" s="178">
        <v>0.9135802469135802</v>
      </c>
      <c r="CI717" s="61">
        <f>+CI703*CH717+CG704*CH716+CG705*CH715+CG706*CH714+CG707*CH713+CG708*CH712+CG709*CH711+CG710*CH710+CG711*CH709+CG712*CH708+CG713*CH707+CG714*CH706+CG715*CH705+CG716*CH704+CG717</f>
        <v>9268.9481390541241</v>
      </c>
      <c r="CJ717" s="114">
        <f t="shared" si="1289"/>
        <v>1.5601910254670668E-2</v>
      </c>
      <c r="CK717" s="114"/>
      <c r="CL717" s="169">
        <f t="shared" si="1290"/>
        <v>7.5327029546863556E-3</v>
      </c>
      <c r="CM717" s="169">
        <f t="shared" si="1298"/>
        <v>7.2818440493386391E-3</v>
      </c>
      <c r="CN717" s="114">
        <f>VLOOKUP($H717,RoR!$E:$F,2,FALSE)</f>
        <v>3.6733333333333333E-2</v>
      </c>
      <c r="CO717" s="169">
        <v>1.924331376386168E-2</v>
      </c>
      <c r="CP717" s="169">
        <f t="shared" si="1296"/>
        <v>1.7490019569471653E-2</v>
      </c>
      <c r="CQ717" s="169">
        <f t="shared" si="1299"/>
        <v>2.3620097559194985E-2</v>
      </c>
      <c r="CR717" s="169">
        <f t="shared" si="1300"/>
        <v>6.7122682943869583E-2</v>
      </c>
      <c r="CS717" s="179">
        <f t="shared" si="1291"/>
        <v>0.85171695000000003</v>
      </c>
      <c r="CT717" s="180">
        <f t="shared" si="1292"/>
        <v>1.3960631020522127</v>
      </c>
      <c r="CU717" s="180">
        <f t="shared" si="1293"/>
        <v>0.29441923774954631</v>
      </c>
      <c r="CV717" s="180">
        <f t="shared" si="1294"/>
        <v>0.76377954189366437</v>
      </c>
      <c r="CW717" s="180">
        <f t="shared" si="1295"/>
        <v>0.31393465103033691</v>
      </c>
      <c r="CX717" s="181">
        <f>INDEX('State Tax Lookup'!$D$7:$Z$91,MATCH(Calculation!$C717,'State Tax Lookup'!$B$7:$B$91,0),MATCH($H717,'State Tax Lookup'!$D$6:$Z$6,0))</f>
        <v>0.40076499999999998</v>
      </c>
      <c r="CY717" s="72">
        <v>0.37</v>
      </c>
      <c r="CZ717" s="70">
        <f t="shared" si="1297"/>
        <v>22.361689287151375</v>
      </c>
      <c r="DA717" s="70">
        <v>20.759737328210988</v>
      </c>
      <c r="DB717" s="69">
        <f t="shared" si="1302"/>
        <v>7.6926751743743346E-2</v>
      </c>
      <c r="DC717" s="111">
        <f>VLOOKUP($H717,RoR!$E:$F,2,FALSE)</f>
        <v>3.6733333333333333E-2</v>
      </c>
      <c r="DD717" s="216">
        <f>HLOOKUP($H717,'GDP-PI'!$D$8:$CQ$11,3,FALSE)</f>
        <v>1.924331376386168E-2</v>
      </c>
      <c r="DE717" s="111">
        <f>VLOOKUP(H717,'HW Dx Data'!$E:$F,2,FALSE)</f>
        <v>668.91932211262167</v>
      </c>
      <c r="DF717" s="72">
        <f t="shared" si="1313"/>
        <v>124.80000000000001</v>
      </c>
      <c r="DG717" s="69">
        <f t="shared" si="1314"/>
        <v>3.1955502161869064E-2</v>
      </c>
      <c r="DH717" s="66">
        <f>HLOOKUP(H717,'GDP-PI'!$8:$9,2,FALSE)</f>
        <v>100</v>
      </c>
      <c r="DI717" s="69">
        <f t="shared" si="1303"/>
        <v>1.9060502738742411E-2</v>
      </c>
      <c r="EB717"/>
    </row>
    <row r="718" spans="1:132" s="160" customFormat="1" ht="21">
      <c r="A718" s="160" t="s">
        <v>201</v>
      </c>
      <c r="B718" s="161" t="s">
        <v>201</v>
      </c>
      <c r="C718" s="161">
        <v>4057131</v>
      </c>
      <c r="D718" s="161" t="s">
        <v>200</v>
      </c>
      <c r="E718" s="161"/>
      <c r="F718" s="161"/>
      <c r="G718" s="161" t="s">
        <v>129</v>
      </c>
      <c r="H718" s="162">
        <v>2013</v>
      </c>
      <c r="I718" s="163"/>
      <c r="J718" s="159">
        <f>IFERROR(INDEX('Labor Expenditures'!$F$7:$X$91,MATCH($C718,'Labor Expenditures'!$D$7:$D$91,0),MATCH($G718,'Labor Expenditures'!$F$5:$X$5,0)),"NA")</f>
        <v>91947.353295889945</v>
      </c>
      <c r="K718" s="159">
        <f t="shared" si="1304"/>
        <v>725.13685564581976</v>
      </c>
      <c r="L718" s="165">
        <f t="shared" si="1311"/>
        <v>7.2051855480480931E-2</v>
      </c>
      <c r="M718" s="76">
        <f t="shared" si="1315"/>
        <v>2.7840811618278071E-3</v>
      </c>
      <c r="N718" s="62">
        <f t="shared" si="1321"/>
        <v>107.84727376842238</v>
      </c>
      <c r="O718" s="96">
        <f t="shared" si="1316"/>
        <v>-6.8017210020747704E-2</v>
      </c>
      <c r="P718" s="96"/>
      <c r="Q718" s="159">
        <f>IFERROR(INDEX('Non-Labor Expenditures'!$F$7:$AB$91,MATCH($C718,'Non-Labor Expenditures'!$D$7:$D$91,0),MATCH($G718,'Non-Labor Expenditures'!$F$5:$AB$5,0)),"NA")</f>
        <v>133156.94096915462</v>
      </c>
      <c r="R718" s="159">
        <f t="shared" si="1305"/>
        <v>1308.3719745822038</v>
      </c>
      <c r="S718" s="165">
        <f t="shared" si="1317"/>
        <v>7.0375784531768695E-2</v>
      </c>
      <c r="T718" s="165">
        <f t="shared" si="1318"/>
        <v>2.7193178393140559E-3</v>
      </c>
      <c r="U718" s="165"/>
      <c r="V718" s="165"/>
      <c r="W718" s="159">
        <f t="shared" si="1285"/>
        <v>203460.57810297643</v>
      </c>
      <c r="X718" s="163"/>
      <c r="Y718" s="167">
        <v>9410.9125222173843</v>
      </c>
      <c r="Z718" s="168">
        <v>1.5200018781876323E-2</v>
      </c>
      <c r="AA718" s="76">
        <f t="shared" si="1306"/>
        <v>5.8732819117357537E-4</v>
      </c>
      <c r="AB718" s="168"/>
      <c r="AC718" s="168"/>
      <c r="AD718" s="163">
        <f t="shared" si="1281"/>
        <v>428564.872368021</v>
      </c>
      <c r="AE718" s="168">
        <f t="shared" si="1319"/>
        <v>4.3766658966943331E-2</v>
      </c>
      <c r="AF718" s="163"/>
      <c r="AG718" s="163"/>
      <c r="AH718" s="163"/>
      <c r="AI718" s="163"/>
      <c r="AJ718" s="116">
        <f t="shared" si="1320"/>
        <v>195.21625063339837</v>
      </c>
      <c r="AK718" s="114">
        <f>+AV718/$AX$18</f>
        <v>6.1079104408845335E-2</v>
      </c>
      <c r="AL718" s="115">
        <f t="shared" si="1307"/>
        <v>0.21454710645750757</v>
      </c>
      <c r="AM718" s="115">
        <f t="shared" si="1308"/>
        <v>0.31070428202246336</v>
      </c>
      <c r="AN718" s="115">
        <f t="shared" si="1309"/>
        <v>0.47474861152002906</v>
      </c>
      <c r="AO718" s="115">
        <f t="shared" si="1312"/>
        <v>4.3906681210482607E-2</v>
      </c>
      <c r="AP718" s="166">
        <f t="shared" si="1323"/>
        <v>113.93255160670722</v>
      </c>
      <c r="AQ718" s="168">
        <f t="shared" si="1324"/>
        <v>4.3906681210482586E-2</v>
      </c>
      <c r="AR718" s="69">
        <f>+AD718/$AF$18</f>
        <v>3.8639964831745706E-2</v>
      </c>
      <c r="AS718" s="169">
        <f t="shared" si="1322"/>
        <v>1.6965526178517171E-3</v>
      </c>
      <c r="AT718" s="115"/>
      <c r="AU718" s="115"/>
      <c r="AV718" s="113">
        <f>IFERROR(INDEX('Total Customers'!$F$7:$AB$91,MATCH($C718,'Total Customers'!$D$7:$D$91,0),MATCH($G718,'Total Customers'!$F$5:$AB$5,0)),"NA")</f>
        <v>2195334</v>
      </c>
      <c r="AW718" s="68">
        <f t="shared" si="1301"/>
        <v>3.4016175752735992E-3</v>
      </c>
      <c r="AX718" s="114"/>
      <c r="AY718" s="114"/>
      <c r="AZ718" s="116"/>
      <c r="BA718" s="116"/>
      <c r="BB718" s="166"/>
      <c r="BC718" s="166"/>
      <c r="BD718" s="166"/>
      <c r="BE718" s="166"/>
      <c r="BF718" s="166"/>
      <c r="BG718" s="166"/>
      <c r="BH718" s="166"/>
      <c r="BI718" s="113"/>
      <c r="BJ718" s="113"/>
      <c r="BK718" s="113">
        <f>INDEX('Dist. Plant Gas Additions'!$F$7:$AE$91,MATCH($C718,'Dist. Plant Gas Additions'!$D$7:$D$91,0),MATCH(Calculation!$G718,'Dist. Plant Gas Additions'!$F$5:$AE$5,0))</f>
        <v>127289</v>
      </c>
      <c r="BL718" s="113">
        <f>INDEX('Gen. Plant Additions'!$F$7:$AE$91,MATCH($C718,'Gen. Plant Additions'!$D$7:$D$91,0),MATCH(Calculation!$G718,'Gen. Plant Additions'!$F$5:$AE$5,0))</f>
        <v>14823</v>
      </c>
      <c r="BM718" s="231">
        <f t="shared" si="1286"/>
        <v>0.92541604661344345</v>
      </c>
      <c r="BN718" s="61">
        <f t="shared" si="1310"/>
        <v>13717.442058951072</v>
      </c>
      <c r="BO718" s="113">
        <f>INDEX('Dist Plant Depreciation'!$E$7:$AD$94,MATCH($C718,'Dist Plant Depreciation'!$D$7:$D$94,0),MATCH(Calculation!$G718,'Dist Plant Depreciation'!$E$5:$AD$5,0))</f>
        <v>2349285</v>
      </c>
      <c r="BP718" s="113">
        <f>INDEX('Gen. Plant Depreciation'!$E$7:$AD$94,MATCH($C718,'Gen. Plant Depreciation'!$D$7:$D$94,0),MATCH(Calculation!$G718,'Gen. Plant Depreciation'!$E$5:$AD$5,0))</f>
        <v>155472</v>
      </c>
      <c r="BQ718" s="113"/>
      <c r="BR718" s="113"/>
      <c r="BS718" s="113"/>
      <c r="BT718" s="113"/>
      <c r="BU718" s="113"/>
      <c r="BV718" s="113"/>
      <c r="BW718" s="113">
        <f>INDEX('Gross Dx Plant'!$E$7:$AD$91,MATCH($C718,'Gross Dx Plant'!$D$7:$D$91,0),MATCH(Calculation!$G718,'Gross Dx Plant'!$E$5:$AD$5,0))</f>
        <v>3559561</v>
      </c>
      <c r="BX718" s="113">
        <f>INDEX('Gross Gen Plant'!$E$7:$AD$91,MATCH($C718,'Gross Gen Plant'!$D$7:$D$91,0),MATCH(Calculation!$G718,'Gross Gen Plant'!$E$5:$AD$5,0))</f>
        <v>286883</v>
      </c>
      <c r="BY718" s="113">
        <f t="shared" ref="BY718:BY787" si="1325">IF(OR(BO718="NA",BP718="NA"),"NA",(SUM(BW718:BX718)-SUM(BO718:BP718)))</f>
        <v>1341687</v>
      </c>
      <c r="BZ718" s="113"/>
      <c r="CA718" s="116">
        <v>2013</v>
      </c>
      <c r="CB718" s="113"/>
      <c r="CC718" s="113"/>
      <c r="CD718" s="113"/>
      <c r="CE718" s="175"/>
      <c r="CF718" s="113">
        <f t="shared" si="1287"/>
        <v>142112</v>
      </c>
      <c r="CG718" s="113">
        <f t="shared" si="1288"/>
        <v>214.26662894936331</v>
      </c>
      <c r="CH718" s="178">
        <v>0.90566037735849059</v>
      </c>
      <c r="CI718" s="61">
        <f>+CI703*CH718+CG704*CH717+CG705*CH716+CG706*CH715+CG707*CH714+CG708*CH713+CG709*CH712+CG710*CH711+CG711*CH710+CG712*CH709+CG713*CH708+CG714*CH707+CG715*CH706+CG716*CH705+CG717*CH704+CG718</f>
        <v>9410.9125222173843</v>
      </c>
      <c r="CJ718" s="114">
        <f t="shared" si="1289"/>
        <v>1.5200018781876323E-2</v>
      </c>
      <c r="CK718" s="114"/>
      <c r="CL718" s="169">
        <f t="shared" si="1290"/>
        <v>7.8004801301522209E-3</v>
      </c>
      <c r="CM718" s="169">
        <f t="shared" si="1298"/>
        <v>7.5365042540591386E-3</v>
      </c>
      <c r="CN718" s="114">
        <f>VLOOKUP($H718,RoR!$E:$F,2,FALSE)</f>
        <v>4.2350000000000006E-2</v>
      </c>
      <c r="CO718" s="169">
        <v>1.7730000000000024E-2</v>
      </c>
      <c r="CP718" s="169">
        <f t="shared" si="1296"/>
        <v>2.4619999999999982E-2</v>
      </c>
      <c r="CQ718" s="169">
        <f t="shared" si="1299"/>
        <v>2.3365437354474487E-2</v>
      </c>
      <c r="CR718" s="169">
        <f t="shared" si="1300"/>
        <v>5.3376742735721204E-2</v>
      </c>
      <c r="CS718" s="179">
        <f t="shared" si="1291"/>
        <v>0.85171695000000003</v>
      </c>
      <c r="CT718" s="180">
        <f t="shared" si="1292"/>
        <v>1.2109103018193925</v>
      </c>
      <c r="CU718" s="180">
        <f t="shared" si="1293"/>
        <v>0.38468122786304604</v>
      </c>
      <c r="CV718" s="180">
        <f t="shared" si="1294"/>
        <v>0.80969194503422559</v>
      </c>
      <c r="CW718" s="180">
        <f t="shared" si="1295"/>
        <v>0.37716621754800816</v>
      </c>
      <c r="CX718" s="181">
        <f>INDEX('State Tax Lookup'!$D$7:$Z$91,MATCH(Calculation!$C718,'State Tax Lookup'!$B$7:$B$91,0),MATCH($H718,'State Tax Lookup'!$D$6:$Z$6,0))</f>
        <v>0.40076499999999998</v>
      </c>
      <c r="CY718" s="72">
        <v>0.37</v>
      </c>
      <c r="CZ718" s="70">
        <f t="shared" si="1297"/>
        <v>21.950773167637891</v>
      </c>
      <c r="DA718" s="70">
        <v>20.339519021246105</v>
      </c>
      <c r="DB718" s="69">
        <f t="shared" si="1302"/>
        <v>-1.8546832008996275E-2</v>
      </c>
      <c r="DC718" s="111">
        <f>VLOOKUP($H718,RoR!$E:$F,2,FALSE)</f>
        <v>4.2350000000000006E-2</v>
      </c>
      <c r="DD718" s="216">
        <f>HLOOKUP($H718,'GDP-PI'!$D$8:$CQ$11,3,FALSE)</f>
        <v>1.7730000000000024E-2</v>
      </c>
      <c r="DE718" s="111">
        <f>VLOOKUP(H718,'HW Dx Data'!$E:$F,2,FALSE)</f>
        <v>663.24840548821396</v>
      </c>
      <c r="DF718" s="72">
        <f t="shared" si="1313"/>
        <v>126.8</v>
      </c>
      <c r="DG718" s="69">
        <f t="shared" si="1314"/>
        <v>1.5898586067798204E-2</v>
      </c>
      <c r="DH718" s="66">
        <f>HLOOKUP(H718,'GDP-PI'!$8:$9,2,FALSE)</f>
        <v>101.773</v>
      </c>
      <c r="DI718" s="69">
        <f t="shared" si="1303"/>
        <v>1.7574657016510519E-2</v>
      </c>
      <c r="EB718"/>
    </row>
    <row r="719" spans="1:132" s="160" customFormat="1" ht="21">
      <c r="A719" s="160" t="s">
        <v>201</v>
      </c>
      <c r="B719" s="161" t="s">
        <v>201</v>
      </c>
      <c r="C719" s="161">
        <v>4057131</v>
      </c>
      <c r="D719" s="161" t="s">
        <v>200</v>
      </c>
      <c r="E719" s="161"/>
      <c r="F719" s="161"/>
      <c r="G719" s="161" t="s">
        <v>130</v>
      </c>
      <c r="H719" s="162">
        <v>2014</v>
      </c>
      <c r="I719" s="163"/>
      <c r="J719" s="159">
        <f>IFERROR(INDEX('Labor Expenditures'!$F$7:$X$91,MATCH($C719,'Labor Expenditures'!$D$7:$D$91,0),MATCH($G719,'Labor Expenditures'!$F$5:$X$5,0)),"NA")</f>
        <v>88050.747616550449</v>
      </c>
      <c r="K719" s="159">
        <f t="shared" si="1304"/>
        <v>680.45400012790139</v>
      </c>
      <c r="L719" s="165">
        <f t="shared" si="1311"/>
        <v>-6.3600180808770113E-2</v>
      </c>
      <c r="M719" s="76">
        <f t="shared" si="1315"/>
        <v>-2.3826731989178944E-3</v>
      </c>
      <c r="N719" s="62">
        <f t="shared" si="1321"/>
        <v>119.48701708064087</v>
      </c>
      <c r="O719" s="96">
        <f t="shared" si="1316"/>
        <v>0.10249162727039862</v>
      </c>
      <c r="P719" s="96"/>
      <c r="Q719" s="159">
        <f>IFERROR(INDEX('Non-Labor Expenditures'!$F$7:$AB$91,MATCH($C719,'Non-Labor Expenditures'!$D$7:$D$91,0),MATCH($G719,'Non-Labor Expenditures'!$F$5:$AB$5,0)),"NA")</f>
        <v>127513.92815992053</v>
      </c>
      <c r="R719" s="159">
        <f t="shared" si="1305"/>
        <v>1230.2712877354918</v>
      </c>
      <c r="S719" s="165">
        <f t="shared" si="1317"/>
        <v>-6.1548892643351304E-2</v>
      </c>
      <c r="T719" s="165">
        <f t="shared" si="1318"/>
        <v>-2.3058251574053007E-3</v>
      </c>
      <c r="U719" s="165"/>
      <c r="V719" s="165"/>
      <c r="W719" s="159">
        <f t="shared" si="1285"/>
        <v>210945.4026777267</v>
      </c>
      <c r="X719" s="163"/>
      <c r="Y719" s="167">
        <v>9566.2312330710338</v>
      </c>
      <c r="Z719" s="168">
        <v>1.6369394790928034E-2</v>
      </c>
      <c r="AA719" s="76">
        <f t="shared" si="1306"/>
        <v>6.1325168820073749E-4</v>
      </c>
      <c r="AB719" s="168"/>
      <c r="AC719" s="168"/>
      <c r="AD719" s="163">
        <f t="shared" si="1281"/>
        <v>426510.07845419768</v>
      </c>
      <c r="AE719" s="168">
        <f t="shared" si="1319"/>
        <v>-4.8061234097024411E-3</v>
      </c>
      <c r="AF719" s="163"/>
      <c r="AG719" s="163"/>
      <c r="AH719" s="163"/>
      <c r="AI719" s="163"/>
      <c r="AJ719" s="116">
        <f t="shared" si="1320"/>
        <v>194.30292611661076</v>
      </c>
      <c r="AK719" s="114">
        <f>+AV719/$AX$19</f>
        <v>6.0745630966939225E-2</v>
      </c>
      <c r="AL719" s="115">
        <f t="shared" si="1307"/>
        <v>0.20644470568121898</v>
      </c>
      <c r="AM719" s="115">
        <f t="shared" si="1308"/>
        <v>0.29897049237867906</v>
      </c>
      <c r="AN719" s="115">
        <f t="shared" si="1309"/>
        <v>0.49458480194010196</v>
      </c>
      <c r="AO719" s="115">
        <f t="shared" si="1312"/>
        <v>-2.4216280639521685E-2</v>
      </c>
      <c r="AP719" s="166">
        <f t="shared" si="1323"/>
        <v>111.20666755954275</v>
      </c>
      <c r="AQ719" s="168">
        <f t="shared" si="1324"/>
        <v>-2.4216280639521675E-2</v>
      </c>
      <c r="AR719" s="69">
        <f>+AD719/$AF$19</f>
        <v>3.7463308572690993E-2</v>
      </c>
      <c r="AS719" s="169">
        <f t="shared" si="1322"/>
        <v>-9.0722199408128327E-4</v>
      </c>
      <c r="AT719" s="115"/>
      <c r="AU719" s="115"/>
      <c r="AV719" s="113">
        <f>IFERROR(INDEX('Total Customers'!$F$7:$AB$91,MATCH($C719,'Total Customers'!$D$7:$D$91,0),MATCH($G719,'Total Customers'!$F$5:$AB$5,0)),"NA")</f>
        <v>2195078</v>
      </c>
      <c r="AW719" s="68">
        <f t="shared" si="1301"/>
        <v>-1.1661775719006148E-4</v>
      </c>
      <c r="AX719" s="114"/>
      <c r="AY719" s="114"/>
      <c r="AZ719" s="116"/>
      <c r="BA719" s="116"/>
      <c r="BB719" s="166"/>
      <c r="BC719" s="166"/>
      <c r="BD719" s="166"/>
      <c r="BE719" s="166"/>
      <c r="BF719" s="166"/>
      <c r="BG719" s="166"/>
      <c r="BH719" s="166"/>
      <c r="BI719" s="113"/>
      <c r="BJ719" s="113"/>
      <c r="BK719" s="113">
        <f>INDEX('Dist. Plant Gas Additions'!$F$7:$AE$91,MATCH($C719,'Dist. Plant Gas Additions'!$D$7:$D$91,0),MATCH(Calculation!$G719,'Dist. Plant Gas Additions'!$F$5:$AE$5,0))</f>
        <v>138561</v>
      </c>
      <c r="BL719" s="113">
        <f>INDEX('Gen. Plant Additions'!$F$7:$AE$91,MATCH($C719,'Gen. Plant Additions'!$D$7:$D$91,0),MATCH(Calculation!$G719,'Gen. Plant Additions'!$F$5:$AE$5,0))</f>
        <v>19802</v>
      </c>
      <c r="BM719" s="231">
        <f t="shared" si="1286"/>
        <v>0.92637557667645953</v>
      </c>
      <c r="BN719" s="61">
        <f t="shared" si="1310"/>
        <v>18344.089169347251</v>
      </c>
      <c r="BO719" s="113">
        <f>INDEX('Dist Plant Depreciation'!$E$7:$AD$94,MATCH($C719,'Dist Plant Depreciation'!$D$7:$D$94,0),MATCH(Calculation!$G719,'Dist Plant Depreciation'!$E$5:$AD$5,0))</f>
        <v>2423803</v>
      </c>
      <c r="BP719" s="113">
        <f>INDEX('Gen. Plant Depreciation'!$E$7:$AD$94,MATCH($C719,'Gen. Plant Depreciation'!$D$7:$D$94,0),MATCH(Calculation!$G719,'Gen. Plant Depreciation'!$E$5:$AD$5,0))</f>
        <v>158457</v>
      </c>
      <c r="BQ719" s="113"/>
      <c r="BR719" s="113"/>
      <c r="BS719" s="113"/>
      <c r="BT719" s="113"/>
      <c r="BU719" s="113"/>
      <c r="BV719" s="113"/>
      <c r="BW719" s="113">
        <f>INDEX('Gross Dx Plant'!$E$7:$AD$91,MATCH($C719,'Gross Dx Plant'!$D$7:$D$91,0),MATCH(Calculation!$G719,'Gross Dx Plant'!$E$5:$AD$5,0))</f>
        <v>3687702</v>
      </c>
      <c r="BX719" s="113">
        <f>INDEX('Gross Gen Plant'!$E$7:$AD$91,MATCH($C719,'Gross Gen Plant'!$D$7:$D$91,0),MATCH(Calculation!$G719,'Gross Gen Plant'!$E$5:$AD$5,0))</f>
        <v>293083</v>
      </c>
      <c r="BY719" s="113">
        <f t="shared" si="1325"/>
        <v>1398525</v>
      </c>
      <c r="BZ719" s="113"/>
      <c r="CA719" s="116">
        <v>2014</v>
      </c>
      <c r="CB719" s="113"/>
      <c r="CC719" s="113"/>
      <c r="CD719" s="113"/>
      <c r="CE719" s="175"/>
      <c r="CF719" s="113">
        <f t="shared" si="1287"/>
        <v>158363</v>
      </c>
      <c r="CG719" s="113">
        <f t="shared" si="1288"/>
        <v>231.366164061841</v>
      </c>
      <c r="CH719" s="178">
        <v>0.89743589743589747</v>
      </c>
      <c r="CI719" s="61">
        <f>+CI703*CH719+CG704*CH718+CG705*CH717+CG706*CH716+CG707*CH715+CG708*CH714+CG709*CH713+CG710*CH712+CG711*CH711+CG712*CH710+CG713*CH709+CG714*CH708+CG715*CH707+CG716*CH706+CG717*CH705+CG718*CH704+CG719</f>
        <v>9566.2312330710338</v>
      </c>
      <c r="CJ719" s="114">
        <f t="shared" si="1289"/>
        <v>1.6369394790928034E-2</v>
      </c>
      <c r="CK719" s="114"/>
      <c r="CL719" s="169">
        <f t="shared" si="1290"/>
        <v>8.0807735730895267E-3</v>
      </c>
      <c r="CM719" s="169">
        <f t="shared" si="1298"/>
        <v>7.804652219309368E-3</v>
      </c>
      <c r="CN719" s="114">
        <f>VLOOKUP($H719,RoR!$E:$F,2,FALSE)</f>
        <v>4.1625000000000002E-2</v>
      </c>
      <c r="CO719" s="169">
        <v>1.841352814597208E-2</v>
      </c>
      <c r="CP719" s="169">
        <f t="shared" si="1296"/>
        <v>2.3211471854027922E-2</v>
      </c>
      <c r="CQ719" s="169">
        <f t="shared" si="1299"/>
        <v>2.3097289389224257E-2</v>
      </c>
      <c r="CR719" s="169">
        <f t="shared" si="1300"/>
        <v>3.9072621432650924E-2</v>
      </c>
      <c r="CS719" s="179">
        <f t="shared" si="1291"/>
        <v>0.85171695000000003</v>
      </c>
      <c r="CT719" s="180">
        <f t="shared" si="1292"/>
        <v>1.2320012320012319</v>
      </c>
      <c r="CU719" s="180">
        <f t="shared" si="1293"/>
        <v>0.37439939939939942</v>
      </c>
      <c r="CV719" s="180">
        <f t="shared" si="1294"/>
        <v>0.80432100613819935</v>
      </c>
      <c r="CW719" s="180">
        <f t="shared" si="1295"/>
        <v>0.37100152660040037</v>
      </c>
      <c r="CX719" s="181">
        <f>INDEX('State Tax Lookup'!$D$7:$Z$91,MATCH(Calculation!$C719,'State Tax Lookup'!$B$7:$B$91,0),MATCH($H719,'State Tax Lookup'!$D$6:$Z$6,0))</f>
        <v>0.40076499999999998</v>
      </c>
      <c r="CY719" s="72">
        <v>0.37</v>
      </c>
      <c r="CZ719" s="70">
        <f t="shared" si="1297"/>
        <v>22.414978587860052</v>
      </c>
      <c r="DA719" s="70">
        <v>20.763592984765573</v>
      </c>
      <c r="DB719" s="69">
        <f t="shared" si="1302"/>
        <v>2.0927059408523085E-2</v>
      </c>
      <c r="DC719" s="111">
        <f>VLOOKUP($H719,RoR!$E:$F,2,FALSE)</f>
        <v>4.1625000000000002E-2</v>
      </c>
      <c r="DD719" s="216">
        <f>HLOOKUP($H719,'GDP-PI'!$D$8:$CQ$11,3,FALSE)</f>
        <v>1.841352814597208E-2</v>
      </c>
      <c r="DE719" s="111">
        <f>VLOOKUP(H719,'HW Dx Data'!$E:$F,2,FALSE)</f>
        <v>684.46914285042885</v>
      </c>
      <c r="DF719" s="72">
        <f t="shared" si="1313"/>
        <v>129.4</v>
      </c>
      <c r="DG719" s="69">
        <f t="shared" si="1314"/>
        <v>2.0297340063674733E-2</v>
      </c>
      <c r="DH719" s="66">
        <f>HLOOKUP(H719,'GDP-PI'!$8:$9,2,FALSE)</f>
        <v>103.64700000000001</v>
      </c>
      <c r="DI719" s="69">
        <f t="shared" si="1303"/>
        <v>1.8246051898256087E-2</v>
      </c>
      <c r="EB719"/>
    </row>
    <row r="720" spans="1:132" s="160" customFormat="1" ht="21">
      <c r="A720" s="160" t="s">
        <v>201</v>
      </c>
      <c r="B720" s="161" t="s">
        <v>201</v>
      </c>
      <c r="C720" s="161">
        <v>4057131</v>
      </c>
      <c r="D720" s="161" t="s">
        <v>200</v>
      </c>
      <c r="E720" s="161"/>
      <c r="F720" s="161"/>
      <c r="G720" s="161" t="s">
        <v>132</v>
      </c>
      <c r="H720" s="162">
        <v>2015</v>
      </c>
      <c r="I720" s="163"/>
      <c r="J720" s="159">
        <f>IFERROR(INDEX('Labor Expenditures'!$F$7:$X$91,MATCH($C720,'Labor Expenditures'!$D$7:$D$91,0),MATCH($G720,'Labor Expenditures'!$F$5:$X$5,0)),"NA")</f>
        <v>91111.757839461323</v>
      </c>
      <c r="K720" s="159">
        <f t="shared" si="1304"/>
        <v>682.48507744914843</v>
      </c>
      <c r="L720" s="165">
        <f t="shared" si="1311"/>
        <v>2.9804396369146904E-3</v>
      </c>
      <c r="M720" s="76">
        <f t="shared" si="1315"/>
        <v>1.1214936044875328E-4</v>
      </c>
      <c r="N720" s="62">
        <f t="shared" si="1321"/>
        <v>118.37531209094718</v>
      </c>
      <c r="O720" s="96">
        <f t="shared" si="1316"/>
        <v>-9.3475338300462191E-3</v>
      </c>
      <c r="P720" s="96"/>
      <c r="Q720" s="159">
        <f>IFERROR(INDEX('Non-Labor Expenditures'!$F$7:$AB$91,MATCH($C720,'Non-Labor Expenditures'!$D$7:$D$91,0),MATCH($G720,'Non-Labor Expenditures'!$F$5:$AB$5,0)),"NA")</f>
        <v>131946.84268054261</v>
      </c>
      <c r="R720" s="159">
        <f t="shared" si="1305"/>
        <v>1260.9719385749349</v>
      </c>
      <c r="S720" s="165">
        <f t="shared" si="1317"/>
        <v>2.4648099224975604E-2</v>
      </c>
      <c r="T720" s="165">
        <f t="shared" si="1318"/>
        <v>9.2747007190521649E-4</v>
      </c>
      <c r="U720" s="165"/>
      <c r="V720" s="165"/>
      <c r="W720" s="159">
        <f t="shared" si="1285"/>
        <v>209567.76736890004</v>
      </c>
      <c r="X720" s="163"/>
      <c r="Y720" s="167">
        <v>9929.7219930261072</v>
      </c>
      <c r="Z720" s="168">
        <v>3.7293163636325066E-2</v>
      </c>
      <c r="AA720" s="76">
        <f t="shared" si="1306"/>
        <v>1.40328440110739E-3</v>
      </c>
      <c r="AB720" s="168"/>
      <c r="AC720" s="168"/>
      <c r="AD720" s="163">
        <f t="shared" si="1281"/>
        <v>432626.36788890394</v>
      </c>
      <c r="AE720" s="168">
        <f t="shared" si="1319"/>
        <v>1.4238466525328142E-2</v>
      </c>
      <c r="AF720" s="163"/>
      <c r="AG720" s="163"/>
      <c r="AH720" s="163"/>
      <c r="AI720" s="163"/>
      <c r="AJ720" s="116">
        <f t="shared" si="1320"/>
        <v>196.80391358847012</v>
      </c>
      <c r="AK720" s="114">
        <f>+AV720/$AX$20</f>
        <v>6.033905865994902E-2</v>
      </c>
      <c r="AL720" s="115">
        <f t="shared" si="1307"/>
        <v>0.2106014903438764</v>
      </c>
      <c r="AM720" s="115">
        <f t="shared" si="1308"/>
        <v>0.30499029295048846</v>
      </c>
      <c r="AN720" s="115">
        <f t="shared" si="1309"/>
        <v>0.48440821670563522</v>
      </c>
      <c r="AO720" s="115">
        <f t="shared" si="1312"/>
        <v>2.6319606610510256E-2</v>
      </c>
      <c r="AP720" s="166">
        <f t="shared" si="1323"/>
        <v>114.17244109590014</v>
      </c>
      <c r="AQ720" s="168">
        <f t="shared" si="1324"/>
        <v>2.6319606610510214E-2</v>
      </c>
      <c r="AR720" s="69">
        <f>+AD720/$AF$20</f>
        <v>3.7628462277749311E-2</v>
      </c>
      <c r="AS720" s="169">
        <f t="shared" si="1322"/>
        <v>9.9036632450878498E-4</v>
      </c>
      <c r="AT720" s="115"/>
      <c r="AU720" s="115"/>
      <c r="AV720" s="113">
        <f>IFERROR(INDEX('Total Customers'!$F$7:$AB$91,MATCH($C720,'Total Customers'!$D$7:$D$91,0),MATCH($G720,'Total Customers'!$F$5:$AB$5,0)),"NA")</f>
        <v>2198261</v>
      </c>
      <c r="AW720" s="68">
        <f t="shared" si="1301"/>
        <v>1.4490120416059569E-3</v>
      </c>
      <c r="AX720" s="114"/>
      <c r="AY720" s="114"/>
      <c r="AZ720" s="116"/>
      <c r="BA720" s="116"/>
      <c r="BB720" s="166"/>
      <c r="BC720" s="166"/>
      <c r="BD720" s="166"/>
      <c r="BE720" s="166"/>
      <c r="BF720" s="166"/>
      <c r="BG720" s="166"/>
      <c r="BH720" s="166"/>
      <c r="BI720" s="113"/>
      <c r="BJ720" s="113"/>
      <c r="BK720" s="113">
        <f>INDEX('Dist. Plant Gas Additions'!$F$7:$AE$91,MATCH($C720,'Dist. Plant Gas Additions'!$D$7:$D$91,0),MATCH(Calculation!$G720,'Dist. Plant Gas Additions'!$F$5:$AE$5,0))</f>
        <v>250988</v>
      </c>
      <c r="BL720" s="113">
        <f>INDEX('Gen. Plant Additions'!$F$7:$AE$91,MATCH($C720,'Gen. Plant Additions'!$D$7:$D$91,0),MATCH(Calculation!$G720,'Gen. Plant Additions'!$F$5:$AE$5,0))</f>
        <v>48683</v>
      </c>
      <c r="BM720" s="231">
        <f t="shared" si="1286"/>
        <v>0.92463474595975159</v>
      </c>
      <c r="BN720" s="61">
        <f t="shared" si="1310"/>
        <v>45013.99333755859</v>
      </c>
      <c r="BO720" s="113">
        <f>INDEX('Dist Plant Depreciation'!$E$7:$AD$94,MATCH($C720,'Dist Plant Depreciation'!$D$7:$D$94,0),MATCH(Calculation!$G720,'Dist Plant Depreciation'!$E$5:$AD$5,0))</f>
        <v>2471127</v>
      </c>
      <c r="BP720" s="113">
        <f>INDEX('Gen. Plant Depreciation'!$E$7:$AD$94,MATCH($C720,'Gen. Plant Depreciation'!$D$7:$D$94,0),MATCH(Calculation!$G720,'Gen. Plant Depreciation'!$E$5:$AD$5,0))</f>
        <v>157151</v>
      </c>
      <c r="BQ720" s="113"/>
      <c r="BR720" s="113"/>
      <c r="BS720" s="113"/>
      <c r="BT720" s="113"/>
      <c r="BU720" s="113"/>
      <c r="BV720" s="113"/>
      <c r="BW720" s="113">
        <f>INDEX('Gross Dx Plant'!$E$7:$AD$91,MATCH($C720,'Gross Dx Plant'!$D$7:$D$91,0),MATCH(Calculation!$G720,'Gross Dx Plant'!$E$5:$AD$5,0))</f>
        <v>3917155</v>
      </c>
      <c r="BX720" s="113">
        <f>INDEX('Gross Gen Plant'!$E$7:$AD$91,MATCH($C720,'Gross Gen Plant'!$D$7:$D$91,0),MATCH(Calculation!$G720,'Gross Gen Plant'!$E$5:$AD$5,0))</f>
        <v>319280</v>
      </c>
      <c r="BY720" s="113">
        <f t="shared" si="1325"/>
        <v>1608157</v>
      </c>
      <c r="BZ720" s="113"/>
      <c r="CA720" s="116">
        <v>2015</v>
      </c>
      <c r="CB720" s="113"/>
      <c r="CC720" s="113"/>
      <c r="CD720" s="113"/>
      <c r="CE720" s="175"/>
      <c r="CF720" s="113">
        <f t="shared" si="1287"/>
        <v>299671</v>
      </c>
      <c r="CG720" s="113">
        <f t="shared" si="1288"/>
        <v>443.55315193648664</v>
      </c>
      <c r="CH720" s="178">
        <v>0.88888888888888884</v>
      </c>
      <c r="CI720" s="61">
        <f>+CI703*CH720+CG704*CH719+CG705*CH718+CG706*CH717+CG707*CH716+CG708*CH715+CG709*CH714+CG710*CH713+CG711*CH712+CG712*CH711+CG713*CH710+CG714*CH709+CG715*CH708+CG716*CH707+CG717*CH706+CG718*CH705+CG719*CH704+CG720</f>
        <v>9929.7219930261072</v>
      </c>
      <c r="CJ720" s="114">
        <f t="shared" si="1289"/>
        <v>3.7293163636325066E-2</v>
      </c>
      <c r="CK720" s="114"/>
      <c r="CL720" s="169">
        <f t="shared" si="1290"/>
        <v>8.3692720812176061E-3</v>
      </c>
      <c r="CM720" s="169">
        <f t="shared" si="1298"/>
        <v>8.0835085948197851E-3</v>
      </c>
      <c r="CN720" s="114">
        <f>VLOOKUP($H720,RoR!$E:$F,2,FALSE)</f>
        <v>3.8866666666666674E-2</v>
      </c>
      <c r="CO720" s="169">
        <v>9.5709475431029478E-3</v>
      </c>
      <c r="CP720" s="169">
        <f t="shared" si="1296"/>
        <v>2.9295719123563727E-2</v>
      </c>
      <c r="CQ720" s="169">
        <f t="shared" si="1299"/>
        <v>2.2818433013713842E-2</v>
      </c>
      <c r="CR720" s="169">
        <f t="shared" si="1300"/>
        <v>3.5270373279175926E-3</v>
      </c>
      <c r="CS720" s="179">
        <f t="shared" si="1291"/>
        <v>0.85171695000000003</v>
      </c>
      <c r="CT720" s="180">
        <f t="shared" si="1292"/>
        <v>1.3194352816994324</v>
      </c>
      <c r="CU720" s="180">
        <f t="shared" si="1293"/>
        <v>0.33177530017152673</v>
      </c>
      <c r="CV720" s="180">
        <f t="shared" si="1294"/>
        <v>0.78242572977668579</v>
      </c>
      <c r="CW720" s="180">
        <f t="shared" si="1295"/>
        <v>0.34251158643433932</v>
      </c>
      <c r="CX720" s="181">
        <f>INDEX('State Tax Lookup'!$D$7:$Z$91,MATCH(Calculation!$C720,'State Tax Lookup'!$B$7:$B$91,0),MATCH($H720,'State Tax Lookup'!$D$6:$Z$6,0))</f>
        <v>0.40076499999999998</v>
      </c>
      <c r="CY720" s="72">
        <v>0.37</v>
      </c>
      <c r="CZ720" s="70">
        <f t="shared" si="1297"/>
        <v>21.907035515137007</v>
      </c>
      <c r="DA720" s="70">
        <v>20.279488671080099</v>
      </c>
      <c r="DB720" s="69">
        <f t="shared" si="1302"/>
        <v>-2.2921580717906894E-2</v>
      </c>
      <c r="DC720" s="111">
        <f>VLOOKUP($H720,RoR!$E:$F,2,FALSE)</f>
        <v>3.8866666666666674E-2</v>
      </c>
      <c r="DD720" s="216">
        <f>HLOOKUP($H720,'GDP-PI'!$D$8:$CQ$11,3,FALSE)</f>
        <v>9.5709475431029478E-3</v>
      </c>
      <c r="DE720" s="111">
        <f>VLOOKUP(H720,'HW Dx Data'!$E:$F,2,FALSE)</f>
        <v>675.61463308665782</v>
      </c>
      <c r="DF720" s="72">
        <f t="shared" si="1313"/>
        <v>133.5</v>
      </c>
      <c r="DG720" s="69">
        <f t="shared" si="1314"/>
        <v>3.1193095773504077E-2</v>
      </c>
      <c r="DH720" s="66">
        <f>HLOOKUP(H720,'GDP-PI'!$8:$9,2,FALSE)</f>
        <v>104.639</v>
      </c>
      <c r="DI720" s="69">
        <f t="shared" si="1303"/>
        <v>9.5254361854427965E-3</v>
      </c>
      <c r="EB720"/>
    </row>
    <row r="721" spans="1:132" s="160" customFormat="1" ht="21">
      <c r="A721" s="160" t="s">
        <v>201</v>
      </c>
      <c r="B721" s="161" t="s">
        <v>201</v>
      </c>
      <c r="C721" s="161">
        <v>4057131</v>
      </c>
      <c r="D721" s="161" t="s">
        <v>200</v>
      </c>
      <c r="E721" s="161"/>
      <c r="F721" s="161"/>
      <c r="G721" s="161" t="s">
        <v>133</v>
      </c>
      <c r="H721" s="162">
        <v>2016</v>
      </c>
      <c r="I721" s="163"/>
      <c r="J721" s="159">
        <f>IFERROR(INDEX('Labor Expenditures'!$F$7:$X$91,MATCH($C721,'Labor Expenditures'!$D$7:$D$91,0),MATCH($G721,'Labor Expenditures'!$F$5:$X$5,0)),"NA")</f>
        <v>90403.351230088912</v>
      </c>
      <c r="K721" s="159">
        <f t="shared" si="1304"/>
        <v>660.11939561948827</v>
      </c>
      <c r="L721" s="165">
        <f t="shared" si="1311"/>
        <v>-3.3319941163344406E-2</v>
      </c>
      <c r="M721" s="76">
        <f t="shared" si="1315"/>
        <v>-1.2182265027393909E-3</v>
      </c>
      <c r="N721" s="62">
        <f t="shared" si="1321"/>
        <v>297.75279957968581</v>
      </c>
      <c r="O721" s="96">
        <f t="shared" si="1316"/>
        <v>0.92240342267915099</v>
      </c>
      <c r="P721" s="96"/>
      <c r="Q721" s="159">
        <f>IFERROR(INDEX('Non-Labor Expenditures'!$F$7:$AB$91,MATCH($C721,'Non-Labor Expenditures'!$D$7:$D$91,0),MATCH($G721,'Non-Labor Expenditures'!$F$5:$AB$5,0)),"NA")</f>
        <v>130920.9375980678</v>
      </c>
      <c r="R721" s="159">
        <f t="shared" si="1305"/>
        <v>1238.186971306535</v>
      </c>
      <c r="S721" s="165">
        <f t="shared" si="1317"/>
        <v>-1.8234613661766541E-2</v>
      </c>
      <c r="T721" s="165">
        <f t="shared" si="1318"/>
        <v>-6.6668453947978416E-4</v>
      </c>
      <c r="U721" s="165"/>
      <c r="V721" s="165"/>
      <c r="W721" s="159">
        <f t="shared" si="1285"/>
        <v>213674.85766675285</v>
      </c>
      <c r="X721" s="163"/>
      <c r="Y721" s="167">
        <v>10255.563334515544</v>
      </c>
      <c r="Z721" s="168">
        <v>3.2287841693048686E-2</v>
      </c>
      <c r="AA721" s="76">
        <f t="shared" si="1306"/>
        <v>1.1804914142524779E-3</v>
      </c>
      <c r="AB721" s="168"/>
      <c r="AC721" s="168"/>
      <c r="AD721" s="163">
        <f t="shared" si="1281"/>
        <v>434999.14649490954</v>
      </c>
      <c r="AE721" s="168">
        <f t="shared" si="1319"/>
        <v>5.4696052204960413E-3</v>
      </c>
      <c r="AF721" s="163"/>
      <c r="AG721" s="163"/>
      <c r="AH721" s="163"/>
      <c r="AI721" s="163"/>
      <c r="AJ721" s="116">
        <f t="shared" si="1320"/>
        <v>197.030025394235</v>
      </c>
      <c r="AK721" s="114">
        <f>+AV721/$AX$21</f>
        <v>6.0076696816658698E-2</v>
      </c>
      <c r="AL721" s="115">
        <f t="shared" si="1307"/>
        <v>0.20782420369909124</v>
      </c>
      <c r="AM721" s="115">
        <f t="shared" si="1308"/>
        <v>0.3009682631632471</v>
      </c>
      <c r="AN721" s="115">
        <f t="shared" si="1309"/>
        <v>0.49120753313766174</v>
      </c>
      <c r="AO721" s="115">
        <f t="shared" si="1312"/>
        <v>3.2545936058331407E-3</v>
      </c>
      <c r="AP721" s="166">
        <f t="shared" si="1323"/>
        <v>114.54463132809651</v>
      </c>
      <c r="AQ721" s="168">
        <f t="shared" si="1324"/>
        <v>3.2545936058330921E-3</v>
      </c>
      <c r="AR721" s="69">
        <f>+AD721/$AF$21</f>
        <v>3.6561484210529571E-2</v>
      </c>
      <c r="AS721" s="169">
        <f t="shared" si="1322"/>
        <v>1.1899277273135709E-4</v>
      </c>
      <c r="AT721" s="115"/>
      <c r="AU721" s="115"/>
      <c r="AV721" s="113">
        <f>IFERROR(INDEX('Total Customers'!$F$7:$AB$91,MATCH($C721,'Total Customers'!$D$7:$D$91,0),MATCH($G721,'Total Customers'!$F$5:$AB$5,0)),"NA")</f>
        <v>2207781</v>
      </c>
      <c r="AW721" s="68">
        <f t="shared" si="1301"/>
        <v>4.321345468210694E-3</v>
      </c>
      <c r="AX721" s="114"/>
      <c r="AY721" s="114"/>
      <c r="AZ721" s="116"/>
      <c r="BA721" s="116"/>
      <c r="BB721" s="166"/>
      <c r="BC721" s="166"/>
      <c r="BD721" s="166"/>
      <c r="BE721" s="166"/>
      <c r="BF721" s="166"/>
      <c r="BG721" s="166"/>
      <c r="BH721" s="166"/>
      <c r="BI721" s="113"/>
      <c r="BJ721" s="113"/>
      <c r="BK721" s="113">
        <f>INDEX('Dist. Plant Gas Additions'!$F$7:$AE$91,MATCH($C721,'Dist. Plant Gas Additions'!$D$7:$D$91,0),MATCH(Calculation!$G721,'Dist. Plant Gas Additions'!$F$5:$AE$5,0))</f>
        <v>239184</v>
      </c>
      <c r="BL721" s="113">
        <f>INDEX('Gen. Plant Additions'!$F$7:$AE$91,MATCH($C721,'Gen. Plant Additions'!$D$7:$D$91,0),MATCH(Calculation!$G721,'Gen. Plant Additions'!$F$5:$AE$5,0))</f>
        <v>36902</v>
      </c>
      <c r="BM721" s="231">
        <f t="shared" si="1286"/>
        <v>0.92595988235813143</v>
      </c>
      <c r="BN721" s="61">
        <f t="shared" si="1310"/>
        <v>34169.771578779764</v>
      </c>
      <c r="BO721" s="113">
        <f>INDEX('Dist Plant Depreciation'!$E$7:$AD$94,MATCH($C721,'Dist Plant Depreciation'!$D$7:$D$94,0),MATCH(Calculation!$G721,'Dist Plant Depreciation'!$E$5:$AD$5,0))</f>
        <v>2524941</v>
      </c>
      <c r="BP721" s="113">
        <f>INDEX('Gen. Plant Depreciation'!$E$7:$AD$94,MATCH($C721,'Gen. Plant Depreciation'!$D$7:$D$94,0),MATCH(Calculation!$G721,'Gen. Plant Depreciation'!$E$5:$AD$5,0))</f>
        <v>150737</v>
      </c>
      <c r="BQ721" s="113"/>
      <c r="BR721" s="113"/>
      <c r="BS721" s="113"/>
      <c r="BT721" s="113"/>
      <c r="BU721" s="113"/>
      <c r="BV721" s="113"/>
      <c r="BW721" s="113">
        <f>INDEX('Gross Dx Plant'!$E$7:$AD$91,MATCH($C721,'Gross Dx Plant'!$D$7:$D$91,0),MATCH(Calculation!$G721,'Gross Dx Plant'!$E$5:$AD$5,0))</f>
        <v>4134797</v>
      </c>
      <c r="BX721" s="113">
        <f>INDEX('Gross Gen Plant'!$E$7:$AD$91,MATCH($C721,'Gross Gen Plant'!$D$7:$D$91,0),MATCH(Calculation!$G721,'Gross Gen Plant'!$E$5:$AD$5,0))</f>
        <v>330620</v>
      </c>
      <c r="BY721" s="113">
        <f t="shared" si="1325"/>
        <v>1789739</v>
      </c>
      <c r="BZ721" s="113"/>
      <c r="CA721" s="116">
        <v>2016</v>
      </c>
      <c r="CB721" s="113"/>
      <c r="CC721" s="113"/>
      <c r="CD721" s="113"/>
      <c r="CE721" s="175"/>
      <c r="CF721" s="113">
        <f t="shared" si="1287"/>
        <v>276086</v>
      </c>
      <c r="CG721" s="113">
        <f t="shared" si="1288"/>
        <v>411.17487676747453</v>
      </c>
      <c r="CH721" s="178">
        <v>0.88</v>
      </c>
      <c r="CI721" s="61">
        <f>+CI703*CH721+CG704*CH720+CG705*CH719+CG706*CH718+CG707*CH717+CG708*CH716+CG709*CH715+CG710*CH714+CG711*CH713+CG712*CH712+CG713*CH711+CG714*CH710+CG715*CH709+CG716*CH708+CG717*CH707+CG718*CH706+CG719*CH705+CG720*CH704+CG721</f>
        <v>10255.563334515544</v>
      </c>
      <c r="CJ721" s="114">
        <f t="shared" si="1289"/>
        <v>3.2287841693048686E-2</v>
      </c>
      <c r="CK721" s="114"/>
      <c r="CL721" s="169">
        <f t="shared" si="1290"/>
        <v>8.5937486807757292E-3</v>
      </c>
      <c r="CM721" s="169">
        <f t="shared" si="1298"/>
        <v>8.3479314450276201E-3</v>
      </c>
      <c r="CN721" s="114">
        <f>VLOOKUP($H721,RoR!$E:$F,2,FALSE)</f>
        <v>3.6658333333333334E-2</v>
      </c>
      <c r="CO721" s="169">
        <v>1.0483662879041455E-2</v>
      </c>
      <c r="CP721" s="169">
        <f t="shared" si="1296"/>
        <v>2.6174670454291879E-2</v>
      </c>
      <c r="CQ721" s="169">
        <f t="shared" si="1299"/>
        <v>2.2554010163506007E-2</v>
      </c>
      <c r="CR721" s="169">
        <f t="shared" si="1300"/>
        <v>4.301363574220729E-3</v>
      </c>
      <c r="CS721" s="179">
        <f t="shared" si="1291"/>
        <v>0.85171695000000003</v>
      </c>
      <c r="CT721" s="180">
        <f t="shared" si="1292"/>
        <v>1.3989193348138562</v>
      </c>
      <c r="CU721" s="180">
        <f t="shared" si="1293"/>
        <v>0.29302682427824522</v>
      </c>
      <c r="CV721" s="180">
        <f t="shared" si="1294"/>
        <v>0.76309497491941802</v>
      </c>
      <c r="CW721" s="180">
        <f t="shared" si="1295"/>
        <v>0.31280857135128509</v>
      </c>
      <c r="CX721" s="181">
        <f>INDEX('State Tax Lookup'!$D$7:$Z$91,MATCH(Calculation!$C721,'State Tax Lookup'!$B$7:$B$91,0),MATCH($H721,'State Tax Lookup'!$D$6:$Z$6,0))</f>
        <v>0.40076499999999998</v>
      </c>
      <c r="CY721" s="72">
        <v>0.37</v>
      </c>
      <c r="CZ721" s="70">
        <f t="shared" si="1297"/>
        <v>21.51871500700846</v>
      </c>
      <c r="DA721" s="70">
        <v>19.909765876209278</v>
      </c>
      <c r="DB721" s="69">
        <f t="shared" si="1302"/>
        <v>-1.7884819689079446E-2</v>
      </c>
      <c r="DC721" s="111">
        <f>VLOOKUP($H721,RoR!$E:$F,2,FALSE)</f>
        <v>3.6658333333333334E-2</v>
      </c>
      <c r="DD721" s="216">
        <f>HLOOKUP($H721,'GDP-PI'!$D$8:$CQ$11,3,FALSE)</f>
        <v>1.0483662879041455E-2</v>
      </c>
      <c r="DE721" s="111">
        <f>VLOOKUP(H721,'HW Dx Data'!$E:$F,2,FALSE)</f>
        <v>671.45639385971219</v>
      </c>
      <c r="DF721" s="72">
        <f t="shared" si="1313"/>
        <v>136.94999999999999</v>
      </c>
      <c r="DG721" s="69">
        <f t="shared" si="1314"/>
        <v>2.5514417868782811E-2</v>
      </c>
      <c r="DH721" s="66">
        <f>HLOOKUP(H721,'GDP-PI'!$8:$9,2,FALSE)</f>
        <v>105.736</v>
      </c>
      <c r="DI721" s="69">
        <f t="shared" si="1303"/>
        <v>1.0429090367205095E-2</v>
      </c>
      <c r="EB721"/>
    </row>
    <row r="722" spans="1:132" s="160" customFormat="1" ht="21">
      <c r="A722" s="160" t="s">
        <v>201</v>
      </c>
      <c r="B722" s="161" t="s">
        <v>201</v>
      </c>
      <c r="C722" s="161">
        <v>4057131</v>
      </c>
      <c r="D722" s="161" t="s">
        <v>200</v>
      </c>
      <c r="E722" s="161"/>
      <c r="F722" s="161"/>
      <c r="G722" s="161" t="s">
        <v>135</v>
      </c>
      <c r="H722" s="162">
        <v>2017</v>
      </c>
      <c r="I722" s="163"/>
      <c r="J722" s="159">
        <f>IFERROR(INDEX('Labor Expenditures'!$F$7:$X$91,MATCH($C722,'Labor Expenditures'!$D$7:$D$91,0),MATCH($G722,'Labor Expenditures'!$F$5:$X$5,0)),"NA")</f>
        <v>89915.426275135251</v>
      </c>
      <c r="K722" s="159">
        <f t="shared" si="1304"/>
        <v>640.19527429786581</v>
      </c>
      <c r="L722" s="165">
        <f t="shared" si="1311"/>
        <v>-3.0647475207680828E-2</v>
      </c>
      <c r="M722" s="76">
        <f t="shared" si="1315"/>
        <v>-1.0847419336724937E-3</v>
      </c>
      <c r="N722" s="62">
        <f t="shared" si="1321"/>
        <v>165.44831224681275</v>
      </c>
      <c r="O722" s="96">
        <f t="shared" si="1316"/>
        <v>-0.58760477731260563</v>
      </c>
      <c r="P722" s="96"/>
      <c r="Q722" s="159">
        <f>IFERROR(INDEX('Non-Labor Expenditures'!$F$7:$AB$91,MATCH($C722,'Non-Labor Expenditures'!$D$7:$D$91,0),MATCH($G722,'Non-Labor Expenditures'!$F$5:$AB$5,0)),"NA")</f>
        <v>130214.33113148401</v>
      </c>
      <c r="R722" s="159">
        <f t="shared" si="1305"/>
        <v>1208.474456213715</v>
      </c>
      <c r="S722" s="165">
        <f t="shared" si="1317"/>
        <v>-2.4289405594260256E-2</v>
      </c>
      <c r="T722" s="165">
        <f t="shared" si="1318"/>
        <v>-8.5970333978670199E-4</v>
      </c>
      <c r="U722" s="165"/>
      <c r="V722" s="165"/>
      <c r="W722" s="159">
        <f t="shared" si="1285"/>
        <v>198964.43205070676</v>
      </c>
      <c r="X722" s="163"/>
      <c r="Y722" s="167">
        <v>10606.417116735422</v>
      </c>
      <c r="Z722" s="168">
        <v>3.3638883631563733E-2</v>
      </c>
      <c r="AA722" s="76">
        <f t="shared" si="1306"/>
        <v>1.1906203506102026E-3</v>
      </c>
      <c r="AB722" s="168"/>
      <c r="AC722" s="168"/>
      <c r="AD722" s="163">
        <f t="shared" si="1281"/>
        <v>419094.18945732602</v>
      </c>
      <c r="AE722" s="168">
        <f t="shared" si="1319"/>
        <v>-3.7248378505879337E-2</v>
      </c>
      <c r="AF722" s="163"/>
      <c r="AG722" s="163"/>
      <c r="AH722" s="163"/>
      <c r="AI722" s="163"/>
      <c r="AJ722" s="116">
        <f t="shared" si="1320"/>
        <v>188.98862826324483</v>
      </c>
      <c r="AK722" s="114">
        <f>+AV722/$AX$22</f>
        <v>5.9889512592347413E-2</v>
      </c>
      <c r="AL722" s="115">
        <f t="shared" si="1307"/>
        <v>0.21454706015266964</v>
      </c>
      <c r="AM722" s="115">
        <f t="shared" si="1308"/>
        <v>0.31070421496440953</v>
      </c>
      <c r="AN722" s="115">
        <f t="shared" si="1309"/>
        <v>0.4747487248829208</v>
      </c>
      <c r="AO722" s="115">
        <f t="shared" si="1312"/>
        <v>2.3459582036562641E-3</v>
      </c>
      <c r="AP722" s="166">
        <f t="shared" si="1323"/>
        <v>114.81366369160014</v>
      </c>
      <c r="AQ722" s="168">
        <f t="shared" si="1324"/>
        <v>2.3459582036561856E-3</v>
      </c>
      <c r="AR722" s="69">
        <f>+AD722/$AF$22</f>
        <v>3.5394169546489662E-2</v>
      </c>
      <c r="AS722" s="169">
        <f t="shared" si="1322"/>
        <v>8.3033242409185365E-5</v>
      </c>
      <c r="AT722" s="115"/>
      <c r="AU722" s="115"/>
      <c r="AV722" s="113">
        <f>IFERROR(INDEX('Total Customers'!$F$7:$AB$91,MATCH($C722,'Total Customers'!$D$7:$D$91,0),MATCH($G722,'Total Customers'!$F$5:$AB$5,0)),"NA")</f>
        <v>2217563</v>
      </c>
      <c r="AW722" s="68">
        <f t="shared" si="1301"/>
        <v>4.4209064569668173E-3</v>
      </c>
      <c r="AX722" s="114"/>
      <c r="AY722" s="114"/>
      <c r="AZ722" s="116"/>
      <c r="BA722" s="116"/>
      <c r="BB722" s="166"/>
      <c r="BC722" s="166"/>
      <c r="BD722" s="166"/>
      <c r="BE722" s="166"/>
      <c r="BF722" s="166"/>
      <c r="BG722" s="166"/>
      <c r="BH722" s="166"/>
      <c r="BI722" s="113"/>
      <c r="BJ722" s="113"/>
      <c r="BK722" s="113">
        <f>INDEX('Dist. Plant Gas Additions'!$F$7:$AE$91,MATCH($C722,'Dist. Plant Gas Additions'!$D$7:$D$91,0),MATCH(Calculation!$G722,'Dist. Plant Gas Additions'!$F$5:$AE$5,0))</f>
        <v>267330</v>
      </c>
      <c r="BL722" s="113">
        <f>INDEX('Gen. Plant Additions'!$F$7:$AE$91,MATCH($C722,'Gen. Plant Additions'!$D$7:$D$91,0),MATCH(Calculation!$G722,'Gen. Plant Additions'!$F$5:$AE$5,0))</f>
        <v>47239</v>
      </c>
      <c r="BM722" s="231">
        <f t="shared" si="1286"/>
        <v>0.92314218210563637</v>
      </c>
      <c r="BN722" s="61">
        <f t="shared" si="1310"/>
        <v>43608.313540488154</v>
      </c>
      <c r="BO722" s="113">
        <f>INDEX('Dist Plant Depreciation'!$E$7:$AD$94,MATCH($C722,'Dist Plant Depreciation'!$D$7:$D$94,0),MATCH(Calculation!$G722,'Dist Plant Depreciation'!$E$5:$AD$5,0))</f>
        <v>2573746</v>
      </c>
      <c r="BP722" s="113">
        <f>INDEX('Gen. Plant Depreciation'!$E$7:$AD$94,MATCH($C722,'Gen. Plant Depreciation'!$D$7:$D$94,0),MATCH(Calculation!$G722,'Gen. Plant Depreciation'!$E$5:$AD$5,0))</f>
        <v>145649</v>
      </c>
      <c r="BQ722" s="113"/>
      <c r="BR722" s="113"/>
      <c r="BS722" s="113"/>
      <c r="BT722" s="113"/>
      <c r="BU722" s="113"/>
      <c r="BV722" s="113"/>
      <c r="BW722" s="113">
        <f>INDEX('Gross Dx Plant'!$E$7:$AD$91,MATCH($C722,'Gross Dx Plant'!$D$7:$D$91,0),MATCH(Calculation!$G722,'Gross Dx Plant'!$E$5:$AD$5,0))</f>
        <v>4371057</v>
      </c>
      <c r="BX722" s="113">
        <f>INDEX('Gross Gen Plant'!$E$7:$AD$91,MATCH($C722,'Gross Gen Plant'!$D$7:$D$91,0),MATCH(Calculation!$G722,'Gross Gen Plant'!$E$5:$AD$5,0))</f>
        <v>363920</v>
      </c>
      <c r="BY722" s="113">
        <f t="shared" si="1325"/>
        <v>2015582</v>
      </c>
      <c r="BZ722" s="113"/>
      <c r="CA722" s="116">
        <v>2017</v>
      </c>
      <c r="CB722" s="113"/>
      <c r="CC722" s="113"/>
      <c r="CD722" s="113"/>
      <c r="CE722" s="175"/>
      <c r="CF722" s="113">
        <f t="shared" si="1287"/>
        <v>314569</v>
      </c>
      <c r="CG722" s="113">
        <f t="shared" si="1288"/>
        <v>441.54460839466969</v>
      </c>
      <c r="CH722" s="178">
        <v>0.87074829931972786</v>
      </c>
      <c r="CI722" s="61">
        <f>+CI703*CH722+CG704*CH721+CG705*CH720+CG706*CH719+CG707*CH718+CG708*CH717+CG709*CH716+CG710*CH715+CG711*CH714+CG712*CH713+CG713*CH712+CG714*CH711+CG715*CH710+CG716*CH709+CG717*CH708+CG718*CH707+CG719*CH706+CG720*CH705+CG721*CH704+CG722</f>
        <v>10606.417116735422</v>
      </c>
      <c r="CJ722" s="114">
        <f t="shared" si="1289"/>
        <v>3.3638883631563733E-2</v>
      </c>
      <c r="CK722" s="114"/>
      <c r="CL722" s="169">
        <f t="shared" si="1290"/>
        <v>8.8430857688302725E-3</v>
      </c>
      <c r="CM722" s="169">
        <f t="shared" si="1298"/>
        <v>8.6020355102745371E-3</v>
      </c>
      <c r="CN722" s="114">
        <f>VLOOKUP($H722,RoR!$E:$F,2,FALSE)</f>
        <v>3.7433333333333339E-2</v>
      </c>
      <c r="CO722" s="169">
        <v>1.9056896421275615E-2</v>
      </c>
      <c r="CP722" s="169">
        <f t="shared" si="1296"/>
        <v>1.8376436912057724E-2</v>
      </c>
      <c r="CQ722" s="169">
        <f t="shared" si="1299"/>
        <v>2.229990609825909E-2</v>
      </c>
      <c r="CR722" s="169">
        <f t="shared" si="1300"/>
        <v>1.3976271617800498E-2</v>
      </c>
      <c r="CS722" s="179">
        <f t="shared" si="1291"/>
        <v>0.90351694999999999</v>
      </c>
      <c r="CT722" s="180">
        <f t="shared" si="1292"/>
        <v>1.3699568463593395</v>
      </c>
      <c r="CU722" s="180">
        <f t="shared" si="1293"/>
        <v>0.30714603739982199</v>
      </c>
      <c r="CV722" s="180">
        <f t="shared" si="1294"/>
        <v>0.77007188472689425</v>
      </c>
      <c r="CW722" s="180">
        <f t="shared" si="1295"/>
        <v>0.32402839633793828</v>
      </c>
      <c r="CX722" s="181">
        <f>INDEX('State Tax Lookup'!$D$7:$Z$91,MATCH(Calculation!$C722,'State Tax Lookup'!$B$7:$B$91,0),MATCH($H722,'State Tax Lookup'!$D$6:$Z$6,0))</f>
        <v>0.26076499999999997</v>
      </c>
      <c r="CY722" s="72">
        <v>0.37</v>
      </c>
      <c r="CZ722" s="70">
        <f t="shared" si="1297"/>
        <v>19.400634130070976</v>
      </c>
      <c r="DA722" s="70">
        <v>18.231812616449311</v>
      </c>
      <c r="DB722" s="69">
        <f t="shared" si="1302"/>
        <v>-0.10361726928840709</v>
      </c>
      <c r="DC722" s="111">
        <f>VLOOKUP($H722,RoR!$E:$F,2,FALSE)</f>
        <v>3.7433333333333339E-2</v>
      </c>
      <c r="DD722" s="216">
        <f>HLOOKUP($H722,'GDP-PI'!$D$8:$CQ$11,3,FALSE)</f>
        <v>1.9056896421275615E-2</v>
      </c>
      <c r="DE722" s="111">
        <f>VLOOKUP(H722,'HW Dx Data'!$E:$F,2,FALSE)</f>
        <v>712.42858370229726</v>
      </c>
      <c r="DF722" s="72">
        <f t="shared" si="1313"/>
        <v>140.44999999999999</v>
      </c>
      <c r="DG722" s="69">
        <f t="shared" si="1314"/>
        <v>2.5235657841165486E-2</v>
      </c>
      <c r="DH722" s="66">
        <f>HLOOKUP(H722,'GDP-PI'!$8:$9,2,FALSE)</f>
        <v>107.751</v>
      </c>
      <c r="DI722" s="69">
        <f t="shared" si="1303"/>
        <v>1.8877588227745139E-2</v>
      </c>
      <c r="EB722"/>
    </row>
    <row r="723" spans="1:132" s="160" customFormat="1" ht="21">
      <c r="A723" s="160" t="s">
        <v>201</v>
      </c>
      <c r="B723" s="161" t="s">
        <v>201</v>
      </c>
      <c r="C723" s="161">
        <v>4057131</v>
      </c>
      <c r="D723" s="161" t="s">
        <v>200</v>
      </c>
      <c r="E723" s="161"/>
      <c r="F723" s="161"/>
      <c r="G723" s="161" t="s">
        <v>136</v>
      </c>
      <c r="H723" s="162">
        <v>2018</v>
      </c>
      <c r="I723" s="163"/>
      <c r="J723" s="159">
        <f>IFERROR(INDEX('Labor Expenditures'!$F$7:$X$91,MATCH($C723,'Labor Expenditures'!$D$7:$D$91,0),MATCH($G723,'Labor Expenditures'!$F$5:$X$5,0)),"NA")</f>
        <v>89526.937494975733</v>
      </c>
      <c r="K723" s="159">
        <f t="shared" si="1304"/>
        <v>619.77803734839551</v>
      </c>
      <c r="L723" s="165">
        <f t="shared" si="1311"/>
        <v>-3.2411836242158938E-2</v>
      </c>
      <c r="M723" s="76">
        <f t="shared" si="1315"/>
        <v>-1.0944872952418127E-3</v>
      </c>
      <c r="N723" s="62">
        <f t="shared" si="1321"/>
        <v>114.00852842678459</v>
      </c>
      <c r="O723" s="96">
        <f t="shared" si="1316"/>
        <v>-0.37238557697168867</v>
      </c>
      <c r="P723" s="96"/>
      <c r="Q723" s="159">
        <f>IFERROR(INDEX('Non-Labor Expenditures'!$F$7:$AB$91,MATCH($C723,'Non-Labor Expenditures'!$D$7:$D$91,0),MATCH($G723,'Non-Labor Expenditures'!$F$5:$AB$5,0)),"NA")</f>
        <v>129651.72681811774</v>
      </c>
      <c r="R723" s="159">
        <f t="shared" si="1305"/>
        <v>1175.2118962502286</v>
      </c>
      <c r="S723" s="165">
        <f t="shared" si="1317"/>
        <v>-2.7910315596676057E-2</v>
      </c>
      <c r="T723" s="165">
        <f t="shared" si="1318"/>
        <v>-9.42479333738501E-4</v>
      </c>
      <c r="U723" s="165"/>
      <c r="V723" s="165"/>
      <c r="W723" s="159">
        <f t="shared" si="1285"/>
        <v>215436.36017715294</v>
      </c>
      <c r="X723" s="163"/>
      <c r="Y723" s="167">
        <v>11078.117327908009</v>
      </c>
      <c r="Z723" s="168">
        <v>4.3512544312274526E-2</v>
      </c>
      <c r="AA723" s="76">
        <f t="shared" si="1306"/>
        <v>1.4693375153946124E-3</v>
      </c>
      <c r="AB723" s="168"/>
      <c r="AC723" s="168"/>
      <c r="AD723" s="163">
        <f t="shared" si="1281"/>
        <v>434615.02449024643</v>
      </c>
      <c r="AE723" s="168">
        <f t="shared" si="1319"/>
        <v>3.6364947571881821E-2</v>
      </c>
      <c r="AF723" s="163"/>
      <c r="AG723" s="163"/>
      <c r="AH723" s="163"/>
      <c r="AI723" s="163"/>
      <c r="AJ723" s="116">
        <f t="shared" si="1320"/>
        <v>195.16821539532384</v>
      </c>
      <c r="AK723" s="114">
        <f>+AV723/$AX$23</f>
        <v>5.9614266643065898E-2</v>
      </c>
      <c r="AL723" s="115">
        <f t="shared" si="1307"/>
        <v>0.20599135430253604</v>
      </c>
      <c r="AM723" s="115">
        <f t="shared" si="1308"/>
        <v>0.29831395490798862</v>
      </c>
      <c r="AN723" s="115">
        <f t="shared" si="1309"/>
        <v>0.49569469078947531</v>
      </c>
      <c r="AO723" s="115">
        <f t="shared" si="1312"/>
        <v>5.7990752894460929E-3</v>
      </c>
      <c r="AP723" s="166">
        <f t="shared" si="1323"/>
        <v>115.481411058913</v>
      </c>
      <c r="AQ723" s="168">
        <f t="shared" si="1324"/>
        <v>5.7990752894460373E-3</v>
      </c>
      <c r="AR723" s="69">
        <f>+AD723/$AF$23</f>
        <v>3.3768136031064599E-2</v>
      </c>
      <c r="AS723" s="169">
        <f t="shared" si="1322"/>
        <v>1.9582396322839911E-4</v>
      </c>
      <c r="AT723" s="115"/>
      <c r="AU723" s="115"/>
      <c r="AV723" s="113">
        <f>IFERROR(INDEX('Total Customers'!$F$7:$AB$91,MATCH($C723,'Total Customers'!$D$7:$D$91,0),MATCH($G723,'Total Customers'!$F$5:$AB$5,0)),"NA")</f>
        <v>2226874</v>
      </c>
      <c r="AW723" s="68">
        <f t="shared" si="1301"/>
        <v>4.1899631480104126E-3</v>
      </c>
      <c r="AX723" s="114"/>
      <c r="AY723" s="114"/>
      <c r="AZ723" s="116"/>
      <c r="BA723" s="116"/>
      <c r="BB723" s="166"/>
      <c r="BC723" s="166"/>
      <c r="BD723" s="166"/>
      <c r="BE723" s="166"/>
      <c r="BF723" s="166"/>
      <c r="BG723" s="166"/>
      <c r="BH723" s="166"/>
      <c r="BI723" s="113"/>
      <c r="BJ723" s="113"/>
      <c r="BK723" s="113">
        <f>INDEX('Dist. Plant Gas Additions'!$F$7:$AE$91,MATCH($C723,'Dist. Plant Gas Additions'!$D$7:$D$91,0),MATCH(Calculation!$G723,'Dist. Plant Gas Additions'!$F$5:$AE$5,0))</f>
        <v>371808</v>
      </c>
      <c r="BL723" s="113">
        <f>INDEX('Gen. Plant Additions'!$F$7:$AE$91,MATCH($C723,'Gen. Plant Additions'!$D$7:$D$91,0),MATCH(Calculation!$G723,'Gen. Plant Additions'!$F$5:$AE$5,0))</f>
        <v>57230</v>
      </c>
      <c r="BM723" s="231">
        <f t="shared" si="1286"/>
        <v>0.92213746275963215</v>
      </c>
      <c r="BN723" s="61">
        <f t="shared" si="1310"/>
        <v>52773.926993733745</v>
      </c>
      <c r="BO723" s="113">
        <f>INDEX('Dist Plant Depreciation'!$E$7:$AD$94,MATCH($C723,'Dist Plant Depreciation'!$D$7:$D$94,0),MATCH(Calculation!$G723,'Dist Plant Depreciation'!$E$5:$AD$5,0))</f>
        <v>2639154</v>
      </c>
      <c r="BP723" s="113">
        <f>INDEX('Gen. Plant Depreciation'!$E$7:$AD$94,MATCH($C723,'Gen. Plant Depreciation'!$D$7:$D$94,0),MATCH(Calculation!$G723,'Gen. Plant Depreciation'!$E$5:$AD$5,0))</f>
        <v>151760</v>
      </c>
      <c r="BQ723" s="113"/>
      <c r="BR723" s="113"/>
      <c r="BS723" s="113"/>
      <c r="BT723" s="113"/>
      <c r="BU723" s="113"/>
      <c r="BV723" s="113"/>
      <c r="BW723" s="113">
        <f>INDEX('Gross Dx Plant'!$E$7:$AD$91,MATCH($C723,'Gross Dx Plant'!$D$7:$D$91,0),MATCH(Calculation!$G723,'Gross Dx Plant'!$E$5:$AD$5,0))</f>
        <v>4718665</v>
      </c>
      <c r="BX723" s="113">
        <f>INDEX('Gross Gen Plant'!$E$7:$AD$91,MATCH($C723,'Gross Gen Plant'!$D$7:$D$91,0),MATCH(Calculation!$G723,'Gross Gen Plant'!$E$5:$AD$5,0))</f>
        <v>398430</v>
      </c>
      <c r="BY723" s="113">
        <f t="shared" si="1325"/>
        <v>2326181</v>
      </c>
      <c r="BZ723" s="113"/>
      <c r="CA723" s="116">
        <v>2018</v>
      </c>
      <c r="CB723" s="113"/>
      <c r="CC723" s="113"/>
      <c r="CD723" s="113"/>
      <c r="CE723" s="175"/>
      <c r="CF723" s="113">
        <f t="shared" si="1287"/>
        <v>429038</v>
      </c>
      <c r="CG723" s="113">
        <f t="shared" si="1288"/>
        <v>568.15937015324675</v>
      </c>
      <c r="CH723" s="178">
        <v>0.86111111111111116</v>
      </c>
      <c r="CI723" s="61">
        <f>+CI703*CH723++CG704*CH722+CG705*CH721+CG706*CH720+CG707*CH719+CG708*CH718+CG709*CH717+CG710*CH716+CG711*CH715+CG712*CH714+CG713*CH713+CG714*CH712+CG715*CH711+CG716*CH710+CG717*CH709+CG718*CH708+CG719*CH707+CG720*CH706+CG721*CH705+CG722*CH704+CG723</f>
        <v>11078.117327908009</v>
      </c>
      <c r="CJ723" s="114">
        <f t="shared" si="1289"/>
        <v>4.3512544312274526E-2</v>
      </c>
      <c r="CK723" s="114"/>
      <c r="CL723" s="169">
        <f t="shared" si="1290"/>
        <v>9.0944150054650362E-3</v>
      </c>
      <c r="CM723" s="169">
        <f t="shared" si="1298"/>
        <v>8.8437498183570138E-3</v>
      </c>
      <c r="CN723" s="114">
        <f>VLOOKUP($H723,RoR!$E:$F,2,FALSE)</f>
        <v>3.9299999999999995E-2</v>
      </c>
      <c r="CO723" s="169">
        <v>2.386056741932796E-2</v>
      </c>
      <c r="CP723" s="169">
        <f t="shared" si="1296"/>
        <v>1.5439432580672034E-2</v>
      </c>
      <c r="CQ723" s="169">
        <f t="shared" si="1299"/>
        <v>2.2058191790176609E-2</v>
      </c>
      <c r="CR723" s="169">
        <f t="shared" si="1300"/>
        <v>3.8270792163076606E-2</v>
      </c>
      <c r="CS723" s="179">
        <f t="shared" si="1291"/>
        <v>0.90351694999999999</v>
      </c>
      <c r="CT723" s="180">
        <f t="shared" si="1292"/>
        <v>1.3048868010700074</v>
      </c>
      <c r="CU723" s="180">
        <f t="shared" si="1293"/>
        <v>0.33886768447837151</v>
      </c>
      <c r="CV723" s="180">
        <f t="shared" si="1294"/>
        <v>0.78602506232557801</v>
      </c>
      <c r="CW723" s="180">
        <f t="shared" si="1295"/>
        <v>0.34756768162358759</v>
      </c>
      <c r="CX723" s="181">
        <f>INDEX('State Tax Lookup'!$D$7:$Z$91,MATCH(Calculation!$C723,'State Tax Lookup'!$B$7:$B$91,0),MATCH($H723,'State Tax Lookup'!$D$6:$Z$6,0))</f>
        <v>0.26076499999999997</v>
      </c>
      <c r="CY723" s="72">
        <v>0.37</v>
      </c>
      <c r="CZ723" s="70">
        <f t="shared" si="1297"/>
        <v>20.311888341372594</v>
      </c>
      <c r="DA723" s="70">
        <v>19.050901628905343</v>
      </c>
      <c r="DB723" s="69">
        <f t="shared" si="1302"/>
        <v>4.5900594559703412E-2</v>
      </c>
      <c r="DC723" s="111">
        <f>VLOOKUP($H723,RoR!$E:$F,2,FALSE)</f>
        <v>3.9299999999999995E-2</v>
      </c>
      <c r="DD723" s="216">
        <f>HLOOKUP($H723,'GDP-PI'!$D$8:$CQ$11,3,FALSE)</f>
        <v>2.386056741932796E-2</v>
      </c>
      <c r="DE723" s="111">
        <f>VLOOKUP(H723,'HW Dx Data'!$E:$F,2,FALSE)</f>
        <v>755.13671434174842</v>
      </c>
      <c r="DF723" s="72">
        <f t="shared" si="1313"/>
        <v>144.44999999999999</v>
      </c>
      <c r="DG723" s="69">
        <f t="shared" si="1314"/>
        <v>2.80818733619915E-2</v>
      </c>
      <c r="DH723" s="66">
        <f>HLOOKUP(H723,'GDP-PI'!$8:$9,2,FALSE)</f>
        <v>110.322</v>
      </c>
      <c r="DI723" s="69">
        <f t="shared" si="1303"/>
        <v>2.3580352716508712E-2</v>
      </c>
      <c r="EB723"/>
    </row>
    <row r="724" spans="1:132" s="160" customFormat="1" ht="21">
      <c r="A724" s="160" t="s">
        <v>201</v>
      </c>
      <c r="B724" s="161" t="s">
        <v>201</v>
      </c>
      <c r="C724" s="161">
        <v>4057131</v>
      </c>
      <c r="D724" s="161" t="s">
        <v>200</v>
      </c>
      <c r="E724" s="161"/>
      <c r="F724" s="161"/>
      <c r="G724" s="161" t="s">
        <v>140</v>
      </c>
      <c r="H724" s="162">
        <v>2019</v>
      </c>
      <c r="I724" s="163"/>
      <c r="J724" s="159">
        <f>IFERROR(INDEX('Labor Expenditures'!$F$7:$X$91,MATCH($C724,'Labor Expenditures'!$D$7:$D$91,0),MATCH($G724,'Labor Expenditures'!$F$5:$X$5,0)),"NA")</f>
        <v>108080.99902040682</v>
      </c>
      <c r="K724" s="159">
        <f t="shared" si="1304"/>
        <v>722.1045533349378</v>
      </c>
      <c r="L724" s="165">
        <f t="shared" si="1311"/>
        <v>0.15280852945845147</v>
      </c>
      <c r="M724" s="76">
        <f t="shared" si="1315"/>
        <v>5.6713158227103509E-3</v>
      </c>
      <c r="N724" s="62">
        <f t="shared" si="1321"/>
        <v>115.877593458901</v>
      </c>
      <c r="O724" s="96">
        <f t="shared" si="1316"/>
        <v>1.6261148800317211E-2</v>
      </c>
      <c r="P724" s="96"/>
      <c r="Q724" s="159">
        <f>IFERROR(INDEX('Non-Labor Expenditures'!$F$7:$AB$91,MATCH($C724,'Non-Labor Expenditures'!$D$7:$D$91,0),MATCH($G724,'Non-Labor Expenditures'!$F$5:$AB$5,0)),"NA")</f>
        <v>156521.47332761652</v>
      </c>
      <c r="R724" s="159">
        <f t="shared" si="1305"/>
        <v>1393.5564497909197</v>
      </c>
      <c r="S724" s="165">
        <f t="shared" si="1317"/>
        <v>0.17041060790622123</v>
      </c>
      <c r="T724" s="165">
        <f t="shared" si="1318"/>
        <v>6.324597065368788E-3</v>
      </c>
      <c r="U724" s="165"/>
      <c r="V724" s="165"/>
      <c r="W724" s="159">
        <f t="shared" si="1285"/>
        <v>227874.20123786645</v>
      </c>
      <c r="X724" s="163"/>
      <c r="Y724" s="167">
        <v>11662.857342899339</v>
      </c>
      <c r="Z724" s="168">
        <v>5.1437455410459458E-2</v>
      </c>
      <c r="AA724" s="76">
        <f t="shared" si="1306"/>
        <v>1.9090430081562615E-3</v>
      </c>
      <c r="AB724" s="168"/>
      <c r="AC724" s="168"/>
      <c r="AD724" s="163">
        <f t="shared" si="1281"/>
        <v>492476.67358588974</v>
      </c>
      <c r="AE724" s="168">
        <f t="shared" si="1319"/>
        <v>0.12498645814099293</v>
      </c>
      <c r="AF724" s="163"/>
      <c r="AG724" s="163"/>
      <c r="AH724" s="163"/>
      <c r="AI724" s="163"/>
      <c r="AJ724" s="116">
        <f t="shared" si="1320"/>
        <v>220.22148112372818</v>
      </c>
      <c r="AK724" s="114">
        <f>+AV724/$AX$24</f>
        <v>5.9372315918272786E-2</v>
      </c>
      <c r="AL724" s="115">
        <f t="shared" si="1307"/>
        <v>0.21946419966134109</v>
      </c>
      <c r="AM724" s="115">
        <f t="shared" si="1308"/>
        <v>0.31782515136794309</v>
      </c>
      <c r="AN724" s="115">
        <f t="shared" si="1309"/>
        <v>0.4627106489707159</v>
      </c>
      <c r="AO724" s="115">
        <f t="shared" si="1312"/>
        <v>0.10965390456774469</v>
      </c>
      <c r="AP724" s="166">
        <f t="shared" si="1323"/>
        <v>128.86475948734105</v>
      </c>
      <c r="AQ724" s="168">
        <f t="shared" si="1324"/>
        <v>0.10965390456774474</v>
      </c>
      <c r="AR724" s="69">
        <f>+AD724/$AF$24</f>
        <v>3.7113869512450076E-2</v>
      </c>
      <c r="AS724" s="169">
        <f t="shared" si="1322"/>
        <v>4.0696807056579314E-3</v>
      </c>
      <c r="AT724" s="115"/>
      <c r="AU724" s="115"/>
      <c r="AV724" s="113">
        <f>IFERROR(INDEX('Total Customers'!$F$7:$AB$91,MATCH($C724,'Total Customers'!$D$7:$D$91,0),MATCH($G724,'Total Customers'!$F$5:$AB$5,0)),"NA")</f>
        <v>2236279</v>
      </c>
      <c r="AW724" s="68">
        <f t="shared" si="1301"/>
        <v>4.2145155772495948E-3</v>
      </c>
      <c r="AX724" s="114"/>
      <c r="AY724" s="114"/>
      <c r="AZ724" s="116"/>
      <c r="BA724" s="116"/>
      <c r="BB724" s="166"/>
      <c r="BC724" s="166"/>
      <c r="BD724" s="166"/>
      <c r="BE724" s="166"/>
      <c r="BF724" s="166"/>
      <c r="BG724" s="166"/>
      <c r="BH724" s="166"/>
      <c r="BI724" s="113"/>
      <c r="BJ724" s="113"/>
      <c r="BK724" s="113">
        <f>INDEX('Dist. Plant Gas Additions'!$F$7:$AE$91,MATCH($C724,'Dist. Plant Gas Additions'!$D$7:$D$91,0),MATCH(Calculation!$G724,'Dist. Plant Gas Additions'!$F$5:$AE$5,0))</f>
        <v>473456</v>
      </c>
      <c r="BL724" s="113">
        <f>INDEX('Gen. Plant Additions'!$F$7:$AE$91,MATCH($C724,'Gen. Plant Additions'!$D$7:$D$91,0),MATCH(Calculation!$G724,'Gen. Plant Additions'!$F$5:$AE$5,0))</f>
        <v>58647</v>
      </c>
      <c r="BM724" s="231">
        <f t="shared" si="1286"/>
        <v>0.92142639594632769</v>
      </c>
      <c r="BN724" s="61">
        <f t="shared" si="1310"/>
        <v>54038.893843064281</v>
      </c>
      <c r="BO724" s="113">
        <f>INDEX('Dist Plant Depreciation'!$E$7:$AD$94,MATCH($C724,'Dist Plant Depreciation'!$D$7:$D$94,0),MATCH(Calculation!$G724,'Dist Plant Depreciation'!$E$5:$AD$5,0))</f>
        <v>2710187</v>
      </c>
      <c r="BP724" s="113">
        <f>INDEX('Gen. Plant Depreciation'!$E$7:$AD$94,MATCH($C724,'Gen. Plant Depreciation'!$D$7:$D$94,0),MATCH(Calculation!$G724,'Gen. Plant Depreciation'!$E$5:$AD$5,0))</f>
        <v>163976</v>
      </c>
      <c r="BQ724" s="113"/>
      <c r="BR724" s="113"/>
      <c r="BS724" s="113"/>
      <c r="BT724" s="113"/>
      <c r="BU724" s="113"/>
      <c r="BV724" s="113"/>
      <c r="BW724" s="113">
        <f>INDEX('Gross Dx Plant'!$E$7:$AD$91,MATCH($C724,'Gross Dx Plant'!$D$7:$D$91,0),MATCH(Calculation!$G724,'Gross Dx Plant'!$E$5:$AD$5,0))</f>
        <v>5167315</v>
      </c>
      <c r="BX724" s="113">
        <f>INDEX('Gross Gen Plant'!$E$7:$AD$91,MATCH($C724,'Gross Gen Plant'!$D$7:$D$91,0),MATCH(Calculation!$G724,'Gross Gen Plant'!$E$5:$AD$5,0))</f>
        <v>440637</v>
      </c>
      <c r="BY724" s="113">
        <f t="shared" si="1325"/>
        <v>2733789</v>
      </c>
      <c r="BZ724" s="113"/>
      <c r="CA724" s="116">
        <v>2019</v>
      </c>
      <c r="CB724" s="113"/>
      <c r="CC724" s="113"/>
      <c r="CD724" s="113"/>
      <c r="CE724" s="175"/>
      <c r="CF724" s="113">
        <f t="shared" si="1287"/>
        <v>532103</v>
      </c>
      <c r="CG724" s="113">
        <f t="shared" si="1288"/>
        <v>687.88101834962549</v>
      </c>
      <c r="CH724" s="178">
        <v>0.85106382978723405</v>
      </c>
      <c r="CI724" s="61">
        <f>CI703*CH724+CG704*CH723+CG705*CH722+CG706*CH721+CG707*CH720+CG708*CH719+CG709*CH718+CG710*CH717+CG711*CH716+CG712*CH715+CG713*CH714+CG714*CH713+CG715*CH712+CG716*CH711+CG717*CH710+CG718*CH709+CG719*CH708+CG720*CH707+CG721*CH706+CG722*CH705+CG723*CH704+CG724</f>
        <v>11662.857342899339</v>
      </c>
      <c r="CJ724" s="114">
        <f t="shared" si="1289"/>
        <v>5.1437455410459458E-2</v>
      </c>
      <c r="CK724" s="114"/>
      <c r="CL724" s="169">
        <f t="shared" si="1290"/>
        <v>9.3103367932800673E-3</v>
      </c>
      <c r="CM724" s="169">
        <f t="shared" si="1298"/>
        <v>9.0826125225251242E-3</v>
      </c>
      <c r="CN724" s="114">
        <f>VLOOKUP($H724,RoR!$E:$F,2,FALSE)</f>
        <v>3.3875000000000009E-2</v>
      </c>
      <c r="CO724" s="169">
        <v>1.8092492884465461E-2</v>
      </c>
      <c r="CP724" s="169">
        <f t="shared" si="1296"/>
        <v>1.5782507115534548E-2</v>
      </c>
      <c r="CQ724" s="169">
        <f t="shared" si="1299"/>
        <v>2.1819329086008501E-2</v>
      </c>
      <c r="CR724" s="169">
        <f t="shared" si="1300"/>
        <v>4.8445665544254078E-2</v>
      </c>
      <c r="CS724" s="179">
        <f t="shared" si="1291"/>
        <v>0.90351694999999999</v>
      </c>
      <c r="CT724" s="180">
        <f t="shared" si="1292"/>
        <v>1.513861292459078</v>
      </c>
      <c r="CU724" s="180">
        <f t="shared" si="1293"/>
        <v>0.23699261992619944</v>
      </c>
      <c r="CV724" s="180">
        <f t="shared" si="1294"/>
        <v>0.73619765810468829</v>
      </c>
      <c r="CW724" s="180">
        <f t="shared" si="1295"/>
        <v>0.26412854465362851</v>
      </c>
      <c r="CX724" s="181">
        <f>INDEX('State Tax Lookup'!$D$7:$Z$91,MATCH(Calculation!$C724,'State Tax Lookup'!$B$7:$B$91,0),MATCH($H724,'State Tax Lookup'!$D$6:$Z$6,0))</f>
        <v>0.26076499999999997</v>
      </c>
      <c r="CY724" s="72">
        <v>0.37</v>
      </c>
      <c r="CZ724" s="70">
        <f t="shared" si="1297"/>
        <v>20.569758785981211</v>
      </c>
      <c r="DA724" s="70">
        <v>19.236104090735289</v>
      </c>
      <c r="DB724" s="69">
        <f t="shared" si="1302"/>
        <v>1.261562988846667E-2</v>
      </c>
      <c r="DC724" s="111">
        <f>VLOOKUP($H724,RoR!$E:$F,2,FALSE)</f>
        <v>3.3875000000000009E-2</v>
      </c>
      <c r="DD724" s="216">
        <f>HLOOKUP($H724,'GDP-PI'!$D$8:$CQ$11,3,FALSE)</f>
        <v>1.8092492884465461E-2</v>
      </c>
      <c r="DE724" s="111">
        <f>VLOOKUP(H724,'HW Dx Data'!$E:$F,2,FALSE)</f>
        <v>773.53929793938721</v>
      </c>
      <c r="DF724" s="72">
        <f t="shared" si="1313"/>
        <v>149.67500000000001</v>
      </c>
      <c r="DG724" s="69">
        <f t="shared" si="1314"/>
        <v>3.5532849899171604E-2</v>
      </c>
      <c r="DH724" s="66">
        <f>HLOOKUP(H724,'GDP-PI'!$8:$9,2,FALSE)</f>
        <v>112.318</v>
      </c>
      <c r="DI724" s="69">
        <f t="shared" si="1303"/>
        <v>1.7930771451401852E-2</v>
      </c>
      <c r="EB724"/>
    </row>
    <row r="725" spans="1:132" s="160" customFormat="1" ht="21">
      <c r="A725" s="160" t="s">
        <v>201</v>
      </c>
      <c r="B725" s="160" t="s">
        <v>201</v>
      </c>
      <c r="C725" s="160">
        <v>4057131</v>
      </c>
      <c r="D725" s="160" t="s">
        <v>200</v>
      </c>
      <c r="G725" s="161" t="s">
        <v>141</v>
      </c>
      <c r="H725" s="162">
        <v>2020</v>
      </c>
      <c r="I725" s="163"/>
      <c r="J725" s="159">
        <f>IFERROR(INDEX('Labor Expenditures'!$F$7:$X$91,MATCH($C725,'Labor Expenditures'!$D$7:$D$91,0),MATCH($G725,'Labor Expenditures'!$F$5:$X$5,0)),"NA")</f>
        <v>114243.80814133145</v>
      </c>
      <c r="K725" s="159">
        <f t="shared" si="1304"/>
        <v>745.96022292740088</v>
      </c>
      <c r="L725" s="165">
        <f t="shared" si="1311"/>
        <v>3.2502339187543555E-2</v>
      </c>
      <c r="M725" s="76">
        <f t="shared" si="1315"/>
        <v>1.2581314205118248E-3</v>
      </c>
      <c r="N725" s="62">
        <f t="shared" si="1321"/>
        <v>116.11524397371331</v>
      </c>
      <c r="O725" s="96">
        <f t="shared" si="1316"/>
        <v>2.0487753033246125E-3</v>
      </c>
      <c r="P725" s="96"/>
      <c r="Q725" s="159">
        <f>IFERROR(INDEX('Non-Labor Expenditures'!$F$7:$AB$91,MATCH($C725,'Non-Labor Expenditures'!$D$7:$D$91,0),MATCH($G725,'Non-Labor Expenditures'!$F$5:$AB$5,0)),"NA")</f>
        <v>165446.37198868339</v>
      </c>
      <c r="R725" s="159">
        <f t="shared" si="1305"/>
        <v>1456.0993107793613</v>
      </c>
      <c r="S725" s="165">
        <f t="shared" si="1317"/>
        <v>4.3902078923519362E-2</v>
      </c>
      <c r="T725" s="165">
        <f t="shared" si="1318"/>
        <v>1.6994033752696233E-3</v>
      </c>
      <c r="U725" s="165"/>
      <c r="V725" s="165"/>
      <c r="W725" s="159">
        <f t="shared" si="1285"/>
        <v>249727.78865945258</v>
      </c>
      <c r="X725" s="163"/>
      <c r="Y725" s="167">
        <v>12137.803905961067</v>
      </c>
      <c r="Z725" s="168">
        <v>3.9915665861752152E-2</v>
      </c>
      <c r="AA725" s="76">
        <f t="shared" si="1306"/>
        <v>1.545093511625402E-3</v>
      </c>
      <c r="AB725" s="168"/>
      <c r="AC725" s="168"/>
      <c r="AD725" s="163">
        <f t="shared" si="1281"/>
        <v>529417.96878946736</v>
      </c>
      <c r="AE725" s="168">
        <f t="shared" si="1319"/>
        <v>7.2331134804937969E-2</v>
      </c>
      <c r="AF725" s="163"/>
      <c r="AG725" s="163"/>
      <c r="AH725" s="163"/>
      <c r="AI725" s="163"/>
      <c r="AJ725" s="116">
        <f t="shared" si="1320"/>
        <v>235.66681955383621</v>
      </c>
      <c r="AK725" s="114">
        <f>+AV725/$AX$25</f>
        <v>5.9221657894188096E-2</v>
      </c>
      <c r="AL725" s="115">
        <f t="shared" si="1307"/>
        <v>0.21579133100176767</v>
      </c>
      <c r="AM725" s="115">
        <f t="shared" si="1308"/>
        <v>0.3125061515516413</v>
      </c>
      <c r="AN725" s="115">
        <f t="shared" si="1309"/>
        <v>0.47170251744659114</v>
      </c>
      <c r="AO725" s="115">
        <f t="shared" si="1312"/>
        <v>3.9558700613571016E-2</v>
      </c>
      <c r="AP725" s="166">
        <f t="shared" si="1323"/>
        <v>134.06465438227363</v>
      </c>
      <c r="AQ725" s="168">
        <f t="shared" si="1324"/>
        <v>3.9558700613571002E-2</v>
      </c>
      <c r="AR725" s="69">
        <f>+AD725/$AF$25</f>
        <v>3.8708949939024719E-2</v>
      </c>
      <c r="AS725" s="169">
        <f t="shared" si="1322"/>
        <v>1.5312757617035864E-3</v>
      </c>
      <c r="AT725" s="115"/>
      <c r="AU725" s="115"/>
      <c r="AV725" s="113">
        <f>IFERROR(INDEX('Total Customers'!$F$7:$AB$91,MATCH($C725,'Total Customers'!$D$7:$D$91,0),MATCH($G725,'Total Customers'!$F$5:$AB$5,0)),"NA")</f>
        <v>2246468</v>
      </c>
      <c r="AW725" s="68">
        <f t="shared" si="1301"/>
        <v>4.5458811511473983E-3</v>
      </c>
      <c r="AX725" s="114"/>
      <c r="AY725" s="114"/>
      <c r="AZ725" s="116"/>
      <c r="BA725" s="116"/>
      <c r="BB725" s="166"/>
      <c r="BC725" s="166"/>
      <c r="BD725" s="166"/>
      <c r="BE725" s="166"/>
      <c r="BF725" s="166"/>
      <c r="BG725" s="166"/>
      <c r="BH725" s="166"/>
      <c r="BI725" s="113"/>
      <c r="BJ725" s="113"/>
      <c r="BK725" s="113">
        <f>INDEX('Dist. Plant Gas Additions'!$F$7:$AE$91,MATCH($C725,'Dist. Plant Gas Additions'!$D$7:$D$91,0),MATCH(Calculation!$G725,'Dist. Plant Gas Additions'!$F$5:$AE$5,0))</f>
        <v>411692</v>
      </c>
      <c r="BL725" s="113">
        <f>INDEX('Gen. Plant Additions'!$F$7:$AE$91,MATCH($C725,'Gen. Plant Additions'!$D$7:$D$91,0),MATCH(Calculation!$G725,'Gen. Plant Additions'!$F$5:$AE$5,0))</f>
        <v>64520</v>
      </c>
      <c r="BM725" s="231">
        <f t="shared" si="1286"/>
        <v>0.91999811912993867</v>
      </c>
      <c r="BN725" s="61">
        <f t="shared" si="1310"/>
        <v>59358.278646263643</v>
      </c>
      <c r="BO725" s="113">
        <f>INDEX('Dist Plant Depreciation'!$E$7:$AD$94,MATCH($C725,'Dist Plant Depreciation'!$D$7:$D$94,0),MATCH(Calculation!$G725,'Dist Plant Depreciation'!$E$5:$AD$5,0))</f>
        <v>2789253</v>
      </c>
      <c r="BP725" s="113">
        <f>INDEX('Gen. Plant Depreciation'!$E$7:$AD$94,MATCH($C725,'Gen. Plant Depreciation'!$D$7:$D$94,0),MATCH(Calculation!$G725,'Gen. Plant Depreciation'!$E$5:$AD$5,0))</f>
        <v>174352</v>
      </c>
      <c r="BQ725" s="113"/>
      <c r="BR725" s="113"/>
      <c r="BS725" s="113"/>
      <c r="BT725" s="113"/>
      <c r="BU725" s="113"/>
      <c r="BV725" s="113"/>
      <c r="BW725" s="113">
        <f>INDEX('Gross Dx Plant'!$E$7:$AD$91,MATCH($C725,'Gross Dx Plant'!$D$7:$D$91,0),MATCH(Calculation!$G725,'Gross Dx Plant'!$E$5:$AD$5,0))</f>
        <v>5556566</v>
      </c>
      <c r="BX725" s="113">
        <f>INDEX('Gross Gen Plant'!$E$7:$AD$91,MATCH($C725,'Gross Gen Plant'!$D$7:$D$91,0),MATCH(Calculation!$G725,'Gross Gen Plant'!$E$5:$AD$5,0))</f>
        <v>483192</v>
      </c>
      <c r="BY725" s="113">
        <f t="shared" si="1325"/>
        <v>3076153</v>
      </c>
      <c r="BZ725" s="113"/>
      <c r="CA725" s="116">
        <v>2020</v>
      </c>
      <c r="CB725" s="113"/>
      <c r="CC725" s="113"/>
      <c r="CD725" s="113"/>
      <c r="CE725" s="175"/>
      <c r="CF725" s="113">
        <f t="shared" si="1287"/>
        <v>476212</v>
      </c>
      <c r="CG725" s="113">
        <f t="shared" si="1288"/>
        <v>585.6888680691568</v>
      </c>
      <c r="CH725" s="178">
        <v>0.84057971014492749</v>
      </c>
      <c r="CI725" s="61">
        <f>CI703*CH725+CG704*CH724+CG705*CH723+CG706*CH722+CG707*CH721+CG708*CH720+CG709*CH719+CG710*CH718+CG711*CH717+CG712*CH716+CG713*CH715+CG714*CH714+CG715*CH713+CG716*CH712+CG717*CH711+CG718*CH710+CG719*CH709+CG720*CH708+CG721*CH707+CG722*CH706+CG723*CH705+CG724*CH704+CG725</f>
        <v>12137.803905961067</v>
      </c>
      <c r="CJ725" s="114">
        <f t="shared" si="1289"/>
        <v>3.9915665861752152E-2</v>
      </c>
      <c r="CK725" s="114"/>
      <c r="CL725" s="169">
        <f t="shared" si="1290"/>
        <v>9.4952979146959177E-3</v>
      </c>
      <c r="CM725" s="169">
        <f t="shared" si="1298"/>
        <v>9.3000165711470077E-3</v>
      </c>
      <c r="CN725" s="114">
        <f>VLOOKUP($H725,RoR!$E:$F,2,FALSE)</f>
        <v>2.4766666666666666E-2</v>
      </c>
      <c r="CO725" s="169">
        <v>1.1618796630994188E-2</v>
      </c>
      <c r="CP725" s="169">
        <f t="shared" si="1296"/>
        <v>1.3147870035672478E-2</v>
      </c>
      <c r="CQ725" s="169">
        <f t="shared" si="1299"/>
        <v>2.1601925037386616E-2</v>
      </c>
      <c r="CR725" s="169">
        <f t="shared" si="1300"/>
        <v>4.5144642961987357E-2</v>
      </c>
      <c r="CS725" s="179">
        <f t="shared" si="1291"/>
        <v>0.90351694999999999</v>
      </c>
      <c r="CT725" s="180">
        <f t="shared" si="1292"/>
        <v>2.0706077233668081</v>
      </c>
      <c r="CU725" s="180">
        <f t="shared" si="1293"/>
        <v>-3.4421265141318998E-2</v>
      </c>
      <c r="CV725" s="180">
        <f t="shared" si="1294"/>
        <v>0.62416226176410472</v>
      </c>
      <c r="CW725" s="180">
        <f t="shared" si="1295"/>
        <v>-4.4485877841158712E-2</v>
      </c>
      <c r="CX725" s="181">
        <f>INDEX('State Tax Lookup'!$D$7:$Z$91,MATCH(Calculation!$C725,'State Tax Lookup'!$B$7:$B$91,0),MATCH($H725,'State Tax Lookup'!$D$6:$Z$6,0))</f>
        <v>0.26076499999999997</v>
      </c>
      <c r="CY725" s="72">
        <v>0.37</v>
      </c>
      <c r="CZ725" s="70">
        <f t="shared" si="1297"/>
        <v>21.412230409513974</v>
      </c>
      <c r="DA725" s="70">
        <v>19.952659173050833</v>
      </c>
      <c r="DB725" s="69">
        <f t="shared" si="1302"/>
        <v>4.0140296138581368E-2</v>
      </c>
      <c r="DC725" s="111">
        <f>VLOOKUP($H725,RoR!$E:$F,2,FALSE)</f>
        <v>2.4766666666666666E-2</v>
      </c>
      <c r="DD725" s="216">
        <f>HLOOKUP($H725,'GDP-PI'!$D$8:$CQ$11,3,FALSE)</f>
        <v>1.1618796630994188E-2</v>
      </c>
      <c r="DE725" s="111">
        <f>VLOOKUP(H725,'HW Dx Data'!$E:$F,2,FALSE)</f>
        <v>813.080162458833</v>
      </c>
      <c r="DF725" s="72">
        <f t="shared" si="1313"/>
        <v>153.15</v>
      </c>
      <c r="DG725" s="69">
        <f t="shared" si="1314"/>
        <v>2.2951556467368479E-2</v>
      </c>
      <c r="DH725" s="66">
        <f>HLOOKUP(H725,'GDP-PI'!$8:$9,2,FALSE)</f>
        <v>113.623</v>
      </c>
      <c r="DI725" s="69">
        <f t="shared" si="1303"/>
        <v>1.1551816731392881E-2</v>
      </c>
      <c r="EB725"/>
    </row>
    <row r="726" spans="1:132" s="160" customFormat="1" ht="21">
      <c r="A726" s="160" t="s">
        <v>201</v>
      </c>
      <c r="B726" s="160" t="s">
        <v>201</v>
      </c>
      <c r="C726" s="160">
        <v>4057131</v>
      </c>
      <c r="D726" s="160" t="s">
        <v>200</v>
      </c>
      <c r="G726" s="161" t="s">
        <v>142</v>
      </c>
      <c r="H726" s="162">
        <v>2021</v>
      </c>
      <c r="I726" s="163"/>
      <c r="J726" s="159">
        <v>132080.88306601488</v>
      </c>
      <c r="K726" s="159">
        <f t="shared" si="1304"/>
        <v>839.94202267736011</v>
      </c>
      <c r="L726" s="164">
        <f t="shared" si="1311"/>
        <v>0.11866059052361524</v>
      </c>
      <c r="M726" s="76">
        <f t="shared" si="1315"/>
        <v>5.2669023400150495E-3</v>
      </c>
      <c r="N726" s="166">
        <f>+N725*EXP(O726)</f>
        <v>119.79221291531739</v>
      </c>
      <c r="O726" s="114">
        <f t="shared" si="1316"/>
        <v>3.117550240062494E-2</v>
      </c>
      <c r="P726" s="114"/>
      <c r="Q726" s="159">
        <f>IFERROR(INDEX('Non-Labor Expenditures'!$E$7:$AB$91,MATCH($C726,'Non-Labor Expenditures'!$D$7:$D$91,0),MATCH($G726,'Non-Labor Expenditures'!$E$5:$AB$5,0)),"NA")</f>
        <v>196100.30004486439</v>
      </c>
      <c r="R726" s="159">
        <f t="shared" si="1305"/>
        <v>1654.9945146836392</v>
      </c>
      <c r="S726" s="165">
        <f t="shared" si="1317"/>
        <v>0.12803653903168757</v>
      </c>
      <c r="T726" s="165">
        <f t="shared" si="1318"/>
        <v>5.6830658271434815E-3</v>
      </c>
      <c r="U726" s="165"/>
      <c r="V726" s="165"/>
      <c r="W726" s="159">
        <f t="shared" si="1285"/>
        <v>351921.26947075798</v>
      </c>
      <c r="X726" s="163"/>
      <c r="Y726" s="167">
        <v>12630.897272189439</v>
      </c>
      <c r="Z726" s="168"/>
      <c r="AA726" s="76">
        <f t="shared" si="1306"/>
        <v>0</v>
      </c>
      <c r="AB726" s="168"/>
      <c r="AC726" s="168"/>
      <c r="AD726" s="163">
        <f t="shared" si="1281"/>
        <v>680102.45258163731</v>
      </c>
      <c r="AE726" s="168">
        <f t="shared" si="1319"/>
        <v>0.25046522136444299</v>
      </c>
      <c r="AF726" s="113"/>
      <c r="AG726" s="114"/>
      <c r="AH726" s="114"/>
      <c r="AI726" s="114"/>
      <c r="AJ726" s="116">
        <f t="shared" si="1320"/>
        <v>301.88402855998032</v>
      </c>
      <c r="AK726" s="114">
        <f>+AV726/$AX$26</f>
        <v>5.83547613838694E-2</v>
      </c>
      <c r="AL726" s="115">
        <f t="shared" si="1307"/>
        <v>0.19420733238741014</v>
      </c>
      <c r="AM726" s="115">
        <f t="shared" si="1308"/>
        <v>0.28833935137342437</v>
      </c>
      <c r="AN726" s="115">
        <f t="shared" si="1309"/>
        <v>0.51745331623916546</v>
      </c>
      <c r="AO726" s="115">
        <f t="shared" si="1312"/>
        <v>6.2790431099465957E-2</v>
      </c>
      <c r="AP726" s="166">
        <f t="shared" si="1323"/>
        <v>142.75253548247858</v>
      </c>
      <c r="AQ726" s="168">
        <f t="shared" si="1324"/>
        <v>6.279043109946586E-2</v>
      </c>
      <c r="AR726" s="69">
        <f>+AD726/$AF$26</f>
        <v>4.4386281214122698E-2</v>
      </c>
      <c r="AS726" s="169">
        <f t="shared" si="1322"/>
        <v>2.7870337323368873E-3</v>
      </c>
      <c r="AT726" s="115"/>
      <c r="AU726" s="115"/>
      <c r="AV726" s="113">
        <f>INDEX('Total Customers'!$E$7:$E$91,MATCH(Calculation!$C726,'Total Customers'!$D$7:$D$91,0))</f>
        <v>2252860</v>
      </c>
      <c r="AW726" s="68">
        <f t="shared" si="1301"/>
        <v>2.8413151031690099E-3</v>
      </c>
      <c r="AX726" s="113"/>
      <c r="AY726" s="113"/>
      <c r="AZ726" s="116"/>
      <c r="BA726" s="116"/>
      <c r="BB726" s="166"/>
      <c r="BC726" s="166"/>
      <c r="BD726" s="166"/>
      <c r="BE726" s="166"/>
      <c r="BF726" s="166"/>
      <c r="BG726" s="166"/>
      <c r="BH726" s="166"/>
      <c r="BI726" s="113"/>
      <c r="BJ726" s="113"/>
      <c r="BK726" s="113">
        <f>INDEX('Dist. Plant Gas Additions'!$E$7:$AE$91,MATCH($C726,'Dist. Plant Gas Additions'!$D$7:$D$91,0),MATCH(Calculation!$G726,'Dist. Plant Gas Additions'!$E$5:$AE$5,0))</f>
        <v>378489</v>
      </c>
      <c r="BL726" s="113">
        <f>INDEX('Gen. Plant Additions'!$E$7:$AE$91,MATCH($C726,'Gen. Plant Additions'!$D$7:$D$91,0),MATCH(Calculation!$G726,'Gen. Plant Additions'!$E$5:$AE$5,0))</f>
        <v>51980</v>
      </c>
      <c r="BM726" s="232">
        <v>0.91999811912993867</v>
      </c>
      <c r="BN726" s="61">
        <f>+BM726*BL726</f>
        <v>47821.502232374209</v>
      </c>
      <c r="BO726" s="113"/>
      <c r="BP726" s="113"/>
      <c r="BQ726" s="175"/>
      <c r="BR726" s="175"/>
      <c r="BS726" s="170"/>
      <c r="BT726" s="176"/>
      <c r="BU726" s="177"/>
      <c r="BV726" s="177"/>
      <c r="BW726" s="113"/>
      <c r="BX726" s="113"/>
      <c r="BY726" s="113"/>
      <c r="BZ726" s="113"/>
      <c r="CA726" s="116">
        <v>2021</v>
      </c>
      <c r="CB726" s="113"/>
      <c r="CC726" s="113"/>
      <c r="CD726" s="113"/>
      <c r="CE726" s="175"/>
      <c r="CF726" s="113">
        <f t="shared" si="1287"/>
        <v>430469</v>
      </c>
      <c r="CG726" s="113">
        <f t="shared" si="1288"/>
        <v>461.37043893520865</v>
      </c>
      <c r="CH726" s="178">
        <f>+(51-23)/(51-23*0.75)</f>
        <v>0.82962962962962961</v>
      </c>
      <c r="CI726" s="113">
        <f>CI703*CH726+CG704*CH725+CG705*CH724+CG706*CH723+CG707*CH722+CG708*CH721+CG709*CH720+CG710*CH719+CG711*CH718+CG712*CH717+CG713*CH716+CG714*CH715+CG715*CH714+CG716*CH713+CG717*CH712+CG708*CH711+CG719*CH710+CG720*CH709+CG721*CH708+CG722*CH707+CG723*CH706+CG724*CH705+CG726+CG725*CH704</f>
        <v>12630.897272189439</v>
      </c>
      <c r="CJ726" s="114"/>
      <c r="CK726" s="113"/>
      <c r="CL726" s="169">
        <f t="shared" si="1290"/>
        <v>-2.613563997156287E-3</v>
      </c>
      <c r="CM726" s="169">
        <f t="shared" si="1298"/>
        <v>5.3973569036065662E-3</v>
      </c>
      <c r="CN726" s="114">
        <f>VLOOKUP($H726,RoR!$E:$F,2,FALSE)</f>
        <v>2.7033333333333336E-2</v>
      </c>
      <c r="CO726" s="169"/>
      <c r="CP726" s="169"/>
      <c r="CQ726" s="169">
        <f t="shared" si="1299"/>
        <v>2.5504584704927058E-2</v>
      </c>
      <c r="CR726" s="169">
        <f t="shared" si="1300"/>
        <v>7.433422950153494E-2</v>
      </c>
      <c r="CS726" s="179">
        <f t="shared" si="1291"/>
        <v>0.90351694999999999</v>
      </c>
      <c r="CT726" s="180">
        <f t="shared" si="1292"/>
        <v>1.8969932656739068</v>
      </c>
      <c r="CU726" s="180">
        <f t="shared" si="1293"/>
        <v>5.0215782983970621E-2</v>
      </c>
      <c r="CV726" s="180">
        <f t="shared" si="1294"/>
        <v>0.655952481704143</v>
      </c>
      <c r="CW726" s="180">
        <f t="shared" si="1295"/>
        <v>6.2485378865697057E-2</v>
      </c>
      <c r="CX726" s="181">
        <f>CX725</f>
        <v>0.26076499999999997</v>
      </c>
      <c r="CY726" s="72">
        <v>0.37</v>
      </c>
      <c r="CZ726" s="182">
        <f t="shared" si="1297"/>
        <v>28.993817349275506</v>
      </c>
      <c r="DA726" s="182"/>
      <c r="DB726" s="169">
        <f t="shared" si="1302"/>
        <v>0.30312033916576975</v>
      </c>
      <c r="DC726" s="181">
        <f>VLOOKUP($H726,RoR!$E:$F,2,FALSE)</f>
        <v>2.7033333333333336E-2</v>
      </c>
      <c r="DD726" s="183">
        <f>HLOOKUP($H726,'GDP-PI'!$D$8:$CR$11,3,FALSE)</f>
        <v>4.2834637353352578E-2</v>
      </c>
      <c r="DE726" s="181">
        <f>VLOOKUP(H726,'HW Dx Data'!$E:$F,2,FALSE)</f>
        <v>933.02249921662576</v>
      </c>
      <c r="DF726" s="72">
        <f t="shared" si="1313"/>
        <v>157.25</v>
      </c>
      <c r="DG726" s="69">
        <f t="shared" si="1314"/>
        <v>2.6419062301765574E-2</v>
      </c>
      <c r="DH726" s="175">
        <f>HLOOKUP(H726,'GDP-PI'!$8:$9,2,FALSE)</f>
        <v>118.49</v>
      </c>
      <c r="DI726" s="169">
        <f t="shared" si="1303"/>
        <v>4.194261824609434E-2</v>
      </c>
      <c r="EB726"/>
    </row>
    <row r="727" spans="1:132" s="160" customFormat="1" ht="21">
      <c r="G727" s="161" t="s">
        <v>144</v>
      </c>
      <c r="H727" s="162"/>
      <c r="I727" s="163"/>
      <c r="J727" s="159">
        <v>163380.74873429697</v>
      </c>
      <c r="K727" s="159">
        <f t="shared" si="1304"/>
        <v>1005.1107273718668</v>
      </c>
      <c r="L727" s="164">
        <f t="shared" ref="L727" si="1326">LN(K727/K726)</f>
        <v>0.17952012208047594</v>
      </c>
      <c r="M727" s="76">
        <f t="shared" si="1315"/>
        <v>7.7082754427756526E-3</v>
      </c>
      <c r="N727" s="166">
        <f>+N726*EXP(O727)</f>
        <v>118.51533144906062</v>
      </c>
      <c r="O727" s="114">
        <f t="shared" si="1316"/>
        <v>-1.0716351338473734E-2</v>
      </c>
      <c r="P727" s="114"/>
      <c r="Q727" s="163">
        <v>196100</v>
      </c>
      <c r="R727" s="159">
        <f t="shared" si="1305"/>
        <v>1541.0609037328095</v>
      </c>
      <c r="S727" s="165">
        <f t="shared" ref="S727" si="1327">LN(R727/R726)</f>
        <v>-7.1326616661314748E-2</v>
      </c>
      <c r="T727" s="165">
        <f t="shared" si="1318"/>
        <v>-3.0626383341039423E-3</v>
      </c>
      <c r="U727" s="166"/>
      <c r="V727" s="114"/>
      <c r="W727" s="159">
        <f t="shared" si="1285"/>
        <v>338059.07330364315</v>
      </c>
      <c r="X727" s="168"/>
      <c r="Y727" s="167">
        <v>12773.15606495582</v>
      </c>
      <c r="Z727" s="168">
        <v>1.1199809566080007E-2</v>
      </c>
      <c r="AA727" s="76">
        <f t="shared" si="1306"/>
        <v>4.8089994615354312E-4</v>
      </c>
      <c r="AB727" s="166"/>
      <c r="AC727" s="114"/>
      <c r="AD727" s="163">
        <f t="shared" si="1281"/>
        <v>697539.82203794015</v>
      </c>
      <c r="AE727" s="168">
        <f t="shared" si="1319"/>
        <v>2.5316152210849124E-2</v>
      </c>
      <c r="AF727" s="113"/>
      <c r="AG727" s="114"/>
      <c r="AH727" s="114"/>
      <c r="AI727" s="114"/>
      <c r="AJ727" s="116">
        <f t="shared" si="1320"/>
        <v>308.77997132292387</v>
      </c>
      <c r="AK727" s="114"/>
      <c r="AL727" s="115">
        <f t="shared" si="1307"/>
        <v>0.234224260138958</v>
      </c>
      <c r="AM727" s="115">
        <f t="shared" si="1308"/>
        <v>0.28113090293120763</v>
      </c>
      <c r="AN727" s="115">
        <f t="shared" si="1309"/>
        <v>0.48464483692983429</v>
      </c>
      <c r="AO727" s="115"/>
      <c r="AP727" s="166"/>
      <c r="AQ727" s="168"/>
      <c r="AR727" s="69">
        <f>+AD727/$AF$27</f>
        <v>4.2938225272151714E-2</v>
      </c>
      <c r="AS727" s="169"/>
      <c r="AT727" s="166"/>
      <c r="AU727" s="168"/>
      <c r="AV727" s="113">
        <v>2259019</v>
      </c>
      <c r="AW727" s="68">
        <f t="shared" si="1301"/>
        <v>2.7301281020876192E-3</v>
      </c>
      <c r="AX727" s="113"/>
      <c r="AY727" s="113"/>
      <c r="AZ727" s="113"/>
      <c r="BA727" s="113"/>
      <c r="BB727" s="171"/>
      <c r="BC727" s="172"/>
      <c r="BD727" s="173"/>
      <c r="BE727" s="115"/>
      <c r="BF727" s="174"/>
      <c r="BG727" s="174"/>
      <c r="BH727" s="166"/>
      <c r="BI727" s="113"/>
      <c r="BJ727" s="113"/>
      <c r="BK727" s="113"/>
      <c r="BL727" s="113"/>
      <c r="BM727" s="232">
        <v>0.91999811912993867</v>
      </c>
      <c r="BN727" s="61">
        <f t="shared" ref="BN727:BN739" si="1328">+BM727*BL727</f>
        <v>0</v>
      </c>
      <c r="BO727" s="113"/>
      <c r="BP727" s="113"/>
      <c r="BQ727" s="175"/>
      <c r="BR727" s="175"/>
      <c r="BS727" s="170"/>
      <c r="BT727" s="176"/>
      <c r="BU727" s="177"/>
      <c r="BV727" s="177"/>
      <c r="BW727" s="113"/>
      <c r="BX727" s="113"/>
      <c r="BY727" s="113"/>
      <c r="BZ727" s="113"/>
      <c r="CA727" s="116">
        <v>2022</v>
      </c>
      <c r="CB727" s="113"/>
      <c r="CC727" s="113"/>
      <c r="CD727" s="113"/>
      <c r="CE727" s="175"/>
      <c r="CF727" s="238">
        <v>510580</v>
      </c>
      <c r="CG727" s="113">
        <f>+CF727/DE727</f>
        <v>495.31921498627298</v>
      </c>
      <c r="CH727" s="178">
        <f>+(51-24)/(51-24*0.75)</f>
        <v>0.81818181818181823</v>
      </c>
      <c r="CI727" s="113">
        <f>+CI703*CH727+CG704*CH726+CG705*CH725+CG706*CH724+CG707*CH723+CG708*CH722+CG709*CH721+CG710*CH720+CG711*CH719+CG712*CH718+CG713*CH717+CG714*CH716+CG715*CH715+CG716*CH714+CG717*CH713+CG718*CH712+CG719*CH711+CG720*CH710+CG721*CH709+CG722*CH708+CG723*CH707+CG724*CH706+CG725*CH705+CG726*CH704+CG727*CH703</f>
        <v>12850.872617957828</v>
      </c>
      <c r="CJ727" s="114">
        <f t="shared" ref="CJ727" si="1329">LN(CI727/CI726)</f>
        <v>1.7265740280199417E-2</v>
      </c>
      <c r="CK727" s="113"/>
      <c r="CL727" s="169">
        <f t="shared" si="1290"/>
        <v>2.1799232729422375E-2</v>
      </c>
      <c r="CM727" s="169">
        <f t="shared" si="1298"/>
        <v>9.5603222156540029E-3</v>
      </c>
      <c r="CN727" s="114"/>
      <c r="CO727" s="169"/>
      <c r="CP727" s="169"/>
      <c r="CQ727" s="69">
        <f t="shared" si="1299"/>
        <v>2.1341619392879624E-2</v>
      </c>
      <c r="CR727" s="169">
        <f t="shared" si="1300"/>
        <v>0.10114668178709289</v>
      </c>
      <c r="CS727" s="179">
        <f t="shared" si="1291"/>
        <v>0.90351694999999999</v>
      </c>
      <c r="CT727" s="180"/>
      <c r="CU727" s="180"/>
      <c r="CV727" s="180"/>
      <c r="CW727" s="180"/>
      <c r="CX727" s="181">
        <f>CX726</f>
        <v>0.26076499999999997</v>
      </c>
      <c r="CY727" s="72">
        <v>0.37</v>
      </c>
      <c r="CZ727" s="182">
        <f t="shared" si="1297"/>
        <v>26.764454339121073</v>
      </c>
      <c r="DA727" s="182"/>
      <c r="DB727" s="169"/>
      <c r="DC727" s="181">
        <v>0.04</v>
      </c>
      <c r="DD727" s="183">
        <v>7.0000000000000001E-3</v>
      </c>
      <c r="DE727" s="181">
        <v>1030.81</v>
      </c>
      <c r="DF727" s="72">
        <f t="shared" si="1313"/>
        <v>162.55000000000001</v>
      </c>
      <c r="DG727" s="169">
        <f t="shared" si="1314"/>
        <v>3.3148751169364422E-2</v>
      </c>
      <c r="DH727" s="175">
        <v>127.25</v>
      </c>
      <c r="DI727" s="169">
        <f t="shared" si="1303"/>
        <v>7.1325086601983473E-2</v>
      </c>
      <c r="EB727"/>
    </row>
    <row r="728" spans="1:132" s="160" customFormat="1" ht="21">
      <c r="A728" s="160" t="s">
        <v>202</v>
      </c>
      <c r="B728" s="161" t="s">
        <v>202</v>
      </c>
      <c r="C728" s="161">
        <v>4012860</v>
      </c>
      <c r="D728" s="161" t="s">
        <v>203</v>
      </c>
      <c r="E728" s="161"/>
      <c r="F728" s="161"/>
      <c r="G728" s="161" t="s">
        <v>100</v>
      </c>
      <c r="H728" s="162">
        <v>1998</v>
      </c>
      <c r="I728" s="163"/>
      <c r="J728" s="159"/>
      <c r="K728" s="159"/>
      <c r="L728" s="159"/>
      <c r="M728" s="60"/>
      <c r="N728" s="131"/>
      <c r="O728" s="76"/>
      <c r="P728" s="76"/>
      <c r="Q728" s="165"/>
      <c r="R728" s="165"/>
      <c r="S728" s="165"/>
      <c r="T728" s="159"/>
      <c r="U728" s="165"/>
      <c r="V728" s="165"/>
      <c r="W728" s="159"/>
      <c r="X728" s="163"/>
      <c r="Y728" s="167">
        <v>1798.8499391037922</v>
      </c>
      <c r="Z728" s="168"/>
      <c r="AA728" s="78"/>
      <c r="AB728" s="168"/>
      <c r="AC728" s="168"/>
      <c r="AD728" s="163">
        <f t="shared" si="1281"/>
        <v>0</v>
      </c>
      <c r="AE728" s="163"/>
      <c r="AF728" s="163"/>
      <c r="AG728" s="114"/>
      <c r="AH728" s="114"/>
      <c r="AI728" s="114"/>
      <c r="AJ728" s="166">
        <f>+(AJ725+AJ726+AJ727)/3</f>
        <v>282.11027314558015</v>
      </c>
      <c r="AK728" s="168"/>
      <c r="AL728" s="115"/>
      <c r="AM728" s="115"/>
      <c r="AN728" s="115"/>
      <c r="AO728" s="115"/>
      <c r="AP728" s="115"/>
      <c r="AQ728" s="168">
        <f>AVERAGE(AQ737:AQ751)</f>
        <v>6.5620855629366006E-3</v>
      </c>
      <c r="AR728" s="115"/>
      <c r="AS728" s="115"/>
      <c r="AT728" s="115"/>
      <c r="AU728" s="115"/>
      <c r="AV728" s="113">
        <f>IFERROR(INDEX('Total Customers'!$F$7:$AB$91,MATCH($C728,'Total Customers'!$D$7:$D$91,0),MATCH($G728,'Total Customers'!$F$5:$AB$5,0)),"NA")</f>
        <v>659531</v>
      </c>
      <c r="AW728" s="68"/>
      <c r="AX728" s="114"/>
      <c r="AY728" s="114"/>
      <c r="AZ728" s="116"/>
      <c r="BA728" s="116"/>
      <c r="BB728" s="166"/>
      <c r="BC728" s="166"/>
      <c r="BD728" s="166"/>
      <c r="BE728" s="166"/>
      <c r="BF728" s="166"/>
      <c r="BG728" s="166"/>
      <c r="BH728" s="166"/>
      <c r="BI728" s="113">
        <f>INDEX('Gross Dx Plant'!$E$7:$AD$91,MATCH($C728,'Gross Dx Plant'!$D$7:$D$91,0),MATCH(Calculation!$G728,'Gross Dx Plant'!$E$5:$AD$5,0))</f>
        <v>844327</v>
      </c>
      <c r="BJ728" s="113">
        <f>INDEX('Gross Gen Plant'!$E$7:$AD$91,MATCH($C728,'Gross Gen Plant'!$D$7:$D$91,0),MATCH(Calculation!$G728,'Gross Gen Plant'!$E$5:$AD$5,0))</f>
        <v>85950</v>
      </c>
      <c r="BK728" s="113">
        <f>INDEX('Dist. Plant Gas Additions'!$F$7:$AE$91,MATCH($C728,'Dist. Plant Gas Additions'!$D$7:$D$91,0),MATCH(Calculation!$G728,'Dist. Plant Gas Additions'!$F$5:$AE$5,0))</f>
        <v>36444</v>
      </c>
      <c r="BL728" s="113">
        <f>INDEX('Gen. Plant Additions'!$F$7:$AE$91,MATCH($C728,'Gen. Plant Additions'!$D$7:$D$91,0),MATCH(Calculation!$G728,'Gen. Plant Additions'!$F$5:$AE$5,0))</f>
        <v>4375</v>
      </c>
      <c r="BM728" s="231">
        <f>+(BW728/(BW728+BX728))</f>
        <v>0.90760816401996391</v>
      </c>
      <c r="BN728" s="61">
        <f t="shared" si="1328"/>
        <v>3970.7857175873423</v>
      </c>
      <c r="BO728" s="113">
        <f>INDEX('Dist Plant Depreciation'!$E$7:$AD$94,MATCH($C728,'Dist Plant Depreciation'!$D$7:$D$94,0),MATCH(Calculation!$G728,'Dist Plant Depreciation'!$E$5:$AD$5,0))</f>
        <v>532951</v>
      </c>
      <c r="BP728" s="113">
        <f>INDEX('Gen. Plant Depreciation'!$E$7:$AD$94,MATCH($C728,'Gen. Plant Depreciation'!$D$7:$D$94,0),MATCH(Calculation!$G728,'Gen. Plant Depreciation'!$E$5:$AD$5,0))</f>
        <v>34463</v>
      </c>
      <c r="BQ728" s="113"/>
      <c r="BR728" s="113"/>
      <c r="BS728" s="113"/>
      <c r="BT728" s="113"/>
      <c r="BU728" s="113"/>
      <c r="BV728" s="113"/>
      <c r="BW728" s="113">
        <f>INDEX('Gross Dx Plant'!$E$7:$AD$91,MATCH($C728,'Gross Dx Plant'!$D$7:$D$91,0),MATCH(Calculation!$G728,'Gross Dx Plant'!$E$5:$AD$5,0))</f>
        <v>844327</v>
      </c>
      <c r="BX728" s="113">
        <f>INDEX('Gross Gen Plant'!$E$7:$AD$91,MATCH($C728,'Gross Gen Plant'!$D$7:$D$91,0),MATCH(Calculation!$G728,'Gross Gen Plant'!$E$5:$AD$5,0))</f>
        <v>85950</v>
      </c>
      <c r="BY728" s="113">
        <f t="shared" si="1325"/>
        <v>362863</v>
      </c>
      <c r="BZ728" s="113"/>
      <c r="CA728" s="116">
        <v>1998</v>
      </c>
      <c r="CB728" s="113">
        <f>BI728+BJ728</f>
        <v>930277</v>
      </c>
      <c r="CC728" s="113">
        <f>532951+34463</f>
        <v>567414</v>
      </c>
      <c r="CD728" s="113">
        <f>+CB728-CC728</f>
        <v>362863</v>
      </c>
      <c r="CE728" s="113">
        <f>CD728/$BV$3</f>
        <v>1798.8499391037922</v>
      </c>
      <c r="CF728" s="175"/>
      <c r="CG728" s="175"/>
      <c r="CH728" s="178">
        <v>1</v>
      </c>
      <c r="CI728" s="113">
        <f>+CE728</f>
        <v>1798.8499391037922</v>
      </c>
      <c r="CJ728" s="114"/>
      <c r="CK728" s="114"/>
      <c r="CL728" s="169"/>
      <c r="CM728" s="169"/>
      <c r="CN728" s="114" t="e">
        <f>VLOOKUP($H728,RoR!$E:$F,2,FALSE)</f>
        <v>#N/A</v>
      </c>
      <c r="CO728" s="169">
        <v>1.1028127770464469E-2</v>
      </c>
      <c r="CP728" s="169"/>
      <c r="CQ728" s="169"/>
      <c r="CR728" s="169"/>
      <c r="CS728" s="179"/>
      <c r="CT728" s="182" t="e">
        <f>2/(DC728*39)</f>
        <v>#N/A</v>
      </c>
      <c r="CU728" s="180" t="e">
        <f>+(DC728*40-(1+DC728))/(DC728*40)</f>
        <v>#N/A</v>
      </c>
      <c r="CV728" s="180" t="e">
        <f>+(1-(1/(1+DC728)^40))</f>
        <v>#N/A</v>
      </c>
      <c r="CW728" s="180" t="e">
        <f>+CV728*CU728*CT728</f>
        <v>#N/A</v>
      </c>
      <c r="CX728" s="181">
        <f>INDEX('State Tax Lookup'!$D$7:$Z$91,MATCH(Calculation!$C728,'State Tax Lookup'!$B$7:$B$91,0),MATCH($H728,'State Tax Lookup'!$D$6:$Z$6,0))</f>
        <v>0.39989833000000002</v>
      </c>
      <c r="CY728" s="72">
        <v>0.37</v>
      </c>
      <c r="CZ728" s="66"/>
      <c r="DA728" s="66"/>
      <c r="DB728" s="69"/>
      <c r="DC728" s="111" t="e">
        <f>VLOOKUP($H728,RoR!$E:$F,2,FALSE)</f>
        <v>#N/A</v>
      </c>
      <c r="DD728" s="216">
        <f>HLOOKUP($H728,'GDP-PI'!$D$8:$CQ$11,3,FALSE)</f>
        <v>1.1028127770464469E-2</v>
      </c>
      <c r="DE728" s="111">
        <f>VLOOKUP(H728,'HW Dx Data'!$E:$F,2,FALSE)</f>
        <v>329.24564746449528</v>
      </c>
      <c r="DF728" s="72" t="e">
        <f t="shared" si="1313"/>
        <v>#N/A</v>
      </c>
      <c r="DG728" s="169" t="e">
        <f t="shared" si="1314"/>
        <v>#N/A</v>
      </c>
      <c r="DH728" s="66">
        <f>HLOOKUP(H728,'GDP-PI'!$8:$9,2,FALSE)</f>
        <v>75.266999999999996</v>
      </c>
      <c r="DI728"/>
      <c r="EB728"/>
    </row>
    <row r="729" spans="1:132" s="160" customFormat="1" ht="21">
      <c r="A729" s="160" t="s">
        <v>202</v>
      </c>
      <c r="B729" s="161" t="s">
        <v>202</v>
      </c>
      <c r="C729" s="161">
        <v>4012860</v>
      </c>
      <c r="D729" s="161" t="s">
        <v>203</v>
      </c>
      <c r="E729" s="161"/>
      <c r="F729" s="161"/>
      <c r="G729" s="161" t="s">
        <v>106</v>
      </c>
      <c r="H729" s="162">
        <v>1999</v>
      </c>
      <c r="I729" s="163"/>
      <c r="J729" s="159"/>
      <c r="K729" s="163"/>
      <c r="L729" s="163"/>
      <c r="M729" s="60"/>
      <c r="N729" s="152"/>
      <c r="O729" s="60"/>
      <c r="P729" s="59"/>
      <c r="Q729" s="169"/>
      <c r="R729" s="169"/>
      <c r="S729" s="169"/>
      <c r="T729" s="187"/>
      <c r="U729" s="169"/>
      <c r="V729" s="169"/>
      <c r="W729" s="159">
        <f t="shared" ref="W729:W752" si="1330">+CI728*CZ729</f>
        <v>0</v>
      </c>
      <c r="X729" s="163"/>
      <c r="Y729" s="167">
        <v>1888.5867884948532</v>
      </c>
      <c r="Z729" s="168">
        <v>4.8681280442325586E-2</v>
      </c>
      <c r="AA729" s="78"/>
      <c r="AB729" s="168"/>
      <c r="AC729" s="168"/>
      <c r="AD729" s="163">
        <f t="shared" si="1281"/>
        <v>0</v>
      </c>
      <c r="AE729" s="168"/>
      <c r="AF729" s="163"/>
      <c r="AG729" s="114"/>
      <c r="AH729" s="114"/>
      <c r="AI729" s="114"/>
      <c r="AJ729" s="167"/>
      <c r="AK729" s="168"/>
      <c r="AL729" s="115"/>
      <c r="AM729" s="115"/>
      <c r="AN729" s="115"/>
      <c r="AO729" s="115"/>
      <c r="AP729" s="115"/>
      <c r="AQ729" s="168"/>
      <c r="AR729" s="115"/>
      <c r="AS729" s="115"/>
      <c r="AT729" s="115"/>
      <c r="AU729" s="115"/>
      <c r="AV729" s="113">
        <f>IFERROR(INDEX('Total Customers'!$F$7:$AB$91,MATCH($C729,'Total Customers'!$D$7:$D$91,0),MATCH($G729,'Total Customers'!$F$5:$AB$5,0)),"NA")</f>
        <v>691549</v>
      </c>
      <c r="AW729" s="68">
        <f t="shared" si="1301"/>
        <v>4.7405032682925424E-2</v>
      </c>
      <c r="AX729" s="114"/>
      <c r="AY729" s="114"/>
      <c r="AZ729" s="116"/>
      <c r="BA729" s="116"/>
      <c r="BB729" s="166"/>
      <c r="BC729" s="166"/>
      <c r="BD729" s="166"/>
      <c r="BE729" s="166"/>
      <c r="BF729" s="166"/>
      <c r="BG729" s="166"/>
      <c r="BH729" s="166"/>
      <c r="BI729" s="113"/>
      <c r="BJ729" s="113"/>
      <c r="BK729" s="113">
        <f>INDEX('Dist. Plant Gas Additions'!$F$7:$AE$91,MATCH($C729,'Dist. Plant Gas Additions'!$D$7:$D$91,0),MATCH(Calculation!$G729,'Dist. Plant Gas Additions'!$F$5:$AE$5,0))</f>
        <v>31879</v>
      </c>
      <c r="BL729" s="113">
        <f>INDEX('Gen. Plant Additions'!$F$7:$AE$91,MATCH($C729,'Gen. Plant Additions'!$D$7:$D$91,0),MATCH(Calculation!$G729,'Gen. Plant Additions'!$F$5:$AE$5,0))</f>
        <v>1213</v>
      </c>
      <c r="BM729" s="231">
        <f t="shared" ref="BM729:BM750" si="1331">+(BW729/(BW729+BX729))</f>
        <v>0.91098089438331464</v>
      </c>
      <c r="BN729" s="61">
        <f t="shared" si="1328"/>
        <v>1105.0198248869606</v>
      </c>
      <c r="BO729" s="113">
        <f>INDEX('Dist Plant Depreciation'!$E$7:$AD$94,MATCH($C729,'Dist Plant Depreciation'!$D$7:$D$94,0),MATCH(Calculation!$G729,'Dist Plant Depreciation'!$E$5:$AD$5,0))</f>
        <v>576582</v>
      </c>
      <c r="BP729" s="113">
        <f>INDEX('Gen. Plant Depreciation'!$E$7:$AD$94,MATCH($C729,'Gen. Plant Depreciation'!$D$7:$D$94,0),MATCH(Calculation!$G729,'Gen. Plant Depreciation'!$E$5:$AD$5,0))</f>
        <v>37753</v>
      </c>
      <c r="BQ729" s="113"/>
      <c r="BR729" s="113"/>
      <c r="BS729" s="113"/>
      <c r="BT729" s="113"/>
      <c r="BU729" s="113"/>
      <c r="BV729" s="113"/>
      <c r="BW729" s="113">
        <f>INDEX('Gross Dx Plant'!$E$7:$AD$91,MATCH($C729,'Gross Dx Plant'!$D$7:$D$91,0),MATCH(Calculation!$G729,'Gross Dx Plant'!$E$5:$AD$5,0))</f>
        <v>871376</v>
      </c>
      <c r="BX729" s="113">
        <f>INDEX('Gross Gen Plant'!$E$7:$AD$91,MATCH($C729,'Gross Gen Plant'!$D$7:$D$91,0),MATCH(Calculation!$G729,'Gross Gen Plant'!$E$5:$AD$5,0))</f>
        <v>85149</v>
      </c>
      <c r="BY729" s="113">
        <f t="shared" si="1325"/>
        <v>342190</v>
      </c>
      <c r="BZ729" s="113"/>
      <c r="CA729" s="116">
        <v>1999</v>
      </c>
      <c r="CB729" s="113"/>
      <c r="CC729" s="113"/>
      <c r="CD729" s="113"/>
      <c r="CE729" s="175"/>
      <c r="CF729" s="113">
        <f t="shared" ref="CF729:CF751" si="1332">+BL729+BK729</f>
        <v>33092</v>
      </c>
      <c r="CG729" s="113">
        <f t="shared" ref="CG729:CG751" si="1333">+CF729/$DE729</f>
        <v>98.686351575656985</v>
      </c>
      <c r="CH729" s="178">
        <v>0.99502487562189057</v>
      </c>
      <c r="CI729" s="61">
        <f>+CI728*CH729+CG729</f>
        <v>1888.5867884948532</v>
      </c>
      <c r="CJ729" s="114">
        <f t="shared" ref="CJ729:CJ750" si="1334">LN(CI729/CI728)</f>
        <v>4.8681280442325586E-2</v>
      </c>
      <c r="CK729" s="114"/>
      <c r="CL729" s="169">
        <f t="shared" ref="CL729:CL752" si="1335">+(CI728-CI729+CG729)/CI728</f>
        <v>4.9751243781094474E-3</v>
      </c>
      <c r="CM729" s="169"/>
      <c r="CN729" s="114">
        <f>VLOOKUP($H729,RoR!$E:$F,2,FALSE)</f>
        <v>7.0416666666666669E-2</v>
      </c>
      <c r="CO729" s="169">
        <v>1.4335631817396832E-2</v>
      </c>
      <c r="CP729" s="169">
        <f>+CN729-CO729</f>
        <v>5.6081034849269837E-2</v>
      </c>
      <c r="CQ729" s="169"/>
      <c r="CR729" s="169"/>
      <c r="CS729" s="179">
        <f t="shared" ref="CS729:CS753" si="1336">1-CX729*CY729</f>
        <v>0.85203761789999999</v>
      </c>
      <c r="CT729" s="180">
        <f t="shared" ref="CT729:CT751" si="1337">2/(DC729*39)</f>
        <v>0.72826581702321336</v>
      </c>
      <c r="CU729" s="180">
        <f t="shared" ref="CU729:CU751" si="1338">+(DC729*40-(1+DC729))/(DC729*40)</f>
        <v>0.61997041420118348</v>
      </c>
      <c r="CV729" s="180">
        <f t="shared" ref="CV729:CV751" si="1339">+(1-(1/(1+DC729)^40))</f>
        <v>0.93425155319585029</v>
      </c>
      <c r="CW729" s="180">
        <f t="shared" ref="CW729:CW751" si="1340">+CV729*CU729*CT729</f>
        <v>0.42181762214141483</v>
      </c>
      <c r="CX729" s="181">
        <f>INDEX('State Tax Lookup'!$D$7:$Z$91,MATCH(Calculation!$C729,'State Tax Lookup'!$B$7:$B$91,0),MATCH($H729,'State Tax Lookup'!$D$6:$Z$6,0))</f>
        <v>0.39989833000000002</v>
      </c>
      <c r="CY729" s="72">
        <v>0.37</v>
      </c>
      <c r="CZ729" s="70"/>
      <c r="DA729" s="70"/>
      <c r="DB729" s="69"/>
      <c r="DC729" s="111">
        <f>VLOOKUP($H729,RoR!$E:$F,2,FALSE)</f>
        <v>7.0416666666666669E-2</v>
      </c>
      <c r="DD729" s="216">
        <f>HLOOKUP($H729,'GDP-PI'!$D$8:$CQ$11,3,FALSE)</f>
        <v>1.4335631817396832E-2</v>
      </c>
      <c r="DE729" s="111">
        <f>VLOOKUP(H729,'HW Dx Data'!$E:$F,2,FALSE)</f>
        <v>335.32499146683239</v>
      </c>
      <c r="DF729" s="66"/>
      <c r="DG729" s="69"/>
      <c r="DH729" s="66">
        <f>HLOOKUP(H729,'GDP-PI'!$8:$9,2,FALSE)</f>
        <v>76.346000000000004</v>
      </c>
      <c r="DI729"/>
      <c r="EB729"/>
    </row>
    <row r="730" spans="1:132" s="160" customFormat="1" ht="21">
      <c r="A730" s="160" t="s">
        <v>202</v>
      </c>
      <c r="B730" s="161" t="s">
        <v>202</v>
      </c>
      <c r="C730" s="161">
        <v>4012860</v>
      </c>
      <c r="D730" s="161" t="s">
        <v>203</v>
      </c>
      <c r="E730" s="161"/>
      <c r="F730" s="161"/>
      <c r="G730" s="161" t="s">
        <v>107</v>
      </c>
      <c r="H730" s="162">
        <v>2000</v>
      </c>
      <c r="I730" s="163"/>
      <c r="J730" s="159"/>
      <c r="K730" s="159"/>
      <c r="L730" s="159"/>
      <c r="M730" s="60"/>
      <c r="N730" s="152"/>
      <c r="O730" s="60"/>
      <c r="P730" s="60"/>
      <c r="Q730" s="159"/>
      <c r="R730" s="159"/>
      <c r="S730" s="159"/>
      <c r="T730" s="159"/>
      <c r="U730" s="159"/>
      <c r="V730" s="159"/>
      <c r="W730" s="159">
        <f t="shared" si="1330"/>
        <v>0</v>
      </c>
      <c r="X730" s="163"/>
      <c r="Y730" s="167">
        <v>2057.6427093592197</v>
      </c>
      <c r="Z730" s="168">
        <v>8.5732193300941464E-2</v>
      </c>
      <c r="AA730" s="78"/>
      <c r="AB730" s="168"/>
      <c r="AC730" s="168"/>
      <c r="AD730" s="163">
        <f t="shared" si="1281"/>
        <v>0</v>
      </c>
      <c r="AE730" s="168"/>
      <c r="AF730" s="163"/>
      <c r="AG730" s="163"/>
      <c r="AH730" s="163"/>
      <c r="AI730" s="163"/>
      <c r="AJ730" s="167"/>
      <c r="AK730" s="168"/>
      <c r="AL730" s="115"/>
      <c r="AM730" s="115"/>
      <c r="AN730" s="115"/>
      <c r="AO730" s="115"/>
      <c r="AP730" s="115"/>
      <c r="AQ730" s="168"/>
      <c r="AR730" s="115"/>
      <c r="AS730" s="115"/>
      <c r="AT730" s="115"/>
      <c r="AU730" s="115"/>
      <c r="AV730" s="113">
        <f>IFERROR(INDEX('Total Customers'!$F$7:$AB$91,MATCH($C730,'Total Customers'!$D$7:$D$91,0),MATCH($G730,'Total Customers'!$F$5:$AB$5,0)),"NA")</f>
        <v>698076</v>
      </c>
      <c r="AW730" s="68">
        <f t="shared" si="1301"/>
        <v>9.3939703139602152E-3</v>
      </c>
      <c r="AX730" s="114"/>
      <c r="AY730" s="114"/>
      <c r="AZ730" s="116"/>
      <c r="BA730" s="116"/>
      <c r="BB730" s="166"/>
      <c r="BC730" s="166"/>
      <c r="BD730" s="166"/>
      <c r="BE730" s="166"/>
      <c r="BF730" s="166"/>
      <c r="BG730" s="166"/>
      <c r="BH730" s="166"/>
      <c r="BI730" s="113"/>
      <c r="BJ730" s="113"/>
      <c r="BK730" s="113">
        <f>INDEX('Dist. Plant Gas Additions'!$F$7:$AE$91,MATCH($C730,'Dist. Plant Gas Additions'!$D$7:$D$91,0),MATCH(Calculation!$G730,'Dist. Plant Gas Additions'!$F$5:$AE$5,0))</f>
        <v>44945</v>
      </c>
      <c r="BL730" s="113">
        <f>INDEX('Gen. Plant Additions'!$F$7:$AE$91,MATCH($C730,'Gen. Plant Additions'!$D$7:$D$91,0),MATCH(Calculation!$G730,'Gen. Plant Additions'!$F$5:$AE$5,0))</f>
        <v>17004</v>
      </c>
      <c r="BM730" s="231">
        <f t="shared" si="1331"/>
        <v>0.90304628871403536</v>
      </c>
      <c r="BN730" s="61">
        <f t="shared" si="1328"/>
        <v>15355.399093293458</v>
      </c>
      <c r="BO730" s="113">
        <f>INDEX('Dist Plant Depreciation'!$E$7:$AD$94,MATCH($C730,'Dist Plant Depreciation'!$D$7:$D$94,0),MATCH(Calculation!$G730,'Dist Plant Depreciation'!$E$5:$AD$5,0))</f>
        <v>624198</v>
      </c>
      <c r="BP730" s="113">
        <f>INDEX('Gen. Plant Depreciation'!$E$7:$AD$94,MATCH($C730,'Gen. Plant Depreciation'!$D$7:$D$94,0),MATCH(Calculation!$G730,'Gen. Plant Depreciation'!$E$5:$AD$5,0))</f>
        <v>39483</v>
      </c>
      <c r="BQ730" s="113"/>
      <c r="BR730" s="113"/>
      <c r="BS730" s="113"/>
      <c r="BT730" s="113"/>
      <c r="BU730" s="113"/>
      <c r="BV730" s="113"/>
      <c r="BW730" s="113">
        <f>INDEX('Gross Dx Plant'!$E$7:$AD$91,MATCH($C730,'Gross Dx Plant'!$D$7:$D$91,0),MATCH(Calculation!$G730,'Gross Dx Plant'!$E$5:$AD$5,0))</f>
        <v>913099</v>
      </c>
      <c r="BX730" s="113">
        <f>INDEX('Gross Gen Plant'!$E$7:$AD$91,MATCH($C730,'Gross Gen Plant'!$D$7:$D$91,0),MATCH(Calculation!$G730,'Gross Gen Plant'!$E$5:$AD$5,0))</f>
        <v>98033</v>
      </c>
      <c r="BY730" s="113">
        <f t="shared" si="1325"/>
        <v>347451</v>
      </c>
      <c r="BZ730" s="113"/>
      <c r="CA730" s="116">
        <v>2000</v>
      </c>
      <c r="CB730" s="113"/>
      <c r="CC730" s="113"/>
      <c r="CD730" s="113"/>
      <c r="CE730" s="175"/>
      <c r="CF730" s="113">
        <f t="shared" si="1332"/>
        <v>61949</v>
      </c>
      <c r="CG730" s="113">
        <f t="shared" si="1333"/>
        <v>178.76759695836989</v>
      </c>
      <c r="CH730" s="178">
        <v>0.98989898989898994</v>
      </c>
      <c r="CI730" s="61">
        <f>+CI728*CH730+CG729*CH729+CG730</f>
        <v>2057.6427093592197</v>
      </c>
      <c r="CJ730" s="114">
        <f t="shared" si="1334"/>
        <v>8.5732193300941464E-2</v>
      </c>
      <c r="CK730" s="114"/>
      <c r="CL730" s="169">
        <f t="shared" si="1335"/>
        <v>5.142298015196489E-3</v>
      </c>
      <c r="CM730" s="169"/>
      <c r="CN730" s="114">
        <f>VLOOKUP($H730,RoR!$E:$F,2,FALSE)</f>
        <v>7.6225000000000001E-2</v>
      </c>
      <c r="CO730" s="169">
        <v>2.2568307442433211E-2</v>
      </c>
      <c r="CP730" s="169">
        <f t="shared" ref="CP730:CP750" si="1341">+CN730-CO730</f>
        <v>5.365669255756679E-2</v>
      </c>
      <c r="CQ730" s="169"/>
      <c r="CR730" s="169"/>
      <c r="CS730" s="179">
        <f t="shared" si="1336"/>
        <v>0.85203761789999999</v>
      </c>
      <c r="CT730" s="180">
        <f t="shared" si="1337"/>
        <v>0.67277207323124022</v>
      </c>
      <c r="CU730" s="180">
        <f t="shared" si="1338"/>
        <v>0.6470236142997704</v>
      </c>
      <c r="CV730" s="180">
        <f t="shared" si="1339"/>
        <v>0.94704866037543145</v>
      </c>
      <c r="CW730" s="180">
        <f t="shared" si="1340"/>
        <v>0.41224973107878493</v>
      </c>
      <c r="CX730" s="181">
        <f>INDEX('State Tax Lookup'!$D$7:$Z$91,MATCH(Calculation!$C730,'State Tax Lookup'!$B$7:$B$91,0),MATCH($H730,'State Tax Lookup'!$D$6:$Z$6,0))</f>
        <v>0.39989833000000002</v>
      </c>
      <c r="CY730" s="72">
        <v>0.37</v>
      </c>
      <c r="CZ730" s="70"/>
      <c r="DA730" s="70"/>
      <c r="DB730" s="69"/>
      <c r="DC730" s="111">
        <f>VLOOKUP($H730,RoR!$E:$F,2,FALSE)</f>
        <v>7.6225000000000001E-2</v>
      </c>
      <c r="DD730" s="216">
        <f>HLOOKUP($H730,'GDP-PI'!$D$8:$CQ$11,3,FALSE)</f>
        <v>2.2568307442433211E-2</v>
      </c>
      <c r="DE730" s="111">
        <f>VLOOKUP(H730,'HW Dx Data'!$E:$F,2,FALSE)</f>
        <v>346.53371782150339</v>
      </c>
      <c r="DF730" s="66"/>
      <c r="DG730" s="69"/>
      <c r="DH730" s="66">
        <f>HLOOKUP(H730,'GDP-PI'!$8:$9,2,FALSE)</f>
        <v>78.069000000000003</v>
      </c>
      <c r="DI730"/>
      <c r="EB730"/>
    </row>
    <row r="731" spans="1:132" s="160" customFormat="1" ht="21">
      <c r="A731" s="160" t="s">
        <v>202</v>
      </c>
      <c r="B731" s="161" t="s">
        <v>202</v>
      </c>
      <c r="C731" s="161">
        <v>4012860</v>
      </c>
      <c r="D731" s="161" t="s">
        <v>203</v>
      </c>
      <c r="E731" s="161"/>
      <c r="F731" s="161"/>
      <c r="G731" s="161" t="s">
        <v>111</v>
      </c>
      <c r="H731" s="162">
        <v>2001</v>
      </c>
      <c r="I731" s="163"/>
      <c r="J731" s="159"/>
      <c r="K731" s="159"/>
      <c r="L731" s="159"/>
      <c r="M731" s="60"/>
      <c r="N731" s="152"/>
      <c r="O731" s="60"/>
      <c r="P731" s="60"/>
      <c r="Q731" s="159"/>
      <c r="R731" s="159"/>
      <c r="S731" s="159"/>
      <c r="T731" s="159"/>
      <c r="U731" s="159"/>
      <c r="V731" s="159"/>
      <c r="W731" s="159">
        <f t="shared" si="1330"/>
        <v>26682.248111465484</v>
      </c>
      <c r="X731" s="163"/>
      <c r="Y731" s="167">
        <v>2169.2799691399714</v>
      </c>
      <c r="Z731" s="168">
        <v>5.2834289307365286E-2</v>
      </c>
      <c r="AA731" s="78"/>
      <c r="AB731" s="168"/>
      <c r="AC731" s="168"/>
      <c r="AD731" s="163">
        <f t="shared" si="1281"/>
        <v>26682.248111465484</v>
      </c>
      <c r="AE731" s="168"/>
      <c r="AF731" s="163"/>
      <c r="AG731" s="163"/>
      <c r="AH731" s="163"/>
      <c r="AI731" s="163"/>
      <c r="AJ731" s="167"/>
      <c r="AK731" s="168"/>
      <c r="AL731" s="115"/>
      <c r="AM731" s="115"/>
      <c r="AN731" s="115"/>
      <c r="AO731" s="115"/>
      <c r="AP731" s="115"/>
      <c r="AQ731" s="168"/>
      <c r="AR731" s="115"/>
      <c r="AS731" s="115"/>
      <c r="AT731" s="115"/>
      <c r="AU731" s="115"/>
      <c r="AV731" s="113">
        <f>IFERROR(INDEX('Total Customers'!$F$7:$AB$91,MATCH($C731,'Total Customers'!$D$7:$D$91,0),MATCH($G731,'Total Customers'!$F$5:$AB$5,0)),"NA")</f>
        <v>702194</v>
      </c>
      <c r="AW731" s="68">
        <f t="shared" si="1301"/>
        <v>5.8817397670405131E-3</v>
      </c>
      <c r="AX731" s="114"/>
      <c r="AY731" s="114"/>
      <c r="AZ731" s="116"/>
      <c r="BA731" s="116"/>
      <c r="BB731" s="166"/>
      <c r="BC731" s="166"/>
      <c r="BD731" s="166"/>
      <c r="BE731" s="166"/>
      <c r="BF731" s="166"/>
      <c r="BG731" s="166"/>
      <c r="BH731" s="166"/>
      <c r="BI731" s="113"/>
      <c r="BJ731" s="113"/>
      <c r="BK731" s="113">
        <f>INDEX('Dist. Plant Gas Additions'!$F$7:$AE$91,MATCH($C731,'Dist. Plant Gas Additions'!$D$7:$D$91,0),MATCH(Calculation!$G731,'Dist. Plant Gas Additions'!$F$5:$AE$5,0))</f>
        <v>40816</v>
      </c>
      <c r="BL731" s="113">
        <f>INDEX('Gen. Plant Additions'!$F$7:$AE$91,MATCH($C731,'Gen. Plant Additions'!$D$7:$D$91,0),MATCH(Calculation!$G731,'Gen. Plant Additions'!$F$5:$AE$5,0))</f>
        <v>2180</v>
      </c>
      <c r="BM731" s="231">
        <f t="shared" si="1331"/>
        <v>0.90818681497133313</v>
      </c>
      <c r="BN731" s="61">
        <f t="shared" si="1328"/>
        <v>1979.8472566375062</v>
      </c>
      <c r="BO731" s="113">
        <f>INDEX('Dist Plant Depreciation'!$E$7:$AD$94,MATCH($C731,'Dist Plant Depreciation'!$D$7:$D$94,0),MATCH(Calculation!$G731,'Dist Plant Depreciation'!$E$5:$AD$5,0))</f>
        <v>740726</v>
      </c>
      <c r="BP731" s="113">
        <f>INDEX('Gen. Plant Depreciation'!$E$7:$AD$94,MATCH($C731,'Gen. Plant Depreciation'!$D$7:$D$94,0),MATCH(Calculation!$G731,'Gen. Plant Depreciation'!$E$5:$AD$5,0))</f>
        <v>107836</v>
      </c>
      <c r="BQ731" s="113"/>
      <c r="BR731" s="113"/>
      <c r="BS731" s="113"/>
      <c r="BT731" s="113"/>
      <c r="BU731" s="113"/>
      <c r="BV731" s="113"/>
      <c r="BW731" s="113">
        <f>INDEX('Gross Dx Plant'!$E$7:$AD$91,MATCH($C731,'Gross Dx Plant'!$D$7:$D$91,0),MATCH(Calculation!$G731,'Gross Dx Plant'!$E$5:$AD$5,0))</f>
        <v>950739</v>
      </c>
      <c r="BX731" s="113">
        <f>INDEX('Gross Gen Plant'!$E$7:$AD$91,MATCH($C731,'Gross Gen Plant'!$D$7:$D$91,0),MATCH(Calculation!$G731,'Gross Gen Plant'!$E$5:$AD$5,0))</f>
        <v>96115</v>
      </c>
      <c r="BY731" s="113">
        <f t="shared" si="1325"/>
        <v>198292</v>
      </c>
      <c r="BZ731" s="113"/>
      <c r="CA731" s="116">
        <v>2001</v>
      </c>
      <c r="CB731" s="113"/>
      <c r="CC731" s="113"/>
      <c r="CD731" s="113"/>
      <c r="CE731" s="175"/>
      <c r="CF731" s="113">
        <f t="shared" si="1332"/>
        <v>42996</v>
      </c>
      <c r="CG731" s="113">
        <f t="shared" si="1333"/>
        <v>121.64752778400053</v>
      </c>
      <c r="CH731" s="178">
        <v>0.98461538461538467</v>
      </c>
      <c r="CI731" s="61">
        <f>+CI728*CH731+CG729*CH730+CG730*CH728+CG731</f>
        <v>2169.2799691399714</v>
      </c>
      <c r="CJ731" s="114">
        <f t="shared" si="1334"/>
        <v>5.2834289307365286E-2</v>
      </c>
      <c r="CK731" s="114"/>
      <c r="CL731" s="169">
        <f t="shared" si="1335"/>
        <v>4.8649204051398002E-3</v>
      </c>
      <c r="CM731" s="169">
        <f>+(CL731+CL730+CL729)/3</f>
        <v>4.9941142661485789E-3</v>
      </c>
      <c r="CN731" s="114">
        <f>VLOOKUP($H731,RoR!$E:$F,2,FALSE)</f>
        <v>7.0824999999999999E-2</v>
      </c>
      <c r="CO731" s="169">
        <v>2.2454495382290052E-2</v>
      </c>
      <c r="CP731" s="169">
        <f t="shared" si="1341"/>
        <v>4.8370504617709947E-2</v>
      </c>
      <c r="CQ731" s="169">
        <f>+$CP$2-CM731</f>
        <v>2.5907827342385045E-2</v>
      </c>
      <c r="CR731" s="169">
        <f>+((DE729/DE728-1)+(DE730/DE729-1)+(DE731/DE730-1))/3</f>
        <v>2.3947275901631187E-2</v>
      </c>
      <c r="CS731" s="179">
        <f t="shared" si="1336"/>
        <v>0.85203761789999999</v>
      </c>
      <c r="CT731" s="180">
        <f t="shared" si="1337"/>
        <v>0.72406708481540816</v>
      </c>
      <c r="CU731" s="180">
        <f t="shared" si="1338"/>
        <v>0.62201729615248857</v>
      </c>
      <c r="CV731" s="180">
        <f t="shared" si="1339"/>
        <v>0.9352469954311422</v>
      </c>
      <c r="CW731" s="180">
        <f t="shared" si="1340"/>
        <v>0.42121864641655071</v>
      </c>
      <c r="CX731" s="181">
        <f>INDEX('State Tax Lookup'!$D$7:$Z$91,MATCH(Calculation!$C731,'State Tax Lookup'!$B$7:$B$91,0),MATCH($H731,'State Tax Lookup'!$D$6:$Z$6,0))</f>
        <v>0.39989833000000002</v>
      </c>
      <c r="CY731" s="72">
        <v>0.37</v>
      </c>
      <c r="CZ731" s="70">
        <f t="shared" ref="CZ731:CZ753" si="1342">+(DE731*CQ731-CR731)*CS731/(1-CX731)</f>
        <v>12.967386412665748</v>
      </c>
      <c r="DA731" s="70"/>
      <c r="DB731" s="69"/>
      <c r="DC731" s="111">
        <f>VLOOKUP($H731,RoR!$E:$F,2,FALSE)</f>
        <v>7.0824999999999999E-2</v>
      </c>
      <c r="DD731" s="216">
        <f>HLOOKUP($H731,'GDP-PI'!$D$8:$CQ$11,3,FALSE)</f>
        <v>2.2454495382290052E-2</v>
      </c>
      <c r="DE731" s="111">
        <f>VLOOKUP(H731,'HW Dx Data'!$E:$F,2,FALSE)</f>
        <v>353.44738017483138</v>
      </c>
      <c r="DF731" s="66"/>
      <c r="DG731" s="69"/>
      <c r="DH731" s="66">
        <f>HLOOKUP(H731,'GDP-PI'!$8:$9,2,FALSE)</f>
        <v>79.822000000000003</v>
      </c>
      <c r="DI731"/>
      <c r="EB731"/>
    </row>
    <row r="732" spans="1:132" s="160" customFormat="1" ht="21">
      <c r="A732" s="160" t="s">
        <v>202</v>
      </c>
      <c r="B732" s="161" t="s">
        <v>202</v>
      </c>
      <c r="C732" s="161">
        <v>4012860</v>
      </c>
      <c r="D732" s="161" t="s">
        <v>203</v>
      </c>
      <c r="E732" s="161"/>
      <c r="F732" s="161"/>
      <c r="G732" s="161" t="s">
        <v>113</v>
      </c>
      <c r="H732" s="162">
        <v>2002</v>
      </c>
      <c r="I732" s="163"/>
      <c r="J732" s="159"/>
      <c r="K732" s="159"/>
      <c r="L732" s="159"/>
      <c r="M732" s="60"/>
      <c r="N732" s="152"/>
      <c r="O732" s="60"/>
      <c r="P732" s="60"/>
      <c r="Q732" s="159"/>
      <c r="R732" s="159"/>
      <c r="S732" s="159"/>
      <c r="T732" s="159"/>
      <c r="U732" s="159"/>
      <c r="V732" s="159"/>
      <c r="W732" s="159">
        <f t="shared" si="1330"/>
        <v>28424.345319650718</v>
      </c>
      <c r="X732" s="163"/>
      <c r="Y732" s="167">
        <v>2265.1727158680715</v>
      </c>
      <c r="Z732" s="168">
        <v>4.3255709239647104E-2</v>
      </c>
      <c r="AA732" s="78"/>
      <c r="AB732" s="168"/>
      <c r="AC732" s="168"/>
      <c r="AD732" s="163">
        <f t="shared" si="1281"/>
        <v>28424.345319650718</v>
      </c>
      <c r="AE732" s="168"/>
      <c r="AF732" s="163"/>
      <c r="AG732" s="163"/>
      <c r="AH732" s="163"/>
      <c r="AI732" s="163"/>
      <c r="AJ732" s="167"/>
      <c r="AK732" s="168"/>
      <c r="AL732" s="115"/>
      <c r="AM732" s="115"/>
      <c r="AN732" s="115"/>
      <c r="AO732" s="115"/>
      <c r="AP732" s="115"/>
      <c r="AQ732" s="168"/>
      <c r="AR732" s="115"/>
      <c r="AS732" s="115"/>
      <c r="AT732" s="115"/>
      <c r="AU732" s="115"/>
      <c r="AV732" s="113">
        <f>IFERROR(INDEX('Total Customers'!$F$7:$AB$91,MATCH($C732,'Total Customers'!$D$7:$D$91,0),MATCH($G732,'Total Customers'!$F$5:$AB$5,0)),"NA")</f>
        <v>735439</v>
      </c>
      <c r="AW732" s="68">
        <f t="shared" si="1301"/>
        <v>4.6257880700713905E-2</v>
      </c>
      <c r="AX732" s="114"/>
      <c r="AY732" s="114"/>
      <c r="AZ732" s="116"/>
      <c r="BA732" s="116"/>
      <c r="BB732" s="166"/>
      <c r="BC732" s="166"/>
      <c r="BD732" s="166"/>
      <c r="BE732" s="166"/>
      <c r="BF732" s="166"/>
      <c r="BG732" s="166"/>
      <c r="BH732" s="166"/>
      <c r="BI732" s="113"/>
      <c r="BJ732" s="113"/>
      <c r="BK732" s="113">
        <f>INDEX('Dist. Plant Gas Additions'!$F$7:$AE$91,MATCH($C732,'Dist. Plant Gas Additions'!$D$7:$D$91,0),MATCH(Calculation!$G732,'Dist. Plant Gas Additions'!$F$5:$AE$5,0))</f>
        <v>37118</v>
      </c>
      <c r="BL732" s="113">
        <f>INDEX('Gen. Plant Additions'!$F$7:$AE$91,MATCH($C732,'Gen. Plant Additions'!$D$7:$D$91,0),MATCH(Calculation!$G732,'Gen. Plant Additions'!$F$5:$AE$5,0))</f>
        <v>2134</v>
      </c>
      <c r="BM732" s="231">
        <f t="shared" si="1331"/>
        <v>0.91501389907092978</v>
      </c>
      <c r="BN732" s="61">
        <f t="shared" si="1328"/>
        <v>1952.6396606173641</v>
      </c>
      <c r="BO732" s="113">
        <f>INDEX('Dist Plant Depreciation'!$E$7:$AD$94,MATCH($C732,'Dist Plant Depreciation'!$D$7:$D$94,0),MATCH(Calculation!$G732,'Dist Plant Depreciation'!$E$5:$AD$5,0))</f>
        <v>724461</v>
      </c>
      <c r="BP732" s="113">
        <f>INDEX('Gen. Plant Depreciation'!$E$7:$AD$94,MATCH($C732,'Gen. Plant Depreciation'!$D$7:$D$94,0),MATCH(Calculation!$G732,'Gen. Plant Depreciation'!$E$5:$AD$5,0))</f>
        <v>43750</v>
      </c>
      <c r="BQ732" s="113"/>
      <c r="BR732" s="113"/>
      <c r="BS732" s="113"/>
      <c r="BT732" s="113"/>
      <c r="BU732" s="113"/>
      <c r="BV732" s="113"/>
      <c r="BW732" s="113">
        <f>INDEX('Gross Dx Plant'!$E$7:$AD$91,MATCH($C732,'Gross Dx Plant'!$D$7:$D$91,0),MATCH(Calculation!$G732,'Gross Dx Plant'!$E$5:$AD$5,0))</f>
        <v>977287</v>
      </c>
      <c r="BX732" s="113">
        <f>INDEX('Gross Gen Plant'!$E$7:$AD$91,MATCH($C732,'Gross Gen Plant'!$D$7:$D$91,0),MATCH(Calculation!$G732,'Gross Gen Plant'!$E$5:$AD$5,0))</f>
        <v>90770</v>
      </c>
      <c r="BY732" s="113">
        <f t="shared" si="1325"/>
        <v>299846</v>
      </c>
      <c r="BZ732" s="113"/>
      <c r="CA732" s="116">
        <v>2002</v>
      </c>
      <c r="CB732" s="113"/>
      <c r="CC732" s="113"/>
      <c r="CD732" s="113"/>
      <c r="CE732" s="175"/>
      <c r="CF732" s="113">
        <f t="shared" si="1332"/>
        <v>39252</v>
      </c>
      <c r="CG732" s="113">
        <f t="shared" si="1333"/>
        <v>108.626537290575</v>
      </c>
      <c r="CH732" s="178">
        <v>0.97916666666666663</v>
      </c>
      <c r="CI732" s="61">
        <f>+CI728*CH732+CG729*CH731+CG730*CH730+CG731*CH729+CG732</f>
        <v>2265.1727158680715</v>
      </c>
      <c r="CJ732" s="114">
        <f t="shared" si="1334"/>
        <v>4.3255709239647104E-2</v>
      </c>
      <c r="CK732" s="114"/>
      <c r="CL732" s="169">
        <f t="shared" si="1335"/>
        <v>5.8700540011547477E-3</v>
      </c>
      <c r="CM732" s="169">
        <f t="shared" ref="CM732:CM752" si="1343">+(CL732+CL731+CL730)/3</f>
        <v>5.2924241404970129E-3</v>
      </c>
      <c r="CN732" s="114">
        <f>VLOOKUP($H732,RoR!$E:$F,2,FALSE)</f>
        <v>6.4916666666666664E-2</v>
      </c>
      <c r="CO732" s="169">
        <v>1.5246423291824351E-2</v>
      </c>
      <c r="CP732" s="169">
        <f t="shared" si="1341"/>
        <v>4.9670243374842313E-2</v>
      </c>
      <c r="CQ732" s="169">
        <f t="shared" ref="CQ732:CQ752" si="1344">+$CP$2-CM732</f>
        <v>2.5609517468036611E-2</v>
      </c>
      <c r="CR732" s="169">
        <f t="shared" ref="CR732:CR752" si="1345">+((DE730/DE729-1)+(DE731/DE730-1)+(DE732/DE731-1))/3</f>
        <v>2.5243621214759093E-2</v>
      </c>
      <c r="CS732" s="179">
        <f t="shared" si="1336"/>
        <v>0.85203761789999999</v>
      </c>
      <c r="CT732" s="180">
        <f t="shared" si="1337"/>
        <v>0.78996741384417901</v>
      </c>
      <c r="CU732" s="180">
        <f t="shared" si="1338"/>
        <v>0.58989088575096271</v>
      </c>
      <c r="CV732" s="180">
        <f t="shared" si="1339"/>
        <v>0.91920675783645744</v>
      </c>
      <c r="CW732" s="180">
        <f t="shared" si="1340"/>
        <v>0.42834536472275586</v>
      </c>
      <c r="CX732" s="181">
        <f>INDEX('State Tax Lookup'!$D$7:$Z$91,MATCH(Calculation!$C732,'State Tax Lookup'!$B$7:$B$91,0),MATCH($H732,'State Tax Lookup'!$D$6:$Z$6,0))</f>
        <v>0.39989833000000002</v>
      </c>
      <c r="CY732" s="72">
        <v>0.37</v>
      </c>
      <c r="CZ732" s="70">
        <f t="shared" si="1342"/>
        <v>13.103124411792628</v>
      </c>
      <c r="DA732" s="70"/>
      <c r="DB732" s="69">
        <f>LN(CZ732/CZ731)</f>
        <v>1.0413238667031734E-2</v>
      </c>
      <c r="DC732" s="111">
        <f>VLOOKUP($H732,RoR!$E:$F,2,FALSE)</f>
        <v>6.4916666666666664E-2</v>
      </c>
      <c r="DD732" s="216">
        <f>HLOOKUP($H732,'GDP-PI'!$D$8:$CQ$11,3,FALSE)</f>
        <v>1.5246423291824351E-2</v>
      </c>
      <c r="DE732" s="111">
        <f>VLOOKUP(H732,'HW Dx Data'!$E:$F,2,FALSE)</f>
        <v>361.34816573413599</v>
      </c>
      <c r="DF732" s="66"/>
      <c r="DG732" s="69"/>
      <c r="DH732" s="66">
        <f>HLOOKUP(H732,'GDP-PI'!$8:$9,2,FALSE)</f>
        <v>81.039000000000001</v>
      </c>
      <c r="DI732" s="69">
        <f>LN(DH732/DH731)</f>
        <v>1.513136459537477E-2</v>
      </c>
      <c r="EB732"/>
    </row>
    <row r="733" spans="1:132" s="160" customFormat="1" ht="21">
      <c r="A733" s="160" t="s">
        <v>202</v>
      </c>
      <c r="B733" s="161" t="s">
        <v>202</v>
      </c>
      <c r="C733" s="161">
        <v>4012860</v>
      </c>
      <c r="D733" s="161" t="s">
        <v>203</v>
      </c>
      <c r="E733" s="161"/>
      <c r="F733" s="161"/>
      <c r="G733" s="161" t="s">
        <v>114</v>
      </c>
      <c r="H733" s="162">
        <v>2003</v>
      </c>
      <c r="I733" s="163"/>
      <c r="J733" s="159"/>
      <c r="K733" s="159"/>
      <c r="L733" s="159"/>
      <c r="M733" s="76"/>
      <c r="N733" s="152"/>
      <c r="O733" s="76"/>
      <c r="P733" s="76"/>
      <c r="Q733" s="159"/>
      <c r="R733" s="159"/>
      <c r="S733" s="159"/>
      <c r="T733" s="159"/>
      <c r="U733" s="159"/>
      <c r="V733" s="159"/>
      <c r="W733" s="159">
        <f t="shared" si="1330"/>
        <v>30148.628623925903</v>
      </c>
      <c r="X733" s="163"/>
      <c r="Y733" s="167">
        <v>2365.518630133437</v>
      </c>
      <c r="Z733" s="168">
        <v>4.3346281553662255E-2</v>
      </c>
      <c r="AA733" s="78"/>
      <c r="AB733" s="168"/>
      <c r="AC733" s="168"/>
      <c r="AD733" s="163">
        <f t="shared" si="1281"/>
        <v>30148.628623925903</v>
      </c>
      <c r="AE733" s="168"/>
      <c r="AF733" s="163"/>
      <c r="AG733" s="163"/>
      <c r="AH733" s="163"/>
      <c r="AI733" s="163"/>
      <c r="AJ733" s="167"/>
      <c r="AK733" s="168"/>
      <c r="AL733" s="115"/>
      <c r="AM733" s="115"/>
      <c r="AN733" s="115"/>
      <c r="AO733" s="115"/>
      <c r="AP733" s="115"/>
      <c r="AQ733" s="168"/>
      <c r="AR733" s="115"/>
      <c r="AS733" s="115"/>
      <c r="AT733" s="115"/>
      <c r="AU733" s="115"/>
      <c r="AV733" s="113">
        <f>IFERROR(INDEX('Total Customers'!$F$7:$AB$91,MATCH($C733,'Total Customers'!$D$7:$D$91,0),MATCH($G733,'Total Customers'!$F$5:$AB$5,0)),"NA")</f>
        <v>715066</v>
      </c>
      <c r="AW733" s="68">
        <f t="shared" si="1301"/>
        <v>-2.8092753698122797E-2</v>
      </c>
      <c r="AX733" s="114"/>
      <c r="AY733" s="114"/>
      <c r="AZ733" s="116"/>
      <c r="BA733" s="116"/>
      <c r="BB733" s="166"/>
      <c r="BC733" s="166"/>
      <c r="BD733" s="166"/>
      <c r="BE733" s="166"/>
      <c r="BF733" s="166"/>
      <c r="BG733" s="166"/>
      <c r="BH733" s="166"/>
      <c r="BI733" s="113"/>
      <c r="BJ733" s="113"/>
      <c r="BK733" s="113">
        <f>INDEX('Dist. Plant Gas Additions'!$F$7:$AE$91,MATCH($C733,'Dist. Plant Gas Additions'!$D$7:$D$91,0),MATCH(Calculation!$G733,'Dist. Plant Gas Additions'!$F$5:$AE$5,0))</f>
        <v>40086</v>
      </c>
      <c r="BL733" s="113">
        <f>INDEX('Gen. Plant Additions'!$F$7:$AE$91,MATCH($C733,'Gen. Plant Additions'!$D$7:$D$91,0),MATCH(Calculation!$G733,'Gen. Plant Additions'!$F$5:$AE$5,0))</f>
        <v>1676</v>
      </c>
      <c r="BM733" s="231">
        <f t="shared" si="1331"/>
        <v>0.91766888879837438</v>
      </c>
      <c r="BN733" s="61">
        <f t="shared" si="1328"/>
        <v>1538.0130576260754</v>
      </c>
      <c r="BO733" s="113">
        <f>INDEX('Dist Plant Depreciation'!$E$7:$AD$94,MATCH($C733,'Dist Plant Depreciation'!$D$7:$D$94,0),MATCH(Calculation!$G733,'Dist Plant Depreciation'!$E$5:$AD$5,0))</f>
        <v>776416</v>
      </c>
      <c r="BP733" s="113">
        <f>INDEX('Gen. Plant Depreciation'!$E$7:$AD$94,MATCH($C733,'Gen. Plant Depreciation'!$D$7:$D$94,0),MATCH(Calculation!$G733,'Gen. Plant Depreciation'!$E$5:$AD$5,0))</f>
        <v>46909</v>
      </c>
      <c r="BQ733" s="113"/>
      <c r="BR733" s="113"/>
      <c r="BS733" s="113"/>
      <c r="BT733" s="113"/>
      <c r="BU733" s="113"/>
      <c r="BV733" s="113"/>
      <c r="BW733" s="113">
        <f>INDEX('Gross Dx Plant'!$E$7:$AD$91,MATCH($C733,'Gross Dx Plant'!$D$7:$D$91,0),MATCH(Calculation!$G733,'Gross Dx Plant'!$E$5:$AD$5,0))</f>
        <v>1013836</v>
      </c>
      <c r="BX733" s="113">
        <f>INDEX('Gross Gen Plant'!$E$7:$AD$91,MATCH($C733,'Gross Gen Plant'!$D$7:$D$91,0),MATCH(Calculation!$G733,'Gross Gen Plant'!$E$5:$AD$5,0))</f>
        <v>90959</v>
      </c>
      <c r="BY733" s="113">
        <f t="shared" si="1325"/>
        <v>281470</v>
      </c>
      <c r="BZ733" s="113"/>
      <c r="CA733" s="116">
        <v>2003</v>
      </c>
      <c r="CB733" s="113"/>
      <c r="CC733" s="113"/>
      <c r="CD733" s="113"/>
      <c r="CE733" s="175"/>
      <c r="CF733" s="113">
        <f t="shared" si="1332"/>
        <v>41762</v>
      </c>
      <c r="CG733" s="113">
        <f t="shared" si="1333"/>
        <v>113.10472996961161</v>
      </c>
      <c r="CH733" s="178">
        <v>0.97354497354497349</v>
      </c>
      <c r="CI733" s="61">
        <f>+CI728*CH733+CG729*CH732+CG730*CH731+CG731*CH730+CG732*CH729+CG733</f>
        <v>2365.518630133437</v>
      </c>
      <c r="CJ733" s="114">
        <f t="shared" si="1334"/>
        <v>4.3346281553662255E-2</v>
      </c>
      <c r="CK733" s="114"/>
      <c r="CL733" s="169">
        <f t="shared" si="1335"/>
        <v>5.6326017062043651E-3</v>
      </c>
      <c r="CM733" s="169">
        <f t="shared" si="1343"/>
        <v>5.4558587041663052E-3</v>
      </c>
      <c r="CN733" s="114">
        <f>VLOOKUP($H733,RoR!$E:$F,2,FALSE)</f>
        <v>5.6666666666666671E-2</v>
      </c>
      <c r="CO733" s="169">
        <v>1.8855119140166909E-2</v>
      </c>
      <c r="CP733" s="169">
        <f t="shared" si="1341"/>
        <v>3.7811547526499761E-2</v>
      </c>
      <c r="CQ733" s="169">
        <f t="shared" si="1344"/>
        <v>2.5446082904367319E-2</v>
      </c>
      <c r="CR733" s="169">
        <f t="shared" si="1345"/>
        <v>2.1375012817671957E-2</v>
      </c>
      <c r="CS733" s="179">
        <f t="shared" si="1336"/>
        <v>0.85203761789999999</v>
      </c>
      <c r="CT733" s="180">
        <f t="shared" si="1337"/>
        <v>0.90497737556561086</v>
      </c>
      <c r="CU733" s="180">
        <f t="shared" si="1338"/>
        <v>0.5338235294117647</v>
      </c>
      <c r="CV733" s="180">
        <f t="shared" si="1339"/>
        <v>0.88972433127405692</v>
      </c>
      <c r="CW733" s="180">
        <f t="shared" si="1340"/>
        <v>0.42982423775949252</v>
      </c>
      <c r="CX733" s="181">
        <f>INDEX('State Tax Lookup'!$D$7:$Z$91,MATCH(Calculation!$C733,'State Tax Lookup'!$B$7:$B$91,0),MATCH($H733,'State Tax Lookup'!$D$6:$Z$6,0))</f>
        <v>0.39989833000000002</v>
      </c>
      <c r="CY733" s="72">
        <v>0.37</v>
      </c>
      <c r="CZ733" s="70">
        <f t="shared" si="1342"/>
        <v>13.30963789768772</v>
      </c>
      <c r="DA733" s="70"/>
      <c r="DB733" s="69">
        <f t="shared" ref="DB733:DB752" si="1346">LN(CZ733/CZ732)</f>
        <v>1.5637720267912329E-2</v>
      </c>
      <c r="DC733" s="111">
        <f>VLOOKUP($H733,RoR!$E:$F,2,FALSE)</f>
        <v>5.6666666666666671E-2</v>
      </c>
      <c r="DD733" s="216">
        <f>HLOOKUP($H733,'GDP-PI'!$D$8:$CQ$11,3,FALSE)</f>
        <v>1.8855119140166909E-2</v>
      </c>
      <c r="DE733" s="111">
        <f>VLOOKUP(H733,'HW Dx Data'!$E:$F,2,FALSE)</f>
        <v>369.23301095560191</v>
      </c>
      <c r="DF733" s="66"/>
      <c r="DG733" s="69"/>
      <c r="DH733" s="66">
        <f>HLOOKUP(H733,'GDP-PI'!$8:$9,2,FALSE)</f>
        <v>82.566999999999993</v>
      </c>
      <c r="DI733" s="69">
        <f t="shared" ref="DI733:DI752" si="1347">LN(DH733/DH732)</f>
        <v>1.8679564681853753E-2</v>
      </c>
      <c r="EB733"/>
    </row>
    <row r="734" spans="1:132" s="160" customFormat="1" ht="21">
      <c r="A734" s="160" t="s">
        <v>202</v>
      </c>
      <c r="B734" s="161" t="s">
        <v>202</v>
      </c>
      <c r="C734" s="161">
        <v>4012860</v>
      </c>
      <c r="D734" s="161" t="s">
        <v>203</v>
      </c>
      <c r="E734" s="161"/>
      <c r="F734" s="161"/>
      <c r="G734" s="161" t="s">
        <v>115</v>
      </c>
      <c r="H734" s="162">
        <v>2004</v>
      </c>
      <c r="I734" s="163"/>
      <c r="J734" s="159">
        <f>IFERROR(INDEX('Labor Expenditures'!$F$7:$X$91,MATCH($C734,'Labor Expenditures'!$D$7:$D$91,0),MATCH($G734,'Labor Expenditures'!$F$5:$X$5,0)),"NA")</f>
        <v>55225.789681167189</v>
      </c>
      <c r="K734" s="159">
        <f t="shared" ref="K734:K752" si="1348">+J734/DF734</f>
        <v>585.32898443208467</v>
      </c>
      <c r="L734" s="165"/>
      <c r="M734" s="76"/>
      <c r="N734" s="152"/>
      <c r="O734" s="76"/>
      <c r="P734" s="76"/>
      <c r="Q734" s="159">
        <f>IFERROR(INDEX('Non-Labor Expenditures'!$F$7:$AB$91,MATCH($C734,'Non-Labor Expenditures'!$D$7:$D$91,0),MATCH($G734,'Non-Labor Expenditures'!$F$5:$AB$5,0)),"NA")</f>
        <v>79977.258213030465</v>
      </c>
      <c r="R734" s="159">
        <f t="shared" ref="R734:R752" si="1349">+Q734/DH734</f>
        <v>943.37278790524033</v>
      </c>
      <c r="S734" s="159"/>
      <c r="T734" s="159"/>
      <c r="U734" s="159"/>
      <c r="V734" s="159"/>
      <c r="W734" s="159">
        <f t="shared" si="1330"/>
        <v>34833.609106452597</v>
      </c>
      <c r="X734" s="163"/>
      <c r="Y734" s="167">
        <v>2440.8948912991741</v>
      </c>
      <c r="Z734" s="168">
        <v>3.1367438966896054E-2</v>
      </c>
      <c r="AA734" s="76">
        <f t="shared" ref="AA734:AA752" si="1350">+Z734*$AR734</f>
        <v>0</v>
      </c>
      <c r="AB734" s="168"/>
      <c r="AC734" s="168"/>
      <c r="AD734" s="163">
        <f t="shared" si="1281"/>
        <v>170036.65700065024</v>
      </c>
      <c r="AE734" s="168"/>
      <c r="AF734" s="163"/>
      <c r="AG734" s="163"/>
      <c r="AH734" s="163"/>
      <c r="AI734" s="163"/>
      <c r="AJ734" s="167"/>
      <c r="AK734" s="168"/>
      <c r="AL734" s="115">
        <f t="shared" ref="AL734:AL752" si="1351">+J734/AD734</f>
        <v>0.32478755260964698</v>
      </c>
      <c r="AM734" s="115">
        <f t="shared" ref="AM734:AM752" si="1352">+Q734/AD734</f>
        <v>0.47035303812591789</v>
      </c>
      <c r="AN734" s="115">
        <f t="shared" ref="AN734:AN752" si="1353">+W734/AD734</f>
        <v>0.20485940926443519</v>
      </c>
      <c r="AO734" s="115"/>
      <c r="AP734" s="115"/>
      <c r="AQ734" s="168"/>
      <c r="AR734" s="115"/>
      <c r="AS734" s="115"/>
      <c r="AT734" s="115"/>
      <c r="AU734" s="115"/>
      <c r="AV734" s="113">
        <f>IFERROR(INDEX('Total Customers'!$F$7:$AB$91,MATCH($C734,'Total Customers'!$D$7:$D$91,0),MATCH($G734,'Total Customers'!$F$5:$AB$5,0)),"NA")</f>
        <v>654096</v>
      </c>
      <c r="AW734" s="68">
        <f t="shared" si="1301"/>
        <v>-8.9120716450647799E-2</v>
      </c>
      <c r="AX734" s="114"/>
      <c r="AY734" s="114"/>
      <c r="AZ734" s="116"/>
      <c r="BA734" s="116"/>
      <c r="BB734" s="166"/>
      <c r="BC734" s="166"/>
      <c r="BD734" s="166"/>
      <c r="BE734" s="166"/>
      <c r="BF734" s="166"/>
      <c r="BG734" s="166"/>
      <c r="BH734" s="166"/>
      <c r="BI734" s="113"/>
      <c r="BJ734" s="113"/>
      <c r="BK734" s="113">
        <f>INDEX('Dist. Plant Gas Additions'!$F$7:$AE$91,MATCH($C734,'Dist. Plant Gas Additions'!$D$7:$D$91,0),MATCH(Calculation!$G734,'Dist. Plant Gas Additions'!$F$5:$AE$5,0))</f>
        <v>36162</v>
      </c>
      <c r="BL734" s="113">
        <f>INDEX('Gen. Plant Additions'!$F$7:$AE$91,MATCH($C734,'Gen. Plant Additions'!$D$7:$D$91,0),MATCH(Calculation!$G734,'Gen. Plant Additions'!$F$5:$AE$5,0))</f>
        <v>807</v>
      </c>
      <c r="BM734" s="231">
        <f t="shared" si="1331"/>
        <v>0.92709324421439687</v>
      </c>
      <c r="BN734" s="61">
        <f t="shared" si="1328"/>
        <v>748.16424808101829</v>
      </c>
      <c r="BO734" s="113">
        <f>INDEX('Dist Plant Depreciation'!$E$7:$AD$94,MATCH($C734,'Dist Plant Depreciation'!$D$7:$D$94,0),MATCH(Calculation!$G734,'Dist Plant Depreciation'!$E$5:$AD$5,0))</f>
        <v>832691</v>
      </c>
      <c r="BP734" s="113">
        <f>INDEX('Gen. Plant Depreciation'!$E$7:$AD$94,MATCH($C734,'Gen. Plant Depreciation'!$D$7:$D$94,0),MATCH(Calculation!$G734,'Gen. Plant Depreciation'!$E$5:$AD$5,0))</f>
        <v>43241</v>
      </c>
      <c r="BQ734" s="113"/>
      <c r="BR734" s="113"/>
      <c r="BS734" s="113"/>
      <c r="BT734" s="113"/>
      <c r="BU734" s="113"/>
      <c r="BV734" s="113"/>
      <c r="BW734" s="113">
        <f>INDEX('Gross Dx Plant'!$E$7:$AD$91,MATCH($C734,'Gross Dx Plant'!$D$7:$D$91,0),MATCH(Calculation!$G734,'Gross Dx Plant'!$E$5:$AD$5,0))</f>
        <v>1051384</v>
      </c>
      <c r="BX734" s="113">
        <f>INDEX('Gross Gen Plant'!$E$7:$AD$91,MATCH($C734,'Gross Gen Plant'!$D$7:$D$91,0),MATCH(Calculation!$G734,'Gross Gen Plant'!$E$5:$AD$5,0))</f>
        <v>82681</v>
      </c>
      <c r="BY734" s="113">
        <f t="shared" si="1325"/>
        <v>258133</v>
      </c>
      <c r="BZ734" s="113"/>
      <c r="CA734" s="116">
        <v>2004</v>
      </c>
      <c r="CB734" s="113"/>
      <c r="CC734" s="113"/>
      <c r="CD734" s="113"/>
      <c r="CE734" s="175"/>
      <c r="CF734" s="113">
        <f t="shared" si="1332"/>
        <v>36969</v>
      </c>
      <c r="CG734" s="113">
        <f t="shared" si="1333"/>
        <v>89.106149263136345</v>
      </c>
      <c r="CH734" s="178">
        <v>0.967741935483871</v>
      </c>
      <c r="CI734" s="61">
        <f>+CI728*CH734+CG729*CH733+CG730*CH732+CG731*CH731+CG732*CH730+CG733*CH729+CG734</f>
        <v>2440.8948912991741</v>
      </c>
      <c r="CJ734" s="114">
        <f t="shared" si="1334"/>
        <v>3.1367438966896054E-2</v>
      </c>
      <c r="CK734" s="114"/>
      <c r="CL734" s="169">
        <f t="shared" si="1335"/>
        <v>5.8041766919522198E-3</v>
      </c>
      <c r="CM734" s="169">
        <f t="shared" si="1343"/>
        <v>5.7689441331037787E-3</v>
      </c>
      <c r="CN734" s="114">
        <f>VLOOKUP($H734,RoR!$E:$F,2,FALSE)</f>
        <v>5.6283333333333331E-2</v>
      </c>
      <c r="CO734" s="169">
        <v>2.6778252812867276E-2</v>
      </c>
      <c r="CP734" s="169">
        <f t="shared" si="1341"/>
        <v>2.9505080520466055E-2</v>
      </c>
      <c r="CQ734" s="169">
        <f t="shared" si="1344"/>
        <v>2.5132997475429845E-2</v>
      </c>
      <c r="CR734" s="169">
        <f t="shared" si="1345"/>
        <v>5.5940039414565046E-2</v>
      </c>
      <c r="CS734" s="179">
        <f t="shared" si="1336"/>
        <v>0.85203761789999999</v>
      </c>
      <c r="CT734" s="180">
        <f t="shared" si="1337"/>
        <v>0.91114097628755619</v>
      </c>
      <c r="CU734" s="180">
        <f t="shared" si="1338"/>
        <v>0.53081877405981637</v>
      </c>
      <c r="CV734" s="180">
        <f t="shared" si="1339"/>
        <v>0.88811215519385678</v>
      </c>
      <c r="CW734" s="180">
        <f t="shared" si="1340"/>
        <v>0.42953609753547711</v>
      </c>
      <c r="CX734" s="181">
        <f>INDEX('State Tax Lookup'!$D$7:$Z$91,MATCH(Calculation!$C734,'State Tax Lookup'!$B$7:$B$91,0),MATCH($H734,'State Tax Lookup'!$D$6:$Z$6,0))</f>
        <v>0.39989833000000002</v>
      </c>
      <c r="CY734" s="72">
        <v>0.37</v>
      </c>
      <c r="CZ734" s="70">
        <f t="shared" si="1342"/>
        <v>14.725569548563504</v>
      </c>
      <c r="DA734" s="70"/>
      <c r="DB734" s="69">
        <f t="shared" si="1346"/>
        <v>0.10109698105494511</v>
      </c>
      <c r="DC734" s="111">
        <f>VLOOKUP($H734,RoR!$E:$F,2,FALSE)</f>
        <v>5.6283333333333331E-2</v>
      </c>
      <c r="DD734" s="216">
        <f>HLOOKUP($H734,'GDP-PI'!$D$8:$CQ$11,3,FALSE)</f>
        <v>2.6778252812867276E-2</v>
      </c>
      <c r="DE734" s="111">
        <f>VLOOKUP(H734,'HW Dx Data'!$E:$F,2,FALSE)</f>
        <v>414.88719135228365</v>
      </c>
      <c r="DF734" s="72">
        <f>VLOOKUP(G734,EG$8:EH$27,2,FALSE)</f>
        <v>94.35</v>
      </c>
      <c r="DG734" s="69"/>
      <c r="DH734" s="66">
        <f>HLOOKUP(H734,'GDP-PI'!$8:$9,2,FALSE)</f>
        <v>84.778000000000006</v>
      </c>
      <c r="DI734" s="69">
        <f t="shared" si="1347"/>
        <v>2.6425990216022755E-2</v>
      </c>
      <c r="EB734"/>
    </row>
    <row r="735" spans="1:132" s="160" customFormat="1" ht="21">
      <c r="A735" s="160" t="s">
        <v>202</v>
      </c>
      <c r="B735" s="161" t="s">
        <v>202</v>
      </c>
      <c r="C735" s="161">
        <v>4012860</v>
      </c>
      <c r="D735" s="161" t="s">
        <v>203</v>
      </c>
      <c r="E735" s="161"/>
      <c r="F735" s="161"/>
      <c r="G735" s="161" t="s">
        <v>116</v>
      </c>
      <c r="H735" s="162">
        <v>2005</v>
      </c>
      <c r="I735" s="163"/>
      <c r="J735" s="159">
        <f>IFERROR(INDEX('Labor Expenditures'!$F$7:$X$91,MATCH($C735,'Labor Expenditures'!$D$7:$D$91,0),MATCH($G735,'Labor Expenditures'!$F$5:$X$5,0)),"NA")</f>
        <v>57117.807367375484</v>
      </c>
      <c r="K735" s="159">
        <f t="shared" si="1348"/>
        <v>575.63927807886614</v>
      </c>
      <c r="L735" s="165">
        <f t="shared" ref="L735:L751" si="1354">LN(K735/K734)</f>
        <v>-1.6692844531558771E-2</v>
      </c>
      <c r="M735" s="76"/>
      <c r="N735" s="62">
        <v>100</v>
      </c>
      <c r="O735" s="77"/>
      <c r="P735" s="77"/>
      <c r="Q735" s="159">
        <f>IFERROR(INDEX('Non-Labor Expenditures'!$F$7:$AB$91,MATCH($C735,'Non-Labor Expenditures'!$D$7:$D$91,0),MATCH($G735,'Non-Labor Expenditures'!$F$5:$AB$5,0)),"NA")</f>
        <v>82717.253202818785</v>
      </c>
      <c r="R735" s="159">
        <f t="shared" si="1349"/>
        <v>946.34586706806988</v>
      </c>
      <c r="S735" s="165">
        <f>LN(R735/R734)</f>
        <v>3.146586512277335E-3</v>
      </c>
      <c r="T735" s="165"/>
      <c r="U735" s="165"/>
      <c r="V735" s="165"/>
      <c r="W735" s="159">
        <f t="shared" si="1330"/>
        <v>40484.862125741849</v>
      </c>
      <c r="X735" s="163"/>
      <c r="Y735" s="167">
        <v>2501.6314443599899</v>
      </c>
      <c r="Z735" s="168">
        <v>2.457836598714731E-2</v>
      </c>
      <c r="AA735" s="76">
        <f t="shared" si="1350"/>
        <v>0</v>
      </c>
      <c r="AB735" s="168"/>
      <c r="AC735" s="168"/>
      <c r="AD735" s="163">
        <f t="shared" si="1281"/>
        <v>180319.92269593611</v>
      </c>
      <c r="AE735" s="168">
        <f>LN(AD735/AD734)</f>
        <v>5.8718578365324348E-2</v>
      </c>
      <c r="AF735" s="163"/>
      <c r="AG735" s="163"/>
      <c r="AH735" s="163"/>
      <c r="AI735" s="163"/>
      <c r="AJ735" s="116"/>
      <c r="AK735" s="114"/>
      <c r="AL735" s="115">
        <f t="shared" si="1351"/>
        <v>0.31675816245601546</v>
      </c>
      <c r="AM735" s="115">
        <f t="shared" si="1352"/>
        <v>0.45872498150024438</v>
      </c>
      <c r="AN735" s="115">
        <f t="shared" si="1353"/>
        <v>0.22451685604374019</v>
      </c>
      <c r="AO735" s="115">
        <f t="shared" ref="AO735:AO751" si="1355">+(((AL735+AL734)/2)*L735+((AM734+AM735)/2)*S735+((AN734+AN735)/2)*Z735)</f>
        <v>1.383784239434506E-3</v>
      </c>
      <c r="AP735" s="166">
        <v>100</v>
      </c>
      <c r="AQ735" s="168"/>
      <c r="AR735" s="115"/>
      <c r="AS735" s="115"/>
      <c r="AT735" s="115"/>
      <c r="AU735" s="115"/>
      <c r="AV735" s="113">
        <f>IFERROR(INDEX('Total Customers'!$F$7:$AB$91,MATCH($C735,'Total Customers'!$D$7:$D$91,0),MATCH($G735,'Total Customers'!$F$5:$AB$5,0)),"NA")</f>
        <v>764604</v>
      </c>
      <c r="AW735" s="68">
        <f t="shared" si="1301"/>
        <v>0.15610392306664495</v>
      </c>
      <c r="AX735" s="114"/>
      <c r="AY735" s="114"/>
      <c r="AZ735" s="116"/>
      <c r="BA735" s="116"/>
      <c r="BB735" s="166"/>
      <c r="BC735" s="166"/>
      <c r="BD735" s="166"/>
      <c r="BE735" s="166"/>
      <c r="BF735" s="166"/>
      <c r="BG735" s="166"/>
      <c r="BH735" s="166"/>
      <c r="BI735" s="113"/>
      <c r="BJ735" s="113"/>
      <c r="BK735" s="113">
        <f>INDEX('Dist. Plant Gas Additions'!$F$7:$AE$91,MATCH($C735,'Dist. Plant Gas Additions'!$D$7:$D$91,0),MATCH(Calculation!$G735,'Dist. Plant Gas Additions'!$F$5:$AE$5,0))</f>
        <v>32919</v>
      </c>
      <c r="BL735" s="113">
        <f>INDEX('Gen. Plant Additions'!$F$7:$AE$91,MATCH($C735,'Gen. Plant Additions'!$D$7:$D$91,0),MATCH(Calculation!$G735,'Gen. Plant Additions'!$F$5:$AE$5,0))</f>
        <v>2438</v>
      </c>
      <c r="BM735" s="231">
        <f t="shared" si="1331"/>
        <v>0.92683532235969102</v>
      </c>
      <c r="BN735" s="61">
        <f t="shared" si="1328"/>
        <v>2259.6245159129267</v>
      </c>
      <c r="BO735" s="113">
        <f>INDEX('Dist Plant Depreciation'!$E$7:$AD$94,MATCH($C735,'Dist Plant Depreciation'!$D$7:$D$94,0),MATCH(Calculation!$G735,'Dist Plant Depreciation'!$E$5:$AD$5,0))</f>
        <v>890318</v>
      </c>
      <c r="BP735" s="113">
        <f>INDEX('Gen. Plant Depreciation'!$E$7:$AD$94,MATCH($C735,'Gen. Plant Depreciation'!$D$7:$D$94,0),MATCH(Calculation!$G735,'Gen. Plant Depreciation'!$E$5:$AD$5,0))</f>
        <v>45731</v>
      </c>
      <c r="BQ735" s="113"/>
      <c r="BR735" s="113"/>
      <c r="BS735" s="113"/>
      <c r="BT735" s="113"/>
      <c r="BU735" s="113"/>
      <c r="BV735" s="113"/>
      <c r="BW735" s="113">
        <f>INDEX('Gross Dx Plant'!$E$7:$AD$91,MATCH($C735,'Gross Dx Plant'!$D$7:$D$91,0),MATCH(Calculation!$G735,'Gross Dx Plant'!$E$5:$AD$5,0))</f>
        <v>1079119</v>
      </c>
      <c r="BX735" s="113">
        <f>INDEX('Gross Gen Plant'!$E$7:$AD$91,MATCH($C735,'Gross Gen Plant'!$D$7:$D$91,0),MATCH(Calculation!$G735,'Gross Gen Plant'!$E$5:$AD$5,0))</f>
        <v>85186</v>
      </c>
      <c r="BY735" s="113">
        <f t="shared" si="1325"/>
        <v>228256</v>
      </c>
      <c r="BZ735" s="113"/>
      <c r="CA735" s="116">
        <v>2005</v>
      </c>
      <c r="CB735" s="113"/>
      <c r="CC735" s="113"/>
      <c r="CD735" s="113"/>
      <c r="CE735" s="175"/>
      <c r="CF735" s="113">
        <f t="shared" si="1332"/>
        <v>35357</v>
      </c>
      <c r="CG735" s="113">
        <f t="shared" si="1333"/>
        <v>75.355099421276051</v>
      </c>
      <c r="CH735" s="178">
        <v>0.96174863387978138</v>
      </c>
      <c r="CI735" s="61">
        <f>+CI728*CH735+CG729*CH734+CG730*CH733+CG731*CH732+CG732*CH731+CG733*CH730+CG734*CH729+CG735</f>
        <v>2501.6314443599899</v>
      </c>
      <c r="CJ735" s="114">
        <f t="shared" si="1334"/>
        <v>2.457836598714731E-2</v>
      </c>
      <c r="CK735" s="114"/>
      <c r="CL735" s="169">
        <f t="shared" si="1335"/>
        <v>5.9890110027144431E-3</v>
      </c>
      <c r="CM735" s="169">
        <f t="shared" si="1343"/>
        <v>5.8085964669570096E-3</v>
      </c>
      <c r="CN735" s="114">
        <f>VLOOKUP($H735,RoR!$E:$F,2,FALSE)</f>
        <v>5.2350000000000001E-2</v>
      </c>
      <c r="CO735" s="169">
        <v>3.1010403642454332E-2</v>
      </c>
      <c r="CP735" s="169">
        <f t="shared" si="1341"/>
        <v>2.1339596357545669E-2</v>
      </c>
      <c r="CQ735" s="169">
        <f t="shared" si="1344"/>
        <v>2.5093345141576615E-2</v>
      </c>
      <c r="CR735" s="169">
        <f t="shared" si="1345"/>
        <v>9.2129610649277341E-2</v>
      </c>
      <c r="CS735" s="179">
        <f t="shared" si="1336"/>
        <v>0.85203761789999999</v>
      </c>
      <c r="CT735" s="180">
        <f t="shared" si="1337"/>
        <v>0.97959983346802826</v>
      </c>
      <c r="CU735" s="180">
        <f t="shared" si="1338"/>
        <v>0.49744508118433622</v>
      </c>
      <c r="CV735" s="180">
        <f t="shared" si="1339"/>
        <v>0.87010519444335932</v>
      </c>
      <c r="CW735" s="180">
        <f t="shared" si="1340"/>
        <v>0.42399975420741998</v>
      </c>
      <c r="CX735" s="181">
        <f>INDEX('State Tax Lookup'!$D$7:$Z$91,MATCH(Calculation!$C735,'State Tax Lookup'!$B$7:$B$91,0),MATCH($H735,'State Tax Lookup'!$D$6:$Z$6,0))</f>
        <v>0.39989833000000002</v>
      </c>
      <c r="CY735" s="72">
        <v>0.37</v>
      </c>
      <c r="CZ735" s="70">
        <f t="shared" si="1342"/>
        <v>16.586073521663874</v>
      </c>
      <c r="DA735" s="70"/>
      <c r="DB735" s="69">
        <f t="shared" si="1346"/>
        <v>0.11897799096432166</v>
      </c>
      <c r="DC735" s="111">
        <f>VLOOKUP($H735,RoR!$E:$F,2,FALSE)</f>
        <v>5.2350000000000001E-2</v>
      </c>
      <c r="DD735" s="216">
        <f>HLOOKUP($H735,'GDP-PI'!$D$8:$CQ$11,3,FALSE)</f>
        <v>3.1010403642454332E-2</v>
      </c>
      <c r="DE735" s="111">
        <f>VLOOKUP(H735,'HW Dx Data'!$E:$F,2,FALSE)</f>
        <v>469.20514034936258</v>
      </c>
      <c r="DF735" s="72">
        <f t="shared" ref="DF735:DF753" si="1356">VLOOKUP(G735,EG$8:EH$27,2,FALSE)</f>
        <v>99.224999999999994</v>
      </c>
      <c r="DG735" s="69">
        <f t="shared" ref="DG735:DG753" si="1357">LN(DF735/DF734)</f>
        <v>5.0378726854569796E-2</v>
      </c>
      <c r="DH735" s="66">
        <f>HLOOKUP(H735,'GDP-PI'!$8:$9,2,FALSE)</f>
        <v>87.406999999999996</v>
      </c>
      <c r="DI735" s="69">
        <f t="shared" si="1347"/>
        <v>3.0539295810733648E-2</v>
      </c>
      <c r="EB735"/>
    </row>
    <row r="736" spans="1:132" s="160" customFormat="1" ht="21">
      <c r="A736" s="160" t="s">
        <v>202</v>
      </c>
      <c r="B736" s="161" t="s">
        <v>202</v>
      </c>
      <c r="C736" s="161">
        <v>4012860</v>
      </c>
      <c r="D736" s="161" t="s">
        <v>203</v>
      </c>
      <c r="E736" s="161"/>
      <c r="F736" s="161"/>
      <c r="G736" s="161" t="s">
        <v>117</v>
      </c>
      <c r="H736" s="162">
        <v>2006</v>
      </c>
      <c r="I736" s="163"/>
      <c r="J736" s="159">
        <f>IFERROR(INDEX('Labor Expenditures'!$F$7:$X$91,MATCH($C736,'Labor Expenditures'!$D$7:$D$91,0),MATCH($G736,'Labor Expenditures'!$F$5:$X$5,0)),"NA")</f>
        <v>55777.59994864391</v>
      </c>
      <c r="K736" s="159">
        <f t="shared" si="1348"/>
        <v>509.85009093824414</v>
      </c>
      <c r="L736" s="165">
        <f t="shared" si="1354"/>
        <v>-0.12136446800909913</v>
      </c>
      <c r="M736" s="76">
        <f t="shared" ref="M736:M752" si="1358">+L736*$AR736</f>
        <v>-2.6998299402575996E-3</v>
      </c>
      <c r="N736" s="62">
        <f>+N735*EXP(O736)</f>
        <v>109.28639551739269</v>
      </c>
      <c r="O736" s="96">
        <f t="shared" ref="O736:O752" si="1359">+M736+M761+M786+M811+M836+M861+M886+M911+M936+M961+M986+M1011+M1036+M1061+M1086+M1111+M1136+M1161+M1186+M1211+M1236+M1261+M1286+M1311+M1336+M1361+M1386+M1411+M1436+M1461+M1486+M1511+M1536+M1561+M1586+M1611+M1636+M1661+M1686+M1711+M1736+M1761+M1786+M1811+M1836+M1861+M1886+M1911+M1936+M1961+M1986+M2011+M2036+M2061</f>
        <v>8.8801732256185165E-2</v>
      </c>
      <c r="P736" s="96"/>
      <c r="Q736" s="159">
        <f>IFERROR(INDEX('Non-Labor Expenditures'!$F$7:$AB$91,MATCH($C736,'Non-Labor Expenditures'!$D$7:$D$91,0),MATCH($G736,'Non-Labor Expenditures'!$F$5:$AB$5,0)),"NA")</f>
        <v>80776.382544278138</v>
      </c>
      <c r="R736" s="159">
        <f t="shared" si="1349"/>
        <v>896.77801079421522</v>
      </c>
      <c r="S736" s="165">
        <f t="shared" ref="S736:S751" si="1360">LN(R736/R735)</f>
        <v>-5.3799760415801534E-2</v>
      </c>
      <c r="T736" s="165">
        <f t="shared" ref="T736:T752" si="1361">+S736*AR736</f>
        <v>-1.1968099587300683E-3</v>
      </c>
      <c r="U736" s="165"/>
      <c r="V736" s="165"/>
      <c r="W736" s="159">
        <f t="shared" si="1330"/>
        <v>40512.969233350639</v>
      </c>
      <c r="X736" s="163"/>
      <c r="Y736" s="167">
        <v>2593.6751631410334</v>
      </c>
      <c r="Z736" s="168">
        <v>3.6132755033834646E-2</v>
      </c>
      <c r="AA736" s="76">
        <f t="shared" si="1350"/>
        <v>8.0379616426964787E-4</v>
      </c>
      <c r="AB736" s="168"/>
      <c r="AC736" s="168"/>
      <c r="AD736" s="163">
        <f t="shared" si="1281"/>
        <v>177066.9517262727</v>
      </c>
      <c r="AE736" s="168">
        <f t="shared" ref="AE736:AE752" si="1362">LN(AD736/AD735)</f>
        <v>-1.8204702193792725E-2</v>
      </c>
      <c r="AF736" s="163"/>
      <c r="AG736" s="163"/>
      <c r="AH736" s="163"/>
      <c r="AI736" s="163"/>
      <c r="AJ736" s="116">
        <f t="shared" ref="AJ736:AJ752" si="1363">+(AD736*1000)/AV736</f>
        <v>249.22404050016357</v>
      </c>
      <c r="AK736" s="114">
        <f>+AV736/$AX$11</f>
        <v>2.0485678092631021E-2</v>
      </c>
      <c r="AL736" s="115">
        <f t="shared" si="1351"/>
        <v>0.31500852872234647</v>
      </c>
      <c r="AM736" s="115">
        <f t="shared" si="1352"/>
        <v>0.45619118506738693</v>
      </c>
      <c r="AN736" s="115">
        <f t="shared" si="1353"/>
        <v>0.22880028621026652</v>
      </c>
      <c r="AO736" s="115">
        <f t="shared" si="1355"/>
        <v>-5.475835084445542E-2</v>
      </c>
      <c r="AP736" s="166">
        <f>+AP735*EXP(AO736)</f>
        <v>94.671389292712405</v>
      </c>
      <c r="AQ736" s="168">
        <f>LN(AP736/AP735)</f>
        <v>-5.4758350844455433E-2</v>
      </c>
      <c r="AR736" s="169">
        <f>+AD736/$AF$11</f>
        <v>2.2245637331473191E-2</v>
      </c>
      <c r="AS736" s="169">
        <f>+AR736*AQ736</f>
        <v>-1.2181344137553243E-3</v>
      </c>
      <c r="AT736" s="115"/>
      <c r="AU736" s="115"/>
      <c r="AV736" s="113">
        <f>IFERROR(INDEX('Total Customers'!$F$7:$AB$91,MATCH($C736,'Total Customers'!$D$7:$D$91,0),MATCH($G736,'Total Customers'!$F$5:$AB$5,0)),"NA")</f>
        <v>710473</v>
      </c>
      <c r="AW736" s="68">
        <f t="shared" si="1301"/>
        <v>-7.342710733459562E-2</v>
      </c>
      <c r="AX736" s="114"/>
      <c r="AY736" s="114"/>
      <c r="AZ736" s="116"/>
      <c r="BA736" s="116"/>
      <c r="BB736" s="166"/>
      <c r="BC736" s="166"/>
      <c r="BD736" s="166"/>
      <c r="BE736" s="166"/>
      <c r="BF736" s="166"/>
      <c r="BG736" s="166"/>
      <c r="BH736" s="166"/>
      <c r="BI736" s="113"/>
      <c r="BJ736" s="113"/>
      <c r="BK736" s="113">
        <f>INDEX('Dist. Plant Gas Additions'!$F$7:$AE$91,MATCH($C736,'Dist. Plant Gas Additions'!$D$7:$D$91,0),MATCH(Calculation!$G736,'Dist. Plant Gas Additions'!$F$5:$AE$5,0))</f>
        <v>46886</v>
      </c>
      <c r="BL736" s="113">
        <f>INDEX('Gen. Plant Additions'!$F$7:$AE$91,MATCH($C736,'Gen. Plant Additions'!$D$7:$D$91,0),MATCH(Calculation!$G736,'Gen. Plant Additions'!$F$5:$AE$5,0))</f>
        <v>2689</v>
      </c>
      <c r="BM736" s="231">
        <f t="shared" si="1331"/>
        <v>0.92953082456413816</v>
      </c>
      <c r="BN736" s="61">
        <f t="shared" si="1328"/>
        <v>2499.5083872529676</v>
      </c>
      <c r="BO736" s="113">
        <f>INDEX('Dist Plant Depreciation'!$E$7:$AD$94,MATCH($C736,'Dist Plant Depreciation'!$D$7:$D$94,0),MATCH(Calculation!$G736,'Dist Plant Depreciation'!$E$5:$AD$5,0))</f>
        <v>949185</v>
      </c>
      <c r="BP736" s="113">
        <f>INDEX('Gen. Plant Depreciation'!$E$7:$AD$94,MATCH($C736,'Gen. Plant Depreciation'!$D$7:$D$94,0),MATCH(Calculation!$G736,'Gen. Plant Depreciation'!$E$5:$AD$5,0))</f>
        <v>46327</v>
      </c>
      <c r="BQ736" s="113"/>
      <c r="BR736" s="113"/>
      <c r="BS736" s="113"/>
      <c r="BT736" s="113"/>
      <c r="BU736" s="113"/>
      <c r="BV736" s="113"/>
      <c r="BW736" s="113">
        <f>INDEX('Gross Dx Plant'!$E$7:$AD$91,MATCH($C736,'Gross Dx Plant'!$D$7:$D$91,0),MATCH(Calculation!$G736,'Gross Dx Plant'!$E$5:$AD$5,0))</f>
        <v>1121122</v>
      </c>
      <c r="BX736" s="113">
        <f>INDEX('Gross Gen Plant'!$E$7:$AD$91,MATCH($C736,'Gross Gen Plant'!$D$7:$D$91,0),MATCH(Calculation!$G736,'Gross Gen Plant'!$E$5:$AD$5,0))</f>
        <v>84994</v>
      </c>
      <c r="BY736" s="113">
        <f t="shared" si="1325"/>
        <v>210604</v>
      </c>
      <c r="BZ736" s="114"/>
      <c r="CA736" s="116">
        <v>2006</v>
      </c>
      <c r="CB736" s="113"/>
      <c r="CC736" s="113"/>
      <c r="CD736" s="113"/>
      <c r="CE736" s="175"/>
      <c r="CF736" s="113">
        <f t="shared" si="1332"/>
        <v>49575</v>
      </c>
      <c r="CG736" s="113">
        <f t="shared" si="1333"/>
        <v>107.51797969888375</v>
      </c>
      <c r="CH736" s="178">
        <v>0.9555555555555556</v>
      </c>
      <c r="CI736" s="61">
        <f>+CI728*CH736+CG729*CH735+CG730*CH734+CG731*CH733+CG732*CH732+CG733*CH731+CG734*CH730+CG735*CH729+CG736</f>
        <v>2593.6751631410334</v>
      </c>
      <c r="CJ736" s="114">
        <f t="shared" si="1334"/>
        <v>3.6132755033834646E-2</v>
      </c>
      <c r="CK736" s="114"/>
      <c r="CL736" s="169">
        <f t="shared" si="1335"/>
        <v>6.1856677380385094E-3</v>
      </c>
      <c r="CM736" s="169">
        <f t="shared" si="1343"/>
        <v>5.9929518109017241E-3</v>
      </c>
      <c r="CN736" s="114">
        <f>VLOOKUP($H736,RoR!$E:$F,2,FALSE)</f>
        <v>5.5874999999999994E-2</v>
      </c>
      <c r="CO736" s="169">
        <v>3.0512430354548314E-2</v>
      </c>
      <c r="CP736" s="169">
        <f t="shared" si="1341"/>
        <v>2.536256964545168E-2</v>
      </c>
      <c r="CQ736" s="169">
        <f t="shared" si="1344"/>
        <v>2.4908989797631901E-2</v>
      </c>
      <c r="CR736" s="169">
        <f t="shared" si="1345"/>
        <v>7.9087823893859641E-2</v>
      </c>
      <c r="CS736" s="179">
        <f t="shared" si="1336"/>
        <v>0.85203761789999999</v>
      </c>
      <c r="CT736" s="180">
        <f t="shared" si="1337"/>
        <v>0.91779957551769631</v>
      </c>
      <c r="CU736" s="180">
        <f t="shared" si="1338"/>
        <v>0.52757270693512304</v>
      </c>
      <c r="CV736" s="180">
        <f t="shared" si="1339"/>
        <v>0.88636824549024895</v>
      </c>
      <c r="CW736" s="180">
        <f t="shared" si="1340"/>
        <v>0.42918482841932087</v>
      </c>
      <c r="CX736" s="181">
        <f>INDEX('State Tax Lookup'!$D$7:$Z$91,MATCH(Calculation!$C736,'State Tax Lookup'!$B$7:$B$91,0),MATCH($H736,'State Tax Lookup'!$D$6:$Z$6,0))</f>
        <v>0.39989833000000002</v>
      </c>
      <c r="CY736" s="72">
        <v>0.37</v>
      </c>
      <c r="CZ736" s="70">
        <f t="shared" si="1342"/>
        <v>16.194619445117887</v>
      </c>
      <c r="DA736" s="70">
        <v>14.788696346247992</v>
      </c>
      <c r="DB736" s="69">
        <f t="shared" si="1346"/>
        <v>-2.3884344721013421E-2</v>
      </c>
      <c r="DC736" s="111">
        <f>VLOOKUP($H736,RoR!$E:$F,2,FALSE)</f>
        <v>5.5874999999999994E-2</v>
      </c>
      <c r="DD736" s="216">
        <f>HLOOKUP($H736,'GDP-PI'!$D$8:$CQ$11,3,FALSE)</f>
        <v>3.0512430354548314E-2</v>
      </c>
      <c r="DE736" s="111">
        <f>VLOOKUP(H736,'HW Dx Data'!$E:$F,2,FALSE)</f>
        <v>461.08567272971823</v>
      </c>
      <c r="DF736" s="72">
        <f t="shared" si="1356"/>
        <v>109.4</v>
      </c>
      <c r="DG736" s="69">
        <f t="shared" si="1357"/>
        <v>9.7620891318751846E-2</v>
      </c>
      <c r="DH736" s="66">
        <f>HLOOKUP(H736,'GDP-PI'!$8:$9,2,FALSE)</f>
        <v>90.073999999999998</v>
      </c>
      <c r="DI736" s="69">
        <f t="shared" si="1347"/>
        <v>3.005618372545445E-2</v>
      </c>
      <c r="EB736"/>
    </row>
    <row r="737" spans="1:132" s="160" customFormat="1" ht="21">
      <c r="A737" s="160" t="s">
        <v>202</v>
      </c>
      <c r="B737" s="161" t="s">
        <v>202</v>
      </c>
      <c r="C737" s="161">
        <v>4012860</v>
      </c>
      <c r="D737" s="161" t="s">
        <v>203</v>
      </c>
      <c r="E737" s="161"/>
      <c r="F737" s="161"/>
      <c r="G737" s="161" t="s">
        <v>118</v>
      </c>
      <c r="H737" s="162">
        <v>2007</v>
      </c>
      <c r="I737" s="163"/>
      <c r="J737" s="159">
        <f>IFERROR(INDEX('Labor Expenditures'!$F$7:$X$91,MATCH($C737,'Labor Expenditures'!$D$7:$D$91,0),MATCH($G737,'Labor Expenditures'!$F$5:$X$5,0)),"NA")</f>
        <v>57300.331631253488</v>
      </c>
      <c r="K737" s="159">
        <f t="shared" si="1348"/>
        <v>548.19738465681405</v>
      </c>
      <c r="L737" s="165">
        <f t="shared" si="1354"/>
        <v>7.2518669901443816E-2</v>
      </c>
      <c r="M737" s="76">
        <f t="shared" si="1358"/>
        <v>1.5989460316438422E-3</v>
      </c>
      <c r="N737" s="62">
        <f t="shared" ref="N737:N750" si="1364">+N736*EXP(O737)</f>
        <v>118.36560746288305</v>
      </c>
      <c r="O737" s="96">
        <f t="shared" si="1359"/>
        <v>7.9806284499431571E-2</v>
      </c>
      <c r="P737" s="96"/>
      <c r="Q737" s="159">
        <f>IFERROR(INDEX('Non-Labor Expenditures'!$F$7:$AB$91,MATCH($C737,'Non-Labor Expenditures'!$D$7:$D$91,0),MATCH($G737,'Non-Labor Expenditures'!$F$5:$AB$5,0)),"NA")</f>
        <v>82981.582427744157</v>
      </c>
      <c r="R737" s="159">
        <f t="shared" si="1349"/>
        <v>897.11758554502967</v>
      </c>
      <c r="S737" s="165">
        <f t="shared" si="1360"/>
        <v>3.7858920615375859E-4</v>
      </c>
      <c r="T737" s="165">
        <f t="shared" si="1361"/>
        <v>8.3474188043635456E-6</v>
      </c>
      <c r="U737" s="165"/>
      <c r="V737" s="165"/>
      <c r="W737" s="159">
        <f t="shared" si="1330"/>
        <v>45098.383819285722</v>
      </c>
      <c r="X737" s="163"/>
      <c r="Y737" s="167">
        <v>2645.1887979305352</v>
      </c>
      <c r="Z737" s="168">
        <v>1.9666590126957088E-2</v>
      </c>
      <c r="AA737" s="76">
        <f t="shared" si="1350"/>
        <v>4.336237314087573E-4</v>
      </c>
      <c r="AB737" s="168"/>
      <c r="AC737" s="168"/>
      <c r="AD737" s="163">
        <f t="shared" si="1281"/>
        <v>185380.29787828337</v>
      </c>
      <c r="AE737" s="168">
        <f t="shared" si="1362"/>
        <v>4.5881459906015144E-2</v>
      </c>
      <c r="AF737" s="163"/>
      <c r="AG737" s="163"/>
      <c r="AH737" s="163"/>
      <c r="AI737" s="163"/>
      <c r="AJ737" s="116">
        <f t="shared" si="1363"/>
        <v>257.19222497455326</v>
      </c>
      <c r="AK737" s="114">
        <f>+AV737/$AX$12</f>
        <v>2.0626536058599584E-2</v>
      </c>
      <c r="AL737" s="115">
        <f t="shared" si="1351"/>
        <v>0.30909612449147983</v>
      </c>
      <c r="AM737" s="115">
        <f t="shared" si="1352"/>
        <v>0.44762891945630623</v>
      </c>
      <c r="AN737" s="115">
        <f t="shared" si="1353"/>
        <v>0.24327495605221397</v>
      </c>
      <c r="AO737" s="115">
        <f t="shared" si="1355"/>
        <v>2.7442763082453074E-2</v>
      </c>
      <c r="AP737" s="166">
        <f>+AP736*EXP(AO737)</f>
        <v>97.305410909467142</v>
      </c>
      <c r="AQ737" s="168">
        <f>LN(AP737/AP736)</f>
        <v>2.7442763082453039E-2</v>
      </c>
      <c r="AR737" s="169">
        <f>+AD737/$AF$12</f>
        <v>2.2048750119340068E-2</v>
      </c>
      <c r="AS737" s="169">
        <f t="shared" ref="AS737:AS751" si="1365">+AR737*AQ737</f>
        <v>6.0507862578925765E-4</v>
      </c>
      <c r="AT737" s="115"/>
      <c r="AU737" s="115"/>
      <c r="AV737" s="113">
        <f>IFERROR(INDEX('Total Customers'!$F$7:$AB$91,MATCH($C737,'Total Customers'!$D$7:$D$91,0),MATCH($G737,'Total Customers'!$F$5:$AB$5,0)),"NA")</f>
        <v>720785</v>
      </c>
      <c r="AW737" s="68">
        <f t="shared" si="1301"/>
        <v>1.440995045909186E-2</v>
      </c>
      <c r="AX737" s="114"/>
      <c r="AY737" s="114"/>
      <c r="AZ737" s="116"/>
      <c r="BA737" s="116"/>
      <c r="BB737" s="166"/>
      <c r="BC737" s="166"/>
      <c r="BD737" s="166"/>
      <c r="BE737" s="166"/>
      <c r="BF737" s="166"/>
      <c r="BG737" s="166"/>
      <c r="BH737" s="166"/>
      <c r="BI737" s="113"/>
      <c r="BJ737" s="113"/>
      <c r="BK737" s="113">
        <f>INDEX('Dist. Plant Gas Additions'!$F$7:$AE$91,MATCH($C737,'Dist. Plant Gas Additions'!$D$7:$D$91,0),MATCH(Calculation!$G737,'Dist. Plant Gas Additions'!$F$5:$AE$5,0))</f>
        <v>37090</v>
      </c>
      <c r="BL737" s="113">
        <f>INDEX('Gen. Plant Additions'!$F$7:$AE$91,MATCH($C737,'Gen. Plant Additions'!$D$7:$D$91,0),MATCH(Calculation!$G737,'Gen. Plant Additions'!$F$5:$AE$5,0))</f>
        <v>-3205</v>
      </c>
      <c r="BM737" s="231">
        <f t="shared" si="1331"/>
        <v>0.9418500699268727</v>
      </c>
      <c r="BN737" s="61">
        <f t="shared" si="1328"/>
        <v>-3018.6294741156271</v>
      </c>
      <c r="BO737" s="113">
        <f>INDEX('Dist Plant Depreciation'!$E$7:$AD$94,MATCH($C737,'Dist Plant Depreciation'!$D$7:$D$94,0),MATCH(Calculation!$G737,'Dist Plant Depreciation'!$E$5:$AD$5,0))</f>
        <v>1010440</v>
      </c>
      <c r="BP737" s="113">
        <f>INDEX('Gen. Plant Depreciation'!$E$7:$AD$94,MATCH($C737,'Gen. Plant Depreciation'!$D$7:$D$94,0),MATCH(Calculation!$G737,'Gen. Plant Depreciation'!$E$5:$AD$5,0))</f>
        <v>40600</v>
      </c>
      <c r="BQ737" s="113"/>
      <c r="BR737" s="113"/>
      <c r="BS737" s="113"/>
      <c r="BT737" s="113"/>
      <c r="BU737" s="113"/>
      <c r="BV737" s="113"/>
      <c r="BW737" s="113">
        <f>INDEX('Gross Dx Plant'!$E$7:$AD$91,MATCH($C737,'Gross Dx Plant'!$D$7:$D$91,0),MATCH(Calculation!$G737,'Gross Dx Plant'!$E$5:$AD$5,0))</f>
        <v>1153626</v>
      </c>
      <c r="BX737" s="113">
        <f>INDEX('Gross Gen Plant'!$E$7:$AD$91,MATCH($C737,'Gross Gen Plant'!$D$7:$D$91,0),MATCH(Calculation!$G737,'Gross Gen Plant'!$E$5:$AD$5,0))</f>
        <v>71225</v>
      </c>
      <c r="BY737" s="113">
        <f t="shared" si="1325"/>
        <v>173811</v>
      </c>
      <c r="BZ737" s="113"/>
      <c r="CA737" s="116">
        <v>2007</v>
      </c>
      <c r="CB737" s="113"/>
      <c r="CC737" s="113"/>
      <c r="CD737" s="113"/>
      <c r="CE737" s="175"/>
      <c r="CF737" s="113">
        <f t="shared" si="1332"/>
        <v>33885</v>
      </c>
      <c r="CG737" s="113">
        <f t="shared" si="1333"/>
        <v>68.039119828450652</v>
      </c>
      <c r="CH737" s="178">
        <v>0.94915254237288138</v>
      </c>
      <c r="CI737" s="61">
        <f>+CI728*CH737+CG729*CH736+CG730*CH735+CG731*CH734+CG732*CH733+CG733*CH732+CG734*CH731+CG735*CH730+CG736*CH729+CG737</f>
        <v>2645.1887979305352</v>
      </c>
      <c r="CJ737" s="114">
        <f t="shared" si="1334"/>
        <v>1.9666590126957088E-2</v>
      </c>
      <c r="CK737" s="114"/>
      <c r="CL737" s="169">
        <f t="shared" si="1335"/>
        <v>6.3714551744158679E-3</v>
      </c>
      <c r="CM737" s="169">
        <f t="shared" si="1343"/>
        <v>6.1820446383896062E-3</v>
      </c>
      <c r="CN737" s="114">
        <f>VLOOKUP($H737,RoR!$E:$F,2,FALSE)</f>
        <v>5.5558333333333321E-2</v>
      </c>
      <c r="CO737" s="169">
        <v>2.691120634145272E-2</v>
      </c>
      <c r="CP737" s="169">
        <f t="shared" si="1341"/>
        <v>2.86471269918806E-2</v>
      </c>
      <c r="CQ737" s="169">
        <f t="shared" si="1344"/>
        <v>2.4719896970144019E-2</v>
      </c>
      <c r="CR737" s="169">
        <f t="shared" si="1345"/>
        <v>6.4575155250632399E-2</v>
      </c>
      <c r="CS737" s="179">
        <f t="shared" si="1336"/>
        <v>0.85203761789999999</v>
      </c>
      <c r="CT737" s="180">
        <f t="shared" si="1337"/>
        <v>0.92303077153834634</v>
      </c>
      <c r="CU737" s="180">
        <f t="shared" si="1338"/>
        <v>0.52502249887505614</v>
      </c>
      <c r="CV737" s="180">
        <f t="shared" si="1339"/>
        <v>0.88499666072084604</v>
      </c>
      <c r="CW737" s="180">
        <f t="shared" si="1340"/>
        <v>0.42887993290280618</v>
      </c>
      <c r="CX737" s="181">
        <f>INDEX('State Tax Lookup'!$D$7:$Z$91,MATCH(Calculation!$C737,'State Tax Lookup'!$B$7:$B$91,0),MATCH($H737,'State Tax Lookup'!$D$6:$Z$6,0))</f>
        <v>0.39989833000000002</v>
      </c>
      <c r="CY737" s="72">
        <v>0.37</v>
      </c>
      <c r="CZ737" s="70">
        <f t="shared" si="1342"/>
        <v>17.387830388393727</v>
      </c>
      <c r="DA737" s="70">
        <v>16.108943221861779</v>
      </c>
      <c r="DB737" s="69">
        <f t="shared" si="1346"/>
        <v>7.1091504505712777E-2</v>
      </c>
      <c r="DC737" s="111">
        <f>VLOOKUP($H737,RoR!$E:$F,2,FALSE)</f>
        <v>5.5558333333333321E-2</v>
      </c>
      <c r="DD737" s="216">
        <f>HLOOKUP($H737,'GDP-PI'!$D$8:$CQ$11,3,FALSE)</f>
        <v>2.691120634145272E-2</v>
      </c>
      <c r="DE737" s="111">
        <f>VLOOKUP(H737,'HW Dx Data'!$E:$F,2,FALSE)</f>
        <v>498.0223154772637</v>
      </c>
      <c r="DF737" s="72">
        <f t="shared" si="1356"/>
        <v>104.52499999999999</v>
      </c>
      <c r="DG737" s="69">
        <f t="shared" si="1357"/>
        <v>-4.5584612745252218E-2</v>
      </c>
      <c r="DH737" s="66">
        <f>HLOOKUP(H737,'GDP-PI'!$8:$9,2,FALSE)</f>
        <v>92.498000000000005</v>
      </c>
      <c r="DI737" s="69">
        <f t="shared" si="1347"/>
        <v>2.6555467950038037E-2</v>
      </c>
      <c r="EB737"/>
    </row>
    <row r="738" spans="1:132" s="160" customFormat="1" ht="21">
      <c r="A738" s="160" t="s">
        <v>202</v>
      </c>
      <c r="B738" s="161" t="s">
        <v>202</v>
      </c>
      <c r="C738" s="161">
        <v>4012860</v>
      </c>
      <c r="D738" s="161" t="s">
        <v>203</v>
      </c>
      <c r="E738" s="161"/>
      <c r="F738" s="161"/>
      <c r="G738" s="161" t="s">
        <v>120</v>
      </c>
      <c r="H738" s="162">
        <v>2008</v>
      </c>
      <c r="I738" s="163"/>
      <c r="J738" s="159">
        <f>IFERROR(INDEX('Labor Expenditures'!$F$7:$X$91,MATCH($C738,'Labor Expenditures'!$D$7:$D$91,0),MATCH($G738,'Labor Expenditures'!$F$5:$X$5,0)),"NA")</f>
        <v>58336.005173820064</v>
      </c>
      <c r="K738" s="159">
        <f t="shared" si="1348"/>
        <v>540.64879679165949</v>
      </c>
      <c r="L738" s="165">
        <f t="shared" si="1354"/>
        <v>-1.3865519170104458E-2</v>
      </c>
      <c r="M738" s="76">
        <f t="shared" si="1358"/>
        <v>-3.008492334882538E-4</v>
      </c>
      <c r="N738" s="62">
        <f t="shared" si="1364"/>
        <v>110.01057442835454</v>
      </c>
      <c r="O738" s="96">
        <f t="shared" si="1359"/>
        <v>-7.3201710404736942E-2</v>
      </c>
      <c r="P738" s="96"/>
      <c r="Q738" s="159">
        <f>IFERROR(INDEX('Non-Labor Expenditures'!$F$7:$AB$91,MATCH($C738,'Non-Labor Expenditures'!$D$7:$D$91,0),MATCH($G738,'Non-Labor Expenditures'!$F$5:$AB$5,0)),"NA")</f>
        <v>84481.431154515682</v>
      </c>
      <c r="R738" s="159">
        <f t="shared" si="1349"/>
        <v>896.22158145756259</v>
      </c>
      <c r="S738" s="165">
        <f t="shared" si="1360"/>
        <v>-9.9925789667653893E-4</v>
      </c>
      <c r="T738" s="165">
        <f t="shared" si="1361"/>
        <v>-2.1681551810941431E-5</v>
      </c>
      <c r="U738" s="165"/>
      <c r="V738" s="165"/>
      <c r="W738" s="159">
        <f t="shared" si="1330"/>
        <v>52222.430305697475</v>
      </c>
      <c r="X738" s="163"/>
      <c r="Y738" s="167">
        <v>2697.6735409178964</v>
      </c>
      <c r="Z738" s="168">
        <v>1.9647308120672023E-2</v>
      </c>
      <c r="AA738" s="76">
        <f t="shared" si="1350"/>
        <v>4.2630048797279846E-4</v>
      </c>
      <c r="AB738" s="168"/>
      <c r="AC738" s="168"/>
      <c r="AD738" s="163">
        <f t="shared" si="1281"/>
        <v>195039.86663403321</v>
      </c>
      <c r="AE738" s="168">
        <f t="shared" si="1362"/>
        <v>5.0794602646239896E-2</v>
      </c>
      <c r="AF738" s="163"/>
      <c r="AG738" s="163"/>
      <c r="AH738" s="163"/>
      <c r="AI738" s="163"/>
      <c r="AJ738" s="116">
        <f t="shared" si="1363"/>
        <v>270.95606634709628</v>
      </c>
      <c r="AK738" s="114">
        <f>+AV738/$AX$13</f>
        <v>2.0488815633278774E-2</v>
      </c>
      <c r="AL738" s="115">
        <f t="shared" si="1351"/>
        <v>0.29909785204724293</v>
      </c>
      <c r="AM738" s="115">
        <f t="shared" si="1352"/>
        <v>0.43314955353734952</v>
      </c>
      <c r="AN738" s="115">
        <f t="shared" si="1353"/>
        <v>0.26775259441540755</v>
      </c>
      <c r="AO738" s="115">
        <f t="shared" si="1355"/>
        <v>3.6363282849414744E-4</v>
      </c>
      <c r="AP738" s="166">
        <f t="shared" ref="AP738:AP751" si="1366">+AP737*EXP(AO738)</f>
        <v>97.340800785334309</v>
      </c>
      <c r="AQ738" s="168">
        <f t="shared" ref="AQ738:AQ751" si="1367">LN(AP738/AP737)</f>
        <v>3.6363282849419617E-4</v>
      </c>
      <c r="AR738" s="169">
        <f>+AD738/$AF$13</f>
        <v>2.1697653711872319E-2</v>
      </c>
      <c r="AS738" s="169">
        <f t="shared" si="1365"/>
        <v>7.8899791909357257E-6</v>
      </c>
      <c r="AT738" s="115"/>
      <c r="AU738" s="115"/>
      <c r="AV738" s="113">
        <f>IFERROR(INDEX('Total Customers'!$F$7:$AB$91,MATCH($C738,'Total Customers'!$D$7:$D$91,0),MATCH($G738,'Total Customers'!$F$5:$AB$5,0)),"NA")</f>
        <v>719821</v>
      </c>
      <c r="AW738" s="68">
        <f t="shared" si="1301"/>
        <v>-1.3383258765912545E-3</v>
      </c>
      <c r="AX738" s="114"/>
      <c r="AY738" s="114"/>
      <c r="AZ738" s="116"/>
      <c r="BA738" s="116"/>
      <c r="BB738" s="166"/>
      <c r="BC738" s="166"/>
      <c r="BD738" s="166"/>
      <c r="BE738" s="166"/>
      <c r="BF738" s="166"/>
      <c r="BG738" s="166"/>
      <c r="BH738" s="166"/>
      <c r="BI738" s="113"/>
      <c r="BJ738" s="113"/>
      <c r="BK738" s="113">
        <f>INDEX('Dist. Plant Gas Additions'!$F$7:$AE$91,MATCH($C738,'Dist. Plant Gas Additions'!$D$7:$D$91,0),MATCH(Calculation!$G738,'Dist. Plant Gas Additions'!$F$5:$AE$5,0))</f>
        <v>37490</v>
      </c>
      <c r="BL738" s="113">
        <f>INDEX('Gen. Plant Additions'!$F$7:$AE$91,MATCH($C738,'Gen. Plant Additions'!$D$7:$D$91,0),MATCH(Calculation!$G738,'Gen. Plant Additions'!$F$5:$AE$5,0))</f>
        <v>2349</v>
      </c>
      <c r="BM738" s="231">
        <f t="shared" si="1331"/>
        <v>0.94508768800903631</v>
      </c>
      <c r="BN738" s="61">
        <f t="shared" si="1328"/>
        <v>2220.0109791332261</v>
      </c>
      <c r="BO738" s="113">
        <f>INDEX('Dist Plant Depreciation'!$E$7:$AD$94,MATCH($C738,'Dist Plant Depreciation'!$D$7:$D$94,0),MATCH(Calculation!$G738,'Dist Plant Depreciation'!$E$5:$AD$5,0))</f>
        <v>1081021</v>
      </c>
      <c r="BP738" s="113">
        <f>INDEX('Gen. Plant Depreciation'!$E$7:$AD$94,MATCH($C738,'Gen. Plant Depreciation'!$D$7:$D$94,0),MATCH(Calculation!$G738,'Gen. Plant Depreciation'!$E$5:$AD$5,0))</f>
        <v>39348</v>
      </c>
      <c r="BQ738" s="113"/>
      <c r="BR738" s="113"/>
      <c r="BS738" s="113"/>
      <c r="BT738" s="113"/>
      <c r="BU738" s="113"/>
      <c r="BV738" s="113"/>
      <c r="BW738" s="113">
        <f>INDEX('Gross Dx Plant'!$E$7:$AD$91,MATCH($C738,'Gross Dx Plant'!$D$7:$D$91,0),MATCH(Calculation!$G738,'Gross Dx Plant'!$E$5:$AD$5,0))</f>
        <v>1192299</v>
      </c>
      <c r="BX738" s="113">
        <f>INDEX('Gross Gen Plant'!$E$7:$AD$91,MATCH($C738,'Gross Gen Plant'!$D$7:$D$91,0),MATCH(Calculation!$G738,'Gross Gen Plant'!$E$5:$AD$5,0))</f>
        <v>69276</v>
      </c>
      <c r="BY738" s="113">
        <f t="shared" si="1325"/>
        <v>141206</v>
      </c>
      <c r="BZ738" s="113"/>
      <c r="CA738" s="116">
        <v>2008</v>
      </c>
      <c r="CB738" s="113"/>
      <c r="CC738" s="113"/>
      <c r="CD738" s="113"/>
      <c r="CE738" s="175"/>
      <c r="CF738" s="113">
        <f t="shared" si="1332"/>
        <v>39839</v>
      </c>
      <c r="CG738" s="113">
        <f t="shared" si="1333"/>
        <v>69.907552252728763</v>
      </c>
      <c r="CH738" s="178">
        <v>0.94252873563218387</v>
      </c>
      <c r="CI738" s="61">
        <f>+CI728*CH738+CG729*CH737+CG730*CH736+CG731*CH735+CG732*CH734+CG733*CH733+CG734*CH732+CG735*CH731+CG736*CH730+CG737*CH729+CG738</f>
        <v>2697.6735409178964</v>
      </c>
      <c r="CJ738" s="114">
        <f t="shared" si="1334"/>
        <v>1.9647308120672023E-2</v>
      </c>
      <c r="CK738" s="114"/>
      <c r="CL738" s="169">
        <f t="shared" si="1335"/>
        <v>6.5866032999226066E-3</v>
      </c>
      <c r="CM738" s="169">
        <f t="shared" si="1343"/>
        <v>6.3812420707923282E-3</v>
      </c>
      <c r="CN738" s="114">
        <f>VLOOKUP($H738,RoR!$E:$F,2,FALSE)</f>
        <v>5.6316666666666668E-2</v>
      </c>
      <c r="CO738" s="169">
        <v>1.9092304698479889E-2</v>
      </c>
      <c r="CP738" s="169">
        <f t="shared" si="1341"/>
        <v>3.7224361968186778E-2</v>
      </c>
      <c r="CQ738" s="169">
        <f t="shared" si="1344"/>
        <v>2.4520699537741296E-2</v>
      </c>
      <c r="CR738" s="169">
        <f t="shared" si="1345"/>
        <v>6.9030581091053131E-2</v>
      </c>
      <c r="CS738" s="179">
        <f t="shared" si="1336"/>
        <v>0.85203761789999999</v>
      </c>
      <c r="CT738" s="180">
        <f t="shared" si="1337"/>
        <v>0.91060168006009956</v>
      </c>
      <c r="CU738" s="180">
        <f t="shared" si="1338"/>
        <v>0.53108168097070152</v>
      </c>
      <c r="CV738" s="180">
        <f t="shared" si="1339"/>
        <v>0.88825329850328805</v>
      </c>
      <c r="CW738" s="180">
        <f t="shared" si="1340"/>
        <v>0.4295627335323573</v>
      </c>
      <c r="CX738" s="181">
        <f>INDEX('State Tax Lookup'!$D$7:$Z$91,MATCH(Calculation!$C738,'State Tax Lookup'!$B$7:$B$91,0),MATCH($H738,'State Tax Lookup'!$D$6:$Z$6,0))</f>
        <v>0.39989833000000002</v>
      </c>
      <c r="CY738" s="72">
        <v>0.37</v>
      </c>
      <c r="CZ738" s="70">
        <f t="shared" si="1342"/>
        <v>19.742420785447798</v>
      </c>
      <c r="DA738" s="70">
        <v>18.300102035478151</v>
      </c>
      <c r="DB738" s="69">
        <f t="shared" si="1346"/>
        <v>0.12699910143620516</v>
      </c>
      <c r="DC738" s="111">
        <f>VLOOKUP($H738,RoR!$E:$F,2,FALSE)</f>
        <v>5.6316666666666668E-2</v>
      </c>
      <c r="DD738" s="216">
        <f>HLOOKUP($H738,'GDP-PI'!$D$8:$CQ$11,3,FALSE)</f>
        <v>1.9092304698479889E-2</v>
      </c>
      <c r="DE738" s="111">
        <f>VLOOKUP(H738,'HW Dx Data'!$E:$F,2,FALSE)</f>
        <v>569.88120333515076</v>
      </c>
      <c r="DF738" s="72">
        <f t="shared" si="1356"/>
        <v>107.9</v>
      </c>
      <c r="DG738" s="69">
        <f t="shared" si="1357"/>
        <v>3.1778595021460486E-2</v>
      </c>
      <c r="DH738" s="66">
        <f>HLOOKUP(H738,'GDP-PI'!$8:$9,2,FALSE)</f>
        <v>94.263999999999996</v>
      </c>
      <c r="DI738" s="69">
        <f t="shared" si="1347"/>
        <v>1.8912333748032254E-2</v>
      </c>
      <c r="EB738"/>
    </row>
    <row r="739" spans="1:132" s="160" customFormat="1" ht="21">
      <c r="A739" s="160" t="s">
        <v>202</v>
      </c>
      <c r="B739" s="161" t="s">
        <v>202</v>
      </c>
      <c r="C739" s="161">
        <v>4012860</v>
      </c>
      <c r="D739" s="161" t="s">
        <v>203</v>
      </c>
      <c r="E739" s="161"/>
      <c r="F739" s="161"/>
      <c r="G739" s="161" t="s">
        <v>125</v>
      </c>
      <c r="H739" s="162">
        <v>2009</v>
      </c>
      <c r="I739" s="163"/>
      <c r="J739" s="159">
        <f>IFERROR(INDEX('Labor Expenditures'!$F$7:$X$91,MATCH($C739,'Labor Expenditures'!$D$7:$D$91,0),MATCH($G739,'Labor Expenditures'!$F$5:$X$5,0)),"NA")</f>
        <v>65460.433223629181</v>
      </c>
      <c r="K739" s="159">
        <f t="shared" si="1348"/>
        <v>590.13237073364155</v>
      </c>
      <c r="L739" s="165">
        <f t="shared" si="1354"/>
        <v>8.7576975006821101E-2</v>
      </c>
      <c r="M739" s="76">
        <f t="shared" si="1358"/>
        <v>1.9739302426462942E-3</v>
      </c>
      <c r="N739" s="62">
        <f t="shared" si="1364"/>
        <v>117.55002772900896</v>
      </c>
      <c r="O739" s="96">
        <f t="shared" si="1359"/>
        <v>6.6287518538265811E-2</v>
      </c>
      <c r="P739" s="96"/>
      <c r="Q739" s="159">
        <f>IFERROR(INDEX('Non-Labor Expenditures'!$F$7:$AB$91,MATCH($C739,'Non-Labor Expenditures'!$D$7:$D$91,0),MATCH($G739,'Non-Labor Expenditures'!$F$5:$AB$5,0)),"NA")</f>
        <v>94798.933630248488</v>
      </c>
      <c r="R739" s="159">
        <f t="shared" si="1349"/>
        <v>997.8940160448899</v>
      </c>
      <c r="S739" s="165">
        <f t="shared" si="1360"/>
        <v>0.10745939118939547</v>
      </c>
      <c r="T739" s="165">
        <f t="shared" si="1361"/>
        <v>2.4220674681739722E-3</v>
      </c>
      <c r="U739" s="165"/>
      <c r="V739" s="165"/>
      <c r="W739" s="159">
        <f t="shared" si="1330"/>
        <v>51061.574075272518</v>
      </c>
      <c r="X739" s="163"/>
      <c r="Y739" s="167">
        <v>2745.2304169817412</v>
      </c>
      <c r="Z739" s="168">
        <v>1.7475261987985172E-2</v>
      </c>
      <c r="AA739" s="76">
        <f t="shared" si="1350"/>
        <v>3.9388147550842469E-4</v>
      </c>
      <c r="AB739" s="168"/>
      <c r="AC739" s="168"/>
      <c r="AD739" s="163">
        <f t="shared" si="1281"/>
        <v>211320.94092915018</v>
      </c>
      <c r="AE739" s="168">
        <f t="shared" si="1362"/>
        <v>8.0174042968304521E-2</v>
      </c>
      <c r="AF739" s="163"/>
      <c r="AG739" s="163"/>
      <c r="AH739" s="163"/>
      <c r="AI739" s="163"/>
      <c r="AJ739" s="116">
        <f t="shared" si="1363"/>
        <v>294.19388829139461</v>
      </c>
      <c r="AK739" s="114">
        <f>+AV739/$AX$14</f>
        <v>2.0419600974835143E-2</v>
      </c>
      <c r="AL739" s="115">
        <f t="shared" si="1351"/>
        <v>0.30976784854264006</v>
      </c>
      <c r="AM739" s="115">
        <f t="shared" si="1352"/>
        <v>0.44860170134313304</v>
      </c>
      <c r="AN739" s="115">
        <f t="shared" si="1353"/>
        <v>0.24163045011422693</v>
      </c>
      <c r="AO739" s="115">
        <f t="shared" si="1355"/>
        <v>7.8488335714202911E-2</v>
      </c>
      <c r="AP739" s="166">
        <f t="shared" si="1366"/>
        <v>105.2887490464248</v>
      </c>
      <c r="AQ739" s="168">
        <f t="shared" si="1367"/>
        <v>7.8488335714202828E-2</v>
      </c>
      <c r="AR739" s="169">
        <f>+AD739/$AF$14</f>
        <v>2.2539374561550574E-2</v>
      </c>
      <c r="AS739" s="169">
        <f t="shared" si="1365"/>
        <v>1.7690779973751447E-3</v>
      </c>
      <c r="AT739" s="115"/>
      <c r="AU739" s="115"/>
      <c r="AV739" s="113">
        <f>IFERROR(INDEX('Total Customers'!$F$7:$AB$91,MATCH($C739,'Total Customers'!$D$7:$D$91,0),MATCH($G739,'Total Customers'!$F$5:$AB$5,0)),"NA")</f>
        <v>718305</v>
      </c>
      <c r="AW739" s="68">
        <f t="shared" si="1301"/>
        <v>-2.1083000537403269E-3</v>
      </c>
      <c r="AX739" s="114"/>
      <c r="AY739" s="114"/>
      <c r="AZ739" s="116"/>
      <c r="BA739" s="116"/>
      <c r="BB739" s="166"/>
      <c r="BC739" s="166"/>
      <c r="BD739" s="166"/>
      <c r="BE739" s="166"/>
      <c r="BF739" s="166"/>
      <c r="BG739" s="166"/>
      <c r="BH739" s="166"/>
      <c r="BI739" s="113"/>
      <c r="BJ739" s="113"/>
      <c r="BK739" s="113">
        <f>INDEX('Dist. Plant Gas Additions'!$F$7:$AE$91,MATCH($C739,'Dist. Plant Gas Additions'!$D$7:$D$91,0),MATCH(Calculation!$G739,'Dist. Plant Gas Additions'!$F$5:$AE$5,0))</f>
        <v>34996</v>
      </c>
      <c r="BL739" s="113">
        <f>INDEX('Gen. Plant Additions'!$F$7:$AE$91,MATCH($C739,'Gen. Plant Additions'!$D$7:$D$91,0),MATCH(Calculation!$G739,'Gen. Plant Additions'!$F$5:$AE$5,0))</f>
        <v>1325</v>
      </c>
      <c r="BM739" s="231">
        <f t="shared" si="1331"/>
        <v>0.94907152650183269</v>
      </c>
      <c r="BN739" s="61">
        <f t="shared" si="1328"/>
        <v>1257.5197726149283</v>
      </c>
      <c r="BO739" s="113">
        <f>INDEX('Dist Plant Depreciation'!$E$7:$AD$94,MATCH($C739,'Dist Plant Depreciation'!$D$7:$D$94,0),MATCH(Calculation!$G739,'Dist Plant Depreciation'!$E$5:$AD$5,0))</f>
        <v>1143360</v>
      </c>
      <c r="BP739" s="113">
        <f>INDEX('Gen. Plant Depreciation'!$E$7:$AD$94,MATCH($C739,'Gen. Plant Depreciation'!$D$7:$D$94,0),MATCH(Calculation!$G739,'Gen. Plant Depreciation'!$E$5:$AD$5,0))</f>
        <v>38248</v>
      </c>
      <c r="BQ739" s="113"/>
      <c r="BR739" s="113"/>
      <c r="BS739" s="113"/>
      <c r="BT739" s="113"/>
      <c r="BU739" s="113"/>
      <c r="BV739" s="113"/>
      <c r="BW739" s="113">
        <f>INDEX('Gross Dx Plant'!$E$7:$AD$91,MATCH($C739,'Gross Dx Plant'!$D$7:$D$91,0),MATCH(Calculation!$G739,'Gross Dx Plant'!$E$5:$AD$5,0))</f>
        <v>1221102</v>
      </c>
      <c r="BX739" s="113">
        <f>INDEX('Gross Gen Plant'!$E$7:$AD$91,MATCH($C739,'Gross Gen Plant'!$D$7:$D$91,0),MATCH(Calculation!$G739,'Gross Gen Plant'!$E$5:$AD$5,0))</f>
        <v>65526</v>
      </c>
      <c r="BY739" s="113">
        <f t="shared" si="1325"/>
        <v>105020</v>
      </c>
      <c r="BZ739" s="113"/>
      <c r="CA739" s="116">
        <v>2009</v>
      </c>
      <c r="CB739" s="113"/>
      <c r="CC739" s="113"/>
      <c r="CD739" s="113"/>
      <c r="CE739" s="175"/>
      <c r="CF739" s="113">
        <f t="shared" si="1332"/>
        <v>36321</v>
      </c>
      <c r="CG739" s="113">
        <f t="shared" si="1333"/>
        <v>65.925432930785249</v>
      </c>
      <c r="CH739" s="178">
        <v>0.93567251461988299</v>
      </c>
      <c r="CI739" s="61">
        <f>+CI728*CH739+CG729*CH738+CG730*CH737+CG731*CH736+CG732*CH735+CG733*CH734+CG734*CH733+CG735*CH732+CG736*CH731+CG737*CH730+CG738*CH729+CG739</f>
        <v>2745.2304169817412</v>
      </c>
      <c r="CJ739" s="114">
        <f t="shared" si="1334"/>
        <v>1.7475261987985172E-2</v>
      </c>
      <c r="CK739" s="114"/>
      <c r="CL739" s="169">
        <f t="shared" si="1335"/>
        <v>6.8090362263368781E-3</v>
      </c>
      <c r="CM739" s="169">
        <f t="shared" si="1343"/>
        <v>6.5890315668917848E-3</v>
      </c>
      <c r="CN739" s="114">
        <f>VLOOKUP($H739,RoR!$E:$F,2,FALSE)</f>
        <v>5.3133333333333324E-2</v>
      </c>
      <c r="CO739" s="169">
        <v>7.7972502758210105E-3</v>
      </c>
      <c r="CP739" s="169">
        <f t="shared" si="1341"/>
        <v>4.5336083057512314E-2</v>
      </c>
      <c r="CQ739" s="169">
        <f t="shared" si="1344"/>
        <v>2.4312910041641839E-2</v>
      </c>
      <c r="CR739" s="169">
        <f t="shared" si="1345"/>
        <v>6.3720160300892073E-2</v>
      </c>
      <c r="CS739" s="179">
        <f t="shared" si="1336"/>
        <v>0.85203761789999999</v>
      </c>
      <c r="CT739" s="180">
        <f t="shared" si="1337"/>
        <v>0.96515780330083989</v>
      </c>
      <c r="CU739" s="180">
        <f t="shared" si="1338"/>
        <v>0.50448557089084056</v>
      </c>
      <c r="CV739" s="180">
        <f t="shared" si="1339"/>
        <v>0.87391435735465484</v>
      </c>
      <c r="CW739" s="180">
        <f t="shared" si="1340"/>
        <v>0.42551605393279146</v>
      </c>
      <c r="CX739" s="181">
        <f>INDEX('State Tax Lookup'!$D$7:$Z$91,MATCH(Calculation!$C739,'State Tax Lookup'!$B$7:$B$91,0),MATCH($H739,'State Tax Lookup'!$D$6:$Z$6,0))</f>
        <v>0.39989833000000002</v>
      </c>
      <c r="CY739" s="72">
        <v>0.37</v>
      </c>
      <c r="CZ739" s="70">
        <f t="shared" si="1342"/>
        <v>18.928003444738007</v>
      </c>
      <c r="DA739" s="70">
        <v>17.478615056163342</v>
      </c>
      <c r="DB739" s="69">
        <f t="shared" si="1346"/>
        <v>-4.2127170766788076E-2</v>
      </c>
      <c r="DC739" s="111">
        <f>VLOOKUP($H739,RoR!$E:$F,2,FALSE)</f>
        <v>5.3133333333333324E-2</v>
      </c>
      <c r="DD739" s="216">
        <f>HLOOKUP($H739,'GDP-PI'!$D$8:$CQ$11,3,FALSE)</f>
        <v>7.7972502758210105E-3</v>
      </c>
      <c r="DE739" s="111">
        <f>VLOOKUP(H739,'HW Dx Data'!$E:$F,2,FALSE)</f>
        <v>550.94063679692806</v>
      </c>
      <c r="DF739" s="72">
        <f t="shared" si="1356"/>
        <v>110.925</v>
      </c>
      <c r="DG739" s="69">
        <f t="shared" si="1357"/>
        <v>2.7649425000884052E-2</v>
      </c>
      <c r="DH739" s="66">
        <f>HLOOKUP(H739,'GDP-PI'!$8:$9,2,FALSE)</f>
        <v>94.998999999999995</v>
      </c>
      <c r="DI739" s="69">
        <f t="shared" si="1347"/>
        <v>7.7670088183096342E-3</v>
      </c>
      <c r="EB739"/>
    </row>
    <row r="740" spans="1:132" s="160" customFormat="1" ht="21">
      <c r="A740" s="160" t="s">
        <v>202</v>
      </c>
      <c r="B740" s="161" t="s">
        <v>202</v>
      </c>
      <c r="C740" s="161">
        <v>4012860</v>
      </c>
      <c r="D740" s="161" t="s">
        <v>203</v>
      </c>
      <c r="E740" s="161"/>
      <c r="F740" s="161"/>
      <c r="G740" s="161" t="s">
        <v>126</v>
      </c>
      <c r="H740" s="162">
        <v>2010</v>
      </c>
      <c r="I740" s="163"/>
      <c r="J740" s="159">
        <f>IFERROR(INDEX('Labor Expenditures'!$F$7:$X$91,MATCH($C740,'Labor Expenditures'!$D$7:$D$91,0),MATCH($G740,'Labor Expenditures'!$F$5:$X$5,0)),"NA")</f>
        <v>69623.825830962989</v>
      </c>
      <c r="K740" s="159">
        <f t="shared" si="1348"/>
        <v>595.45713774610215</v>
      </c>
      <c r="L740" s="165">
        <f t="shared" si="1354"/>
        <v>8.982540377065763E-3</v>
      </c>
      <c r="M740" s="76">
        <f t="shared" si="1358"/>
        <v>2.0675855261947473E-4</v>
      </c>
      <c r="N740" s="62">
        <f t="shared" si="1364"/>
        <v>96.508657173610374</v>
      </c>
      <c r="O740" s="96">
        <f t="shared" si="1359"/>
        <v>-0.1972312949125149</v>
      </c>
      <c r="P740" s="96"/>
      <c r="Q740" s="159">
        <f>IFERROR(INDEX('Non-Labor Expenditures'!$F$7:$AB$91,MATCH($C740,'Non-Labor Expenditures'!$D$7:$D$91,0),MATCH($G740,'Non-Labor Expenditures'!$F$5:$AB$5,0)),"NA")</f>
        <v>100828.30374014312</v>
      </c>
      <c r="R740" s="159">
        <f t="shared" si="1349"/>
        <v>1049.1036608449065</v>
      </c>
      <c r="S740" s="165">
        <f t="shared" si="1360"/>
        <v>5.0044347916891774E-2</v>
      </c>
      <c r="T740" s="165">
        <f t="shared" si="1361"/>
        <v>1.1519120992208611E-3</v>
      </c>
      <c r="U740" s="165"/>
      <c r="V740" s="165"/>
      <c r="W740" s="159">
        <f t="shared" si="1330"/>
        <v>53236.740708379315</v>
      </c>
      <c r="X740" s="163"/>
      <c r="Y740" s="167">
        <v>2769.4800565853811</v>
      </c>
      <c r="Z740" s="168">
        <v>8.7945853252530889E-3</v>
      </c>
      <c r="AA740" s="76">
        <f t="shared" si="1350"/>
        <v>2.0243223591629266E-4</v>
      </c>
      <c r="AB740" s="168"/>
      <c r="AC740" s="168"/>
      <c r="AD740" s="163">
        <f t="shared" si="1281"/>
        <v>223688.87027948542</v>
      </c>
      <c r="AE740" s="168">
        <f t="shared" si="1362"/>
        <v>5.6878089459480342E-2</v>
      </c>
      <c r="AF740" s="163"/>
      <c r="AG740" s="163"/>
      <c r="AH740" s="163"/>
      <c r="AI740" s="163"/>
      <c r="AJ740" s="116">
        <f t="shared" si="1363"/>
        <v>281.36292375337621</v>
      </c>
      <c r="AK740" s="114">
        <f>+AV740/$AX$15</f>
        <v>2.2476730637211676E-2</v>
      </c>
      <c r="AL740" s="115">
        <f t="shared" si="1351"/>
        <v>0.3112529726846594</v>
      </c>
      <c r="AM740" s="115">
        <f t="shared" si="1352"/>
        <v>0.45075243848370455</v>
      </c>
      <c r="AN740" s="115">
        <f t="shared" si="1353"/>
        <v>0.2379945888316361</v>
      </c>
      <c r="AO740" s="115">
        <f t="shared" si="1355"/>
        <v>2.7402019702400589E-2</v>
      </c>
      <c r="AP740" s="166">
        <f t="shared" si="1366"/>
        <v>108.21376608600531</v>
      </c>
      <c r="AQ740" s="168">
        <f t="shared" si="1367"/>
        <v>2.7402019702400516E-2</v>
      </c>
      <c r="AR740" s="169">
        <f>+AD740/$AF$15</f>
        <v>2.3017826131610943E-2</v>
      </c>
      <c r="AS740" s="169">
        <f t="shared" si="1365"/>
        <v>6.3073492516483253E-4</v>
      </c>
      <c r="AT740" s="115"/>
      <c r="AU740" s="115"/>
      <c r="AV740" s="113">
        <f>IFERROR(INDEX('Total Customers'!$F$7:$AB$91,MATCH($C740,'Total Customers'!$D$7:$D$91,0),MATCH($G740,'Total Customers'!$F$5:$AB$5,0)),"NA")</f>
        <v>795019</v>
      </c>
      <c r="AW740" s="68">
        <f t="shared" si="1301"/>
        <v>0.10147174380343141</v>
      </c>
      <c r="AX740" s="114"/>
      <c r="AY740" s="114"/>
      <c r="AZ740" s="116"/>
      <c r="BA740" s="116"/>
      <c r="BB740" s="166"/>
      <c r="BC740" s="166"/>
      <c r="BD740" s="166"/>
      <c r="BE740" s="166"/>
      <c r="BF740" s="166"/>
      <c r="BG740" s="166"/>
      <c r="BH740" s="166"/>
      <c r="BI740" s="113"/>
      <c r="BJ740" s="113"/>
      <c r="BK740" s="113">
        <f>INDEX('Dist. Plant Gas Additions'!$F$7:$AE$91,MATCH($C740,'Dist. Plant Gas Additions'!$D$7:$D$91,0),MATCH(Calculation!$G740,'Dist. Plant Gas Additions'!$F$5:$AE$5,0))</f>
        <v>24429</v>
      </c>
      <c r="BL740" s="113">
        <f>INDEX('Gen. Plant Additions'!$F$7:$AE$91,MATCH($C740,'Gen. Plant Additions'!$D$7:$D$91,0),MATCH(Calculation!$G740,'Gen. Plant Additions'!$F$5:$AE$5,0))</f>
        <v>371</v>
      </c>
      <c r="BM740" s="231">
        <f t="shared" si="1331"/>
        <v>0.95138455840523783</v>
      </c>
      <c r="BN740" s="61">
        <f>+BM740*BL740</f>
        <v>352.96367116834324</v>
      </c>
      <c r="BO740" s="113">
        <f>INDEX('Dist Plant Depreciation'!$E$7:$AD$94,MATCH($C740,'Dist Plant Depreciation'!$D$7:$D$94,0),MATCH(Calculation!$G740,'Dist Plant Depreciation'!$E$5:$AD$5,0))</f>
        <v>1198204</v>
      </c>
      <c r="BP740" s="113">
        <f>INDEX('Gen. Plant Depreciation'!$E$7:$AD$94,MATCH($C740,'Gen. Plant Depreciation'!$D$7:$D$94,0),MATCH(Calculation!$G740,'Gen. Plant Depreciation'!$E$5:$AD$5,0))</f>
        <v>36658</v>
      </c>
      <c r="BQ740" s="113"/>
      <c r="BR740" s="113"/>
      <c r="BS740" s="113"/>
      <c r="BT740" s="113"/>
      <c r="BU740" s="113"/>
      <c r="BV740" s="113"/>
      <c r="BW740" s="113">
        <f>INDEX('Gross Dx Plant'!$E$7:$AD$91,MATCH($C740,'Gross Dx Plant'!$D$7:$D$91,0),MATCH(Calculation!$G740,'Gross Dx Plant'!$E$5:$AD$5,0))</f>
        <v>1356310</v>
      </c>
      <c r="BX740" s="113">
        <f>INDEX('Gross Gen Plant'!$E$7:$AD$91,MATCH($C740,'Gross Gen Plant'!$D$7:$D$91,0),MATCH(Calculation!$G740,'Gross Gen Plant'!$E$5:$AD$5,0))</f>
        <v>69307</v>
      </c>
      <c r="BY740" s="113">
        <f t="shared" si="1325"/>
        <v>190755</v>
      </c>
      <c r="BZ740" s="113"/>
      <c r="CA740" s="116">
        <v>2010</v>
      </c>
      <c r="CB740" s="113"/>
      <c r="CC740" s="113"/>
      <c r="CD740" s="113"/>
      <c r="CE740" s="175"/>
      <c r="CF740" s="113">
        <f t="shared" si="1332"/>
        <v>24800</v>
      </c>
      <c r="CG740" s="113">
        <f t="shared" si="1333"/>
        <v>43.586041368744112</v>
      </c>
      <c r="CH740" s="178">
        <v>0.9285714285714286</v>
      </c>
      <c r="CI740" s="61">
        <f>+CI728*CH740+CG729*CH739+CG730*CH738+CG731*CH737+CG732*CH736+CG733*CH735+CG734*CH734+CG735*CH733+CG736*CH732+CG737*CH731+CG738*CH730+CG739*CH729+CG740</f>
        <v>2769.4800565853811</v>
      </c>
      <c r="CJ740" s="114">
        <f t="shared" si="1334"/>
        <v>8.7945853252530889E-3</v>
      </c>
      <c r="CK740" s="114"/>
      <c r="CL740" s="169">
        <f t="shared" si="1335"/>
        <v>7.0436352611755234E-3</v>
      </c>
      <c r="CM740" s="169">
        <f t="shared" si="1343"/>
        <v>6.8130915958116703E-3</v>
      </c>
      <c r="CN740" s="114">
        <f>VLOOKUP($H740,RoR!$E:$F,2,FALSE)</f>
        <v>4.9433333333333322E-2</v>
      </c>
      <c r="CO740" s="169">
        <v>1.1684333519300205E-2</v>
      </c>
      <c r="CP740" s="169">
        <f t="shared" si="1341"/>
        <v>3.7748999814033117E-2</v>
      </c>
      <c r="CQ740" s="169">
        <f t="shared" si="1344"/>
        <v>2.4088850012721954E-2</v>
      </c>
      <c r="CR740" s="169">
        <f t="shared" si="1345"/>
        <v>4.7937530248493419E-2</v>
      </c>
      <c r="CS740" s="179">
        <f t="shared" si="1336"/>
        <v>0.85203761789999999</v>
      </c>
      <c r="CT740" s="180">
        <f t="shared" si="1337"/>
        <v>1.037398205301105</v>
      </c>
      <c r="CU740" s="180">
        <f t="shared" si="1338"/>
        <v>0.46926837491571133</v>
      </c>
      <c r="CV740" s="180">
        <f t="shared" si="1339"/>
        <v>0.8548537519972772</v>
      </c>
      <c r="CW740" s="180">
        <f t="shared" si="1340"/>
        <v>0.41615833911547367</v>
      </c>
      <c r="CX740" s="181">
        <f>INDEX('State Tax Lookup'!$D$7:$Z$91,MATCH(Calculation!$C740,'State Tax Lookup'!$B$7:$B$91,0),MATCH($H740,'State Tax Lookup'!$D$6:$Z$6,0))</f>
        <v>0.39989833000000002</v>
      </c>
      <c r="CY740" s="72">
        <v>0.37</v>
      </c>
      <c r="CZ740" s="70">
        <f t="shared" si="1342"/>
        <v>19.392448946748427</v>
      </c>
      <c r="DA740" s="70">
        <v>17.956102603965455</v>
      </c>
      <c r="DB740" s="69">
        <f t="shared" si="1346"/>
        <v>2.4241271523082208E-2</v>
      </c>
      <c r="DC740" s="111">
        <f>VLOOKUP($H740,RoR!$E:$F,2,FALSE)</f>
        <v>4.9433333333333322E-2</v>
      </c>
      <c r="DD740" s="216">
        <f>HLOOKUP($H740,'GDP-PI'!$D$8:$CQ$11,3,FALSE)</f>
        <v>1.1684333519300205E-2</v>
      </c>
      <c r="DE740" s="111">
        <f>VLOOKUP(H740,'HW Dx Data'!$E:$F,2,FALSE)</f>
        <v>568.98950262971744</v>
      </c>
      <c r="DF740" s="72">
        <f t="shared" si="1356"/>
        <v>116.925</v>
      </c>
      <c r="DG740" s="69">
        <f t="shared" si="1357"/>
        <v>5.2678406346976722E-2</v>
      </c>
      <c r="DH740" s="66">
        <f>HLOOKUP(H740,'GDP-PI'!$8:$9,2,FALSE)</f>
        <v>96.108999999999995</v>
      </c>
      <c r="DI740" s="69">
        <f t="shared" si="1347"/>
        <v>1.1616598807150427E-2</v>
      </c>
      <c r="EB740"/>
    </row>
    <row r="741" spans="1:132" s="160" customFormat="1" ht="21">
      <c r="A741" s="160" t="s">
        <v>202</v>
      </c>
      <c r="B741" s="161" t="s">
        <v>202</v>
      </c>
      <c r="C741" s="161">
        <v>4012860</v>
      </c>
      <c r="D741" s="161" t="s">
        <v>203</v>
      </c>
      <c r="E741" s="161"/>
      <c r="F741" s="161"/>
      <c r="G741" s="161" t="s">
        <v>127</v>
      </c>
      <c r="H741" s="162">
        <v>2011</v>
      </c>
      <c r="I741" s="163"/>
      <c r="J741" s="159">
        <f>IFERROR(INDEX('Labor Expenditures'!$F$7:$X$91,MATCH($C741,'Labor Expenditures'!$D$7:$D$91,0),MATCH($G741,'Labor Expenditures'!$F$5:$X$5,0)),"NA")</f>
        <v>79700.076581267931</v>
      </c>
      <c r="K741" s="159">
        <f t="shared" si="1348"/>
        <v>659.35947533623937</v>
      </c>
      <c r="L741" s="165">
        <f t="shared" si="1354"/>
        <v>0.10193946258530745</v>
      </c>
      <c r="M741" s="76">
        <f t="shared" si="1358"/>
        <v>2.5207964671351293E-3</v>
      </c>
      <c r="N741" s="62">
        <f t="shared" si="1364"/>
        <v>116.02971719128503</v>
      </c>
      <c r="O741" s="96">
        <f t="shared" si="1359"/>
        <v>0.18421362501595365</v>
      </c>
      <c r="P741" s="96"/>
      <c r="Q741" s="159">
        <f>IFERROR(INDEX('Non-Labor Expenditures'!$F$7:$AB$91,MATCH($C741,'Non-Labor Expenditures'!$D$7:$D$91,0),MATCH($G741,'Non-Labor Expenditures'!$F$5:$AB$5,0)),"NA")</f>
        <v>115420.59681062493</v>
      </c>
      <c r="R741" s="159">
        <f t="shared" si="1349"/>
        <v>1176.4167156986398</v>
      </c>
      <c r="S741" s="165">
        <f t="shared" si="1360"/>
        <v>0.11453699353396735</v>
      </c>
      <c r="T741" s="165">
        <f t="shared" si="1361"/>
        <v>2.8323128387604227E-3</v>
      </c>
      <c r="U741" s="165"/>
      <c r="V741" s="165"/>
      <c r="W741" s="159">
        <f t="shared" si="1330"/>
        <v>57257.451989859823</v>
      </c>
      <c r="X741" s="163"/>
      <c r="Y741" s="167">
        <v>2830.6999112543108</v>
      </c>
      <c r="Z741" s="168">
        <v>2.1864402164810084E-2</v>
      </c>
      <c r="AA741" s="76">
        <f t="shared" si="1350"/>
        <v>5.4067096623107728E-4</v>
      </c>
      <c r="AB741" s="168"/>
      <c r="AC741" s="168"/>
      <c r="AD741" s="163">
        <f t="shared" si="1281"/>
        <v>252378.12538175267</v>
      </c>
      <c r="AE741" s="168">
        <f t="shared" si="1362"/>
        <v>0.12067234606372935</v>
      </c>
      <c r="AF741" s="163"/>
      <c r="AG741" s="163"/>
      <c r="AH741" s="163"/>
      <c r="AI741" s="163"/>
      <c r="AJ741" s="116">
        <f t="shared" si="1363"/>
        <v>317.46434868475183</v>
      </c>
      <c r="AK741" s="114">
        <f>+AV741/$AX$16</f>
        <v>2.2367211484000352E-2</v>
      </c>
      <c r="AL741" s="115">
        <f t="shared" si="1351"/>
        <v>0.31579629359997763</v>
      </c>
      <c r="AM741" s="115">
        <f t="shared" si="1352"/>
        <v>0.45733201574438043</v>
      </c>
      <c r="AN741" s="115">
        <f t="shared" si="1353"/>
        <v>0.226871690655642</v>
      </c>
      <c r="AO741" s="115">
        <f t="shared" si="1355"/>
        <v>8.9047175884677268E-2</v>
      </c>
      <c r="AP741" s="166">
        <f t="shared" si="1366"/>
        <v>118.29195485282395</v>
      </c>
      <c r="AQ741" s="168">
        <f t="shared" si="1367"/>
        <v>8.9047175884677324E-2</v>
      </c>
      <c r="AR741" s="169">
        <f>+AD741/$AF$16</f>
        <v>2.4728367240759341E-2</v>
      </c>
      <c r="AS741" s="169">
        <f t="shared" si="1365"/>
        <v>2.2019912670287901E-3</v>
      </c>
      <c r="AT741" s="115"/>
      <c r="AU741" s="115"/>
      <c r="AV741" s="113">
        <f>IFERROR(INDEX('Total Customers'!$F$7:$AB$91,MATCH($C741,'Total Customers'!$D$7:$D$91,0),MATCH($G741,'Total Customers'!$F$5:$AB$5,0)),"NA")</f>
        <v>794981</v>
      </c>
      <c r="AW741" s="68">
        <f t="shared" si="1301"/>
        <v>-4.7798742147451226E-5</v>
      </c>
      <c r="AX741" s="114"/>
      <c r="AY741" s="114"/>
      <c r="AZ741" s="116"/>
      <c r="BA741" s="116"/>
      <c r="BB741" s="166"/>
      <c r="BC741" s="166"/>
      <c r="BD741" s="166"/>
      <c r="BE741" s="166"/>
      <c r="BF741" s="166"/>
      <c r="BG741" s="166"/>
      <c r="BH741" s="166"/>
      <c r="BI741" s="113"/>
      <c r="BJ741" s="113"/>
      <c r="BK741" s="113">
        <f>INDEX('Dist. Plant Gas Additions'!$F$7:$AE$91,MATCH($C741,'Dist. Plant Gas Additions'!$D$7:$D$91,0),MATCH(Calculation!$G741,'Dist. Plant Gas Additions'!$F$5:$AE$5,0))</f>
        <v>44416</v>
      </c>
      <c r="BL741" s="113">
        <f>INDEX('Gen. Plant Additions'!$F$7:$AE$91,MATCH($C741,'Gen. Plant Additions'!$D$7:$D$91,0),MATCH(Calculation!$G741,'Gen. Plant Additions'!$F$5:$AE$5,0))</f>
        <v>5404</v>
      </c>
      <c r="BM741" s="231">
        <f t="shared" si="1331"/>
        <v>0.9511301268851059</v>
      </c>
      <c r="BN741" s="61">
        <f t="shared" ref="BN741:BN757" si="1368">+BM741*BL741</f>
        <v>5139.9072056871119</v>
      </c>
      <c r="BO741" s="113">
        <f>INDEX('Dist Plant Depreciation'!$E$7:$AD$94,MATCH($C741,'Dist Plant Depreciation'!$D$7:$D$94,0),MATCH(Calculation!$G741,'Dist Plant Depreciation'!$E$5:$AD$5,0))</f>
        <v>1256274</v>
      </c>
      <c r="BP741" s="113">
        <f>INDEX('Gen. Plant Depreciation'!$E$7:$AD$94,MATCH($C741,'Gen. Plant Depreciation'!$D$7:$D$94,0),MATCH(Calculation!$G741,'Gen. Plant Depreciation'!$E$5:$AD$5,0))</f>
        <v>40576</v>
      </c>
      <c r="BQ741" s="113"/>
      <c r="BR741" s="113"/>
      <c r="BS741" s="113"/>
      <c r="BT741" s="113"/>
      <c r="BU741" s="113"/>
      <c r="BV741" s="113"/>
      <c r="BW741" s="113">
        <f>INDEX('Gross Dx Plant'!$E$7:$AD$91,MATCH($C741,'Gross Dx Plant'!$D$7:$D$91,0),MATCH(Calculation!$G741,'Gross Dx Plant'!$E$5:$AD$5,0))</f>
        <v>1396279</v>
      </c>
      <c r="BX741" s="113">
        <f>INDEX('Gross Gen Plant'!$E$7:$AD$91,MATCH($C741,'Gross Gen Plant'!$D$7:$D$91,0),MATCH(Calculation!$G741,'Gross Gen Plant'!$E$5:$AD$5,0))</f>
        <v>71742</v>
      </c>
      <c r="BY741" s="113">
        <f t="shared" si="1325"/>
        <v>171171</v>
      </c>
      <c r="BZ741" s="113"/>
      <c r="CA741" s="116">
        <v>2011</v>
      </c>
      <c r="CB741" s="113"/>
      <c r="CC741" s="113"/>
      <c r="CD741" s="113"/>
      <c r="CE741" s="175"/>
      <c r="CF741" s="113">
        <f t="shared" si="1332"/>
        <v>49820</v>
      </c>
      <c r="CG741" s="113">
        <f t="shared" si="1333"/>
        <v>81.456991731874126</v>
      </c>
      <c r="CH741" s="178">
        <v>0.92121212121212126</v>
      </c>
      <c r="CI741" s="61">
        <f>+CI728*CH741+CG729*CH740+CG730*CH739+CG731*CH738+CG732*CH737+CG733*CH736+CG734*CH735+CG735*CH734+CG736*CH733+CG737*CH732+CG738*CH731+CG739*CH730+CG740*CH729+CG741</f>
        <v>2830.6999112543108</v>
      </c>
      <c r="CJ741" s="114">
        <f t="shared" si="1334"/>
        <v>2.1864402164810084E-2</v>
      </c>
      <c r="CK741" s="114"/>
      <c r="CL741" s="169">
        <f t="shared" si="1335"/>
        <v>7.3071972534424975E-3</v>
      </c>
      <c r="CM741" s="169">
        <f t="shared" si="1343"/>
        <v>7.0532895803183003E-3</v>
      </c>
      <c r="CN741" s="114">
        <f>VLOOKUP($H741,RoR!$E:$F,2,FALSE)</f>
        <v>4.6391666666666664E-2</v>
      </c>
      <c r="CO741" s="169">
        <v>2.0840920205183799E-2</v>
      </c>
      <c r="CP741" s="169">
        <f t="shared" si="1341"/>
        <v>2.5550746461482865E-2</v>
      </c>
      <c r="CQ741" s="169">
        <f t="shared" si="1344"/>
        <v>2.3848652028215324E-2</v>
      </c>
      <c r="CR741" s="169">
        <f t="shared" si="1345"/>
        <v>2.4810540821321614E-2</v>
      </c>
      <c r="CS741" s="179">
        <f t="shared" si="1336"/>
        <v>0.85203761789999999</v>
      </c>
      <c r="CT741" s="180">
        <f t="shared" si="1337"/>
        <v>1.1054151524782025</v>
      </c>
      <c r="CU741" s="180">
        <f t="shared" si="1338"/>
        <v>0.43611011316687626</v>
      </c>
      <c r="CV741" s="180">
        <f t="shared" si="1339"/>
        <v>0.83698442246886229</v>
      </c>
      <c r="CW741" s="180">
        <f t="shared" si="1340"/>
        <v>0.40349573304423936</v>
      </c>
      <c r="CX741" s="181">
        <f>INDEX('State Tax Lookup'!$D$7:$Z$91,MATCH(Calculation!$C741,'State Tax Lookup'!$B$7:$B$91,0),MATCH($H741,'State Tax Lookup'!$D$6:$Z$6,0))</f>
        <v>0.39989833000000002</v>
      </c>
      <c r="CY741" s="72">
        <v>0.37</v>
      </c>
      <c r="CZ741" s="70">
        <f t="shared" si="1342"/>
        <v>20.674440985307243</v>
      </c>
      <c r="DA741" s="70">
        <v>19.146574949201604</v>
      </c>
      <c r="DB741" s="69">
        <f t="shared" si="1346"/>
        <v>6.4014441597928365E-2</v>
      </c>
      <c r="DC741" s="111">
        <f>VLOOKUP($H741,RoR!$E:$F,2,FALSE)</f>
        <v>4.6391666666666664E-2</v>
      </c>
      <c r="DD741" s="216">
        <f>HLOOKUP($H741,'GDP-PI'!$D$8:$CQ$11,3,FALSE)</f>
        <v>2.0840920205183799E-2</v>
      </c>
      <c r="DE741" s="111">
        <f>VLOOKUP(H741,'HW Dx Data'!$E:$F,2,FALSE)</f>
        <v>611.61109612283201</v>
      </c>
      <c r="DF741" s="72">
        <f t="shared" si="1356"/>
        <v>120.875</v>
      </c>
      <c r="DG741" s="69">
        <f t="shared" si="1357"/>
        <v>3.3224250161508609E-2</v>
      </c>
      <c r="DH741" s="66">
        <f>HLOOKUP(H741,'GDP-PI'!$8:$9,2,FALSE)</f>
        <v>98.111999999999995</v>
      </c>
      <c r="DI741" s="69">
        <f t="shared" si="1347"/>
        <v>2.0626719212849295E-2</v>
      </c>
      <c r="EB741"/>
    </row>
    <row r="742" spans="1:132" s="160" customFormat="1" ht="21">
      <c r="A742" s="160" t="s">
        <v>202</v>
      </c>
      <c r="B742" s="161" t="s">
        <v>202</v>
      </c>
      <c r="C742" s="161">
        <v>4012860</v>
      </c>
      <c r="D742" s="161" t="s">
        <v>203</v>
      </c>
      <c r="E742" s="161"/>
      <c r="F742" s="161"/>
      <c r="G742" s="161" t="s">
        <v>128</v>
      </c>
      <c r="H742" s="162">
        <v>2012</v>
      </c>
      <c r="I742" s="163"/>
      <c r="J742" s="159">
        <f>IFERROR(INDEX('Labor Expenditures'!$F$7:$X$91,MATCH($C742,'Labor Expenditures'!$D$7:$D$91,0),MATCH($G742,'Labor Expenditures'!$F$5:$X$5,0)),"NA")</f>
        <v>67311.612741434088</v>
      </c>
      <c r="K742" s="159">
        <f t="shared" si="1348"/>
        <v>539.35587132559363</v>
      </c>
      <c r="L742" s="165">
        <f t="shared" si="1354"/>
        <v>-0.200893275182702</v>
      </c>
      <c r="M742" s="76">
        <f t="shared" si="1358"/>
        <v>-4.282617852317188E-3</v>
      </c>
      <c r="N742" s="62">
        <f t="shared" si="1364"/>
        <v>115.52448101476406</v>
      </c>
      <c r="O742" s="96">
        <f t="shared" si="1359"/>
        <v>-4.3638766407205374E-3</v>
      </c>
      <c r="P742" s="96"/>
      <c r="Q742" s="159">
        <f>IFERROR(INDEX('Non-Labor Expenditures'!$F$7:$AB$91,MATCH($C742,'Non-Labor Expenditures'!$D$7:$D$91,0),MATCH($G742,'Non-Labor Expenditures'!$F$5:$AB$5,0)),"NA")</f>
        <v>97479.787324670979</v>
      </c>
      <c r="R742" s="159">
        <f t="shared" si="1349"/>
        <v>974.79787324670974</v>
      </c>
      <c r="S742" s="165">
        <f t="shared" si="1360"/>
        <v>-0.18799827575957562</v>
      </c>
      <c r="T742" s="165">
        <f t="shared" si="1361"/>
        <v>-4.0077238585541951E-3</v>
      </c>
      <c r="U742" s="165"/>
      <c r="V742" s="165"/>
      <c r="W742" s="159">
        <f t="shared" si="1330"/>
        <v>63182.658441414271</v>
      </c>
      <c r="X742" s="163"/>
      <c r="Y742" s="167">
        <v>2924.6772769441313</v>
      </c>
      <c r="Z742" s="168">
        <v>3.2660142386653011E-2</v>
      </c>
      <c r="AA742" s="76">
        <f t="shared" si="1350"/>
        <v>6.9624485298025104E-4</v>
      </c>
      <c r="AB742" s="168"/>
      <c r="AC742" s="168"/>
      <c r="AD742" s="163">
        <f t="shared" si="1281"/>
        <v>227974.05850751934</v>
      </c>
      <c r="AE742" s="168">
        <f t="shared" si="1362"/>
        <v>-0.1016966164310846</v>
      </c>
      <c r="AF742" s="163"/>
      <c r="AG742" s="163"/>
      <c r="AH742" s="163"/>
      <c r="AI742" s="163"/>
      <c r="AJ742" s="116">
        <f t="shared" si="1363"/>
        <v>285.69180185209422</v>
      </c>
      <c r="AK742" s="114">
        <f>+AV742/$AX$17</f>
        <v>2.2343770751140208E-2</v>
      </c>
      <c r="AL742" s="115">
        <f t="shared" si="1351"/>
        <v>0.29525996590183934</v>
      </c>
      <c r="AM742" s="115">
        <f t="shared" si="1352"/>
        <v>0.42759157758055077</v>
      </c>
      <c r="AN742" s="115">
        <f t="shared" si="1353"/>
        <v>0.27714845651760989</v>
      </c>
      <c r="AO742" s="115">
        <f t="shared" si="1355"/>
        <v>-0.1363299166219229</v>
      </c>
      <c r="AP742" s="166">
        <f t="shared" si="1366"/>
        <v>103.21620291708105</v>
      </c>
      <c r="AQ742" s="168">
        <f t="shared" si="1367"/>
        <v>-0.1363299166219229</v>
      </c>
      <c r="AR742" s="169">
        <f>+AD742/$AF$17</f>
        <v>2.131787561541007E-2</v>
      </c>
      <c r="AS742" s="169">
        <f t="shared" si="1365"/>
        <v>-2.9062642052053783E-3</v>
      </c>
      <c r="AT742" s="115"/>
      <c r="AU742" s="115"/>
      <c r="AV742" s="113">
        <f>IFERROR(INDEX('Total Customers'!$F$7:$AB$91,MATCH($C742,'Total Customers'!$D$7:$D$91,0),MATCH($G742,'Total Customers'!$F$5:$AB$5,0)),"NA")</f>
        <v>797972</v>
      </c>
      <c r="AW742" s="68">
        <f t="shared" si="1301"/>
        <v>3.7552941172539198E-3</v>
      </c>
      <c r="AX742" s="114"/>
      <c r="AY742" s="114"/>
      <c r="AZ742" s="116"/>
      <c r="BA742" s="116"/>
      <c r="BB742" s="166"/>
      <c r="BC742" s="166"/>
      <c r="BD742" s="166"/>
      <c r="BE742" s="166"/>
      <c r="BF742" s="166"/>
      <c r="BG742" s="166"/>
      <c r="BH742" s="166"/>
      <c r="BI742" s="113"/>
      <c r="BJ742" s="113"/>
      <c r="BK742" s="113">
        <f>INDEX('Dist. Plant Gas Additions'!$F$7:$AE$91,MATCH($C742,'Dist. Plant Gas Additions'!$D$7:$D$91,0),MATCH(Calculation!$G742,'Dist. Plant Gas Additions'!$F$5:$AE$5,0))</f>
        <v>75555</v>
      </c>
      <c r="BL742" s="113">
        <f>INDEX('Gen. Plant Additions'!$F$7:$AE$91,MATCH($C742,'Gen. Plant Additions'!$D$7:$D$91,0),MATCH(Calculation!$G742,'Gen. Plant Additions'!$F$5:$AE$5,0))</f>
        <v>1603</v>
      </c>
      <c r="BM742" s="231">
        <f t="shared" si="1331"/>
        <v>0.9551542892026581</v>
      </c>
      <c r="BN742" s="61">
        <f t="shared" si="1368"/>
        <v>1531.112325591861</v>
      </c>
      <c r="BO742" s="113">
        <f>INDEX('Dist Plant Depreciation'!$E$7:$AD$94,MATCH($C742,'Dist Plant Depreciation'!$D$7:$D$94,0),MATCH(Calculation!$G742,'Dist Plant Depreciation'!$E$5:$AD$5,0))</f>
        <v>1240285</v>
      </c>
      <c r="BP742" s="113">
        <f>INDEX('Gen. Plant Depreciation'!$E$7:$AD$94,MATCH($C742,'Gen. Plant Depreciation'!$D$7:$D$94,0),MATCH(Calculation!$G742,'Gen. Plant Depreciation'!$E$5:$AD$5,0))</f>
        <v>33278</v>
      </c>
      <c r="BQ742" s="113"/>
      <c r="BR742" s="113"/>
      <c r="BS742" s="113"/>
      <c r="BT742" s="113"/>
      <c r="BU742" s="113"/>
      <c r="BV742" s="113"/>
      <c r="BW742" s="113">
        <f>INDEX('Gross Dx Plant'!$E$7:$AD$91,MATCH($C742,'Gross Dx Plant'!$D$7:$D$91,0),MATCH(Calculation!$G742,'Gross Dx Plant'!$E$5:$AD$5,0))</f>
        <v>1464497</v>
      </c>
      <c r="BX742" s="113">
        <f>INDEX('Gross Gen Plant'!$E$7:$AD$91,MATCH($C742,'Gross Gen Plant'!$D$7:$D$91,0),MATCH(Calculation!$G742,'Gross Gen Plant'!$E$5:$AD$5,0))</f>
        <v>68760</v>
      </c>
      <c r="BY742" s="113">
        <f t="shared" si="1325"/>
        <v>259694</v>
      </c>
      <c r="BZ742" s="113"/>
      <c r="CA742" s="116">
        <v>2012</v>
      </c>
      <c r="CB742" s="113"/>
      <c r="CC742" s="113"/>
      <c r="CD742" s="113"/>
      <c r="CE742" s="175"/>
      <c r="CF742" s="113">
        <f t="shared" si="1332"/>
        <v>77158</v>
      </c>
      <c r="CG742" s="113">
        <f t="shared" si="1333"/>
        <v>115.34724360527501</v>
      </c>
      <c r="CH742" s="178">
        <v>0.9135802469135802</v>
      </c>
      <c r="CI742" s="61">
        <f>+CI728*CH742+CG729*CH741+CG730*CH740+CG731*CH739+CG732*CH738+CG733*CH737+CG734*CH736+CG735*CH735+CG736*CH734+CG737*CH733+CG738*CH732+CG739*CH731+CG740*CH730+CG741*CH729+CG742</f>
        <v>2924.6772769441313</v>
      </c>
      <c r="CJ742" s="114">
        <f t="shared" si="1334"/>
        <v>3.2660142386653011E-2</v>
      </c>
      <c r="CK742" s="114"/>
      <c r="CL742" s="169">
        <f t="shared" si="1335"/>
        <v>7.5493265218584283E-3</v>
      </c>
      <c r="CM742" s="169">
        <f t="shared" si="1343"/>
        <v>7.3000530121588164E-3</v>
      </c>
      <c r="CN742" s="114">
        <f>VLOOKUP($H742,RoR!$E:$F,2,FALSE)</f>
        <v>3.6733333333333333E-2</v>
      </c>
      <c r="CO742" s="169">
        <v>1.924331376386168E-2</v>
      </c>
      <c r="CP742" s="169">
        <f t="shared" si="1341"/>
        <v>1.7490019569471653E-2</v>
      </c>
      <c r="CQ742" s="169">
        <f t="shared" si="1344"/>
        <v>2.3601888596374809E-2</v>
      </c>
      <c r="CR742" s="169">
        <f t="shared" si="1345"/>
        <v>6.7122682943869583E-2</v>
      </c>
      <c r="CS742" s="179">
        <f t="shared" si="1336"/>
        <v>0.85203761789999999</v>
      </c>
      <c r="CT742" s="180">
        <f t="shared" si="1337"/>
        <v>1.3960631020522127</v>
      </c>
      <c r="CU742" s="180">
        <f t="shared" si="1338"/>
        <v>0.29441923774954631</v>
      </c>
      <c r="CV742" s="180">
        <f t="shared" si="1339"/>
        <v>0.76377954189366437</v>
      </c>
      <c r="CW742" s="180">
        <f t="shared" si="1340"/>
        <v>0.31393465103033691</v>
      </c>
      <c r="CX742" s="181">
        <f>INDEX('State Tax Lookup'!$D$7:$Z$91,MATCH(Calculation!$C742,'State Tax Lookup'!$B$7:$B$91,0),MATCH($H742,'State Tax Lookup'!$D$6:$Z$6,0))</f>
        <v>0.39989833000000002</v>
      </c>
      <c r="CY742" s="72">
        <v>0.37</v>
      </c>
      <c r="CZ742" s="70">
        <f t="shared" si="1342"/>
        <v>22.320507444188042</v>
      </c>
      <c r="DA742" s="70">
        <v>20.759737328210988</v>
      </c>
      <c r="DB742" s="69">
        <f t="shared" si="1346"/>
        <v>7.660766986065852E-2</v>
      </c>
      <c r="DC742" s="111">
        <f>VLOOKUP($H742,RoR!$E:$F,2,FALSE)</f>
        <v>3.6733333333333333E-2</v>
      </c>
      <c r="DD742" s="216">
        <f>HLOOKUP($H742,'GDP-PI'!$D$8:$CQ$11,3,FALSE)</f>
        <v>1.924331376386168E-2</v>
      </c>
      <c r="DE742" s="111">
        <f>VLOOKUP(H742,'HW Dx Data'!$E:$F,2,FALSE)</f>
        <v>668.91932211262167</v>
      </c>
      <c r="DF742" s="72">
        <f t="shared" si="1356"/>
        <v>124.80000000000001</v>
      </c>
      <c r="DG742" s="69">
        <f t="shared" si="1357"/>
        <v>3.1955502161869064E-2</v>
      </c>
      <c r="DH742" s="66">
        <f>HLOOKUP(H742,'GDP-PI'!$8:$9,2,FALSE)</f>
        <v>100</v>
      </c>
      <c r="DI742" s="69">
        <f t="shared" si="1347"/>
        <v>1.9060502738742411E-2</v>
      </c>
      <c r="EB742"/>
    </row>
    <row r="743" spans="1:132" s="160" customFormat="1" ht="21">
      <c r="A743" s="160" t="s">
        <v>202</v>
      </c>
      <c r="B743" s="161" t="s">
        <v>202</v>
      </c>
      <c r="C743" s="161">
        <v>4012860</v>
      </c>
      <c r="D743" s="161" t="s">
        <v>203</v>
      </c>
      <c r="E743" s="161"/>
      <c r="F743" s="161"/>
      <c r="G743" s="161" t="s">
        <v>129</v>
      </c>
      <c r="H743" s="162">
        <v>2013</v>
      </c>
      <c r="I743" s="163"/>
      <c r="J743" s="159">
        <f>IFERROR(INDEX('Labor Expenditures'!$F$7:$X$91,MATCH($C743,'Labor Expenditures'!$D$7:$D$91,0),MATCH($G743,'Labor Expenditures'!$F$5:$X$5,0)),"NA")</f>
        <v>68476.141857405091</v>
      </c>
      <c r="K743" s="159">
        <f t="shared" si="1348"/>
        <v>540.03266449057639</v>
      </c>
      <c r="L743" s="165">
        <f t="shared" si="1354"/>
        <v>1.2540308354570889E-3</v>
      </c>
      <c r="M743" s="76">
        <f t="shared" si="1358"/>
        <v>2.6203670996786223E-5</v>
      </c>
      <c r="N743" s="62">
        <f t="shared" si="1364"/>
        <v>107.62803618814668</v>
      </c>
      <c r="O743" s="96">
        <f t="shared" si="1359"/>
        <v>-7.0801291182575499E-2</v>
      </c>
      <c r="P743" s="96"/>
      <c r="Q743" s="159">
        <f>IFERROR(INDEX('Non-Labor Expenditures'!$F$7:$AB$91,MATCH($C743,'Non-Labor Expenditures'!$D$7:$D$91,0),MATCH($G743,'Non-Labor Expenditures'!$F$5:$AB$5,0)),"NA")</f>
        <v>99166.242988633443</v>
      </c>
      <c r="R743" s="159">
        <f t="shared" si="1349"/>
        <v>974.38655624412615</v>
      </c>
      <c r="S743" s="165">
        <f t="shared" si="1360"/>
        <v>-4.2204011325527147E-4</v>
      </c>
      <c r="T743" s="165">
        <f t="shared" si="1361"/>
        <v>-8.8187626352557525E-6</v>
      </c>
      <c r="U743" s="165"/>
      <c r="V743" s="165"/>
      <c r="W743" s="159">
        <f t="shared" si="1330"/>
        <v>64115.100980069867</v>
      </c>
      <c r="X743" s="163"/>
      <c r="Y743" s="167">
        <v>3029.2649917429667</v>
      </c>
      <c r="Z743" s="168">
        <v>3.5135871184153344E-2</v>
      </c>
      <c r="AA743" s="76">
        <f t="shared" si="1350"/>
        <v>7.341835484925924E-4</v>
      </c>
      <c r="AB743" s="168"/>
      <c r="AC743" s="168"/>
      <c r="AD743" s="163">
        <f t="shared" si="1281"/>
        <v>231757.4858261084</v>
      </c>
      <c r="AE743" s="168">
        <f t="shared" si="1362"/>
        <v>1.6459661218183323E-2</v>
      </c>
      <c r="AF743" s="163"/>
      <c r="AG743" s="163"/>
      <c r="AH743" s="163"/>
      <c r="AI743" s="163"/>
      <c r="AJ743" s="116">
        <f t="shared" si="1363"/>
        <v>288.56532051954821</v>
      </c>
      <c r="AK743" s="114">
        <f>+AV743/$AX$18</f>
        <v>2.2345068530623048E-2</v>
      </c>
      <c r="AL743" s="115">
        <f t="shared" si="1351"/>
        <v>0.29546463888024704</v>
      </c>
      <c r="AM743" s="115">
        <f t="shared" si="1352"/>
        <v>0.42788798228092434</v>
      </c>
      <c r="AN743" s="115">
        <f t="shared" si="1353"/>
        <v>0.27664737883882862</v>
      </c>
      <c r="AO743" s="115">
        <f t="shared" si="1355"/>
        <v>9.9189196563664248E-3</v>
      </c>
      <c r="AP743" s="166">
        <f t="shared" si="1366"/>
        <v>104.24509043177275</v>
      </c>
      <c r="AQ743" s="168">
        <f t="shared" si="1367"/>
        <v>9.9189196563664195E-3</v>
      </c>
      <c r="AR743" s="169">
        <f>+AD743/$AF$18</f>
        <v>2.0895555560430136E-2</v>
      </c>
      <c r="AS743" s="169">
        <f t="shared" si="1365"/>
        <v>2.0726133677904712E-4</v>
      </c>
      <c r="AT743" s="115"/>
      <c r="AU743" s="115"/>
      <c r="AV743" s="113">
        <f>IFERROR(INDEX('Total Customers'!$F$7:$AB$91,MATCH($C743,'Total Customers'!$D$7:$D$91,0),MATCH($G743,'Total Customers'!$F$5:$AB$5,0)),"NA")</f>
        <v>803137</v>
      </c>
      <c r="AW743" s="68">
        <f t="shared" si="1301"/>
        <v>6.4518004912787448E-3</v>
      </c>
      <c r="AX743" s="114"/>
      <c r="AY743" s="114"/>
      <c r="AZ743" s="116"/>
      <c r="BA743" s="116"/>
      <c r="BB743" s="166"/>
      <c r="BC743" s="166"/>
      <c r="BD743" s="166"/>
      <c r="BE743" s="166"/>
      <c r="BF743" s="166"/>
      <c r="BG743" s="166"/>
      <c r="BH743" s="166"/>
      <c r="BI743" s="113"/>
      <c r="BJ743" s="113"/>
      <c r="BK743" s="113">
        <f>INDEX('Dist. Plant Gas Additions'!$F$7:$AE$91,MATCH($C743,'Dist. Plant Gas Additions'!$D$7:$D$91,0),MATCH(Calculation!$G743,'Dist. Plant Gas Additions'!$F$5:$AE$5,0))</f>
        <v>83381</v>
      </c>
      <c r="BL743" s="113">
        <f>INDEX('Gen. Plant Additions'!$F$7:$AE$91,MATCH($C743,'Gen. Plant Additions'!$D$7:$D$91,0),MATCH(Calculation!$G743,'Gen. Plant Additions'!$F$5:$AE$5,0))</f>
        <v>1058</v>
      </c>
      <c r="BM743" s="231">
        <f t="shared" si="1331"/>
        <v>0.95747487909389328</v>
      </c>
      <c r="BN743" s="61">
        <f t="shared" si="1368"/>
        <v>1013.0084220813391</v>
      </c>
      <c r="BO743" s="113">
        <f>INDEX('Dist Plant Depreciation'!$E$7:$AD$94,MATCH($C743,'Dist Plant Depreciation'!$D$7:$D$94,0),MATCH(Calculation!$G743,'Dist Plant Depreciation'!$E$5:$AD$5,0))</f>
        <v>1213218</v>
      </c>
      <c r="BP743" s="113">
        <f>INDEX('Gen. Plant Depreciation'!$E$7:$AD$94,MATCH($C743,'Gen. Plant Depreciation'!$D$7:$D$94,0),MATCH(Calculation!$G743,'Gen. Plant Depreciation'!$E$5:$AD$5,0))</f>
        <v>30381</v>
      </c>
      <c r="BQ743" s="113"/>
      <c r="BR743" s="113"/>
      <c r="BS743" s="113"/>
      <c r="BT743" s="113"/>
      <c r="BU743" s="113"/>
      <c r="BV743" s="113"/>
      <c r="BW743" s="113">
        <f>INDEX('Gross Dx Plant'!$E$7:$AD$91,MATCH($C743,'Gross Dx Plant'!$D$7:$D$91,0),MATCH(Calculation!$G743,'Gross Dx Plant'!$E$5:$AD$5,0))</f>
        <v>1528398</v>
      </c>
      <c r="BX743" s="113">
        <f>INDEX('Gross Gen Plant'!$E$7:$AD$91,MATCH($C743,'Gross Gen Plant'!$D$7:$D$91,0),MATCH(Calculation!$G743,'Gross Gen Plant'!$E$5:$AD$5,0))</f>
        <v>67882</v>
      </c>
      <c r="BY743" s="113">
        <f t="shared" si="1325"/>
        <v>352681</v>
      </c>
      <c r="BZ743" s="113"/>
      <c r="CA743" s="116">
        <v>2013</v>
      </c>
      <c r="CB743" s="113"/>
      <c r="CC743" s="113"/>
      <c r="CD743" s="113"/>
      <c r="CE743" s="175"/>
      <c r="CF743" s="113">
        <f t="shared" si="1332"/>
        <v>84439</v>
      </c>
      <c r="CG743" s="113">
        <f t="shared" si="1333"/>
        <v>127.31127478225125</v>
      </c>
      <c r="CH743" s="178">
        <v>0.90566037735849059</v>
      </c>
      <c r="CI743" s="61">
        <f>+CI728*CH743+CG729*CH742+CG730*CH741+CG731*CH740+CG732*CH739+CG733*CH738+CG734*CH737+CG735*CH736+CG736*CH735+CG737*CH734+CG738*CH733+CG739*CH732+CG740*CH731+CG741*CH730+CG742*CH729+CG743</f>
        <v>3029.2649917429667</v>
      </c>
      <c r="CJ743" s="114">
        <f t="shared" si="1334"/>
        <v>3.5135871184153344E-2</v>
      </c>
      <c r="CK743" s="114"/>
      <c r="CL743" s="169">
        <f t="shared" si="1335"/>
        <v>7.7695956960963436E-3</v>
      </c>
      <c r="CM743" s="169">
        <f t="shared" si="1343"/>
        <v>7.5420398237990892E-3</v>
      </c>
      <c r="CN743" s="114">
        <f>VLOOKUP($H743,RoR!$E:$F,2,FALSE)</f>
        <v>4.2350000000000006E-2</v>
      </c>
      <c r="CO743" s="169">
        <v>1.7730000000000024E-2</v>
      </c>
      <c r="CP743" s="169">
        <f t="shared" si="1341"/>
        <v>2.4619999999999982E-2</v>
      </c>
      <c r="CQ743" s="169">
        <f t="shared" si="1344"/>
        <v>2.3359901784734537E-2</v>
      </c>
      <c r="CR743" s="169">
        <f t="shared" si="1345"/>
        <v>5.3376742735721204E-2</v>
      </c>
      <c r="CS743" s="179">
        <f t="shared" si="1336"/>
        <v>0.85203761789999999</v>
      </c>
      <c r="CT743" s="180">
        <f t="shared" si="1337"/>
        <v>1.2109103018193925</v>
      </c>
      <c r="CU743" s="180">
        <f t="shared" si="1338"/>
        <v>0.38468122786304604</v>
      </c>
      <c r="CV743" s="180">
        <f t="shared" si="1339"/>
        <v>0.80969194503422559</v>
      </c>
      <c r="CW743" s="180">
        <f t="shared" si="1340"/>
        <v>0.37716621754800816</v>
      </c>
      <c r="CX743" s="181">
        <f>INDEX('State Tax Lookup'!$D$7:$Z$91,MATCH(Calculation!$C743,'State Tax Lookup'!$B$7:$B$91,0),MATCH($H743,'State Tax Lookup'!$D$6:$Z$6,0))</f>
        <v>0.39989833000000002</v>
      </c>
      <c r="CY743" s="72">
        <v>0.37</v>
      </c>
      <c r="CZ743" s="70">
        <f t="shared" si="1342"/>
        <v>21.922111367809087</v>
      </c>
      <c r="DA743" s="70">
        <v>20.339519021246105</v>
      </c>
      <c r="DB743" s="69">
        <f t="shared" si="1346"/>
        <v>-1.8010093244004575E-2</v>
      </c>
      <c r="DC743" s="111">
        <f>VLOOKUP($H743,RoR!$E:$F,2,FALSE)</f>
        <v>4.2350000000000006E-2</v>
      </c>
      <c r="DD743" s="216">
        <f>HLOOKUP($H743,'GDP-PI'!$D$8:$CQ$11,3,FALSE)</f>
        <v>1.7730000000000024E-2</v>
      </c>
      <c r="DE743" s="111">
        <f>VLOOKUP(H743,'HW Dx Data'!$E:$F,2,FALSE)</f>
        <v>663.24840548821396</v>
      </c>
      <c r="DF743" s="72">
        <f t="shared" si="1356"/>
        <v>126.8</v>
      </c>
      <c r="DG743" s="69">
        <f t="shared" si="1357"/>
        <v>1.5898586067798204E-2</v>
      </c>
      <c r="DH743" s="66">
        <f>HLOOKUP(H743,'GDP-PI'!$8:$9,2,FALSE)</f>
        <v>101.773</v>
      </c>
      <c r="DI743" s="69">
        <f t="shared" si="1347"/>
        <v>1.7574657016510519E-2</v>
      </c>
      <c r="EB743"/>
    </row>
    <row r="744" spans="1:132" s="160" customFormat="1" ht="21">
      <c r="A744" s="160" t="s">
        <v>202</v>
      </c>
      <c r="B744" s="161" t="s">
        <v>202</v>
      </c>
      <c r="C744" s="161">
        <v>4012860</v>
      </c>
      <c r="D744" s="161" t="s">
        <v>203</v>
      </c>
      <c r="E744" s="161"/>
      <c r="F744" s="161"/>
      <c r="G744" s="161" t="s">
        <v>130</v>
      </c>
      <c r="H744" s="162">
        <v>2014</v>
      </c>
      <c r="I744" s="163"/>
      <c r="J744" s="159">
        <f>IFERROR(INDEX('Labor Expenditures'!$F$7:$X$91,MATCH($C744,'Labor Expenditures'!$D$7:$D$91,0),MATCH($G744,'Labor Expenditures'!$F$5:$X$5,0)),"NA")</f>
        <v>67458.197059734492</v>
      </c>
      <c r="K744" s="159">
        <f t="shared" si="1348"/>
        <v>521.31527866873637</v>
      </c>
      <c r="L744" s="165">
        <f t="shared" si="1354"/>
        <v>-3.5274627398379534E-2</v>
      </c>
      <c r="M744" s="76">
        <f t="shared" si="1358"/>
        <v>-7.2218941130424265E-4</v>
      </c>
      <c r="N744" s="62">
        <f t="shared" si="1364"/>
        <v>119.52857613566127</v>
      </c>
      <c r="O744" s="96">
        <f t="shared" si="1359"/>
        <v>0.10487430046931651</v>
      </c>
      <c r="P744" s="96"/>
      <c r="Q744" s="159">
        <f>IFERROR(INDEX('Non-Labor Expenditures'!$F$7:$AB$91,MATCH($C744,'Non-Labor Expenditures'!$D$7:$D$91,0),MATCH($G744,'Non-Labor Expenditures'!$F$5:$AB$5,0)),"NA")</f>
        <v>97692.068795744068</v>
      </c>
      <c r="R744" s="159">
        <f t="shared" si="1349"/>
        <v>942.54603409403126</v>
      </c>
      <c r="S744" s="165">
        <f t="shared" si="1360"/>
        <v>-3.3223339232961072E-2</v>
      </c>
      <c r="T744" s="165">
        <f t="shared" si="1361"/>
        <v>-6.8019269293020327E-4</v>
      </c>
      <c r="U744" s="165"/>
      <c r="V744" s="165"/>
      <c r="W744" s="159">
        <f t="shared" si="1330"/>
        <v>67933.405451850034</v>
      </c>
      <c r="X744" s="163"/>
      <c r="Y744" s="167">
        <v>3149.8670225964015</v>
      </c>
      <c r="Z744" s="168">
        <v>3.9040223785496542E-2</v>
      </c>
      <c r="AA744" s="76">
        <f t="shared" si="1350"/>
        <v>7.9928374336645294E-4</v>
      </c>
      <c r="AB744" s="168"/>
      <c r="AC744" s="168"/>
      <c r="AD744" s="163">
        <f t="shared" si="1281"/>
        <v>233083.67130732859</v>
      </c>
      <c r="AE744" s="168">
        <f t="shared" si="1362"/>
        <v>5.7059882029039319E-3</v>
      </c>
      <c r="AF744" s="163"/>
      <c r="AG744" s="163"/>
      <c r="AH744" s="163"/>
      <c r="AI744" s="163"/>
      <c r="AJ744" s="116">
        <f t="shared" si="1363"/>
        <v>288.75185212705054</v>
      </c>
      <c r="AK744" s="114">
        <f>+AV744/$AX$19</f>
        <v>2.2338405067361605E-2</v>
      </c>
      <c r="AL744" s="115">
        <f t="shared" si="1351"/>
        <v>0.2894162284357904</v>
      </c>
      <c r="AM744" s="115">
        <f t="shared" si="1352"/>
        <v>0.41912875427010848</v>
      </c>
      <c r="AN744" s="115">
        <f t="shared" si="1353"/>
        <v>0.29145501729410112</v>
      </c>
      <c r="AO744" s="115">
        <f t="shared" si="1355"/>
        <v>-1.329666718166924E-2</v>
      </c>
      <c r="AP744" s="166">
        <f t="shared" si="1366"/>
        <v>102.86815278675368</v>
      </c>
      <c r="AQ744" s="168">
        <f t="shared" si="1367"/>
        <v>-1.3296667181669225E-2</v>
      </c>
      <c r="AR744" s="169">
        <f>+AD744/$AF$19</f>
        <v>2.0473339183659782E-2</v>
      </c>
      <c r="AS744" s="169">
        <f t="shared" si="1365"/>
        <v>-2.7222717722255162E-4</v>
      </c>
      <c r="AT744" s="115"/>
      <c r="AU744" s="115"/>
      <c r="AV744" s="113">
        <f>IFERROR(INDEX('Total Customers'!$F$7:$AB$91,MATCH($C744,'Total Customers'!$D$7:$D$91,0),MATCH($G744,'Total Customers'!$F$5:$AB$5,0)),"NA")</f>
        <v>807211</v>
      </c>
      <c r="AW744" s="68">
        <f t="shared" si="1301"/>
        <v>5.059786694162456E-3</v>
      </c>
      <c r="AX744" s="114"/>
      <c r="AY744" s="114"/>
      <c r="AZ744" s="116"/>
      <c r="BA744" s="116"/>
      <c r="BB744" s="166"/>
      <c r="BC744" s="166"/>
      <c r="BD744" s="166"/>
      <c r="BE744" s="166"/>
      <c r="BF744" s="166"/>
      <c r="BG744" s="166"/>
      <c r="BH744" s="166"/>
      <c r="BI744" s="113"/>
      <c r="BJ744" s="113"/>
      <c r="BK744" s="113">
        <f>INDEX('Dist. Plant Gas Additions'!$F$7:$AE$91,MATCH($C744,'Dist. Plant Gas Additions'!$D$7:$D$91,0),MATCH(Calculation!$G744,'Dist. Plant Gas Additions'!$F$5:$AE$5,0))</f>
        <v>97440</v>
      </c>
      <c r="BL744" s="113">
        <f>INDEX('Gen. Plant Additions'!$F$7:$AE$91,MATCH($C744,'Gen. Plant Additions'!$D$7:$D$91,0),MATCH(Calculation!$G744,'Gen. Plant Additions'!$F$5:$AE$5,0))</f>
        <v>1671</v>
      </c>
      <c r="BM744" s="231">
        <f t="shared" si="1331"/>
        <v>0.96011112244825325</v>
      </c>
      <c r="BN744" s="61">
        <f t="shared" si="1368"/>
        <v>1604.3456856110313</v>
      </c>
      <c r="BO744" s="113">
        <f>INDEX('Dist Plant Depreciation'!$E$7:$AD$94,MATCH($C744,'Dist Plant Depreciation'!$D$7:$D$94,0),MATCH(Calculation!$G744,'Dist Plant Depreciation'!$E$5:$AD$5,0))</f>
        <v>1203051</v>
      </c>
      <c r="BP744" s="113">
        <f>INDEX('Gen. Plant Depreciation'!$E$7:$AD$94,MATCH($C744,'Gen. Plant Depreciation'!$D$7:$D$94,0),MATCH(Calculation!$G744,'Gen. Plant Depreciation'!$E$5:$AD$5,0))</f>
        <v>24840</v>
      </c>
      <c r="BQ744" s="113"/>
      <c r="BR744" s="113"/>
      <c r="BS744" s="113"/>
      <c r="BT744" s="113"/>
      <c r="BU744" s="113"/>
      <c r="BV744" s="113"/>
      <c r="BW744" s="113">
        <f>INDEX('Gross Dx Plant'!$E$7:$AD$91,MATCH($C744,'Gross Dx Plant'!$D$7:$D$91,0),MATCH(Calculation!$G744,'Gross Dx Plant'!$E$5:$AD$5,0))</f>
        <v>1618467</v>
      </c>
      <c r="BX744" s="113">
        <f>INDEX('Gross Gen Plant'!$E$7:$AD$91,MATCH($C744,'Gross Gen Plant'!$D$7:$D$91,0),MATCH(Calculation!$G744,'Gross Gen Plant'!$E$5:$AD$5,0))</f>
        <v>67241</v>
      </c>
      <c r="BY744" s="113">
        <f t="shared" si="1325"/>
        <v>457817</v>
      </c>
      <c r="BZ744" s="113"/>
      <c r="CA744" s="116">
        <v>2014</v>
      </c>
      <c r="CB744" s="113"/>
      <c r="CC744" s="113"/>
      <c r="CD744" s="113"/>
      <c r="CE744" s="175"/>
      <c r="CF744" s="113">
        <f t="shared" si="1332"/>
        <v>99111</v>
      </c>
      <c r="CG744" s="113">
        <f t="shared" si="1333"/>
        <v>144.7998073182064</v>
      </c>
      <c r="CH744" s="178">
        <v>0.89743589743589747</v>
      </c>
      <c r="CI744" s="61">
        <f>+CI728*CH744+CG729*CH743+CG730*CH742+CG731*CH741+CG732*CH740+CG733*CH739+CG734*CH738+CG735*CH737+CG736*CH736+CG737*CH735+CG738*CH734+CG739*CH733+CG740*CH732+CG741*CH731+CG742*CH730+CG743*CH729+CG744</f>
        <v>3149.8670225964015</v>
      </c>
      <c r="CJ744" s="114">
        <f t="shared" si="1334"/>
        <v>3.9040223785496542E-2</v>
      </c>
      <c r="CK744" s="114"/>
      <c r="CL744" s="169">
        <f t="shared" si="1335"/>
        <v>7.9880025454124298E-3</v>
      </c>
      <c r="CM744" s="169">
        <f t="shared" si="1343"/>
        <v>7.7689749211224011E-3</v>
      </c>
      <c r="CN744" s="114">
        <f>VLOOKUP($H744,RoR!$E:$F,2,FALSE)</f>
        <v>4.1625000000000002E-2</v>
      </c>
      <c r="CO744" s="169">
        <v>1.841352814597208E-2</v>
      </c>
      <c r="CP744" s="169">
        <f t="shared" si="1341"/>
        <v>2.3211471854027922E-2</v>
      </c>
      <c r="CQ744" s="169">
        <f t="shared" si="1344"/>
        <v>2.3132966687411223E-2</v>
      </c>
      <c r="CR744" s="169">
        <f t="shared" si="1345"/>
        <v>3.9072621432650924E-2</v>
      </c>
      <c r="CS744" s="179">
        <f t="shared" si="1336"/>
        <v>0.85203761789999999</v>
      </c>
      <c r="CT744" s="180">
        <f t="shared" si="1337"/>
        <v>1.2320012320012319</v>
      </c>
      <c r="CU744" s="180">
        <f t="shared" si="1338"/>
        <v>0.37439939939939942</v>
      </c>
      <c r="CV744" s="180">
        <f t="shared" si="1339"/>
        <v>0.80432100613819935</v>
      </c>
      <c r="CW744" s="180">
        <f t="shared" si="1340"/>
        <v>0.37100152660040037</v>
      </c>
      <c r="CX744" s="181">
        <f>INDEX('State Tax Lookup'!$D$7:$Z$91,MATCH(Calculation!$C744,'State Tax Lookup'!$B$7:$B$91,0),MATCH($H744,'State Tax Lookup'!$D$6:$Z$6,0))</f>
        <v>0.39989833000000002</v>
      </c>
      <c r="CY744" s="72">
        <v>0.37</v>
      </c>
      <c r="CZ744" s="70">
        <f t="shared" si="1342"/>
        <v>22.425705785733449</v>
      </c>
      <c r="DA744" s="70">
        <v>20.763592984765573</v>
      </c>
      <c r="DB744" s="69">
        <f t="shared" si="1346"/>
        <v>2.2712101649629453E-2</v>
      </c>
      <c r="DC744" s="111">
        <f>VLOOKUP($H744,RoR!$E:$F,2,FALSE)</f>
        <v>4.1625000000000002E-2</v>
      </c>
      <c r="DD744" s="216">
        <f>HLOOKUP($H744,'GDP-PI'!$D$8:$CQ$11,3,FALSE)</f>
        <v>1.841352814597208E-2</v>
      </c>
      <c r="DE744" s="111">
        <f>VLOOKUP(H744,'HW Dx Data'!$E:$F,2,FALSE)</f>
        <v>684.46914285042885</v>
      </c>
      <c r="DF744" s="72">
        <f t="shared" si="1356"/>
        <v>129.4</v>
      </c>
      <c r="DG744" s="69">
        <f t="shared" si="1357"/>
        <v>2.0297340063674733E-2</v>
      </c>
      <c r="DH744" s="66">
        <f>HLOOKUP(H744,'GDP-PI'!$8:$9,2,FALSE)</f>
        <v>103.64700000000001</v>
      </c>
      <c r="DI744" s="69">
        <f t="shared" si="1347"/>
        <v>1.8246051898256087E-2</v>
      </c>
      <c r="EB744"/>
    </row>
    <row r="745" spans="1:132" s="160" customFormat="1" ht="21">
      <c r="A745" s="160" t="s">
        <v>202</v>
      </c>
      <c r="B745" s="161" t="s">
        <v>202</v>
      </c>
      <c r="C745" s="161">
        <v>4012860</v>
      </c>
      <c r="D745" s="161" t="s">
        <v>203</v>
      </c>
      <c r="E745" s="161"/>
      <c r="F745" s="161"/>
      <c r="G745" s="161" t="s">
        <v>132</v>
      </c>
      <c r="H745" s="162">
        <v>2015</v>
      </c>
      <c r="I745" s="163"/>
      <c r="J745" s="159">
        <f>IFERROR(INDEX('Labor Expenditures'!$F$7:$X$91,MATCH($C745,'Labor Expenditures'!$D$7:$D$91,0),MATCH($G745,'Labor Expenditures'!$F$5:$X$5,0)),"NA")</f>
        <v>57577.594027725972</v>
      </c>
      <c r="K745" s="159">
        <f t="shared" si="1348"/>
        <v>431.29283915899606</v>
      </c>
      <c r="L745" s="165">
        <f t="shared" si="1354"/>
        <v>-0.18956769953563093</v>
      </c>
      <c r="M745" s="76">
        <f t="shared" si="1358"/>
        <v>-3.4655655863048691E-3</v>
      </c>
      <c r="N745" s="62">
        <f t="shared" si="1364"/>
        <v>118.40320489295227</v>
      </c>
      <c r="O745" s="96">
        <f t="shared" si="1359"/>
        <v>-9.4596831904949722E-3</v>
      </c>
      <c r="P745" s="96"/>
      <c r="Q745" s="159">
        <f>IFERROR(INDEX('Non-Labor Expenditures'!$F$7:$AB$91,MATCH($C745,'Non-Labor Expenditures'!$D$7:$D$91,0),MATCH($G745,'Non-Labor Expenditures'!$F$5:$AB$5,0)),"NA")</f>
        <v>83383.110163308709</v>
      </c>
      <c r="R745" s="159">
        <f t="shared" si="1349"/>
        <v>796.86455492988955</v>
      </c>
      <c r="S745" s="165">
        <f t="shared" si="1360"/>
        <v>-0.16790003994756972</v>
      </c>
      <c r="T745" s="165">
        <f t="shared" si="1361"/>
        <v>-3.069450132099868E-3</v>
      </c>
      <c r="U745" s="165"/>
      <c r="V745" s="165"/>
      <c r="W745" s="159">
        <f t="shared" si="1330"/>
        <v>69226.511476823056</v>
      </c>
      <c r="X745" s="163"/>
      <c r="Y745" s="167">
        <v>3267.1463267780118</v>
      </c>
      <c r="Z745" s="168">
        <v>3.6556684059515829E-2</v>
      </c>
      <c r="AA745" s="76">
        <f t="shared" si="1350"/>
        <v>6.6830787384358911E-4</v>
      </c>
      <c r="AB745" s="168"/>
      <c r="AC745" s="168"/>
      <c r="AD745" s="163">
        <f t="shared" si="1281"/>
        <v>210187.21566785773</v>
      </c>
      <c r="AE745" s="168">
        <f t="shared" si="1362"/>
        <v>-0.10339885668166585</v>
      </c>
      <c r="AF745" s="163"/>
      <c r="AG745" s="163"/>
      <c r="AH745" s="163"/>
      <c r="AI745" s="163"/>
      <c r="AJ745" s="116">
        <f t="shared" si="1363"/>
        <v>258.90992006545537</v>
      </c>
      <c r="AK745" s="114">
        <f>+AV745/$AX$20</f>
        <v>2.2283165304340647E-2</v>
      </c>
      <c r="AL745" s="115">
        <f t="shared" si="1351"/>
        <v>0.27393480542941917</v>
      </c>
      <c r="AM745" s="115">
        <f t="shared" si="1352"/>
        <v>0.39670876222592177</v>
      </c>
      <c r="AN745" s="115">
        <f t="shared" si="1353"/>
        <v>0.32935643234465911</v>
      </c>
      <c r="AO745" s="115">
        <f t="shared" si="1355"/>
        <v>-0.11053875155314123</v>
      </c>
      <c r="AP745" s="166">
        <f t="shared" si="1366"/>
        <v>92.103168607114213</v>
      </c>
      <c r="AQ745" s="168">
        <f t="shared" si="1367"/>
        <v>-0.11053875155314122</v>
      </c>
      <c r="AR745" s="169">
        <f>+AD745/$AF$20</f>
        <v>1.8281413947598628E-2</v>
      </c>
      <c r="AS745" s="169">
        <f t="shared" si="1365"/>
        <v>-2.0208046743937355E-3</v>
      </c>
      <c r="AT745" s="115"/>
      <c r="AU745" s="115"/>
      <c r="AV745" s="113">
        <f>IFERROR(INDEX('Total Customers'!$F$7:$AB$91,MATCH($C745,'Total Customers'!$D$7:$D$91,0),MATCH($G745,'Total Customers'!$F$5:$AB$5,0)),"NA")</f>
        <v>811816</v>
      </c>
      <c r="AW745" s="68">
        <f t="shared" si="1301"/>
        <v>5.6886171982106016E-3</v>
      </c>
      <c r="AX745" s="114"/>
      <c r="AY745" s="114"/>
      <c r="AZ745" s="116"/>
      <c r="BA745" s="116"/>
      <c r="BB745" s="166"/>
      <c r="BC745" s="166"/>
      <c r="BD745" s="166"/>
      <c r="BE745" s="166"/>
      <c r="BF745" s="166"/>
      <c r="BG745" s="166"/>
      <c r="BH745" s="166"/>
      <c r="BI745" s="113"/>
      <c r="BJ745" s="113"/>
      <c r="BK745" s="113">
        <f>INDEX('Dist. Plant Gas Additions'!$F$7:$AE$91,MATCH($C745,'Dist. Plant Gas Additions'!$D$7:$D$91,0),MATCH(Calculation!$G745,'Dist. Plant Gas Additions'!$F$5:$AE$5,0))</f>
        <v>92122</v>
      </c>
      <c r="BL745" s="113">
        <f>INDEX('Gen. Plant Additions'!$F$7:$AE$91,MATCH($C745,'Gen. Plant Additions'!$D$7:$D$91,0),MATCH(Calculation!$G745,'Gen. Plant Additions'!$F$5:$AE$5,0))</f>
        <v>4562</v>
      </c>
      <c r="BM745" s="231">
        <f t="shared" si="1331"/>
        <v>0.96061606942428068</v>
      </c>
      <c r="BN745" s="61">
        <f t="shared" si="1368"/>
        <v>4382.3305087135686</v>
      </c>
      <c r="BO745" s="113">
        <f>INDEX('Dist Plant Depreciation'!$E$7:$AD$94,MATCH($C745,'Dist Plant Depreciation'!$D$7:$D$94,0),MATCH(Calculation!$G745,'Dist Plant Depreciation'!$E$5:$AD$5,0))</f>
        <v>1187830</v>
      </c>
      <c r="BP745" s="113">
        <f>INDEX('Gen. Plant Depreciation'!$E$7:$AD$94,MATCH($C745,'Gen. Plant Depreciation'!$D$7:$D$94,0),MATCH(Calculation!$G745,'Gen. Plant Depreciation'!$E$5:$AD$5,0))</f>
        <v>21757</v>
      </c>
      <c r="BQ745" s="113"/>
      <c r="BR745" s="113"/>
      <c r="BS745" s="113"/>
      <c r="BT745" s="113"/>
      <c r="BU745" s="113"/>
      <c r="BV745" s="113"/>
      <c r="BW745" s="113">
        <f>INDEX('Gross Dx Plant'!$E$7:$AD$91,MATCH($C745,'Gross Dx Plant'!$D$7:$D$91,0),MATCH(Calculation!$G745,'Gross Dx Plant'!$E$5:$AD$5,0))</f>
        <v>1703155</v>
      </c>
      <c r="BX745" s="113">
        <f>INDEX('Gross Gen Plant'!$E$7:$AD$91,MATCH($C745,'Gross Gen Plant'!$D$7:$D$91,0),MATCH(Calculation!$G745,'Gross Gen Plant'!$E$5:$AD$5,0))</f>
        <v>69827</v>
      </c>
      <c r="BY745" s="113">
        <f t="shared" si="1325"/>
        <v>563395</v>
      </c>
      <c r="BZ745" s="113"/>
      <c r="CA745" s="116">
        <v>2015</v>
      </c>
      <c r="CB745" s="113"/>
      <c r="CC745" s="113"/>
      <c r="CD745" s="113"/>
      <c r="CE745" s="175"/>
      <c r="CF745" s="113">
        <f t="shared" si="1332"/>
        <v>96684</v>
      </c>
      <c r="CG745" s="113">
        <f t="shared" si="1333"/>
        <v>143.10524856201391</v>
      </c>
      <c r="CH745" s="178">
        <v>0.88888888888888884</v>
      </c>
      <c r="CI745" s="61">
        <f>+CI728*CH745+CG729*CH744+CG730*CH743+CG731*CH742+CG732*CH741+CG733*CH740+CG734*CH739+CG735*CH738+CG736*CH737+CG737*CH736+CG738*CH735+CG739*CH734+CG740*CH733+CG741*CH732+CG742*CH731+CG743*CH730+CG744*CH729+CG745</f>
        <v>3267.1463267780118</v>
      </c>
      <c r="CJ745" s="114">
        <f t="shared" si="1334"/>
        <v>3.6556684059515829E-2</v>
      </c>
      <c r="CK745" s="114"/>
      <c r="CL745" s="169">
        <f t="shared" si="1335"/>
        <v>8.1990586253750958E-3</v>
      </c>
      <c r="CM745" s="169">
        <f t="shared" si="1343"/>
        <v>7.9855522889612906E-3</v>
      </c>
      <c r="CN745" s="114">
        <f>VLOOKUP($H745,RoR!$E:$F,2,FALSE)</f>
        <v>3.8866666666666674E-2</v>
      </c>
      <c r="CO745" s="169">
        <v>9.5709475431029478E-3</v>
      </c>
      <c r="CP745" s="169">
        <f t="shared" si="1341"/>
        <v>2.9295719123563727E-2</v>
      </c>
      <c r="CQ745" s="169">
        <f t="shared" si="1344"/>
        <v>2.2916389319572336E-2</v>
      </c>
      <c r="CR745" s="169">
        <f t="shared" si="1345"/>
        <v>3.5270373279175926E-3</v>
      </c>
      <c r="CS745" s="179">
        <f t="shared" si="1336"/>
        <v>0.85203761789999999</v>
      </c>
      <c r="CT745" s="180">
        <f t="shared" si="1337"/>
        <v>1.3194352816994324</v>
      </c>
      <c r="CU745" s="180">
        <f t="shared" si="1338"/>
        <v>0.33177530017152673</v>
      </c>
      <c r="CV745" s="180">
        <f t="shared" si="1339"/>
        <v>0.78242572977668579</v>
      </c>
      <c r="CW745" s="180">
        <f t="shared" si="1340"/>
        <v>0.34251158643433932</v>
      </c>
      <c r="CX745" s="181">
        <f>INDEX('State Tax Lookup'!$D$7:$Z$91,MATCH(Calculation!$C745,'State Tax Lookup'!$B$7:$B$91,0),MATCH($H745,'State Tax Lookup'!$D$6:$Z$6,0))</f>
        <v>0.39989833000000002</v>
      </c>
      <c r="CY745" s="72">
        <v>0.37</v>
      </c>
      <c r="CZ745" s="70">
        <f t="shared" si="1342"/>
        <v>21.977598095477816</v>
      </c>
      <c r="DA745" s="70">
        <v>20.279488671080099</v>
      </c>
      <c r="DB745" s="69">
        <f t="shared" si="1346"/>
        <v>-2.0184214431478335E-2</v>
      </c>
      <c r="DC745" s="111">
        <f>VLOOKUP($H745,RoR!$E:$F,2,FALSE)</f>
        <v>3.8866666666666674E-2</v>
      </c>
      <c r="DD745" s="216">
        <f>HLOOKUP($H745,'GDP-PI'!$D$8:$CQ$11,3,FALSE)</f>
        <v>9.5709475431029478E-3</v>
      </c>
      <c r="DE745" s="111">
        <f>VLOOKUP(H745,'HW Dx Data'!$E:$F,2,FALSE)</f>
        <v>675.61463308665782</v>
      </c>
      <c r="DF745" s="72">
        <f t="shared" si="1356"/>
        <v>133.5</v>
      </c>
      <c r="DG745" s="69">
        <f t="shared" si="1357"/>
        <v>3.1193095773504077E-2</v>
      </c>
      <c r="DH745" s="66">
        <f>HLOOKUP(H745,'GDP-PI'!$8:$9,2,FALSE)</f>
        <v>104.639</v>
      </c>
      <c r="DI745" s="69">
        <f t="shared" si="1347"/>
        <v>9.5254361854427965E-3</v>
      </c>
      <c r="EB745"/>
    </row>
    <row r="746" spans="1:132" s="160" customFormat="1" ht="21">
      <c r="A746" s="160" t="s">
        <v>202</v>
      </c>
      <c r="B746" s="161" t="s">
        <v>202</v>
      </c>
      <c r="C746" s="161">
        <v>4012860</v>
      </c>
      <c r="D746" s="161" t="s">
        <v>203</v>
      </c>
      <c r="E746" s="161"/>
      <c r="F746" s="161"/>
      <c r="G746" s="161" t="s">
        <v>133</v>
      </c>
      <c r="H746" s="162">
        <v>2016</v>
      </c>
      <c r="I746" s="163"/>
      <c r="J746" s="159">
        <f>IFERROR(INDEX('Labor Expenditures'!$F$7:$X$91,MATCH($C746,'Labor Expenditures'!$D$7:$D$91,0),MATCH($G746,'Labor Expenditures'!$F$5:$X$5,0)),"NA")</f>
        <v>60165.521599705586</v>
      </c>
      <c r="K746" s="159">
        <f t="shared" si="1348"/>
        <v>439.32472873096452</v>
      </c>
      <c r="L746" s="165">
        <f t="shared" si="1354"/>
        <v>1.8451540020693151E-2</v>
      </c>
      <c r="M746" s="76">
        <f t="shared" si="1358"/>
        <v>3.3804706138095496E-4</v>
      </c>
      <c r="N746" s="62">
        <f t="shared" si="1364"/>
        <v>298.1859960479531</v>
      </c>
      <c r="O746" s="96">
        <f t="shared" si="1359"/>
        <v>0.92362164918189038</v>
      </c>
      <c r="P746" s="96"/>
      <c r="Q746" s="159">
        <f>IFERROR(INDEX('Non-Labor Expenditures'!$F$7:$AB$91,MATCH($C746,'Non-Labor Expenditures'!$D$7:$D$91,0),MATCH($G746,'Non-Labor Expenditures'!$F$5:$AB$5,0)),"NA")</f>
        <v>87130.912645731441</v>
      </c>
      <c r="R746" s="159">
        <f t="shared" si="1349"/>
        <v>824.04207314189523</v>
      </c>
      <c r="S746" s="165">
        <f t="shared" si="1360"/>
        <v>3.3536867522270766E-2</v>
      </c>
      <c r="T746" s="165">
        <f t="shared" si="1361"/>
        <v>6.1442240057532789E-4</v>
      </c>
      <c r="U746" s="165"/>
      <c r="V746" s="165"/>
      <c r="W746" s="159">
        <f t="shared" si="1330"/>
        <v>70679.793621756529</v>
      </c>
      <c r="X746" s="163"/>
      <c r="Y746" s="167">
        <v>3428.7199200807304</v>
      </c>
      <c r="Z746" s="168">
        <v>4.8270069421110826E-2</v>
      </c>
      <c r="AA746" s="76">
        <f t="shared" si="1350"/>
        <v>8.8434651536735106E-4</v>
      </c>
      <c r="AB746" s="168"/>
      <c r="AC746" s="168"/>
      <c r="AD746" s="163">
        <f t="shared" si="1281"/>
        <v>217976.22786719358</v>
      </c>
      <c r="AE746" s="168">
        <f t="shared" si="1362"/>
        <v>3.6387373617517926E-2</v>
      </c>
      <c r="AF746" s="163"/>
      <c r="AG746" s="163"/>
      <c r="AH746" s="163"/>
      <c r="AI746" s="163"/>
      <c r="AJ746" s="116">
        <f t="shared" si="1363"/>
        <v>265.85449570829115</v>
      </c>
      <c r="AK746" s="114">
        <f>+AV746/$AX$21</f>
        <v>2.2310801811209084E-2</v>
      </c>
      <c r="AL746" s="115">
        <f t="shared" si="1351"/>
        <v>0.27601873006244809</v>
      </c>
      <c r="AM746" s="115">
        <f t="shared" si="1352"/>
        <v>0.39972667431797981</v>
      </c>
      <c r="AN746" s="115">
        <f t="shared" si="1353"/>
        <v>0.32425459561957198</v>
      </c>
      <c r="AO746" s="115">
        <f t="shared" si="1355"/>
        <v>3.4203644544650816E-2</v>
      </c>
      <c r="AP746" s="166">
        <f t="shared" si="1366"/>
        <v>95.307927435160778</v>
      </c>
      <c r="AQ746" s="168">
        <f t="shared" si="1367"/>
        <v>3.4203644544650913E-2</v>
      </c>
      <c r="AR746" s="169">
        <f>+AD746/$AF$21</f>
        <v>1.8320804713419032E-2</v>
      </c>
      <c r="AS746" s="169">
        <f t="shared" si="1365"/>
        <v>6.2663829218974961E-4</v>
      </c>
      <c r="AT746" s="115"/>
      <c r="AU746" s="115"/>
      <c r="AV746" s="113">
        <f>IFERROR(INDEX('Total Customers'!$F$7:$AB$91,MATCH($C746,'Total Customers'!$D$7:$D$91,0),MATCH($G746,'Total Customers'!$F$5:$AB$5,0)),"NA")</f>
        <v>819908</v>
      </c>
      <c r="AW746" s="68">
        <f t="shared" si="1301"/>
        <v>9.9184253434301643E-3</v>
      </c>
      <c r="AX746" s="114"/>
      <c r="AY746" s="114"/>
      <c r="AZ746" s="116"/>
      <c r="BA746" s="116"/>
      <c r="BB746" s="166"/>
      <c r="BC746" s="166"/>
      <c r="BD746" s="166"/>
      <c r="BE746" s="166"/>
      <c r="BF746" s="166"/>
      <c r="BG746" s="166"/>
      <c r="BH746" s="166"/>
      <c r="BI746" s="113"/>
      <c r="BJ746" s="113"/>
      <c r="BK746" s="113">
        <f>INDEX('Dist. Plant Gas Additions'!$F$7:$AE$91,MATCH($C746,'Dist. Plant Gas Additions'!$D$7:$D$91,0),MATCH(Calculation!$G746,'Dist. Plant Gas Additions'!$F$5:$AE$5,0))</f>
        <v>124523</v>
      </c>
      <c r="BL746" s="113">
        <f>INDEX('Gen. Plant Additions'!$F$7:$AE$91,MATCH($C746,'Gen. Plant Additions'!$D$7:$D$91,0),MATCH(Calculation!$G746,'Gen. Plant Additions'!$F$5:$AE$5,0))</f>
        <v>2445</v>
      </c>
      <c r="BM746" s="231">
        <f t="shared" si="1331"/>
        <v>0.96573703785008225</v>
      </c>
      <c r="BN746" s="61">
        <f t="shared" si="1368"/>
        <v>2361.2270575434509</v>
      </c>
      <c r="BO746" s="113">
        <f>INDEX('Dist Plant Depreciation'!$E$7:$AD$94,MATCH($C746,'Dist Plant Depreciation'!$D$7:$D$94,0),MATCH(Calculation!$G746,'Dist Plant Depreciation'!$E$5:$AD$5,0))</f>
        <v>1165320</v>
      </c>
      <c r="BP746" s="113">
        <f>INDEX('Gen. Plant Depreciation'!$E$7:$AD$94,MATCH($C746,'Gen. Plant Depreciation'!$D$7:$D$94,0),MATCH(Calculation!$G746,'Gen. Plant Depreciation'!$E$5:$AD$5,0))</f>
        <v>6020</v>
      </c>
      <c r="BQ746" s="113"/>
      <c r="BR746" s="113"/>
      <c r="BS746" s="113"/>
      <c r="BT746" s="113"/>
      <c r="BU746" s="113"/>
      <c r="BV746" s="113"/>
      <c r="BW746" s="113">
        <f>INDEX('Gross Dx Plant'!$E$7:$AD$91,MATCH($C746,'Gross Dx Plant'!$D$7:$D$91,0),MATCH(Calculation!$G746,'Gross Dx Plant'!$E$5:$AD$5,0))</f>
        <v>1821297</v>
      </c>
      <c r="BX746" s="113">
        <f>INDEX('Gross Gen Plant'!$E$7:$AD$91,MATCH($C746,'Gross Gen Plant'!$D$7:$D$91,0),MATCH(Calculation!$G746,'Gross Gen Plant'!$E$5:$AD$5,0))</f>
        <v>64617</v>
      </c>
      <c r="BY746" s="113">
        <f t="shared" si="1325"/>
        <v>714574</v>
      </c>
      <c r="BZ746" s="113"/>
      <c r="CA746" s="116">
        <v>2016</v>
      </c>
      <c r="CB746" s="113"/>
      <c r="CC746" s="113"/>
      <c r="CD746" s="113"/>
      <c r="CE746" s="175"/>
      <c r="CF746" s="113">
        <f t="shared" si="1332"/>
        <v>126968</v>
      </c>
      <c r="CG746" s="113">
        <f t="shared" si="1333"/>
        <v>189.09344100538493</v>
      </c>
      <c r="CH746" s="178">
        <v>0.88</v>
      </c>
      <c r="CI746" s="61">
        <f>+CI728*CH746+CG729*CH745+CG730*CH744+CG731*CH743+CG732*CH742+CG733*CH741+CG734*CH740+CG735*CH739+CG736*CH738+CG737*CH737+CG738*CH736+CG739*CH735+CG740*CH734+CG741*CH733+CG742*CH732+CG743*CH731+CG744*CH730+CG745*CH729+CG746</f>
        <v>3428.7199200807304</v>
      </c>
      <c r="CJ746" s="114">
        <f t="shared" si="1334"/>
        <v>4.8270069421110826E-2</v>
      </c>
      <c r="CK746" s="114"/>
      <c r="CL746" s="169">
        <f t="shared" si="1335"/>
        <v>8.4232063550719015E-3</v>
      </c>
      <c r="CM746" s="169">
        <f t="shared" si="1343"/>
        <v>8.2034225086198096E-3</v>
      </c>
      <c r="CN746" s="114">
        <f>VLOOKUP($H746,RoR!$E:$F,2,FALSE)</f>
        <v>3.6658333333333334E-2</v>
      </c>
      <c r="CO746" s="169">
        <v>1.0483662879041455E-2</v>
      </c>
      <c r="CP746" s="169">
        <f t="shared" si="1341"/>
        <v>2.6174670454291879E-2</v>
      </c>
      <c r="CQ746" s="169">
        <f t="shared" si="1344"/>
        <v>2.2698519099913814E-2</v>
      </c>
      <c r="CR746" s="169">
        <f t="shared" si="1345"/>
        <v>4.301363574220729E-3</v>
      </c>
      <c r="CS746" s="179">
        <f t="shared" si="1336"/>
        <v>0.85203761789999999</v>
      </c>
      <c r="CT746" s="180">
        <f t="shared" si="1337"/>
        <v>1.3989193348138562</v>
      </c>
      <c r="CU746" s="180">
        <f t="shared" si="1338"/>
        <v>0.29302682427824522</v>
      </c>
      <c r="CV746" s="180">
        <f t="shared" si="1339"/>
        <v>0.76309497491941802</v>
      </c>
      <c r="CW746" s="180">
        <f t="shared" si="1340"/>
        <v>0.31280857135128509</v>
      </c>
      <c r="CX746" s="181">
        <f>INDEX('State Tax Lookup'!$D$7:$Z$91,MATCH(Calculation!$C746,'State Tax Lookup'!$B$7:$B$91,0),MATCH($H746,'State Tax Lookup'!$D$6:$Z$6,0))</f>
        <v>0.39989833000000002</v>
      </c>
      <c r="CY746" s="72">
        <v>0.37</v>
      </c>
      <c r="CZ746" s="70">
        <f t="shared" si="1342"/>
        <v>21.633494968515656</v>
      </c>
      <c r="DA746" s="70">
        <v>19.909765876209278</v>
      </c>
      <c r="DB746" s="69">
        <f t="shared" si="1346"/>
        <v>-1.5780859589384015E-2</v>
      </c>
      <c r="DC746" s="111">
        <f>VLOOKUP($H746,RoR!$E:$F,2,FALSE)</f>
        <v>3.6658333333333334E-2</v>
      </c>
      <c r="DD746" s="216">
        <f>HLOOKUP($H746,'GDP-PI'!$D$8:$CQ$11,3,FALSE)</f>
        <v>1.0483662879041455E-2</v>
      </c>
      <c r="DE746" s="111">
        <f>VLOOKUP(H746,'HW Dx Data'!$E:$F,2,FALSE)</f>
        <v>671.45639385971219</v>
      </c>
      <c r="DF746" s="72">
        <f t="shared" si="1356"/>
        <v>136.94999999999999</v>
      </c>
      <c r="DG746" s="69">
        <f t="shared" si="1357"/>
        <v>2.5514417868782811E-2</v>
      </c>
      <c r="DH746" s="66">
        <f>HLOOKUP(H746,'GDP-PI'!$8:$9,2,FALSE)</f>
        <v>105.736</v>
      </c>
      <c r="DI746" s="69">
        <f t="shared" si="1347"/>
        <v>1.0429090367205095E-2</v>
      </c>
      <c r="EB746"/>
    </row>
    <row r="747" spans="1:132" s="160" customFormat="1" ht="21">
      <c r="A747" s="160" t="s">
        <v>202</v>
      </c>
      <c r="B747" s="161" t="s">
        <v>202</v>
      </c>
      <c r="C747" s="161">
        <v>4012860</v>
      </c>
      <c r="D747" s="161" t="s">
        <v>203</v>
      </c>
      <c r="E747" s="161"/>
      <c r="F747" s="161"/>
      <c r="G747" s="161" t="s">
        <v>135</v>
      </c>
      <c r="H747" s="162">
        <v>2017</v>
      </c>
      <c r="I747" s="163"/>
      <c r="J747" s="159">
        <f>IFERROR(INDEX('Labor Expenditures'!$F$7:$X$91,MATCH($C747,'Labor Expenditures'!$D$7:$D$91,0),MATCH($G747,'Labor Expenditures'!$F$5:$X$5,0)),"NA")</f>
        <v>68576.73338614589</v>
      </c>
      <c r="K747" s="159">
        <f t="shared" si="1348"/>
        <v>488.26438865180415</v>
      </c>
      <c r="L747" s="165">
        <f t="shared" si="1354"/>
        <v>0.1056181985545937</v>
      </c>
      <c r="M747" s="76">
        <f t="shared" si="1358"/>
        <v>2.0954948878488082E-3</v>
      </c>
      <c r="N747" s="62">
        <f t="shared" si="1364"/>
        <v>165.86884807354164</v>
      </c>
      <c r="O747" s="96">
        <f t="shared" si="1359"/>
        <v>-0.58652003537893305</v>
      </c>
      <c r="P747" s="96"/>
      <c r="Q747" s="159">
        <f>IFERROR(INDEX('Non-Labor Expenditures'!$F$7:$AB$91,MATCH($C747,'Non-Labor Expenditures'!$D$7:$D$91,0),MATCH($G747,'Non-Labor Expenditures'!$F$5:$AB$5,0)),"NA")</f>
        <v>99311.918310156107</v>
      </c>
      <c r="R747" s="159">
        <f t="shared" si="1349"/>
        <v>921.67978311251034</v>
      </c>
      <c r="S747" s="165">
        <f t="shared" si="1360"/>
        <v>0.1119762681680142</v>
      </c>
      <c r="T747" s="165">
        <f t="shared" si="1361"/>
        <v>2.2216407846150999E-3</v>
      </c>
      <c r="U747" s="165"/>
      <c r="V747" s="165"/>
      <c r="W747" s="159">
        <f t="shared" si="1330"/>
        <v>67035.551507116281</v>
      </c>
      <c r="X747" s="163"/>
      <c r="Y747" s="167">
        <v>3552.8600499108034</v>
      </c>
      <c r="Z747" s="168">
        <v>3.5565936611158561E-2</v>
      </c>
      <c r="AA747" s="76">
        <f t="shared" si="1350"/>
        <v>7.0563822684131577E-4</v>
      </c>
      <c r="AB747" s="168"/>
      <c r="AC747" s="168"/>
      <c r="AD747" s="163">
        <f t="shared" si="1281"/>
        <v>234924.20320341829</v>
      </c>
      <c r="AE747" s="168">
        <f t="shared" si="1362"/>
        <v>7.4876912194839593E-2</v>
      </c>
      <c r="AF747" s="163"/>
      <c r="AG747" s="163"/>
      <c r="AH747" s="163"/>
      <c r="AI747" s="163"/>
      <c r="AJ747" s="116">
        <f t="shared" si="1363"/>
        <v>286.30892487805801</v>
      </c>
      <c r="AK747" s="114">
        <f>+AV747/$AX$22</f>
        <v>2.215989448726419E-2</v>
      </c>
      <c r="AL747" s="115">
        <f t="shared" si="1351"/>
        <v>0.2919100392851649</v>
      </c>
      <c r="AM747" s="115">
        <f t="shared" si="1352"/>
        <v>0.42274025815962013</v>
      </c>
      <c r="AN747" s="115">
        <f t="shared" si="1353"/>
        <v>0.28534970255521491</v>
      </c>
      <c r="AO747" s="115">
        <f t="shared" si="1355"/>
        <v>8.6880769571516137E-2</v>
      </c>
      <c r="AP747" s="166">
        <f t="shared" si="1366"/>
        <v>103.95870580984672</v>
      </c>
      <c r="AQ747" s="168">
        <f t="shared" si="1367"/>
        <v>8.6880769571516164E-2</v>
      </c>
      <c r="AR747" s="169">
        <f>+AD747/$AF$22</f>
        <v>1.9840282418428615E-2</v>
      </c>
      <c r="AS747" s="169">
        <f t="shared" si="1365"/>
        <v>1.7237390050293001E-3</v>
      </c>
      <c r="AT747" s="115"/>
      <c r="AU747" s="115"/>
      <c r="AV747" s="113">
        <f>IFERROR(INDEX('Total Customers'!$F$7:$AB$91,MATCH($C747,'Total Customers'!$D$7:$D$91,0),MATCH($G747,'Total Customers'!$F$5:$AB$5,0)),"NA")</f>
        <v>820527</v>
      </c>
      <c r="AW747" s="68">
        <f t="shared" si="1301"/>
        <v>7.5467791089405423E-4</v>
      </c>
      <c r="AX747" s="114"/>
      <c r="AY747" s="114"/>
      <c r="AZ747" s="116"/>
      <c r="BA747" s="116"/>
      <c r="BB747" s="166"/>
      <c r="BC747" s="166"/>
      <c r="BD747" s="166"/>
      <c r="BE747" s="166"/>
      <c r="BF747" s="166"/>
      <c r="BG747" s="166"/>
      <c r="BH747" s="166"/>
      <c r="BI747" s="113"/>
      <c r="BJ747" s="113"/>
      <c r="BK747" s="113">
        <f>INDEX('Dist. Plant Gas Additions'!$F$7:$AE$91,MATCH($C747,'Dist. Plant Gas Additions'!$D$7:$D$91,0),MATCH(Calculation!$G747,'Dist. Plant Gas Additions'!$F$5:$AE$5,0))</f>
        <v>105974</v>
      </c>
      <c r="BL747" s="113">
        <f>INDEX('Gen. Plant Additions'!$F$7:$AE$91,MATCH($C747,'Gen. Plant Additions'!$D$7:$D$91,0),MATCH(Calculation!$G747,'Gen. Plant Additions'!$F$5:$AE$5,0))</f>
        <v>3499</v>
      </c>
      <c r="BM747" s="231">
        <f t="shared" si="1331"/>
        <v>0.96655244361034942</v>
      </c>
      <c r="BN747" s="61">
        <f t="shared" si="1368"/>
        <v>3381.9670001926124</v>
      </c>
      <c r="BO747" s="113">
        <f>INDEX('Dist Plant Depreciation'!$E$7:$AD$94,MATCH($C747,'Dist Plant Depreciation'!$D$7:$D$94,0),MATCH(Calculation!$G747,'Dist Plant Depreciation'!$E$5:$AD$5,0))</f>
        <v>1144589</v>
      </c>
      <c r="BP747" s="113">
        <f>INDEX('Gen. Plant Depreciation'!$E$7:$AD$94,MATCH($C747,'Gen. Plant Depreciation'!$D$7:$D$94,0),MATCH(Calculation!$G747,'Gen. Plant Depreciation'!$E$5:$AD$5,0))</f>
        <v>-6494</v>
      </c>
      <c r="BQ747" s="113"/>
      <c r="BR747" s="113"/>
      <c r="BS747" s="113"/>
      <c r="BT747" s="113"/>
      <c r="BU747" s="113"/>
      <c r="BV747" s="113"/>
      <c r="BW747" s="113">
        <f>INDEX('Gross Dx Plant'!$E$7:$AD$91,MATCH($C747,'Gross Dx Plant'!$D$7:$D$91,0),MATCH(Calculation!$G747,'Gross Dx Plant'!$E$5:$AD$5,0))</f>
        <v>1916919</v>
      </c>
      <c r="BX747" s="113">
        <f>INDEX('Gross Gen Plant'!$E$7:$AD$91,MATCH($C747,'Gross Gen Plant'!$D$7:$D$91,0),MATCH(Calculation!$G747,'Gross Gen Plant'!$E$5:$AD$5,0))</f>
        <v>66335</v>
      </c>
      <c r="BY747" s="113">
        <f t="shared" si="1325"/>
        <v>845159</v>
      </c>
      <c r="BZ747" s="113"/>
      <c r="CA747" s="116">
        <v>2017</v>
      </c>
      <c r="CB747" s="113"/>
      <c r="CC747" s="113"/>
      <c r="CD747" s="113"/>
      <c r="CE747" s="175"/>
      <c r="CF747" s="113">
        <f t="shared" si="1332"/>
        <v>109473</v>
      </c>
      <c r="CG747" s="113">
        <f t="shared" si="1333"/>
        <v>153.66171782594495</v>
      </c>
      <c r="CH747" s="178">
        <v>0.87074829931972786</v>
      </c>
      <c r="CI747" s="61">
        <f>+CI728*CH747+CG729*CH746+CG730*CH745+CG731*CH744+CG732*CH743+CG733*CH742+CG734*CH741+CG735*CH740+CG736*CH739+CG737*CH738+CG738*CH737+CG739*CH736+CG740*CH735+CG741*CH734+CG742*CH733+CG743*CH732+CG744*CH731+CG745*CH730+CG746*CH729+CG747</f>
        <v>3552.8600499108034</v>
      </c>
      <c r="CJ747" s="114">
        <f t="shared" si="1334"/>
        <v>3.5565936611158561E-2</v>
      </c>
      <c r="CK747" s="114"/>
      <c r="CL747" s="169">
        <f t="shared" si="1335"/>
        <v>8.6100902622506664E-3</v>
      </c>
      <c r="CM747" s="169">
        <f t="shared" si="1343"/>
        <v>8.4107850808992218E-3</v>
      </c>
      <c r="CN747" s="114">
        <f>VLOOKUP($H747,RoR!$E:$F,2,FALSE)</f>
        <v>3.7433333333333339E-2</v>
      </c>
      <c r="CO747" s="169">
        <v>1.9056896421275615E-2</v>
      </c>
      <c r="CP747" s="169">
        <f t="shared" si="1341"/>
        <v>1.8376436912057724E-2</v>
      </c>
      <c r="CQ747" s="169">
        <f t="shared" si="1344"/>
        <v>2.2491156527634403E-2</v>
      </c>
      <c r="CR747" s="169">
        <f t="shared" si="1345"/>
        <v>1.3976271617800498E-2</v>
      </c>
      <c r="CS747" s="179">
        <f t="shared" si="1336"/>
        <v>0.90383761790000006</v>
      </c>
      <c r="CT747" s="180">
        <f t="shared" si="1337"/>
        <v>1.3699568463593395</v>
      </c>
      <c r="CU747" s="180">
        <f t="shared" si="1338"/>
        <v>0.30714603739982199</v>
      </c>
      <c r="CV747" s="180">
        <f t="shared" si="1339"/>
        <v>0.77007188472689425</v>
      </c>
      <c r="CW747" s="180">
        <f t="shared" si="1340"/>
        <v>0.32402839633793828</v>
      </c>
      <c r="CX747" s="181">
        <f>INDEX('State Tax Lookup'!$D$7:$Z$91,MATCH(Calculation!$C747,'State Tax Lookup'!$B$7:$B$91,0),MATCH($H747,'State Tax Lookup'!$D$6:$Z$6,0))</f>
        <v>0.25989833000000001</v>
      </c>
      <c r="CY747" s="72">
        <v>0.37</v>
      </c>
      <c r="CZ747" s="70">
        <f t="shared" si="1342"/>
        <v>19.551189093782238</v>
      </c>
      <c r="DA747" s="70">
        <v>18.231812616449311</v>
      </c>
      <c r="DB747" s="69">
        <f t="shared" si="1346"/>
        <v>-0.10120669880101317</v>
      </c>
      <c r="DC747" s="111">
        <f>VLOOKUP($H747,RoR!$E:$F,2,FALSE)</f>
        <v>3.7433333333333339E-2</v>
      </c>
      <c r="DD747" s="216">
        <f>HLOOKUP($H747,'GDP-PI'!$D$8:$CQ$11,3,FALSE)</f>
        <v>1.9056896421275615E-2</v>
      </c>
      <c r="DE747" s="111">
        <f>VLOOKUP(H747,'HW Dx Data'!$E:$F,2,FALSE)</f>
        <v>712.42858370229726</v>
      </c>
      <c r="DF747" s="72">
        <f t="shared" si="1356"/>
        <v>140.44999999999999</v>
      </c>
      <c r="DG747" s="69">
        <f t="shared" si="1357"/>
        <v>2.5235657841165486E-2</v>
      </c>
      <c r="DH747" s="66">
        <f>HLOOKUP(H747,'GDP-PI'!$8:$9,2,FALSE)</f>
        <v>107.751</v>
      </c>
      <c r="DI747" s="69">
        <f t="shared" si="1347"/>
        <v>1.8877588227745139E-2</v>
      </c>
      <c r="EB747"/>
    </row>
    <row r="748" spans="1:132" s="160" customFormat="1" ht="21">
      <c r="A748" s="160" t="s">
        <v>202</v>
      </c>
      <c r="B748" s="161" t="s">
        <v>202</v>
      </c>
      <c r="C748" s="161">
        <v>4012860</v>
      </c>
      <c r="D748" s="161" t="s">
        <v>203</v>
      </c>
      <c r="E748" s="161"/>
      <c r="F748" s="161"/>
      <c r="G748" s="161" t="s">
        <v>136</v>
      </c>
      <c r="H748" s="162">
        <v>2018</v>
      </c>
      <c r="I748" s="163"/>
      <c r="J748" s="159">
        <f>IFERROR(INDEX('Labor Expenditures'!$F$7:$X$91,MATCH($C748,'Labor Expenditures'!$D$7:$D$91,0),MATCH($G748,'Labor Expenditures'!$F$5:$X$5,0)),"NA")</f>
        <v>62540.781337337976</v>
      </c>
      <c r="K748" s="159">
        <f t="shared" si="1348"/>
        <v>432.95798779742461</v>
      </c>
      <c r="L748" s="165">
        <f t="shared" si="1354"/>
        <v>-0.12021634174434914</v>
      </c>
      <c r="M748" s="76">
        <f t="shared" si="1358"/>
        <v>-2.1102488801792506E-3</v>
      </c>
      <c r="N748" s="62">
        <f t="shared" si="1364"/>
        <v>114.42348136411016</v>
      </c>
      <c r="O748" s="96">
        <f t="shared" si="1359"/>
        <v>-0.37129108967644686</v>
      </c>
      <c r="P748" s="96"/>
      <c r="Q748" s="159">
        <f>IFERROR(INDEX('Non-Labor Expenditures'!$F$7:$AB$91,MATCH($C748,'Non-Labor Expenditures'!$D$7:$D$91,0),MATCH($G748,'Non-Labor Expenditures'!$F$5:$AB$5,0)),"NA")</f>
        <v>90570.732383147028</v>
      </c>
      <c r="R748" s="159">
        <f t="shared" si="1349"/>
        <v>820.96709979103923</v>
      </c>
      <c r="S748" s="165">
        <f t="shared" si="1360"/>
        <v>-0.11571482109886633</v>
      </c>
      <c r="T748" s="165">
        <f t="shared" si="1361"/>
        <v>-2.0312302645451542E-3</v>
      </c>
      <c r="U748" s="165"/>
      <c r="V748" s="165"/>
      <c r="W748" s="159">
        <f t="shared" si="1330"/>
        <v>72815.320830548939</v>
      </c>
      <c r="X748" s="163"/>
      <c r="Y748" s="167">
        <v>3705.5536497606636</v>
      </c>
      <c r="Z748" s="168">
        <v>4.2079753728328811E-2</v>
      </c>
      <c r="AA748" s="76">
        <f t="shared" si="1350"/>
        <v>7.3865792200084621E-4</v>
      </c>
      <c r="AB748" s="168"/>
      <c r="AC748" s="168"/>
      <c r="AD748" s="163">
        <f t="shared" si="1281"/>
        <v>225926.83455103394</v>
      </c>
      <c r="AE748" s="168">
        <f t="shared" si="1362"/>
        <v>-3.9051716624914308E-2</v>
      </c>
      <c r="AF748" s="163"/>
      <c r="AG748" s="163"/>
      <c r="AH748" s="163"/>
      <c r="AI748" s="163"/>
      <c r="AJ748" s="116">
        <f t="shared" si="1363"/>
        <v>272.97256407995849</v>
      </c>
      <c r="AK748" s="114">
        <f>+AV748/$AX$23</f>
        <v>2.2156613371120262E-2</v>
      </c>
      <c r="AL748" s="115">
        <f t="shared" si="1351"/>
        <v>0.27681873851603417</v>
      </c>
      <c r="AM748" s="115">
        <f t="shared" si="1352"/>
        <v>0.40088523597974046</v>
      </c>
      <c r="AN748" s="115">
        <f t="shared" si="1353"/>
        <v>0.32229602550422537</v>
      </c>
      <c r="AO748" s="115">
        <f t="shared" si="1355"/>
        <v>-6.9053293613992081E-2</v>
      </c>
      <c r="AP748" s="166">
        <f t="shared" si="1366"/>
        <v>97.022262953916012</v>
      </c>
      <c r="AQ748" s="168">
        <f t="shared" si="1367"/>
        <v>-6.9053293613992067E-2</v>
      </c>
      <c r="AR748" s="169">
        <f>+AD748/$AF$23</f>
        <v>1.7553760574971451E-2</v>
      </c>
      <c r="AS748" s="169">
        <f t="shared" si="1365"/>
        <v>-1.2121449830132219E-3</v>
      </c>
      <c r="AT748" s="115"/>
      <c r="AU748" s="115"/>
      <c r="AV748" s="113">
        <f>IFERROR(INDEX('Total Customers'!$F$7:$AB$91,MATCH($C748,'Total Customers'!$D$7:$D$91,0),MATCH($G748,'Total Customers'!$F$5:$AB$5,0)),"NA")</f>
        <v>827654</v>
      </c>
      <c r="AW748" s="68">
        <f t="shared" si="1301"/>
        <v>8.6483759023903099E-3</v>
      </c>
      <c r="AX748" s="114"/>
      <c r="AY748" s="114"/>
      <c r="AZ748" s="116"/>
      <c r="BA748" s="116"/>
      <c r="BB748" s="166"/>
      <c r="BC748" s="166"/>
      <c r="BD748" s="166"/>
      <c r="BE748" s="166"/>
      <c r="BF748" s="166"/>
      <c r="BG748" s="166"/>
      <c r="BH748" s="166"/>
      <c r="BI748" s="113"/>
      <c r="BJ748" s="113"/>
      <c r="BK748" s="113">
        <f>INDEX('Dist. Plant Gas Additions'!$F$7:$AE$91,MATCH($C748,'Dist. Plant Gas Additions'!$D$7:$D$91,0),MATCH(Calculation!$G748,'Dist. Plant Gas Additions'!$F$5:$AE$5,0))</f>
        <v>135793</v>
      </c>
      <c r="BL748" s="113">
        <f>INDEX('Gen. Plant Additions'!$F$7:$AE$91,MATCH($C748,'Gen. Plant Additions'!$D$7:$D$91,0),MATCH(Calculation!$G748,'Gen. Plant Additions'!$F$5:$AE$5,0))</f>
        <v>3252</v>
      </c>
      <c r="BM748" s="231">
        <f t="shared" si="1331"/>
        <v>0.97532993160995718</v>
      </c>
      <c r="BN748" s="61">
        <f t="shared" si="1368"/>
        <v>3171.772937595581</v>
      </c>
      <c r="BO748" s="113">
        <f>INDEX('Dist Plant Depreciation'!$E$7:$AD$94,MATCH($C748,'Dist Plant Depreciation'!$D$7:$D$94,0),MATCH(Calculation!$G748,'Dist Plant Depreciation'!$E$5:$AD$5,0))</f>
        <v>1142437</v>
      </c>
      <c r="BP748" s="113">
        <f>INDEX('Gen. Plant Depreciation'!$E$7:$AD$94,MATCH($C748,'Gen. Plant Depreciation'!$D$7:$D$94,0),MATCH(Calculation!$G748,'Gen. Plant Depreciation'!$E$5:$AD$5,0))</f>
        <v>-39625</v>
      </c>
      <c r="BQ748" s="113"/>
      <c r="BR748" s="113"/>
      <c r="BS748" s="113"/>
      <c r="BT748" s="113"/>
      <c r="BU748" s="113"/>
      <c r="BV748" s="113"/>
      <c r="BW748" s="113">
        <f>INDEX('Gross Dx Plant'!$E$7:$AD$91,MATCH($C748,'Gross Dx Plant'!$D$7:$D$91,0),MATCH(Calculation!$G748,'Gross Dx Plant'!$E$5:$AD$5,0))</f>
        <v>2038936</v>
      </c>
      <c r="BX748" s="113">
        <f>INDEX('Gross Gen Plant'!$E$7:$AD$91,MATCH($C748,'Gross Gen Plant'!$D$7:$D$91,0),MATCH(Calculation!$G748,'Gross Gen Plant'!$E$5:$AD$5,0))</f>
        <v>51573</v>
      </c>
      <c r="BY748" s="113">
        <f t="shared" si="1325"/>
        <v>987697</v>
      </c>
      <c r="BZ748" s="113"/>
      <c r="CA748" s="116">
        <v>2018</v>
      </c>
      <c r="CB748" s="113"/>
      <c r="CC748" s="113"/>
      <c r="CD748" s="113"/>
      <c r="CE748" s="175"/>
      <c r="CF748" s="113">
        <f t="shared" si="1332"/>
        <v>139045</v>
      </c>
      <c r="CG748" s="113">
        <f t="shared" si="1333"/>
        <v>184.13222050950776</v>
      </c>
      <c r="CH748" s="178">
        <v>0.86111111111111116</v>
      </c>
      <c r="CI748" s="61">
        <f>+CI728*CH748++CG729*CH747+CG730*CH746+CG731*CH745+CG732*CH744+CG733*CH743+CG734*CH742+CG735*CH741+CG736*CH740+CG737*CH739+CG738*CH738+CG739*CH737+CG740*CH736+CG741*CH735+CG742*CH734+CG743*CH733+CG744*CH732+CG745*CH731+CG746*CH730+CG747*CH729+CG748</f>
        <v>3705.5536497606636</v>
      </c>
      <c r="CJ748" s="114">
        <f t="shared" si="1334"/>
        <v>4.2079753728328811E-2</v>
      </c>
      <c r="CK748" s="114"/>
      <c r="CL748" s="169">
        <f t="shared" si="1335"/>
        <v>8.8488204483136972E-3</v>
      </c>
      <c r="CM748" s="169">
        <f t="shared" si="1343"/>
        <v>8.6273723552120884E-3</v>
      </c>
      <c r="CN748" s="114">
        <f>VLOOKUP($H748,RoR!$E:$F,2,FALSE)</f>
        <v>3.9299999999999995E-2</v>
      </c>
      <c r="CO748" s="169">
        <v>2.386056741932796E-2</v>
      </c>
      <c r="CP748" s="169">
        <f t="shared" si="1341"/>
        <v>1.5439432580672034E-2</v>
      </c>
      <c r="CQ748" s="169">
        <f t="shared" si="1344"/>
        <v>2.2274569253321538E-2</v>
      </c>
      <c r="CR748" s="169">
        <f t="shared" si="1345"/>
        <v>3.8270792163076606E-2</v>
      </c>
      <c r="CS748" s="179">
        <f t="shared" si="1336"/>
        <v>0.90383761790000006</v>
      </c>
      <c r="CT748" s="180">
        <f t="shared" si="1337"/>
        <v>1.3048868010700074</v>
      </c>
      <c r="CU748" s="180">
        <f t="shared" si="1338"/>
        <v>0.33886768447837151</v>
      </c>
      <c r="CV748" s="180">
        <f t="shared" si="1339"/>
        <v>0.78602506232557801</v>
      </c>
      <c r="CW748" s="180">
        <f t="shared" si="1340"/>
        <v>0.34756768162358759</v>
      </c>
      <c r="CX748" s="181">
        <f>INDEX('State Tax Lookup'!$D$7:$Z$91,MATCH(Calculation!$C748,'State Tax Lookup'!$B$7:$B$91,0),MATCH($H748,'State Tax Lookup'!$D$6:$Z$6,0))</f>
        <v>0.25989833000000001</v>
      </c>
      <c r="CY748" s="72">
        <v>0.37</v>
      </c>
      <c r="CZ748" s="70">
        <f t="shared" si="1342"/>
        <v>20.494846351287325</v>
      </c>
      <c r="DA748" s="70">
        <v>19.050901628905343</v>
      </c>
      <c r="DB748" s="69">
        <f t="shared" si="1346"/>
        <v>4.713734924744907E-2</v>
      </c>
      <c r="DC748" s="111">
        <f>VLOOKUP($H748,RoR!$E:$F,2,FALSE)</f>
        <v>3.9299999999999995E-2</v>
      </c>
      <c r="DD748" s="216">
        <f>HLOOKUP($H748,'GDP-PI'!$D$8:$CQ$11,3,FALSE)</f>
        <v>2.386056741932796E-2</v>
      </c>
      <c r="DE748" s="111">
        <f>VLOOKUP(H748,'HW Dx Data'!$E:$F,2,FALSE)</f>
        <v>755.13671434174842</v>
      </c>
      <c r="DF748" s="72">
        <f t="shared" si="1356"/>
        <v>144.44999999999999</v>
      </c>
      <c r="DG748" s="69">
        <f t="shared" si="1357"/>
        <v>2.80818733619915E-2</v>
      </c>
      <c r="DH748" s="66">
        <f>HLOOKUP(H748,'GDP-PI'!$8:$9,2,FALSE)</f>
        <v>110.322</v>
      </c>
      <c r="DI748" s="69">
        <f t="shared" si="1347"/>
        <v>2.3580352716508712E-2</v>
      </c>
      <c r="EB748"/>
    </row>
    <row r="749" spans="1:132" s="160" customFormat="1" ht="21">
      <c r="A749" s="160" t="s">
        <v>202</v>
      </c>
      <c r="B749" s="161" t="s">
        <v>202</v>
      </c>
      <c r="C749" s="161">
        <v>4012860</v>
      </c>
      <c r="D749" s="161" t="s">
        <v>203</v>
      </c>
      <c r="E749" s="161"/>
      <c r="F749" s="161"/>
      <c r="G749" s="161" t="s">
        <v>140</v>
      </c>
      <c r="H749" s="162">
        <v>2019</v>
      </c>
      <c r="I749" s="163"/>
      <c r="J749" s="159">
        <f>IFERROR(INDEX('Labor Expenditures'!$F$7:$X$91,MATCH($C749,'Labor Expenditures'!$D$7:$D$91,0),MATCH($G749,'Labor Expenditures'!$F$5:$X$5,0)),"NA")</f>
        <v>75638.079796177262</v>
      </c>
      <c r="K749" s="159">
        <f t="shared" si="1348"/>
        <v>505.34878768115755</v>
      </c>
      <c r="L749" s="165">
        <f t="shared" si="1354"/>
        <v>0.15460816212589759</v>
      </c>
      <c r="M749" s="76">
        <f t="shared" si="1358"/>
        <v>3.0547762760668655E-3</v>
      </c>
      <c r="N749" s="62">
        <f t="shared" si="1364"/>
        <v>115.64164561425979</v>
      </c>
      <c r="O749" s="96">
        <f t="shared" si="1359"/>
        <v>1.0589832977606862E-2</v>
      </c>
      <c r="P749" s="96"/>
      <c r="Q749" s="159">
        <f>IFERROR(INDEX('Non-Labor Expenditures'!$F$7:$AB$91,MATCH($C749,'Non-Labor Expenditures'!$D$7:$D$91,0),MATCH($G749,'Non-Labor Expenditures'!$F$5:$AB$5,0)),"NA")</f>
        <v>109538.06678946562</v>
      </c>
      <c r="R749" s="159">
        <f t="shared" si="1349"/>
        <v>975.24944166977355</v>
      </c>
      <c r="S749" s="165">
        <f t="shared" si="1360"/>
        <v>0.17221024057366754</v>
      </c>
      <c r="T749" s="165">
        <f t="shared" si="1361"/>
        <v>3.4025613535967969E-3</v>
      </c>
      <c r="U749" s="165"/>
      <c r="V749" s="165"/>
      <c r="W749" s="159">
        <f t="shared" si="1330"/>
        <v>77001.958219212247</v>
      </c>
      <c r="X749" s="163"/>
      <c r="Y749" s="167">
        <v>3845.9746168864017</v>
      </c>
      <c r="Z749" s="168">
        <v>3.7194366553464177E-2</v>
      </c>
      <c r="AA749" s="76">
        <f t="shared" si="1350"/>
        <v>7.3489308060163086E-4</v>
      </c>
      <c r="AB749" s="168"/>
      <c r="AC749" s="168"/>
      <c r="AD749" s="163">
        <f t="shared" si="1281"/>
        <v>262178.10480485513</v>
      </c>
      <c r="AE749" s="168">
        <f t="shared" si="1362"/>
        <v>0.14881285620824611</v>
      </c>
      <c r="AF749" s="163"/>
      <c r="AG749" s="163"/>
      <c r="AH749" s="163"/>
      <c r="AI749" s="163"/>
      <c r="AJ749" s="116">
        <f t="shared" si="1363"/>
        <v>314.6044134751873</v>
      </c>
      <c r="AK749" s="114">
        <f>+AV749/$AX$24</f>
        <v>2.2125322667261093E-2</v>
      </c>
      <c r="AL749" s="115">
        <f t="shared" si="1351"/>
        <v>0.28849884261874703</v>
      </c>
      <c r="AM749" s="115">
        <f t="shared" si="1352"/>
        <v>0.4178002082629943</v>
      </c>
      <c r="AN749" s="115">
        <f t="shared" si="1353"/>
        <v>0.29370094911825867</v>
      </c>
      <c r="AO749" s="115">
        <f t="shared" si="1355"/>
        <v>0.1256501734069207</v>
      </c>
      <c r="AP749" s="166">
        <f t="shared" si="1366"/>
        <v>110.0121308937929</v>
      </c>
      <c r="AQ749" s="168">
        <f t="shared" si="1367"/>
        <v>0.12565017340692072</v>
      </c>
      <c r="AR749" s="169">
        <f>+AD749/$AF$24</f>
        <v>1.9758182453390512E-2</v>
      </c>
      <c r="AS749" s="169">
        <f t="shared" si="1365"/>
        <v>2.482619051474096E-3</v>
      </c>
      <c r="AT749" s="115"/>
      <c r="AU749" s="115"/>
      <c r="AV749" s="113">
        <f>IFERROR(INDEX('Total Customers'!$F$7:$AB$91,MATCH($C749,'Total Customers'!$D$7:$D$91,0),MATCH($G749,'Total Customers'!$F$5:$AB$5,0)),"NA")</f>
        <v>833358</v>
      </c>
      <c r="AW749" s="68">
        <f t="shared" si="1301"/>
        <v>6.8681290948227865E-3</v>
      </c>
      <c r="AX749" s="114"/>
      <c r="AY749" s="114"/>
      <c r="AZ749" s="116"/>
      <c r="BA749" s="116"/>
      <c r="BB749" s="166"/>
      <c r="BC749" s="166"/>
      <c r="BD749" s="166"/>
      <c r="BE749" s="166"/>
      <c r="BF749" s="166"/>
      <c r="BG749" s="166"/>
      <c r="BH749" s="166"/>
      <c r="BI749" s="113"/>
      <c r="BJ749" s="113"/>
      <c r="BK749" s="113">
        <f>INDEX('Dist. Plant Gas Additions'!$F$7:$AE$91,MATCH($C749,'Dist. Plant Gas Additions'!$D$7:$D$91,0),MATCH(Calculation!$G749,'Dist. Plant Gas Additions'!$F$5:$AE$5,0))</f>
        <v>131761</v>
      </c>
      <c r="BL749" s="113">
        <f>INDEX('Gen. Plant Additions'!$F$7:$AE$91,MATCH($C749,'Gen. Plant Additions'!$D$7:$D$91,0),MATCH(Calculation!$G749,'Gen. Plant Additions'!$F$5:$AE$5,0))</f>
        <v>2851</v>
      </c>
      <c r="BM749" s="231">
        <f t="shared" si="1331"/>
        <v>0.97623101968615289</v>
      </c>
      <c r="BN749" s="61">
        <f t="shared" si="1368"/>
        <v>2783.234637125222</v>
      </c>
      <c r="BO749" s="113">
        <f>INDEX('Dist Plant Depreciation'!$E$7:$AD$94,MATCH($C749,'Dist Plant Depreciation'!$D$7:$D$94,0),MATCH(Calculation!$G749,'Dist Plant Depreciation'!$E$5:$AD$5,0))</f>
        <v>1168899</v>
      </c>
      <c r="BP749" s="113">
        <f>INDEX('Gen. Plant Depreciation'!$E$7:$AD$94,MATCH($C749,'Gen. Plant Depreciation'!$D$7:$D$94,0),MATCH(Calculation!$G749,'Gen. Plant Depreciation'!$E$5:$AD$5,0))</f>
        <v>-59933</v>
      </c>
      <c r="BQ749" s="113"/>
      <c r="BR749" s="113"/>
      <c r="BS749" s="113"/>
      <c r="BT749" s="113"/>
      <c r="BU749" s="113"/>
      <c r="BV749" s="113"/>
      <c r="BW749" s="113">
        <f>INDEX('Gross Dx Plant'!$E$7:$AD$91,MATCH($C749,'Gross Dx Plant'!$D$7:$D$91,0),MATCH(Calculation!$G749,'Gross Dx Plant'!$E$5:$AD$5,0))</f>
        <v>2171088</v>
      </c>
      <c r="BX749" s="113">
        <f>INDEX('Gross Gen Plant'!$E$7:$AD$91,MATCH($C749,'Gross Gen Plant'!$D$7:$D$91,0),MATCH(Calculation!$G749,'Gross Gen Plant'!$E$5:$AD$5,0))</f>
        <v>52861</v>
      </c>
      <c r="BY749" s="113">
        <f t="shared" si="1325"/>
        <v>1114983</v>
      </c>
      <c r="BZ749" s="113"/>
      <c r="CA749" s="116">
        <v>2019</v>
      </c>
      <c r="CB749" s="113"/>
      <c r="CC749" s="113"/>
      <c r="CD749" s="113"/>
      <c r="CE749" s="175"/>
      <c r="CF749" s="113">
        <f t="shared" si="1332"/>
        <v>134612</v>
      </c>
      <c r="CG749" s="113">
        <f t="shared" si="1333"/>
        <v>174.02089377823424</v>
      </c>
      <c r="CH749" s="178">
        <v>0.85106382978723405</v>
      </c>
      <c r="CI749" s="61">
        <f>CI728*CH749+CG729*CH748+CG730*CH747+CG731*CH746+CG732*CH745+CG733*CH744+CG734*CH743+CG735*CH742+CG736*CH741+CG737*CH740+CG738*CH739+CG739*CH738+CG740*CH737+CG741*CH736+CG742*CH735+CG743*CH734+CG744*CH733+CG745*CH732+CG746*CH731+CG747*CH730+CG748*CH729+CG749</f>
        <v>3845.9746168864017</v>
      </c>
      <c r="CJ749" s="114">
        <f t="shared" si="1334"/>
        <v>3.7194366553464177E-2</v>
      </c>
      <c r="CK749" s="114"/>
      <c r="CL749" s="169">
        <f t="shared" si="1335"/>
        <v>9.0674511363953107E-3</v>
      </c>
      <c r="CM749" s="169">
        <f t="shared" si="1343"/>
        <v>8.8421206156532248E-3</v>
      </c>
      <c r="CN749" s="114">
        <f>VLOOKUP($H749,RoR!$E:$F,2,FALSE)</f>
        <v>3.3875000000000009E-2</v>
      </c>
      <c r="CO749" s="169">
        <v>1.8092492884465461E-2</v>
      </c>
      <c r="CP749" s="169">
        <f t="shared" si="1341"/>
        <v>1.5782507115534548E-2</v>
      </c>
      <c r="CQ749" s="169">
        <f t="shared" si="1344"/>
        <v>2.20598209928804E-2</v>
      </c>
      <c r="CR749" s="169">
        <f t="shared" si="1345"/>
        <v>4.8445665544254078E-2</v>
      </c>
      <c r="CS749" s="179">
        <f t="shared" si="1336"/>
        <v>0.90383761790000006</v>
      </c>
      <c r="CT749" s="180">
        <f t="shared" si="1337"/>
        <v>1.513861292459078</v>
      </c>
      <c r="CU749" s="180">
        <f t="shared" si="1338"/>
        <v>0.23699261992619944</v>
      </c>
      <c r="CV749" s="180">
        <f t="shared" si="1339"/>
        <v>0.73619765810468829</v>
      </c>
      <c r="CW749" s="180">
        <f t="shared" si="1340"/>
        <v>0.26412854465362851</v>
      </c>
      <c r="CX749" s="181">
        <f>INDEX('State Tax Lookup'!$D$7:$Z$91,MATCH(Calculation!$C749,'State Tax Lookup'!$B$7:$B$91,0),MATCH($H749,'State Tax Lookup'!$D$6:$Z$6,0))</f>
        <v>0.25989833000000001</v>
      </c>
      <c r="CY749" s="72">
        <v>0.37</v>
      </c>
      <c r="CZ749" s="70">
        <f t="shared" si="1342"/>
        <v>20.780149337248346</v>
      </c>
      <c r="DA749" s="70">
        <v>19.236104090735289</v>
      </c>
      <c r="DB749" s="69">
        <f t="shared" si="1346"/>
        <v>1.3824715190302697E-2</v>
      </c>
      <c r="DC749" s="111">
        <f>VLOOKUP($H749,RoR!$E:$F,2,FALSE)</f>
        <v>3.3875000000000009E-2</v>
      </c>
      <c r="DD749" s="216">
        <f>HLOOKUP($H749,'GDP-PI'!$D$8:$CQ$11,3,FALSE)</f>
        <v>1.8092492884465461E-2</v>
      </c>
      <c r="DE749" s="111">
        <f>VLOOKUP(H749,'HW Dx Data'!$E:$F,2,FALSE)</f>
        <v>773.53929793938721</v>
      </c>
      <c r="DF749" s="72">
        <f t="shared" si="1356"/>
        <v>149.67500000000001</v>
      </c>
      <c r="DG749" s="69">
        <f t="shared" si="1357"/>
        <v>3.5532849899171604E-2</v>
      </c>
      <c r="DH749" s="66">
        <f>HLOOKUP(H749,'GDP-PI'!$8:$9,2,FALSE)</f>
        <v>112.318</v>
      </c>
      <c r="DI749" s="69">
        <f t="shared" si="1347"/>
        <v>1.7930771451401852E-2</v>
      </c>
      <c r="EB749"/>
    </row>
    <row r="750" spans="1:132" s="160" customFormat="1" ht="21">
      <c r="A750" s="160" t="s">
        <v>202</v>
      </c>
      <c r="B750" s="160" t="s">
        <v>202</v>
      </c>
      <c r="C750" s="160">
        <v>4012860</v>
      </c>
      <c r="D750" s="160" t="s">
        <v>203</v>
      </c>
      <c r="G750" s="161" t="s">
        <v>141</v>
      </c>
      <c r="H750" s="162">
        <v>2020</v>
      </c>
      <c r="I750" s="163"/>
      <c r="J750" s="159">
        <f>IFERROR(INDEX('Labor Expenditures'!$F$7:$X$91,MATCH($C750,'Labor Expenditures'!$D$7:$D$91,0),MATCH($G750,'Labor Expenditures'!$F$5:$X$5,0)),"NA")</f>
        <v>71808.601458848716</v>
      </c>
      <c r="K750" s="159">
        <f t="shared" si="1348"/>
        <v>468.87758053443497</v>
      </c>
      <c r="L750" s="165">
        <f t="shared" si="1354"/>
        <v>-7.4907147489686229E-2</v>
      </c>
      <c r="M750" s="76">
        <f t="shared" si="1358"/>
        <v>-1.4181881198381398E-3</v>
      </c>
      <c r="N750" s="62">
        <f t="shared" si="1364"/>
        <v>115.73311312831351</v>
      </c>
      <c r="O750" s="96">
        <f t="shared" si="1359"/>
        <v>7.9064388281278311E-4</v>
      </c>
      <c r="P750" s="96"/>
      <c r="Q750" s="159">
        <f>IFERROR(INDEX('Non-Labor Expenditures'!$F$7:$AB$91,MATCH($C750,'Non-Labor Expenditures'!$D$7:$D$91,0),MATCH($G750,'Non-Labor Expenditures'!$F$5:$AB$5,0)),"NA")</f>
        <v>103992.26690912139</v>
      </c>
      <c r="R750" s="159">
        <f t="shared" si="1349"/>
        <v>915.23958097499087</v>
      </c>
      <c r="S750" s="165">
        <f t="shared" si="1360"/>
        <v>-6.3507407753710859E-2</v>
      </c>
      <c r="T750" s="165">
        <f t="shared" si="1361"/>
        <v>-1.2023612461071246E-3</v>
      </c>
      <c r="U750" s="165"/>
      <c r="V750" s="165"/>
      <c r="W750" s="159">
        <f t="shared" si="1330"/>
        <v>83138.372770920731</v>
      </c>
      <c r="X750" s="163"/>
      <c r="Y750" s="167">
        <v>3973.5678352695031</v>
      </c>
      <c r="Z750" s="168">
        <v>3.2637342899933343E-2</v>
      </c>
      <c r="AA750" s="76">
        <f t="shared" si="1350"/>
        <v>6.1791021971757914E-4</v>
      </c>
      <c r="AB750" s="168"/>
      <c r="AC750" s="168"/>
      <c r="AD750" s="163">
        <f t="shared" si="1281"/>
        <v>258939.24113889085</v>
      </c>
      <c r="AE750" s="168">
        <f t="shared" si="1362"/>
        <v>-1.2430618158876638E-2</v>
      </c>
      <c r="AF750" s="163"/>
      <c r="AG750" s="163"/>
      <c r="AH750" s="163"/>
      <c r="AI750" s="163"/>
      <c r="AJ750" s="116">
        <f t="shared" si="1363"/>
        <v>310.71789211706238</v>
      </c>
      <c r="AK750" s="114">
        <f>+AV750/$AX$25</f>
        <v>2.1969083191652319E-2</v>
      </c>
      <c r="AL750" s="115">
        <f t="shared" si="1351"/>
        <v>0.27731834365086339</v>
      </c>
      <c r="AM750" s="115">
        <f t="shared" si="1352"/>
        <v>0.4016087575283408</v>
      </c>
      <c r="AN750" s="115">
        <f t="shared" si="1353"/>
        <v>0.32107289882079576</v>
      </c>
      <c r="AO750" s="115">
        <f t="shared" si="1355"/>
        <v>-3.7178852925277707E-2</v>
      </c>
      <c r="AP750" s="166">
        <f t="shared" si="1366"/>
        <v>105.99710555340702</v>
      </c>
      <c r="AQ750" s="168">
        <f t="shared" si="1367"/>
        <v>-3.7178852925277735E-2</v>
      </c>
      <c r="AR750" s="169">
        <f>+AD750/$AF$25</f>
        <v>1.8932614141172661E-2</v>
      </c>
      <c r="AS750" s="169">
        <f t="shared" si="1365"/>
        <v>-7.0389287664569182E-4</v>
      </c>
      <c r="AT750" s="115"/>
      <c r="AU750" s="115"/>
      <c r="AV750" s="113">
        <v>833358</v>
      </c>
      <c r="AW750" s="68">
        <f t="shared" si="1301"/>
        <v>0</v>
      </c>
      <c r="AX750" s="114"/>
      <c r="AY750" s="114"/>
      <c r="AZ750" s="116"/>
      <c r="BA750" s="116"/>
      <c r="BB750" s="166"/>
      <c r="BC750" s="166"/>
      <c r="BD750" s="166"/>
      <c r="BE750" s="166"/>
      <c r="BF750" s="166"/>
      <c r="BG750" s="166"/>
      <c r="BH750" s="166"/>
      <c r="BI750" s="113"/>
      <c r="BJ750" s="113"/>
      <c r="BK750" s="113">
        <f>INDEX('Dist. Plant Gas Additions'!$F$7:$AE$91,MATCH($C750,'Dist. Plant Gas Additions'!$D$7:$D$91,0),MATCH(Calculation!$G750,'Dist. Plant Gas Additions'!$F$5:$AE$5,0))</f>
        <v>130762</v>
      </c>
      <c r="BL750" s="113">
        <f>INDEX('Gen. Plant Additions'!$F$7:$AE$91,MATCH($C750,'Gen. Plant Additions'!$D$7:$D$91,0),MATCH(Calculation!$G750,'Gen. Plant Additions'!$F$5:$AE$5,0))</f>
        <v>2102</v>
      </c>
      <c r="BM750" s="231">
        <f t="shared" si="1331"/>
        <v>0.9775124363656249</v>
      </c>
      <c r="BN750" s="61">
        <f t="shared" si="1368"/>
        <v>2054.7311412405434</v>
      </c>
      <c r="BO750" s="113">
        <f>INDEX('Dist Plant Depreciation'!$E$7:$AD$94,MATCH($C750,'Dist Plant Depreciation'!$D$7:$D$94,0),MATCH(Calculation!$G750,'Dist Plant Depreciation'!$E$5:$AD$5,0))</f>
        <v>1182511</v>
      </c>
      <c r="BP750" s="113">
        <f>INDEX('Gen. Plant Depreciation'!$E$7:$AD$94,MATCH($C750,'Gen. Plant Depreciation'!$D$7:$D$94,0),MATCH(Calculation!$G750,'Gen. Plant Depreciation'!$E$5:$AD$5,0))</f>
        <v>-77207</v>
      </c>
      <c r="BQ750" s="113"/>
      <c r="BR750" s="113"/>
      <c r="BS750" s="113"/>
      <c r="BT750" s="113"/>
      <c r="BU750" s="113"/>
      <c r="BV750" s="113"/>
      <c r="BW750" s="113">
        <f>INDEX('Gross Dx Plant'!$E$7:$AD$91,MATCH($C750,'Gross Dx Plant'!$D$7:$D$91,0),MATCH(Calculation!$G750,'Gross Dx Plant'!$E$5:$AD$5,0))</f>
        <v>2288079</v>
      </c>
      <c r="BX750" s="113">
        <f>INDEX('Gross Gen Plant'!$E$7:$AD$91,MATCH($C750,'Gross Gen Plant'!$D$7:$D$91,0),MATCH(Calculation!$G750,'Gross Gen Plant'!$E$5:$AD$5,0))</f>
        <v>52637</v>
      </c>
      <c r="BY750" s="113">
        <f t="shared" si="1325"/>
        <v>1235412</v>
      </c>
      <c r="BZ750" s="113"/>
      <c r="CA750" s="116">
        <v>2020</v>
      </c>
      <c r="CB750" s="113"/>
      <c r="CC750" s="113"/>
      <c r="CD750" s="113"/>
      <c r="CE750" s="175"/>
      <c r="CF750" s="113">
        <f t="shared" si="1332"/>
        <v>132864</v>
      </c>
      <c r="CG750" s="113">
        <f t="shared" si="1333"/>
        <v>163.40824205845391</v>
      </c>
      <c r="CH750" s="178">
        <v>0.84057971014492749</v>
      </c>
      <c r="CI750" s="61">
        <f>CI728*CH750+CG729*CH749+CG730*CH748+CG731*CH747+CG732*CH746+CG733*CH745+CG734*CH744+CG735*CH743+CG736*CH742+CG737*CH741+CG738*CH740+CG739*CH739+CG740*CH738+CG741*CH737+CG742*CH736+CG743*CH735+CG744*CH734+CG745*CH733+CG746*CH732+CG747*CH731+CG748*CH730+CG749*CH729+CG750</f>
        <v>3973.5678352695031</v>
      </c>
      <c r="CJ750" s="114">
        <f t="shared" si="1334"/>
        <v>3.2637342899933343E-2</v>
      </c>
      <c r="CK750" s="114"/>
      <c r="CL750" s="169">
        <f t="shared" si="1335"/>
        <v>9.3123401070044926E-3</v>
      </c>
      <c r="CM750" s="169">
        <f t="shared" si="1343"/>
        <v>9.0762038972378323E-3</v>
      </c>
      <c r="CN750" s="114">
        <f>VLOOKUP($H750,RoR!$E:$F,2,FALSE)</f>
        <v>2.4766666666666666E-2</v>
      </c>
      <c r="CO750" s="169">
        <v>1.1618796630994188E-2</v>
      </c>
      <c r="CP750" s="169">
        <f t="shared" si="1341"/>
        <v>1.3147870035672478E-2</v>
      </c>
      <c r="CQ750" s="169">
        <f t="shared" si="1344"/>
        <v>2.1825737711295791E-2</v>
      </c>
      <c r="CR750" s="169">
        <f t="shared" si="1345"/>
        <v>4.5144642961987357E-2</v>
      </c>
      <c r="CS750" s="179">
        <f t="shared" si="1336"/>
        <v>0.90383761790000006</v>
      </c>
      <c r="CT750" s="180">
        <f t="shared" si="1337"/>
        <v>2.0706077233668081</v>
      </c>
      <c r="CU750" s="180">
        <f t="shared" si="1338"/>
        <v>-3.4421265141318998E-2</v>
      </c>
      <c r="CV750" s="180">
        <f t="shared" si="1339"/>
        <v>0.62416226176410472</v>
      </c>
      <c r="CW750" s="180">
        <f t="shared" si="1340"/>
        <v>-4.4485877841158712E-2</v>
      </c>
      <c r="CX750" s="181">
        <f>INDEX('State Tax Lookup'!$D$7:$Z$91,MATCH(Calculation!$C750,'State Tax Lookup'!$B$7:$B$91,0),MATCH($H750,'State Tax Lookup'!$D$6:$Z$6,0))</f>
        <v>0.25989833000000001</v>
      </c>
      <c r="CY750" s="72">
        <v>0.37</v>
      </c>
      <c r="CZ750" s="70">
        <f t="shared" si="1342"/>
        <v>21.616984263465405</v>
      </c>
      <c r="DA750" s="70">
        <v>19.952659173050833</v>
      </c>
      <c r="DB750" s="69">
        <f t="shared" si="1346"/>
        <v>3.948114197448447E-2</v>
      </c>
      <c r="DC750" s="111">
        <f>VLOOKUP($H750,RoR!$E:$F,2,FALSE)</f>
        <v>2.4766666666666666E-2</v>
      </c>
      <c r="DD750" s="216">
        <f>HLOOKUP($H750,'GDP-PI'!$D$8:$CQ$11,3,FALSE)</f>
        <v>1.1618796630994188E-2</v>
      </c>
      <c r="DE750" s="111">
        <f>VLOOKUP(H750,'HW Dx Data'!$E:$F,2,FALSE)</f>
        <v>813.080162458833</v>
      </c>
      <c r="DF750" s="72">
        <f t="shared" si="1356"/>
        <v>153.15</v>
      </c>
      <c r="DG750" s="69">
        <f t="shared" si="1357"/>
        <v>2.2951556467368479E-2</v>
      </c>
      <c r="DH750" s="66">
        <f>HLOOKUP(H750,'GDP-PI'!$8:$9,2,FALSE)</f>
        <v>113.623</v>
      </c>
      <c r="DI750" s="69">
        <f t="shared" si="1347"/>
        <v>1.1551816731392881E-2</v>
      </c>
      <c r="EB750"/>
    </row>
    <row r="751" spans="1:132" s="160" customFormat="1" ht="21">
      <c r="A751" s="160" t="s">
        <v>202</v>
      </c>
      <c r="B751" s="160" t="s">
        <v>202</v>
      </c>
      <c r="C751" s="160">
        <v>4012860</v>
      </c>
      <c r="D751" s="160" t="s">
        <v>203</v>
      </c>
      <c r="G751" s="161" t="s">
        <v>142</v>
      </c>
      <c r="H751" s="162">
        <v>2021</v>
      </c>
      <c r="I751" s="163"/>
      <c r="J751" s="159">
        <v>73969.422788119467</v>
      </c>
      <c r="K751" s="159">
        <f t="shared" si="1348"/>
        <v>470.39378561602206</v>
      </c>
      <c r="L751" s="164">
        <f t="shared" si="1354"/>
        <v>3.2284735874716615E-3</v>
      </c>
      <c r="M751" s="76">
        <f t="shared" si="1358"/>
        <v>5.6980636300723794E-5</v>
      </c>
      <c r="N751" s="166">
        <f>+N750*EXP(O751)</f>
        <v>118.77077695996439</v>
      </c>
      <c r="O751" s="114">
        <f t="shared" si="1359"/>
        <v>2.5908600060609892E-2</v>
      </c>
      <c r="P751" s="114"/>
      <c r="Q751" s="159">
        <v>104270.15019530093</v>
      </c>
      <c r="R751" s="159">
        <f t="shared" si="1349"/>
        <v>879.991140140948</v>
      </c>
      <c r="S751" s="165">
        <f t="shared" si="1360"/>
        <v>-3.9274028733380539E-2</v>
      </c>
      <c r="T751" s="165">
        <f t="shared" si="1361"/>
        <v>-6.9316321992074395E-4</v>
      </c>
      <c r="U751" s="165"/>
      <c r="V751" s="165"/>
      <c r="W751" s="159">
        <f t="shared" si="1330"/>
        <v>92190.906135290876</v>
      </c>
      <c r="X751" s="163"/>
      <c r="Y751" s="167">
        <v>4189.2448323549233</v>
      </c>
      <c r="Z751" s="168"/>
      <c r="AA751" s="76">
        <f t="shared" si="1350"/>
        <v>0</v>
      </c>
      <c r="AB751" s="168"/>
      <c r="AC751" s="168"/>
      <c r="AD751" s="163">
        <f t="shared" si="1281"/>
        <v>270430.47911871126</v>
      </c>
      <c r="AE751" s="168">
        <f t="shared" si="1362"/>
        <v>4.3421612469207678E-2</v>
      </c>
      <c r="AF751" s="113"/>
      <c r="AG751" s="114"/>
      <c r="AH751" s="114"/>
      <c r="AI751" s="114"/>
      <c r="AJ751" s="116">
        <f t="shared" si="1363"/>
        <v>317.03455934198269</v>
      </c>
      <c r="AK751" s="114">
        <f>+AV751/$AX$26</f>
        <v>2.2094853413190611E-2</v>
      </c>
      <c r="AL751" s="115">
        <f t="shared" si="1351"/>
        <v>0.27352472631477681</v>
      </c>
      <c r="AM751" s="115">
        <f t="shared" si="1352"/>
        <v>0.38557099974492637</v>
      </c>
      <c r="AN751" s="115">
        <f t="shared" si="1353"/>
        <v>0.34090427394029688</v>
      </c>
      <c r="AO751" s="115">
        <f t="shared" si="1355"/>
        <v>-1.4568669051629969E-2</v>
      </c>
      <c r="AP751" s="166">
        <f t="shared" si="1366"/>
        <v>104.46406311125598</v>
      </c>
      <c r="AQ751" s="168">
        <f t="shared" si="1367"/>
        <v>-1.4568669051629997E-2</v>
      </c>
      <c r="AR751" s="169">
        <f>+AD751/$AF$26</f>
        <v>1.7649404511730096E-2</v>
      </c>
      <c r="AS751" s="169">
        <f t="shared" si="1365"/>
        <v>-2.571283332897411E-4</v>
      </c>
      <c r="AT751" s="115"/>
      <c r="AU751" s="115"/>
      <c r="AV751" s="113">
        <f>INDEX('Total Customers'!$E$7:$E$91,MATCH(Calculation!$C751,'Total Customers'!$D$7:$D$91,0))</f>
        <v>853000</v>
      </c>
      <c r="AW751" s="68">
        <f>LN(AV751/AV750)</f>
        <v>2.3296225741568099E-2</v>
      </c>
      <c r="AX751" s="113"/>
      <c r="AY751" s="113"/>
      <c r="AZ751" s="116"/>
      <c r="BA751" s="116"/>
      <c r="BB751" s="166"/>
      <c r="BC751" s="166"/>
      <c r="BD751" s="166"/>
      <c r="BE751" s="166"/>
      <c r="BF751" s="166"/>
      <c r="BG751" s="166"/>
      <c r="BH751" s="166"/>
      <c r="BI751" s="113"/>
      <c r="BJ751" s="113"/>
      <c r="BK751" s="113">
        <f>INDEX('Dist. Plant Gas Additions'!$E$7:$AE$91,MATCH($C751,'Dist. Plant Gas Additions'!$D$7:$D$91,0),MATCH(Calculation!$G751,'Dist. Plant Gas Additions'!$E$5:$AE$5,0))</f>
        <v>244298</v>
      </c>
      <c r="BL751" s="113">
        <f>INDEX('Gen. Plant Additions'!$E$7:$AE$91,MATCH($C751,'Gen. Plant Additions'!$D$7:$D$91,0),MATCH(Calculation!$G751,'Gen. Plant Additions'!$E$5:$AE$5,0))</f>
        <v>5136</v>
      </c>
      <c r="BM751" s="232">
        <v>0.9775124363656249</v>
      </c>
      <c r="BN751" s="61">
        <f t="shared" si="1368"/>
        <v>5020.5038731738496</v>
      </c>
      <c r="BO751" s="113"/>
      <c r="BP751" s="113"/>
      <c r="BQ751" s="175"/>
      <c r="BR751" s="175"/>
      <c r="BS751" s="170"/>
      <c r="BT751" s="176"/>
      <c r="BU751" s="177"/>
      <c r="BV751" s="177"/>
      <c r="BW751" s="113"/>
      <c r="BX751" s="113"/>
      <c r="BY751" s="113"/>
      <c r="BZ751" s="113"/>
      <c r="CA751" s="116">
        <v>2021</v>
      </c>
      <c r="CB751" s="113"/>
      <c r="CC751" s="113"/>
      <c r="CD751" s="113"/>
      <c r="CE751" s="175"/>
      <c r="CF751" s="113">
        <f t="shared" si="1332"/>
        <v>249434</v>
      </c>
      <c r="CG751" s="113">
        <f t="shared" si="1333"/>
        <v>267.33974819409724</v>
      </c>
      <c r="CH751" s="178">
        <f>+(51-23)/(51-23*0.75)</f>
        <v>0.82962962962962961</v>
      </c>
      <c r="CI751" s="113">
        <f>CI728*CH751+CG729*CH750+CG730*CH749+CG731*CH748+CG732*CH747+CG733*CH746+CG734*CH745+CG735*CH744+CG736*CH743+CG737*CH742+CG738*CH741+CG739*CH740+CG740*CH739+CG741*CH738+CG742*CH737+CG733*CH736+CG744*CH735+CG745*CH734+CG746*CH733+CG747*CH732+CG748*CH731+CG749*CH730+CG751+CG750*CH729</f>
        <v>4189.2448323549233</v>
      </c>
      <c r="CJ751" s="114"/>
      <c r="CK751" s="113"/>
      <c r="CL751" s="169">
        <f t="shared" si="1335"/>
        <v>1.3001602904602998E-2</v>
      </c>
      <c r="CM751" s="169">
        <f t="shared" si="1343"/>
        <v>1.0460464716000933E-2</v>
      </c>
      <c r="CN751" s="114">
        <f>VLOOKUP($H751,RoR!$E:$F,2,FALSE)</f>
        <v>2.7033333333333336E-2</v>
      </c>
      <c r="CO751" s="169"/>
      <c r="CP751" s="169"/>
      <c r="CQ751" s="169">
        <f t="shared" si="1344"/>
        <v>2.0441476892532694E-2</v>
      </c>
      <c r="CR751" s="169">
        <f t="shared" si="1345"/>
        <v>7.433422950153494E-2</v>
      </c>
      <c r="CS751" s="179">
        <f t="shared" si="1336"/>
        <v>0.90383761790000006</v>
      </c>
      <c r="CT751" s="180">
        <f t="shared" si="1337"/>
        <v>1.8969932656739068</v>
      </c>
      <c r="CU751" s="180">
        <f t="shared" si="1338"/>
        <v>5.0215782983970621E-2</v>
      </c>
      <c r="CV751" s="180">
        <f t="shared" si="1339"/>
        <v>0.655952481704143</v>
      </c>
      <c r="CW751" s="180">
        <f t="shared" si="1340"/>
        <v>6.2485378865697057E-2</v>
      </c>
      <c r="CX751" s="181">
        <f>CX750</f>
        <v>0.25989833000000001</v>
      </c>
      <c r="CY751" s="72">
        <v>0.37</v>
      </c>
      <c r="CZ751" s="182">
        <f t="shared" si="1342"/>
        <v>23.201039961367144</v>
      </c>
      <c r="DA751" s="182"/>
      <c r="DB751" s="169">
        <f t="shared" si="1346"/>
        <v>7.0717789383288251E-2</v>
      </c>
      <c r="DC751" s="181">
        <f>VLOOKUP($H751,RoR!$E:$F,2,FALSE)</f>
        <v>2.7033333333333336E-2</v>
      </c>
      <c r="DD751" s="183">
        <f>HLOOKUP($H751,'GDP-PI'!$D$8:$CR$11,3,FALSE)</f>
        <v>4.2834637353352578E-2</v>
      </c>
      <c r="DE751" s="181">
        <f>VLOOKUP(H751,'HW Dx Data'!$E:$F,2,FALSE)</f>
        <v>933.02249921662576</v>
      </c>
      <c r="DF751" s="72">
        <f t="shared" si="1356"/>
        <v>157.25</v>
      </c>
      <c r="DG751" s="69">
        <f t="shared" si="1357"/>
        <v>2.6419062301765574E-2</v>
      </c>
      <c r="DH751" s="175">
        <f>HLOOKUP(H751,'GDP-PI'!$8:$9,2,FALSE)</f>
        <v>118.49</v>
      </c>
      <c r="DI751" s="169">
        <f t="shared" si="1347"/>
        <v>4.194261824609434E-2</v>
      </c>
      <c r="EB751"/>
    </row>
    <row r="752" spans="1:132" s="160" customFormat="1" ht="21">
      <c r="G752" s="161" t="s">
        <v>144</v>
      </c>
      <c r="H752" s="162"/>
      <c r="I752" s="163"/>
      <c r="J752" s="159">
        <v>79312.495392555385</v>
      </c>
      <c r="K752" s="159">
        <f t="shared" si="1348"/>
        <v>487.92676341159876</v>
      </c>
      <c r="L752" s="164">
        <f t="shared" ref="L752" si="1369">LN(K752/K751)</f>
        <v>3.6595133967679189E-2</v>
      </c>
      <c r="M752" s="76">
        <f t="shared" si="1358"/>
        <v>0</v>
      </c>
      <c r="N752" s="166">
        <f>+N751*EXP(O752)</f>
        <v>116.60250585258555</v>
      </c>
      <c r="O752" s="114">
        <f t="shared" si="1359"/>
        <v>-1.8424626781249384E-2</v>
      </c>
      <c r="P752" s="114"/>
      <c r="Q752" s="163">
        <v>111801.95133649376</v>
      </c>
      <c r="R752" s="159">
        <f t="shared" si="1349"/>
        <v>878.60079635751481</v>
      </c>
      <c r="S752" s="165">
        <f t="shared" ref="S752" si="1370">LN(R752/R751)</f>
        <v>-1.581201464939471E-3</v>
      </c>
      <c r="T752" s="165">
        <f t="shared" si="1361"/>
        <v>0</v>
      </c>
      <c r="U752" s="166"/>
      <c r="V752" s="114"/>
      <c r="W752" s="159">
        <f t="shared" si="1330"/>
        <v>111718.17605238267</v>
      </c>
      <c r="X752" s="168"/>
      <c r="Y752" s="167">
        <v>4403.8042380473644</v>
      </c>
      <c r="Z752" s="168">
        <v>4.9948280180584691E-2</v>
      </c>
      <c r="AA752" s="76">
        <f t="shared" si="1350"/>
        <v>0</v>
      </c>
      <c r="AB752" s="166"/>
      <c r="AC752" s="114"/>
      <c r="AD752" s="163">
        <f t="shared" si="1281"/>
        <v>302832.62278143183</v>
      </c>
      <c r="AE752" s="168">
        <f t="shared" si="1362"/>
        <v>0.11316519636813498</v>
      </c>
      <c r="AF752" s="113"/>
      <c r="AG752" s="114"/>
      <c r="AH752" s="114"/>
      <c r="AI752" s="114"/>
      <c r="AJ752" s="116">
        <f t="shared" si="1363"/>
        <v>355.02065976721201</v>
      </c>
      <c r="AK752" s="114"/>
      <c r="AL752" s="115">
        <f t="shared" si="1351"/>
        <v>0.26190208526443615</v>
      </c>
      <c r="AM752" s="115">
        <f t="shared" si="1352"/>
        <v>0.36918727681854258</v>
      </c>
      <c r="AN752" s="115">
        <f t="shared" si="1353"/>
        <v>0.36891063791702122</v>
      </c>
      <c r="AO752" s="115"/>
      <c r="AP752" s="166"/>
      <c r="AQ752" s="168"/>
      <c r="AR752" s="169"/>
      <c r="AS752" s="169"/>
      <c r="AT752" s="166"/>
      <c r="AU752" s="168"/>
      <c r="AV752" s="113">
        <v>853000</v>
      </c>
      <c r="AW752" s="68">
        <f t="shared" si="1301"/>
        <v>0</v>
      </c>
      <c r="AX752" s="113"/>
      <c r="AY752" s="113"/>
      <c r="AZ752" s="113"/>
      <c r="BA752" s="113"/>
      <c r="BB752" s="171"/>
      <c r="BC752" s="172"/>
      <c r="BD752" s="173"/>
      <c r="BE752" s="115"/>
      <c r="BF752" s="174"/>
      <c r="BG752" s="174"/>
      <c r="BH752" s="166"/>
      <c r="BI752" s="113"/>
      <c r="BJ752" s="113"/>
      <c r="BK752" s="113"/>
      <c r="BL752" s="113"/>
      <c r="BM752" s="232">
        <v>0.9775124363656249</v>
      </c>
      <c r="BN752" s="61">
        <f t="shared" si="1368"/>
        <v>0</v>
      </c>
      <c r="BO752" s="113"/>
      <c r="BP752" s="113"/>
      <c r="BQ752" s="175"/>
      <c r="BR752" s="175"/>
      <c r="BS752" s="170"/>
      <c r="BT752" s="176"/>
      <c r="BU752" s="177"/>
      <c r="BV752" s="177"/>
      <c r="BW752" s="113"/>
      <c r="BX752" s="113"/>
      <c r="BY752" s="113"/>
      <c r="BZ752" s="113"/>
      <c r="CA752" s="116">
        <v>2022</v>
      </c>
      <c r="CB752" s="113"/>
      <c r="CC752" s="113"/>
      <c r="CD752" s="113"/>
      <c r="CE752" s="175"/>
      <c r="CF752" s="238">
        <v>236266</v>
      </c>
      <c r="CG752" s="113">
        <f>+CF752/DE752</f>
        <v>229.20421804212222</v>
      </c>
      <c r="CH752" s="178">
        <f>+(51-24)/(51-24*0.75)</f>
        <v>0.81818181818181823</v>
      </c>
      <c r="CI752" s="113">
        <f>+CI728*CH752+CG729*CH751+CG730*CH750+CG731*CH749+CG732*CH748+CG733*CH747+CG734*CH746+CG735*CH745+CG736*CH744+CG737*CH743+CG738*CH742+CG739*CH741+CG740*CH740+CG741*CH739+CG742*CH738+CG743*CH737+CG744*CH736+CG745*CH735+CG746*CH734+CG747*CH733+CG748*CH732+CG749*CH731+CG750*CH730+CG751*CH729+CG752*CH728</f>
        <v>4391.0298179311449</v>
      </c>
      <c r="CJ752" s="114">
        <f t="shared" ref="CJ752" si="1371">LN(CI752/CI751)</f>
        <v>4.7043295500156936E-2</v>
      </c>
      <c r="CK752" s="113"/>
      <c r="CL752" s="169">
        <f t="shared" si="1335"/>
        <v>6.5451492006704656E-3</v>
      </c>
      <c r="CM752" s="169">
        <f t="shared" si="1343"/>
        <v>9.6196974040926517E-3</v>
      </c>
      <c r="CN752" s="114"/>
      <c r="CO752" s="169"/>
      <c r="CP752" s="169"/>
      <c r="CQ752" s="69">
        <f t="shared" si="1344"/>
        <v>2.1282244204440973E-2</v>
      </c>
      <c r="CR752" s="169">
        <f t="shared" si="1345"/>
        <v>0.10114668178709289</v>
      </c>
      <c r="CS752" s="179">
        <f t="shared" si="1336"/>
        <v>0.90383761790000006</v>
      </c>
      <c r="CT752" s="180"/>
      <c r="CU752" s="180"/>
      <c r="CV752" s="180"/>
      <c r="CW752" s="180"/>
      <c r="CX752" s="181">
        <f>CX751</f>
        <v>0.25989833000000001</v>
      </c>
      <c r="CY752" s="72">
        <v>0.37</v>
      </c>
      <c r="CZ752" s="182">
        <f t="shared" si="1342"/>
        <v>26.667855549894398</v>
      </c>
      <c r="DA752" s="182"/>
      <c r="DB752" s="169">
        <f t="shared" si="1346"/>
        <v>0.13926182454440386</v>
      </c>
      <c r="DC752" s="181">
        <v>0.04</v>
      </c>
      <c r="DD752" s="183">
        <v>7.0000000000000001E-3</v>
      </c>
      <c r="DE752" s="181">
        <v>1030.81</v>
      </c>
      <c r="DF752" s="72">
        <f t="shared" si="1356"/>
        <v>162.55000000000001</v>
      </c>
      <c r="DG752" s="169">
        <f t="shared" si="1357"/>
        <v>3.3148751169364422E-2</v>
      </c>
      <c r="DH752" s="175">
        <v>127.25</v>
      </c>
      <c r="DI752" s="169">
        <f t="shared" si="1347"/>
        <v>7.1325086601983473E-2</v>
      </c>
      <c r="EB752"/>
    </row>
    <row r="753" spans="1:132" s="160" customFormat="1" ht="21">
      <c r="A753" s="160" t="s">
        <v>204</v>
      </c>
      <c r="B753" s="161" t="s">
        <v>205</v>
      </c>
      <c r="C753" s="161">
        <v>4061925</v>
      </c>
      <c r="D753" s="161" t="s">
        <v>192</v>
      </c>
      <c r="E753" s="161"/>
      <c r="F753" s="161"/>
      <c r="G753" s="161" t="s">
        <v>100</v>
      </c>
      <c r="H753" s="162">
        <v>1998</v>
      </c>
      <c r="I753" s="163"/>
      <c r="J753" s="159"/>
      <c r="K753" s="159"/>
      <c r="L753" s="159"/>
      <c r="M753" s="60"/>
      <c r="N753" s="131"/>
      <c r="O753" s="76"/>
      <c r="P753" s="76"/>
      <c r="Q753" s="165"/>
      <c r="R753" s="165"/>
      <c r="S753" s="165"/>
      <c r="T753" s="159"/>
      <c r="U753" s="165"/>
      <c r="V753" s="165"/>
      <c r="W753" s="159"/>
      <c r="X753" s="163"/>
      <c r="Y753" s="167">
        <v>298.67225683281367</v>
      </c>
      <c r="Z753" s="168"/>
      <c r="AA753" s="78"/>
      <c r="AB753" s="168"/>
      <c r="AC753" s="168"/>
      <c r="AD753" s="163">
        <f t="shared" si="1281"/>
        <v>0</v>
      </c>
      <c r="AE753" s="163"/>
      <c r="AF753" s="163"/>
      <c r="AG753" s="114"/>
      <c r="AH753" s="114"/>
      <c r="AI753" s="114"/>
      <c r="AJ753" s="166">
        <f>+(AJ750+AJ751+AJ752)/3</f>
        <v>327.59103707541902</v>
      </c>
      <c r="AK753" s="168"/>
      <c r="AL753" s="115"/>
      <c r="AM753" s="115"/>
      <c r="AN753" s="115"/>
      <c r="AO753" s="115"/>
      <c r="AP753" s="115"/>
      <c r="AQ753" s="168">
        <f>AVERAGE(AQ762:AQ776)</f>
        <v>1.8326878943339345E-2</v>
      </c>
      <c r="AR753" s="79"/>
      <c r="AS753" s="115"/>
      <c r="AT753" s="115"/>
      <c r="AU753" s="115"/>
      <c r="AV753" s="113">
        <v>79589</v>
      </c>
      <c r="AW753" s="68"/>
      <c r="AX753" s="114"/>
      <c r="AY753" s="114"/>
      <c r="AZ753" s="116"/>
      <c r="BA753" s="116"/>
      <c r="BB753" s="166"/>
      <c r="BC753" s="166"/>
      <c r="BD753" s="166"/>
      <c r="BE753" s="166"/>
      <c r="BF753" s="166"/>
      <c r="BG753" s="166"/>
      <c r="BH753" s="166"/>
      <c r="BI753" s="113">
        <f>INDEX('Gross Dx Plant'!$E$7:$AD$91,MATCH($C753,'Gross Dx Plant'!$D$7:$D$91,0),MATCH(Calculation!$G753,'Gross Dx Plant'!$E$5:$AD$5,0))</f>
        <v>103355</v>
      </c>
      <c r="BJ753" s="113">
        <f>INDEX('Gross Gen Plant'!$E$7:$AD$91,MATCH($C753,'Gross Gen Plant'!$D$7:$D$91,0),MATCH(Calculation!$G753,'Gross Gen Plant'!$E$5:$AD$5,0))</f>
        <v>2828</v>
      </c>
      <c r="BK753" s="113">
        <f>INDEX('Dist. Plant Gas Additions'!$F$7:$AE$91,MATCH($C753,'Dist. Plant Gas Additions'!$D$7:$D$91,0),MATCH(Calculation!$G753,'Dist. Plant Gas Additions'!$F$5:$AE$5,0))</f>
        <v>6740</v>
      </c>
      <c r="BL753" s="113">
        <f>INDEX('Gen. Plant Additions'!$F$7:$AE$91,MATCH($C753,'Gen. Plant Additions'!$D$7:$D$91,0),MATCH(Calculation!$G753,'Gen. Plant Additions'!$F$5:$AE$5,0))</f>
        <v>61</v>
      </c>
      <c r="BM753" s="231">
        <f>+(BW753/(BW753+BX753))</f>
        <v>0.97336673478805458</v>
      </c>
      <c r="BN753" s="61">
        <f t="shared" si="1368"/>
        <v>59.375370822071332</v>
      </c>
      <c r="BO753" s="113">
        <f>INDEX('Dist Plant Depreciation'!$E$7:$AD$94,MATCH($C753,'Dist Plant Depreciation'!$D$7:$D$94,0),MATCH(Calculation!$G753,'Dist Plant Depreciation'!$E$5:$AD$5,0))</f>
        <v>44476</v>
      </c>
      <c r="BP753" s="113">
        <f>INDEX('Gen. Plant Depreciation'!$E$7:$AD$94,MATCH($C753,'Gen. Plant Depreciation'!$D$7:$D$94,0),MATCH(Calculation!$G753,'Gen. Plant Depreciation'!$E$5:$AD$5,0))</f>
        <v>1459</v>
      </c>
      <c r="BQ753" s="113"/>
      <c r="BR753" s="113"/>
      <c r="BS753" s="113"/>
      <c r="BT753" s="113"/>
      <c r="BU753" s="113"/>
      <c r="BV753" s="113"/>
      <c r="BW753" s="113">
        <f>INDEX('Gross Dx Plant'!$E$7:$AD$91,MATCH($C753,'Gross Dx Plant'!$D$7:$D$91,0),MATCH(Calculation!$G753,'Gross Dx Plant'!$E$5:$AD$5,0))</f>
        <v>103355</v>
      </c>
      <c r="BX753" s="113">
        <f>INDEX('Gross Gen Plant'!$E$7:$AD$91,MATCH($C753,'Gross Gen Plant'!$D$7:$D$91,0),MATCH(Calculation!$G753,'Gross Gen Plant'!$E$5:$AD$5,0))</f>
        <v>2828</v>
      </c>
      <c r="BY753" s="113">
        <f t="shared" si="1325"/>
        <v>60248</v>
      </c>
      <c r="BZ753" s="113"/>
      <c r="CA753" s="116">
        <v>1998</v>
      </c>
      <c r="CB753" s="113">
        <f>BI753+BJ753</f>
        <v>106183</v>
      </c>
      <c r="CC753" s="113">
        <f>44476+1459</f>
        <v>45935</v>
      </c>
      <c r="CD753" s="113">
        <f>+CB753-CC753</f>
        <v>60248</v>
      </c>
      <c r="CE753" s="113">
        <f>CD753/$BV$3</f>
        <v>298.67225683281367</v>
      </c>
      <c r="CF753" s="175"/>
      <c r="CG753" s="175"/>
      <c r="CH753" s="178">
        <v>1</v>
      </c>
      <c r="CI753" s="113">
        <f>+CE753</f>
        <v>298.67225683281367</v>
      </c>
      <c r="CJ753" s="114"/>
      <c r="CK753" s="114"/>
      <c r="CL753" s="169"/>
      <c r="CM753" s="169"/>
      <c r="CN753" s="114" t="e">
        <f>VLOOKUP($H753,RoR!$E:$F,2,FALSE)</f>
        <v>#N/A</v>
      </c>
      <c r="CO753" s="169">
        <v>1.1028127770464469E-2</v>
      </c>
      <c r="CP753" s="169"/>
      <c r="CQ753" s="69"/>
      <c r="CR753" s="169"/>
      <c r="CS753" s="179">
        <f t="shared" si="1336"/>
        <v>0.90383761790000006</v>
      </c>
      <c r="CT753" s="180"/>
      <c r="CU753" s="180"/>
      <c r="CV753" s="180"/>
      <c r="CW753" s="180"/>
      <c r="CX753" s="181">
        <f>CX752</f>
        <v>0.25989833000000001</v>
      </c>
      <c r="CY753" s="72">
        <v>0.37</v>
      </c>
      <c r="CZ753" s="182">
        <f t="shared" si="1342"/>
        <v>0</v>
      </c>
      <c r="DA753" s="66"/>
      <c r="DB753" s="69"/>
      <c r="DC753" s="111" t="e">
        <f>VLOOKUP($H753,RoR!$E:$F,2,FALSE)</f>
        <v>#N/A</v>
      </c>
      <c r="DD753" s="216">
        <f>HLOOKUP($H753,'GDP-PI'!$D$8:$CQ$11,3,FALSE)</f>
        <v>1.1028127770464469E-2</v>
      </c>
      <c r="DE753" s="111">
        <f>VLOOKUP(H753,'HW Dx Data'!$E:$F,2,FALSE)</f>
        <v>329.24564746449528</v>
      </c>
      <c r="DF753" s="72" t="e">
        <f t="shared" si="1356"/>
        <v>#N/A</v>
      </c>
      <c r="DG753" s="169" t="e">
        <f t="shared" si="1357"/>
        <v>#N/A</v>
      </c>
      <c r="DH753" s="66">
        <f>HLOOKUP(H753,'GDP-PI'!$8:$9,2,FALSE)</f>
        <v>75.266999999999996</v>
      </c>
      <c r="DI753"/>
      <c r="EB753"/>
    </row>
    <row r="754" spans="1:132" s="160" customFormat="1" ht="21">
      <c r="A754" s="160" t="s">
        <v>204</v>
      </c>
      <c r="B754" s="161" t="s">
        <v>205</v>
      </c>
      <c r="C754" s="161">
        <v>4061925</v>
      </c>
      <c r="D754" s="161" t="s">
        <v>192</v>
      </c>
      <c r="E754" s="161"/>
      <c r="F754" s="161"/>
      <c r="G754" s="161" t="s">
        <v>106</v>
      </c>
      <c r="H754" s="162">
        <v>1999</v>
      </c>
      <c r="I754" s="163"/>
      <c r="J754" s="159"/>
      <c r="K754" s="163"/>
      <c r="L754" s="163"/>
      <c r="M754" s="60"/>
      <c r="N754" s="152"/>
      <c r="O754" s="60"/>
      <c r="P754" s="59"/>
      <c r="Q754" s="169"/>
      <c r="R754" s="169"/>
      <c r="S754" s="169"/>
      <c r="T754" s="187"/>
      <c r="U754" s="169"/>
      <c r="V754" s="169"/>
      <c r="W754" s="159">
        <f t="shared" ref="W754:W777" si="1372">+CI753*CZ754</f>
        <v>0</v>
      </c>
      <c r="X754" s="163"/>
      <c r="Y754" s="167">
        <v>316.19773253467815</v>
      </c>
      <c r="Z754" s="168">
        <v>5.7020912559276063E-2</v>
      </c>
      <c r="AA754" s="78"/>
      <c r="AB754" s="168"/>
      <c r="AC754" s="168"/>
      <c r="AD754" s="163">
        <f t="shared" si="1281"/>
        <v>0</v>
      </c>
      <c r="AE754" s="168"/>
      <c r="AF754" s="163"/>
      <c r="AG754" s="114"/>
      <c r="AH754" s="114"/>
      <c r="AI754" s="114"/>
      <c r="AJ754" s="167"/>
      <c r="AK754" s="168"/>
      <c r="AL754" s="115"/>
      <c r="AM754" s="115"/>
      <c r="AN754" s="115"/>
      <c r="AO754" s="115"/>
      <c r="AP754" s="115"/>
      <c r="AQ754" s="168"/>
      <c r="AR754" s="79"/>
      <c r="AS754" s="115"/>
      <c r="AT754" s="115"/>
      <c r="AU754" s="115"/>
      <c r="AV754" s="113">
        <v>83092</v>
      </c>
      <c r="AW754" s="68">
        <f t="shared" ref="AW754:AW777" si="1373">LN(AV754/AV753)</f>
        <v>4.3072535326124518E-2</v>
      </c>
      <c r="AX754" s="114"/>
      <c r="AY754" s="114"/>
      <c r="AZ754" s="116"/>
      <c r="BA754" s="116"/>
      <c r="BB754" s="166"/>
      <c r="BC754" s="166"/>
      <c r="BD754" s="166"/>
      <c r="BE754" s="166"/>
      <c r="BF754" s="166"/>
      <c r="BG754" s="166"/>
      <c r="BH754" s="166"/>
      <c r="BI754" s="113"/>
      <c r="BJ754" s="113"/>
      <c r="BK754" s="113">
        <f>INDEX('Dist. Plant Gas Additions'!$F$7:$AE$91,MATCH($C754,'Dist. Plant Gas Additions'!$D$7:$D$91,0),MATCH(Calculation!$G754,'Dist. Plant Gas Additions'!$F$5:$AE$5,0))</f>
        <v>6291</v>
      </c>
      <c r="BL754" s="113">
        <f>INDEX('Gen. Plant Additions'!$F$7:$AE$91,MATCH($C754,'Gen. Plant Additions'!$D$7:$D$91,0),MATCH(Calculation!$G754,'Gen. Plant Additions'!$F$5:$AE$5,0))</f>
        <v>84</v>
      </c>
      <c r="BM754" s="231">
        <f t="shared" ref="BM754:BM775" si="1374">+(BW754/(BW754+BX754))</f>
        <v>0.97706017769144993</v>
      </c>
      <c r="BN754" s="61">
        <f t="shared" si="1368"/>
        <v>82.073054926081795</v>
      </c>
      <c r="BO754" s="113">
        <f>INDEX('Dist Plant Depreciation'!$E$7:$AD$94,MATCH($C754,'Dist Plant Depreciation'!$D$7:$D$94,0),MATCH(Calculation!$G754,'Dist Plant Depreciation'!$E$5:$AD$5,0))</f>
        <v>47841</v>
      </c>
      <c r="BP754" s="113">
        <f>INDEX('Gen. Plant Depreciation'!$E$7:$AD$94,MATCH($C754,'Gen. Plant Depreciation'!$D$7:$D$94,0),MATCH(Calculation!$G754,'Gen. Plant Depreciation'!$E$5:$AD$5,0))</f>
        <v>1248</v>
      </c>
      <c r="BQ754" s="113"/>
      <c r="BR754" s="113"/>
      <c r="BS754" s="113"/>
      <c r="BT754" s="113"/>
      <c r="BU754" s="113"/>
      <c r="BV754" s="113"/>
      <c r="BW754" s="113">
        <f>INDEX('Gross Dx Plant'!$E$7:$AD$91,MATCH($C754,'Gross Dx Plant'!$D$7:$D$91,0),MATCH(Calculation!$G754,'Gross Dx Plant'!$E$5:$AD$5,0))</f>
        <v>108653</v>
      </c>
      <c r="BX754" s="113">
        <f>INDEX('Gross Gen Plant'!$E$7:$AD$91,MATCH($C754,'Gross Gen Plant'!$D$7:$D$91,0),MATCH(Calculation!$G754,'Gross Gen Plant'!$E$5:$AD$5,0))</f>
        <v>2551</v>
      </c>
      <c r="BY754" s="113">
        <f t="shared" si="1325"/>
        <v>62115</v>
      </c>
      <c r="BZ754" s="113"/>
      <c r="CA754" s="116">
        <v>1999</v>
      </c>
      <c r="CB754" s="113"/>
      <c r="CC754" s="113"/>
      <c r="CD754" s="113"/>
      <c r="CE754" s="175"/>
      <c r="CF754" s="113">
        <f t="shared" ref="CF754:CF776" si="1375">+BL754+BK754</f>
        <v>6375</v>
      </c>
      <c r="CG754" s="113">
        <f t="shared" ref="CG754:CG776" si="1376">+CF754/$DE754</f>
        <v>19.011407327898382</v>
      </c>
      <c r="CH754" s="178">
        <v>0.99502487562189057</v>
      </c>
      <c r="CI754" s="61">
        <f>+CI753*CH754+CG754</f>
        <v>316.19773253467815</v>
      </c>
      <c r="CJ754" s="114">
        <f t="shared" ref="CJ754:CJ775" si="1377">LN(CI754/CI753)</f>
        <v>5.7020912559276063E-2</v>
      </c>
      <c r="CK754" s="114"/>
      <c r="CL754" s="169">
        <f t="shared" ref="CL754:CL777" si="1378">+(CI753-CI754+CG754)/CI753</f>
        <v>4.9751243781094657E-3</v>
      </c>
      <c r="CM754" s="169"/>
      <c r="CN754" s="114">
        <f>VLOOKUP($H754,RoR!$E:$F,2,FALSE)</f>
        <v>7.0416666666666669E-2</v>
      </c>
      <c r="CO754" s="169">
        <v>1.4335631817396832E-2</v>
      </c>
      <c r="CP754" s="169">
        <f>+CN754-CO754</f>
        <v>5.6081034849269837E-2</v>
      </c>
      <c r="CQ754" s="169"/>
      <c r="CR754" s="169"/>
      <c r="CS754" s="179">
        <f t="shared" ref="CS754:CS777" si="1379">1-CX754*CY754</f>
        <v>0.85150049999999999</v>
      </c>
      <c r="CT754" s="180">
        <f t="shared" ref="CT754:CT776" si="1380">2/(DC754*39)</f>
        <v>0.72826581702321336</v>
      </c>
      <c r="CU754" s="180">
        <f t="shared" ref="CU754:CU776" si="1381">+(DC754*40-(1+DC754))/(DC754*40)</f>
        <v>0.61997041420118348</v>
      </c>
      <c r="CV754" s="180">
        <f t="shared" ref="CV754:CV776" si="1382">+(1-(1/(1+DC754)^40))</f>
        <v>0.93425155319585029</v>
      </c>
      <c r="CW754" s="180">
        <f t="shared" ref="CW754:CW776" si="1383">+CV754*CU754*CT754</f>
        <v>0.42181762214141483</v>
      </c>
      <c r="CX754" s="181">
        <f>INDEX('State Tax Lookup'!$D$7:$Z$91,MATCH(Calculation!$C754,'State Tax Lookup'!$B$7:$B$91,0),MATCH($H754,'State Tax Lookup'!$D$6:$Z$6,0))</f>
        <v>0.40134999999999998</v>
      </c>
      <c r="CY754" s="72">
        <v>0.37</v>
      </c>
      <c r="CZ754" s="70"/>
      <c r="DA754" s="70"/>
      <c r="DB754" s="69"/>
      <c r="DC754" s="111">
        <f>VLOOKUP($H754,RoR!$E:$F,2,FALSE)</f>
        <v>7.0416666666666669E-2</v>
      </c>
      <c r="DD754" s="216">
        <f>HLOOKUP($H754,'GDP-PI'!$D$8:$CQ$11,3,FALSE)</f>
        <v>1.4335631817396832E-2</v>
      </c>
      <c r="DE754" s="111">
        <f>VLOOKUP(H754,'HW Dx Data'!$E:$F,2,FALSE)</f>
        <v>335.32499146683239</v>
      </c>
      <c r="DF754" s="66"/>
      <c r="DG754" s="69"/>
      <c r="DH754" s="66">
        <f>HLOOKUP(H754,'GDP-PI'!$8:$9,2,FALSE)</f>
        <v>76.346000000000004</v>
      </c>
      <c r="DI754"/>
      <c r="EB754"/>
    </row>
    <row r="755" spans="1:132" s="160" customFormat="1" ht="21">
      <c r="A755" s="160" t="s">
        <v>204</v>
      </c>
      <c r="B755" s="161" t="s">
        <v>205</v>
      </c>
      <c r="C755" s="161">
        <v>4061925</v>
      </c>
      <c r="D755" s="161" t="s">
        <v>192</v>
      </c>
      <c r="E755" s="161"/>
      <c r="F755" s="161"/>
      <c r="G755" s="161" t="s">
        <v>107</v>
      </c>
      <c r="H755" s="162">
        <v>2000</v>
      </c>
      <c r="I755" s="163"/>
      <c r="J755" s="159"/>
      <c r="K755" s="159"/>
      <c r="L755" s="159"/>
      <c r="M755" s="60"/>
      <c r="N755" s="152"/>
      <c r="O755" s="60"/>
      <c r="P755" s="60"/>
      <c r="Q755" s="159"/>
      <c r="R755" s="159"/>
      <c r="S755" s="159"/>
      <c r="T755" s="159"/>
      <c r="U755" s="159"/>
      <c r="V755" s="159"/>
      <c r="W755" s="159">
        <f t="shared" si="1372"/>
        <v>0</v>
      </c>
      <c r="X755" s="163"/>
      <c r="Y755" s="167">
        <v>336.0506179818413</v>
      </c>
      <c r="Z755" s="168">
        <v>6.0894043607212657E-2</v>
      </c>
      <c r="AA755" s="78"/>
      <c r="AB755" s="168"/>
      <c r="AC755" s="168"/>
      <c r="AD755" s="163">
        <f t="shared" si="1281"/>
        <v>0</v>
      </c>
      <c r="AE755" s="168"/>
      <c r="AF755" s="163"/>
      <c r="AG755" s="163"/>
      <c r="AH755" s="163"/>
      <c r="AI755" s="163"/>
      <c r="AJ755" s="167"/>
      <c r="AK755" s="168"/>
      <c r="AL755" s="115"/>
      <c r="AM755" s="115"/>
      <c r="AN755" s="115"/>
      <c r="AO755" s="115"/>
      <c r="AP755" s="115"/>
      <c r="AQ755" s="168"/>
      <c r="AR755" s="79"/>
      <c r="AS755" s="115"/>
      <c r="AT755" s="115"/>
      <c r="AU755" s="115"/>
      <c r="AV755" s="113">
        <v>86807</v>
      </c>
      <c r="AW755" s="68">
        <f t="shared" si="1373"/>
        <v>4.3738835903510465E-2</v>
      </c>
      <c r="AX755" s="114"/>
      <c r="AY755" s="114"/>
      <c r="AZ755" s="116"/>
      <c r="BA755" s="116"/>
      <c r="BB755" s="166"/>
      <c r="BC755" s="166"/>
      <c r="BD755" s="166"/>
      <c r="BE755" s="166"/>
      <c r="BF755" s="166"/>
      <c r="BG755" s="166"/>
      <c r="BH755" s="166"/>
      <c r="BI755" s="113"/>
      <c r="BJ755" s="113"/>
      <c r="BK755" s="113">
        <f>INDEX('Dist. Plant Gas Additions'!$F$7:$AE$91,MATCH($C755,'Dist. Plant Gas Additions'!$D$7:$D$91,0),MATCH(Calculation!$G755,'Dist. Plant Gas Additions'!$F$5:$AE$5,0))</f>
        <v>7313</v>
      </c>
      <c r="BL755" s="113">
        <f>INDEX('Gen. Plant Additions'!$F$7:$AE$91,MATCH($C755,'Gen. Plant Additions'!$D$7:$D$91,0),MATCH(Calculation!$G755,'Gen. Plant Additions'!$F$5:$AE$5,0))</f>
        <v>130</v>
      </c>
      <c r="BM755" s="231">
        <f t="shared" si="1374"/>
        <v>0.97735247749656728</v>
      </c>
      <c r="BN755" s="61">
        <f t="shared" si="1368"/>
        <v>127.05582207455375</v>
      </c>
      <c r="BO755" s="113">
        <f>INDEX('Dist Plant Depreciation'!$E$7:$AD$94,MATCH($C755,'Dist Plant Depreciation'!$D$7:$D$94,0),MATCH(Calculation!$G755,'Dist Plant Depreciation'!$E$5:$AD$5,0))</f>
        <v>51310</v>
      </c>
      <c r="BP755" s="113">
        <f>INDEX('Gen. Plant Depreciation'!$E$7:$AD$94,MATCH($C755,'Gen. Plant Depreciation'!$D$7:$D$94,0),MATCH(Calculation!$G755,'Gen. Plant Depreciation'!$E$5:$AD$5,0))</f>
        <v>1349</v>
      </c>
      <c r="BQ755" s="113"/>
      <c r="BR755" s="113"/>
      <c r="BS755" s="113"/>
      <c r="BT755" s="113"/>
      <c r="BU755" s="113"/>
      <c r="BV755" s="113"/>
      <c r="BW755" s="113">
        <f>INDEX('Gross Dx Plant'!$E$7:$AD$91,MATCH($C755,'Gross Dx Plant'!$D$7:$D$91,0),MATCH(Calculation!$G755,'Gross Dx Plant'!$E$5:$AD$5,0))</f>
        <v>115310</v>
      </c>
      <c r="BX755" s="113">
        <f>INDEX('Gross Gen Plant'!$E$7:$AD$91,MATCH($C755,'Gross Gen Plant'!$D$7:$D$91,0),MATCH(Calculation!$G755,'Gross Gen Plant'!$E$5:$AD$5,0))</f>
        <v>2672</v>
      </c>
      <c r="BY755" s="113">
        <f t="shared" si="1325"/>
        <v>65323</v>
      </c>
      <c r="BZ755" s="113"/>
      <c r="CA755" s="116">
        <v>2000</v>
      </c>
      <c r="CB755" s="113"/>
      <c r="CC755" s="113"/>
      <c r="CD755" s="113"/>
      <c r="CE755" s="175"/>
      <c r="CF755" s="113">
        <f t="shared" si="1375"/>
        <v>7443</v>
      </c>
      <c r="CG755" s="113">
        <f t="shared" si="1376"/>
        <v>21.478429420348142</v>
      </c>
      <c r="CH755" s="178">
        <v>0.98989898989898994</v>
      </c>
      <c r="CI755" s="61">
        <f>+CI753*CH755+CG754*CH754+CG755</f>
        <v>336.0506179818413</v>
      </c>
      <c r="CJ755" s="114">
        <f t="shared" si="1377"/>
        <v>6.0894043607212657E-2</v>
      </c>
      <c r="CK755" s="114"/>
      <c r="CL755" s="169">
        <f t="shared" si="1378"/>
        <v>5.1409096458549675E-3</v>
      </c>
      <c r="CM755" s="169"/>
      <c r="CN755" s="114">
        <f>VLOOKUP($H755,RoR!$E:$F,2,FALSE)</f>
        <v>7.6225000000000001E-2</v>
      </c>
      <c r="CO755" s="169">
        <v>2.2568307442433211E-2</v>
      </c>
      <c r="CP755" s="169">
        <f t="shared" ref="CP755:CP775" si="1384">+CN755-CO755</f>
        <v>5.365669255756679E-2</v>
      </c>
      <c r="CQ755" s="169"/>
      <c r="CR755" s="169"/>
      <c r="CS755" s="179">
        <f t="shared" si="1379"/>
        <v>0.85150049999999999</v>
      </c>
      <c r="CT755" s="180">
        <f t="shared" si="1380"/>
        <v>0.67277207323124022</v>
      </c>
      <c r="CU755" s="180">
        <f t="shared" si="1381"/>
        <v>0.6470236142997704</v>
      </c>
      <c r="CV755" s="180">
        <f t="shared" si="1382"/>
        <v>0.94704866037543145</v>
      </c>
      <c r="CW755" s="180">
        <f t="shared" si="1383"/>
        <v>0.41224973107878493</v>
      </c>
      <c r="CX755" s="181">
        <f>INDEX('State Tax Lookup'!$D$7:$Z$91,MATCH(Calculation!$C755,'State Tax Lookup'!$B$7:$B$91,0),MATCH($H755,'State Tax Lookup'!$D$6:$Z$6,0))</f>
        <v>0.40134999999999998</v>
      </c>
      <c r="CY755" s="72">
        <v>0.37</v>
      </c>
      <c r="CZ755" s="70"/>
      <c r="DA755" s="70"/>
      <c r="DB755" s="69"/>
      <c r="DC755" s="111">
        <f>VLOOKUP($H755,RoR!$E:$F,2,FALSE)</f>
        <v>7.6225000000000001E-2</v>
      </c>
      <c r="DD755" s="216">
        <f>HLOOKUP($H755,'GDP-PI'!$D$8:$CQ$11,3,FALSE)</f>
        <v>2.2568307442433211E-2</v>
      </c>
      <c r="DE755" s="111">
        <f>VLOOKUP(H755,'HW Dx Data'!$E:$F,2,FALSE)</f>
        <v>346.53371782150339</v>
      </c>
      <c r="DF755" s="66"/>
      <c r="DG755" s="69"/>
      <c r="DH755" s="66">
        <f>HLOOKUP(H755,'GDP-PI'!$8:$9,2,FALSE)</f>
        <v>78.069000000000003</v>
      </c>
      <c r="DI755"/>
      <c r="EB755"/>
    </row>
    <row r="756" spans="1:132" s="160" customFormat="1" ht="21">
      <c r="A756" s="160" t="s">
        <v>204</v>
      </c>
      <c r="B756" s="161" t="s">
        <v>205</v>
      </c>
      <c r="C756" s="161">
        <v>4061925</v>
      </c>
      <c r="D756" s="161" t="s">
        <v>192</v>
      </c>
      <c r="E756" s="161"/>
      <c r="F756" s="161"/>
      <c r="G756" s="161" t="s">
        <v>111</v>
      </c>
      <c r="H756" s="162">
        <v>2001</v>
      </c>
      <c r="I756" s="163"/>
      <c r="J756" s="159"/>
      <c r="K756" s="159"/>
      <c r="L756" s="159"/>
      <c r="M756" s="60"/>
      <c r="N756" s="152"/>
      <c r="O756" s="60"/>
      <c r="P756" s="60"/>
      <c r="Q756" s="159"/>
      <c r="R756" s="159"/>
      <c r="S756" s="159"/>
      <c r="T756" s="159"/>
      <c r="U756" s="159"/>
      <c r="V756" s="159"/>
      <c r="W756" s="159">
        <f t="shared" si="1372"/>
        <v>4358.7764790700285</v>
      </c>
      <c r="X756" s="163"/>
      <c r="Y756" s="167">
        <v>345.36400726237986</v>
      </c>
      <c r="Z756" s="168">
        <v>2.7337156953250844E-2</v>
      </c>
      <c r="AA756" s="78"/>
      <c r="AB756" s="168"/>
      <c r="AC756" s="168"/>
      <c r="AD756" s="163">
        <f t="shared" si="1281"/>
        <v>4358.7764790700285</v>
      </c>
      <c r="AE756" s="168"/>
      <c r="AF756" s="163"/>
      <c r="AG756" s="163"/>
      <c r="AH756" s="163"/>
      <c r="AI756" s="163"/>
      <c r="AJ756" s="167"/>
      <c r="AK756" s="168"/>
      <c r="AL756" s="115"/>
      <c r="AM756" s="115"/>
      <c r="AN756" s="115"/>
      <c r="AO756" s="115"/>
      <c r="AP756" s="115"/>
      <c r="AQ756" s="168"/>
      <c r="AR756" s="79"/>
      <c r="AS756" s="115"/>
      <c r="AT756" s="115"/>
      <c r="AU756" s="115"/>
      <c r="AV756" s="113">
        <v>88512</v>
      </c>
      <c r="AW756" s="68">
        <f t="shared" si="1373"/>
        <v>1.9450872466344325E-2</v>
      </c>
      <c r="AX756" s="114"/>
      <c r="AY756" s="114"/>
      <c r="AZ756" s="116"/>
      <c r="BA756" s="116"/>
      <c r="BB756" s="166"/>
      <c r="BC756" s="166"/>
      <c r="BD756" s="166"/>
      <c r="BE756" s="166"/>
      <c r="BF756" s="166"/>
      <c r="BG756" s="166"/>
      <c r="BH756" s="166"/>
      <c r="BI756" s="113"/>
      <c r="BJ756" s="113"/>
      <c r="BK756" s="113">
        <f>INDEX('Dist. Plant Gas Additions'!$F$7:$AE$91,MATCH($C756,'Dist. Plant Gas Additions'!$D$7:$D$91,0),MATCH(Calculation!$G756,'Dist. Plant Gas Additions'!$F$5:$AE$5,0))</f>
        <v>3838</v>
      </c>
      <c r="BL756" s="113">
        <f>INDEX('Gen. Plant Additions'!$F$7:$AE$91,MATCH($C756,'Gen. Plant Additions'!$D$7:$D$91,0),MATCH(Calculation!$G756,'Gen. Plant Additions'!$F$5:$AE$5,0))</f>
        <v>46</v>
      </c>
      <c r="BM756" s="231">
        <f t="shared" si="1374"/>
        <v>0.97786053700323916</v>
      </c>
      <c r="BN756" s="61">
        <f t="shared" si="1368"/>
        <v>44.981584702149</v>
      </c>
      <c r="BO756" s="113">
        <f>INDEX('Dist Plant Depreciation'!$E$7:$AD$94,MATCH($C756,'Dist Plant Depreciation'!$D$7:$D$94,0),MATCH(Calculation!$G756,'Dist Plant Depreciation'!$E$5:$AD$5,0))</f>
        <v>55568</v>
      </c>
      <c r="BP756" s="113">
        <f>INDEX('Gen. Plant Depreciation'!$E$7:$AD$94,MATCH($C756,'Gen. Plant Depreciation'!$D$7:$D$94,0),MATCH(Calculation!$G756,'Gen. Plant Depreciation'!$E$5:$AD$5,0))</f>
        <v>1445</v>
      </c>
      <c r="BQ756" s="113"/>
      <c r="BR756" s="113"/>
      <c r="BS756" s="113"/>
      <c r="BT756" s="113"/>
      <c r="BU756" s="113"/>
      <c r="BV756" s="113"/>
      <c r="BW756" s="113">
        <f>INDEX('Gross Dx Plant'!$E$7:$AD$91,MATCH($C756,'Gross Dx Plant'!$D$7:$D$91,0),MATCH(Calculation!$G756,'Gross Dx Plant'!$E$5:$AD$5,0))</f>
        <v>118945</v>
      </c>
      <c r="BX756" s="113">
        <f>INDEX('Gross Gen Plant'!$E$7:$AD$91,MATCH($C756,'Gross Gen Plant'!$D$7:$D$91,0),MATCH(Calculation!$G756,'Gross Gen Plant'!$E$5:$AD$5,0))</f>
        <v>2693</v>
      </c>
      <c r="BY756" s="113">
        <f t="shared" si="1325"/>
        <v>64625</v>
      </c>
      <c r="BZ756" s="113"/>
      <c r="CA756" s="116">
        <v>2001</v>
      </c>
      <c r="CB756" s="113"/>
      <c r="CC756" s="113"/>
      <c r="CD756" s="113"/>
      <c r="CE756" s="175"/>
      <c r="CF756" s="113">
        <f t="shared" si="1375"/>
        <v>3884</v>
      </c>
      <c r="CG756" s="113">
        <f t="shared" si="1376"/>
        <v>10.988905896200997</v>
      </c>
      <c r="CH756" s="178">
        <v>0.98461538461538467</v>
      </c>
      <c r="CI756" s="61">
        <f>+CI753*CH756+CG754*CH755+CG755*CH753+CG756</f>
        <v>345.36400726237986</v>
      </c>
      <c r="CJ756" s="114">
        <f t="shared" si="1377"/>
        <v>2.7337156953250844E-2</v>
      </c>
      <c r="CK756" s="114"/>
      <c r="CL756" s="169">
        <f t="shared" si="1378"/>
        <v>4.9859054737788813E-3</v>
      </c>
      <c r="CM756" s="169">
        <f>+(CL756+CL755+CL754)/3</f>
        <v>5.0339798325811048E-3</v>
      </c>
      <c r="CN756" s="114">
        <f>VLOOKUP($H756,RoR!$E:$F,2,FALSE)</f>
        <v>7.0824999999999999E-2</v>
      </c>
      <c r="CO756" s="169">
        <v>2.2454495382290052E-2</v>
      </c>
      <c r="CP756" s="169">
        <f t="shared" si="1384"/>
        <v>4.8370504617709947E-2</v>
      </c>
      <c r="CQ756" s="169">
        <f>+$CP$2-CM756</f>
        <v>2.5867961775952519E-2</v>
      </c>
      <c r="CR756" s="169">
        <f>+((DE754/DE753-1)+(DE755/DE754-1)+(DE756/DE755-1))/3</f>
        <v>2.3947275901631187E-2</v>
      </c>
      <c r="CS756" s="179">
        <f t="shared" si="1379"/>
        <v>0.85150049999999999</v>
      </c>
      <c r="CT756" s="180">
        <f t="shared" si="1380"/>
        <v>0.72406708481540816</v>
      </c>
      <c r="CU756" s="180">
        <f t="shared" si="1381"/>
        <v>0.62201729615248857</v>
      </c>
      <c r="CV756" s="180">
        <f t="shared" si="1382"/>
        <v>0.9352469954311422</v>
      </c>
      <c r="CW756" s="180">
        <f t="shared" si="1383"/>
        <v>0.42121864641655071</v>
      </c>
      <c r="CX756" s="181">
        <f>INDEX('State Tax Lookup'!$D$7:$Z$91,MATCH(Calculation!$C756,'State Tax Lookup'!$B$7:$B$91,0),MATCH($H756,'State Tax Lookup'!$D$6:$Z$6,0))</f>
        <v>0.40134999999999998</v>
      </c>
      <c r="CY756" s="72">
        <v>0.37</v>
      </c>
      <c r="CZ756" s="70">
        <f t="shared" ref="CZ756:CZ777" si="1385">+(DE756*CQ756-CR756)*CS756/(1-CX756)</f>
        <v>12.970595040850537</v>
      </c>
      <c r="DA756" s="70"/>
      <c r="DB756" s="69"/>
      <c r="DC756" s="111">
        <f>VLOOKUP($H756,RoR!$E:$F,2,FALSE)</f>
        <v>7.0824999999999999E-2</v>
      </c>
      <c r="DD756" s="216">
        <f>HLOOKUP($H756,'GDP-PI'!$D$8:$CQ$11,3,FALSE)</f>
        <v>2.2454495382290052E-2</v>
      </c>
      <c r="DE756" s="111">
        <f>VLOOKUP(H756,'HW Dx Data'!$E:$F,2,FALSE)</f>
        <v>353.44738017483138</v>
      </c>
      <c r="DF756" s="66"/>
      <c r="DG756" s="69"/>
      <c r="DH756" s="66">
        <f>HLOOKUP(H756,'GDP-PI'!$8:$9,2,FALSE)</f>
        <v>79.822000000000003</v>
      </c>
      <c r="DI756"/>
      <c r="EB756"/>
    </row>
    <row r="757" spans="1:132" s="160" customFormat="1" ht="21">
      <c r="A757" s="160" t="s">
        <v>204</v>
      </c>
      <c r="B757" s="161" t="s">
        <v>205</v>
      </c>
      <c r="C757" s="161">
        <v>4061925</v>
      </c>
      <c r="D757" s="161" t="s">
        <v>192</v>
      </c>
      <c r="E757" s="161"/>
      <c r="F757" s="161"/>
      <c r="G757" s="161" t="s">
        <v>113</v>
      </c>
      <c r="H757" s="162">
        <v>2002</v>
      </c>
      <c r="I757" s="163"/>
      <c r="J757" s="159"/>
      <c r="K757" s="159"/>
      <c r="L757" s="159"/>
      <c r="M757" s="60"/>
      <c r="N757" s="152"/>
      <c r="O757" s="60"/>
      <c r="P757" s="60"/>
      <c r="Q757" s="159"/>
      <c r="R757" s="159"/>
      <c r="S757" s="159"/>
      <c r="T757" s="159"/>
      <c r="U757" s="159"/>
      <c r="V757" s="159"/>
      <c r="W757" s="159">
        <f t="shared" si="1372"/>
        <v>4531.1565048954853</v>
      </c>
      <c r="X757" s="163"/>
      <c r="Y757" s="167">
        <v>356.98022984878327</v>
      </c>
      <c r="Z757" s="168">
        <v>3.3081447345801658E-2</v>
      </c>
      <c r="AA757" s="78"/>
      <c r="AB757" s="168"/>
      <c r="AC757" s="168"/>
      <c r="AD757" s="163">
        <f t="shared" si="1281"/>
        <v>4531.1565048954853</v>
      </c>
      <c r="AE757" s="168"/>
      <c r="AF757" s="163"/>
      <c r="AG757" s="163"/>
      <c r="AH757" s="163"/>
      <c r="AI757" s="163"/>
      <c r="AJ757" s="167"/>
      <c r="AK757" s="168"/>
      <c r="AL757" s="115"/>
      <c r="AM757" s="115"/>
      <c r="AN757" s="115"/>
      <c r="AO757" s="115"/>
      <c r="AP757" s="115"/>
      <c r="AQ757" s="168"/>
      <c r="AR757" s="79"/>
      <c r="AS757" s="115"/>
      <c r="AT757" s="115"/>
      <c r="AU757" s="115"/>
      <c r="AV757" s="113">
        <v>91173</v>
      </c>
      <c r="AW757" s="68">
        <f t="shared" si="1373"/>
        <v>2.9620664574182172E-2</v>
      </c>
      <c r="AX757" s="114"/>
      <c r="AY757" s="114"/>
      <c r="AZ757" s="116"/>
      <c r="BA757" s="116"/>
      <c r="BB757" s="166"/>
      <c r="BC757" s="166"/>
      <c r="BD757" s="166"/>
      <c r="BE757" s="166"/>
      <c r="BF757" s="166"/>
      <c r="BG757" s="166"/>
      <c r="BH757" s="166"/>
      <c r="BI757" s="113"/>
      <c r="BJ757" s="113"/>
      <c r="BK757" s="113">
        <f>INDEX('Dist. Plant Gas Additions'!$F$7:$AE$91,MATCH($C757,'Dist. Plant Gas Additions'!$D$7:$D$91,0),MATCH(Calculation!$G757,'Dist. Plant Gas Additions'!$F$5:$AE$5,0))</f>
        <v>4884</v>
      </c>
      <c r="BL757" s="113">
        <f>INDEX('Gen. Plant Additions'!$F$7:$AE$91,MATCH($C757,'Gen. Plant Additions'!$D$7:$D$91,0),MATCH(Calculation!$G757,'Gen. Plant Additions'!$F$5:$AE$5,0))</f>
        <v>36</v>
      </c>
      <c r="BM757" s="231">
        <f t="shared" si="1374"/>
        <v>0.97853978436572087</v>
      </c>
      <c r="BN757" s="61">
        <f t="shared" si="1368"/>
        <v>35.227432237165949</v>
      </c>
      <c r="BO757" s="113">
        <f>INDEX('Dist Plant Depreciation'!$E$7:$AD$94,MATCH($C757,'Dist Plant Depreciation'!$D$7:$D$94,0),MATCH(Calculation!$G757,'Dist Plant Depreciation'!$E$5:$AD$5,0))</f>
        <v>59655</v>
      </c>
      <c r="BP757" s="113">
        <f>INDEX('Gen. Plant Depreciation'!$E$7:$AD$94,MATCH($C757,'Gen. Plant Depreciation'!$D$7:$D$94,0),MATCH(Calculation!$G757,'Gen. Plant Depreciation'!$E$5:$AD$5,0))</f>
        <v>1535</v>
      </c>
      <c r="BQ757" s="113"/>
      <c r="BR757" s="113"/>
      <c r="BS757" s="113"/>
      <c r="BT757" s="113"/>
      <c r="BU757" s="113"/>
      <c r="BV757" s="113"/>
      <c r="BW757" s="113">
        <f>INDEX('Gross Dx Plant'!$E$7:$AD$91,MATCH($C757,'Gross Dx Plant'!$D$7:$D$91,0),MATCH(Calculation!$G757,'Gross Dx Plant'!$E$5:$AD$5,0))</f>
        <v>123251</v>
      </c>
      <c r="BX757" s="113">
        <f>INDEX('Gross Gen Plant'!$E$7:$AD$91,MATCH($C757,'Gross Gen Plant'!$D$7:$D$91,0),MATCH(Calculation!$G757,'Gross Gen Plant'!$E$5:$AD$5,0))</f>
        <v>2703</v>
      </c>
      <c r="BY757" s="113">
        <f t="shared" si="1325"/>
        <v>64764</v>
      </c>
      <c r="BZ757" s="113"/>
      <c r="CA757" s="116">
        <v>2002</v>
      </c>
      <c r="CB757" s="113"/>
      <c r="CC757" s="113"/>
      <c r="CD757" s="113"/>
      <c r="CE757" s="175"/>
      <c r="CF757" s="113">
        <f t="shared" si="1375"/>
        <v>4920</v>
      </c>
      <c r="CG757" s="113">
        <f t="shared" si="1376"/>
        <v>13.615677251340799</v>
      </c>
      <c r="CH757" s="178">
        <v>0.97916666666666663</v>
      </c>
      <c r="CI757" s="61">
        <f>+CI753*CH757+CG754*CH756+CG755*CH755+CG756*CH754+CG757</f>
        <v>356.98022984878327</v>
      </c>
      <c r="CJ757" s="114">
        <f t="shared" si="1377"/>
        <v>3.3081447345801658E-2</v>
      </c>
      <c r="CK757" s="114"/>
      <c r="CL757" s="169">
        <f t="shared" si="1378"/>
        <v>5.7894123964642432E-3</v>
      </c>
      <c r="CM757" s="169">
        <f t="shared" ref="CM757:CM777" si="1386">+(CL757+CL756+CL755)/3</f>
        <v>5.3054091720326976E-3</v>
      </c>
      <c r="CN757" s="114">
        <f>VLOOKUP($H757,RoR!$E:$F,2,FALSE)</f>
        <v>6.4916666666666664E-2</v>
      </c>
      <c r="CO757" s="169">
        <v>1.5246423291824351E-2</v>
      </c>
      <c r="CP757" s="169">
        <f t="shared" si="1384"/>
        <v>4.9670243374842313E-2</v>
      </c>
      <c r="CQ757" s="169">
        <f t="shared" ref="CQ757:CQ777" si="1387">+$CP$2-CM757</f>
        <v>2.5596532436500927E-2</v>
      </c>
      <c r="CR757" s="169">
        <f t="shared" ref="CR757:CR776" si="1388">+((DE755/DE754-1)+(DE756/DE755-1)+(DE757/DE756-1))/3</f>
        <v>2.5243621214759093E-2</v>
      </c>
      <c r="CS757" s="179">
        <f t="shared" si="1379"/>
        <v>0.85150049999999999</v>
      </c>
      <c r="CT757" s="180">
        <f t="shared" si="1380"/>
        <v>0.78996741384417901</v>
      </c>
      <c r="CU757" s="180">
        <f t="shared" si="1381"/>
        <v>0.58989088575096271</v>
      </c>
      <c r="CV757" s="180">
        <f t="shared" si="1382"/>
        <v>0.91920675783645744</v>
      </c>
      <c r="CW757" s="180">
        <f t="shared" si="1383"/>
        <v>0.42834536472275586</v>
      </c>
      <c r="CX757" s="181">
        <f>INDEX('State Tax Lookup'!$D$7:$Z$91,MATCH(Calculation!$C757,'State Tax Lookup'!$B$7:$B$91,0),MATCH($H757,'State Tax Lookup'!$D$6:$Z$6,0))</f>
        <v>0.40134999999999998</v>
      </c>
      <c r="CY757" s="72">
        <v>0.37</v>
      </c>
      <c r="CZ757" s="70">
        <f t="shared" si="1385"/>
        <v>13.119944202677368</v>
      </c>
      <c r="DA757" s="70"/>
      <c r="DB757" s="69">
        <f>LN(CZ757/CZ756)</f>
        <v>1.144865514021523E-2</v>
      </c>
      <c r="DC757" s="111">
        <f>VLOOKUP($H757,RoR!$E:$F,2,FALSE)</f>
        <v>6.4916666666666664E-2</v>
      </c>
      <c r="DD757" s="216">
        <f>HLOOKUP($H757,'GDP-PI'!$D$8:$CQ$11,3,FALSE)</f>
        <v>1.5246423291824351E-2</v>
      </c>
      <c r="DE757" s="111">
        <f>VLOOKUP(H757,'HW Dx Data'!$E:$F,2,FALSE)</f>
        <v>361.34816573413599</v>
      </c>
      <c r="DF757" s="66"/>
      <c r="DG757" s="69"/>
      <c r="DH757" s="66">
        <f>HLOOKUP(H757,'GDP-PI'!$8:$9,2,FALSE)</f>
        <v>81.039000000000001</v>
      </c>
      <c r="DI757" s="69">
        <f>LN(DH757/DH756)</f>
        <v>1.513136459537477E-2</v>
      </c>
      <c r="EB757"/>
    </row>
    <row r="758" spans="1:132" s="160" customFormat="1" ht="21">
      <c r="A758" s="160" t="s">
        <v>204</v>
      </c>
      <c r="B758" s="161" t="s">
        <v>205</v>
      </c>
      <c r="C758" s="161">
        <v>4061925</v>
      </c>
      <c r="D758" s="161" t="s">
        <v>192</v>
      </c>
      <c r="E758" s="161"/>
      <c r="F758" s="161"/>
      <c r="G758" s="161" t="s">
        <v>114</v>
      </c>
      <c r="H758" s="162">
        <v>2003</v>
      </c>
      <c r="I758" s="163"/>
      <c r="J758" s="159"/>
      <c r="K758" s="159"/>
      <c r="L758" s="159"/>
      <c r="M758" s="76"/>
      <c r="N758" s="152"/>
      <c r="O758" s="76"/>
      <c r="P758" s="76"/>
      <c r="Q758" s="159"/>
      <c r="R758" s="159"/>
      <c r="S758" s="159"/>
      <c r="T758" s="159"/>
      <c r="U758" s="159"/>
      <c r="V758" s="159"/>
      <c r="W758" s="159">
        <f t="shared" si="1372"/>
        <v>4755.6201113054803</v>
      </c>
      <c r="X758" s="163"/>
      <c r="Y758" s="167">
        <v>376.477624866582</v>
      </c>
      <c r="Z758" s="168">
        <v>5.3178214497377585E-2</v>
      </c>
      <c r="AA758" s="78"/>
      <c r="AB758" s="168"/>
      <c r="AC758" s="168"/>
      <c r="AD758" s="163">
        <f t="shared" si="1281"/>
        <v>4755.6201113054803</v>
      </c>
      <c r="AE758" s="168"/>
      <c r="AF758" s="163"/>
      <c r="AG758" s="163"/>
      <c r="AH758" s="163"/>
      <c r="AI758" s="163"/>
      <c r="AJ758" s="167"/>
      <c r="AK758" s="168"/>
      <c r="AL758" s="115"/>
      <c r="AM758" s="115"/>
      <c r="AN758" s="115"/>
      <c r="AO758" s="115"/>
      <c r="AP758" s="115"/>
      <c r="AQ758" s="168"/>
      <c r="AR758" s="79"/>
      <c r="AS758" s="115"/>
      <c r="AT758" s="115"/>
      <c r="AU758" s="115"/>
      <c r="AV758" s="113">
        <v>93446</v>
      </c>
      <c r="AW758" s="68">
        <f t="shared" si="1373"/>
        <v>2.4624928730685541E-2</v>
      </c>
      <c r="AX758" s="114"/>
      <c r="AY758" s="114"/>
      <c r="AZ758" s="116"/>
      <c r="BA758" s="116"/>
      <c r="BB758" s="166"/>
      <c r="BC758" s="166"/>
      <c r="BD758" s="166"/>
      <c r="BE758" s="166"/>
      <c r="BF758" s="166"/>
      <c r="BG758" s="166"/>
      <c r="BH758" s="166"/>
      <c r="BI758" s="113"/>
      <c r="BJ758" s="113"/>
      <c r="BK758" s="113">
        <f>INDEX('Dist. Plant Gas Additions'!$F$7:$AE$91,MATCH($C758,'Dist. Plant Gas Additions'!$D$7:$D$91,0),MATCH(Calculation!$G758,'Dist. Plant Gas Additions'!$F$5:$AE$5,0))</f>
        <v>7292</v>
      </c>
      <c r="BL758" s="113">
        <f>INDEX('Gen. Plant Additions'!$F$7:$AE$91,MATCH($C758,'Gen. Plant Additions'!$D$7:$D$91,0),MATCH(Calculation!$G758,'Gen. Plant Additions'!$F$5:$AE$5,0))</f>
        <v>653</v>
      </c>
      <c r="BM758" s="231">
        <f t="shared" si="1374"/>
        <v>0.9771780638261014</v>
      </c>
      <c r="BN758" s="61">
        <f>+BM758*BL758</f>
        <v>638.09727567844425</v>
      </c>
      <c r="BO758" s="113">
        <f>INDEX('Dist Plant Depreciation'!$E$7:$AD$94,MATCH($C758,'Dist Plant Depreciation'!$D$7:$D$94,0),MATCH(Calculation!$G758,'Dist Plant Depreciation'!$E$5:$AD$5,0))</f>
        <v>63727</v>
      </c>
      <c r="BP758" s="113">
        <f>INDEX('Gen. Plant Depreciation'!$E$7:$AD$94,MATCH($C758,'Gen. Plant Depreciation'!$D$7:$D$94,0),MATCH(Calculation!$G758,'Gen. Plant Depreciation'!$E$5:$AD$5,0))</f>
        <v>1348</v>
      </c>
      <c r="BQ758" s="113"/>
      <c r="BR758" s="113"/>
      <c r="BS758" s="113"/>
      <c r="BT758" s="113"/>
      <c r="BU758" s="113"/>
      <c r="BV758" s="113"/>
      <c r="BW758" s="113">
        <f>INDEX('Gross Dx Plant'!$E$7:$AD$91,MATCH($C758,'Gross Dx Plant'!$D$7:$D$91,0),MATCH(Calculation!$G758,'Gross Dx Plant'!$E$5:$AD$5,0))</f>
        <v>129737</v>
      </c>
      <c r="BX758" s="113">
        <f>INDEX('Gross Gen Plant'!$E$7:$AD$91,MATCH($C758,'Gross Gen Plant'!$D$7:$D$91,0),MATCH(Calculation!$G758,'Gross Gen Plant'!$E$5:$AD$5,0))</f>
        <v>3030</v>
      </c>
      <c r="BY758" s="113">
        <f t="shared" si="1325"/>
        <v>67692</v>
      </c>
      <c r="BZ758" s="113"/>
      <c r="CA758" s="116">
        <v>2003</v>
      </c>
      <c r="CB758" s="113"/>
      <c r="CC758" s="113"/>
      <c r="CD758" s="113"/>
      <c r="CE758" s="175"/>
      <c r="CF758" s="113">
        <f t="shared" si="1375"/>
        <v>7945</v>
      </c>
      <c r="CG758" s="113">
        <f t="shared" si="1376"/>
        <v>21.517577692844313</v>
      </c>
      <c r="CH758" s="178">
        <v>0.97354497354497349</v>
      </c>
      <c r="CI758" s="61">
        <f>+CI753*CH758+CG754*CH757+CG755*CH756+CG756*CH755+CG757*CH754+CG758</f>
        <v>376.477624866582</v>
      </c>
      <c r="CJ758" s="114">
        <f t="shared" si="1377"/>
        <v>5.3178214497377585E-2</v>
      </c>
      <c r="CK758" s="114"/>
      <c r="CL758" s="169">
        <f t="shared" si="1378"/>
        <v>5.6590883923777063E-3</v>
      </c>
      <c r="CM758" s="169">
        <f t="shared" si="1386"/>
        <v>5.4781354208736114E-3</v>
      </c>
      <c r="CN758" s="114">
        <f>VLOOKUP($H758,RoR!$E:$F,2,FALSE)</f>
        <v>5.6666666666666671E-2</v>
      </c>
      <c r="CO758" s="169">
        <v>1.8855119140166909E-2</v>
      </c>
      <c r="CP758" s="169">
        <f t="shared" si="1384"/>
        <v>3.7811547526499761E-2</v>
      </c>
      <c r="CQ758" s="169">
        <f t="shared" si="1387"/>
        <v>2.5423806187660013E-2</v>
      </c>
      <c r="CR758" s="169">
        <f t="shared" si="1388"/>
        <v>2.1375012817671957E-2</v>
      </c>
      <c r="CS758" s="179">
        <f t="shared" si="1379"/>
        <v>0.85150049999999999</v>
      </c>
      <c r="CT758" s="180">
        <f t="shared" si="1380"/>
        <v>0.90497737556561086</v>
      </c>
      <c r="CU758" s="180">
        <f t="shared" si="1381"/>
        <v>0.5338235294117647</v>
      </c>
      <c r="CV758" s="180">
        <f t="shared" si="1382"/>
        <v>0.88972433127405692</v>
      </c>
      <c r="CW758" s="180">
        <f t="shared" si="1383"/>
        <v>0.42982423775949252</v>
      </c>
      <c r="CX758" s="181">
        <f>INDEX('State Tax Lookup'!$D$7:$Z$91,MATCH(Calculation!$C758,'State Tax Lookup'!$B$7:$B$91,0),MATCH($H758,'State Tax Lookup'!$D$6:$Z$6,0))</f>
        <v>0.40134999999999998</v>
      </c>
      <c r="CY758" s="72">
        <v>0.37</v>
      </c>
      <c r="CZ758" s="70">
        <f t="shared" si="1385"/>
        <v>13.321802479985964</v>
      </c>
      <c r="DA758" s="70"/>
      <c r="DB758" s="69">
        <f t="shared" ref="DB758:DB776" si="1389">LN(CZ758/CZ757)</f>
        <v>1.5268446615219774E-2</v>
      </c>
      <c r="DC758" s="111">
        <f>VLOOKUP($H758,RoR!$E:$F,2,FALSE)</f>
        <v>5.6666666666666671E-2</v>
      </c>
      <c r="DD758" s="216">
        <f>HLOOKUP($H758,'GDP-PI'!$D$8:$CQ$11,3,FALSE)</f>
        <v>1.8855119140166909E-2</v>
      </c>
      <c r="DE758" s="111">
        <f>VLOOKUP(H758,'HW Dx Data'!$E:$F,2,FALSE)</f>
        <v>369.23301095560191</v>
      </c>
      <c r="DF758" s="66"/>
      <c r="DG758" s="69"/>
      <c r="DH758" s="66">
        <f>HLOOKUP(H758,'GDP-PI'!$8:$9,2,FALSE)</f>
        <v>82.566999999999993</v>
      </c>
      <c r="DI758" s="69">
        <f t="shared" ref="DI758:DI777" si="1390">LN(DH758/DH757)</f>
        <v>1.8679564681853753E-2</v>
      </c>
      <c r="EB758"/>
    </row>
    <row r="759" spans="1:132" s="160" customFormat="1" ht="21">
      <c r="A759" s="160" t="s">
        <v>204</v>
      </c>
      <c r="B759" s="161" t="s">
        <v>205</v>
      </c>
      <c r="C759" s="161">
        <v>4061925</v>
      </c>
      <c r="D759" s="161" t="s">
        <v>192</v>
      </c>
      <c r="E759" s="161"/>
      <c r="F759" s="161"/>
      <c r="G759" s="161" t="s">
        <v>115</v>
      </c>
      <c r="H759" s="162">
        <v>2004</v>
      </c>
      <c r="I759" s="163"/>
      <c r="J759" s="159">
        <f>IFERROR(INDEX('Labor Expenditures'!$F$7:$X$91,MATCH($C759,'Labor Expenditures'!$D$7:$D$91,0),MATCH($G759,'Labor Expenditures'!$F$5:$X$5,0)),"NA")</f>
        <v>5054.4588218450399</v>
      </c>
      <c r="K759" s="159">
        <f t="shared" ref="K759:K777" si="1391">+J759/DF759</f>
        <v>53.571370660784737</v>
      </c>
      <c r="L759" s="165"/>
      <c r="M759" s="76"/>
      <c r="N759" s="152"/>
      <c r="O759" s="76"/>
      <c r="P759" s="76"/>
      <c r="Q759" s="159">
        <f>IFERROR(INDEX('Non-Labor Expenditures'!$F$7:$AB$91,MATCH($C759,'Non-Labor Expenditures'!$D$7:$D$91,0),MATCH($G759,'Non-Labor Expenditures'!$F$5:$AB$5,0)),"NA")</f>
        <v>7319.8004167187655</v>
      </c>
      <c r="R759" s="159">
        <f t="shared" ref="R759:R777" si="1392">+Q759/DH759</f>
        <v>86.340800876627952</v>
      </c>
      <c r="S759" s="159"/>
      <c r="T759" s="159"/>
      <c r="U759" s="159"/>
      <c r="V759" s="159"/>
      <c r="W759" s="159">
        <f t="shared" si="1372"/>
        <v>5556.4453993912821</v>
      </c>
      <c r="X759" s="163"/>
      <c r="Y759" s="167">
        <v>395.09849256081048</v>
      </c>
      <c r="Z759" s="168">
        <v>4.8276465905498805E-2</v>
      </c>
      <c r="AA759" s="76">
        <f t="shared" ref="AA759:AA777" si="1393">+Z759*$AR759</f>
        <v>0</v>
      </c>
      <c r="AB759" s="168"/>
      <c r="AC759" s="168"/>
      <c r="AD759" s="163">
        <f t="shared" si="1281"/>
        <v>17930.704637955088</v>
      </c>
      <c r="AE759" s="168"/>
      <c r="AF759" s="163"/>
      <c r="AG759" s="163"/>
      <c r="AH759" s="163"/>
      <c r="AI759" s="163"/>
      <c r="AJ759" s="167"/>
      <c r="AK759" s="168"/>
      <c r="AL759" s="115">
        <f t="shared" ref="AL759:AL777" si="1394">+J759/AD759</f>
        <v>0.28188846584121063</v>
      </c>
      <c r="AM759" s="115">
        <f t="shared" ref="AM759:AM777" si="1395">+Q759/AD759</f>
        <v>0.40822714804104621</v>
      </c>
      <c r="AN759" s="115">
        <f t="shared" ref="AN759:AN777" si="1396">+W759/AD759</f>
        <v>0.3098843861177431</v>
      </c>
      <c r="AO759" s="115"/>
      <c r="AP759" s="115"/>
      <c r="AQ759" s="168"/>
      <c r="AR759" s="79"/>
      <c r="AS759" s="115"/>
      <c r="AT759" s="115"/>
      <c r="AU759" s="115"/>
      <c r="AV759" s="113">
        <v>95920</v>
      </c>
      <c r="AW759" s="68">
        <f t="shared" si="1373"/>
        <v>2.6130781372098056E-2</v>
      </c>
      <c r="AX759" s="114"/>
      <c r="AY759" s="114"/>
      <c r="AZ759" s="116"/>
      <c r="BA759" s="116"/>
      <c r="BB759" s="166"/>
      <c r="BC759" s="166"/>
      <c r="BD759" s="166"/>
      <c r="BE759" s="166"/>
      <c r="BF759" s="166"/>
      <c r="BG759" s="166"/>
      <c r="BH759" s="166"/>
      <c r="BI759" s="113"/>
      <c r="BJ759" s="113"/>
      <c r="BK759" s="113">
        <f>INDEX('Dist. Plant Gas Additions'!$F$7:$AE$91,MATCH($C759,'Dist. Plant Gas Additions'!$D$7:$D$91,0),MATCH(Calculation!$G759,'Dist. Plant Gas Additions'!$F$5:$AE$5,0))</f>
        <v>8263</v>
      </c>
      <c r="BL759" s="113">
        <f>INDEX('Gen. Plant Additions'!$F$7:$AE$91,MATCH($C759,'Gen. Plant Additions'!$D$7:$D$91,0),MATCH(Calculation!$G759,'Gen. Plant Additions'!$F$5:$AE$5,0))</f>
        <v>372</v>
      </c>
      <c r="BM759" s="231">
        <f t="shared" si="1374"/>
        <v>0.97607933005149095</v>
      </c>
      <c r="BN759" s="61">
        <f t="shared" ref="BN759:BN775" si="1397">+BM759*BL759</f>
        <v>363.10151077915464</v>
      </c>
      <c r="BO759" s="113">
        <f>INDEX('Dist Plant Depreciation'!$E$7:$AD$94,MATCH($C759,'Dist Plant Depreciation'!$D$7:$D$94,0),MATCH(Calculation!$G759,'Dist Plant Depreciation'!$E$5:$AD$5,0))</f>
        <v>69053</v>
      </c>
      <c r="BP759" s="113">
        <f>INDEX('Gen. Plant Depreciation'!$E$7:$AD$94,MATCH($C759,'Gen. Plant Depreciation'!$D$7:$D$94,0),MATCH(Calculation!$G759,'Gen. Plant Depreciation'!$E$5:$AD$5,0))</f>
        <v>1533</v>
      </c>
      <c r="BQ759" s="113"/>
      <c r="BR759" s="113"/>
      <c r="BS759" s="113"/>
      <c r="BT759" s="113"/>
      <c r="BU759" s="113"/>
      <c r="BV759" s="113"/>
      <c r="BW759" s="113">
        <f>INDEX('Gross Dx Plant'!$E$7:$AD$91,MATCH($C759,'Gross Dx Plant'!$D$7:$D$91,0),MATCH(Calculation!$G759,'Gross Dx Plant'!$E$5:$AD$5,0))</f>
        <v>138002</v>
      </c>
      <c r="BX759" s="113">
        <f>INDEX('Gross Gen Plant'!$E$7:$AD$91,MATCH($C759,'Gross Gen Plant'!$D$7:$D$91,0),MATCH(Calculation!$G759,'Gross Gen Plant'!$E$5:$AD$5,0))</f>
        <v>3382</v>
      </c>
      <c r="BY759" s="113">
        <f t="shared" si="1325"/>
        <v>70798</v>
      </c>
      <c r="BZ759" s="113"/>
      <c r="CA759" s="116">
        <v>2004</v>
      </c>
      <c r="CB759" s="113"/>
      <c r="CC759" s="113"/>
      <c r="CD759" s="113"/>
      <c r="CE759" s="175"/>
      <c r="CF759" s="113">
        <f t="shared" si="1375"/>
        <v>8635</v>
      </c>
      <c r="CG759" s="113">
        <f t="shared" si="1376"/>
        <v>20.812886442348518</v>
      </c>
      <c r="CH759" s="178">
        <v>0.967741935483871</v>
      </c>
      <c r="CI759" s="61">
        <f>+CI753*CH759+CG754*CH758+CG755*CH757+CG756*CH756+CG757*CH755+CG758*CH754+CG759</f>
        <v>395.09849256081048</v>
      </c>
      <c r="CJ759" s="114">
        <f t="shared" si="1377"/>
        <v>4.8276465905498805E-2</v>
      </c>
      <c r="CK759" s="114"/>
      <c r="CL759" s="169">
        <f t="shared" si="1378"/>
        <v>5.8224409721476973E-3</v>
      </c>
      <c r="CM759" s="169">
        <f t="shared" si="1386"/>
        <v>5.7569805869965495E-3</v>
      </c>
      <c r="CN759" s="114">
        <f>VLOOKUP($H759,RoR!$E:$F,2,FALSE)</f>
        <v>5.6283333333333331E-2</v>
      </c>
      <c r="CO759" s="169">
        <v>2.6778252812867276E-2</v>
      </c>
      <c r="CP759" s="169">
        <f t="shared" si="1384"/>
        <v>2.9505080520466055E-2</v>
      </c>
      <c r="CQ759" s="169">
        <f t="shared" si="1387"/>
        <v>2.5144961021537075E-2</v>
      </c>
      <c r="CR759" s="169">
        <f t="shared" si="1388"/>
        <v>5.5940039414565046E-2</v>
      </c>
      <c r="CS759" s="179">
        <f t="shared" si="1379"/>
        <v>0.85150049999999999</v>
      </c>
      <c r="CT759" s="180">
        <f t="shared" si="1380"/>
        <v>0.91114097628755619</v>
      </c>
      <c r="CU759" s="180">
        <f t="shared" si="1381"/>
        <v>0.53081877405981637</v>
      </c>
      <c r="CV759" s="180">
        <f t="shared" si="1382"/>
        <v>0.88811215519385678</v>
      </c>
      <c r="CW759" s="180">
        <f t="shared" si="1383"/>
        <v>0.42953609753547711</v>
      </c>
      <c r="CX759" s="181">
        <f>INDEX('State Tax Lookup'!$D$7:$Z$91,MATCH(Calculation!$C759,'State Tax Lookup'!$B$7:$B$91,0),MATCH($H759,'State Tax Lookup'!$D$6:$Z$6,0))</f>
        <v>0.40134999999999998</v>
      </c>
      <c r="CY759" s="72">
        <v>0.37</v>
      </c>
      <c r="CZ759" s="70">
        <f t="shared" si="1385"/>
        <v>14.759032230296297</v>
      </c>
      <c r="DA759" s="70"/>
      <c r="DB759" s="69">
        <f t="shared" si="1389"/>
        <v>0.10245327269221026</v>
      </c>
      <c r="DC759" s="111">
        <f>VLOOKUP($H759,RoR!$E:$F,2,FALSE)</f>
        <v>5.6283333333333331E-2</v>
      </c>
      <c r="DD759" s="216">
        <f>HLOOKUP($H759,'GDP-PI'!$D$8:$CQ$11,3,FALSE)</f>
        <v>2.6778252812867276E-2</v>
      </c>
      <c r="DE759" s="111">
        <f>VLOOKUP(H759,'HW Dx Data'!$E:$F,2,FALSE)</f>
        <v>414.88719135228365</v>
      </c>
      <c r="DF759" s="72">
        <f>VLOOKUP(G759,EG$8:EH$27,2,FALSE)</f>
        <v>94.35</v>
      </c>
      <c r="DG759" s="69"/>
      <c r="DH759" s="66">
        <f>HLOOKUP(H759,'GDP-PI'!$8:$9,2,FALSE)</f>
        <v>84.778000000000006</v>
      </c>
      <c r="DI759" s="69">
        <f t="shared" si="1390"/>
        <v>2.6425990216022755E-2</v>
      </c>
      <c r="EB759"/>
    </row>
    <row r="760" spans="1:132" s="160" customFormat="1" ht="21">
      <c r="A760" s="160" t="s">
        <v>204</v>
      </c>
      <c r="B760" s="161" t="s">
        <v>205</v>
      </c>
      <c r="C760" s="161">
        <v>4061925</v>
      </c>
      <c r="D760" s="161" t="s">
        <v>192</v>
      </c>
      <c r="E760" s="161"/>
      <c r="F760" s="161"/>
      <c r="G760" s="161" t="s">
        <v>116</v>
      </c>
      <c r="H760" s="162">
        <v>2005</v>
      </c>
      <c r="I760" s="163"/>
      <c r="J760" s="159">
        <f>IFERROR(INDEX('Labor Expenditures'!$F$7:$X$91,MATCH($C760,'Labor Expenditures'!$D$7:$D$91,0),MATCH($G760,'Labor Expenditures'!$F$5:$X$5,0)),"NA")</f>
        <v>5019.49758134064</v>
      </c>
      <c r="K760" s="159">
        <f t="shared" si="1391"/>
        <v>50.587025259164932</v>
      </c>
      <c r="L760" s="165">
        <f t="shared" ref="L760:L776" si="1398">LN(K760/K759)</f>
        <v>-5.7319670306138874E-2</v>
      </c>
      <c r="M760" s="76"/>
      <c r="N760" s="62">
        <v>100</v>
      </c>
      <c r="O760" s="77"/>
      <c r="P760" s="77"/>
      <c r="Q760" s="159">
        <f>IFERROR(INDEX('Non-Labor Expenditures'!$F$7:$AB$91,MATCH($C760,'Non-Labor Expenditures'!$D$7:$D$91,0),MATCH($G760,'Non-Labor Expenditures'!$F$5:$AB$5,0)),"NA")</f>
        <v>7269.170010609394</v>
      </c>
      <c r="R760" s="159">
        <f t="shared" si="1392"/>
        <v>83.164620803933261</v>
      </c>
      <c r="S760" s="165">
        <f>LN(R760/R759)</f>
        <v>-3.7480239262302539E-2</v>
      </c>
      <c r="T760" s="165"/>
      <c r="U760" s="165"/>
      <c r="V760" s="165"/>
      <c r="W760" s="159">
        <f t="shared" si="1372"/>
        <v>6560.8352088003776</v>
      </c>
      <c r="X760" s="163"/>
      <c r="Y760" s="167">
        <v>411.84490701818453</v>
      </c>
      <c r="Z760" s="168">
        <v>4.1511757127995701E-2</v>
      </c>
      <c r="AA760" s="76">
        <f t="shared" si="1393"/>
        <v>0</v>
      </c>
      <c r="AB760" s="168"/>
      <c r="AC760" s="168"/>
      <c r="AD760" s="163">
        <f t="shared" si="1281"/>
        <v>18849.502800750412</v>
      </c>
      <c r="AE760" s="168">
        <f>LN(AD760/AD759)</f>
        <v>4.9971950699296254E-2</v>
      </c>
      <c r="AF760" s="163"/>
      <c r="AG760" s="163"/>
      <c r="AH760" s="163"/>
      <c r="AI760" s="163"/>
      <c r="AJ760" s="116"/>
      <c r="AK760" s="114"/>
      <c r="AL760" s="115">
        <f t="shared" si="1394"/>
        <v>0.26629336775614104</v>
      </c>
      <c r="AM760" s="115">
        <f t="shared" si="1395"/>
        <v>0.38564253325132819</v>
      </c>
      <c r="AN760" s="115">
        <f t="shared" si="1396"/>
        <v>0.34806409899253077</v>
      </c>
      <c r="AO760" s="115">
        <f t="shared" ref="AO760:AO776" si="1399">+(((AL760+AL759)/2)*L760+((AM759+AM760)/2)*S760+((AN759+AN760)/2)*Z760)</f>
        <v>-1.6931714925455272E-2</v>
      </c>
      <c r="AP760" s="166">
        <v>100</v>
      </c>
      <c r="AQ760" s="168"/>
      <c r="AR760" s="16"/>
      <c r="AS760" s="115"/>
      <c r="AT760" s="115"/>
      <c r="AU760" s="115"/>
      <c r="AV760" s="113">
        <v>97866</v>
      </c>
      <c r="AW760" s="68">
        <f t="shared" si="1373"/>
        <v>2.0084685340689551E-2</v>
      </c>
      <c r="AX760" s="114"/>
      <c r="AY760" s="114"/>
      <c r="AZ760" s="116"/>
      <c r="BA760" s="116"/>
      <c r="BB760" s="166"/>
      <c r="BC760" s="166"/>
      <c r="BD760" s="166"/>
      <c r="BE760" s="166"/>
      <c r="BF760" s="166"/>
      <c r="BG760" s="166"/>
      <c r="BH760" s="166"/>
      <c r="BI760" s="113"/>
      <c r="BJ760" s="113"/>
      <c r="BK760" s="113">
        <f>INDEX('Dist. Plant Gas Additions'!$F$7:$AE$91,MATCH($C760,'Dist. Plant Gas Additions'!$D$7:$D$91,0),MATCH(Calculation!$G760,'Dist. Plant Gas Additions'!$F$5:$AE$5,0))</f>
        <v>8735</v>
      </c>
      <c r="BL760" s="113">
        <f>INDEX('Gen. Plant Additions'!$F$7:$AE$91,MATCH($C760,'Gen. Plant Additions'!$D$7:$D$91,0),MATCH(Calculation!$G760,'Gen. Plant Additions'!$F$5:$AE$5,0))</f>
        <v>233</v>
      </c>
      <c r="BM760" s="231">
        <f t="shared" si="1374"/>
        <v>0.97590843604930366</v>
      </c>
      <c r="BN760" s="61">
        <f t="shared" si="1397"/>
        <v>227.38666559948774</v>
      </c>
      <c r="BO760" s="113">
        <f>INDEX('Dist Plant Depreciation'!$E$7:$AD$94,MATCH($C760,'Dist Plant Depreciation'!$D$7:$D$94,0),MATCH(Calculation!$G760,'Dist Plant Depreciation'!$E$5:$AD$5,0))</f>
        <v>74054</v>
      </c>
      <c r="BP760" s="113">
        <f>INDEX('Gen. Plant Depreciation'!$E$7:$AD$94,MATCH($C760,'Gen. Plant Depreciation'!$D$7:$D$94,0),MATCH(Calculation!$G760,'Gen. Plant Depreciation'!$E$5:$AD$5,0))</f>
        <v>1738</v>
      </c>
      <c r="BQ760" s="113"/>
      <c r="BR760" s="113"/>
      <c r="BS760" s="113"/>
      <c r="BT760" s="113"/>
      <c r="BU760" s="113"/>
      <c r="BV760" s="113"/>
      <c r="BW760" s="113">
        <f>INDEX('Gross Dx Plant'!$E$7:$AD$91,MATCH($C760,'Gross Dx Plant'!$D$7:$D$91,0),MATCH(Calculation!$G760,'Gross Dx Plant'!$E$5:$AD$5,0))</f>
        <v>146316</v>
      </c>
      <c r="BX760" s="113">
        <f>INDEX('Gross Gen Plant'!$E$7:$AD$91,MATCH($C760,'Gross Gen Plant'!$D$7:$D$91,0),MATCH(Calculation!$G760,'Gross Gen Plant'!$E$5:$AD$5,0))</f>
        <v>3612</v>
      </c>
      <c r="BY760" s="113">
        <f t="shared" si="1325"/>
        <v>74136</v>
      </c>
      <c r="BZ760" s="113"/>
      <c r="CA760" s="116">
        <v>2005</v>
      </c>
      <c r="CB760" s="113"/>
      <c r="CC760" s="113"/>
      <c r="CD760" s="113"/>
      <c r="CE760" s="175"/>
      <c r="CF760" s="113">
        <f t="shared" si="1375"/>
        <v>8968</v>
      </c>
      <c r="CG760" s="113">
        <f t="shared" si="1376"/>
        <v>19.113175088667127</v>
      </c>
      <c r="CH760" s="178">
        <v>0.96174863387978138</v>
      </c>
      <c r="CI760" s="61">
        <f>+CI753*CH760+CG754*CH759+CG755*CH758+CG756*CH757+CG757*CH756+CG758*CH755+CG759*CH754+CG760</f>
        <v>411.84490701818453</v>
      </c>
      <c r="CJ760" s="114">
        <f t="shared" si="1377"/>
        <v>4.1511757127995701E-2</v>
      </c>
      <c r="CK760" s="114"/>
      <c r="CL760" s="169">
        <f t="shared" si="1378"/>
        <v>5.9903053943664679E-3</v>
      </c>
      <c r="CM760" s="169">
        <f t="shared" si="1386"/>
        <v>5.8239449196306236E-3</v>
      </c>
      <c r="CN760" s="114">
        <f>VLOOKUP($H760,RoR!$E:$F,2,FALSE)</f>
        <v>5.2350000000000001E-2</v>
      </c>
      <c r="CO760" s="169">
        <v>3.1010403642454332E-2</v>
      </c>
      <c r="CP760" s="169">
        <f t="shared" si="1384"/>
        <v>2.1339596357545669E-2</v>
      </c>
      <c r="CQ760" s="169">
        <f t="shared" si="1387"/>
        <v>2.5077996688903002E-2</v>
      </c>
      <c r="CR760" s="169">
        <f t="shared" si="1388"/>
        <v>9.2129610649277341E-2</v>
      </c>
      <c r="CS760" s="179">
        <f t="shared" si="1379"/>
        <v>0.85150049999999999</v>
      </c>
      <c r="CT760" s="180">
        <f t="shared" si="1380"/>
        <v>0.97959983346802826</v>
      </c>
      <c r="CU760" s="180">
        <f t="shared" si="1381"/>
        <v>0.49744508118433622</v>
      </c>
      <c r="CV760" s="180">
        <f t="shared" si="1382"/>
        <v>0.87010519444335932</v>
      </c>
      <c r="CW760" s="180">
        <f t="shared" si="1383"/>
        <v>0.42399975420741998</v>
      </c>
      <c r="CX760" s="181">
        <f>INDEX('State Tax Lookup'!$D$7:$Z$91,MATCH(Calculation!$C760,'State Tax Lookup'!$B$7:$B$91,0),MATCH($H760,'State Tax Lookup'!$D$6:$Z$6,0))</f>
        <v>0.40134999999999998</v>
      </c>
      <c r="CY760" s="72">
        <v>0.37</v>
      </c>
      <c r="CZ760" s="70">
        <f t="shared" si="1385"/>
        <v>16.605568819755963</v>
      </c>
      <c r="DA760" s="70"/>
      <c r="DB760" s="69">
        <f t="shared" si="1389"/>
        <v>0.11788286020467921</v>
      </c>
      <c r="DC760" s="111">
        <f>VLOOKUP($H760,RoR!$E:$F,2,FALSE)</f>
        <v>5.2350000000000001E-2</v>
      </c>
      <c r="DD760" s="216">
        <f>HLOOKUP($H760,'GDP-PI'!$D$8:$CQ$11,3,FALSE)</f>
        <v>3.1010403642454332E-2</v>
      </c>
      <c r="DE760" s="111">
        <f>VLOOKUP(H760,'HW Dx Data'!$E:$F,2,FALSE)</f>
        <v>469.20514034936258</v>
      </c>
      <c r="DF760" s="72">
        <f t="shared" ref="DF760:DF778" si="1400">VLOOKUP(G760,EG$8:EH$27,2,FALSE)</f>
        <v>99.224999999999994</v>
      </c>
      <c r="DG760" s="69">
        <f t="shared" ref="DG760:DG778" si="1401">LN(DF760/DF759)</f>
        <v>5.0378726854569796E-2</v>
      </c>
      <c r="DH760" s="66">
        <f>HLOOKUP(H760,'GDP-PI'!$8:$9,2,FALSE)</f>
        <v>87.406999999999996</v>
      </c>
      <c r="DI760" s="69">
        <f t="shared" si="1390"/>
        <v>3.0539295810733648E-2</v>
      </c>
      <c r="EB760"/>
    </row>
    <row r="761" spans="1:132" s="160" customFormat="1" ht="21">
      <c r="A761" s="160" t="s">
        <v>204</v>
      </c>
      <c r="B761" s="161" t="s">
        <v>205</v>
      </c>
      <c r="C761" s="161">
        <v>4061925</v>
      </c>
      <c r="D761" s="161" t="s">
        <v>192</v>
      </c>
      <c r="E761" s="161"/>
      <c r="F761" s="161"/>
      <c r="G761" s="161" t="s">
        <v>117</v>
      </c>
      <c r="H761" s="162">
        <v>2006</v>
      </c>
      <c r="I761" s="163"/>
      <c r="J761" s="159">
        <f>IFERROR(INDEX('Labor Expenditures'!$F$7:$X$91,MATCH($C761,'Labor Expenditures'!$D$7:$D$91,0),MATCH($G761,'Labor Expenditures'!$F$5:$X$5,0)),"NA")</f>
        <v>4900.6011282137024</v>
      </c>
      <c r="K761" s="159">
        <f t="shared" si="1391"/>
        <v>44.795257113470768</v>
      </c>
      <c r="L761" s="165">
        <f t="shared" si="1398"/>
        <v>-0.12159285979604723</v>
      </c>
      <c r="M761" s="76">
        <f t="shared" ref="M761:M777" si="1402">+L761*$AR761</f>
        <v>-2.8534673632365636E-4</v>
      </c>
      <c r="N761" s="62">
        <f>+N760*EXP(O761)</f>
        <v>109.58184885749489</v>
      </c>
      <c r="O761" s="96">
        <f t="shared" ref="O761:O777" si="1403">+M761+M786+M811+M836+M861+M886+M911+M936+M961+M986+M1011+M1036+M1061+M1086+M1111+M1136+M1161+M1186+M1211+M1236+M1261+M1286+M1311+M1336+M1361+M1386+M1411+M1436+M1461+M1486+M1511+M1536+M1561+M1586+M1611+M1636+M1661+M1686+M1711+M1736+M1761+M1786+M1811+M1836+M1861+M1886+M1911+M1936+M1961+M1986+M2011+M2036+M2061+M2086</f>
        <v>9.1501562196442759E-2</v>
      </c>
      <c r="P761" s="96"/>
      <c r="Q761" s="159">
        <f>IFERROR(INDEX('Non-Labor Expenditures'!$F$7:$AB$91,MATCH($C761,'Non-Labor Expenditures'!$D$7:$D$91,0),MATCH($G761,'Non-Labor Expenditures'!$F$5:$AB$5,0)),"NA")</f>
        <v>7096.9857396873394</v>
      </c>
      <c r="R761" s="159">
        <f t="shared" si="1392"/>
        <v>78.790613714138814</v>
      </c>
      <c r="S761" s="165">
        <f t="shared" ref="S761:S776" si="1404">LN(R761/R760)</f>
        <v>-5.4028152202749591E-2</v>
      </c>
      <c r="T761" s="165">
        <f t="shared" ref="T761:T777" si="1405">+S761*AR761</f>
        <v>-1.2678998525498562E-4</v>
      </c>
      <c r="U761" s="165"/>
      <c r="V761" s="165"/>
      <c r="W761" s="159">
        <f t="shared" si="1372"/>
        <v>6681.5796983464252</v>
      </c>
      <c r="X761" s="163"/>
      <c r="Y761" s="167">
        <v>421.6109346859339</v>
      </c>
      <c r="Z761" s="168">
        <v>2.3436093850673922E-2</v>
      </c>
      <c r="AA761" s="76">
        <f t="shared" si="1393"/>
        <v>5.4998401252193531E-5</v>
      </c>
      <c r="AB761" s="168"/>
      <c r="AC761" s="168"/>
      <c r="AD761" s="163">
        <f t="shared" si="1281"/>
        <v>18679.166566247466</v>
      </c>
      <c r="AE761" s="168">
        <f t="shared" ref="AE761:AE777" si="1406">LN(AD761/AD760)</f>
        <v>-9.0777214906872152E-3</v>
      </c>
      <c r="AF761" s="163"/>
      <c r="AG761" s="163"/>
      <c r="AH761" s="163"/>
      <c r="AI761" s="163"/>
      <c r="AJ761" s="116">
        <f t="shared" ref="AJ761:AJ776" si="1407">+(AD761*1000)/AV762</f>
        <v>184.24721166932133</v>
      </c>
      <c r="AK761" s="114">
        <f>+AV762/$AX$11</f>
        <v>2.9232054289311843E-3</v>
      </c>
      <c r="AL761" s="115">
        <f t="shared" si="1394"/>
        <v>0.26235651953920147</v>
      </c>
      <c r="AM761" s="115">
        <f t="shared" si="1395"/>
        <v>0.37994124173138</v>
      </c>
      <c r="AN761" s="115">
        <f t="shared" si="1396"/>
        <v>0.35770223872941859</v>
      </c>
      <c r="AO761" s="115">
        <f t="shared" si="1399"/>
        <v>-4.4551361109161032E-2</v>
      </c>
      <c r="AP761" s="166">
        <f>+AP760*EXP(AO761)</f>
        <v>95.642647570746675</v>
      </c>
      <c r="AQ761" s="168">
        <f>LN(AP761/AP760)</f>
        <v>-4.4551361109161081E-2</v>
      </c>
      <c r="AR761" s="69">
        <f>+AD761/$AF$11</f>
        <v>2.3467392477015537E-3</v>
      </c>
      <c r="AS761" s="169">
        <f>+AR761*AQ761</f>
        <v>-1.0455042765339293E-4</v>
      </c>
      <c r="AT761" s="115"/>
      <c r="AU761" s="115"/>
      <c r="AV761" s="113">
        <v>100346</v>
      </c>
      <c r="AW761" s="68">
        <f t="shared" si="1373"/>
        <v>2.5025017899657505E-2</v>
      </c>
      <c r="AX761" s="114"/>
      <c r="AY761" s="114"/>
      <c r="AZ761" s="116"/>
      <c r="BA761" s="116"/>
      <c r="BB761" s="166"/>
      <c r="BC761" s="166"/>
      <c r="BD761" s="166"/>
      <c r="BE761" s="166"/>
      <c r="BF761" s="166"/>
      <c r="BG761" s="166"/>
      <c r="BH761" s="166"/>
      <c r="BI761" s="113"/>
      <c r="BJ761" s="113"/>
      <c r="BK761" s="113">
        <f>INDEX('Dist. Plant Gas Additions'!$F$7:$AE$91,MATCH($C761,'Dist. Plant Gas Additions'!$D$7:$D$91,0),MATCH(Calculation!$G761,'Dist. Plant Gas Additions'!$F$5:$AE$5,0))</f>
        <v>5032</v>
      </c>
      <c r="BL761" s="113">
        <f>INDEX('Gen. Plant Additions'!$F$7:$AE$91,MATCH($C761,'Gen. Plant Additions'!$D$7:$D$91,0),MATCH(Calculation!$G761,'Gen. Plant Additions'!$F$5:$AE$5,0))</f>
        <v>642</v>
      </c>
      <c r="BM761" s="231">
        <f t="shared" si="1374"/>
        <v>0.97255023423283904</v>
      </c>
      <c r="BN761" s="61">
        <f t="shared" si="1397"/>
        <v>624.37725037748271</v>
      </c>
      <c r="BO761" s="113">
        <f>INDEX('Dist Plant Depreciation'!$E$7:$AD$94,MATCH($C761,'Dist Plant Depreciation'!$D$7:$D$94,0),MATCH(Calculation!$G761,'Dist Plant Depreciation'!$E$5:$AD$5,0))</f>
        <v>78931</v>
      </c>
      <c r="BP761" s="113">
        <f>INDEX('Gen. Plant Depreciation'!$E$7:$AD$94,MATCH($C761,'Gen. Plant Depreciation'!$D$7:$D$94,0),MATCH(Calculation!$G761,'Gen. Plant Depreciation'!$E$5:$AD$5,0))</f>
        <v>1976</v>
      </c>
      <c r="BQ761" s="113"/>
      <c r="BR761" s="113"/>
      <c r="BS761" s="113"/>
      <c r="BT761" s="113"/>
      <c r="BU761" s="113"/>
      <c r="BV761" s="113"/>
      <c r="BW761" s="113">
        <f>INDEX('Gross Dx Plant'!$E$7:$AD$91,MATCH($C761,'Gross Dx Plant'!$D$7:$D$91,0),MATCH(Calculation!$G761,'Gross Dx Plant'!$E$5:$AD$5,0))</f>
        <v>150720</v>
      </c>
      <c r="BX761" s="113">
        <f>INDEX('Gross Gen Plant'!$E$7:$AD$91,MATCH($C761,'Gross Gen Plant'!$D$7:$D$91,0),MATCH(Calculation!$G761,'Gross Gen Plant'!$E$5:$AD$5,0))</f>
        <v>4254</v>
      </c>
      <c r="BY761" s="113">
        <f t="shared" si="1325"/>
        <v>74067</v>
      </c>
      <c r="BZ761" s="114"/>
      <c r="CA761" s="116">
        <v>2006</v>
      </c>
      <c r="CB761" s="113"/>
      <c r="CC761" s="113"/>
      <c r="CD761" s="113"/>
      <c r="CE761" s="175"/>
      <c r="CF761" s="113">
        <f t="shared" si="1375"/>
        <v>5674</v>
      </c>
      <c r="CG761" s="113">
        <f t="shared" si="1376"/>
        <v>12.305739118738606</v>
      </c>
      <c r="CH761" s="178">
        <v>0.9555555555555556</v>
      </c>
      <c r="CI761" s="61">
        <f>+CI753*CH761+CG754*CH760+CG755*CH759+CG756*CH758+CG757*CH757+CG758*CH756+CG759*CH755+CG760*CH754+CG761</f>
        <v>421.6109346859339</v>
      </c>
      <c r="CJ761" s="114">
        <f t="shared" si="1377"/>
        <v>2.3436093850673922E-2</v>
      </c>
      <c r="CK761" s="114"/>
      <c r="CL761" s="169">
        <f t="shared" si="1378"/>
        <v>6.1666695586382421E-3</v>
      </c>
      <c r="CM761" s="169">
        <f t="shared" si="1386"/>
        <v>5.9931386417174694E-3</v>
      </c>
      <c r="CN761" s="114">
        <f>VLOOKUP($H761,RoR!$E:$F,2,FALSE)</f>
        <v>5.5874999999999994E-2</v>
      </c>
      <c r="CO761" s="169">
        <v>3.0512430354548314E-2</v>
      </c>
      <c r="CP761" s="169">
        <f t="shared" si="1384"/>
        <v>2.536256964545168E-2</v>
      </c>
      <c r="CQ761" s="169">
        <f t="shared" si="1387"/>
        <v>2.4908802966816156E-2</v>
      </c>
      <c r="CR761" s="169">
        <f t="shared" si="1388"/>
        <v>7.9087823893859641E-2</v>
      </c>
      <c r="CS761" s="179">
        <f t="shared" si="1379"/>
        <v>0.85150049999999999</v>
      </c>
      <c r="CT761" s="180">
        <f t="shared" si="1380"/>
        <v>0.91779957551769631</v>
      </c>
      <c r="CU761" s="180">
        <f t="shared" si="1381"/>
        <v>0.52757270693512304</v>
      </c>
      <c r="CV761" s="180">
        <f t="shared" si="1382"/>
        <v>0.88636824549024895</v>
      </c>
      <c r="CW761" s="180">
        <f t="shared" si="1383"/>
        <v>0.42918482841932087</v>
      </c>
      <c r="CX761" s="181">
        <f>INDEX('State Tax Lookup'!$D$7:$Z$91,MATCH(Calculation!$C761,'State Tax Lookup'!$B$7:$B$91,0),MATCH($H761,'State Tax Lookup'!$D$6:$Z$6,0))</f>
        <v>0.40134999999999998</v>
      </c>
      <c r="CY761" s="72">
        <v>0.37</v>
      </c>
      <c r="CZ761" s="70">
        <f t="shared" si="1385"/>
        <v>16.22353362755414</v>
      </c>
      <c r="DA761" s="70">
        <v>14.788696346247992</v>
      </c>
      <c r="DB761" s="69">
        <f t="shared" si="1389"/>
        <v>-2.3275229014852919E-2</v>
      </c>
      <c r="DC761" s="111">
        <f>VLOOKUP($H761,RoR!$E:$F,2,FALSE)</f>
        <v>5.5874999999999994E-2</v>
      </c>
      <c r="DD761" s="216">
        <f>HLOOKUP($H761,'GDP-PI'!$D$8:$CQ$11,3,FALSE)</f>
        <v>3.0512430354548314E-2</v>
      </c>
      <c r="DE761" s="111">
        <f>VLOOKUP(H761,'HW Dx Data'!$E:$F,2,FALSE)</f>
        <v>461.08567272971823</v>
      </c>
      <c r="DF761" s="72">
        <f t="shared" si="1400"/>
        <v>109.4</v>
      </c>
      <c r="DG761" s="69">
        <f t="shared" si="1401"/>
        <v>9.7620891318751846E-2</v>
      </c>
      <c r="DH761" s="66">
        <f>HLOOKUP(H761,'GDP-PI'!$8:$9,2,FALSE)</f>
        <v>90.073999999999998</v>
      </c>
      <c r="DI761" s="69">
        <f t="shared" si="1390"/>
        <v>3.005618372545445E-2</v>
      </c>
      <c r="EB761"/>
    </row>
    <row r="762" spans="1:132" s="160" customFormat="1" ht="21">
      <c r="A762" s="160" t="s">
        <v>204</v>
      </c>
      <c r="B762" s="161" t="s">
        <v>205</v>
      </c>
      <c r="C762" s="161">
        <v>4061925</v>
      </c>
      <c r="D762" s="161" t="s">
        <v>192</v>
      </c>
      <c r="E762" s="161"/>
      <c r="F762" s="161"/>
      <c r="G762" s="161" t="s">
        <v>118</v>
      </c>
      <c r="H762" s="162">
        <v>2007</v>
      </c>
      <c r="I762" s="163"/>
      <c r="J762" s="159">
        <f>IFERROR(INDEX('Labor Expenditures'!$F$7:$X$91,MATCH($C762,'Labor Expenditures'!$D$7:$D$91,0),MATCH($G762,'Labor Expenditures'!$F$5:$X$5,0)),"NA")</f>
        <v>5312.4845523249087</v>
      </c>
      <c r="K762" s="159">
        <f t="shared" si="1391"/>
        <v>50.82501365534474</v>
      </c>
      <c r="L762" s="165">
        <f t="shared" si="1398"/>
        <v>0.12628636237450941</v>
      </c>
      <c r="M762" s="76">
        <f t="shared" si="1402"/>
        <v>3.0569076087831376E-4</v>
      </c>
      <c r="N762" s="62">
        <f t="shared" ref="N762:N775" si="1408">+N761*EXP(O762)</f>
        <v>118.49598600812584</v>
      </c>
      <c r="O762" s="96">
        <f t="shared" si="1403"/>
        <v>7.820733846778774E-2</v>
      </c>
      <c r="P762" s="96"/>
      <c r="Q762" s="159">
        <f>IFERROR(INDEX('Non-Labor Expenditures'!$F$7:$AB$91,MATCH($C762,'Non-Labor Expenditures'!$D$7:$D$91,0),MATCH($G762,'Non-Labor Expenditures'!$F$5:$AB$5,0)),"NA")</f>
        <v>7693.4698670124135</v>
      </c>
      <c r="R762" s="159">
        <f t="shared" si="1392"/>
        <v>83.174445577335874</v>
      </c>
      <c r="S762" s="165">
        <f t="shared" si="1404"/>
        <v>5.4146281679219255E-2</v>
      </c>
      <c r="T762" s="165">
        <f t="shared" si="1405"/>
        <v>1.3106734356767741E-4</v>
      </c>
      <c r="U762" s="165"/>
      <c r="V762" s="165"/>
      <c r="W762" s="159">
        <f t="shared" si="1372"/>
        <v>7345.968973693085</v>
      </c>
      <c r="X762" s="163"/>
      <c r="Y762" s="167">
        <v>433.43273147702655</v>
      </c>
      <c r="Z762" s="168">
        <v>2.7653675756573709E-2</v>
      </c>
      <c r="AA762" s="76">
        <f t="shared" si="1393"/>
        <v>6.6938923761537602E-5</v>
      </c>
      <c r="AB762" s="168"/>
      <c r="AC762" s="168"/>
      <c r="AD762" s="163">
        <f t="shared" si="1281"/>
        <v>20351.923393030407</v>
      </c>
      <c r="AE762" s="168">
        <f t="shared" si="1406"/>
        <v>8.5766607612865128E-2</v>
      </c>
      <c r="AF762" s="163"/>
      <c r="AG762" s="163"/>
      <c r="AH762" s="163"/>
      <c r="AI762" s="163"/>
      <c r="AJ762" s="116">
        <f t="shared" si="1407"/>
        <v>195.99876145333945</v>
      </c>
      <c r="AK762" s="114">
        <f>+AV763/$AX$12</f>
        <v>2.9714791854947107E-3</v>
      </c>
      <c r="AL762" s="115">
        <f t="shared" si="1394"/>
        <v>0.26103108044049483</v>
      </c>
      <c r="AM762" s="115">
        <f t="shared" si="1395"/>
        <v>0.3780217583585771</v>
      </c>
      <c r="AN762" s="115">
        <f t="shared" si="1396"/>
        <v>0.36094716120092807</v>
      </c>
      <c r="AO762" s="115">
        <f t="shared" si="1399"/>
        <v>6.3505445853493839E-2</v>
      </c>
      <c r="AP762" s="166">
        <f>+AP761*EXP(AO762)</f>
        <v>101.91348537057488</v>
      </c>
      <c r="AQ762" s="168">
        <f>LN(AP762/AP761)</f>
        <v>6.350544585349388E-2</v>
      </c>
      <c r="AR762" s="69">
        <f>+AD762/$AF$12</f>
        <v>2.4206157745819802E-3</v>
      </c>
      <c r="AS762" s="169">
        <f t="shared" ref="AS762:AS776" si="1409">+AR762*AQ762</f>
        <v>1.5372228400482908E-4</v>
      </c>
      <c r="AT762" s="115"/>
      <c r="AU762" s="115"/>
      <c r="AV762" s="113">
        <v>101381</v>
      </c>
      <c r="AW762" s="68">
        <f t="shared" si="1373"/>
        <v>1.0261482914426722E-2</v>
      </c>
      <c r="AX762" s="114"/>
      <c r="AY762" s="114"/>
      <c r="AZ762" s="116"/>
      <c r="BA762" s="116"/>
      <c r="BB762" s="166"/>
      <c r="BC762" s="166"/>
      <c r="BD762" s="166"/>
      <c r="BE762" s="166"/>
      <c r="BF762" s="166"/>
      <c r="BG762" s="166"/>
      <c r="BH762" s="166"/>
      <c r="BI762" s="113"/>
      <c r="BJ762" s="113"/>
      <c r="BK762" s="113">
        <f>INDEX('Dist. Plant Gas Additions'!$F$7:$AE$91,MATCH($C762,'Dist. Plant Gas Additions'!$D$7:$D$91,0),MATCH(Calculation!$G762,'Dist. Plant Gas Additions'!$F$5:$AE$5,0))</f>
        <v>6844</v>
      </c>
      <c r="BL762" s="113">
        <f>INDEX('Gen. Plant Additions'!$F$7:$AE$91,MATCH($C762,'Gen. Plant Additions'!$D$7:$D$91,0),MATCH(Calculation!$G762,'Gen. Plant Additions'!$F$5:$AE$5,0))</f>
        <v>381</v>
      </c>
      <c r="BM762" s="231">
        <f t="shared" si="1374"/>
        <v>0.9713641418509823</v>
      </c>
      <c r="BN762" s="61">
        <f t="shared" si="1397"/>
        <v>370.08973804522424</v>
      </c>
      <c r="BO762" s="113">
        <f>INDEX('Dist Plant Depreciation'!$E$7:$AD$94,MATCH($C762,'Dist Plant Depreciation'!$D$7:$D$94,0),MATCH(Calculation!$G762,'Dist Plant Depreciation'!$E$5:$AD$5,0))</f>
        <v>84375</v>
      </c>
      <c r="BP762" s="113">
        <f>INDEX('Gen. Plant Depreciation'!$E$7:$AD$94,MATCH($C762,'Gen. Plant Depreciation'!$D$7:$D$94,0),MATCH(Calculation!$G762,'Gen. Plant Depreciation'!$E$5:$AD$5,0))</f>
        <v>1879</v>
      </c>
      <c r="BQ762" s="113"/>
      <c r="BR762" s="113"/>
      <c r="BS762" s="113"/>
      <c r="BT762" s="113"/>
      <c r="BU762" s="113"/>
      <c r="BV762" s="113"/>
      <c r="BW762" s="113">
        <f>INDEX('Gross Dx Plant'!$E$7:$AD$91,MATCH($C762,'Gross Dx Plant'!$D$7:$D$91,0),MATCH(Calculation!$G762,'Gross Dx Plant'!$E$5:$AD$5,0))</f>
        <v>157225</v>
      </c>
      <c r="BX762" s="113">
        <f>INDEX('Gross Gen Plant'!$E$7:$AD$91,MATCH($C762,'Gross Gen Plant'!$D$7:$D$91,0),MATCH(Calculation!$G762,'Gross Gen Plant'!$E$5:$AD$5,0))</f>
        <v>4635</v>
      </c>
      <c r="BY762" s="113">
        <f t="shared" si="1325"/>
        <v>75606</v>
      </c>
      <c r="BZ762" s="113"/>
      <c r="CA762" s="116">
        <v>2007</v>
      </c>
      <c r="CB762" s="113"/>
      <c r="CC762" s="113"/>
      <c r="CD762" s="113"/>
      <c r="CE762" s="175"/>
      <c r="CF762" s="113">
        <f t="shared" si="1375"/>
        <v>7225</v>
      </c>
      <c r="CG762" s="113">
        <f t="shared" si="1376"/>
        <v>14.507382049890984</v>
      </c>
      <c r="CH762" s="178">
        <v>0.94915254237288138</v>
      </c>
      <c r="CI762" s="61">
        <f>+CI753*CH762+CG754*CH761+CG755*CH760+CG756*CH759+CG757*CH758+CG758*CH757+CG759*CH756+CG760*CH755+CG761*CH754+CG762</f>
        <v>433.43273147702655</v>
      </c>
      <c r="CJ762" s="114">
        <f t="shared" si="1377"/>
        <v>2.7653675756573709E-2</v>
      </c>
      <c r="CK762" s="114"/>
      <c r="CL762" s="169">
        <f t="shared" si="1378"/>
        <v>6.3698188017795978E-3</v>
      </c>
      <c r="CM762" s="169">
        <f t="shared" si="1386"/>
        <v>6.1755979182614362E-3</v>
      </c>
      <c r="CN762" s="114">
        <f>VLOOKUP($H762,RoR!$E:$F,2,FALSE)</f>
        <v>5.5558333333333321E-2</v>
      </c>
      <c r="CO762" s="169">
        <v>2.691120634145272E-2</v>
      </c>
      <c r="CP762" s="169">
        <f t="shared" si="1384"/>
        <v>2.86471269918806E-2</v>
      </c>
      <c r="CQ762" s="169">
        <f t="shared" si="1387"/>
        <v>2.4726343690272188E-2</v>
      </c>
      <c r="CR762" s="169">
        <f t="shared" si="1388"/>
        <v>6.4575155250632399E-2</v>
      </c>
      <c r="CS762" s="179">
        <f t="shared" si="1379"/>
        <v>0.85150049999999999</v>
      </c>
      <c r="CT762" s="180">
        <f t="shared" si="1380"/>
        <v>0.92303077153834634</v>
      </c>
      <c r="CU762" s="180">
        <f t="shared" si="1381"/>
        <v>0.52502249887505614</v>
      </c>
      <c r="CV762" s="180">
        <f t="shared" si="1382"/>
        <v>0.88499666072084604</v>
      </c>
      <c r="CW762" s="180">
        <f t="shared" si="1383"/>
        <v>0.42887993290280618</v>
      </c>
      <c r="CX762" s="181">
        <f>INDEX('State Tax Lookup'!$D$7:$Z$91,MATCH(Calculation!$C762,'State Tax Lookup'!$B$7:$B$91,0),MATCH($H762,'State Tax Lookup'!$D$6:$Z$6,0))</f>
        <v>0.40134999999999998</v>
      </c>
      <c r="CY762" s="72">
        <v>0.37</v>
      </c>
      <c r="CZ762" s="70">
        <f t="shared" si="1385"/>
        <v>17.423573179299154</v>
      </c>
      <c r="DA762" s="70">
        <v>16.108943221861779</v>
      </c>
      <c r="DB762" s="69">
        <f t="shared" si="1389"/>
        <v>7.1361188593566188E-2</v>
      </c>
      <c r="DC762" s="111">
        <f>VLOOKUP($H762,RoR!$E:$F,2,FALSE)</f>
        <v>5.5558333333333321E-2</v>
      </c>
      <c r="DD762" s="216">
        <f>HLOOKUP($H762,'GDP-PI'!$D$8:$CQ$11,3,FALSE)</f>
        <v>2.691120634145272E-2</v>
      </c>
      <c r="DE762" s="111">
        <f>VLOOKUP(H762,'HW Dx Data'!$E:$F,2,FALSE)</f>
        <v>498.0223154772637</v>
      </c>
      <c r="DF762" s="72">
        <f t="shared" si="1400"/>
        <v>104.52499999999999</v>
      </c>
      <c r="DG762" s="69">
        <f t="shared" si="1401"/>
        <v>-4.5584612745252218E-2</v>
      </c>
      <c r="DH762" s="66">
        <f>HLOOKUP(H762,'GDP-PI'!$8:$9,2,FALSE)</f>
        <v>92.498000000000005</v>
      </c>
      <c r="DI762" s="69">
        <f t="shared" si="1390"/>
        <v>2.6555467950038037E-2</v>
      </c>
      <c r="EB762"/>
    </row>
    <row r="763" spans="1:132" s="160" customFormat="1" ht="21">
      <c r="A763" s="160" t="s">
        <v>204</v>
      </c>
      <c r="B763" s="161" t="s">
        <v>205</v>
      </c>
      <c r="C763" s="161">
        <v>4061925</v>
      </c>
      <c r="D763" s="161" t="s">
        <v>192</v>
      </c>
      <c r="E763" s="161"/>
      <c r="F763" s="161"/>
      <c r="G763" s="161" t="s">
        <v>120</v>
      </c>
      <c r="H763" s="162">
        <v>2008</v>
      </c>
      <c r="I763" s="163"/>
      <c r="J763" s="159">
        <f>IFERROR(INDEX('Labor Expenditures'!$F$7:$X$91,MATCH($C763,'Labor Expenditures'!$D$7:$D$91,0),MATCH($G763,'Labor Expenditures'!$F$5:$X$5,0)),"NA")</f>
        <v>5524.1275789528063</v>
      </c>
      <c r="K763" s="159">
        <f t="shared" si="1391"/>
        <v>51.196733817912936</v>
      </c>
      <c r="L763" s="165">
        <f t="shared" si="1398"/>
        <v>7.2871092035867915E-3</v>
      </c>
      <c r="M763" s="76">
        <f t="shared" si="1402"/>
        <v>1.7916285242609784E-5</v>
      </c>
      <c r="N763" s="62">
        <f t="shared" si="1408"/>
        <v>110.16488802448646</v>
      </c>
      <c r="O763" s="96">
        <f t="shared" si="1403"/>
        <v>-7.2900861171248693E-2</v>
      </c>
      <c r="P763" s="96"/>
      <c r="Q763" s="159">
        <f>IFERROR(INDEX('Non-Labor Expenditures'!$F$7:$AB$91,MATCH($C763,'Non-Labor Expenditures'!$D$7:$D$91,0),MATCH($G763,'Non-Labor Expenditures'!$F$5:$AB$5,0)),"NA")</f>
        <v>7999.9684990343085</v>
      </c>
      <c r="R763" s="159">
        <f t="shared" si="1392"/>
        <v>84.867696034905251</v>
      </c>
      <c r="S763" s="165">
        <f t="shared" si="1404"/>
        <v>2.0153370477014758E-2</v>
      </c>
      <c r="T763" s="165">
        <f t="shared" si="1405"/>
        <v>4.9549625781436486E-5</v>
      </c>
      <c r="U763" s="165"/>
      <c r="V763" s="165"/>
      <c r="W763" s="159">
        <f t="shared" si="1372"/>
        <v>8576.4654297495581</v>
      </c>
      <c r="X763" s="163"/>
      <c r="Y763" s="167">
        <v>439.44565107228584</v>
      </c>
      <c r="Z763" s="168">
        <v>1.3777439855219051E-2</v>
      </c>
      <c r="AA763" s="76">
        <f t="shared" si="1393"/>
        <v>3.3873589027252049E-5</v>
      </c>
      <c r="AB763" s="168"/>
      <c r="AC763" s="168"/>
      <c r="AD763" s="163">
        <f t="shared" ref="AD763:AD829" si="1410">+J763+Q763+W763</f>
        <v>22100.561507736675</v>
      </c>
      <c r="AE763" s="168">
        <f t="shared" si="1406"/>
        <v>8.2427592740521347E-2</v>
      </c>
      <c r="AF763" s="163"/>
      <c r="AG763" s="163"/>
      <c r="AH763" s="163"/>
      <c r="AI763" s="163"/>
      <c r="AJ763" s="116">
        <f t="shared" si="1407"/>
        <v>207.06011624805993</v>
      </c>
      <c r="AK763" s="114">
        <f>+AV764/$AX$13</f>
        <v>3.038079934619871E-3</v>
      </c>
      <c r="AL763" s="115">
        <f t="shared" si="1394"/>
        <v>0.24995417320139093</v>
      </c>
      <c r="AM763" s="115">
        <f t="shared" si="1395"/>
        <v>0.3619803277954628</v>
      </c>
      <c r="AN763" s="115">
        <f t="shared" si="1396"/>
        <v>0.38806549900314619</v>
      </c>
      <c r="AO763" s="115">
        <f t="shared" si="1399"/>
        <v>1.4478309208748166E-2</v>
      </c>
      <c r="AP763" s="166">
        <f t="shared" ref="AP763:AP776" si="1411">+AP762*EXP(AO763)</f>
        <v>103.399753687725</v>
      </c>
      <c r="AQ763" s="168">
        <f t="shared" ref="AQ763:AQ776" si="1412">LN(AP763/AP762)</f>
        <v>1.4478309208748154E-2</v>
      </c>
      <c r="AR763" s="69">
        <f>+AD763/$AF$13</f>
        <v>2.4586272473851771E-3</v>
      </c>
      <c r="AS763" s="169">
        <f t="shared" si="1409"/>
        <v>3.5596765516695934E-5</v>
      </c>
      <c r="AT763" s="115"/>
      <c r="AU763" s="115"/>
      <c r="AV763" s="113">
        <v>103837</v>
      </c>
      <c r="AW763" s="68">
        <f t="shared" si="1373"/>
        <v>2.3936665063481306E-2</v>
      </c>
      <c r="AX763" s="114"/>
      <c r="AY763" s="114"/>
      <c r="AZ763" s="116"/>
      <c r="BA763" s="116"/>
      <c r="BB763" s="166"/>
      <c r="BC763" s="166"/>
      <c r="BD763" s="166"/>
      <c r="BE763" s="166"/>
      <c r="BF763" s="166"/>
      <c r="BG763" s="166"/>
      <c r="BH763" s="166"/>
      <c r="BI763" s="113"/>
      <c r="BJ763" s="113"/>
      <c r="BK763" s="113">
        <f>INDEX('Dist. Plant Gas Additions'!$F$7:$AE$91,MATCH($C763,'Dist. Plant Gas Additions'!$D$7:$D$91,0),MATCH(Calculation!$G763,'Dist. Plant Gas Additions'!$F$5:$AE$5,0))</f>
        <v>4148</v>
      </c>
      <c r="BL763" s="113">
        <f>INDEX('Gen. Plant Additions'!$F$7:$AE$91,MATCH($C763,'Gen. Plant Additions'!$D$7:$D$91,0),MATCH(Calculation!$G763,'Gen. Plant Additions'!$F$5:$AE$5,0))</f>
        <v>902</v>
      </c>
      <c r="BM763" s="231">
        <f t="shared" si="1374"/>
        <v>0.96671735902814926</v>
      </c>
      <c r="BN763" s="61">
        <f t="shared" si="1397"/>
        <v>871.97905784339059</v>
      </c>
      <c r="BO763" s="113">
        <f>INDEX('Dist Plant Depreciation'!$E$7:$AD$94,MATCH($C763,'Dist Plant Depreciation'!$D$7:$D$94,0),MATCH(Calculation!$G763,'Dist Plant Depreciation'!$E$5:$AD$5,0))</f>
        <v>89674</v>
      </c>
      <c r="BP763" s="113">
        <f>INDEX('Gen. Plant Depreciation'!$E$7:$AD$94,MATCH($C763,'Gen. Plant Depreciation'!$D$7:$D$94,0),MATCH(Calculation!$G763,'Gen. Plant Depreciation'!$E$5:$AD$5,0))</f>
        <v>2081</v>
      </c>
      <c r="BQ763" s="113"/>
      <c r="BR763" s="113"/>
      <c r="BS763" s="113"/>
      <c r="BT763" s="113"/>
      <c r="BU763" s="113"/>
      <c r="BV763" s="113"/>
      <c r="BW763" s="113">
        <f>INDEX('Gross Dx Plant'!$E$7:$AD$91,MATCH($C763,'Gross Dx Plant'!$D$7:$D$91,0),MATCH(Calculation!$G763,'Gross Dx Plant'!$E$5:$AD$5,0))</f>
        <v>160826</v>
      </c>
      <c r="BX763" s="113">
        <f>INDEX('Gross Gen Plant'!$E$7:$AD$91,MATCH($C763,'Gross Gen Plant'!$D$7:$D$91,0),MATCH(Calculation!$G763,'Gross Gen Plant'!$E$5:$AD$5,0))</f>
        <v>5537</v>
      </c>
      <c r="BY763" s="113">
        <f t="shared" si="1325"/>
        <v>74608</v>
      </c>
      <c r="BZ763" s="113"/>
      <c r="CA763" s="116">
        <v>2008</v>
      </c>
      <c r="CB763" s="113"/>
      <c r="CC763" s="113"/>
      <c r="CD763" s="113"/>
      <c r="CE763" s="175"/>
      <c r="CF763" s="113">
        <f t="shared" si="1375"/>
        <v>5050</v>
      </c>
      <c r="CG763" s="113">
        <f t="shared" si="1376"/>
        <v>8.8614959932799593</v>
      </c>
      <c r="CH763" s="178">
        <v>0.94252873563218387</v>
      </c>
      <c r="CI763" s="61">
        <f>+CI753*CH763+CG754*CH762+CG755*CH761+CG756*CH760+CG757*CH759+CG758*CH758+CG759*CH757+CG760*CH756+CG761*CH755+CG762*CH754+CG763</f>
        <v>439.44565107228584</v>
      </c>
      <c r="CJ763" s="114">
        <f t="shared" si="1377"/>
        <v>1.3777439855219051E-2</v>
      </c>
      <c r="CK763" s="114"/>
      <c r="CL763" s="169">
        <f t="shared" si="1378"/>
        <v>6.572130324153087E-3</v>
      </c>
      <c r="CM763" s="169">
        <f t="shared" si="1386"/>
        <v>6.3695395615236431E-3</v>
      </c>
      <c r="CN763" s="114">
        <f>VLOOKUP($H763,RoR!$E:$F,2,FALSE)</f>
        <v>5.6316666666666668E-2</v>
      </c>
      <c r="CO763" s="169">
        <v>1.9092304698479889E-2</v>
      </c>
      <c r="CP763" s="169">
        <f t="shared" si="1384"/>
        <v>3.7224361968186778E-2</v>
      </c>
      <c r="CQ763" s="169">
        <f t="shared" si="1387"/>
        <v>2.4532402047009981E-2</v>
      </c>
      <c r="CR763" s="169">
        <f t="shared" si="1388"/>
        <v>6.9030581091053131E-2</v>
      </c>
      <c r="CS763" s="179">
        <f t="shared" si="1379"/>
        <v>0.85150049999999999</v>
      </c>
      <c r="CT763" s="180">
        <f t="shared" si="1380"/>
        <v>0.91060168006009956</v>
      </c>
      <c r="CU763" s="180">
        <f t="shared" si="1381"/>
        <v>0.53108168097070152</v>
      </c>
      <c r="CV763" s="180">
        <f t="shared" si="1382"/>
        <v>0.88825329850328805</v>
      </c>
      <c r="CW763" s="180">
        <f t="shared" si="1383"/>
        <v>0.4295627335323573</v>
      </c>
      <c r="CX763" s="181">
        <f>INDEX('State Tax Lookup'!$D$7:$Z$91,MATCH(Calculation!$C763,'State Tax Lookup'!$B$7:$B$91,0),MATCH($H763,'State Tax Lookup'!$D$6:$Z$6,0))</f>
        <v>0.40134999999999998</v>
      </c>
      <c r="CY763" s="72">
        <v>0.37</v>
      </c>
      <c r="CZ763" s="70">
        <f t="shared" si="1385"/>
        <v>19.787304480958749</v>
      </c>
      <c r="DA763" s="70">
        <v>18.300102035478151</v>
      </c>
      <c r="DB763" s="69">
        <f t="shared" si="1389"/>
        <v>0.1272164744682861</v>
      </c>
      <c r="DC763" s="111">
        <f>VLOOKUP($H763,RoR!$E:$F,2,FALSE)</f>
        <v>5.6316666666666668E-2</v>
      </c>
      <c r="DD763" s="216">
        <f>HLOOKUP($H763,'GDP-PI'!$D$8:$CQ$11,3,FALSE)</f>
        <v>1.9092304698479889E-2</v>
      </c>
      <c r="DE763" s="111">
        <f>VLOOKUP(H763,'HW Dx Data'!$E:$F,2,FALSE)</f>
        <v>569.88120333515076</v>
      </c>
      <c r="DF763" s="72">
        <f t="shared" si="1400"/>
        <v>107.9</v>
      </c>
      <c r="DG763" s="69">
        <f t="shared" si="1401"/>
        <v>3.1778595021460486E-2</v>
      </c>
      <c r="DH763" s="66">
        <f>HLOOKUP(H763,'GDP-PI'!$8:$9,2,FALSE)</f>
        <v>94.263999999999996</v>
      </c>
      <c r="DI763" s="69">
        <f t="shared" si="1390"/>
        <v>1.8912333748032254E-2</v>
      </c>
      <c r="EB763"/>
    </row>
    <row r="764" spans="1:132" s="160" customFormat="1" ht="21">
      <c r="A764" s="160" t="s">
        <v>204</v>
      </c>
      <c r="B764" s="161" t="s">
        <v>205</v>
      </c>
      <c r="C764" s="161">
        <v>4061925</v>
      </c>
      <c r="D764" s="161" t="s">
        <v>192</v>
      </c>
      <c r="E764" s="161"/>
      <c r="F764" s="161"/>
      <c r="G764" s="161" t="s">
        <v>125</v>
      </c>
      <c r="H764" s="162">
        <v>2009</v>
      </c>
      <c r="I764" s="163"/>
      <c r="J764" s="159">
        <f>IFERROR(INDEX('Labor Expenditures'!$F$7:$X$91,MATCH($C764,'Labor Expenditures'!$D$7:$D$91,0),MATCH($G764,'Labor Expenditures'!$F$5:$X$5,0)),"NA")</f>
        <v>6074.3033029610115</v>
      </c>
      <c r="K764" s="159">
        <f t="shared" si="1391"/>
        <v>54.760453486238553</v>
      </c>
      <c r="L764" s="165">
        <f t="shared" si="1398"/>
        <v>6.7292544335317964E-2</v>
      </c>
      <c r="M764" s="76">
        <f t="shared" si="1402"/>
        <v>1.6655914269083551E-4</v>
      </c>
      <c r="N764" s="62">
        <f t="shared" si="1408"/>
        <v>117.48278518380287</v>
      </c>
      <c r="O764" s="96">
        <f t="shared" si="1403"/>
        <v>6.431358829561952E-2</v>
      </c>
      <c r="P764" s="96"/>
      <c r="Q764" s="159">
        <f>IFERROR(INDEX('Non-Labor Expenditures'!$F$7:$AB$91,MATCH($C764,'Non-Labor Expenditures'!$D$7:$D$91,0),MATCH($G764,'Non-Labor Expenditures'!$F$5:$AB$5,0)),"NA")</f>
        <v>8796.7257060489574</v>
      </c>
      <c r="R764" s="159">
        <f t="shared" si="1392"/>
        <v>92.598087411961785</v>
      </c>
      <c r="S764" s="165">
        <f t="shared" si="1404"/>
        <v>8.7174960517892405E-2</v>
      </c>
      <c r="T764" s="165">
        <f t="shared" si="1405"/>
        <v>2.157711055717505E-4</v>
      </c>
      <c r="U764" s="165"/>
      <c r="V764" s="165"/>
      <c r="W764" s="159">
        <f t="shared" si="1372"/>
        <v>8335.0732930694321</v>
      </c>
      <c r="X764" s="163"/>
      <c r="Y764" s="167">
        <v>464.23505574479339</v>
      </c>
      <c r="Z764" s="168">
        <v>5.4876960947250801E-2</v>
      </c>
      <c r="AA764" s="76">
        <f t="shared" si="1393"/>
        <v>1.3582871117648259E-4</v>
      </c>
      <c r="AB764" s="168"/>
      <c r="AC764" s="168"/>
      <c r="AD764" s="163">
        <f t="shared" si="1410"/>
        <v>23206.102302079402</v>
      </c>
      <c r="AE764" s="168">
        <f t="shared" si="1406"/>
        <v>4.8812258557078117E-2</v>
      </c>
      <c r="AF764" s="163"/>
      <c r="AG764" s="163"/>
      <c r="AH764" s="163"/>
      <c r="AI764" s="163"/>
      <c r="AJ764" s="116">
        <f t="shared" si="1407"/>
        <v>220.90320227393744</v>
      </c>
      <c r="AK764" s="114">
        <f>+AV765/$AX$14</f>
        <v>2.9863351946699613E-3</v>
      </c>
      <c r="AL764" s="115">
        <f t="shared" si="1394"/>
        <v>0.26175456885824028</v>
      </c>
      <c r="AM764" s="115">
        <f t="shared" si="1395"/>
        <v>0.37906950471646933</v>
      </c>
      <c r="AN764" s="115">
        <f t="shared" si="1396"/>
        <v>0.35917592642529034</v>
      </c>
      <c r="AO764" s="115">
        <f t="shared" si="1399"/>
        <v>7.0020755812120167E-2</v>
      </c>
      <c r="AP764" s="166">
        <f t="shared" si="1411"/>
        <v>110.89938355263739</v>
      </c>
      <c r="AQ764" s="168">
        <f t="shared" si="1412"/>
        <v>7.0020755812120139E-2</v>
      </c>
      <c r="AR764" s="69">
        <f>+AD764/$AF$14</f>
        <v>2.4751500234687701E-3</v>
      </c>
      <c r="AS764" s="169">
        <f t="shared" si="1409"/>
        <v>1.7331187539167017E-4</v>
      </c>
      <c r="AT764" s="115"/>
      <c r="AU764" s="115"/>
      <c r="AV764" s="113">
        <v>106735</v>
      </c>
      <c r="AW764" s="68">
        <f t="shared" si="1373"/>
        <v>2.7526765075548749E-2</v>
      </c>
      <c r="AX764" s="114"/>
      <c r="AY764" s="114"/>
      <c r="AZ764" s="116"/>
      <c r="BA764" s="116"/>
      <c r="BB764" s="166"/>
      <c r="BC764" s="166"/>
      <c r="BD764" s="166"/>
      <c r="BE764" s="166"/>
      <c r="BF764" s="166"/>
      <c r="BG764" s="166"/>
      <c r="BH764" s="166"/>
      <c r="BI764" s="113"/>
      <c r="BJ764" s="113"/>
      <c r="BK764" s="113">
        <f>INDEX('Dist. Plant Gas Additions'!$F$7:$AE$91,MATCH($C764,'Dist. Plant Gas Additions'!$D$7:$D$91,0),MATCH(Calculation!$G764,'Dist. Plant Gas Additions'!$F$5:$AE$5,0))</f>
        <v>9896</v>
      </c>
      <c r="BL764" s="113">
        <f>INDEX('Gen. Plant Additions'!$F$7:$AE$91,MATCH($C764,'Gen. Plant Additions'!$D$7:$D$91,0),MATCH(Calculation!$G764,'Gen. Plant Additions'!$F$5:$AE$5,0))</f>
        <v>5409</v>
      </c>
      <c r="BM764" s="231">
        <f t="shared" si="1374"/>
        <v>0.93963348705840821</v>
      </c>
      <c r="BN764" s="61">
        <f t="shared" si="1397"/>
        <v>5082.4775314989301</v>
      </c>
      <c r="BO764" s="113">
        <f>INDEX('Dist Plant Depreciation'!$E$7:$AD$94,MATCH($C764,'Dist Plant Depreciation'!$D$7:$D$94,0),MATCH(Calculation!$G764,'Dist Plant Depreciation'!$E$5:$AD$5,0))</f>
        <v>94963</v>
      </c>
      <c r="BP764" s="113">
        <f>INDEX('Gen. Plant Depreciation'!$E$7:$AD$94,MATCH($C764,'Gen. Plant Depreciation'!$D$7:$D$94,0),MATCH(Calculation!$G764,'Gen. Plant Depreciation'!$E$5:$AD$5,0))</f>
        <v>3212</v>
      </c>
      <c r="BQ764" s="113"/>
      <c r="BR764" s="113"/>
      <c r="BS764" s="113"/>
      <c r="BT764" s="113"/>
      <c r="BU764" s="113"/>
      <c r="BV764" s="113"/>
      <c r="BW764" s="113">
        <f>INDEX('Gross Dx Plant'!$E$7:$AD$91,MATCH($C764,'Gross Dx Plant'!$D$7:$D$91,0),MATCH(Calculation!$G764,'Gross Dx Plant'!$E$5:$AD$5,0))</f>
        <v>170333</v>
      </c>
      <c r="BX764" s="113">
        <f>INDEX('Gross Gen Plant'!$E$7:$AD$91,MATCH($C764,'Gross Gen Plant'!$D$7:$D$91,0),MATCH(Calculation!$G764,'Gross Gen Plant'!$E$5:$AD$5,0))</f>
        <v>10943</v>
      </c>
      <c r="BY764" s="113">
        <f t="shared" si="1325"/>
        <v>83101</v>
      </c>
      <c r="BZ764" s="113"/>
      <c r="CA764" s="116">
        <v>2009</v>
      </c>
      <c r="CB764" s="113"/>
      <c r="CC764" s="113"/>
      <c r="CD764" s="113"/>
      <c r="CE764" s="175"/>
      <c r="CF764" s="113">
        <f t="shared" si="1375"/>
        <v>15305</v>
      </c>
      <c r="CG764" s="113">
        <f t="shared" si="1376"/>
        <v>27.779762424098134</v>
      </c>
      <c r="CH764" s="178">
        <v>0.93567251461988299</v>
      </c>
      <c r="CI764" s="61">
        <f>+CI753*CH764+CG754*CH763+CG755*CH762+CG756*CH761+CG757*CH760+CG758*CH759+CG759*CH758+CG760*CH757+CG761*CH756+CG762*CH755+CG763*CH754+CG764</f>
        <v>464.23505574479339</v>
      </c>
      <c r="CJ764" s="114">
        <f t="shared" si="1377"/>
        <v>5.4876960947250801E-2</v>
      </c>
      <c r="CK764" s="114"/>
      <c r="CL764" s="169">
        <f t="shared" si="1378"/>
        <v>6.8048409269584435E-3</v>
      </c>
      <c r="CM764" s="169">
        <f t="shared" si="1386"/>
        <v>6.58226335096371E-3</v>
      </c>
      <c r="CN764" s="114">
        <f>VLOOKUP($H764,RoR!$E:$F,2,FALSE)</f>
        <v>5.3133333333333324E-2</v>
      </c>
      <c r="CO764" s="169">
        <v>7.7972502758210105E-3</v>
      </c>
      <c r="CP764" s="169">
        <f t="shared" si="1384"/>
        <v>4.5336083057512314E-2</v>
      </c>
      <c r="CQ764" s="169">
        <f t="shared" si="1387"/>
        <v>2.4319678257569914E-2</v>
      </c>
      <c r="CR764" s="169">
        <f t="shared" si="1388"/>
        <v>6.3720160300892073E-2</v>
      </c>
      <c r="CS764" s="179">
        <f t="shared" si="1379"/>
        <v>0.85150049999999999</v>
      </c>
      <c r="CT764" s="180">
        <f t="shared" si="1380"/>
        <v>0.96515780330083989</v>
      </c>
      <c r="CU764" s="180">
        <f t="shared" si="1381"/>
        <v>0.50448557089084056</v>
      </c>
      <c r="CV764" s="180">
        <f t="shared" si="1382"/>
        <v>0.87391435735465484</v>
      </c>
      <c r="CW764" s="180">
        <f t="shared" si="1383"/>
        <v>0.42551605393279146</v>
      </c>
      <c r="CX764" s="181">
        <f>INDEX('State Tax Lookup'!$D$7:$Z$91,MATCH(Calculation!$C764,'State Tax Lookup'!$B$7:$B$91,0),MATCH($H764,'State Tax Lookup'!$D$6:$Z$6,0))</f>
        <v>0.40134999999999998</v>
      </c>
      <c r="CY764" s="72">
        <v>0.37</v>
      </c>
      <c r="CZ764" s="70">
        <f t="shared" si="1385"/>
        <v>18.967244920347088</v>
      </c>
      <c r="DA764" s="70">
        <v>17.478615056163342</v>
      </c>
      <c r="DB764" s="69">
        <f t="shared" si="1389"/>
        <v>-4.2327004330104084E-2</v>
      </c>
      <c r="DC764" s="111">
        <f>VLOOKUP($H764,RoR!$E:$F,2,FALSE)</f>
        <v>5.3133333333333324E-2</v>
      </c>
      <c r="DD764" s="216">
        <f>HLOOKUP($H764,'GDP-PI'!$D$8:$CQ$11,3,FALSE)</f>
        <v>7.7972502758210105E-3</v>
      </c>
      <c r="DE764" s="111">
        <f>VLOOKUP(H764,'HW Dx Data'!$E:$F,2,FALSE)</f>
        <v>550.94063679692806</v>
      </c>
      <c r="DF764" s="72">
        <f t="shared" si="1400"/>
        <v>110.925</v>
      </c>
      <c r="DG764" s="69">
        <f t="shared" si="1401"/>
        <v>2.7649425000884052E-2</v>
      </c>
      <c r="DH764" s="66">
        <f>HLOOKUP(H764,'GDP-PI'!$8:$9,2,FALSE)</f>
        <v>94.998999999999995</v>
      </c>
      <c r="DI764" s="69">
        <f t="shared" si="1390"/>
        <v>7.7670088183096342E-3</v>
      </c>
      <c r="EB764"/>
    </row>
    <row r="765" spans="1:132" s="160" customFormat="1" ht="21">
      <c r="A765" s="160" t="s">
        <v>204</v>
      </c>
      <c r="B765" s="161" t="s">
        <v>205</v>
      </c>
      <c r="C765" s="161">
        <v>4061925</v>
      </c>
      <c r="D765" s="161" t="s">
        <v>192</v>
      </c>
      <c r="E765" s="161"/>
      <c r="F765" s="161"/>
      <c r="G765" s="161" t="s">
        <v>126</v>
      </c>
      <c r="H765" s="162">
        <v>2010</v>
      </c>
      <c r="I765" s="163"/>
      <c r="J765" s="159">
        <f>IFERROR(INDEX('Labor Expenditures'!$F$7:$X$91,MATCH($C765,'Labor Expenditures'!$D$7:$D$91,0),MATCH($G765,'Labor Expenditures'!$F$5:$X$5,0)),"NA")</f>
        <v>6506.5934302235391</v>
      </c>
      <c r="K765" s="159">
        <f t="shared" si="1391"/>
        <v>55.647581186431808</v>
      </c>
      <c r="L765" s="165">
        <f t="shared" si="1398"/>
        <v>1.6070330295732061E-2</v>
      </c>
      <c r="M765" s="76">
        <f t="shared" si="1402"/>
        <v>4.12760742936605E-5</v>
      </c>
      <c r="N765" s="62">
        <f t="shared" si="1408"/>
        <v>96.433510481295883</v>
      </c>
      <c r="O765" s="96">
        <f t="shared" si="1403"/>
        <v>-0.19743805346513438</v>
      </c>
      <c r="P765" s="96"/>
      <c r="Q765" s="159">
        <f>IFERROR(INDEX('Non-Labor Expenditures'!$F$7:$AB$91,MATCH($C765,'Non-Labor Expenditures'!$D$7:$D$91,0),MATCH($G765,'Non-Labor Expenditures'!$F$5:$AB$5,0)),"NA")</f>
        <v>9422.7625509835452</v>
      </c>
      <c r="R765" s="159">
        <f t="shared" si="1392"/>
        <v>98.042457532421992</v>
      </c>
      <c r="S765" s="165">
        <f t="shared" si="1404"/>
        <v>5.7132137835558469E-2</v>
      </c>
      <c r="T765" s="165">
        <f t="shared" si="1405"/>
        <v>1.4674187290863888E-4</v>
      </c>
      <c r="U765" s="165"/>
      <c r="V765" s="165"/>
      <c r="W765" s="159">
        <f t="shared" si="1372"/>
        <v>9031.1654389782107</v>
      </c>
      <c r="X765" s="163"/>
      <c r="Y765" s="167">
        <v>481.27687686980846</v>
      </c>
      <c r="Z765" s="168">
        <v>3.605172247176848E-2</v>
      </c>
      <c r="AA765" s="76">
        <f t="shared" si="1393"/>
        <v>9.2597572531184769E-5</v>
      </c>
      <c r="AB765" s="168"/>
      <c r="AC765" s="168"/>
      <c r="AD765" s="163">
        <f t="shared" si="1410"/>
        <v>24960.521420185294</v>
      </c>
      <c r="AE765" s="168">
        <f t="shared" si="1406"/>
        <v>7.2880159166898884E-2</v>
      </c>
      <c r="AF765" s="163"/>
      <c r="AG765" s="163"/>
      <c r="AH765" s="163"/>
      <c r="AI765" s="163"/>
      <c r="AJ765" s="116">
        <f t="shared" si="1407"/>
        <v>235.25467879533736</v>
      </c>
      <c r="AK765" s="114">
        <f>+AV766/$AX$15</f>
        <v>2.9996529901903713E-3</v>
      </c>
      <c r="AL765" s="115">
        <f t="shared" si="1394"/>
        <v>0.26067538096226345</v>
      </c>
      <c r="AM765" s="115">
        <f t="shared" si="1395"/>
        <v>0.37750663907859966</v>
      </c>
      <c r="AN765" s="115">
        <f t="shared" si="1396"/>
        <v>0.36181797995913695</v>
      </c>
      <c r="AO765" s="115">
        <f t="shared" si="1399"/>
        <v>3.8806753298600505E-2</v>
      </c>
      <c r="AP765" s="166">
        <f t="shared" si="1411"/>
        <v>115.28762456706458</v>
      </c>
      <c r="AQ765" s="168">
        <f t="shared" si="1412"/>
        <v>3.8806753298600442E-2</v>
      </c>
      <c r="AR765" s="69">
        <f>+AD765/$AF$15</f>
        <v>2.5684645887223954E-3</v>
      </c>
      <c r="AS765" s="169">
        <f t="shared" si="1409"/>
        <v>9.9673771650741249E-5</v>
      </c>
      <c r="AT765" s="115"/>
      <c r="AU765" s="115"/>
      <c r="AV765" s="113">
        <v>105051</v>
      </c>
      <c r="AW765" s="68">
        <f t="shared" si="1373"/>
        <v>-1.5903180490826351E-2</v>
      </c>
      <c r="AX765" s="114"/>
      <c r="AY765" s="114"/>
      <c r="AZ765" s="116"/>
      <c r="BA765" s="116"/>
      <c r="BB765" s="166"/>
      <c r="BC765" s="166"/>
      <c r="BD765" s="166"/>
      <c r="BE765" s="166"/>
      <c r="BF765" s="166"/>
      <c r="BG765" s="166"/>
      <c r="BH765" s="166"/>
      <c r="BI765" s="113"/>
      <c r="BJ765" s="113"/>
      <c r="BK765" s="113">
        <f>INDEX('Dist. Plant Gas Additions'!$F$7:$AE$91,MATCH($C765,'Dist. Plant Gas Additions'!$D$7:$D$91,0),MATCH(Calculation!$G765,'Dist. Plant Gas Additions'!$F$5:$AE$5,0))</f>
        <v>9607</v>
      </c>
      <c r="BL765" s="113">
        <f>INDEX('Gen. Plant Additions'!$F$7:$AE$91,MATCH($C765,'Gen. Plant Additions'!$D$7:$D$91,0),MATCH(Calculation!$G765,'Gen. Plant Additions'!$F$5:$AE$5,0))</f>
        <v>1929</v>
      </c>
      <c r="BM765" s="231">
        <f t="shared" si="1374"/>
        <v>0.93328219268965229</v>
      </c>
      <c r="BN765" s="61">
        <f t="shared" si="1397"/>
        <v>1800.3013496983392</v>
      </c>
      <c r="BO765" s="113">
        <f>INDEX('Dist Plant Depreciation'!$E$7:$AD$94,MATCH($C765,'Dist Plant Depreciation'!$D$7:$D$94,0),MATCH(Calculation!$G765,'Dist Plant Depreciation'!$E$5:$AD$5,0))</f>
        <v>102130</v>
      </c>
      <c r="BP765" s="113">
        <f>INDEX('Gen. Plant Depreciation'!$E$7:$AD$94,MATCH($C765,'Gen. Plant Depreciation'!$D$7:$D$94,0),MATCH(Calculation!$G765,'Gen. Plant Depreciation'!$E$5:$AD$5,0))</f>
        <v>3450</v>
      </c>
      <c r="BQ765" s="113"/>
      <c r="BR765" s="113"/>
      <c r="BS765" s="113"/>
      <c r="BT765" s="113"/>
      <c r="BU765" s="113"/>
      <c r="BV765" s="113"/>
      <c r="BW765" s="113">
        <f>INDEX('Gross Dx Plant'!$E$7:$AD$91,MATCH($C765,'Gross Dx Plant'!$D$7:$D$91,0),MATCH(Calculation!$G765,'Gross Dx Plant'!$E$5:$AD$5,0))</f>
        <v>180060</v>
      </c>
      <c r="BX765" s="113">
        <f>INDEX('Gross Gen Plant'!$E$7:$AD$91,MATCH($C765,'Gross Gen Plant'!$D$7:$D$91,0),MATCH(Calculation!$G765,'Gross Gen Plant'!$E$5:$AD$5,0))</f>
        <v>12872</v>
      </c>
      <c r="BY765" s="113">
        <f t="shared" si="1325"/>
        <v>87352</v>
      </c>
      <c r="BZ765" s="113"/>
      <c r="CA765" s="116">
        <v>2010</v>
      </c>
      <c r="CB765" s="113"/>
      <c r="CC765" s="113"/>
      <c r="CD765" s="113"/>
      <c r="CE765" s="175"/>
      <c r="CF765" s="113">
        <f t="shared" si="1375"/>
        <v>11536</v>
      </c>
      <c r="CG765" s="113">
        <f t="shared" si="1376"/>
        <v>20.274539243138388</v>
      </c>
      <c r="CH765" s="178">
        <v>0.9285714285714286</v>
      </c>
      <c r="CI765" s="61">
        <f>+CI753*CH765+CG754*CH764+CG755*CH763+CG756*CH762+CG757*CH761+CG758*CH760+CG759*CH759+CG760*CH758+CG761*CH757+CG762*CH756+CG763*CH755+CG764*CH754+CG765</f>
        <v>481.27687686980846</v>
      </c>
      <c r="CJ765" s="114">
        <f t="shared" si="1377"/>
        <v>3.605172247176848E-2</v>
      </c>
      <c r="CK765" s="114"/>
      <c r="CL765" s="169">
        <f t="shared" si="1378"/>
        <v>6.9635372816404736E-3</v>
      </c>
      <c r="CM765" s="169">
        <f t="shared" si="1386"/>
        <v>6.7801695109173344E-3</v>
      </c>
      <c r="CN765" s="114">
        <f>VLOOKUP($H765,RoR!$E:$F,2,FALSE)</f>
        <v>4.9433333333333322E-2</v>
      </c>
      <c r="CO765" s="169">
        <v>1.1684333519300205E-2</v>
      </c>
      <c r="CP765" s="169">
        <f t="shared" si="1384"/>
        <v>3.7748999814033117E-2</v>
      </c>
      <c r="CQ765" s="169">
        <f t="shared" si="1387"/>
        <v>2.412177209761629E-2</v>
      </c>
      <c r="CR765" s="169">
        <f t="shared" si="1388"/>
        <v>4.7937530248493419E-2</v>
      </c>
      <c r="CS765" s="179">
        <f t="shared" si="1379"/>
        <v>0.85150049999999999</v>
      </c>
      <c r="CT765" s="180">
        <f t="shared" si="1380"/>
        <v>1.037398205301105</v>
      </c>
      <c r="CU765" s="180">
        <f t="shared" si="1381"/>
        <v>0.46926837491571133</v>
      </c>
      <c r="CV765" s="180">
        <f t="shared" si="1382"/>
        <v>0.8548537519972772</v>
      </c>
      <c r="CW765" s="180">
        <f t="shared" si="1383"/>
        <v>0.41615833911547367</v>
      </c>
      <c r="CX765" s="181">
        <f>INDEX('State Tax Lookup'!$D$7:$Z$91,MATCH(Calculation!$C765,'State Tax Lookup'!$B$7:$B$91,0),MATCH($H765,'State Tax Lookup'!$D$6:$Z$6,0))</f>
        <v>0.40134999999999998</v>
      </c>
      <c r="CY765" s="72">
        <v>0.37</v>
      </c>
      <c r="CZ765" s="70">
        <f t="shared" si="1385"/>
        <v>19.453863570231899</v>
      </c>
      <c r="DA765" s="70">
        <v>17.956102603965455</v>
      </c>
      <c r="DB765" s="69">
        <f t="shared" si="1389"/>
        <v>2.5332151589752706E-2</v>
      </c>
      <c r="DC765" s="111">
        <f>VLOOKUP($H765,RoR!$E:$F,2,FALSE)</f>
        <v>4.9433333333333322E-2</v>
      </c>
      <c r="DD765" s="216">
        <f>HLOOKUP($H765,'GDP-PI'!$D$8:$CQ$11,3,FALSE)</f>
        <v>1.1684333519300205E-2</v>
      </c>
      <c r="DE765" s="111">
        <f>VLOOKUP(H765,'HW Dx Data'!$E:$F,2,FALSE)</f>
        <v>568.98950262971744</v>
      </c>
      <c r="DF765" s="72">
        <f t="shared" si="1400"/>
        <v>116.925</v>
      </c>
      <c r="DG765" s="69">
        <f t="shared" si="1401"/>
        <v>5.2678406346976722E-2</v>
      </c>
      <c r="DH765" s="66">
        <f>HLOOKUP(H765,'GDP-PI'!$8:$9,2,FALSE)</f>
        <v>96.108999999999995</v>
      </c>
      <c r="DI765" s="69">
        <f t="shared" si="1390"/>
        <v>1.1616598807150427E-2</v>
      </c>
      <c r="EB765"/>
    </row>
    <row r="766" spans="1:132" s="160" customFormat="1" ht="21">
      <c r="A766" s="160" t="s">
        <v>204</v>
      </c>
      <c r="B766" s="161" t="s">
        <v>205</v>
      </c>
      <c r="C766" s="161">
        <v>4061925</v>
      </c>
      <c r="D766" s="161" t="s">
        <v>192</v>
      </c>
      <c r="E766" s="161"/>
      <c r="F766" s="161"/>
      <c r="G766" s="161" t="s">
        <v>127</v>
      </c>
      <c r="H766" s="162">
        <v>2011</v>
      </c>
      <c r="I766" s="163"/>
      <c r="J766" s="159">
        <f>IFERROR(INDEX('Labor Expenditures'!$F$7:$X$91,MATCH($C766,'Labor Expenditures'!$D$7:$D$91,0),MATCH($G766,'Labor Expenditures'!$F$5:$X$5,0)),"NA")</f>
        <v>6862.3872328165926</v>
      </c>
      <c r="K766" s="159">
        <f t="shared" si="1391"/>
        <v>56.7725934462593</v>
      </c>
      <c r="L766" s="165">
        <f t="shared" si="1398"/>
        <v>2.0015087510073366E-2</v>
      </c>
      <c r="M766" s="76">
        <f t="shared" si="1402"/>
        <v>5.2558127549175331E-5</v>
      </c>
      <c r="N766" s="62">
        <f t="shared" si="1408"/>
        <v>115.64747887863579</v>
      </c>
      <c r="O766" s="96">
        <f t="shared" si="1403"/>
        <v>0.18169282854881852</v>
      </c>
      <c r="P766" s="96"/>
      <c r="Q766" s="159">
        <f>IFERROR(INDEX('Non-Labor Expenditures'!$F$7:$AB$91,MATCH($C766,'Non-Labor Expenditures'!$D$7:$D$91,0),MATCH($G766,'Non-Labor Expenditures'!$F$5:$AB$5,0)),"NA")</f>
        <v>9938.018430254102</v>
      </c>
      <c r="R766" s="159">
        <f t="shared" si="1392"/>
        <v>101.29258837098523</v>
      </c>
      <c r="S766" s="165">
        <f t="shared" si="1404"/>
        <v>3.2612618458732583E-2</v>
      </c>
      <c r="T766" s="165">
        <f t="shared" si="1405"/>
        <v>8.5638304594171306E-5</v>
      </c>
      <c r="U766" s="165"/>
      <c r="V766" s="165"/>
      <c r="W766" s="159">
        <f t="shared" si="1372"/>
        <v>9999.8328809094346</v>
      </c>
      <c r="X766" s="163"/>
      <c r="Y766" s="167">
        <v>502.15368137106663</v>
      </c>
      <c r="Z766" s="168">
        <v>4.2463478946660339E-2</v>
      </c>
      <c r="AA766" s="76">
        <f t="shared" si="1393"/>
        <v>1.1150592979106663E-4</v>
      </c>
      <c r="AB766" s="168"/>
      <c r="AC766" s="168"/>
      <c r="AD766" s="163">
        <f t="shared" si="1410"/>
        <v>26800.238543980129</v>
      </c>
      <c r="AE766" s="168">
        <f t="shared" si="1406"/>
        <v>7.1115354857167565E-2</v>
      </c>
      <c r="AF766" s="163"/>
      <c r="AG766" s="163"/>
      <c r="AH766" s="163"/>
      <c r="AI766" s="163"/>
      <c r="AJ766" s="116">
        <f t="shared" si="1407"/>
        <v>249.66685184062572</v>
      </c>
      <c r="AK766" s="114">
        <f>+AV767/$AX$16</f>
        <v>3.0201802930366057E-3</v>
      </c>
      <c r="AL766" s="115">
        <f t="shared" si="1394"/>
        <v>0.25605694596916273</v>
      </c>
      <c r="AM766" s="115">
        <f t="shared" si="1395"/>
        <v>0.37081828260392036</v>
      </c>
      <c r="AN766" s="115">
        <f t="shared" si="1396"/>
        <v>0.37312477142691691</v>
      </c>
      <c r="AO766" s="115">
        <f t="shared" si="1399"/>
        <v>3.2977751973645809E-2</v>
      </c>
      <c r="AP766" s="166">
        <f t="shared" si="1411"/>
        <v>119.15293559199849</v>
      </c>
      <c r="AQ766" s="168">
        <f t="shared" si="1412"/>
        <v>3.2977751973645796E-2</v>
      </c>
      <c r="AR766" s="69">
        <f>+AD766/$AF$16</f>
        <v>2.6259254436296329E-3</v>
      </c>
      <c r="AS766" s="169">
        <f t="shared" si="1409"/>
        <v>8.6597117981303842E-5</v>
      </c>
      <c r="AT766" s="115"/>
      <c r="AU766" s="115"/>
      <c r="AV766" s="113">
        <v>106100</v>
      </c>
      <c r="AW766" s="68">
        <f t="shared" si="1373"/>
        <v>9.9360990977009882E-3</v>
      </c>
      <c r="AX766" s="114"/>
      <c r="AY766" s="114"/>
      <c r="AZ766" s="116"/>
      <c r="BA766" s="116"/>
      <c r="BB766" s="166"/>
      <c r="BC766" s="166"/>
      <c r="BD766" s="166"/>
      <c r="BE766" s="166"/>
      <c r="BF766" s="166"/>
      <c r="BG766" s="166"/>
      <c r="BH766" s="166"/>
      <c r="BI766" s="113"/>
      <c r="BJ766" s="113"/>
      <c r="BK766" s="113">
        <f>INDEX('Dist. Plant Gas Additions'!$F$7:$AE$91,MATCH($C766,'Dist. Plant Gas Additions'!$D$7:$D$91,0),MATCH(Calculation!$G766,'Dist. Plant Gas Additions'!$F$5:$AE$5,0))</f>
        <v>13190</v>
      </c>
      <c r="BL766" s="113">
        <f>INDEX('Gen. Plant Additions'!$F$7:$AE$91,MATCH($C766,'Gen. Plant Additions'!$D$7:$D$91,0),MATCH(Calculation!$G766,'Gen. Plant Additions'!$F$5:$AE$5,0))</f>
        <v>1687</v>
      </c>
      <c r="BM766" s="231">
        <f t="shared" si="1374"/>
        <v>0.93211331548964471</v>
      </c>
      <c r="BN766" s="61">
        <f t="shared" si="1397"/>
        <v>1572.4751632310306</v>
      </c>
      <c r="BO766" s="113">
        <f>INDEX('Dist Plant Depreciation'!$E$7:$AD$94,MATCH($C766,'Dist Plant Depreciation'!$D$7:$D$94,0),MATCH(Calculation!$G766,'Dist Plant Depreciation'!$E$5:$AD$5,0))</f>
        <v>108108</v>
      </c>
      <c r="BP766" s="113">
        <f>INDEX('Gen. Plant Depreciation'!$E$7:$AD$94,MATCH($C766,'Gen. Plant Depreciation'!$D$7:$D$94,0),MATCH(Calculation!$G766,'Gen. Plant Depreciation'!$E$5:$AD$5,0))</f>
        <v>4215</v>
      </c>
      <c r="BQ766" s="113"/>
      <c r="BR766" s="113"/>
      <c r="BS766" s="113"/>
      <c r="BT766" s="113"/>
      <c r="BU766" s="113"/>
      <c r="BV766" s="113"/>
      <c r="BW766" s="113">
        <f>INDEX('Gross Dx Plant'!$E$7:$AD$91,MATCH($C766,'Gross Dx Plant'!$D$7:$D$91,0),MATCH(Calculation!$G766,'Gross Dx Plant'!$E$5:$AD$5,0))</f>
        <v>192583</v>
      </c>
      <c r="BX766" s="113">
        <f>INDEX('Gross Gen Plant'!$E$7:$AD$91,MATCH($C766,'Gross Gen Plant'!$D$7:$D$91,0),MATCH(Calculation!$G766,'Gross Gen Plant'!$E$5:$AD$5,0))</f>
        <v>14026</v>
      </c>
      <c r="BY766" s="113">
        <f t="shared" si="1325"/>
        <v>94286</v>
      </c>
      <c r="BZ766" s="113"/>
      <c r="CA766" s="116">
        <v>2011</v>
      </c>
      <c r="CB766" s="113"/>
      <c r="CC766" s="113"/>
      <c r="CD766" s="113"/>
      <c r="CE766" s="175"/>
      <c r="CF766" s="113">
        <f t="shared" si="1375"/>
        <v>14877</v>
      </c>
      <c r="CG766" s="113">
        <f t="shared" si="1376"/>
        <v>24.324280730531743</v>
      </c>
      <c r="CH766" s="178">
        <v>0.92121212121212126</v>
      </c>
      <c r="CI766" s="61">
        <f>+CI753*CH766+CG754*CH765+CG755*CH764+CG756*CH763+CG757*CH762+CG758*CH761+CG759*CH760+CG760*CH759+CG761*CH758+CG762*CH757+CG763*CH756+CG764*CH755+CG765*CH754+CG766</f>
        <v>502.15368137106663</v>
      </c>
      <c r="CJ766" s="114">
        <f t="shared" si="1377"/>
        <v>4.2463478946660339E-2</v>
      </c>
      <c r="CK766" s="114"/>
      <c r="CL766" s="169">
        <f t="shared" si="1378"/>
        <v>7.1631869199611804E-3</v>
      </c>
      <c r="CM766" s="169">
        <f t="shared" si="1386"/>
        <v>6.9771883761866995E-3</v>
      </c>
      <c r="CN766" s="114">
        <f>VLOOKUP($H766,RoR!$E:$F,2,FALSE)</f>
        <v>4.6391666666666664E-2</v>
      </c>
      <c r="CO766" s="169">
        <v>2.0840920205183799E-2</v>
      </c>
      <c r="CP766" s="169">
        <f t="shared" si="1384"/>
        <v>2.5550746461482865E-2</v>
      </c>
      <c r="CQ766" s="169">
        <f t="shared" si="1387"/>
        <v>2.3924753232346926E-2</v>
      </c>
      <c r="CR766" s="169">
        <f t="shared" si="1388"/>
        <v>2.4810540821321614E-2</v>
      </c>
      <c r="CS766" s="179">
        <f t="shared" si="1379"/>
        <v>0.85150049999999999</v>
      </c>
      <c r="CT766" s="180">
        <f t="shared" si="1380"/>
        <v>1.1054151524782025</v>
      </c>
      <c r="CU766" s="180">
        <f t="shared" si="1381"/>
        <v>0.43611011316687626</v>
      </c>
      <c r="CV766" s="180">
        <f t="shared" si="1382"/>
        <v>0.83698442246886229</v>
      </c>
      <c r="CW766" s="180">
        <f t="shared" si="1383"/>
        <v>0.40349573304423936</v>
      </c>
      <c r="CX766" s="181">
        <f>INDEX('State Tax Lookup'!$D$7:$Z$91,MATCH(Calculation!$C766,'State Tax Lookup'!$B$7:$B$91,0),MATCH($H766,'State Tax Lookup'!$D$6:$Z$6,0))</f>
        <v>0.40134999999999998</v>
      </c>
      <c r="CY766" s="72">
        <v>0.37</v>
      </c>
      <c r="CZ766" s="70">
        <f t="shared" si="1385"/>
        <v>20.777713124195071</v>
      </c>
      <c r="DA766" s="70">
        <v>19.146574949201604</v>
      </c>
      <c r="DB766" s="69">
        <f t="shared" si="1389"/>
        <v>6.5835236362826038E-2</v>
      </c>
      <c r="DC766" s="111">
        <f>VLOOKUP($H766,RoR!$E:$F,2,FALSE)</f>
        <v>4.6391666666666664E-2</v>
      </c>
      <c r="DD766" s="216">
        <f>HLOOKUP($H766,'GDP-PI'!$D$8:$CQ$11,3,FALSE)</f>
        <v>2.0840920205183799E-2</v>
      </c>
      <c r="DE766" s="111">
        <f>VLOOKUP(H766,'HW Dx Data'!$E:$F,2,FALSE)</f>
        <v>611.61109612283201</v>
      </c>
      <c r="DF766" s="72">
        <f t="shared" si="1400"/>
        <v>120.875</v>
      </c>
      <c r="DG766" s="69">
        <f t="shared" si="1401"/>
        <v>3.3224250161508609E-2</v>
      </c>
      <c r="DH766" s="66">
        <f>HLOOKUP(H766,'GDP-PI'!$8:$9,2,FALSE)</f>
        <v>98.111999999999995</v>
      </c>
      <c r="DI766" s="69">
        <f t="shared" si="1390"/>
        <v>2.0626719212849295E-2</v>
      </c>
      <c r="EB766"/>
    </row>
    <row r="767" spans="1:132" s="160" customFormat="1" ht="21">
      <c r="A767" s="160" t="s">
        <v>204</v>
      </c>
      <c r="B767" s="161" t="s">
        <v>205</v>
      </c>
      <c r="C767" s="161">
        <v>4061925</v>
      </c>
      <c r="D767" s="161" t="s">
        <v>192</v>
      </c>
      <c r="E767" s="161"/>
      <c r="F767" s="161"/>
      <c r="G767" s="161" t="s">
        <v>128</v>
      </c>
      <c r="H767" s="162">
        <v>2012</v>
      </c>
      <c r="I767" s="163"/>
      <c r="J767" s="159">
        <f>IFERROR(INDEX('Labor Expenditures'!$F$7:$X$91,MATCH($C767,'Labor Expenditures'!$D$7:$D$91,0),MATCH($G767,'Labor Expenditures'!$F$5:$X$5,0)),"NA")</f>
        <v>7214.0322747699292</v>
      </c>
      <c r="K767" s="159">
        <f t="shared" si="1391"/>
        <v>57.804745791425709</v>
      </c>
      <c r="L767" s="165">
        <f t="shared" si="1398"/>
        <v>1.8017179892956779E-2</v>
      </c>
      <c r="M767" s="76">
        <f t="shared" si="1402"/>
        <v>4.8786269956756361E-5</v>
      </c>
      <c r="N767" s="62">
        <f t="shared" si="1408"/>
        <v>115.63808188641949</v>
      </c>
      <c r="O767" s="96">
        <f t="shared" si="1403"/>
        <v>-8.12587884033481E-5</v>
      </c>
      <c r="P767" s="96"/>
      <c r="Q767" s="159">
        <f>IFERROR(INDEX('Non-Labor Expenditures'!$F$7:$AB$91,MATCH($C767,'Non-Labor Expenditures'!$D$7:$D$91,0),MATCH($G767,'Non-Labor Expenditures'!$F$5:$AB$5,0)),"NA")</f>
        <v>10447.266129236748</v>
      </c>
      <c r="R767" s="159">
        <f t="shared" si="1392"/>
        <v>104.47266129236749</v>
      </c>
      <c r="S767" s="165">
        <f t="shared" si="1404"/>
        <v>3.0912179316083421E-2</v>
      </c>
      <c r="T767" s="165">
        <f t="shared" si="1405"/>
        <v>8.3702884359590813E-5</v>
      </c>
      <c r="U767" s="165"/>
      <c r="V767" s="165"/>
      <c r="W767" s="159">
        <f t="shared" si="1372"/>
        <v>11295.617626756477</v>
      </c>
      <c r="X767" s="163"/>
      <c r="Y767" s="167">
        <v>515.55833012237588</v>
      </c>
      <c r="Z767" s="168">
        <v>2.6344238542113475E-2</v>
      </c>
      <c r="AA767" s="76">
        <f t="shared" si="1393"/>
        <v>7.1333979066455041E-5</v>
      </c>
      <c r="AB767" s="168"/>
      <c r="AC767" s="168"/>
      <c r="AD767" s="163">
        <f t="shared" si="1410"/>
        <v>28956.916030763154</v>
      </c>
      <c r="AE767" s="168">
        <f t="shared" si="1406"/>
        <v>7.7398282824560918E-2</v>
      </c>
      <c r="AF767" s="163"/>
      <c r="AG767" s="163"/>
      <c r="AH767" s="163"/>
      <c r="AI767" s="163"/>
      <c r="AJ767" s="116">
        <f t="shared" si="1407"/>
        <v>265.21451169837019</v>
      </c>
      <c r="AK767" s="114">
        <f>+AV768/$AX$17</f>
        <v>3.0571999041592206E-3</v>
      </c>
      <c r="AL767" s="115">
        <f t="shared" si="1394"/>
        <v>0.24912985440527952</v>
      </c>
      <c r="AM767" s="115">
        <f t="shared" si="1395"/>
        <v>0.36078656021717975</v>
      </c>
      <c r="AN767" s="115">
        <f t="shared" si="1396"/>
        <v>0.39008358537754073</v>
      </c>
      <c r="AO767" s="115">
        <f t="shared" si="1399"/>
        <v>2.5911842280342764E-2</v>
      </c>
      <c r="AP767" s="166">
        <f t="shared" si="1411"/>
        <v>122.28075646105538</v>
      </c>
      <c r="AQ767" s="168">
        <f t="shared" si="1412"/>
        <v>2.5911842280342778E-2</v>
      </c>
      <c r="AR767" s="69">
        <f>+AD767/$AF$17</f>
        <v>2.7077639367872296E-3</v>
      </c>
      <c r="AS767" s="169">
        <f t="shared" si="1409"/>
        <v>7.0163152062430748E-5</v>
      </c>
      <c r="AT767" s="115"/>
      <c r="AU767" s="115"/>
      <c r="AV767" s="113">
        <v>107344</v>
      </c>
      <c r="AW767" s="68">
        <f t="shared" si="1373"/>
        <v>1.1656585200594741E-2</v>
      </c>
      <c r="AX767" s="114"/>
      <c r="AY767" s="114"/>
      <c r="AZ767" s="116"/>
      <c r="BA767" s="116"/>
      <c r="BB767" s="166"/>
      <c r="BC767" s="166"/>
      <c r="BD767" s="166"/>
      <c r="BE767" s="166"/>
      <c r="BF767" s="166"/>
      <c r="BG767" s="166"/>
      <c r="BH767" s="166"/>
      <c r="BI767" s="113"/>
      <c r="BJ767" s="113"/>
      <c r="BK767" s="113">
        <f>INDEX('Dist. Plant Gas Additions'!$F$7:$AE$91,MATCH($C767,'Dist. Plant Gas Additions'!$D$7:$D$91,0),MATCH(Calculation!$G767,'Dist. Plant Gas Additions'!$F$5:$AE$5,0))</f>
        <v>10056</v>
      </c>
      <c r="BL767" s="113">
        <f>INDEX('Gen. Plant Additions'!$F$7:$AE$91,MATCH($C767,'Gen. Plant Additions'!$D$7:$D$91,0),MATCH(Calculation!$G767,'Gen. Plant Additions'!$F$5:$AE$5,0))</f>
        <v>1380</v>
      </c>
      <c r="BM767" s="231">
        <f t="shared" si="1374"/>
        <v>0.93094184065845298</v>
      </c>
      <c r="BN767" s="61">
        <f t="shared" si="1397"/>
        <v>1284.6997401086651</v>
      </c>
      <c r="BO767" s="113">
        <f>INDEX('Dist Plant Depreciation'!$E$7:$AD$94,MATCH($C767,'Dist Plant Depreciation'!$D$7:$D$94,0),MATCH(Calculation!$G767,'Dist Plant Depreciation'!$E$5:$AD$5,0))</f>
        <v>114575</v>
      </c>
      <c r="BP767" s="113">
        <f>INDEX('Gen. Plant Depreciation'!$E$7:$AD$94,MATCH($C767,'Gen. Plant Depreciation'!$D$7:$D$94,0),MATCH(Calculation!$G767,'Gen. Plant Depreciation'!$E$5:$AD$5,0))</f>
        <v>4639</v>
      </c>
      <c r="BQ767" s="113"/>
      <c r="BR767" s="113"/>
      <c r="BS767" s="113"/>
      <c r="BT767" s="113"/>
      <c r="BU767" s="113"/>
      <c r="BV767" s="113"/>
      <c r="BW767" s="113">
        <f>INDEX('Gross Dx Plant'!$E$7:$AD$91,MATCH($C767,'Gross Dx Plant'!$D$7:$D$91,0),MATCH(Calculation!$G767,'Gross Dx Plant'!$E$5:$AD$5,0))</f>
        <v>201669</v>
      </c>
      <c r="BX767" s="113">
        <f>INDEX('Gross Gen Plant'!$E$7:$AD$91,MATCH($C767,'Gross Gen Plant'!$D$7:$D$91,0),MATCH(Calculation!$G767,'Gross Gen Plant'!$E$5:$AD$5,0))</f>
        <v>14960</v>
      </c>
      <c r="BY767" s="113">
        <f t="shared" si="1325"/>
        <v>97415</v>
      </c>
      <c r="BZ767" s="113"/>
      <c r="CA767" s="116">
        <v>2012</v>
      </c>
      <c r="CB767" s="113"/>
      <c r="CC767" s="113"/>
      <c r="CD767" s="113"/>
      <c r="CE767" s="175"/>
      <c r="CF767" s="113">
        <f t="shared" si="1375"/>
        <v>11436</v>
      </c>
      <c r="CG767" s="113">
        <f t="shared" si="1376"/>
        <v>17.096232119416328</v>
      </c>
      <c r="CH767" s="178">
        <v>0.9135802469135802</v>
      </c>
      <c r="CI767" s="61">
        <f>+CI753*CH767+CG754*CH766+CG755*CH765+CG756*CH764+CG757*CH763+CG758*CH762+CG759*CH761+CG760*CH760+CG761*CH759+CG762*CH758+CG763*CH757+CG764*CH756+CG765*CH755+CG766*CH754+CG767</f>
        <v>515.55833012237588</v>
      </c>
      <c r="CJ767" s="114">
        <f t="shared" si="1377"/>
        <v>2.6344238542113475E-2</v>
      </c>
      <c r="CK767" s="114"/>
      <c r="CL767" s="169">
        <f t="shared" si="1378"/>
        <v>7.3515011540444698E-3</v>
      </c>
      <c r="CM767" s="169">
        <f t="shared" si="1386"/>
        <v>7.1594084518820413E-3</v>
      </c>
      <c r="CN767" s="114">
        <f>VLOOKUP($H767,RoR!$E:$F,2,FALSE)</f>
        <v>3.6733333333333333E-2</v>
      </c>
      <c r="CO767" s="169">
        <v>1.924331376386168E-2</v>
      </c>
      <c r="CP767" s="169">
        <f t="shared" si="1384"/>
        <v>1.7490019569471653E-2</v>
      </c>
      <c r="CQ767" s="169">
        <f t="shared" si="1387"/>
        <v>2.3742533156651584E-2</v>
      </c>
      <c r="CR767" s="169">
        <f t="shared" si="1388"/>
        <v>6.7122682943869583E-2</v>
      </c>
      <c r="CS767" s="179">
        <f t="shared" si="1379"/>
        <v>0.85150049999999999</v>
      </c>
      <c r="CT767" s="180">
        <f t="shared" si="1380"/>
        <v>1.3960631020522127</v>
      </c>
      <c r="CU767" s="180">
        <f t="shared" si="1381"/>
        <v>0.29441923774954631</v>
      </c>
      <c r="CV767" s="180">
        <f t="shared" si="1382"/>
        <v>0.76377954189366437</v>
      </c>
      <c r="CW767" s="180">
        <f t="shared" si="1383"/>
        <v>0.31393465103033691</v>
      </c>
      <c r="CX767" s="181">
        <f>INDEX('State Tax Lookup'!$D$7:$Z$91,MATCH(Calculation!$C767,'State Tax Lookup'!$B$7:$B$91,0),MATCH($H767,'State Tax Lookup'!$D$6:$Z$6,0))</f>
        <v>0.40134999999999998</v>
      </c>
      <c r="CY767" s="72">
        <v>0.37</v>
      </c>
      <c r="CZ767" s="70">
        <f t="shared" si="1385"/>
        <v>22.494343954454806</v>
      </c>
      <c r="DA767" s="70">
        <v>20.759737328210988</v>
      </c>
      <c r="DB767" s="69">
        <f t="shared" si="1389"/>
        <v>7.938296996339736E-2</v>
      </c>
      <c r="DC767" s="111">
        <f>VLOOKUP($H767,RoR!$E:$F,2,FALSE)</f>
        <v>3.6733333333333333E-2</v>
      </c>
      <c r="DD767" s="216">
        <f>HLOOKUP($H767,'GDP-PI'!$D$8:$CQ$11,3,FALSE)</f>
        <v>1.924331376386168E-2</v>
      </c>
      <c r="DE767" s="111">
        <f>VLOOKUP(H767,'HW Dx Data'!$E:$F,2,FALSE)</f>
        <v>668.91932211262167</v>
      </c>
      <c r="DF767" s="72">
        <f t="shared" si="1400"/>
        <v>124.80000000000001</v>
      </c>
      <c r="DG767" s="69">
        <f t="shared" si="1401"/>
        <v>3.1955502161869064E-2</v>
      </c>
      <c r="DH767" s="66">
        <f>HLOOKUP(H767,'GDP-PI'!$8:$9,2,FALSE)</f>
        <v>100</v>
      </c>
      <c r="DI767" s="69">
        <f t="shared" si="1390"/>
        <v>1.9060502738742411E-2</v>
      </c>
      <c r="EB767"/>
    </row>
    <row r="768" spans="1:132" s="160" customFormat="1" ht="21">
      <c r="A768" s="160" t="s">
        <v>204</v>
      </c>
      <c r="B768" s="161" t="s">
        <v>205</v>
      </c>
      <c r="C768" s="161">
        <v>4061925</v>
      </c>
      <c r="D768" s="161" t="s">
        <v>192</v>
      </c>
      <c r="E768" s="161"/>
      <c r="F768" s="161"/>
      <c r="G768" s="161" t="s">
        <v>129</v>
      </c>
      <c r="H768" s="162">
        <v>2013</v>
      </c>
      <c r="I768" s="163"/>
      <c r="J768" s="159">
        <f>IFERROR(INDEX('Labor Expenditures'!$F$7:$X$91,MATCH($C768,'Labor Expenditures'!$D$7:$D$91,0),MATCH($G768,'Labor Expenditures'!$F$5:$X$5,0)),"NA")</f>
        <v>7479.0731696101775</v>
      </c>
      <c r="K768" s="159">
        <f t="shared" si="1391"/>
        <v>58.983226889670171</v>
      </c>
      <c r="L768" s="165">
        <f t="shared" si="1398"/>
        <v>2.0182234056246185E-2</v>
      </c>
      <c r="M768" s="76">
        <f t="shared" si="1402"/>
        <v>5.4076593627527324E-5</v>
      </c>
      <c r="N768" s="62">
        <f t="shared" si="1408"/>
        <v>107.73104911349238</v>
      </c>
      <c r="O768" s="96">
        <f t="shared" si="1403"/>
        <v>-7.0827494853572287E-2</v>
      </c>
      <c r="P768" s="96"/>
      <c r="Q768" s="159">
        <f>IFERROR(INDEX('Non-Labor Expenditures'!$F$7:$AB$91,MATCH($C768,'Non-Labor Expenditures'!$D$7:$D$91,0),MATCH($G768,'Non-Labor Expenditures'!$F$5:$AB$5,0)),"NA")</f>
        <v>10831.09484777619</v>
      </c>
      <c r="R768" s="159">
        <f t="shared" si="1392"/>
        <v>106.42405007002044</v>
      </c>
      <c r="S768" s="165">
        <f t="shared" si="1404"/>
        <v>1.8506163107533887E-2</v>
      </c>
      <c r="T768" s="165">
        <f t="shared" si="1405"/>
        <v>4.9585702909888058E-5</v>
      </c>
      <c r="U768" s="165"/>
      <c r="V768" s="165"/>
      <c r="W768" s="159">
        <f t="shared" si="1372"/>
        <v>11407.856514401148</v>
      </c>
      <c r="X768" s="163"/>
      <c r="Y768" s="167">
        <v>530.75717526045571</v>
      </c>
      <c r="Z768" s="168">
        <v>2.9054170015976755E-2</v>
      </c>
      <c r="AA768" s="76">
        <f t="shared" si="1393"/>
        <v>7.7848197615804082E-5</v>
      </c>
      <c r="AB768" s="168"/>
      <c r="AC768" s="168"/>
      <c r="AD768" s="163">
        <f t="shared" si="1410"/>
        <v>29718.024531787516</v>
      </c>
      <c r="AE768" s="168">
        <f t="shared" si="1406"/>
        <v>2.5944677123092019E-2</v>
      </c>
      <c r="AF768" s="163"/>
      <c r="AG768" s="163"/>
      <c r="AH768" s="163"/>
      <c r="AI768" s="163"/>
      <c r="AJ768" s="116">
        <f t="shared" si="1407"/>
        <v>269.66375568752056</v>
      </c>
      <c r="AK768" s="114">
        <f>+AV769/$AX$18</f>
        <v>3.0661218849944434E-3</v>
      </c>
      <c r="AL768" s="115">
        <f t="shared" si="1394"/>
        <v>0.25166791156021423</v>
      </c>
      <c r="AM768" s="115">
        <f t="shared" si="1395"/>
        <v>0.36446214102121238</v>
      </c>
      <c r="AN768" s="115">
        <f t="shared" si="1396"/>
        <v>0.38386994741857339</v>
      </c>
      <c r="AO768" s="115">
        <f t="shared" si="1399"/>
        <v>2.3007683006264865E-2</v>
      </c>
      <c r="AP768" s="166">
        <f t="shared" si="1411"/>
        <v>125.12676786316857</v>
      </c>
      <c r="AQ768" s="168">
        <f t="shared" si="1412"/>
        <v>2.3007683006264865E-2</v>
      </c>
      <c r="AR768" s="69">
        <f>+AD768/$AF$18</f>
        <v>2.6794156423327773E-3</v>
      </c>
      <c r="AS768" s="169">
        <f t="shared" si="1409"/>
        <v>6.1647145740820102E-5</v>
      </c>
      <c r="AT768" s="115"/>
      <c r="AU768" s="115"/>
      <c r="AV768" s="113">
        <v>109183</v>
      </c>
      <c r="AW768" s="68">
        <f t="shared" si="1373"/>
        <v>1.6986742715570751E-2</v>
      </c>
      <c r="AX768" s="114"/>
      <c r="AY768" s="114"/>
      <c r="AZ768" s="116"/>
      <c r="BA768" s="116"/>
      <c r="BB768" s="166"/>
      <c r="BC768" s="166"/>
      <c r="BD768" s="166"/>
      <c r="BE768" s="166"/>
      <c r="BF768" s="166"/>
      <c r="BG768" s="166"/>
      <c r="BH768" s="166"/>
      <c r="BI768" s="113"/>
      <c r="BJ768" s="113"/>
      <c r="BK768" s="113">
        <f>INDEX('Dist. Plant Gas Additions'!$F$7:$AE$91,MATCH($C768,'Dist. Plant Gas Additions'!$D$7:$D$91,0),MATCH(Calculation!$G768,'Dist. Plant Gas Additions'!$F$5:$AE$5,0))</f>
        <v>11933</v>
      </c>
      <c r="BL768" s="113">
        <f>INDEX('Gen. Plant Additions'!$F$7:$AE$91,MATCH($C768,'Gen. Plant Additions'!$D$7:$D$91,0),MATCH(Calculation!$G768,'Gen. Plant Additions'!$F$5:$AE$5,0))</f>
        <v>741</v>
      </c>
      <c r="BM768" s="231">
        <f t="shared" si="1374"/>
        <v>0.93346150300891484</v>
      </c>
      <c r="BN768" s="61">
        <f t="shared" si="1397"/>
        <v>691.69497372960586</v>
      </c>
      <c r="BO768" s="113">
        <f>INDEX('Dist Plant Depreciation'!$E$7:$AD$94,MATCH($C768,'Dist Plant Depreciation'!$D$7:$D$94,0),MATCH(Calculation!$G768,'Dist Plant Depreciation'!$E$5:$AD$5,0))</f>
        <v>121224</v>
      </c>
      <c r="BP768" s="113">
        <f>INDEX('Gen. Plant Depreciation'!$E$7:$AD$94,MATCH($C768,'Gen. Plant Depreciation'!$D$7:$D$94,0),MATCH(Calculation!$G768,'Gen. Plant Depreciation'!$E$5:$AD$5,0))</f>
        <v>5081</v>
      </c>
      <c r="BQ768" s="113"/>
      <c r="BR768" s="113"/>
      <c r="BS768" s="113"/>
      <c r="BT768" s="113"/>
      <c r="BU768" s="113"/>
      <c r="BV768" s="113"/>
      <c r="BW768" s="113">
        <f>INDEX('Gross Dx Plant'!$E$7:$AD$91,MATCH($C768,'Gross Dx Plant'!$D$7:$D$91,0),MATCH(Calculation!$G768,'Gross Dx Plant'!$E$5:$AD$5,0))</f>
        <v>212664</v>
      </c>
      <c r="BX768" s="113">
        <f>INDEX('Gross Gen Plant'!$E$7:$AD$91,MATCH($C768,'Gross Gen Plant'!$D$7:$D$91,0),MATCH(Calculation!$G768,'Gross Gen Plant'!$E$5:$AD$5,0))</f>
        <v>15159</v>
      </c>
      <c r="BY768" s="113">
        <f t="shared" si="1325"/>
        <v>101518</v>
      </c>
      <c r="BZ768" s="113"/>
      <c r="CA768" s="116">
        <v>2013</v>
      </c>
      <c r="CB768" s="113"/>
      <c r="CC768" s="113"/>
      <c r="CD768" s="113"/>
      <c r="CE768" s="175"/>
      <c r="CF768" s="113">
        <f t="shared" si="1375"/>
        <v>12674</v>
      </c>
      <c r="CG768" s="113">
        <f t="shared" si="1376"/>
        <v>19.108979222755508</v>
      </c>
      <c r="CH768" s="178">
        <v>0.90566037735849059</v>
      </c>
      <c r="CI768" s="61">
        <f>+CI753*CH768+CG754*CH767+CG755*CH766+CG756*CH765+CG757*CH764+CG758*CH763+CG759*CH762+CG760*CH761+CG761*CH760+CG762*CH759+CG763*CH758+CG764*CH757+CG765*CH756+CG766*CH755+CG767*CH754+CG768</f>
        <v>530.75717526045571</v>
      </c>
      <c r="CJ768" s="114">
        <f t="shared" si="1377"/>
        <v>2.9054170015976755E-2</v>
      </c>
      <c r="CK768" s="114"/>
      <c r="CL768" s="169">
        <f t="shared" si="1378"/>
        <v>7.5842709858796068E-3</v>
      </c>
      <c r="CM768" s="169">
        <f t="shared" si="1386"/>
        <v>7.3663196866284196E-3</v>
      </c>
      <c r="CN768" s="114">
        <f>VLOOKUP($H768,RoR!$E:$F,2,FALSE)</f>
        <v>4.2350000000000006E-2</v>
      </c>
      <c r="CO768" s="169">
        <v>1.7730000000000024E-2</v>
      </c>
      <c r="CP768" s="169">
        <f t="shared" si="1384"/>
        <v>2.4619999999999982E-2</v>
      </c>
      <c r="CQ768" s="169">
        <f t="shared" si="1387"/>
        <v>2.3535621921905205E-2</v>
      </c>
      <c r="CR768" s="169">
        <f t="shared" si="1388"/>
        <v>5.3376742735721204E-2</v>
      </c>
      <c r="CS768" s="179">
        <f t="shared" si="1379"/>
        <v>0.85150049999999999</v>
      </c>
      <c r="CT768" s="180">
        <f t="shared" si="1380"/>
        <v>1.2109103018193925</v>
      </c>
      <c r="CU768" s="180">
        <f t="shared" si="1381"/>
        <v>0.38468122786304604</v>
      </c>
      <c r="CV768" s="180">
        <f t="shared" si="1382"/>
        <v>0.80969194503422559</v>
      </c>
      <c r="CW768" s="180">
        <f t="shared" si="1383"/>
        <v>0.37716621754800816</v>
      </c>
      <c r="CX768" s="181">
        <f>INDEX('State Tax Lookup'!$D$7:$Z$91,MATCH(Calculation!$C768,'State Tax Lookup'!$B$7:$B$91,0),MATCH($H768,'State Tax Lookup'!$D$6:$Z$6,0))</f>
        <v>0.40134999999999998</v>
      </c>
      <c r="CY768" s="72">
        <v>0.37</v>
      </c>
      <c r="CZ768" s="70">
        <f t="shared" si="1385"/>
        <v>22.127188812356721</v>
      </c>
      <c r="DA768" s="70">
        <v>20.339519021246105</v>
      </c>
      <c r="DB768" s="69">
        <f t="shared" si="1389"/>
        <v>-1.6456782434306538E-2</v>
      </c>
      <c r="DC768" s="111">
        <f>VLOOKUP($H768,RoR!$E:$F,2,FALSE)</f>
        <v>4.2350000000000006E-2</v>
      </c>
      <c r="DD768" s="216">
        <f>HLOOKUP($H768,'GDP-PI'!$D$8:$CQ$11,3,FALSE)</f>
        <v>1.7730000000000024E-2</v>
      </c>
      <c r="DE768" s="111">
        <f>VLOOKUP(H768,'HW Dx Data'!$E:$F,2,FALSE)</f>
        <v>663.24840548821396</v>
      </c>
      <c r="DF768" s="72">
        <f t="shared" si="1400"/>
        <v>126.8</v>
      </c>
      <c r="DG768" s="69">
        <f t="shared" si="1401"/>
        <v>1.5898586067798204E-2</v>
      </c>
      <c r="DH768" s="66">
        <f>HLOOKUP(H768,'GDP-PI'!$8:$9,2,FALSE)</f>
        <v>101.773</v>
      </c>
      <c r="DI768" s="69">
        <f t="shared" si="1390"/>
        <v>1.7574657016510519E-2</v>
      </c>
      <c r="EB768"/>
    </row>
    <row r="769" spans="1:132" s="160" customFormat="1" ht="21">
      <c r="A769" s="160" t="s">
        <v>204</v>
      </c>
      <c r="B769" s="161" t="s">
        <v>205</v>
      </c>
      <c r="C769" s="161">
        <v>4061925</v>
      </c>
      <c r="D769" s="161" t="s">
        <v>192</v>
      </c>
      <c r="E769" s="161"/>
      <c r="F769" s="161"/>
      <c r="G769" s="161" t="s">
        <v>130</v>
      </c>
      <c r="H769" s="162">
        <v>2014</v>
      </c>
      <c r="I769" s="163"/>
      <c r="J769" s="159">
        <f>IFERROR(INDEX('Labor Expenditures'!$F$7:$X$91,MATCH($C769,'Labor Expenditures'!$D$7:$D$91,0),MATCH($G769,'Labor Expenditures'!$F$5:$X$5,0)),"NA")</f>
        <v>7839.9174294723143</v>
      </c>
      <c r="K769" s="159">
        <f t="shared" si="1391"/>
        <v>60.586688017560384</v>
      </c>
      <c r="L769" s="165">
        <f t="shared" si="1398"/>
        <v>2.6822085785064839E-2</v>
      </c>
      <c r="M769" s="76">
        <f t="shared" si="1402"/>
        <v>7.3536958589168758E-5</v>
      </c>
      <c r="N769" s="62">
        <f t="shared" si="1408"/>
        <v>119.72941540416957</v>
      </c>
      <c r="O769" s="96">
        <f t="shared" si="1403"/>
        <v>0.10559648988062076</v>
      </c>
      <c r="P769" s="96"/>
      <c r="Q769" s="159">
        <f>IFERROR(INDEX('Non-Labor Expenditures'!$F$7:$AB$91,MATCH($C769,'Non-Labor Expenditures'!$D$7:$D$91,0),MATCH($G769,'Non-Labor Expenditures'!$F$5:$AB$5,0)),"NA")</f>
        <v>11353.66473246768</v>
      </c>
      <c r="R769" s="159">
        <f t="shared" si="1392"/>
        <v>109.54166287946278</v>
      </c>
      <c r="S769" s="165">
        <f t="shared" si="1404"/>
        <v>2.8873373950483491E-2</v>
      </c>
      <c r="T769" s="165">
        <f t="shared" si="1405"/>
        <v>7.9160887096579538E-5</v>
      </c>
      <c r="U769" s="165"/>
      <c r="V769" s="165"/>
      <c r="W769" s="159">
        <f t="shared" si="1372"/>
        <v>12019.473391644309</v>
      </c>
      <c r="X769" s="163"/>
      <c r="Y769" s="167">
        <v>558.10297114099671</v>
      </c>
      <c r="Z769" s="168">
        <v>5.0238861863135024E-2</v>
      </c>
      <c r="AA769" s="76">
        <f t="shared" si="1393"/>
        <v>1.3773772606653377E-4</v>
      </c>
      <c r="AB769" s="168"/>
      <c r="AC769" s="168"/>
      <c r="AD769" s="163">
        <f t="shared" si="1410"/>
        <v>31213.055553584301</v>
      </c>
      <c r="AE769" s="168">
        <f t="shared" si="1406"/>
        <v>4.9082706201443796E-2</v>
      </c>
      <c r="AF769" s="163"/>
      <c r="AG769" s="163"/>
      <c r="AH769" s="163"/>
      <c r="AI769" s="163"/>
      <c r="AJ769" s="116">
        <f t="shared" si="1407"/>
        <v>279.79970018003945</v>
      </c>
      <c r="AK769" s="114">
        <f>+AV770/$AX$19</f>
        <v>3.0871244040152129E-3</v>
      </c>
      <c r="AL769" s="115">
        <f t="shared" si="1394"/>
        <v>0.25117430159996079</v>
      </c>
      <c r="AM769" s="115">
        <f t="shared" si="1395"/>
        <v>0.36374730160514196</v>
      </c>
      <c r="AN769" s="115">
        <f t="shared" si="1396"/>
        <v>0.3850783967948973</v>
      </c>
      <c r="AO769" s="115">
        <f t="shared" si="1399"/>
        <v>3.6572115086892454E-2</v>
      </c>
      <c r="AP769" s="166">
        <f t="shared" si="1411"/>
        <v>129.78762768104244</v>
      </c>
      <c r="AQ769" s="168">
        <f t="shared" si="1412"/>
        <v>3.6572115086892391E-2</v>
      </c>
      <c r="AR769" s="69">
        <f>+AD769/$AF$19</f>
        <v>2.7416569754659366E-3</v>
      </c>
      <c r="AS769" s="169">
        <f t="shared" si="1409"/>
        <v>1.0026819443552154E-4</v>
      </c>
      <c r="AT769" s="115"/>
      <c r="AU769" s="115"/>
      <c r="AV769" s="113">
        <v>110204</v>
      </c>
      <c r="AW769" s="68">
        <f t="shared" si="1373"/>
        <v>9.3078201646210907E-3</v>
      </c>
      <c r="AX769" s="114"/>
      <c r="AY769" s="114"/>
      <c r="AZ769" s="116"/>
      <c r="BA769" s="116"/>
      <c r="BB769" s="166"/>
      <c r="BC769" s="166"/>
      <c r="BD769" s="166"/>
      <c r="BE769" s="166"/>
      <c r="BF769" s="166"/>
      <c r="BG769" s="166"/>
      <c r="BH769" s="166"/>
      <c r="BI769" s="113"/>
      <c r="BJ769" s="113"/>
      <c r="BK769" s="113">
        <f>INDEX('Dist. Plant Gas Additions'!$F$7:$AE$91,MATCH($C769,'Dist. Plant Gas Additions'!$D$7:$D$91,0),MATCH(Calculation!$G769,'Dist. Plant Gas Additions'!$F$5:$AE$5,0))</f>
        <v>20466</v>
      </c>
      <c r="BL769" s="113">
        <f>INDEX('Gen. Plant Additions'!$F$7:$AE$91,MATCH($C769,'Gen. Plant Additions'!$D$7:$D$91,0),MATCH(Calculation!$G769,'Gen. Plant Additions'!$F$5:$AE$5,0))</f>
        <v>1091</v>
      </c>
      <c r="BM769" s="231">
        <f t="shared" si="1374"/>
        <v>0.9351353745550598</v>
      </c>
      <c r="BN769" s="61">
        <f t="shared" si="1397"/>
        <v>1020.2326936395702</v>
      </c>
      <c r="BO769" s="113">
        <f>INDEX('Dist Plant Depreciation'!$E$7:$AD$94,MATCH($C769,'Dist Plant Depreciation'!$D$7:$D$94,0),MATCH(Calculation!$G769,'Dist Plant Depreciation'!$E$5:$AD$5,0))</f>
        <v>127059</v>
      </c>
      <c r="BP769" s="113">
        <f>INDEX('Gen. Plant Depreciation'!$E$7:$AD$94,MATCH($C769,'Gen. Plant Depreciation'!$D$7:$D$94,0),MATCH(Calculation!$G769,'Gen. Plant Depreciation'!$E$5:$AD$5,0))</f>
        <v>6300</v>
      </c>
      <c r="BQ769" s="113"/>
      <c r="BR769" s="113"/>
      <c r="BS769" s="113"/>
      <c r="BT769" s="113"/>
      <c r="BU769" s="113"/>
      <c r="BV769" s="113"/>
      <c r="BW769" s="113">
        <f>INDEX('Gross Dx Plant'!$E$7:$AD$91,MATCH($C769,'Gross Dx Plant'!$D$7:$D$91,0),MATCH(Calculation!$G769,'Gross Dx Plant'!$E$5:$AD$5,0))</f>
        <v>232239</v>
      </c>
      <c r="BX769" s="113">
        <f>INDEX('Gross Gen Plant'!$E$7:$AD$91,MATCH($C769,'Gross Gen Plant'!$D$7:$D$91,0),MATCH(Calculation!$G769,'Gross Gen Plant'!$E$5:$AD$5,0))</f>
        <v>16109</v>
      </c>
      <c r="BY769" s="113">
        <f t="shared" si="1325"/>
        <v>114989</v>
      </c>
      <c r="BZ769" s="113"/>
      <c r="CA769" s="116">
        <v>2014</v>
      </c>
      <c r="CB769" s="113"/>
      <c r="CC769" s="113"/>
      <c r="CD769" s="113"/>
      <c r="CE769" s="175"/>
      <c r="CF769" s="113">
        <f t="shared" si="1375"/>
        <v>21557</v>
      </c>
      <c r="CG769" s="113">
        <f t="shared" si="1376"/>
        <v>31.494480394291003</v>
      </c>
      <c r="CH769" s="178">
        <v>0.89743589743589747</v>
      </c>
      <c r="CI769" s="61">
        <f>+CI753*CH769+CG754*CH768+CG755*CH767+CG756*CH766+CG757*CH765+CG758*CH764+CG759*CH763+CG760*CH762+CG761*CH761+CG762*CH760+CG763*CH759+CG764*CH758+CG765*CH757+CG766*CH756+CG767*CH755+CG768*CH754+CG769</f>
        <v>558.10297114099671</v>
      </c>
      <c r="CJ769" s="114">
        <f t="shared" si="1377"/>
        <v>5.0238861863135024E-2</v>
      </c>
      <c r="CK769" s="114"/>
      <c r="CL769" s="169">
        <f t="shared" si="1378"/>
        <v>7.8165396665888422E-3</v>
      </c>
      <c r="CM769" s="169">
        <f t="shared" si="1386"/>
        <v>7.5841039355043051E-3</v>
      </c>
      <c r="CN769" s="114">
        <f>VLOOKUP($H769,RoR!$E:$F,2,FALSE)</f>
        <v>4.1625000000000002E-2</v>
      </c>
      <c r="CO769" s="169">
        <v>1.841352814597208E-2</v>
      </c>
      <c r="CP769" s="169">
        <f t="shared" si="1384"/>
        <v>2.3211471854027922E-2</v>
      </c>
      <c r="CQ769" s="169">
        <f t="shared" si="1387"/>
        <v>2.3317837673029321E-2</v>
      </c>
      <c r="CR769" s="169">
        <f t="shared" si="1388"/>
        <v>3.9072621432650924E-2</v>
      </c>
      <c r="CS769" s="179">
        <f t="shared" si="1379"/>
        <v>0.85150049999999999</v>
      </c>
      <c r="CT769" s="180">
        <f t="shared" si="1380"/>
        <v>1.2320012320012319</v>
      </c>
      <c r="CU769" s="180">
        <f t="shared" si="1381"/>
        <v>0.37439939939939942</v>
      </c>
      <c r="CV769" s="180">
        <f t="shared" si="1382"/>
        <v>0.80432100613819935</v>
      </c>
      <c r="CW769" s="180">
        <f t="shared" si="1383"/>
        <v>0.37100152660040037</v>
      </c>
      <c r="CX769" s="181">
        <f>INDEX('State Tax Lookup'!$D$7:$Z$91,MATCH(Calculation!$C769,'State Tax Lookup'!$B$7:$B$91,0),MATCH($H769,'State Tax Lookup'!$D$6:$Z$6,0))</f>
        <v>0.40134999999999998</v>
      </c>
      <c r="CY769" s="72">
        <v>0.37</v>
      </c>
      <c r="CZ769" s="70">
        <f t="shared" si="1385"/>
        <v>22.64589901351038</v>
      </c>
      <c r="DA769" s="70">
        <v>20.763592984765573</v>
      </c>
      <c r="DB769" s="69">
        <f t="shared" si="1389"/>
        <v>2.3171661156857475E-2</v>
      </c>
      <c r="DC769" s="111">
        <f>VLOOKUP($H769,RoR!$E:$F,2,FALSE)</f>
        <v>4.1625000000000002E-2</v>
      </c>
      <c r="DD769" s="216">
        <f>HLOOKUP($H769,'GDP-PI'!$D$8:$CQ$11,3,FALSE)</f>
        <v>1.841352814597208E-2</v>
      </c>
      <c r="DE769" s="111">
        <f>VLOOKUP(H769,'HW Dx Data'!$E:$F,2,FALSE)</f>
        <v>684.46914285042885</v>
      </c>
      <c r="DF769" s="72">
        <f t="shared" si="1400"/>
        <v>129.4</v>
      </c>
      <c r="DG769" s="69">
        <f t="shared" si="1401"/>
        <v>2.0297340063674733E-2</v>
      </c>
      <c r="DH769" s="66">
        <f>HLOOKUP(H769,'GDP-PI'!$8:$9,2,FALSE)</f>
        <v>103.64700000000001</v>
      </c>
      <c r="DI769" s="69">
        <f t="shared" si="1390"/>
        <v>1.8246051898256087E-2</v>
      </c>
      <c r="EB769"/>
    </row>
    <row r="770" spans="1:132" s="160" customFormat="1" ht="21">
      <c r="A770" s="160" t="s">
        <v>204</v>
      </c>
      <c r="B770" s="161" t="s">
        <v>205</v>
      </c>
      <c r="C770" s="161">
        <v>4061925</v>
      </c>
      <c r="D770" s="161" t="s">
        <v>192</v>
      </c>
      <c r="E770" s="161"/>
      <c r="F770" s="161"/>
      <c r="G770" s="161" t="s">
        <v>132</v>
      </c>
      <c r="H770" s="162">
        <v>2015</v>
      </c>
      <c r="I770" s="163"/>
      <c r="J770" s="159">
        <f>IFERROR(INDEX('Labor Expenditures'!$F$7:$X$91,MATCH($C770,'Labor Expenditures'!$D$7:$D$91,0),MATCH($G770,'Labor Expenditures'!$F$5:$X$5,0)),"NA")</f>
        <v>8107.1662210837012</v>
      </c>
      <c r="K770" s="159">
        <f t="shared" si="1391"/>
        <v>60.727836862050196</v>
      </c>
      <c r="L770" s="165">
        <f t="shared" si="1398"/>
        <v>2.326991072535878E-3</v>
      </c>
      <c r="M770" s="76">
        <f t="shared" si="1402"/>
        <v>6.5244998598644882E-6</v>
      </c>
      <c r="N770" s="62">
        <f t="shared" si="1408"/>
        <v>119.01388982216824</v>
      </c>
      <c r="O770" s="96">
        <f t="shared" si="1403"/>
        <v>-5.9941176041901061E-3</v>
      </c>
      <c r="P770" s="96"/>
      <c r="Q770" s="159">
        <f>IFERROR(INDEX('Non-Labor Expenditures'!$F$7:$AB$91,MATCH($C770,'Non-Labor Expenditures'!$D$7:$D$91,0),MATCH($G770,'Non-Labor Expenditures'!$F$5:$AB$5,0)),"NA")</f>
        <v>11740.690897909964</v>
      </c>
      <c r="R770" s="159">
        <f t="shared" si="1392"/>
        <v>112.20186448561211</v>
      </c>
      <c r="S770" s="165">
        <f t="shared" si="1404"/>
        <v>2.3994650660597167E-2</v>
      </c>
      <c r="T770" s="165">
        <f t="shared" si="1405"/>
        <v>6.7277050058450454E-5</v>
      </c>
      <c r="U770" s="165"/>
      <c r="V770" s="165"/>
      <c r="W770" s="159">
        <f t="shared" si="1372"/>
        <v>12388.72753178835</v>
      </c>
      <c r="X770" s="163"/>
      <c r="Y770" s="167">
        <v>584.93317422141172</v>
      </c>
      <c r="Z770" s="168">
        <v>4.6954127155126008E-2</v>
      </c>
      <c r="AA770" s="76">
        <f t="shared" si="1393"/>
        <v>1.316516421826348E-4</v>
      </c>
      <c r="AB770" s="168"/>
      <c r="AC770" s="168"/>
      <c r="AD770" s="163">
        <f t="shared" si="1410"/>
        <v>32236.584650782017</v>
      </c>
      <c r="AE770" s="168">
        <f t="shared" si="1406"/>
        <v>3.226552235638612E-2</v>
      </c>
      <c r="AF770" s="163"/>
      <c r="AG770" s="163"/>
      <c r="AH770" s="163"/>
      <c r="AI770" s="163"/>
      <c r="AJ770" s="116">
        <f t="shared" si="1407"/>
        <v>284.70757549685158</v>
      </c>
      <c r="AK770" s="114">
        <f>+AV771/$AX$20</f>
        <v>3.1079160276646168E-3</v>
      </c>
      <c r="AL770" s="115">
        <f t="shared" si="1394"/>
        <v>0.25148961370779183</v>
      </c>
      <c r="AM770" s="115">
        <f t="shared" si="1395"/>
        <v>0.36420393242945948</v>
      </c>
      <c r="AN770" s="115">
        <f t="shared" si="1396"/>
        <v>0.38430645386274864</v>
      </c>
      <c r="AO770" s="115">
        <f t="shared" si="1399"/>
        <v>2.7381212055512343E-2</v>
      </c>
      <c r="AP770" s="166">
        <f t="shared" si="1411"/>
        <v>133.39047024080909</v>
      </c>
      <c r="AQ770" s="168">
        <f t="shared" si="1412"/>
        <v>2.7381212055512274E-2</v>
      </c>
      <c r="AR770" s="69">
        <f>+AD770/$AF$20</f>
        <v>2.8038353635599918E-3</v>
      </c>
      <c r="AS770" s="169">
        <f t="shared" si="1409"/>
        <v>7.6772410658380486E-5</v>
      </c>
      <c r="AT770" s="115"/>
      <c r="AU770" s="115"/>
      <c r="AV770" s="113">
        <v>111555</v>
      </c>
      <c r="AW770" s="68">
        <f t="shared" si="1373"/>
        <v>1.2184549122649085E-2</v>
      </c>
      <c r="AX770" s="114"/>
      <c r="AY770" s="114"/>
      <c r="AZ770" s="116"/>
      <c r="BA770" s="116"/>
      <c r="BB770" s="166"/>
      <c r="BC770" s="166"/>
      <c r="BD770" s="166"/>
      <c r="BE770" s="166"/>
      <c r="BF770" s="166"/>
      <c r="BG770" s="166"/>
      <c r="BH770" s="166"/>
      <c r="BI770" s="113"/>
      <c r="BJ770" s="113"/>
      <c r="BK770" s="113">
        <f>INDEX('Dist. Plant Gas Additions'!$F$7:$AE$91,MATCH($C770,'Dist. Plant Gas Additions'!$D$7:$D$91,0),MATCH(Calculation!$G770,'Dist. Plant Gas Additions'!$F$5:$AE$5,0))</f>
        <v>19330</v>
      </c>
      <c r="BL770" s="113">
        <f>INDEX('Gen. Plant Additions'!$F$7:$AE$91,MATCH($C770,'Gen. Plant Additions'!$D$7:$D$91,0),MATCH(Calculation!$G770,'Gen. Plant Additions'!$F$5:$AE$5,0))</f>
        <v>1810</v>
      </c>
      <c r="BM770" s="231">
        <f t="shared" si="1374"/>
        <v>0.93413178118253304</v>
      </c>
      <c r="BN770" s="61">
        <f t="shared" si="1397"/>
        <v>1690.7785239403847</v>
      </c>
      <c r="BO770" s="113">
        <f>INDEX('Dist Plant Depreciation'!$E$7:$AD$94,MATCH($C770,'Dist Plant Depreciation'!$D$7:$D$94,0),MATCH(Calculation!$G770,'Dist Plant Depreciation'!$E$5:$AD$5,0))</f>
        <v>133090</v>
      </c>
      <c r="BP770" s="113">
        <f>INDEX('Gen. Plant Depreciation'!$E$7:$AD$94,MATCH($C770,'Gen. Plant Depreciation'!$D$7:$D$94,0),MATCH(Calculation!$G770,'Gen. Plant Depreciation'!$E$5:$AD$5,0))</f>
        <v>8289</v>
      </c>
      <c r="BQ770" s="113"/>
      <c r="BR770" s="113"/>
      <c r="BS770" s="113"/>
      <c r="BT770" s="113"/>
      <c r="BU770" s="113"/>
      <c r="BV770" s="113"/>
      <c r="BW770" s="113">
        <f>INDEX('Gross Dx Plant'!$E$7:$AD$91,MATCH($C770,'Gross Dx Plant'!$D$7:$D$91,0),MATCH(Calculation!$G770,'Gross Dx Plant'!$E$5:$AD$5,0))</f>
        <v>250522</v>
      </c>
      <c r="BX770" s="113">
        <f>INDEX('Gross Gen Plant'!$E$7:$AD$91,MATCH($C770,'Gross Gen Plant'!$D$7:$D$91,0),MATCH(Calculation!$G770,'Gross Gen Plant'!$E$5:$AD$5,0))</f>
        <v>17665</v>
      </c>
      <c r="BY770" s="113">
        <f t="shared" si="1325"/>
        <v>126808</v>
      </c>
      <c r="BZ770" s="113"/>
      <c r="CA770" s="116">
        <v>2015</v>
      </c>
      <c r="CB770" s="113"/>
      <c r="CC770" s="113"/>
      <c r="CD770" s="113"/>
      <c r="CE770" s="175"/>
      <c r="CF770" s="113">
        <f t="shared" si="1375"/>
        <v>21140</v>
      </c>
      <c r="CG770" s="113">
        <f t="shared" si="1376"/>
        <v>31.29002683588778</v>
      </c>
      <c r="CH770" s="178">
        <v>0.88888888888888884</v>
      </c>
      <c r="CI770" s="61">
        <f>+CI753*CH770+CG754*CH769+CG755*CH768+CG756*CH767+CG757*CH766+CG758*CH765+CG759*CH764+CG760*CH763+CG761*CH762+CG762*CH761+CG763*CH760+CG764*CH759+CG765*CH758+CG766*CH757+CG767*CH756+CG768*CH755+CG769*CH754+CG770</f>
        <v>584.93317422141172</v>
      </c>
      <c r="CJ770" s="114">
        <f t="shared" si="1377"/>
        <v>4.6954127155126008E-2</v>
      </c>
      <c r="CK770" s="114"/>
      <c r="CL770" s="169">
        <f t="shared" si="1378"/>
        <v>7.9910410553002877E-3</v>
      </c>
      <c r="CM770" s="169">
        <f t="shared" si="1386"/>
        <v>7.7972839025895789E-3</v>
      </c>
      <c r="CN770" s="114">
        <f>VLOOKUP($H770,RoR!$E:$F,2,FALSE)</f>
        <v>3.8866666666666674E-2</v>
      </c>
      <c r="CO770" s="169">
        <v>9.5709475431029478E-3</v>
      </c>
      <c r="CP770" s="169">
        <f t="shared" si="1384"/>
        <v>2.9295719123563727E-2</v>
      </c>
      <c r="CQ770" s="169">
        <f t="shared" si="1387"/>
        <v>2.3104657705944047E-2</v>
      </c>
      <c r="CR770" s="169">
        <f t="shared" si="1388"/>
        <v>3.5270373279175926E-3</v>
      </c>
      <c r="CS770" s="179">
        <f t="shared" si="1379"/>
        <v>0.85150049999999999</v>
      </c>
      <c r="CT770" s="180">
        <f t="shared" si="1380"/>
        <v>1.3194352816994324</v>
      </c>
      <c r="CU770" s="180">
        <f t="shared" si="1381"/>
        <v>0.33177530017152673</v>
      </c>
      <c r="CV770" s="180">
        <f t="shared" si="1382"/>
        <v>0.78242572977668579</v>
      </c>
      <c r="CW770" s="180">
        <f t="shared" si="1383"/>
        <v>0.34251158643433932</v>
      </c>
      <c r="CX770" s="181">
        <f>INDEX('State Tax Lookup'!$D$7:$Z$91,MATCH(Calculation!$C770,'State Tax Lookup'!$B$7:$B$91,0),MATCH($H770,'State Tax Lookup'!$D$6:$Z$6,0))</f>
        <v>0.40134999999999998</v>
      </c>
      <c r="CY770" s="72">
        <v>0.37</v>
      </c>
      <c r="CZ770" s="70">
        <f t="shared" si="1385"/>
        <v>22.197924348011608</v>
      </c>
      <c r="DA770" s="70">
        <v>20.279488671080099</v>
      </c>
      <c r="DB770" s="69">
        <f t="shared" si="1389"/>
        <v>-1.997998985999469E-2</v>
      </c>
      <c r="DC770" s="111">
        <f>VLOOKUP($H770,RoR!$E:$F,2,FALSE)</f>
        <v>3.8866666666666674E-2</v>
      </c>
      <c r="DD770" s="216">
        <f>HLOOKUP($H770,'GDP-PI'!$D$8:$CQ$11,3,FALSE)</f>
        <v>9.5709475431029478E-3</v>
      </c>
      <c r="DE770" s="111">
        <f>VLOOKUP(H770,'HW Dx Data'!$E:$F,2,FALSE)</f>
        <v>675.61463308665782</v>
      </c>
      <c r="DF770" s="72">
        <f t="shared" si="1400"/>
        <v>133.5</v>
      </c>
      <c r="DG770" s="69">
        <f t="shared" si="1401"/>
        <v>3.1193095773504077E-2</v>
      </c>
      <c r="DH770" s="66">
        <f>HLOOKUP(H770,'GDP-PI'!$8:$9,2,FALSE)</f>
        <v>104.639</v>
      </c>
      <c r="DI770" s="69">
        <f t="shared" si="1390"/>
        <v>9.5254361854427965E-3</v>
      </c>
      <c r="EB770"/>
    </row>
    <row r="771" spans="1:132" s="160" customFormat="1" ht="21">
      <c r="A771" s="160" t="s">
        <v>204</v>
      </c>
      <c r="B771" s="161" t="s">
        <v>205</v>
      </c>
      <c r="C771" s="161">
        <v>4061925</v>
      </c>
      <c r="D771" s="161" t="s">
        <v>192</v>
      </c>
      <c r="E771" s="161"/>
      <c r="F771" s="161"/>
      <c r="G771" s="161" t="s">
        <v>133</v>
      </c>
      <c r="H771" s="162">
        <v>2016</v>
      </c>
      <c r="I771" s="163"/>
      <c r="J771" s="159">
        <f>IFERROR(INDEX('Labor Expenditures'!$F$7:$X$91,MATCH($C771,'Labor Expenditures'!$D$7:$D$91,0),MATCH($G771,'Labor Expenditures'!$F$5:$X$5,0)),"NA")</f>
        <v>7865.1831091705653</v>
      </c>
      <c r="K771" s="159">
        <f t="shared" si="1391"/>
        <v>57.431055926765723</v>
      </c>
      <c r="L771" s="165">
        <f t="shared" si="1398"/>
        <v>-5.5816989305380663E-2</v>
      </c>
      <c r="M771" s="76">
        <f t="shared" si="1402"/>
        <v>-1.5035265136862199E-4</v>
      </c>
      <c r="N771" s="62">
        <f t="shared" si="1408"/>
        <v>299.62263802372496</v>
      </c>
      <c r="O771" s="96">
        <f t="shared" si="1403"/>
        <v>0.92328360212050942</v>
      </c>
      <c r="P771" s="96"/>
      <c r="Q771" s="159">
        <f>IFERROR(INDEX('Non-Labor Expenditures'!$F$7:$AB$91,MATCH($C771,'Non-Labor Expenditures'!$D$7:$D$91,0),MATCH($G771,'Non-Labor Expenditures'!$F$5:$AB$5,0)),"NA")</f>
        <v>11390.254155648781</v>
      </c>
      <c r="R771" s="159">
        <f t="shared" si="1392"/>
        <v>107.7235204249147</v>
      </c>
      <c r="S771" s="165">
        <f t="shared" si="1404"/>
        <v>-4.0731661803802804E-2</v>
      </c>
      <c r="T771" s="165">
        <f t="shared" si="1405"/>
        <v>-1.0971772972823932E-4</v>
      </c>
      <c r="U771" s="165"/>
      <c r="V771" s="165"/>
      <c r="W771" s="159">
        <f t="shared" si="1372"/>
        <v>12793.178088014594</v>
      </c>
      <c r="X771" s="163"/>
      <c r="Y771" s="167">
        <v>610.95878493259806</v>
      </c>
      <c r="Z771" s="168">
        <v>4.3531893187544378E-2</v>
      </c>
      <c r="AA771" s="76">
        <f t="shared" si="1393"/>
        <v>1.1726063410611097E-4</v>
      </c>
      <c r="AB771" s="168"/>
      <c r="AC771" s="168"/>
      <c r="AD771" s="163">
        <f t="shared" si="1410"/>
        <v>32048.615352833942</v>
      </c>
      <c r="AE771" s="168">
        <f t="shared" si="1406"/>
        <v>-5.8479971637373099E-3</v>
      </c>
      <c r="AF771" s="163"/>
      <c r="AG771" s="163"/>
      <c r="AH771" s="163"/>
      <c r="AI771" s="163"/>
      <c r="AJ771" s="116">
        <f t="shared" si="1407"/>
        <v>281.63960307605862</v>
      </c>
      <c r="AK771" s="114">
        <f>+AV772/$AX$21</f>
        <v>3.0964609084225491E-3</v>
      </c>
      <c r="AL771" s="115">
        <f t="shared" si="1394"/>
        <v>0.2454141317052275</v>
      </c>
      <c r="AM771" s="115">
        <f t="shared" si="1395"/>
        <v>0.3554054997462342</v>
      </c>
      <c r="AN771" s="115">
        <f t="shared" si="1396"/>
        <v>0.39918036854853828</v>
      </c>
      <c r="AO771" s="115">
        <f t="shared" si="1399"/>
        <v>-1.146994719933616E-2</v>
      </c>
      <c r="AP771" s="166">
        <f t="shared" si="1411"/>
        <v>131.86922954328426</v>
      </c>
      <c r="AQ771" s="168">
        <f t="shared" si="1412"/>
        <v>-1.1469947199336084E-2</v>
      </c>
      <c r="AR771" s="69">
        <f>+AD771/$AF$21</f>
        <v>2.6936718235737638E-3</v>
      </c>
      <c r="AS771" s="169">
        <f t="shared" si="1409"/>
        <v>-3.089627358873041E-5</v>
      </c>
      <c r="AT771" s="115"/>
      <c r="AU771" s="115"/>
      <c r="AV771" s="113">
        <v>113227</v>
      </c>
      <c r="AW771" s="68">
        <f t="shared" si="1373"/>
        <v>1.4876910406374157E-2</v>
      </c>
      <c r="AX771" s="114"/>
      <c r="AY771" s="114"/>
      <c r="AZ771" s="116"/>
      <c r="BA771" s="116"/>
      <c r="BB771" s="166"/>
      <c r="BC771" s="166"/>
      <c r="BD771" s="166"/>
      <c r="BE771" s="166"/>
      <c r="BF771" s="166"/>
      <c r="BG771" s="166"/>
      <c r="BH771" s="166"/>
      <c r="BI771" s="113"/>
      <c r="BJ771" s="113"/>
      <c r="BK771" s="113">
        <f>INDEX('Dist. Plant Gas Additions'!$F$7:$AE$91,MATCH($C771,'Dist. Plant Gas Additions'!$D$7:$D$91,0),MATCH(Calculation!$G771,'Dist. Plant Gas Additions'!$F$5:$AE$5,0))</f>
        <v>19987</v>
      </c>
      <c r="BL771" s="113">
        <f>INDEX('Gen. Plant Additions'!$F$7:$AE$91,MATCH($C771,'Gen. Plant Additions'!$D$7:$D$91,0),MATCH(Calculation!$G771,'Gen. Plant Additions'!$F$5:$AE$5,0))</f>
        <v>700</v>
      </c>
      <c r="BM771" s="231">
        <f t="shared" si="1374"/>
        <v>0.93727274941458505</v>
      </c>
      <c r="BN771" s="61">
        <f t="shared" si="1397"/>
        <v>656.09092459020951</v>
      </c>
      <c r="BO771" s="113">
        <f>INDEX('Dist Plant Depreciation'!$E$7:$AD$94,MATCH($C771,'Dist Plant Depreciation'!$D$7:$D$94,0),MATCH(Calculation!$G771,'Dist Plant Depreciation'!$E$5:$AD$5,0))</f>
        <v>138105</v>
      </c>
      <c r="BP771" s="113">
        <f>INDEX('Gen. Plant Depreciation'!$E$7:$AD$94,MATCH($C771,'Gen. Plant Depreciation'!$D$7:$D$94,0),MATCH(Calculation!$G771,'Gen. Plant Depreciation'!$E$5:$AD$5,0))</f>
        <v>8692</v>
      </c>
      <c r="BQ771" s="113"/>
      <c r="BR771" s="113"/>
      <c r="BS771" s="113"/>
      <c r="BT771" s="113"/>
      <c r="BU771" s="113"/>
      <c r="BV771" s="113"/>
      <c r="BW771" s="113">
        <f>INDEX('Gross Dx Plant'!$E$7:$AD$91,MATCH($C771,'Gross Dx Plant'!$D$7:$D$91,0),MATCH(Calculation!$G771,'Gross Dx Plant'!$E$5:$AD$5,0))</f>
        <v>269375</v>
      </c>
      <c r="BX771" s="113">
        <f>INDEX('Gross Gen Plant'!$E$7:$AD$91,MATCH($C771,'Gross Gen Plant'!$D$7:$D$91,0),MATCH(Calculation!$G771,'Gross Gen Plant'!$E$5:$AD$5,0))</f>
        <v>18028</v>
      </c>
      <c r="BY771" s="113">
        <f t="shared" si="1325"/>
        <v>140606</v>
      </c>
      <c r="BZ771" s="113"/>
      <c r="CA771" s="116">
        <v>2016</v>
      </c>
      <c r="CB771" s="113"/>
      <c r="CC771" s="113"/>
      <c r="CD771" s="113"/>
      <c r="CE771" s="175"/>
      <c r="CF771" s="113">
        <f t="shared" si="1375"/>
        <v>20687</v>
      </c>
      <c r="CG771" s="113">
        <f t="shared" si="1376"/>
        <v>30.809148872774227</v>
      </c>
      <c r="CH771" s="178">
        <v>0.88</v>
      </c>
      <c r="CI771" s="61">
        <f>+CI753*CH771+CG754*CH770+CG755*CH769+CG756*CH768+CG757*CH767+CG758*CH766+CG759*CH765+CG760*CH764+CG761*CH763+CG762*CH762+CG763*CH761+CG764*CH760+CG765*CH759+CG766*CH758+CG767*CH757+CG768*CH756+CG769*CH755+CG770*CH754+CG771</f>
        <v>610.95878493259806</v>
      </c>
      <c r="CJ771" s="114">
        <f t="shared" si="1377"/>
        <v>4.3531893187544378E-2</v>
      </c>
      <c r="CK771" s="114"/>
      <c r="CL771" s="169">
        <f t="shared" si="1378"/>
        <v>8.177922491667728E-3</v>
      </c>
      <c r="CM771" s="169">
        <f t="shared" si="1386"/>
        <v>7.9951677378522854E-3</v>
      </c>
      <c r="CN771" s="114">
        <f>VLOOKUP($H771,RoR!$E:$F,2,FALSE)</f>
        <v>3.6658333333333334E-2</v>
      </c>
      <c r="CO771" s="169">
        <v>1.0483662879041455E-2</v>
      </c>
      <c r="CP771" s="169">
        <f t="shared" si="1384"/>
        <v>2.6174670454291879E-2</v>
      </c>
      <c r="CQ771" s="169">
        <f t="shared" si="1387"/>
        <v>2.2906773870681338E-2</v>
      </c>
      <c r="CR771" s="169">
        <f t="shared" si="1388"/>
        <v>4.301363574220729E-3</v>
      </c>
      <c r="CS771" s="179">
        <f t="shared" si="1379"/>
        <v>0.85150049999999999</v>
      </c>
      <c r="CT771" s="180">
        <f t="shared" si="1380"/>
        <v>1.3989193348138562</v>
      </c>
      <c r="CU771" s="180">
        <f t="shared" si="1381"/>
        <v>0.29302682427824522</v>
      </c>
      <c r="CV771" s="180">
        <f t="shared" si="1382"/>
        <v>0.76309497491941802</v>
      </c>
      <c r="CW771" s="180">
        <f t="shared" si="1383"/>
        <v>0.31280857135128509</v>
      </c>
      <c r="CX771" s="181">
        <f>INDEX('State Tax Lookup'!$D$7:$Z$91,MATCH(Calculation!$C771,'State Tax Lookup'!$B$7:$B$91,0),MATCH($H771,'State Tax Lookup'!$D$6:$Z$6,0))</f>
        <v>0.40134999999999998</v>
      </c>
      <c r="CY771" s="72">
        <v>0.37</v>
      </c>
      <c r="CZ771" s="70">
        <f t="shared" si="1385"/>
        <v>21.871178883029224</v>
      </c>
      <c r="DA771" s="70">
        <v>19.909765876209278</v>
      </c>
      <c r="DB771" s="69">
        <f t="shared" si="1389"/>
        <v>-1.4829049317259179E-2</v>
      </c>
      <c r="DC771" s="111">
        <f>VLOOKUP($H771,RoR!$E:$F,2,FALSE)</f>
        <v>3.6658333333333334E-2</v>
      </c>
      <c r="DD771" s="216">
        <f>HLOOKUP($H771,'GDP-PI'!$D$8:$CQ$11,3,FALSE)</f>
        <v>1.0483662879041455E-2</v>
      </c>
      <c r="DE771" s="111">
        <f>VLOOKUP(H771,'HW Dx Data'!$E:$F,2,FALSE)</f>
        <v>671.45639385971219</v>
      </c>
      <c r="DF771" s="72">
        <f t="shared" si="1400"/>
        <v>136.94999999999999</v>
      </c>
      <c r="DG771" s="69">
        <f t="shared" si="1401"/>
        <v>2.5514417868782811E-2</v>
      </c>
      <c r="DH771" s="66">
        <f>HLOOKUP(H771,'GDP-PI'!$8:$9,2,FALSE)</f>
        <v>105.736</v>
      </c>
      <c r="DI771" s="69">
        <f t="shared" si="1390"/>
        <v>1.0429090367205095E-2</v>
      </c>
      <c r="EB771"/>
    </row>
    <row r="772" spans="1:132" s="160" customFormat="1" ht="21">
      <c r="A772" s="160" t="s">
        <v>204</v>
      </c>
      <c r="B772" s="161" t="s">
        <v>205</v>
      </c>
      <c r="C772" s="161">
        <v>4061925</v>
      </c>
      <c r="D772" s="161" t="s">
        <v>192</v>
      </c>
      <c r="E772" s="161"/>
      <c r="F772" s="161"/>
      <c r="G772" s="161" t="s">
        <v>135</v>
      </c>
      <c r="H772" s="162">
        <v>2017</v>
      </c>
      <c r="I772" s="163"/>
      <c r="J772" s="159">
        <f>IFERROR(INDEX('Labor Expenditures'!$F$7:$X$91,MATCH($C772,'Labor Expenditures'!$D$7:$D$91,0),MATCH($G772,'Labor Expenditures'!$F$5:$X$5,0)),"NA")</f>
        <v>7311.955921537975</v>
      </c>
      <c r="K772" s="159">
        <f t="shared" si="1391"/>
        <v>52.060917917678715</v>
      </c>
      <c r="L772" s="165">
        <f t="shared" si="1398"/>
        <v>-9.8170669704775421E-2</v>
      </c>
      <c r="M772" s="76">
        <f t="shared" si="1402"/>
        <v>-2.4859250728708805E-4</v>
      </c>
      <c r="N772" s="62">
        <f t="shared" si="1408"/>
        <v>166.3191078284496</v>
      </c>
      <c r="O772" s="96">
        <f t="shared" si="1403"/>
        <v>-0.58861553026678193</v>
      </c>
      <c r="P772" s="96"/>
      <c r="Q772" s="159">
        <f>IFERROR(INDEX('Non-Labor Expenditures'!$F$7:$AB$91,MATCH($C772,'Non-Labor Expenditures'!$D$7:$D$91,0),MATCH($G772,'Non-Labor Expenditures'!$F$5:$AB$5,0)),"NA")</f>
        <v>10589.077859371235</v>
      </c>
      <c r="R772" s="159">
        <f t="shared" si="1392"/>
        <v>98.273592443422658</v>
      </c>
      <c r="S772" s="165">
        <f t="shared" si="1404"/>
        <v>-9.1812600091354973E-2</v>
      </c>
      <c r="T772" s="165">
        <f t="shared" si="1405"/>
        <v>-2.3249229658811642E-4</v>
      </c>
      <c r="U772" s="165"/>
      <c r="V772" s="165"/>
      <c r="W772" s="159">
        <f t="shared" si="1372"/>
        <v>12082.733165316082</v>
      </c>
      <c r="X772" s="163"/>
      <c r="Y772" s="167">
        <v>642.05220423806429</v>
      </c>
      <c r="Z772" s="168">
        <v>4.9640113602369085E-2</v>
      </c>
      <c r="AA772" s="76">
        <f t="shared" si="1393"/>
        <v>1.257010911664234E-4</v>
      </c>
      <c r="AB772" s="168"/>
      <c r="AC772" s="168"/>
      <c r="AD772" s="163">
        <f t="shared" si="1410"/>
        <v>29983.766946225289</v>
      </c>
      <c r="AE772" s="168">
        <f t="shared" si="1406"/>
        <v>-6.6597846292466178E-2</v>
      </c>
      <c r="AF772" s="163"/>
      <c r="AG772" s="163"/>
      <c r="AH772" s="163"/>
      <c r="AI772" s="163"/>
      <c r="AJ772" s="116">
        <f t="shared" si="1407"/>
        <v>261.05074915308722</v>
      </c>
      <c r="AK772" s="114">
        <f>+AV773/$AX$22</f>
        <v>3.1019590592609269E-3</v>
      </c>
      <c r="AL772" s="115">
        <f t="shared" si="1394"/>
        <v>0.24386381920095901</v>
      </c>
      <c r="AM772" s="115">
        <f t="shared" si="1395"/>
        <v>0.35316035768161924</v>
      </c>
      <c r="AN772" s="115">
        <f t="shared" si="1396"/>
        <v>0.40297582311742186</v>
      </c>
      <c r="AO772" s="115">
        <f t="shared" si="1399"/>
        <v>-3.6634446668755052E-2</v>
      </c>
      <c r="AP772" s="166">
        <f t="shared" si="1411"/>
        <v>127.12569222518934</v>
      </c>
      <c r="AQ772" s="168">
        <f t="shared" si="1412"/>
        <v>-3.6634446668755059E-2</v>
      </c>
      <c r="AR772" s="69">
        <f>+AD772/$AF$22</f>
        <v>2.5322482573936797E-3</v>
      </c>
      <c r="AS772" s="169">
        <f t="shared" si="1409"/>
        <v>-9.2767513737536698E-5</v>
      </c>
      <c r="AT772" s="115"/>
      <c r="AU772" s="115"/>
      <c r="AV772" s="113">
        <v>113793</v>
      </c>
      <c r="AW772" s="68">
        <f t="shared" si="1373"/>
        <v>4.9863551470280317E-3</v>
      </c>
      <c r="AX772" s="114"/>
      <c r="AY772" s="114"/>
      <c r="AZ772" s="116"/>
      <c r="BA772" s="116"/>
      <c r="BB772" s="166"/>
      <c r="BC772" s="166"/>
      <c r="BD772" s="166"/>
      <c r="BE772" s="166"/>
      <c r="BF772" s="166"/>
      <c r="BG772" s="166"/>
      <c r="BH772" s="166"/>
      <c r="BI772" s="113"/>
      <c r="BJ772" s="113"/>
      <c r="BK772" s="113">
        <f>INDEX('Dist. Plant Gas Additions'!$F$7:$AE$91,MATCH($C772,'Dist. Plant Gas Additions'!$D$7:$D$91,0),MATCH(Calculation!$G772,'Dist. Plant Gas Additions'!$F$5:$AE$5,0))</f>
        <v>23159</v>
      </c>
      <c r="BL772" s="113">
        <f>INDEX('Gen. Plant Additions'!$F$7:$AE$91,MATCH($C772,'Gen. Plant Additions'!$D$7:$D$91,0),MATCH(Calculation!$G772,'Gen. Plant Additions'!$F$5:$AE$5,0))</f>
        <v>2640</v>
      </c>
      <c r="BM772" s="231">
        <f t="shared" si="1374"/>
        <v>0.93540572236413</v>
      </c>
      <c r="BN772" s="61">
        <f t="shared" si="1397"/>
        <v>2469.4711070413032</v>
      </c>
      <c r="BO772" s="113">
        <f>INDEX('Dist Plant Depreciation'!$E$7:$AD$94,MATCH($C772,'Dist Plant Depreciation'!$D$7:$D$94,0),MATCH(Calculation!$G772,'Dist Plant Depreciation'!$E$5:$AD$5,0))</f>
        <v>143328</v>
      </c>
      <c r="BP772" s="113">
        <f>INDEX('Gen. Plant Depreciation'!$E$7:$AD$94,MATCH($C772,'Gen. Plant Depreciation'!$D$7:$D$94,0),MATCH(Calculation!$G772,'Gen. Plant Depreciation'!$E$5:$AD$5,0))</f>
        <v>9852</v>
      </c>
      <c r="BQ772" s="113"/>
      <c r="BR772" s="113"/>
      <c r="BS772" s="113"/>
      <c r="BT772" s="113"/>
      <c r="BU772" s="113"/>
      <c r="BV772" s="113"/>
      <c r="BW772" s="113">
        <f>INDEX('Gross Dx Plant'!$E$7:$AD$91,MATCH($C772,'Gross Dx Plant'!$D$7:$D$91,0),MATCH(Calculation!$G772,'Gross Dx Plant'!$E$5:$AD$5,0))</f>
        <v>291131</v>
      </c>
      <c r="BX772" s="113">
        <f>INDEX('Gross Gen Plant'!$E$7:$AD$91,MATCH($C772,'Gross Gen Plant'!$D$7:$D$91,0),MATCH(Calculation!$G772,'Gross Gen Plant'!$E$5:$AD$5,0))</f>
        <v>20104</v>
      </c>
      <c r="BY772" s="113">
        <f t="shared" si="1325"/>
        <v>158055</v>
      </c>
      <c r="BZ772" s="113"/>
      <c r="CA772" s="116">
        <v>2017</v>
      </c>
      <c r="CB772" s="113"/>
      <c r="CC772" s="113"/>
      <c r="CD772" s="113"/>
      <c r="CE772" s="175"/>
      <c r="CF772" s="113">
        <f t="shared" si="1375"/>
        <v>25799</v>
      </c>
      <c r="CG772" s="113">
        <f t="shared" si="1376"/>
        <v>36.212752534337724</v>
      </c>
      <c r="CH772" s="178">
        <v>0.87074829931972786</v>
      </c>
      <c r="CI772" s="61">
        <f>+CI753*CH772+CG754*CH771+CG755*CH770+CG756*CH769+CG757*CH768+CG758*CH767+CG759*CH766+CG760*CH765+CG761*CH764+CG762*CH763+CG763*CH762+CG764*CH761+CG765*CH760+CG766*CH759+CG767*CH758+CG768*CH757+CG769*CH756+CG770*CH755+CG771*CH754+CG772</f>
        <v>642.05220423806429</v>
      </c>
      <c r="CJ772" s="114">
        <f t="shared" si="1377"/>
        <v>4.9640113602369085E-2</v>
      </c>
      <c r="CK772" s="114"/>
      <c r="CL772" s="169">
        <f t="shared" si="1378"/>
        <v>8.3791793409374905E-3</v>
      </c>
      <c r="CM772" s="169">
        <f t="shared" si="1386"/>
        <v>8.1827142959685021E-3</v>
      </c>
      <c r="CN772" s="114">
        <f>VLOOKUP($H772,RoR!$E:$F,2,FALSE)</f>
        <v>3.7433333333333339E-2</v>
      </c>
      <c r="CO772" s="169">
        <v>1.9056896421275615E-2</v>
      </c>
      <c r="CP772" s="169">
        <f t="shared" si="1384"/>
        <v>1.8376436912057724E-2</v>
      </c>
      <c r="CQ772" s="169">
        <f t="shared" si="1387"/>
        <v>2.2719227312565121E-2</v>
      </c>
      <c r="CR772" s="169">
        <f t="shared" si="1388"/>
        <v>1.3976271617800498E-2</v>
      </c>
      <c r="CS772" s="179">
        <f t="shared" si="1379"/>
        <v>0.90330050000000006</v>
      </c>
      <c r="CT772" s="180">
        <f t="shared" si="1380"/>
        <v>1.3699568463593395</v>
      </c>
      <c r="CU772" s="180">
        <f t="shared" si="1381"/>
        <v>0.30714603739982199</v>
      </c>
      <c r="CV772" s="180">
        <f t="shared" si="1382"/>
        <v>0.77007188472689425</v>
      </c>
      <c r="CW772" s="180">
        <f t="shared" si="1383"/>
        <v>0.32402839633793828</v>
      </c>
      <c r="CX772" s="181">
        <f>INDEX('State Tax Lookup'!$D$7:$Z$91,MATCH(Calculation!$C772,'State Tax Lookup'!$B$7:$B$91,0),MATCH($H772,'State Tax Lookup'!$D$6:$Z$6,0))</f>
        <v>0.26134999999999997</v>
      </c>
      <c r="CY772" s="72">
        <v>0.37</v>
      </c>
      <c r="CZ772" s="70">
        <f t="shared" si="1385"/>
        <v>19.776674733712305</v>
      </c>
      <c r="DA772" s="70">
        <v>18.231812616449311</v>
      </c>
      <c r="DB772" s="69">
        <f t="shared" si="1389"/>
        <v>-0.10066653784285927</v>
      </c>
      <c r="DC772" s="111">
        <f>VLOOKUP($H772,RoR!$E:$F,2,FALSE)</f>
        <v>3.7433333333333339E-2</v>
      </c>
      <c r="DD772" s="216">
        <f>HLOOKUP($H772,'GDP-PI'!$D$8:$CQ$11,3,FALSE)</f>
        <v>1.9056896421275615E-2</v>
      </c>
      <c r="DE772" s="111">
        <f>VLOOKUP(H772,'HW Dx Data'!$E:$F,2,FALSE)</f>
        <v>712.42858370229726</v>
      </c>
      <c r="DF772" s="72">
        <f t="shared" si="1400"/>
        <v>140.44999999999999</v>
      </c>
      <c r="DG772" s="69">
        <f t="shared" si="1401"/>
        <v>2.5235657841165486E-2</v>
      </c>
      <c r="DH772" s="66">
        <f>HLOOKUP(H772,'GDP-PI'!$8:$9,2,FALSE)</f>
        <v>107.751</v>
      </c>
      <c r="DI772" s="69">
        <f t="shared" si="1390"/>
        <v>1.8877588227745139E-2</v>
      </c>
      <c r="EB772"/>
    </row>
    <row r="773" spans="1:132" s="160" customFormat="1" ht="21">
      <c r="A773" s="160" t="s">
        <v>204</v>
      </c>
      <c r="B773" s="161" t="s">
        <v>205</v>
      </c>
      <c r="C773" s="161">
        <v>4061925</v>
      </c>
      <c r="D773" s="161" t="s">
        <v>192</v>
      </c>
      <c r="E773" s="161"/>
      <c r="F773" s="161"/>
      <c r="G773" s="161" t="s">
        <v>136</v>
      </c>
      <c r="H773" s="162">
        <v>2018</v>
      </c>
      <c r="I773" s="163"/>
      <c r="J773" s="159">
        <f>IFERROR(INDEX('Labor Expenditures'!$F$7:$X$91,MATCH($C773,'Labor Expenditures'!$D$7:$D$91,0),MATCH($G773,'Labor Expenditures'!$F$5:$X$5,0)),"NA")</f>
        <v>7357.6494811998728</v>
      </c>
      <c r="K773" s="159">
        <f t="shared" si="1391"/>
        <v>50.935614269296458</v>
      </c>
      <c r="L773" s="165">
        <f t="shared" si="1398"/>
        <v>-2.1852161493772664E-2</v>
      </c>
      <c r="M773" s="76">
        <f t="shared" si="1402"/>
        <v>-5.3211051128460944E-5</v>
      </c>
      <c r="N773" s="62">
        <f t="shared" si="1408"/>
        <v>114.97646308070574</v>
      </c>
      <c r="O773" s="96">
        <f t="shared" si="1403"/>
        <v>-0.36918084079626762</v>
      </c>
      <c r="P773" s="96"/>
      <c r="Q773" s="159">
        <f>IFERROR(INDEX('Non-Labor Expenditures'!$F$7:$AB$91,MATCH($C773,'Non-Labor Expenditures'!$D$7:$D$91,0),MATCH($G773,'Non-Labor Expenditures'!$F$5:$AB$5,0)),"NA")</f>
        <v>10655.250668141378</v>
      </c>
      <c r="R773" s="159">
        <f t="shared" si="1392"/>
        <v>96.583189827426779</v>
      </c>
      <c r="S773" s="165">
        <f t="shared" si="1404"/>
        <v>-1.7350640848289977E-2</v>
      </c>
      <c r="T773" s="165">
        <f t="shared" si="1405"/>
        <v>-4.2249634552308412E-5</v>
      </c>
      <c r="U773" s="165"/>
      <c r="V773" s="165"/>
      <c r="W773" s="159">
        <f t="shared" si="1372"/>
        <v>13327.539434073225</v>
      </c>
      <c r="X773" s="163"/>
      <c r="Y773" s="167">
        <v>664.72188339834759</v>
      </c>
      <c r="Z773" s="168">
        <v>3.4699117327040521E-2</v>
      </c>
      <c r="AA773" s="76">
        <f t="shared" si="1393"/>
        <v>8.4493998761989324E-5</v>
      </c>
      <c r="AB773" s="168"/>
      <c r="AC773" s="168"/>
      <c r="AD773" s="163">
        <f t="shared" si="1410"/>
        <v>31340.439583414474</v>
      </c>
      <c r="AE773" s="168">
        <f t="shared" si="1406"/>
        <v>4.4253129681844028E-2</v>
      </c>
      <c r="AF773" s="163"/>
      <c r="AG773" s="163"/>
      <c r="AH773" s="163"/>
      <c r="AI773" s="163"/>
      <c r="AJ773" s="116">
        <f t="shared" si="1407"/>
        <v>270.18319080161103</v>
      </c>
      <c r="AK773" s="114">
        <f>+AV774/$AX$23</f>
        <v>3.1052839486184289E-3</v>
      </c>
      <c r="AL773" s="115">
        <f t="shared" si="1394"/>
        <v>0.23476535680417129</v>
      </c>
      <c r="AM773" s="115">
        <f t="shared" si="1395"/>
        <v>0.33998408477270348</v>
      </c>
      <c r="AN773" s="115">
        <f t="shared" si="1396"/>
        <v>0.42525055842312531</v>
      </c>
      <c r="AO773" s="115">
        <f t="shared" si="1399"/>
        <v>3.1265710298585356E-3</v>
      </c>
      <c r="AP773" s="166">
        <f t="shared" si="1411"/>
        <v>127.5237817349237</v>
      </c>
      <c r="AQ773" s="168">
        <f t="shared" si="1412"/>
        <v>3.1265710298585235E-3</v>
      </c>
      <c r="AR773" s="69">
        <f>+AD773/$AF$23</f>
        <v>2.4350474960394561E-3</v>
      </c>
      <c r="AS773" s="169">
        <f t="shared" si="1409"/>
        <v>7.6133489574465016E-6</v>
      </c>
      <c r="AT773" s="115"/>
      <c r="AU773" s="115"/>
      <c r="AV773" s="113">
        <v>114858</v>
      </c>
      <c r="AW773" s="68">
        <f t="shared" si="1373"/>
        <v>9.3155744055992799E-3</v>
      </c>
      <c r="AX773" s="114"/>
      <c r="AY773" s="114"/>
      <c r="AZ773" s="116"/>
      <c r="BA773" s="116"/>
      <c r="BB773" s="166"/>
      <c r="BC773" s="166"/>
      <c r="BD773" s="166"/>
      <c r="BE773" s="166"/>
      <c r="BF773" s="166"/>
      <c r="BG773" s="166"/>
      <c r="BH773" s="166"/>
      <c r="BI773" s="113"/>
      <c r="BJ773" s="113"/>
      <c r="BK773" s="113">
        <f>INDEX('Dist. Plant Gas Additions'!$F$7:$AE$91,MATCH($C773,'Dist. Plant Gas Additions'!$D$7:$D$91,0),MATCH(Calculation!$G773,'Dist. Plant Gas Additions'!$F$5:$AE$5,0))</f>
        <v>19791</v>
      </c>
      <c r="BL773" s="113">
        <f>INDEX('Gen. Plant Additions'!$F$7:$AE$91,MATCH($C773,'Gen. Plant Additions'!$D$7:$D$91,0),MATCH(Calculation!$G773,'Gen. Plant Additions'!$F$5:$AE$5,0))</f>
        <v>1479</v>
      </c>
      <c r="BM773" s="231">
        <f t="shared" si="1374"/>
        <v>0.93901766840100065</v>
      </c>
      <c r="BN773" s="61">
        <f t="shared" si="1397"/>
        <v>1388.80713156508</v>
      </c>
      <c r="BO773" s="113">
        <f>INDEX('Dist Plant Depreciation'!$E$7:$AD$94,MATCH($C773,'Dist Plant Depreciation'!$D$7:$D$94,0),MATCH(Calculation!$G773,'Dist Plant Depreciation'!$E$5:$AD$5,0))</f>
        <v>150417</v>
      </c>
      <c r="BP773" s="113">
        <f>INDEX('Gen. Plant Depreciation'!$E$7:$AD$94,MATCH($C773,'Gen. Plant Depreciation'!$D$7:$D$94,0),MATCH(Calculation!$G773,'Gen. Plant Depreciation'!$E$5:$AD$5,0))</f>
        <v>9618</v>
      </c>
      <c r="BQ773" s="113"/>
      <c r="BR773" s="113"/>
      <c r="BS773" s="113"/>
      <c r="BT773" s="113"/>
      <c r="BU773" s="113"/>
      <c r="BV773" s="113"/>
      <c r="BW773" s="113">
        <f>INDEX('Gross Dx Plant'!$E$7:$AD$91,MATCH($C773,'Gross Dx Plant'!$D$7:$D$91,0),MATCH(Calculation!$G773,'Gross Dx Plant'!$E$5:$AD$5,0))</f>
        <v>310058</v>
      </c>
      <c r="BX773" s="113">
        <f>INDEX('Gross Gen Plant'!$E$7:$AD$91,MATCH($C773,'Gross Gen Plant'!$D$7:$D$91,0),MATCH(Calculation!$G773,'Gross Gen Plant'!$E$5:$AD$5,0))</f>
        <v>20136</v>
      </c>
      <c r="BY773" s="113">
        <f t="shared" si="1325"/>
        <v>170159</v>
      </c>
      <c r="BZ773" s="113"/>
      <c r="CA773" s="116">
        <v>2018</v>
      </c>
      <c r="CB773" s="113"/>
      <c r="CC773" s="113"/>
      <c r="CD773" s="113"/>
      <c r="CE773" s="175"/>
      <c r="CF773" s="113">
        <f t="shared" si="1375"/>
        <v>21270</v>
      </c>
      <c r="CG773" s="113">
        <f t="shared" si="1376"/>
        <v>28.16708497419706</v>
      </c>
      <c r="CH773" s="178">
        <v>0.86111111111111116</v>
      </c>
      <c r="CI773" s="61">
        <f>+CI753*CH773++CG754*CH772+CG755*CH771+CG756*CH770+CG757*CH769+CG758*CH768+CG759*CH767+CG760*CH766+CG761*CH765+CG762*CH764+CG763*CH763+CG764*CH762+CG765*CH761+CG766*CH760+CG767*CH759+CG768*CH758+CG769*CH757+CG770*CH756+CG771*CH755+CG772*CH754+CG773</f>
        <v>664.72188339834759</v>
      </c>
      <c r="CJ773" s="114">
        <f t="shared" si="1377"/>
        <v>3.4699117327040521E-2</v>
      </c>
      <c r="CK773" s="114"/>
      <c r="CL773" s="169">
        <f t="shared" si="1378"/>
        <v>8.5622411661021285E-3</v>
      </c>
      <c r="CM773" s="169">
        <f t="shared" si="1386"/>
        <v>8.3731143329024479E-3</v>
      </c>
      <c r="CN773" s="114">
        <f>VLOOKUP($H773,RoR!$E:$F,2,FALSE)</f>
        <v>3.9299999999999995E-2</v>
      </c>
      <c r="CO773" s="169">
        <v>2.386056741932796E-2</v>
      </c>
      <c r="CP773" s="169">
        <f t="shared" si="1384"/>
        <v>1.5439432580672034E-2</v>
      </c>
      <c r="CQ773" s="169">
        <f t="shared" si="1387"/>
        <v>2.2528827275631179E-2</v>
      </c>
      <c r="CR773" s="169">
        <f t="shared" si="1388"/>
        <v>3.8270792163076606E-2</v>
      </c>
      <c r="CS773" s="179">
        <f t="shared" si="1379"/>
        <v>0.90330050000000006</v>
      </c>
      <c r="CT773" s="180">
        <f t="shared" si="1380"/>
        <v>1.3048868010700074</v>
      </c>
      <c r="CU773" s="180">
        <f t="shared" si="1381"/>
        <v>0.33886768447837151</v>
      </c>
      <c r="CV773" s="180">
        <f t="shared" si="1382"/>
        <v>0.78602506232557801</v>
      </c>
      <c r="CW773" s="180">
        <f t="shared" si="1383"/>
        <v>0.34756768162358759</v>
      </c>
      <c r="CX773" s="181">
        <f>INDEX('State Tax Lookup'!$D$7:$Z$91,MATCH(Calculation!$C773,'State Tax Lookup'!$B$7:$B$91,0),MATCH($H773,'State Tax Lookup'!$D$6:$Z$6,0))</f>
        <v>0.26134999999999997</v>
      </c>
      <c r="CY773" s="72">
        <v>0.37</v>
      </c>
      <c r="CZ773" s="70">
        <f t="shared" si="1385"/>
        <v>20.75771930397665</v>
      </c>
      <c r="DA773" s="70">
        <v>19.050901628905343</v>
      </c>
      <c r="DB773" s="69">
        <f t="shared" si="1389"/>
        <v>4.8414992636286389E-2</v>
      </c>
      <c r="DC773" s="111">
        <f>VLOOKUP($H773,RoR!$E:$F,2,FALSE)</f>
        <v>3.9299999999999995E-2</v>
      </c>
      <c r="DD773" s="216">
        <f>HLOOKUP($H773,'GDP-PI'!$D$8:$CQ$11,3,FALSE)</f>
        <v>2.386056741932796E-2</v>
      </c>
      <c r="DE773" s="111">
        <f>VLOOKUP(H773,'HW Dx Data'!$E:$F,2,FALSE)</f>
        <v>755.13671434174842</v>
      </c>
      <c r="DF773" s="72">
        <f t="shared" si="1400"/>
        <v>144.44999999999999</v>
      </c>
      <c r="DG773" s="69">
        <f t="shared" si="1401"/>
        <v>2.80818733619915E-2</v>
      </c>
      <c r="DH773" s="66">
        <f>HLOOKUP(H773,'GDP-PI'!$8:$9,2,FALSE)</f>
        <v>110.322</v>
      </c>
      <c r="DI773" s="69">
        <f t="shared" si="1390"/>
        <v>2.3580352716508712E-2</v>
      </c>
      <c r="EB773"/>
    </row>
    <row r="774" spans="1:132" s="160" customFormat="1" ht="21">
      <c r="A774" s="160" t="s">
        <v>204</v>
      </c>
      <c r="B774" s="161" t="s">
        <v>205</v>
      </c>
      <c r="C774" s="161">
        <v>4061925</v>
      </c>
      <c r="D774" s="161" t="s">
        <v>192</v>
      </c>
      <c r="E774" s="161"/>
      <c r="F774" s="161"/>
      <c r="G774" s="161" t="s">
        <v>140</v>
      </c>
      <c r="H774" s="162">
        <v>2019</v>
      </c>
      <c r="I774" s="163"/>
      <c r="J774" s="159">
        <v>7797.4245513948399</v>
      </c>
      <c r="K774" s="159">
        <f t="shared" si="1391"/>
        <v>52.095704368764586</v>
      </c>
      <c r="L774" s="165">
        <f t="shared" si="1398"/>
        <v>2.2520125788613479E-2</v>
      </c>
      <c r="M774" s="76">
        <f t="shared" si="1402"/>
        <v>5.6150379423504798E-5</v>
      </c>
      <c r="N774" s="62">
        <f t="shared" si="1408"/>
        <v>115.84608947689691</v>
      </c>
      <c r="O774" s="96">
        <f t="shared" si="1403"/>
        <v>7.5350567015399893E-3</v>
      </c>
      <c r="P774" s="96"/>
      <c r="Q774" s="159">
        <f>IFERROR(INDEX('Non-Labor Expenditures'!$F$7:$AB$91,MATCH($C774,'Non-Labor Expenditures'!$D$7:$D$91,0),MATCH($G774,'Non-Labor Expenditures'!$F$5:$AB$5,0)),"NA")</f>
        <v>11292.127108436638</v>
      </c>
      <c r="R774" s="159">
        <f t="shared" si="1392"/>
        <v>100.53710988832279</v>
      </c>
      <c r="S774" s="165">
        <f t="shared" si="1404"/>
        <v>4.0122204236383331E-2</v>
      </c>
      <c r="T774" s="165">
        <f t="shared" si="1405"/>
        <v>1.000383839915923E-4</v>
      </c>
      <c r="U774" s="165"/>
      <c r="V774" s="165"/>
      <c r="W774" s="159">
        <f t="shared" si="1372"/>
        <v>13995.461484062787</v>
      </c>
      <c r="X774" s="163"/>
      <c r="Y774" s="167">
        <v>685.69389410265217</v>
      </c>
      <c r="Z774" s="168">
        <v>3.1062576907850678E-2</v>
      </c>
      <c r="AA774" s="76">
        <f t="shared" si="1393"/>
        <v>7.7449633080180032E-5</v>
      </c>
      <c r="AB774" s="168"/>
      <c r="AC774" s="168"/>
      <c r="AD774" s="163">
        <f t="shared" si="1410"/>
        <v>33085.013143894263</v>
      </c>
      <c r="AE774" s="168">
        <f t="shared" si="1406"/>
        <v>5.4171141637379308E-2</v>
      </c>
      <c r="AF774" s="163"/>
      <c r="AG774" s="163"/>
      <c r="AH774" s="163"/>
      <c r="AI774" s="163"/>
      <c r="AJ774" s="116">
        <f t="shared" si="1407"/>
        <v>281.67766198603965</v>
      </c>
      <c r="AK774" s="114">
        <f>+AV775/$AX$24</f>
        <v>3.1184365237130816E-3</v>
      </c>
      <c r="AL774" s="115">
        <f t="shared" si="1394"/>
        <v>0.23567844804782345</v>
      </c>
      <c r="AM774" s="115">
        <f t="shared" si="1395"/>
        <v>0.34130641143543161</v>
      </c>
      <c r="AN774" s="115">
        <f t="shared" si="1396"/>
        <v>0.42301514051674499</v>
      </c>
      <c r="AO774" s="115">
        <f t="shared" si="1399"/>
        <v>3.213932430326101E-2</v>
      </c>
      <c r="AP774" s="166">
        <f t="shared" si="1411"/>
        <v>131.6888831678481</v>
      </c>
      <c r="AQ774" s="168">
        <f t="shared" si="1412"/>
        <v>3.2139324303261052E-2</v>
      </c>
      <c r="AR774" s="69">
        <f>+AD774/$AF$24</f>
        <v>2.4933421753752056E-3</v>
      </c>
      <c r="AS774" s="169">
        <f t="shared" si="1409"/>
        <v>8.0134332773382122E-5</v>
      </c>
      <c r="AT774" s="115"/>
      <c r="AU774" s="115"/>
      <c r="AV774" s="113">
        <v>115997</v>
      </c>
      <c r="AW774" s="68">
        <f t="shared" si="1373"/>
        <v>9.8677459205954825E-3</v>
      </c>
      <c r="AX774" s="114"/>
      <c r="AY774" s="114"/>
      <c r="AZ774" s="116"/>
      <c r="BA774" s="116"/>
      <c r="BB774" s="166"/>
      <c r="BC774" s="166"/>
      <c r="BD774" s="166"/>
      <c r="BE774" s="166"/>
      <c r="BF774" s="166"/>
      <c r="BG774" s="166"/>
      <c r="BH774" s="166"/>
      <c r="BI774" s="113"/>
      <c r="BJ774" s="113"/>
      <c r="BK774" s="113">
        <f>INDEX('Dist. Plant Gas Additions'!$F$7:$AE$91,MATCH($C774,'Dist. Plant Gas Additions'!$D$7:$D$91,0),MATCH(Calculation!$G774,'Dist. Plant Gas Additions'!$F$5:$AE$5,0))</f>
        <v>18435</v>
      </c>
      <c r="BL774" s="113">
        <f>INDEX('Gen. Plant Additions'!$F$7:$AE$91,MATCH($C774,'Gen. Plant Additions'!$D$7:$D$91,0),MATCH(Calculation!$G774,'Gen. Plant Additions'!$F$5:$AE$5,0))</f>
        <v>2315</v>
      </c>
      <c r="BM774" s="231">
        <f t="shared" si="1374"/>
        <v>0.93719686499386223</v>
      </c>
      <c r="BN774" s="61">
        <f t="shared" si="1397"/>
        <v>2169.6107424607912</v>
      </c>
      <c r="BO774" s="113">
        <f>INDEX('Dist Plant Depreciation'!$E$7:$AD$94,MATCH($C774,'Dist Plant Depreciation'!$D$7:$D$94,0),MATCH(Calculation!$G774,'Dist Plant Depreciation'!$E$5:$AD$5,0))</f>
        <v>158478</v>
      </c>
      <c r="BP774" s="113">
        <f>INDEX('Gen. Plant Depreciation'!$E$7:$AD$94,MATCH($C774,'Gen. Plant Depreciation'!$D$7:$D$94,0),MATCH(Calculation!$G774,'Gen. Plant Depreciation'!$E$5:$AD$5,0))</f>
        <v>11171</v>
      </c>
      <c r="BQ774" s="113"/>
      <c r="BR774" s="113"/>
      <c r="BS774" s="113"/>
      <c r="BT774" s="113"/>
      <c r="BU774" s="113"/>
      <c r="BV774" s="113"/>
      <c r="BW774" s="113">
        <f>INDEX('Gross Dx Plant'!$E$7:$AD$91,MATCH($C774,'Gross Dx Plant'!$D$7:$D$91,0),MATCH(Calculation!$G774,'Gross Dx Plant'!$E$5:$AD$5,0))</f>
        <v>327525</v>
      </c>
      <c r="BX774" s="113">
        <f>INDEX('Gross Gen Plant'!$E$7:$AD$91,MATCH($C774,'Gross Gen Plant'!$D$7:$D$91,0),MATCH(Calculation!$G774,'Gross Gen Plant'!$E$5:$AD$5,0))</f>
        <v>21948</v>
      </c>
      <c r="BY774" s="113">
        <f t="shared" si="1325"/>
        <v>179824</v>
      </c>
      <c r="BZ774" s="113"/>
      <c r="CA774" s="116">
        <v>2019</v>
      </c>
      <c r="CB774" s="113"/>
      <c r="CC774" s="113"/>
      <c r="CD774" s="113"/>
      <c r="CE774" s="175"/>
      <c r="CF774" s="113">
        <f t="shared" si="1375"/>
        <v>20750</v>
      </c>
      <c r="CG774" s="113">
        <f t="shared" si="1376"/>
        <v>26.824752220443649</v>
      </c>
      <c r="CH774" s="178">
        <v>0.85106382978723405</v>
      </c>
      <c r="CI774" s="61">
        <f>CI753*CH774+CG754*CH773+CG755*CH772+CG756*CH771+CG757*CH770+CG758*CH769+CG759*CH768+CG760*CH767+CG761*CH766+CG762*CH765+CG763*CH764+CG764*CH763+CG765*CH762+CG766*CH761+CG767*CH760+CG768*CH759+CG769*CH758+CG770*CH757+CG771*CH756+CG772*CH755+CG773*CH754+CG774</f>
        <v>685.69389410265217</v>
      </c>
      <c r="CJ774" s="114">
        <f t="shared" si="1377"/>
        <v>3.1062576907850678E-2</v>
      </c>
      <c r="CK774" s="114"/>
      <c r="CL774" s="169">
        <f t="shared" si="1378"/>
        <v>8.8047974082292989E-3</v>
      </c>
      <c r="CM774" s="169">
        <f t="shared" si="1386"/>
        <v>8.5820726384229721E-3</v>
      </c>
      <c r="CN774" s="114">
        <f>VLOOKUP($H774,RoR!$E:$F,2,FALSE)</f>
        <v>3.3875000000000009E-2</v>
      </c>
      <c r="CO774" s="169">
        <v>1.8092492884465461E-2</v>
      </c>
      <c r="CP774" s="169">
        <f t="shared" si="1384"/>
        <v>1.5782507115534548E-2</v>
      </c>
      <c r="CQ774" s="169">
        <f t="shared" si="1387"/>
        <v>2.2319868970110651E-2</v>
      </c>
      <c r="CR774" s="169">
        <f t="shared" si="1388"/>
        <v>4.8445665544254078E-2</v>
      </c>
      <c r="CS774" s="179">
        <f t="shared" si="1379"/>
        <v>0.90330050000000006</v>
      </c>
      <c r="CT774" s="180">
        <f t="shared" si="1380"/>
        <v>1.513861292459078</v>
      </c>
      <c r="CU774" s="180">
        <f t="shared" si="1381"/>
        <v>0.23699261992619944</v>
      </c>
      <c r="CV774" s="180">
        <f t="shared" si="1382"/>
        <v>0.73619765810468829</v>
      </c>
      <c r="CW774" s="180">
        <f t="shared" si="1383"/>
        <v>0.26412854465362851</v>
      </c>
      <c r="CX774" s="181">
        <f>INDEX('State Tax Lookup'!$D$7:$Z$91,MATCH(Calculation!$C774,'State Tax Lookup'!$B$7:$B$91,0),MATCH($H774,'State Tax Lookup'!$D$6:$Z$6,0))</f>
        <v>0.26134999999999997</v>
      </c>
      <c r="CY774" s="72">
        <v>0.37</v>
      </c>
      <c r="CZ774" s="70">
        <f t="shared" si="1385"/>
        <v>21.054612212421677</v>
      </c>
      <c r="DA774" s="70">
        <v>19.236104090735289</v>
      </c>
      <c r="DB774" s="69">
        <f t="shared" si="1389"/>
        <v>1.420145146042545E-2</v>
      </c>
      <c r="DC774" s="111">
        <f>VLOOKUP($H774,RoR!$E:$F,2,FALSE)</f>
        <v>3.3875000000000009E-2</v>
      </c>
      <c r="DD774" s="216">
        <f>HLOOKUP($H774,'GDP-PI'!$D$8:$CQ$11,3,FALSE)</f>
        <v>1.8092492884465461E-2</v>
      </c>
      <c r="DE774" s="111">
        <f>VLOOKUP(H774,'HW Dx Data'!$E:$F,2,FALSE)</f>
        <v>773.53929793938721</v>
      </c>
      <c r="DF774" s="72">
        <f t="shared" si="1400"/>
        <v>149.67500000000001</v>
      </c>
      <c r="DG774" s="69">
        <f t="shared" si="1401"/>
        <v>3.5532849899171604E-2</v>
      </c>
      <c r="DH774" s="66">
        <f>HLOOKUP(H774,'GDP-PI'!$8:$9,2,FALSE)</f>
        <v>112.318</v>
      </c>
      <c r="DI774" s="69">
        <f t="shared" si="1390"/>
        <v>1.7930771451401852E-2</v>
      </c>
      <c r="EB774"/>
    </row>
    <row r="775" spans="1:132" s="160" customFormat="1" ht="21">
      <c r="A775" s="160" t="s">
        <v>204</v>
      </c>
      <c r="B775" s="160" t="s">
        <v>205</v>
      </c>
      <c r="C775" s="160">
        <v>4061925</v>
      </c>
      <c r="D775" s="160" t="s">
        <v>192</v>
      </c>
      <c r="G775" s="161" t="s">
        <v>141</v>
      </c>
      <c r="H775" s="162">
        <v>2020</v>
      </c>
      <c r="I775" s="163"/>
      <c r="J775" s="159">
        <v>7525.8301536081408</v>
      </c>
      <c r="K775" s="159">
        <f t="shared" si="1391"/>
        <v>49.140255655293117</v>
      </c>
      <c r="L775" s="165">
        <f t="shared" si="1398"/>
        <v>-5.8403925954433299E-2</v>
      </c>
      <c r="M775" s="76">
        <f t="shared" si="1402"/>
        <v>-1.428303270719529E-4</v>
      </c>
      <c r="N775" s="62">
        <f t="shared" si="1408"/>
        <v>116.10225683789588</v>
      </c>
      <c r="O775" s="96">
        <f t="shared" si="1403"/>
        <v>2.2088320026509268E-3</v>
      </c>
      <c r="P775" s="96"/>
      <c r="Q775" s="159">
        <f>IFERROR(INDEX('Non-Labor Expenditures'!$F$7:$AB$91,MATCH($C775,'Non-Labor Expenditures'!$D$7:$D$91,0),MATCH($G775,'Non-Labor Expenditures'!$F$5:$AB$5,0)),"NA")</f>
        <v>10898.807693605224</v>
      </c>
      <c r="R775" s="159">
        <f t="shared" si="1392"/>
        <v>95.9207879883934</v>
      </c>
      <c r="S775" s="165">
        <f t="shared" si="1404"/>
        <v>-4.700418621845797E-2</v>
      </c>
      <c r="T775" s="165">
        <f t="shared" si="1405"/>
        <v>-1.149515752857316E-4</v>
      </c>
      <c r="U775" s="165"/>
      <c r="V775" s="165"/>
      <c r="W775" s="159">
        <f t="shared" si="1372"/>
        <v>15023.017241469337</v>
      </c>
      <c r="X775" s="163"/>
      <c r="Y775" s="167">
        <v>714.75830681307752</v>
      </c>
      <c r="Z775" s="168">
        <v>4.151314348737821E-2</v>
      </c>
      <c r="AA775" s="76">
        <f t="shared" si="1393"/>
        <v>1.0152289876391538E-4</v>
      </c>
      <c r="AB775" s="168"/>
      <c r="AC775" s="168"/>
      <c r="AD775" s="163">
        <f t="shared" si="1410"/>
        <v>33447.655088682703</v>
      </c>
      <c r="AE775" s="168">
        <f t="shared" si="1406"/>
        <v>1.0901277393916798E-2</v>
      </c>
      <c r="AF775" s="163"/>
      <c r="AG775" s="163"/>
      <c r="AH775" s="163"/>
      <c r="AI775" s="163"/>
      <c r="AJ775" s="116">
        <f t="shared" si="1407"/>
        <v>280.94288428610895</v>
      </c>
      <c r="AK775" s="114">
        <f>+AV776/$AX$25</f>
        <v>3.1385421384113031E-3</v>
      </c>
      <c r="AL775" s="115">
        <f t="shared" si="1394"/>
        <v>0.22500322171028872</v>
      </c>
      <c r="AM775" s="115">
        <f t="shared" si="1395"/>
        <v>0.32584668984143311</v>
      </c>
      <c r="AN775" s="115">
        <f t="shared" si="1396"/>
        <v>0.44915008844827814</v>
      </c>
      <c r="AO775" s="115">
        <f t="shared" si="1399"/>
        <v>-1.1029143221514954E-2</v>
      </c>
      <c r="AP775" s="166">
        <f t="shared" si="1411"/>
        <v>130.24444769950779</v>
      </c>
      <c r="AQ775" s="168">
        <f t="shared" si="1412"/>
        <v>-1.1029143221514862E-2</v>
      </c>
      <c r="AR775" s="69">
        <f>+AD775/$AF$25</f>
        <v>2.4455603752286965E-3</v>
      </c>
      <c r="AS775" s="169">
        <f t="shared" si="1409"/>
        <v>-2.697243563525892E-5</v>
      </c>
      <c r="AT775" s="115"/>
      <c r="AU775" s="115"/>
      <c r="AV775" s="113">
        <v>117457</v>
      </c>
      <c r="AW775" s="68">
        <f t="shared" si="1373"/>
        <v>1.25079804556672E-2</v>
      </c>
      <c r="AX775" s="114"/>
      <c r="AY775" s="114"/>
      <c r="AZ775" s="116"/>
      <c r="BA775" s="116"/>
      <c r="BB775" s="166"/>
      <c r="BC775" s="166"/>
      <c r="BD775" s="166"/>
      <c r="BE775" s="166"/>
      <c r="BF775" s="166"/>
      <c r="BG775" s="166"/>
      <c r="BH775" s="166"/>
      <c r="BI775" s="113"/>
      <c r="BJ775" s="113"/>
      <c r="BK775" s="113">
        <f>INDEX('Dist. Plant Gas Additions'!$F$7:$AE$91,MATCH($C775,'Dist. Plant Gas Additions'!$D$7:$D$91,0),MATCH(Calculation!$G775,'Dist. Plant Gas Additions'!$F$5:$AE$5,0))</f>
        <v>26374</v>
      </c>
      <c r="BL775" s="113">
        <f>INDEX('Gen. Plant Additions'!$F$7:$AE$91,MATCH($C775,'Gen. Plant Additions'!$D$7:$D$91,0),MATCH(Calculation!$G775,'Gen. Plant Additions'!$F$5:$AE$5,0))</f>
        <v>2314</v>
      </c>
      <c r="BM775" s="231">
        <f t="shared" si="1374"/>
        <v>0.93775182217393271</v>
      </c>
      <c r="BN775" s="61">
        <f t="shared" si="1397"/>
        <v>2169.9577165104802</v>
      </c>
      <c r="BO775" s="113">
        <f>INDEX('Dist Plant Depreciation'!$E$7:$AD$94,MATCH($C775,'Dist Plant Depreciation'!$D$7:$D$94,0),MATCH(Calculation!$G775,'Dist Plant Depreciation'!$E$5:$AD$5,0))</f>
        <v>166579</v>
      </c>
      <c r="BP775" s="113">
        <f>INDEX('Gen. Plant Depreciation'!$E$7:$AD$94,MATCH($C775,'Gen. Plant Depreciation'!$D$7:$D$94,0),MATCH(Calculation!$G775,'Gen. Plant Depreciation'!$E$5:$AD$5,0))</f>
        <v>12124</v>
      </c>
      <c r="BQ775" s="113"/>
      <c r="BR775" s="113"/>
      <c r="BS775" s="113"/>
      <c r="BT775" s="113"/>
      <c r="BU775" s="113"/>
      <c r="BV775" s="113"/>
      <c r="BW775" s="113">
        <f>INDEX('Gross Dx Plant'!$E$7:$AD$91,MATCH($C775,'Gross Dx Plant'!$D$7:$D$91,0),MATCH(Calculation!$G775,'Gross Dx Plant'!$E$5:$AD$5,0))</f>
        <v>352138</v>
      </c>
      <c r="BX775" s="113">
        <f>INDEX('Gross Gen Plant'!$E$7:$AD$91,MATCH($C775,'Gross Gen Plant'!$D$7:$D$91,0),MATCH(Calculation!$G775,'Gross Gen Plant'!$E$5:$AD$5,0))</f>
        <v>23375</v>
      </c>
      <c r="BY775" s="113">
        <f t="shared" si="1325"/>
        <v>196810</v>
      </c>
      <c r="BZ775" s="113"/>
      <c r="CA775" s="116">
        <v>2020</v>
      </c>
      <c r="CB775" s="113"/>
      <c r="CC775" s="113"/>
      <c r="CD775" s="113"/>
      <c r="CE775" s="175"/>
      <c r="CF775" s="113">
        <f t="shared" si="1375"/>
        <v>28688</v>
      </c>
      <c r="CG775" s="113">
        <f t="shared" si="1376"/>
        <v>35.28311392230345</v>
      </c>
      <c r="CH775" s="178">
        <v>0.84057971014492749</v>
      </c>
      <c r="CI775" s="61">
        <f>CI753*CH775+CG754*CH774+CG755*CH773+CG756*CH772+CG757*CH771+CG758*CH770+CG759*CH769+CG760*CH768+CG761*CH767+CG762*CH766+CG763*CH765+CG764*CH764+CG765*CH763+CG766*CH762+CG767*CH761+CG768*CH760+CG769*CH759+CG770*CH758+CG771*CH757+CG772*CH756+CG773*CH755+CG774*CH754+CG775</f>
        <v>714.75830681307752</v>
      </c>
      <c r="CJ775" s="114">
        <f t="shared" si="1377"/>
        <v>4.151314348737821E-2</v>
      </c>
      <c r="CK775" s="114"/>
      <c r="CL775" s="169">
        <f t="shared" si="1378"/>
        <v>9.0692089653449902E-3</v>
      </c>
      <c r="CM775" s="169">
        <f t="shared" si="1386"/>
        <v>8.8120825132254731E-3</v>
      </c>
      <c r="CN775" s="114">
        <f>VLOOKUP($H775,RoR!$E:$F,2,FALSE)</f>
        <v>2.4766666666666666E-2</v>
      </c>
      <c r="CO775" s="169">
        <v>1.1618796630994188E-2</v>
      </c>
      <c r="CP775" s="169">
        <f t="shared" si="1384"/>
        <v>1.3147870035672478E-2</v>
      </c>
      <c r="CQ775" s="169">
        <f t="shared" si="1387"/>
        <v>2.2089859095308154E-2</v>
      </c>
      <c r="CR775" s="169">
        <f t="shared" si="1388"/>
        <v>4.5144642961987357E-2</v>
      </c>
      <c r="CS775" s="179">
        <f t="shared" si="1379"/>
        <v>0.90330050000000006</v>
      </c>
      <c r="CT775" s="180">
        <f t="shared" si="1380"/>
        <v>2.0706077233668081</v>
      </c>
      <c r="CU775" s="180">
        <f t="shared" si="1381"/>
        <v>-3.4421265141318998E-2</v>
      </c>
      <c r="CV775" s="180">
        <f t="shared" si="1382"/>
        <v>0.62416226176410472</v>
      </c>
      <c r="CW775" s="180">
        <f t="shared" si="1383"/>
        <v>-4.4485877841158712E-2</v>
      </c>
      <c r="CX775" s="181">
        <f>INDEX('State Tax Lookup'!$D$7:$Z$91,MATCH(Calculation!$C775,'State Tax Lookup'!$B$7:$B$91,0),MATCH($H775,'State Tax Lookup'!$D$6:$Z$6,0))</f>
        <v>0.26134999999999997</v>
      </c>
      <c r="CY775" s="72">
        <v>0.37</v>
      </c>
      <c r="CZ775" s="70">
        <f t="shared" si="1385"/>
        <v>21.909218341705561</v>
      </c>
      <c r="DA775" s="70">
        <v>19.952659173050833</v>
      </c>
      <c r="DB775" s="69">
        <f t="shared" si="1389"/>
        <v>3.9787833495446893E-2</v>
      </c>
      <c r="DC775" s="111">
        <f>VLOOKUP($H775,RoR!$E:$F,2,FALSE)</f>
        <v>2.4766666666666666E-2</v>
      </c>
      <c r="DD775" s="216">
        <f>HLOOKUP($H775,'GDP-PI'!$D$8:$CQ$11,3,FALSE)</f>
        <v>1.1618796630994188E-2</v>
      </c>
      <c r="DE775" s="111">
        <f>VLOOKUP(H775,'HW Dx Data'!$E:$F,2,FALSE)</f>
        <v>813.080162458833</v>
      </c>
      <c r="DF775" s="72">
        <f t="shared" si="1400"/>
        <v>153.15</v>
      </c>
      <c r="DG775" s="69">
        <f t="shared" si="1401"/>
        <v>2.2951556467368479E-2</v>
      </c>
      <c r="DH775" s="66">
        <f>HLOOKUP(H775,'GDP-PI'!$8:$9,2,FALSE)</f>
        <v>113.623</v>
      </c>
      <c r="DI775" s="69">
        <f t="shared" si="1390"/>
        <v>1.1551816731392881E-2</v>
      </c>
      <c r="EB775"/>
    </row>
    <row r="776" spans="1:132" s="160" customFormat="1" ht="21">
      <c r="A776" s="160" t="s">
        <v>204</v>
      </c>
      <c r="B776" s="160" t="s">
        <v>205</v>
      </c>
      <c r="C776" s="160">
        <v>4061925</v>
      </c>
      <c r="D776" s="160" t="s">
        <v>192</v>
      </c>
      <c r="G776" s="161" t="s">
        <v>142</v>
      </c>
      <c r="H776" s="162">
        <v>2021</v>
      </c>
      <c r="I776" s="163"/>
      <c r="J776" s="159">
        <v>7423.4409439966057</v>
      </c>
      <c r="K776" s="159">
        <f t="shared" si="1391"/>
        <v>47.207891535749482</v>
      </c>
      <c r="L776" s="164">
        <f t="shared" si="1398"/>
        <v>-4.0117497499677537E-2</v>
      </c>
      <c r="M776" s="76">
        <f t="shared" si="1402"/>
        <v>-9.5601076026845201E-5</v>
      </c>
      <c r="N776" s="166">
        <f>+N775*EXP(O776)</f>
        <v>119.14282061096515</v>
      </c>
      <c r="O776" s="114">
        <f t="shared" si="1403"/>
        <v>2.5851619424309167E-2</v>
      </c>
      <c r="P776" s="114"/>
      <c r="Q776" s="159">
        <v>10464.368559609675</v>
      </c>
      <c r="R776" s="159">
        <f t="shared" si="1392"/>
        <v>88.314360364669383</v>
      </c>
      <c r="S776" s="165">
        <f t="shared" si="1404"/>
        <v>-8.2619999820529352E-2</v>
      </c>
      <c r="T776" s="165">
        <f t="shared" si="1405"/>
        <v>-1.9688568271846596E-4</v>
      </c>
      <c r="U776" s="165"/>
      <c r="V776" s="165"/>
      <c r="W776" s="159">
        <f t="shared" si="1372"/>
        <v>18625.779840354029</v>
      </c>
      <c r="X776" s="163"/>
      <c r="Y776" s="167">
        <v>746.0751754191549</v>
      </c>
      <c r="Z776" s="168"/>
      <c r="AA776" s="76">
        <f t="shared" si="1393"/>
        <v>0</v>
      </c>
      <c r="AB776" s="168"/>
      <c r="AC776" s="168"/>
      <c r="AD776" s="163">
        <f t="shared" si="1410"/>
        <v>36513.58934396031</v>
      </c>
      <c r="AE776" s="168">
        <f t="shared" si="1406"/>
        <v>8.7702819957014691E-2</v>
      </c>
      <c r="AF776" s="113"/>
      <c r="AG776" s="114"/>
      <c r="AH776" s="114"/>
      <c r="AI776" s="114"/>
      <c r="AJ776" s="116">
        <f t="shared" si="1407"/>
        <v>306.69513539087234</v>
      </c>
      <c r="AK776" s="114">
        <f>+AV777/$AX$26</f>
        <v>3.0838250563978995E-3</v>
      </c>
      <c r="AL776" s="115">
        <f t="shared" si="1394"/>
        <v>0.2033062505596841</v>
      </c>
      <c r="AM776" s="115">
        <f t="shared" si="1395"/>
        <v>0.28658832910220533</v>
      </c>
      <c r="AN776" s="115">
        <f t="shared" si="1396"/>
        <v>0.51010542033811057</v>
      </c>
      <c r="AO776" s="115">
        <f t="shared" si="1399"/>
        <v>-3.3891042669044073E-2</v>
      </c>
      <c r="AP776" s="166">
        <f t="shared" si="1411"/>
        <v>125.90428923158302</v>
      </c>
      <c r="AQ776" s="168">
        <f t="shared" si="1412"/>
        <v>-3.3891042669044087E-2</v>
      </c>
      <c r="AR776" s="69">
        <f>+AD776/$AF$26</f>
        <v>2.3830269080870169E-3</v>
      </c>
      <c r="AS776" s="169">
        <f t="shared" si="1409"/>
        <v>-8.0763266623457293E-5</v>
      </c>
      <c r="AT776" s="115"/>
      <c r="AU776" s="115"/>
      <c r="AV776" s="113">
        <v>119055</v>
      </c>
      <c r="AW776" s="68">
        <f t="shared" si="1373"/>
        <v>1.3513262052311344E-2</v>
      </c>
      <c r="AX776" s="113"/>
      <c r="AY776" s="113"/>
      <c r="AZ776" s="116"/>
      <c r="BA776" s="116"/>
      <c r="BB776" s="166"/>
      <c r="BC776" s="166"/>
      <c r="BD776" s="166"/>
      <c r="BE776" s="166"/>
      <c r="BF776" s="166"/>
      <c r="BG776" s="166"/>
      <c r="BH776" s="166"/>
      <c r="BI776" s="113"/>
      <c r="BJ776" s="113"/>
      <c r="BK776" s="113">
        <f>INDEX('Dist. Plant Gas Additions'!$E$7:$AE$91,MATCH($C776,'Dist. Plant Gas Additions'!$D$7:$D$91,0),MATCH(Calculation!$G776,'Dist. Plant Gas Additions'!$E$5:$AE$5,0))</f>
        <v>31200</v>
      </c>
      <c r="BL776" s="113">
        <f>INDEX('Gen. Plant Additions'!$E$7:$AE$91,MATCH($C776,'Gen. Plant Additions'!$D$7:$D$91,0),MATCH(Calculation!$G776,'Gen. Plant Additions'!$E$5:$AE$5,0))</f>
        <v>2072</v>
      </c>
      <c r="BM776" s="232">
        <v>0.93775182217393271</v>
      </c>
      <c r="BN776" s="61">
        <f>+BM776*BL776</f>
        <v>1943.0217755443887</v>
      </c>
      <c r="BO776" s="113"/>
      <c r="BP776" s="113"/>
      <c r="BQ776" s="175"/>
      <c r="BR776" s="175"/>
      <c r="BS776" s="170"/>
      <c r="BT776" s="176"/>
      <c r="BU776" s="177"/>
      <c r="BV776" s="177"/>
      <c r="BW776" s="113"/>
      <c r="BX776" s="113"/>
      <c r="BY776" s="113"/>
      <c r="BZ776" s="113"/>
      <c r="CA776" s="116">
        <v>2021</v>
      </c>
      <c r="CB776" s="113"/>
      <c r="CC776" s="113"/>
      <c r="CD776" s="113"/>
      <c r="CE776" s="175"/>
      <c r="CF776" s="113">
        <f t="shared" si="1375"/>
        <v>33272</v>
      </c>
      <c r="CG776" s="113">
        <f t="shared" si="1376"/>
        <v>35.66044766116088</v>
      </c>
      <c r="CH776" s="178">
        <f>+(51-23)/(51-23*0.75)</f>
        <v>0.82962962962962961</v>
      </c>
      <c r="CI776" s="113">
        <f>CI753*CH776+CG754*CH775+CG755*CH774+CG756*CH773+CG757*CH772+CG758*CH771+CG759*CH770+CG760*CH769+CG761*CH768+CG762*CH767+CG763*CH766+CG764*CH765+CG765*CH764+CG766*CH763+CG767*CH762+CG758*CH761+CG769*CH760+CG770*CH759+CG771*CH758+CG772*CH757+CG773*CH756+CG774*CH755+CG776+CG775*CH754</f>
        <v>746.0751754191549</v>
      </c>
      <c r="CJ776" s="114"/>
      <c r="CK776" s="113"/>
      <c r="CL776" s="169">
        <f t="shared" si="1378"/>
        <v>6.0769899610546652E-3</v>
      </c>
      <c r="CM776" s="169">
        <f t="shared" si="1386"/>
        <v>7.9836654448763172E-3</v>
      </c>
      <c r="CN776" s="114"/>
      <c r="CO776" s="169"/>
      <c r="CP776" s="169"/>
      <c r="CQ776" s="69">
        <f t="shared" si="1387"/>
        <v>2.2918276163657308E-2</v>
      </c>
      <c r="CR776" s="169">
        <f t="shared" si="1388"/>
        <v>7.433422950153494E-2</v>
      </c>
      <c r="CS776" s="179">
        <f t="shared" si="1379"/>
        <v>0.90330050000000006</v>
      </c>
      <c r="CT776" s="180">
        <f t="shared" si="1380"/>
        <v>1.8969932656739068</v>
      </c>
      <c r="CU776" s="180">
        <f t="shared" si="1381"/>
        <v>5.0215782983970621E-2</v>
      </c>
      <c r="CV776" s="180">
        <f t="shared" si="1382"/>
        <v>0.655952481704143</v>
      </c>
      <c r="CW776" s="180">
        <f t="shared" si="1383"/>
        <v>6.2485378865697057E-2</v>
      </c>
      <c r="CX776" s="181">
        <f>CX775</f>
        <v>0.26134999999999997</v>
      </c>
      <c r="CY776" s="72">
        <v>0.37</v>
      </c>
      <c r="CZ776" s="182">
        <f t="shared" si="1385"/>
        <v>26.058850471289471</v>
      </c>
      <c r="DA776" s="182"/>
      <c r="DB776" s="169">
        <f t="shared" si="1389"/>
        <v>0.1734499827735759</v>
      </c>
      <c r="DC776" s="181">
        <f>VLOOKUP($H776,RoR!$E:$F,2,FALSE)</f>
        <v>2.7033333333333336E-2</v>
      </c>
      <c r="DD776" s="183">
        <f>HLOOKUP($H776,'GDP-PI'!$D$8:$CR$11,3,FALSE)</f>
        <v>4.2834637353352578E-2</v>
      </c>
      <c r="DE776" s="181">
        <f>VLOOKUP(H776,'HW Dx Data'!$E:$F,2,FALSE)</f>
        <v>933.02249921662576</v>
      </c>
      <c r="DF776" s="72">
        <f t="shared" si="1400"/>
        <v>157.25</v>
      </c>
      <c r="DG776" s="69">
        <f t="shared" si="1401"/>
        <v>2.6419062301765574E-2</v>
      </c>
      <c r="DH776" s="175">
        <f>HLOOKUP(H776,'GDP-PI'!$8:$9,2,FALSE)</f>
        <v>118.49</v>
      </c>
      <c r="DI776" s="169">
        <f t="shared" si="1390"/>
        <v>4.194261824609434E-2</v>
      </c>
      <c r="EB776"/>
    </row>
    <row r="777" spans="1:132" s="160" customFormat="1" ht="21">
      <c r="G777" s="161" t="s">
        <v>144</v>
      </c>
      <c r="H777" s="162"/>
      <c r="I777" s="163"/>
      <c r="J777" s="159">
        <v>7575.4875768512757</v>
      </c>
      <c r="K777" s="159">
        <f t="shared" si="1391"/>
        <v>46.604045382044141</v>
      </c>
      <c r="L777" s="164">
        <f t="shared" ref="L777" si="1413">LN(K777/K776)</f>
        <v>-1.2873724032997119E-2</v>
      </c>
      <c r="M777" s="76">
        <f t="shared" si="1402"/>
        <v>-3.0511944615367199E-5</v>
      </c>
      <c r="N777" s="166">
        <f>+N776*EXP(O777)</f>
        <v>116.96775750036971</v>
      </c>
      <c r="O777" s="114">
        <f t="shared" si="1403"/>
        <v>-1.8424626781249384E-2</v>
      </c>
      <c r="P777" s="114"/>
      <c r="Q777" s="163">
        <v>10678.699355320474</v>
      </c>
      <c r="R777" s="159">
        <f t="shared" si="1392"/>
        <v>83.919051908215906</v>
      </c>
      <c r="S777" s="165">
        <f t="shared" ref="S777" si="1414">LN(R777/R776)</f>
        <v>-5.1050059465616152E-2</v>
      </c>
      <c r="T777" s="165">
        <f t="shared" si="1405"/>
        <v>-1.2099347345287548E-4</v>
      </c>
      <c r="U777" s="166"/>
      <c r="V777" s="114"/>
      <c r="W777" s="159">
        <f t="shared" si="1372"/>
        <v>20248.461896945671</v>
      </c>
      <c r="X777" s="168"/>
      <c r="Y777" s="167">
        <v>768.95665311778157</v>
      </c>
      <c r="Z777" s="168">
        <v>3.0208233593655293E-2</v>
      </c>
      <c r="AA777" s="76">
        <f t="shared" si="1393"/>
        <v>7.1596373199799145E-5</v>
      </c>
      <c r="AB777" s="166"/>
      <c r="AC777" s="114"/>
      <c r="AD777" s="163">
        <f t="shared" si="1410"/>
        <v>38502.648829117417</v>
      </c>
      <c r="AE777" s="168">
        <f t="shared" si="1406"/>
        <v>5.3042537591958192E-2</v>
      </c>
      <c r="AF777" s="113"/>
      <c r="AG777" s="114"/>
      <c r="AH777" s="114"/>
      <c r="AI777" s="114"/>
      <c r="AJ777" s="116">
        <f>+(AD777*1000)/AV777</f>
        <v>323.40219922823417</v>
      </c>
      <c r="AK777" s="114"/>
      <c r="AL777" s="115">
        <f t="shared" si="1394"/>
        <v>0.19675237437488599</v>
      </c>
      <c r="AM777" s="115">
        <f t="shared" si="1395"/>
        <v>0.27734973255255013</v>
      </c>
      <c r="AN777" s="115">
        <f t="shared" si="1396"/>
        <v>0.52589789307256396</v>
      </c>
      <c r="AO777" s="115"/>
      <c r="AP777" s="166"/>
      <c r="AQ777" s="168"/>
      <c r="AR777" s="69">
        <f>+AD777/$AF$27</f>
        <v>2.3700946623650548E-3</v>
      </c>
      <c r="AS777" s="169"/>
      <c r="AT777" s="166"/>
      <c r="AU777" s="168"/>
      <c r="AV777" s="113">
        <v>119055</v>
      </c>
      <c r="AW777" s="68">
        <f t="shared" si="1373"/>
        <v>0</v>
      </c>
      <c r="AX777" s="113"/>
      <c r="AY777" s="113"/>
      <c r="AZ777" s="113"/>
      <c r="BA777" s="113"/>
      <c r="BB777" s="171"/>
      <c r="BC777" s="172"/>
      <c r="BD777" s="173"/>
      <c r="BE777" s="115"/>
      <c r="BF777" s="174"/>
      <c r="BG777" s="174"/>
      <c r="BH777" s="166"/>
      <c r="BI777" s="113"/>
      <c r="BJ777" s="113"/>
      <c r="BK777" s="113"/>
      <c r="BL777" s="113"/>
      <c r="BM777" s="232">
        <v>0.93775182217393271</v>
      </c>
      <c r="BN777" s="61">
        <f t="shared" ref="BN777:BN793" si="1415">+BM777*BL777</f>
        <v>0</v>
      </c>
      <c r="BO777" s="113"/>
      <c r="BP777" s="113"/>
      <c r="BQ777" s="175"/>
      <c r="BR777" s="175"/>
      <c r="BS777" s="170"/>
      <c r="BT777" s="176"/>
      <c r="BU777" s="177"/>
      <c r="BV777" s="177"/>
      <c r="BW777" s="113"/>
      <c r="BX777" s="113"/>
      <c r="BY777" s="113"/>
      <c r="BZ777" s="113"/>
      <c r="CA777" s="116">
        <v>2022</v>
      </c>
      <c r="CB777" s="113"/>
      <c r="CC777" s="113"/>
      <c r="CD777" s="113"/>
      <c r="CE777" s="175"/>
      <c r="CF777" s="238">
        <v>42657</v>
      </c>
      <c r="CG777" s="113">
        <f>+CF777/DE777</f>
        <v>41.382019964881991</v>
      </c>
      <c r="CH777" s="178">
        <f>+(51-24)/(51-24*0.75)</f>
        <v>0.81818181818181823</v>
      </c>
      <c r="CI777" s="113">
        <f>+CI753*CH777+CG754*CH776+CG755*CH775+CG756*CH774+CG757*CH773+CG758*CH772+CG759*CH771+CG760*CH770+CG761*CH769+CG762*CH768+CG763*CH767+CG764*CH766+CG765*CH765+CG766*CH764+CG767*CH763+CG768*CH762+CG769*CH761+CG770*CH760+CG771*CH759+CG772*CH758+CG773*CH757+CG774*CH756+CG775*CH755+CG776*CH754+CG777*CH753</f>
        <v>778.06114376106211</v>
      </c>
      <c r="CJ777" s="114">
        <f t="shared" ref="CJ777" si="1416">LN(CI777/CI776)</f>
        <v>4.19787455767862E-2</v>
      </c>
      <c r="CK777" s="113"/>
      <c r="CL777" s="169">
        <f t="shared" si="1378"/>
        <v>1.2593974350769619E-2</v>
      </c>
      <c r="CM777" s="169">
        <f t="shared" si="1386"/>
        <v>9.2467244257230918E-3</v>
      </c>
      <c r="CN777" s="114"/>
      <c r="CO777" s="169"/>
      <c r="CP777" s="169"/>
      <c r="CQ777" s="69">
        <f t="shared" si="1387"/>
        <v>2.1655217182810535E-2</v>
      </c>
      <c r="CR777" s="169">
        <f t="shared" ref="CR777" si="1417">+((DE775/DE774-1)+(DE776/DE775-1)+(DE777/DE776-1))/3</f>
        <v>0.10114668178709289</v>
      </c>
      <c r="CS777" s="179">
        <f t="shared" si="1379"/>
        <v>0.90379999999999994</v>
      </c>
      <c r="CT777" s="180"/>
      <c r="CU777" s="180"/>
      <c r="CV777" s="180"/>
      <c r="CW777" s="180"/>
      <c r="CX777" s="181">
        <v>0.26</v>
      </c>
      <c r="CY777" s="72">
        <v>0.37</v>
      </c>
      <c r="CZ777" s="182">
        <f t="shared" si="1385"/>
        <v>27.139975385951981</v>
      </c>
      <c r="DA777" s="182"/>
      <c r="DB777" s="169">
        <f t="shared" ref="DB777" si="1418">LN(CZ777/CZ776)</f>
        <v>4.0650287602157595E-2</v>
      </c>
      <c r="DC777" s="181">
        <v>0.04</v>
      </c>
      <c r="DD777" s="183">
        <v>7.0000000000000001E-3</v>
      </c>
      <c r="DE777" s="181">
        <v>1030.81</v>
      </c>
      <c r="DF777" s="72">
        <f t="shared" si="1400"/>
        <v>162.55000000000001</v>
      </c>
      <c r="DG777" s="169">
        <f t="shared" si="1401"/>
        <v>3.3148751169364422E-2</v>
      </c>
      <c r="DH777" s="175">
        <v>127.25</v>
      </c>
      <c r="DI777" s="169">
        <f t="shared" si="1390"/>
        <v>7.1325086601983473E-2</v>
      </c>
      <c r="EB777"/>
    </row>
    <row r="778" spans="1:132" s="160" customFormat="1" ht="21">
      <c r="A778" s="160" t="s">
        <v>206</v>
      </c>
      <c r="B778" s="161" t="s">
        <v>206</v>
      </c>
      <c r="C778" s="161">
        <v>4064479</v>
      </c>
      <c r="D778" s="161" t="s">
        <v>177</v>
      </c>
      <c r="E778" s="161"/>
      <c r="F778" s="161"/>
      <c r="G778" s="161" t="s">
        <v>100</v>
      </c>
      <c r="H778" s="162">
        <v>1998</v>
      </c>
      <c r="I778" s="163"/>
      <c r="J778" s="159"/>
      <c r="K778" s="159"/>
      <c r="L778" s="159"/>
      <c r="M778" s="60"/>
      <c r="N778" s="131"/>
      <c r="O778" s="76"/>
      <c r="P778" s="76"/>
      <c r="Q778" s="165"/>
      <c r="R778" s="165"/>
      <c r="S778" s="165"/>
      <c r="T778" s="159"/>
      <c r="U778" s="165"/>
      <c r="V778" s="165"/>
      <c r="W778" s="159"/>
      <c r="X778" s="163"/>
      <c r="Y778" s="167">
        <v>126.74038836455507</v>
      </c>
      <c r="Z778" s="168"/>
      <c r="AA778" s="78"/>
      <c r="AB778" s="168"/>
      <c r="AC778" s="168"/>
      <c r="AD778" s="163">
        <f t="shared" si="1410"/>
        <v>0</v>
      </c>
      <c r="AE778" s="163"/>
      <c r="AF778" s="163"/>
      <c r="AG778" s="114"/>
      <c r="AH778" s="114"/>
      <c r="AI778" s="114"/>
      <c r="AJ778" s="166">
        <f>+(AJ775+AJ776+AJ777)/3</f>
        <v>303.68007296840511</v>
      </c>
      <c r="AK778" s="168"/>
      <c r="AL778" s="115"/>
      <c r="AM778" s="115"/>
      <c r="AN778" s="115"/>
      <c r="AO778" s="115"/>
      <c r="AP778" s="115"/>
      <c r="AQ778" s="168">
        <f>AVERAGE(AQ787:AQ801)</f>
        <v>-4.3738954328632199E-5</v>
      </c>
      <c r="AR778" s="79"/>
      <c r="AS778" s="115"/>
      <c r="AT778" s="115"/>
      <c r="AU778" s="115"/>
      <c r="AV778" s="113">
        <f>IFERROR(INDEX('Total Customers'!$F$7:$AB$91,MATCH($C778,'Total Customers'!$D$7:$D$91,0),MATCH($G778,'Total Customers'!$F$5:$AB$5,0)),"NA")</f>
        <v>42288</v>
      </c>
      <c r="AW778" s="68"/>
      <c r="AX778" s="114"/>
      <c r="AY778" s="114"/>
      <c r="AZ778" s="116"/>
      <c r="BA778" s="116"/>
      <c r="BB778" s="166"/>
      <c r="BC778" s="166"/>
      <c r="BD778" s="166"/>
      <c r="BE778" s="166"/>
      <c r="BF778" s="166"/>
      <c r="BG778" s="166"/>
      <c r="BH778" s="166"/>
      <c r="BI778" s="113">
        <f>INDEX('Gross Dx Plant'!$E$7:$AD$91,MATCH($C778,'Gross Dx Plant'!$D$7:$D$91,0),MATCH(Calculation!$G778,'Gross Dx Plant'!$E$5:$AD$5,0))</f>
        <v>44493</v>
      </c>
      <c r="BJ778" s="113">
        <f>INDEX('Gross Gen Plant'!$E$7:$AD$91,MATCH($C778,'Gross Gen Plant'!$D$7:$D$91,0),MATCH(Calculation!$G778,'Gross Gen Plant'!$E$5:$AD$5,0))</f>
        <v>4191</v>
      </c>
      <c r="BK778" s="113">
        <f>INDEX('Dist. Plant Gas Additions'!$F$7:$AE$91,MATCH($C778,'Dist. Plant Gas Additions'!$D$7:$D$91,0),MATCH(Calculation!$G778,'Dist. Plant Gas Additions'!$F$5:$AE$5,0))</f>
        <v>1332</v>
      </c>
      <c r="BL778" s="113">
        <f>INDEX('Gen. Plant Additions'!$F$7:$AE$91,MATCH($C778,'Gen. Plant Additions'!$D$7:$D$91,0),MATCH(Calculation!$G778,'Gen. Plant Additions'!$F$5:$AE$5,0))</f>
        <v>330</v>
      </c>
      <c r="BM778" s="231">
        <f>+(BW778/(BW778+BX778))</f>
        <v>0.91391422233177222</v>
      </c>
      <c r="BN778" s="61">
        <f t="shared" si="1415"/>
        <v>301.59169336948486</v>
      </c>
      <c r="BO778" s="113">
        <f>INDEX('Dist Plant Depreciation'!$E$7:$AD$94,MATCH($C778,'Dist Plant Depreciation'!$D$7:$D$94,0),MATCH(Calculation!$G778,'Dist Plant Depreciation'!$E$5:$AD$5,0))</f>
        <v>21517</v>
      </c>
      <c r="BP778" s="113">
        <f>INDEX('Gen. Plant Depreciation'!$E$7:$AD$94,MATCH($C778,'Gen. Plant Depreciation'!$D$7:$D$94,0),MATCH(Calculation!$G778,'Gen. Plant Depreciation'!$E$5:$AD$5,0))</f>
        <v>1601</v>
      </c>
      <c r="BQ778" s="113"/>
      <c r="BR778" s="113"/>
      <c r="BS778" s="113"/>
      <c r="BT778" s="113"/>
      <c r="BU778" s="113"/>
      <c r="BV778" s="113"/>
      <c r="BW778" s="113">
        <f>INDEX('Gross Dx Plant'!$E$7:$AD$91,MATCH($C778,'Gross Dx Plant'!$D$7:$D$91,0),MATCH(Calculation!$G778,'Gross Dx Plant'!$E$5:$AD$5,0))</f>
        <v>44493</v>
      </c>
      <c r="BX778" s="113">
        <f>INDEX('Gross Gen Plant'!$E$7:$AD$91,MATCH($C778,'Gross Gen Plant'!$D$7:$D$91,0),MATCH(Calculation!$G778,'Gross Gen Plant'!$E$5:$AD$5,0))</f>
        <v>4191</v>
      </c>
      <c r="BY778" s="113">
        <f t="shared" si="1325"/>
        <v>25566</v>
      </c>
      <c r="BZ778" s="113"/>
      <c r="CA778" s="116">
        <v>1998</v>
      </c>
      <c r="CB778" s="113">
        <f>BI778+BJ778</f>
        <v>48684</v>
      </c>
      <c r="CC778" s="113">
        <f>21517+1601</f>
        <v>23118</v>
      </c>
      <c r="CD778" s="113">
        <f>+CB778-CC778</f>
        <v>25566</v>
      </c>
      <c r="CE778" s="113">
        <f>CD778/$BV$3</f>
        <v>126.74038836455507</v>
      </c>
      <c r="CF778" s="175"/>
      <c r="CG778" s="175"/>
      <c r="CH778" s="178">
        <v>1</v>
      </c>
      <c r="CI778" s="113">
        <f>+CE778</f>
        <v>126.74038836455507</v>
      </c>
      <c r="CJ778" s="114"/>
      <c r="CK778" s="114"/>
      <c r="CL778" s="169"/>
      <c r="CM778" s="169"/>
      <c r="CN778" s="114" t="e">
        <f>VLOOKUP($H778,RoR!$E:$F,2,FALSE)</f>
        <v>#N/A</v>
      </c>
      <c r="CO778" s="169">
        <v>1.1028127770464469E-2</v>
      </c>
      <c r="CP778" s="169"/>
      <c r="CQ778" s="69"/>
      <c r="CR778" s="169"/>
      <c r="CS778" s="179">
        <f t="shared" ref="CS778" si="1419">1-CX778*CY778</f>
        <v>0.90379999999999994</v>
      </c>
      <c r="CT778" s="180"/>
      <c r="CU778" s="180"/>
      <c r="CV778" s="180"/>
      <c r="CW778" s="180"/>
      <c r="CX778" s="181">
        <f>CX777</f>
        <v>0.26</v>
      </c>
      <c r="CY778" s="72">
        <v>0.37</v>
      </c>
      <c r="CZ778" s="182">
        <f t="shared" ref="CZ778" si="1420">+(DE778*CQ778-CR778)*CS778/(1-CX778)</f>
        <v>0</v>
      </c>
      <c r="DA778" s="66"/>
      <c r="DB778" s="69"/>
      <c r="DC778" s="111" t="e">
        <f>VLOOKUP($H778,RoR!$E:$F,2,FALSE)</f>
        <v>#N/A</v>
      </c>
      <c r="DD778" s="216">
        <f>HLOOKUP($H778,'GDP-PI'!$D$8:$CQ$11,3,FALSE)</f>
        <v>1.1028127770464469E-2</v>
      </c>
      <c r="DE778" s="111">
        <f>VLOOKUP(H778,'HW Dx Data'!$E:$F,2,FALSE)</f>
        <v>329.24564746449528</v>
      </c>
      <c r="DF778" s="72" t="e">
        <f t="shared" si="1400"/>
        <v>#N/A</v>
      </c>
      <c r="DG778" s="169" t="e">
        <f t="shared" si="1401"/>
        <v>#N/A</v>
      </c>
      <c r="DH778" s="66">
        <f>HLOOKUP(H778,'GDP-PI'!$8:$9,2,FALSE)</f>
        <v>75.266999999999996</v>
      </c>
      <c r="DI778"/>
      <c r="EB778"/>
    </row>
    <row r="779" spans="1:132" s="160" customFormat="1" ht="21">
      <c r="A779" s="160" t="s">
        <v>206</v>
      </c>
      <c r="B779" s="161" t="s">
        <v>206</v>
      </c>
      <c r="C779" s="161">
        <v>4064479</v>
      </c>
      <c r="D779" s="161" t="s">
        <v>177</v>
      </c>
      <c r="E779" s="161"/>
      <c r="F779" s="161"/>
      <c r="G779" s="161" t="s">
        <v>106</v>
      </c>
      <c r="H779" s="162">
        <v>1999</v>
      </c>
      <c r="I779" s="163"/>
      <c r="J779" s="159"/>
      <c r="K779" s="163"/>
      <c r="L779" s="163"/>
      <c r="M779" s="60"/>
      <c r="N779" s="152"/>
      <c r="O779" s="60"/>
      <c r="P779" s="59"/>
      <c r="Q779" s="169"/>
      <c r="R779" s="169"/>
      <c r="S779" s="169"/>
      <c r="T779" s="187"/>
      <c r="U779" s="169"/>
      <c r="V779" s="169"/>
      <c r="W779" s="159">
        <f t="shared" ref="W779:W802" si="1421">+CI778*CZ779</f>
        <v>0</v>
      </c>
      <c r="X779" s="163"/>
      <c r="Y779" s="167">
        <v>131.66862556231192</v>
      </c>
      <c r="Z779" s="168">
        <v>3.8147545658194497E-2</v>
      </c>
      <c r="AA779" s="78"/>
      <c r="AB779" s="168"/>
      <c r="AC779" s="168"/>
      <c r="AD779" s="163">
        <f t="shared" si="1410"/>
        <v>0</v>
      </c>
      <c r="AE779" s="168"/>
      <c r="AF779" s="163"/>
      <c r="AG779" s="114"/>
      <c r="AH779" s="114"/>
      <c r="AI779" s="114"/>
      <c r="AJ779" s="167"/>
      <c r="AK779" s="168"/>
      <c r="AL779" s="115"/>
      <c r="AM779" s="115"/>
      <c r="AN779" s="115"/>
      <c r="AO779" s="115"/>
      <c r="AP779" s="115"/>
      <c r="AQ779" s="168"/>
      <c r="AR779" s="79"/>
      <c r="AS779" s="115"/>
      <c r="AT779" s="115"/>
      <c r="AU779" s="115"/>
      <c r="AV779" s="113">
        <f>IFERROR(INDEX('Total Customers'!$F$7:$AB$91,MATCH($C779,'Total Customers'!$D$7:$D$91,0),MATCH($G779,'Total Customers'!$F$5:$AB$5,0)),"NA")</f>
        <v>42950</v>
      </c>
      <c r="AW779" s="68">
        <f t="shared" ref="AW779:AW835" si="1422">LN(AV779/AV778)</f>
        <v>1.5533290568330986E-2</v>
      </c>
      <c r="AX779" s="114"/>
      <c r="AY779" s="114"/>
      <c r="AZ779" s="116"/>
      <c r="BA779" s="116"/>
      <c r="BB779" s="166"/>
      <c r="BC779" s="166"/>
      <c r="BD779" s="166"/>
      <c r="BE779" s="166"/>
      <c r="BF779" s="166"/>
      <c r="BG779" s="166"/>
      <c r="BH779" s="166"/>
      <c r="BI779" s="113"/>
      <c r="BJ779" s="113"/>
      <c r="BK779" s="113">
        <f>INDEX('Dist. Plant Gas Additions'!$F$7:$AE$91,MATCH($C779,'Dist. Plant Gas Additions'!$D$7:$D$91,0),MATCH(Calculation!$G779,'Dist. Plant Gas Additions'!$F$5:$AE$5,0))</f>
        <v>1446</v>
      </c>
      <c r="BL779" s="113">
        <f>INDEX('Gen. Plant Additions'!$F$7:$AE$91,MATCH($C779,'Gen. Plant Additions'!$D$7:$D$91,0),MATCH(Calculation!$G779,'Gen. Plant Additions'!$F$5:$AE$5,0))</f>
        <v>418</v>
      </c>
      <c r="BM779" s="231">
        <f t="shared" ref="BM779:BM800" si="1423">+(BW779/(BW779+BX779))</f>
        <v>0.91162568060791005</v>
      </c>
      <c r="BN779" s="61">
        <f t="shared" si="1415"/>
        <v>381.0595344941064</v>
      </c>
      <c r="BO779" s="113">
        <f>INDEX('Dist Plant Depreciation'!$E$7:$AD$94,MATCH($C779,'Dist Plant Depreciation'!$D$7:$D$94,0),MATCH(Calculation!$G779,'Dist Plant Depreciation'!$E$5:$AD$5,0))</f>
        <v>22769</v>
      </c>
      <c r="BP779" s="113">
        <f>INDEX('Gen. Plant Depreciation'!$E$7:$AD$94,MATCH($C779,'Gen. Plant Depreciation'!$D$7:$D$94,0),MATCH(Calculation!$G779,'Gen. Plant Depreciation'!$E$5:$AD$5,0))</f>
        <v>1736</v>
      </c>
      <c r="BQ779" s="113"/>
      <c r="BR779" s="113"/>
      <c r="BS779" s="113"/>
      <c r="BT779" s="113"/>
      <c r="BU779" s="113"/>
      <c r="BV779" s="113"/>
      <c r="BW779" s="113">
        <f>INDEX('Gross Dx Plant'!$E$7:$AD$91,MATCH($C779,'Gross Dx Plant'!$D$7:$D$91,0),MATCH(Calculation!$G779,'Gross Dx Plant'!$E$5:$AD$5,0))</f>
        <v>45708</v>
      </c>
      <c r="BX779" s="113">
        <f>INDEX('Gross Gen Plant'!$E$7:$AD$91,MATCH($C779,'Gross Gen Plant'!$D$7:$D$91,0),MATCH(Calculation!$G779,'Gross Gen Plant'!$E$5:$AD$5,0))</f>
        <v>4431</v>
      </c>
      <c r="BY779" s="113">
        <f t="shared" si="1325"/>
        <v>25634</v>
      </c>
      <c r="BZ779" s="113"/>
      <c r="CA779" s="116">
        <v>1999</v>
      </c>
      <c r="CB779" s="113"/>
      <c r="CC779" s="113"/>
      <c r="CD779" s="113"/>
      <c r="CE779" s="175"/>
      <c r="CF779" s="113">
        <f t="shared" ref="CF779:CF801" si="1424">+BL779+BK779</f>
        <v>1864</v>
      </c>
      <c r="CG779" s="113">
        <f t="shared" ref="CG779:CG801" si="1425">+CF779/$DE779</f>
        <v>5.5587863936004061</v>
      </c>
      <c r="CH779" s="178">
        <v>0.99502487562189057</v>
      </c>
      <c r="CI779" s="61">
        <f>+CI778*CH779+CG779</f>
        <v>131.66862556231192</v>
      </c>
      <c r="CJ779" s="114">
        <f t="shared" ref="CJ779:CJ800" si="1426">LN(CI779/CI778)</f>
        <v>3.8147545658194497E-2</v>
      </c>
      <c r="CK779" s="114"/>
      <c r="CL779" s="169">
        <f t="shared" ref="CL779:CL802" si="1427">+(CI778-CI779+CG779)/CI778</f>
        <v>4.9751243781094951E-3</v>
      </c>
      <c r="CM779" s="169"/>
      <c r="CN779" s="114">
        <f>VLOOKUP($H779,RoR!$E:$F,2,FALSE)</f>
        <v>7.0416666666666669E-2</v>
      </c>
      <c r="CO779" s="169">
        <v>1.4335631817396832E-2</v>
      </c>
      <c r="CP779" s="169">
        <f>+CN779-CO779</f>
        <v>5.6081034849269837E-2</v>
      </c>
      <c r="CQ779" s="169"/>
      <c r="CR779" s="169"/>
      <c r="CS779" s="179">
        <f t="shared" ref="CS779:CS801" si="1428">1-CX779*CY779</f>
        <v>0.87050000000000005</v>
      </c>
      <c r="CT779" s="180">
        <f t="shared" ref="CT779:CT801" si="1429">2/(DC779*39)</f>
        <v>0.72826581702321336</v>
      </c>
      <c r="CU779" s="180">
        <f t="shared" ref="CU779:CU801" si="1430">+(DC779*40-(1+DC779))/(DC779*40)</f>
        <v>0.61997041420118348</v>
      </c>
      <c r="CV779" s="180">
        <f t="shared" ref="CV779:CV801" si="1431">+(1-(1/(1+DC779)^40))</f>
        <v>0.93425155319585029</v>
      </c>
      <c r="CW779" s="180">
        <f t="shared" ref="CW779:CW801" si="1432">+CV779*CU779*CT779</f>
        <v>0.42181762214141483</v>
      </c>
      <c r="CX779" s="181">
        <f>INDEX('State Tax Lookup'!$D$7:$Z$91,MATCH(Calculation!$C779,'State Tax Lookup'!$B$7:$B$91,0),MATCH($H779,'State Tax Lookup'!$D$6:$Z$6,0))</f>
        <v>0.35</v>
      </c>
      <c r="CY779" s="72">
        <v>0.37</v>
      </c>
      <c r="CZ779" s="70"/>
      <c r="DA779" s="70"/>
      <c r="DB779" s="69"/>
      <c r="DC779" s="111">
        <f>VLOOKUP($H779,RoR!$E:$F,2,FALSE)</f>
        <v>7.0416666666666669E-2</v>
      </c>
      <c r="DD779" s="216">
        <f>HLOOKUP($H779,'GDP-PI'!$D$8:$CQ$11,3,FALSE)</f>
        <v>1.4335631817396832E-2</v>
      </c>
      <c r="DE779" s="111">
        <f>VLOOKUP(H779,'HW Dx Data'!$E:$F,2,FALSE)</f>
        <v>335.32499146683239</v>
      </c>
      <c r="DF779" s="66"/>
      <c r="DG779" s="69"/>
      <c r="DH779" s="66">
        <f>HLOOKUP(H779,'GDP-PI'!$8:$9,2,FALSE)</f>
        <v>76.346000000000004</v>
      </c>
      <c r="DI779"/>
      <c r="EB779"/>
    </row>
    <row r="780" spans="1:132" s="160" customFormat="1" ht="21">
      <c r="A780" s="160" t="s">
        <v>206</v>
      </c>
      <c r="B780" s="161" t="s">
        <v>206</v>
      </c>
      <c r="C780" s="161">
        <v>4064479</v>
      </c>
      <c r="D780" s="161" t="s">
        <v>177</v>
      </c>
      <c r="E780" s="161"/>
      <c r="F780" s="161"/>
      <c r="G780" s="161" t="s">
        <v>107</v>
      </c>
      <c r="H780" s="162">
        <v>2000</v>
      </c>
      <c r="I780" s="163"/>
      <c r="J780" s="159"/>
      <c r="K780" s="159"/>
      <c r="L780" s="159"/>
      <c r="M780" s="60"/>
      <c r="N780" s="152"/>
      <c r="O780" s="60"/>
      <c r="P780" s="60"/>
      <c r="Q780" s="159"/>
      <c r="R780" s="159"/>
      <c r="S780" s="159"/>
      <c r="T780" s="159"/>
      <c r="U780" s="159"/>
      <c r="V780" s="159"/>
      <c r="W780" s="159">
        <f t="shared" si="1421"/>
        <v>0</v>
      </c>
      <c r="X780" s="163"/>
      <c r="Y780" s="167">
        <v>135.90281213671656</v>
      </c>
      <c r="Z780" s="168">
        <v>3.1651659823293009E-2</v>
      </c>
      <c r="AA780" s="78"/>
      <c r="AB780" s="168"/>
      <c r="AC780" s="168"/>
      <c r="AD780" s="163">
        <f t="shared" si="1410"/>
        <v>0</v>
      </c>
      <c r="AE780" s="168"/>
      <c r="AF780" s="163"/>
      <c r="AG780" s="163"/>
      <c r="AH780" s="163"/>
      <c r="AI780" s="163"/>
      <c r="AJ780" s="167"/>
      <c r="AK780" s="168"/>
      <c r="AL780" s="115"/>
      <c r="AM780" s="115"/>
      <c r="AN780" s="115"/>
      <c r="AO780" s="115"/>
      <c r="AP780" s="115"/>
      <c r="AQ780" s="168"/>
      <c r="AR780" s="79"/>
      <c r="AS780" s="115"/>
      <c r="AT780" s="115"/>
      <c r="AU780" s="115"/>
      <c r="AV780" s="113">
        <f>IFERROR(INDEX('Total Customers'!$F$7:$AB$91,MATCH($C780,'Total Customers'!$D$7:$D$91,0),MATCH($G780,'Total Customers'!$F$5:$AB$5,0)),"NA")</f>
        <v>43764</v>
      </c>
      <c r="AW780" s="68">
        <f t="shared" si="1422"/>
        <v>1.8774913184279138E-2</v>
      </c>
      <c r="AX780" s="114"/>
      <c r="AY780" s="114"/>
      <c r="AZ780" s="116"/>
      <c r="BA780" s="116"/>
      <c r="BB780" s="166"/>
      <c r="BC780" s="166"/>
      <c r="BD780" s="166"/>
      <c r="BE780" s="166"/>
      <c r="BF780" s="166"/>
      <c r="BG780" s="166"/>
      <c r="BH780" s="166"/>
      <c r="BI780" s="113"/>
      <c r="BJ780" s="113"/>
      <c r="BK780" s="113">
        <f>INDEX('Dist. Plant Gas Additions'!$F$7:$AE$91,MATCH($C780,'Dist. Plant Gas Additions'!$D$7:$D$91,0),MATCH(Calculation!$G780,'Dist. Plant Gas Additions'!$F$5:$AE$5,0))</f>
        <v>1515</v>
      </c>
      <c r="BL780" s="113">
        <f>INDEX('Gen. Plant Additions'!$F$7:$AE$91,MATCH($C780,'Gen. Plant Additions'!$D$7:$D$91,0),MATCH(Calculation!$G780,'Gen. Plant Additions'!$F$5:$AE$5,0))</f>
        <v>187</v>
      </c>
      <c r="BM780" s="231">
        <f t="shared" si="1423"/>
        <v>0.9128019510684422</v>
      </c>
      <c r="BN780" s="61">
        <f t="shared" si="1415"/>
        <v>170.6939648497987</v>
      </c>
      <c r="BO780" s="113">
        <f>INDEX('Dist Plant Depreciation'!$E$7:$AD$94,MATCH($C780,'Dist Plant Depreciation'!$D$7:$D$94,0),MATCH(Calculation!$G780,'Dist Plant Depreciation'!$E$5:$AD$5,0))</f>
        <v>24148</v>
      </c>
      <c r="BP780" s="113">
        <f>INDEX('Gen. Plant Depreciation'!$E$7:$AD$94,MATCH($C780,'Gen. Plant Depreciation'!$D$7:$D$94,0),MATCH(Calculation!$G780,'Gen. Plant Depreciation'!$E$5:$AD$5,0))</f>
        <v>1936</v>
      </c>
      <c r="BQ780" s="113"/>
      <c r="BR780" s="113"/>
      <c r="BS780" s="113"/>
      <c r="BT780" s="113"/>
      <c r="BU780" s="113"/>
      <c r="BV780" s="113"/>
      <c r="BW780" s="113">
        <f>INDEX('Gross Dx Plant'!$E$7:$AD$91,MATCH($C780,'Gross Dx Plant'!$D$7:$D$91,0),MATCH(Calculation!$G780,'Gross Dx Plant'!$E$5:$AD$5,0))</f>
        <v>47159</v>
      </c>
      <c r="BX780" s="113">
        <f>INDEX('Gross Gen Plant'!$E$7:$AD$91,MATCH($C780,'Gross Gen Plant'!$D$7:$D$91,0),MATCH(Calculation!$G780,'Gross Gen Plant'!$E$5:$AD$5,0))</f>
        <v>4505</v>
      </c>
      <c r="BY780" s="113">
        <f t="shared" si="1325"/>
        <v>25580</v>
      </c>
      <c r="BZ780" s="113"/>
      <c r="CA780" s="116">
        <v>2000</v>
      </c>
      <c r="CB780" s="113"/>
      <c r="CC780" s="113"/>
      <c r="CD780" s="113"/>
      <c r="CE780" s="175"/>
      <c r="CF780" s="113">
        <f t="shared" si="1424"/>
        <v>1702</v>
      </c>
      <c r="CG780" s="113">
        <f t="shared" si="1425"/>
        <v>4.9114989753368992</v>
      </c>
      <c r="CH780" s="178">
        <v>0.98989898989898994</v>
      </c>
      <c r="CI780" s="61">
        <f>+CI778*CH780+CG779*CH779+CG780</f>
        <v>135.90281213671656</v>
      </c>
      <c r="CJ780" s="114">
        <f t="shared" si="1426"/>
        <v>3.1651659823293009E-2</v>
      </c>
      <c r="CK780" s="114"/>
      <c r="CL780" s="169">
        <f t="shared" si="1427"/>
        <v>5.1440682853616977E-3</v>
      </c>
      <c r="CM780" s="169"/>
      <c r="CN780" s="114">
        <f>VLOOKUP($H780,RoR!$E:$F,2,FALSE)</f>
        <v>7.6225000000000001E-2</v>
      </c>
      <c r="CO780" s="169">
        <v>2.2568307442433211E-2</v>
      </c>
      <c r="CP780" s="169">
        <f t="shared" ref="CP780:CP800" si="1433">+CN780-CO780</f>
        <v>5.365669255756679E-2</v>
      </c>
      <c r="CQ780" s="169"/>
      <c r="CR780" s="169"/>
      <c r="CS780" s="179">
        <f t="shared" si="1428"/>
        <v>0.87050000000000005</v>
      </c>
      <c r="CT780" s="180">
        <f t="shared" si="1429"/>
        <v>0.67277207323124022</v>
      </c>
      <c r="CU780" s="180">
        <f t="shared" si="1430"/>
        <v>0.6470236142997704</v>
      </c>
      <c r="CV780" s="180">
        <f t="shared" si="1431"/>
        <v>0.94704866037543145</v>
      </c>
      <c r="CW780" s="180">
        <f t="shared" si="1432"/>
        <v>0.41224973107878493</v>
      </c>
      <c r="CX780" s="181">
        <f>INDEX('State Tax Lookup'!$D$7:$Z$91,MATCH(Calculation!$C780,'State Tax Lookup'!$B$7:$B$91,0),MATCH($H780,'State Tax Lookup'!$D$6:$Z$6,0))</f>
        <v>0.35</v>
      </c>
      <c r="CY780" s="72">
        <v>0.37</v>
      </c>
      <c r="CZ780" s="70"/>
      <c r="DA780" s="70"/>
      <c r="DB780" s="69"/>
      <c r="DC780" s="111">
        <f>VLOOKUP($H780,RoR!$E:$F,2,FALSE)</f>
        <v>7.6225000000000001E-2</v>
      </c>
      <c r="DD780" s="216">
        <f>HLOOKUP($H780,'GDP-PI'!$D$8:$CQ$11,3,FALSE)</f>
        <v>2.2568307442433211E-2</v>
      </c>
      <c r="DE780" s="111">
        <f>VLOOKUP(H780,'HW Dx Data'!$E:$F,2,FALSE)</f>
        <v>346.53371782150339</v>
      </c>
      <c r="DF780" s="66"/>
      <c r="DG780" s="69"/>
      <c r="DH780" s="66">
        <f>HLOOKUP(H780,'GDP-PI'!$8:$9,2,FALSE)</f>
        <v>78.069000000000003</v>
      </c>
      <c r="DI780"/>
      <c r="EB780"/>
    </row>
    <row r="781" spans="1:132" s="160" customFormat="1" ht="21">
      <c r="A781" s="160" t="s">
        <v>206</v>
      </c>
      <c r="B781" s="161" t="s">
        <v>206</v>
      </c>
      <c r="C781" s="161">
        <v>4064479</v>
      </c>
      <c r="D781" s="161" t="s">
        <v>177</v>
      </c>
      <c r="E781" s="161"/>
      <c r="F781" s="161"/>
      <c r="G781" s="161" t="s">
        <v>111</v>
      </c>
      <c r="H781" s="162">
        <v>2001</v>
      </c>
      <c r="I781" s="163"/>
      <c r="J781" s="159"/>
      <c r="K781" s="159"/>
      <c r="L781" s="159"/>
      <c r="M781" s="60"/>
      <c r="N781" s="152"/>
      <c r="O781" s="60"/>
      <c r="P781" s="60"/>
      <c r="Q781" s="159"/>
      <c r="R781" s="159"/>
      <c r="S781" s="159"/>
      <c r="T781" s="159"/>
      <c r="U781" s="159"/>
      <c r="V781" s="159"/>
      <c r="W781" s="159">
        <f t="shared" si="1421"/>
        <v>1656.399799299975</v>
      </c>
      <c r="X781" s="163"/>
      <c r="Y781" s="167">
        <v>140.62273475790985</v>
      </c>
      <c r="Z781" s="168">
        <v>3.4140650806668185E-2</v>
      </c>
      <c r="AA781" s="78"/>
      <c r="AB781" s="168"/>
      <c r="AC781" s="168"/>
      <c r="AD781" s="163">
        <f t="shared" si="1410"/>
        <v>1656.399799299975</v>
      </c>
      <c r="AE781" s="168"/>
      <c r="AF781" s="163"/>
      <c r="AG781" s="163"/>
      <c r="AH781" s="163"/>
      <c r="AI781" s="163"/>
      <c r="AJ781" s="167"/>
      <c r="AK781" s="168"/>
      <c r="AL781" s="115"/>
      <c r="AM781" s="115"/>
      <c r="AN781" s="115"/>
      <c r="AO781" s="115"/>
      <c r="AP781" s="115"/>
      <c r="AQ781" s="168"/>
      <c r="AR781" s="79"/>
      <c r="AS781" s="115"/>
      <c r="AT781" s="115"/>
      <c r="AU781" s="115"/>
      <c r="AV781" s="113">
        <f>IFERROR(INDEX('Total Customers'!$F$7:$AB$91,MATCH($C781,'Total Customers'!$D$7:$D$91,0),MATCH($G781,'Total Customers'!$F$5:$AB$5,0)),"NA")</f>
        <v>44172</v>
      </c>
      <c r="AW781" s="68">
        <f t="shared" si="1422"/>
        <v>9.2795425703408787E-3</v>
      </c>
      <c r="AX781" s="114"/>
      <c r="AY781" s="114"/>
      <c r="AZ781" s="116"/>
      <c r="BA781" s="116"/>
      <c r="BB781" s="166"/>
      <c r="BC781" s="166"/>
      <c r="BD781" s="166"/>
      <c r="BE781" s="166"/>
      <c r="BF781" s="166"/>
      <c r="BG781" s="166"/>
      <c r="BH781" s="166"/>
      <c r="BI781" s="113"/>
      <c r="BJ781" s="113"/>
      <c r="BK781" s="113">
        <f>INDEX('Dist. Plant Gas Additions'!$F$7:$AE$91,MATCH($C781,'Dist. Plant Gas Additions'!$D$7:$D$91,0),MATCH(Calculation!$G781,'Dist. Plant Gas Additions'!$F$5:$AE$5,0))</f>
        <v>1580</v>
      </c>
      <c r="BL781" s="113">
        <f>INDEX('Gen. Plant Additions'!$F$7:$AE$91,MATCH($C781,'Gen. Plant Additions'!$D$7:$D$91,0),MATCH(Calculation!$G781,'Gen. Plant Additions'!$F$5:$AE$5,0))</f>
        <v>335</v>
      </c>
      <c r="BM781" s="231">
        <f t="shared" si="1423"/>
        <v>0.91353108034489883</v>
      </c>
      <c r="BN781" s="61">
        <f t="shared" si="1415"/>
        <v>306.03291191554109</v>
      </c>
      <c r="BO781" s="113">
        <f>INDEX('Dist Plant Depreciation'!$E$7:$AD$94,MATCH($C781,'Dist Plant Depreciation'!$D$7:$D$94,0),MATCH(Calculation!$G781,'Dist Plant Depreciation'!$E$5:$AD$5,0))</f>
        <v>25562</v>
      </c>
      <c r="BP781" s="113">
        <f>INDEX('Gen. Plant Depreciation'!$E$7:$AD$94,MATCH($C781,'Gen. Plant Depreciation'!$D$7:$D$94,0),MATCH(Calculation!$G781,'Gen. Plant Depreciation'!$E$5:$AD$5,0))</f>
        <v>2030</v>
      </c>
      <c r="BQ781" s="113"/>
      <c r="BR781" s="113"/>
      <c r="BS781" s="113"/>
      <c r="BT781" s="113"/>
      <c r="BU781" s="113"/>
      <c r="BV781" s="113"/>
      <c r="BW781" s="113">
        <f>INDEX('Gross Dx Plant'!$E$7:$AD$91,MATCH($C781,'Gross Dx Plant'!$D$7:$D$91,0),MATCH(Calculation!$G781,'Gross Dx Plant'!$E$5:$AD$5,0))</f>
        <v>48630</v>
      </c>
      <c r="BX781" s="113">
        <f>INDEX('Gross Gen Plant'!$E$7:$AD$91,MATCH($C781,'Gross Gen Plant'!$D$7:$D$91,0),MATCH(Calculation!$G781,'Gross Gen Plant'!$E$5:$AD$5,0))</f>
        <v>4603</v>
      </c>
      <c r="BY781" s="113">
        <f t="shared" si="1325"/>
        <v>25641</v>
      </c>
      <c r="BZ781" s="113"/>
      <c r="CA781" s="116">
        <v>2001</v>
      </c>
      <c r="CB781" s="113"/>
      <c r="CC781" s="113"/>
      <c r="CD781" s="113"/>
      <c r="CE781" s="175"/>
      <c r="CF781" s="113">
        <f t="shared" si="1424"/>
        <v>1915</v>
      </c>
      <c r="CG781" s="113">
        <f t="shared" si="1425"/>
        <v>5.4180625106140345</v>
      </c>
      <c r="CH781" s="178">
        <v>0.98461538461538467</v>
      </c>
      <c r="CI781" s="61">
        <f>+CI778*CH781+CG779*CH780+CG780*CH778+CG781</f>
        <v>140.62273475790985</v>
      </c>
      <c r="CJ781" s="114">
        <f t="shared" si="1426"/>
        <v>3.4140650806668185E-2</v>
      </c>
      <c r="CK781" s="114"/>
      <c r="CL781" s="169">
        <f t="shared" si="1427"/>
        <v>5.1370525631097563E-3</v>
      </c>
      <c r="CM781" s="169">
        <f>+(CL781+CL780+CL779)/3</f>
        <v>5.0854150755269834E-3</v>
      </c>
      <c r="CN781" s="114">
        <f>VLOOKUP($H781,RoR!$E:$F,2,FALSE)</f>
        <v>7.0824999999999999E-2</v>
      </c>
      <c r="CO781" s="169">
        <v>2.2454495382290052E-2</v>
      </c>
      <c r="CP781" s="169">
        <f t="shared" si="1433"/>
        <v>4.8370504617709947E-2</v>
      </c>
      <c r="CQ781" s="169">
        <f>+$CP$2-CM781</f>
        <v>2.5816526533006642E-2</v>
      </c>
      <c r="CR781" s="169">
        <f>+((DE779/DE778-1)+(DE780/DE779-1)+(DE781/DE780-1))/3</f>
        <v>2.3947275901631187E-2</v>
      </c>
      <c r="CS781" s="179">
        <f t="shared" si="1428"/>
        <v>0.87050000000000005</v>
      </c>
      <c r="CT781" s="180">
        <f t="shared" si="1429"/>
        <v>0.72406708481540816</v>
      </c>
      <c r="CU781" s="180">
        <f t="shared" si="1430"/>
        <v>0.62201729615248857</v>
      </c>
      <c r="CV781" s="180">
        <f t="shared" si="1431"/>
        <v>0.9352469954311422</v>
      </c>
      <c r="CW781" s="180">
        <f t="shared" si="1432"/>
        <v>0.42121864641655071</v>
      </c>
      <c r="CX781" s="181">
        <f>INDEX('State Tax Lookup'!$D$7:$Z$91,MATCH(Calculation!$C781,'State Tax Lookup'!$B$7:$B$91,0),MATCH($H781,'State Tax Lookup'!$D$6:$Z$6,0))</f>
        <v>0.35</v>
      </c>
      <c r="CY781" s="72">
        <v>0.37</v>
      </c>
      <c r="CZ781" s="70">
        <f t="shared" ref="CZ781:CZ801" si="1434">+(DE781*CQ781-CR781)*CS781/(1-CX781)</f>
        <v>12.188120122442037</v>
      </c>
      <c r="DA781" s="70"/>
      <c r="DB781" s="69"/>
      <c r="DC781" s="111">
        <f>VLOOKUP($H781,RoR!$E:$F,2,FALSE)</f>
        <v>7.0824999999999999E-2</v>
      </c>
      <c r="DD781" s="216">
        <f>HLOOKUP($H781,'GDP-PI'!$D$8:$CQ$11,3,FALSE)</f>
        <v>2.2454495382290052E-2</v>
      </c>
      <c r="DE781" s="111">
        <f>VLOOKUP(H781,'HW Dx Data'!$E:$F,2,FALSE)</f>
        <v>353.44738017483138</v>
      </c>
      <c r="DF781" s="66"/>
      <c r="DG781" s="69"/>
      <c r="DH781" s="66">
        <f>HLOOKUP(H781,'GDP-PI'!$8:$9,2,FALSE)</f>
        <v>79.822000000000003</v>
      </c>
      <c r="DI781"/>
      <c r="EB781"/>
    </row>
    <row r="782" spans="1:132" s="160" customFormat="1" ht="21">
      <c r="A782" s="160" t="s">
        <v>206</v>
      </c>
      <c r="B782" s="161" t="s">
        <v>206</v>
      </c>
      <c r="C782" s="161">
        <v>4064479</v>
      </c>
      <c r="D782" s="161" t="s">
        <v>177</v>
      </c>
      <c r="E782" s="161"/>
      <c r="F782" s="161"/>
      <c r="G782" s="161" t="s">
        <v>113</v>
      </c>
      <c r="H782" s="162">
        <v>2002</v>
      </c>
      <c r="I782" s="163"/>
      <c r="J782" s="159"/>
      <c r="K782" s="159"/>
      <c r="L782" s="159"/>
      <c r="M782" s="60"/>
      <c r="N782" s="152"/>
      <c r="O782" s="60"/>
      <c r="P782" s="60"/>
      <c r="Q782" s="159"/>
      <c r="R782" s="159"/>
      <c r="S782" s="159"/>
      <c r="T782" s="159"/>
      <c r="U782" s="159"/>
      <c r="V782" s="159"/>
      <c r="W782" s="159">
        <f t="shared" si="1421"/>
        <v>1736.4657777218374</v>
      </c>
      <c r="X782" s="163"/>
      <c r="Y782" s="167">
        <v>144.01885738454689</v>
      </c>
      <c r="Z782" s="168">
        <v>2.3863580620873241E-2</v>
      </c>
      <c r="AA782" s="78"/>
      <c r="AB782" s="168"/>
      <c r="AC782" s="168"/>
      <c r="AD782" s="163">
        <f t="shared" si="1410"/>
        <v>1736.4657777218374</v>
      </c>
      <c r="AE782" s="168"/>
      <c r="AF782" s="163"/>
      <c r="AG782" s="163"/>
      <c r="AH782" s="163"/>
      <c r="AI782" s="163"/>
      <c r="AJ782" s="167"/>
      <c r="AK782" s="168"/>
      <c r="AL782" s="115"/>
      <c r="AM782" s="115"/>
      <c r="AN782" s="115"/>
      <c r="AO782" s="115"/>
      <c r="AP782" s="115"/>
      <c r="AQ782" s="168"/>
      <c r="AR782" s="79"/>
      <c r="AS782" s="115"/>
      <c r="AT782" s="115"/>
      <c r="AU782" s="115"/>
      <c r="AV782" s="113">
        <f>IFERROR(INDEX('Total Customers'!$F$7:$AB$91,MATCH($C782,'Total Customers'!$D$7:$D$91,0),MATCH($G782,'Total Customers'!$F$5:$AB$5,0)),"NA")</f>
        <v>43978</v>
      </c>
      <c r="AW782" s="68">
        <f t="shared" si="1422"/>
        <v>-4.4015953083055021E-3</v>
      </c>
      <c r="AX782" s="114"/>
      <c r="AY782" s="114"/>
      <c r="AZ782" s="116"/>
      <c r="BA782" s="116"/>
      <c r="BB782" s="166"/>
      <c r="BC782" s="166"/>
      <c r="BD782" s="166"/>
      <c r="BE782" s="166"/>
      <c r="BF782" s="166"/>
      <c r="BG782" s="166"/>
      <c r="BH782" s="166"/>
      <c r="BI782" s="113"/>
      <c r="BJ782" s="113"/>
      <c r="BK782" s="113">
        <f>INDEX('Dist. Plant Gas Additions'!$F$7:$AE$91,MATCH($C782,'Dist. Plant Gas Additions'!$D$7:$D$91,0),MATCH(Calculation!$G782,'Dist. Plant Gas Additions'!$F$5:$AE$5,0))</f>
        <v>1288</v>
      </c>
      <c r="BL782" s="113">
        <f>INDEX('Gen. Plant Additions'!$F$7:$AE$91,MATCH($C782,'Gen. Plant Additions'!$D$7:$D$91,0),MATCH(Calculation!$G782,'Gen. Plant Additions'!$F$5:$AE$5,0))</f>
        <v>227</v>
      </c>
      <c r="BM782" s="231">
        <f t="shared" si="1423"/>
        <v>0.92445243301337876</v>
      </c>
      <c r="BN782" s="61">
        <f t="shared" si="1415"/>
        <v>209.85070229403698</v>
      </c>
      <c r="BO782" s="113">
        <f>INDEX('Dist Plant Depreciation'!$E$7:$AD$94,MATCH($C782,'Dist Plant Depreciation'!$D$7:$D$94,0),MATCH(Calculation!$G782,'Dist Plant Depreciation'!$E$5:$AD$5,0))</f>
        <v>27003</v>
      </c>
      <c r="BP782" s="113">
        <f>INDEX('Gen. Plant Depreciation'!$E$7:$AD$94,MATCH($C782,'Gen. Plant Depreciation'!$D$7:$D$94,0),MATCH(Calculation!$G782,'Gen. Plant Depreciation'!$E$5:$AD$5,0))</f>
        <v>1612</v>
      </c>
      <c r="BQ782" s="113"/>
      <c r="BR782" s="113"/>
      <c r="BS782" s="113"/>
      <c r="BT782" s="113"/>
      <c r="BU782" s="113"/>
      <c r="BV782" s="113"/>
      <c r="BW782" s="113">
        <f>INDEX('Gross Dx Plant'!$E$7:$AD$91,MATCH($C782,'Gross Dx Plant'!$D$7:$D$91,0),MATCH(Calculation!$G782,'Gross Dx Plant'!$E$5:$AD$5,0))</f>
        <v>49889</v>
      </c>
      <c r="BX782" s="113">
        <f>INDEX('Gross Gen Plant'!$E$7:$AD$91,MATCH($C782,'Gross Gen Plant'!$D$7:$D$91,0),MATCH(Calculation!$G782,'Gross Gen Plant'!$E$5:$AD$5,0))</f>
        <v>4077</v>
      </c>
      <c r="BY782" s="113">
        <f t="shared" si="1325"/>
        <v>25351</v>
      </c>
      <c r="BZ782" s="113"/>
      <c r="CA782" s="116">
        <v>2002</v>
      </c>
      <c r="CB782" s="113"/>
      <c r="CC782" s="113"/>
      <c r="CD782" s="113"/>
      <c r="CE782" s="175"/>
      <c r="CF782" s="113">
        <f t="shared" si="1424"/>
        <v>1515</v>
      </c>
      <c r="CG782" s="113">
        <f t="shared" si="1425"/>
        <v>4.1926323243457944</v>
      </c>
      <c r="CH782" s="178">
        <v>0.97916666666666663</v>
      </c>
      <c r="CI782" s="61">
        <f>+CI778*CH782+CG779*CH781+CG780*CH780+CG781*CH779+CG782</f>
        <v>144.01885738454689</v>
      </c>
      <c r="CJ782" s="114">
        <f t="shared" si="1426"/>
        <v>2.3863580620873241E-2</v>
      </c>
      <c r="CK782" s="114"/>
      <c r="CL782" s="169">
        <f t="shared" si="1427"/>
        <v>5.664160201975835E-3</v>
      </c>
      <c r="CM782" s="169">
        <f t="shared" ref="CM782:CM802" si="1435">+(CL782+CL781+CL780)/3</f>
        <v>5.3150936834824303E-3</v>
      </c>
      <c r="CN782" s="114">
        <f>VLOOKUP($H782,RoR!$E:$F,2,FALSE)</f>
        <v>6.4916666666666664E-2</v>
      </c>
      <c r="CO782" s="169">
        <v>1.5246423291824351E-2</v>
      </c>
      <c r="CP782" s="169">
        <f t="shared" si="1433"/>
        <v>4.9670243374842313E-2</v>
      </c>
      <c r="CQ782" s="169">
        <f t="shared" ref="CQ782:CQ802" si="1436">+$CP$2-CM782</f>
        <v>2.5586847925051195E-2</v>
      </c>
      <c r="CR782" s="169">
        <f t="shared" ref="CR782:CR802" si="1437">+((DE780/DE779-1)+(DE781/DE780-1)+(DE782/DE781-1))/3</f>
        <v>2.5243621214759093E-2</v>
      </c>
      <c r="CS782" s="179">
        <f t="shared" si="1428"/>
        <v>0.87050000000000005</v>
      </c>
      <c r="CT782" s="180">
        <f t="shared" si="1429"/>
        <v>0.78996741384417901</v>
      </c>
      <c r="CU782" s="180">
        <f t="shared" si="1430"/>
        <v>0.58989088575096271</v>
      </c>
      <c r="CV782" s="180">
        <f t="shared" si="1431"/>
        <v>0.91920675783645744</v>
      </c>
      <c r="CW782" s="180">
        <f t="shared" si="1432"/>
        <v>0.42834536472275586</v>
      </c>
      <c r="CX782" s="181">
        <f>INDEX('State Tax Lookup'!$D$7:$Z$91,MATCH(Calculation!$C782,'State Tax Lookup'!$B$7:$B$91,0),MATCH($H782,'State Tax Lookup'!$D$6:$Z$6,0))</f>
        <v>0.35</v>
      </c>
      <c r="CY782" s="72">
        <v>0.37</v>
      </c>
      <c r="CZ782" s="70">
        <f t="shared" si="1434"/>
        <v>12.348399998842742</v>
      </c>
      <c r="DA782" s="70"/>
      <c r="DB782" s="69">
        <f>LN(CZ782/CZ781)</f>
        <v>1.3064783060542715E-2</v>
      </c>
      <c r="DC782" s="111">
        <f>VLOOKUP($H782,RoR!$E:$F,2,FALSE)</f>
        <v>6.4916666666666664E-2</v>
      </c>
      <c r="DD782" s="216">
        <f>HLOOKUP($H782,'GDP-PI'!$D$8:$CQ$11,3,FALSE)</f>
        <v>1.5246423291824351E-2</v>
      </c>
      <c r="DE782" s="111">
        <f>VLOOKUP(H782,'HW Dx Data'!$E:$F,2,FALSE)</f>
        <v>361.34816573413599</v>
      </c>
      <c r="DF782" s="66"/>
      <c r="DG782" s="69"/>
      <c r="DH782" s="66">
        <f>HLOOKUP(H782,'GDP-PI'!$8:$9,2,FALSE)</f>
        <v>81.039000000000001</v>
      </c>
      <c r="DI782" s="69">
        <f>LN(DH782/DH781)</f>
        <v>1.513136459537477E-2</v>
      </c>
      <c r="EB782"/>
    </row>
    <row r="783" spans="1:132" s="160" customFormat="1" ht="21">
      <c r="A783" s="160" t="s">
        <v>206</v>
      </c>
      <c r="B783" s="161" t="s">
        <v>206</v>
      </c>
      <c r="C783" s="161">
        <v>4064479</v>
      </c>
      <c r="D783" s="161" t="s">
        <v>177</v>
      </c>
      <c r="E783" s="161"/>
      <c r="F783" s="161"/>
      <c r="G783" s="161" t="s">
        <v>114</v>
      </c>
      <c r="H783" s="162">
        <v>2003</v>
      </c>
      <c r="I783" s="163"/>
      <c r="J783" s="159"/>
      <c r="K783" s="159"/>
      <c r="L783" s="159"/>
      <c r="M783" s="76"/>
      <c r="N783" s="152"/>
      <c r="O783" s="76"/>
      <c r="P783" s="76"/>
      <c r="Q783" s="159"/>
      <c r="R783" s="159"/>
      <c r="S783" s="159"/>
      <c r="T783" s="159"/>
      <c r="U783" s="159"/>
      <c r="V783" s="159"/>
      <c r="W783" s="159">
        <f t="shared" si="1421"/>
        <v>1805.4475377791523</v>
      </c>
      <c r="X783" s="163"/>
      <c r="Y783" s="167">
        <v>148.14687853890285</v>
      </c>
      <c r="Z783" s="168">
        <v>2.8259959136951753E-2</v>
      </c>
      <c r="AA783" s="78"/>
      <c r="AB783" s="168"/>
      <c r="AC783" s="168"/>
      <c r="AD783" s="163">
        <f t="shared" si="1410"/>
        <v>1805.4475377791523</v>
      </c>
      <c r="AE783" s="168"/>
      <c r="AF783" s="163"/>
      <c r="AG783" s="163"/>
      <c r="AH783" s="163"/>
      <c r="AI783" s="163"/>
      <c r="AJ783" s="167"/>
      <c r="AK783" s="168"/>
      <c r="AL783" s="115"/>
      <c r="AM783" s="115"/>
      <c r="AN783" s="115"/>
      <c r="AO783" s="115"/>
      <c r="AP783" s="115"/>
      <c r="AQ783" s="168"/>
      <c r="AR783" s="79"/>
      <c r="AS783" s="115"/>
      <c r="AT783" s="115"/>
      <c r="AU783" s="115"/>
      <c r="AV783" s="113">
        <f>IFERROR(INDEX('Total Customers'!$F$7:$AB$91,MATCH($C783,'Total Customers'!$D$7:$D$91,0),MATCH($G783,'Total Customers'!$F$5:$AB$5,0)),"NA")</f>
        <v>44645</v>
      </c>
      <c r="AW783" s="68">
        <f t="shared" si="1422"/>
        <v>1.505281009260085E-2</v>
      </c>
      <c r="AX783" s="114"/>
      <c r="AY783" s="114"/>
      <c r="AZ783" s="116"/>
      <c r="BA783" s="116"/>
      <c r="BB783" s="166"/>
      <c r="BC783" s="166"/>
      <c r="BD783" s="166"/>
      <c r="BE783" s="166"/>
      <c r="BF783" s="166"/>
      <c r="BG783" s="166"/>
      <c r="BH783" s="166"/>
      <c r="BI783" s="113"/>
      <c r="BJ783" s="113"/>
      <c r="BK783" s="113">
        <f>INDEX('Dist. Plant Gas Additions'!$F$7:$AE$91,MATCH($C783,'Dist. Plant Gas Additions'!$D$7:$D$91,0),MATCH(Calculation!$G783,'Dist. Plant Gas Additions'!$F$5:$AE$5,0))</f>
        <v>1399</v>
      </c>
      <c r="BL783" s="113">
        <f>INDEX('Gen. Plant Additions'!$F$7:$AE$91,MATCH($C783,'Gen. Plant Additions'!$D$7:$D$91,0),MATCH(Calculation!$G783,'Gen. Plant Additions'!$F$5:$AE$5,0))</f>
        <v>427</v>
      </c>
      <c r="BM783" s="231">
        <f t="shared" si="1423"/>
        <v>0.9227641541825542</v>
      </c>
      <c r="BN783" s="61">
        <f t="shared" si="1415"/>
        <v>394.02029383595067</v>
      </c>
      <c r="BO783" s="113">
        <f>INDEX('Dist Plant Depreciation'!$E$7:$AD$94,MATCH($C783,'Dist Plant Depreciation'!$D$7:$D$94,0),MATCH(Calculation!$G783,'Dist Plant Depreciation'!$E$5:$AD$5,0))</f>
        <v>28327</v>
      </c>
      <c r="BP783" s="113">
        <f>INDEX('Gen. Plant Depreciation'!$E$7:$AD$94,MATCH($C783,'Gen. Plant Depreciation'!$D$7:$D$94,0),MATCH(Calculation!$G783,'Gen. Plant Depreciation'!$E$5:$AD$5,0))</f>
        <v>2315</v>
      </c>
      <c r="BQ783" s="113"/>
      <c r="BR783" s="113"/>
      <c r="BS783" s="113"/>
      <c r="BT783" s="113"/>
      <c r="BU783" s="113"/>
      <c r="BV783" s="113"/>
      <c r="BW783" s="113">
        <f>INDEX('Gross Dx Plant'!$E$7:$AD$91,MATCH($C783,'Gross Dx Plant'!$D$7:$D$91,0),MATCH(Calculation!$G783,'Gross Dx Plant'!$E$5:$AD$5,0))</f>
        <v>51063</v>
      </c>
      <c r="BX783" s="113">
        <f>INDEX('Gross Gen Plant'!$E$7:$AD$91,MATCH($C783,'Gross Gen Plant'!$D$7:$D$91,0),MATCH(Calculation!$G783,'Gross Gen Plant'!$E$5:$AD$5,0))</f>
        <v>4274</v>
      </c>
      <c r="BY783" s="113">
        <f t="shared" si="1325"/>
        <v>24695</v>
      </c>
      <c r="BZ783" s="113"/>
      <c r="CA783" s="116">
        <v>2003</v>
      </c>
      <c r="CB783" s="113"/>
      <c r="CC783" s="113"/>
      <c r="CD783" s="113"/>
      <c r="CE783" s="175"/>
      <c r="CF783" s="113">
        <f t="shared" si="1424"/>
        <v>1826</v>
      </c>
      <c r="CG783" s="113">
        <f t="shared" si="1425"/>
        <v>4.9453866415523873</v>
      </c>
      <c r="CH783" s="178">
        <v>0.97354497354497349</v>
      </c>
      <c r="CI783" s="61">
        <f>+CI778*CH783+CG779*CH782+CG780*CH781+CG781*CH780+CG782*CH779+CG783</f>
        <v>148.14687853890285</v>
      </c>
      <c r="CJ783" s="114">
        <f t="shared" si="1426"/>
        <v>2.8259959136951753E-2</v>
      </c>
      <c r="CK783" s="114"/>
      <c r="CL783" s="169">
        <f t="shared" si="1427"/>
        <v>5.6754059991877626E-3</v>
      </c>
      <c r="CM783" s="169">
        <f t="shared" si="1435"/>
        <v>5.4922062547577847E-3</v>
      </c>
      <c r="CN783" s="114">
        <f>VLOOKUP($H783,RoR!$E:$F,2,FALSE)</f>
        <v>5.6666666666666671E-2</v>
      </c>
      <c r="CO783" s="169">
        <v>1.8855119140166909E-2</v>
      </c>
      <c r="CP783" s="169">
        <f t="shared" si="1433"/>
        <v>3.7811547526499761E-2</v>
      </c>
      <c r="CQ783" s="169">
        <f t="shared" si="1436"/>
        <v>2.5409735353775841E-2</v>
      </c>
      <c r="CR783" s="169">
        <f t="shared" si="1437"/>
        <v>2.1375012817671957E-2</v>
      </c>
      <c r="CS783" s="179">
        <f t="shared" si="1428"/>
        <v>0.87050000000000005</v>
      </c>
      <c r="CT783" s="180">
        <f t="shared" si="1429"/>
        <v>0.90497737556561086</v>
      </c>
      <c r="CU783" s="180">
        <f t="shared" si="1430"/>
        <v>0.5338235294117647</v>
      </c>
      <c r="CV783" s="180">
        <f t="shared" si="1431"/>
        <v>0.88972433127405692</v>
      </c>
      <c r="CW783" s="180">
        <f t="shared" si="1432"/>
        <v>0.42982423775949252</v>
      </c>
      <c r="CX783" s="181">
        <f>INDEX('State Tax Lookup'!$D$7:$Z$91,MATCH(Calculation!$C783,'State Tax Lookup'!$B$7:$B$91,0),MATCH($H783,'State Tax Lookup'!$D$6:$Z$6,0))</f>
        <v>0.35</v>
      </c>
      <c r="CY783" s="72">
        <v>0.37</v>
      </c>
      <c r="CZ783" s="70">
        <f t="shared" si="1434"/>
        <v>12.536188458698849</v>
      </c>
      <c r="DA783" s="70"/>
      <c r="DB783" s="69">
        <f t="shared" ref="DB783:DB802" si="1438">LN(CZ783/CZ782)</f>
        <v>1.5093038408966771E-2</v>
      </c>
      <c r="DC783" s="111">
        <f>VLOOKUP($H783,RoR!$E:$F,2,FALSE)</f>
        <v>5.6666666666666671E-2</v>
      </c>
      <c r="DD783" s="216">
        <f>HLOOKUP($H783,'GDP-PI'!$D$8:$CQ$11,3,FALSE)</f>
        <v>1.8855119140166909E-2</v>
      </c>
      <c r="DE783" s="111">
        <f>VLOOKUP(H783,'HW Dx Data'!$E:$F,2,FALSE)</f>
        <v>369.23301095560191</v>
      </c>
      <c r="DF783" s="66"/>
      <c r="DG783" s="69"/>
      <c r="DH783" s="66">
        <f>HLOOKUP(H783,'GDP-PI'!$8:$9,2,FALSE)</f>
        <v>82.566999999999993</v>
      </c>
      <c r="DI783" s="69">
        <f t="shared" ref="DI783:DI802" si="1439">LN(DH783/DH782)</f>
        <v>1.8679564681853753E-2</v>
      </c>
      <c r="EB783"/>
    </row>
    <row r="784" spans="1:132" s="160" customFormat="1" ht="21">
      <c r="A784" s="160" t="s">
        <v>206</v>
      </c>
      <c r="B784" s="161" t="s">
        <v>206</v>
      </c>
      <c r="C784" s="161">
        <v>4064479</v>
      </c>
      <c r="D784" s="161" t="s">
        <v>177</v>
      </c>
      <c r="E784" s="161"/>
      <c r="F784" s="161"/>
      <c r="G784" s="161" t="s">
        <v>115</v>
      </c>
      <c r="H784" s="162">
        <v>2004</v>
      </c>
      <c r="I784" s="163"/>
      <c r="J784" s="159">
        <f>IFERROR(INDEX('Labor Expenditures'!$F$7:$X$91,MATCH($C784,'Labor Expenditures'!$D$7:$D$91,0),MATCH($G784,'Labor Expenditures'!$F$5:$X$5,0)),"NA")</f>
        <v>2352.5789273083901</v>
      </c>
      <c r="K784" s="159">
        <f t="shared" ref="K784:K802" si="1440">+J784/DF784</f>
        <v>24.93459382414828</v>
      </c>
      <c r="L784" s="165"/>
      <c r="M784" s="76"/>
      <c r="N784" s="152"/>
      <c r="O784" s="76"/>
      <c r="P784" s="76"/>
      <c r="Q784" s="159">
        <f>IFERROR(INDEX('Non-Labor Expenditures'!$F$7:$AB$91,MATCH($C784,'Non-Labor Expenditures'!$D$7:$D$91,0),MATCH($G784,'Non-Labor Expenditures'!$F$5:$AB$5,0)),"NA")</f>
        <v>3406.9736878753993</v>
      </c>
      <c r="R784" s="159">
        <f t="shared" ref="R784:R802" si="1441">+Q784/DH784</f>
        <v>40.187002381223891</v>
      </c>
      <c r="S784" s="159"/>
      <c r="T784" s="159"/>
      <c r="U784" s="159"/>
      <c r="V784" s="159"/>
      <c r="W784" s="159">
        <f t="shared" si="1421"/>
        <v>2060.6490630083449</v>
      </c>
      <c r="X784" s="163"/>
      <c r="Y784" s="167">
        <v>151.92089204863919</v>
      </c>
      <c r="Z784" s="168">
        <v>2.5155734119704929E-2</v>
      </c>
      <c r="AA784" s="76">
        <f t="shared" ref="AA784:AA802" si="1442">+Z784*$AR784</f>
        <v>0</v>
      </c>
      <c r="AB784" s="168"/>
      <c r="AC784" s="168"/>
      <c r="AD784" s="163">
        <f t="shared" si="1410"/>
        <v>7820.2016781921338</v>
      </c>
      <c r="AE784" s="168"/>
      <c r="AF784" s="163"/>
      <c r="AG784" s="163"/>
      <c r="AH784" s="163"/>
      <c r="AI784" s="163"/>
      <c r="AJ784" s="167"/>
      <c r="AK784" s="168"/>
      <c r="AL784" s="115">
        <f t="shared" ref="AL784:AL802" si="1443">+J784/AD784</f>
        <v>0.30083353654023115</v>
      </c>
      <c r="AM784" s="115">
        <f t="shared" ref="AM784:AM802" si="1444">+Q784/AD784</f>
        <v>0.43566314886434232</v>
      </c>
      <c r="AN784" s="115">
        <f t="shared" ref="AN784:AN802" si="1445">+W784/AD784</f>
        <v>0.26350331459542659</v>
      </c>
      <c r="AO784" s="115"/>
      <c r="AP784" s="115"/>
      <c r="AQ784" s="168"/>
      <c r="AR784" s="79"/>
      <c r="AS784" s="115"/>
      <c r="AT784" s="115"/>
      <c r="AU784" s="115"/>
      <c r="AV784" s="113">
        <f>IFERROR(INDEX('Total Customers'!$F$7:$AB$91,MATCH($C784,'Total Customers'!$D$7:$D$91,0),MATCH($G784,'Total Customers'!$F$5:$AB$5,0)),"NA")</f>
        <v>45198</v>
      </c>
      <c r="AW784" s="68">
        <f t="shared" si="1422"/>
        <v>1.2310519102432848E-2</v>
      </c>
      <c r="AX784" s="114"/>
      <c r="AY784" s="114"/>
      <c r="AZ784" s="116"/>
      <c r="BA784" s="116"/>
      <c r="BB784" s="166"/>
      <c r="BC784" s="166"/>
      <c r="BD784" s="166"/>
      <c r="BE784" s="166"/>
      <c r="BF784" s="166"/>
      <c r="BG784" s="166"/>
      <c r="BH784" s="166"/>
      <c r="BI784" s="113"/>
      <c r="BJ784" s="113"/>
      <c r="BK784" s="113">
        <f>INDEX('Dist. Plant Gas Additions'!$F$7:$AE$91,MATCH($C784,'Dist. Plant Gas Additions'!$D$7:$D$91,0),MATCH(Calculation!$G784,'Dist. Plant Gas Additions'!$F$5:$AE$5,0))</f>
        <v>1504</v>
      </c>
      <c r="BL784" s="113">
        <f>INDEX('Gen. Plant Additions'!$F$7:$AE$91,MATCH($C784,'Gen. Plant Additions'!$D$7:$D$91,0),MATCH(Calculation!$G784,'Gen. Plant Additions'!$F$5:$AE$5,0))</f>
        <v>422</v>
      </c>
      <c r="BM784" s="231">
        <f t="shared" si="1423"/>
        <v>0.92148811090637883</v>
      </c>
      <c r="BN784" s="61">
        <f t="shared" si="1415"/>
        <v>388.86798280249189</v>
      </c>
      <c r="BO784" s="113">
        <f>INDEX('Dist Plant Depreciation'!$E$7:$AD$94,MATCH($C784,'Dist Plant Depreciation'!$D$7:$D$94,0),MATCH(Calculation!$G784,'Dist Plant Depreciation'!$E$5:$AD$5,0))</f>
        <v>29337</v>
      </c>
      <c r="BP784" s="113">
        <f>INDEX('Gen. Plant Depreciation'!$E$7:$AD$94,MATCH($C784,'Gen. Plant Depreciation'!$D$7:$D$94,0),MATCH(Calculation!$G784,'Gen. Plant Depreciation'!$E$5:$AD$5,0))</f>
        <v>2394</v>
      </c>
      <c r="BQ784" s="113"/>
      <c r="BR784" s="113"/>
      <c r="BS784" s="113"/>
      <c r="BT784" s="113"/>
      <c r="BU784" s="113"/>
      <c r="BV784" s="113"/>
      <c r="BW784" s="113">
        <f>INDEX('Gross Dx Plant'!$E$7:$AD$91,MATCH($C784,'Gross Dx Plant'!$D$7:$D$91,0),MATCH(Calculation!$G784,'Gross Dx Plant'!$E$5:$AD$5,0))</f>
        <v>52511</v>
      </c>
      <c r="BX784" s="113">
        <f>INDEX('Gross Gen Plant'!$E$7:$AD$91,MATCH($C784,'Gross Gen Plant'!$D$7:$D$91,0),MATCH(Calculation!$G784,'Gross Gen Plant'!$E$5:$AD$5,0))</f>
        <v>4474</v>
      </c>
      <c r="BY784" s="113">
        <f t="shared" si="1325"/>
        <v>25254</v>
      </c>
      <c r="BZ784" s="113"/>
      <c r="CA784" s="116">
        <v>2004</v>
      </c>
      <c r="CB784" s="113"/>
      <c r="CC784" s="113"/>
      <c r="CD784" s="113"/>
      <c r="CE784" s="175"/>
      <c r="CF784" s="113">
        <f t="shared" si="1424"/>
        <v>1926</v>
      </c>
      <c r="CG784" s="113">
        <f t="shared" si="1425"/>
        <v>4.6422257426709033</v>
      </c>
      <c r="CH784" s="178">
        <v>0.967741935483871</v>
      </c>
      <c r="CI784" s="61">
        <f>+CI778*CH784+CG779*CH783+CG780*CH782+CG781*CH781+CG782*CH780+CG783*CH779+CG784</f>
        <v>151.92089204863919</v>
      </c>
      <c r="CJ784" s="114">
        <f t="shared" si="1426"/>
        <v>2.5155734119704929E-2</v>
      </c>
      <c r="CK784" s="114"/>
      <c r="CL784" s="169">
        <f t="shared" si="1427"/>
        <v>5.8604827958395273E-3</v>
      </c>
      <c r="CM784" s="169">
        <f t="shared" si="1435"/>
        <v>5.733349665667708E-3</v>
      </c>
      <c r="CN784" s="114">
        <f>VLOOKUP($H784,RoR!$E:$F,2,FALSE)</f>
        <v>5.6283333333333331E-2</v>
      </c>
      <c r="CO784" s="169">
        <v>2.6778252812867276E-2</v>
      </c>
      <c r="CP784" s="169">
        <f t="shared" si="1433"/>
        <v>2.9505080520466055E-2</v>
      </c>
      <c r="CQ784" s="169">
        <f t="shared" si="1436"/>
        <v>2.5168591942865918E-2</v>
      </c>
      <c r="CR784" s="169">
        <f t="shared" si="1437"/>
        <v>5.5940039414565046E-2</v>
      </c>
      <c r="CS784" s="179">
        <f t="shared" si="1428"/>
        <v>0.87050000000000005</v>
      </c>
      <c r="CT784" s="180">
        <f t="shared" si="1429"/>
        <v>0.91114097628755619</v>
      </c>
      <c r="CU784" s="180">
        <f t="shared" si="1430"/>
        <v>0.53081877405981637</v>
      </c>
      <c r="CV784" s="180">
        <f t="shared" si="1431"/>
        <v>0.88811215519385678</v>
      </c>
      <c r="CW784" s="180">
        <f t="shared" si="1432"/>
        <v>0.42953609753547711</v>
      </c>
      <c r="CX784" s="181">
        <f>INDEX('State Tax Lookup'!$D$7:$Z$91,MATCH(Calculation!$C784,'State Tax Lookup'!$B$7:$B$91,0),MATCH($H784,'State Tax Lookup'!$D$6:$Z$6,0))</f>
        <v>0.35</v>
      </c>
      <c r="CY784" s="72">
        <v>0.37</v>
      </c>
      <c r="CZ784" s="70">
        <f t="shared" si="1434"/>
        <v>13.9095003778107</v>
      </c>
      <c r="DA784" s="70"/>
      <c r="DB784" s="69">
        <f t="shared" si="1438"/>
        <v>0.10395254874787892</v>
      </c>
      <c r="DC784" s="111">
        <f>VLOOKUP($H784,RoR!$E:$F,2,FALSE)</f>
        <v>5.6283333333333331E-2</v>
      </c>
      <c r="DD784" s="216">
        <f>HLOOKUP($H784,'GDP-PI'!$D$8:$CQ$11,3,FALSE)</f>
        <v>2.6778252812867276E-2</v>
      </c>
      <c r="DE784" s="111">
        <f>VLOOKUP(H784,'HW Dx Data'!$E:$F,2,FALSE)</f>
        <v>414.88719135228365</v>
      </c>
      <c r="DF784" s="72">
        <f>VLOOKUP(G784,EG$8:EH$27,2,FALSE)</f>
        <v>94.35</v>
      </c>
      <c r="DG784" s="69"/>
      <c r="DH784" s="66">
        <f>HLOOKUP(H784,'GDP-PI'!$8:$9,2,FALSE)</f>
        <v>84.778000000000006</v>
      </c>
      <c r="DI784" s="69">
        <f t="shared" si="1439"/>
        <v>2.6425990216022755E-2</v>
      </c>
      <c r="EB784"/>
    </row>
    <row r="785" spans="1:132" s="160" customFormat="1" ht="21">
      <c r="A785" s="160" t="s">
        <v>206</v>
      </c>
      <c r="B785" s="161" t="s">
        <v>206</v>
      </c>
      <c r="C785" s="161">
        <v>4064479</v>
      </c>
      <c r="D785" s="161" t="s">
        <v>177</v>
      </c>
      <c r="E785" s="161"/>
      <c r="F785" s="161"/>
      <c r="G785" s="161" t="s">
        <v>116</v>
      </c>
      <c r="H785" s="162">
        <v>2005</v>
      </c>
      <c r="I785" s="163"/>
      <c r="J785" s="159">
        <f>IFERROR(INDEX('Labor Expenditures'!$F$7:$X$91,MATCH($C785,'Labor Expenditures'!$D$7:$D$91,0),MATCH($G785,'Labor Expenditures'!$F$5:$X$5,0)),"NA")</f>
        <v>2287.8651870755562</v>
      </c>
      <c r="K785" s="159">
        <f t="shared" si="1440"/>
        <v>23.057346304616338</v>
      </c>
      <c r="L785" s="165">
        <f t="shared" ref="L785:L801" si="1446">LN(K785/K784)</f>
        <v>-7.8271719117044267E-2</v>
      </c>
      <c r="M785" s="76"/>
      <c r="N785" s="62">
        <v>100</v>
      </c>
      <c r="O785" s="77"/>
      <c r="P785" s="77"/>
      <c r="Q785" s="159">
        <f>IFERROR(INDEX('Non-Labor Expenditures'!$F$7:$AB$91,MATCH($C785,'Non-Labor Expenditures'!$D$7:$D$91,0),MATCH($G785,'Non-Labor Expenditures'!$F$5:$AB$5,0)),"NA")</f>
        <v>3313.2561051588359</v>
      </c>
      <c r="R785" s="159">
        <f t="shared" si="1441"/>
        <v>37.906072799190412</v>
      </c>
      <c r="S785" s="165">
        <f>LN(R785/R784)</f>
        <v>-5.84322880732078E-2</v>
      </c>
      <c r="T785" s="165"/>
      <c r="U785" s="165"/>
      <c r="V785" s="165"/>
      <c r="W785" s="159">
        <f t="shared" si="1421"/>
        <v>2371.5541116017648</v>
      </c>
      <c r="X785" s="163"/>
      <c r="Y785" s="167">
        <v>155.13809436445527</v>
      </c>
      <c r="Z785" s="168">
        <v>2.0955713340758429E-2</v>
      </c>
      <c r="AA785" s="76">
        <f t="shared" si="1442"/>
        <v>0</v>
      </c>
      <c r="AB785" s="168"/>
      <c r="AC785" s="168"/>
      <c r="AD785" s="163">
        <f t="shared" si="1410"/>
        <v>7972.6754038361569</v>
      </c>
      <c r="AE785" s="168">
        <f>LN(AD785/AD784)</f>
        <v>1.9309776493577194E-2</v>
      </c>
      <c r="AF785" s="163"/>
      <c r="AG785" s="163"/>
      <c r="AH785" s="163"/>
      <c r="AI785" s="163"/>
      <c r="AJ785" s="116"/>
      <c r="AK785" s="114"/>
      <c r="AL785" s="115">
        <f t="shared" si="1443"/>
        <v>0.28696329289597317</v>
      </c>
      <c r="AM785" s="115">
        <f t="shared" si="1444"/>
        <v>0.4155764454632907</v>
      </c>
      <c r="AN785" s="115">
        <f t="shared" si="1445"/>
        <v>0.29746026164073613</v>
      </c>
      <c r="AO785" s="115">
        <f t="shared" ref="AO785:AO801" si="1447">+(((AL785+AL784)/2)*L785+((AM784+AM785)/2)*S785+((AN784+AN785)/2)*Z785)</f>
        <v>-4.199617681419042E-2</v>
      </c>
      <c r="AP785" s="166">
        <v>100</v>
      </c>
      <c r="AQ785" s="168"/>
      <c r="AR785" s="16"/>
      <c r="AS785" s="115"/>
      <c r="AT785" s="115"/>
      <c r="AU785" s="115"/>
      <c r="AV785" s="113">
        <f>IFERROR(INDEX('Total Customers'!$F$7:$AB$91,MATCH($C785,'Total Customers'!$D$7:$D$91,0),MATCH($G785,'Total Customers'!$F$5:$AB$5,0)),"NA")</f>
        <v>45783</v>
      </c>
      <c r="AW785" s="68">
        <f t="shared" si="1422"/>
        <v>1.2860005105234776E-2</v>
      </c>
      <c r="AX785" s="114"/>
      <c r="AY785" s="114"/>
      <c r="AZ785" s="116"/>
      <c r="BA785" s="116"/>
      <c r="BB785" s="166"/>
      <c r="BC785" s="166"/>
      <c r="BD785" s="166"/>
      <c r="BE785" s="166"/>
      <c r="BF785" s="166"/>
      <c r="BG785" s="166"/>
      <c r="BH785" s="166"/>
      <c r="BI785" s="113"/>
      <c r="BJ785" s="113"/>
      <c r="BK785" s="113">
        <f>INDEX('Dist. Plant Gas Additions'!$F$7:$AE$91,MATCH($C785,'Dist. Plant Gas Additions'!$D$7:$D$91,0),MATCH(Calculation!$G785,'Dist. Plant Gas Additions'!$F$5:$AE$5,0))</f>
        <v>1601</v>
      </c>
      <c r="BL785" s="113">
        <f>INDEX('Gen. Plant Additions'!$F$7:$AE$91,MATCH($C785,'Gen. Plant Additions'!$D$7:$D$91,0),MATCH(Calculation!$G785,'Gen. Plant Additions'!$F$5:$AE$5,0))</f>
        <v>340</v>
      </c>
      <c r="BM785" s="231">
        <f t="shared" si="1423"/>
        <v>0.92416249914365967</v>
      </c>
      <c r="BN785" s="61">
        <f t="shared" si="1415"/>
        <v>314.21524970884428</v>
      </c>
      <c r="BO785" s="113">
        <f>INDEX('Dist Plant Depreciation'!$E$7:$AD$94,MATCH($C785,'Dist Plant Depreciation'!$D$7:$D$94,0),MATCH(Calculation!$G785,'Dist Plant Depreciation'!$E$5:$AD$5,0))</f>
        <v>30695</v>
      </c>
      <c r="BP785" s="113">
        <f>INDEX('Gen. Plant Depreciation'!$E$7:$AD$94,MATCH($C785,'Gen. Plant Depreciation'!$D$7:$D$94,0),MATCH(Calculation!$G785,'Gen. Plant Depreciation'!$E$5:$AD$5,0))</f>
        <v>2404</v>
      </c>
      <c r="BQ785" s="113"/>
      <c r="BR785" s="113"/>
      <c r="BS785" s="113"/>
      <c r="BT785" s="113"/>
      <c r="BU785" s="113"/>
      <c r="BV785" s="113"/>
      <c r="BW785" s="113">
        <f>INDEX('Gross Dx Plant'!$E$7:$AD$91,MATCH($C785,'Gross Dx Plant'!$D$7:$D$91,0),MATCH(Calculation!$G785,'Gross Dx Plant'!$E$5:$AD$5,0))</f>
        <v>53960</v>
      </c>
      <c r="BX785" s="113">
        <f>INDEX('Gross Gen Plant'!$E$7:$AD$91,MATCH($C785,'Gross Gen Plant'!$D$7:$D$91,0),MATCH(Calculation!$G785,'Gross Gen Plant'!$E$5:$AD$5,0))</f>
        <v>4428</v>
      </c>
      <c r="BY785" s="113">
        <f t="shared" si="1325"/>
        <v>25289</v>
      </c>
      <c r="BZ785" s="113"/>
      <c r="CA785" s="116">
        <v>2005</v>
      </c>
      <c r="CB785" s="113"/>
      <c r="CC785" s="113"/>
      <c r="CD785" s="113"/>
      <c r="CE785" s="175"/>
      <c r="CF785" s="113">
        <f t="shared" si="1424"/>
        <v>1941</v>
      </c>
      <c r="CG785" s="113">
        <f t="shared" si="1425"/>
        <v>4.1367833237179852</v>
      </c>
      <c r="CH785" s="178">
        <v>0.96174863387978138</v>
      </c>
      <c r="CI785" s="61">
        <f>+CI778*CH785+CG779*CH784+CG780*CH783+CG781*CH782+CG782*CH781+CG783*CH780+CG784*CH779+CG785</f>
        <v>155.13809436445527</v>
      </c>
      <c r="CJ785" s="114">
        <f t="shared" si="1426"/>
        <v>2.0955713340758429E-2</v>
      </c>
      <c r="CK785" s="114"/>
      <c r="CL785" s="169">
        <f t="shared" si="1427"/>
        <v>6.0530253311538596E-3</v>
      </c>
      <c r="CM785" s="169">
        <f t="shared" si="1435"/>
        <v>5.8629713753937168E-3</v>
      </c>
      <c r="CN785" s="114">
        <f>VLOOKUP($H785,RoR!$E:$F,2,FALSE)</f>
        <v>5.2350000000000001E-2</v>
      </c>
      <c r="CO785" s="169">
        <v>3.1010403642454332E-2</v>
      </c>
      <c r="CP785" s="169">
        <f t="shared" si="1433"/>
        <v>2.1339596357545669E-2</v>
      </c>
      <c r="CQ785" s="169">
        <f t="shared" si="1436"/>
        <v>2.5038970233139907E-2</v>
      </c>
      <c r="CR785" s="169">
        <f t="shared" si="1437"/>
        <v>9.2129610649277341E-2</v>
      </c>
      <c r="CS785" s="179">
        <f t="shared" si="1428"/>
        <v>0.87050000000000005</v>
      </c>
      <c r="CT785" s="180">
        <f t="shared" si="1429"/>
        <v>0.97959983346802826</v>
      </c>
      <c r="CU785" s="180">
        <f t="shared" si="1430"/>
        <v>0.49744508118433622</v>
      </c>
      <c r="CV785" s="180">
        <f t="shared" si="1431"/>
        <v>0.87010519444335932</v>
      </c>
      <c r="CW785" s="180">
        <f t="shared" si="1432"/>
        <v>0.42399975420741998</v>
      </c>
      <c r="CX785" s="181">
        <f>INDEX('State Tax Lookup'!$D$7:$Z$91,MATCH(Calculation!$C785,'State Tax Lookup'!$B$7:$B$91,0),MATCH($H785,'State Tax Lookup'!$D$6:$Z$6,0))</f>
        <v>0.35</v>
      </c>
      <c r="CY785" s="72">
        <v>0.37</v>
      </c>
      <c r="CZ785" s="70">
        <f t="shared" si="1434"/>
        <v>15.610454096349597</v>
      </c>
      <c r="DA785" s="70"/>
      <c r="DB785" s="69">
        <f t="shared" si="1438"/>
        <v>0.11536873710878064</v>
      </c>
      <c r="DC785" s="111">
        <f>VLOOKUP($H785,RoR!$E:$F,2,FALSE)</f>
        <v>5.2350000000000001E-2</v>
      </c>
      <c r="DD785" s="216">
        <f>HLOOKUP($H785,'GDP-PI'!$D$8:$CQ$11,3,FALSE)</f>
        <v>3.1010403642454332E-2</v>
      </c>
      <c r="DE785" s="111">
        <f>VLOOKUP(H785,'HW Dx Data'!$E:$F,2,FALSE)</f>
        <v>469.20514034936258</v>
      </c>
      <c r="DF785" s="72">
        <f t="shared" ref="DF785:DF803" si="1448">VLOOKUP(G785,EG$8:EH$27,2,FALSE)</f>
        <v>99.224999999999994</v>
      </c>
      <c r="DG785" s="69">
        <f t="shared" ref="DG785:DG803" si="1449">LN(DF785/DF784)</f>
        <v>5.0378726854569796E-2</v>
      </c>
      <c r="DH785" s="66">
        <f>HLOOKUP(H785,'GDP-PI'!$8:$9,2,FALSE)</f>
        <v>87.406999999999996</v>
      </c>
      <c r="DI785" s="69">
        <f t="shared" si="1439"/>
        <v>3.0539295810733648E-2</v>
      </c>
      <c r="EB785"/>
    </row>
    <row r="786" spans="1:132" s="160" customFormat="1" ht="21">
      <c r="A786" s="160" t="s">
        <v>206</v>
      </c>
      <c r="B786" s="161" t="s">
        <v>206</v>
      </c>
      <c r="C786" s="161">
        <v>4064479</v>
      </c>
      <c r="D786" s="161" t="s">
        <v>177</v>
      </c>
      <c r="E786" s="161"/>
      <c r="F786" s="161"/>
      <c r="G786" s="161" t="s">
        <v>117</v>
      </c>
      <c r="H786" s="162">
        <v>2006</v>
      </c>
      <c r="I786" s="163"/>
      <c r="J786" s="159">
        <f>IFERROR(INDEX('Labor Expenditures'!$F$7:$X$91,MATCH($C786,'Labor Expenditures'!$D$7:$D$91,0),MATCH($G786,'Labor Expenditures'!$F$5:$X$5,0)),"NA")</f>
        <v>2404.1167453138851</v>
      </c>
      <c r="K786" s="159">
        <f t="shared" si="1440"/>
        <v>21.975472991900229</v>
      </c>
      <c r="L786" s="165">
        <f t="shared" si="1446"/>
        <v>-4.8057462931270792E-2</v>
      </c>
      <c r="M786" s="76">
        <f t="shared" ref="M786:M802" si="1450">+L786*$AR786</f>
        <v>-4.9807224808421823E-5</v>
      </c>
      <c r="N786" s="62">
        <f>+N785*EXP(O786)</f>
        <v>109.61312214207935</v>
      </c>
      <c r="O786" s="96">
        <f t="shared" ref="O786:O802" si="1451">+M786+M811+M836+M861+M886+M911+M936+M961+M986+M1011+M1036+M1061+M1086+M1111+M1136+M1161+M1186+M1211+M1236+M1261+M1286+M1311+M1336+M1361+M1386+M1411+M1436+M1461+M1486+M1511+M1536+M1561+M1586+M1611+M1636+M1661+M1686+M1711+M1736+M1761+M1786+M1811+M1836+M1861+M1886+M1911+M1936+M1961+M1986+M2011+M2036+M2061+M2086+M2111</f>
        <v>9.178690893276642E-2</v>
      </c>
      <c r="P786" s="96"/>
      <c r="Q786" s="159">
        <f>IFERROR(INDEX('Non-Labor Expenditures'!$F$7:$AB$91,MATCH($C786,'Non-Labor Expenditures'!$D$7:$D$91,0),MATCH($G786,'Non-Labor Expenditures'!$F$5:$AB$5,0)),"NA")</f>
        <v>3481.6100742839626</v>
      </c>
      <c r="R786" s="159">
        <f t="shared" si="1441"/>
        <v>38.652775210204531</v>
      </c>
      <c r="S786" s="165">
        <f t="shared" ref="S786:S801" si="1452">LN(R786/R785)</f>
        <v>1.950724466202642E-2</v>
      </c>
      <c r="T786" s="165">
        <f t="shared" ref="T786:T802" si="1453">+S786*AR786</f>
        <v>2.021749923969081E-5</v>
      </c>
      <c r="U786" s="165"/>
      <c r="V786" s="165"/>
      <c r="W786" s="159">
        <f t="shared" si="1421"/>
        <v>2363.7073762612999</v>
      </c>
      <c r="X786" s="163"/>
      <c r="Y786" s="167">
        <v>158.92372095721515</v>
      </c>
      <c r="Z786" s="168">
        <v>2.4108693040538205E-2</v>
      </c>
      <c r="AA786" s="76">
        <f t="shared" si="1442"/>
        <v>2.4986485362837867E-5</v>
      </c>
      <c r="AB786" s="168"/>
      <c r="AC786" s="168"/>
      <c r="AD786" s="163">
        <f t="shared" si="1410"/>
        <v>8249.4341958591467</v>
      </c>
      <c r="AE786" s="168">
        <f t="shared" ref="AE786:AE802" si="1454">LN(AD786/AD785)</f>
        <v>3.4124494906227112E-2</v>
      </c>
      <c r="AF786" s="163"/>
      <c r="AG786" s="163"/>
      <c r="AH786" s="163"/>
      <c r="AI786" s="163"/>
      <c r="AJ786" s="116">
        <f t="shared" ref="AJ786:AJ802" si="1455">+(AD786*1000)/AV786</f>
        <v>178.59397276220793</v>
      </c>
      <c r="AK786" s="114">
        <f>+AV786/$AX$11</f>
        <v>1.3318647672419916E-3</v>
      </c>
      <c r="AL786" s="115">
        <f t="shared" si="1443"/>
        <v>0.29142807715475155</v>
      </c>
      <c r="AM786" s="115">
        <f t="shared" si="1444"/>
        <v>0.42204228697667262</v>
      </c>
      <c r="AN786" s="115">
        <f t="shared" si="1445"/>
        <v>0.28652963586857594</v>
      </c>
      <c r="AO786" s="115">
        <f t="shared" si="1447"/>
        <v>1.311422449525276E-3</v>
      </c>
      <c r="AP786" s="166">
        <f>+AP785*EXP(AO786)</f>
        <v>100.13122827399728</v>
      </c>
      <c r="AQ786" s="168">
        <f>LN(AP786/AP785)</f>
        <v>1.311422449525222E-3</v>
      </c>
      <c r="AR786" s="69">
        <f>+AD786/$AF$11</f>
        <v>1.036409784670769E-3</v>
      </c>
      <c r="AS786" s="169">
        <f>+AR786*AQ786</f>
        <v>1.3591710585248478E-6</v>
      </c>
      <c r="AT786" s="115"/>
      <c r="AU786" s="115"/>
      <c r="AV786" s="113">
        <f>IFERROR(INDEX('Total Customers'!$F$7:$AB$91,MATCH($C786,'Total Customers'!$D$7:$D$91,0),MATCH($G786,'Total Customers'!$F$5:$AB$5,0)),"NA")</f>
        <v>46191</v>
      </c>
      <c r="AW786" s="68">
        <f t="shared" si="1422"/>
        <v>8.8721307390439742E-3</v>
      </c>
      <c r="AX786" s="114"/>
      <c r="AY786" s="114"/>
      <c r="AZ786" s="116"/>
      <c r="BA786" s="116"/>
      <c r="BB786" s="166"/>
      <c r="BC786" s="166"/>
      <c r="BD786" s="166"/>
      <c r="BE786" s="166"/>
      <c r="BF786" s="166"/>
      <c r="BG786" s="166"/>
      <c r="BH786" s="166"/>
      <c r="BI786" s="113"/>
      <c r="BJ786" s="113"/>
      <c r="BK786" s="113">
        <f>INDEX('Dist. Plant Gas Additions'!$F$7:$AE$91,MATCH($C786,'Dist. Plant Gas Additions'!$D$7:$D$91,0),MATCH(Calculation!$G786,'Dist. Plant Gas Additions'!$F$5:$AE$5,0))</f>
        <v>1813</v>
      </c>
      <c r="BL786" s="113">
        <f>INDEX('Gen. Plant Additions'!$F$7:$AE$91,MATCH($C786,'Gen. Plant Additions'!$D$7:$D$91,0),MATCH(Calculation!$G786,'Gen. Plant Additions'!$F$5:$AE$5,0))</f>
        <v>380</v>
      </c>
      <c r="BM786" s="231">
        <f t="shared" si="1423"/>
        <v>0.92535377554583698</v>
      </c>
      <c r="BN786" s="61">
        <f t="shared" si="1415"/>
        <v>351.63443470741805</v>
      </c>
      <c r="BO786" s="113">
        <f>INDEX('Dist Plant Depreciation'!$E$7:$AD$94,MATCH($C786,'Dist Plant Depreciation'!$D$7:$D$94,0),MATCH(Calculation!$G786,'Dist Plant Depreciation'!$E$5:$AD$5,0))</f>
        <v>32120</v>
      </c>
      <c r="BP786" s="113">
        <f>INDEX('Gen. Plant Depreciation'!$E$7:$AD$94,MATCH($C786,'Gen. Plant Depreciation'!$D$7:$D$94,0),MATCH(Calculation!$G786,'Gen. Plant Depreciation'!$E$5:$AD$5,0))</f>
        <v>2503</v>
      </c>
      <c r="BQ786" s="113"/>
      <c r="BR786" s="113"/>
      <c r="BS786" s="113"/>
      <c r="BT786" s="113"/>
      <c r="BU786" s="113"/>
      <c r="BV786" s="113"/>
      <c r="BW786" s="113">
        <f>INDEX('Gross Dx Plant'!$E$7:$AD$91,MATCH($C786,'Gross Dx Plant'!$D$7:$D$91,0),MATCH(Calculation!$G786,'Gross Dx Plant'!$E$5:$AD$5,0))</f>
        <v>55648</v>
      </c>
      <c r="BX786" s="113">
        <f>INDEX('Gross Gen Plant'!$E$7:$AD$91,MATCH($C786,'Gross Gen Plant'!$D$7:$D$91,0),MATCH(Calculation!$G786,'Gross Gen Plant'!$E$5:$AD$5,0))</f>
        <v>4489</v>
      </c>
      <c r="BY786" s="113">
        <f t="shared" si="1325"/>
        <v>25514</v>
      </c>
      <c r="BZ786" s="114"/>
      <c r="CA786" s="116">
        <v>2006</v>
      </c>
      <c r="CB786" s="113"/>
      <c r="CC786" s="113"/>
      <c r="CD786" s="113"/>
      <c r="CE786" s="175"/>
      <c r="CF786" s="113">
        <f t="shared" si="1424"/>
        <v>2193</v>
      </c>
      <c r="CG786" s="113">
        <f t="shared" si="1425"/>
        <v>4.7561660005981254</v>
      </c>
      <c r="CH786" s="178">
        <v>0.9555555555555556</v>
      </c>
      <c r="CI786" s="61">
        <f>+CI778*CH786+CG779*CH785+CG780*CH784+CG781*CH783+CG782*CH782+CG783*CH781+CG784*CH780+CG785*CH779+CG786</f>
        <v>158.92372095721515</v>
      </c>
      <c r="CJ786" s="114">
        <f t="shared" si="1426"/>
        <v>2.4108693040538205E-2</v>
      </c>
      <c r="CK786" s="114"/>
      <c r="CL786" s="169">
        <f t="shared" si="1427"/>
        <v>6.2559709258657075E-3</v>
      </c>
      <c r="CM786" s="169">
        <f t="shared" si="1435"/>
        <v>6.0564930176196978E-3</v>
      </c>
      <c r="CN786" s="114">
        <f>VLOOKUP($H786,RoR!$E:$F,2,FALSE)</f>
        <v>5.5874999999999994E-2</v>
      </c>
      <c r="CO786" s="169">
        <v>3.0512430354548314E-2</v>
      </c>
      <c r="CP786" s="169">
        <f t="shared" si="1433"/>
        <v>2.536256964545168E-2</v>
      </c>
      <c r="CQ786" s="169">
        <f t="shared" si="1436"/>
        <v>2.4845448590913928E-2</v>
      </c>
      <c r="CR786" s="169">
        <f t="shared" si="1437"/>
        <v>7.9087823893859641E-2</v>
      </c>
      <c r="CS786" s="179">
        <f t="shared" si="1428"/>
        <v>0.87050000000000005</v>
      </c>
      <c r="CT786" s="180">
        <f t="shared" si="1429"/>
        <v>0.91779957551769631</v>
      </c>
      <c r="CU786" s="180">
        <f t="shared" si="1430"/>
        <v>0.52757270693512304</v>
      </c>
      <c r="CV786" s="180">
        <f t="shared" si="1431"/>
        <v>0.88636824549024895</v>
      </c>
      <c r="CW786" s="180">
        <f t="shared" si="1432"/>
        <v>0.42918482841932087</v>
      </c>
      <c r="CX786" s="181">
        <f>INDEX('State Tax Lookup'!$D$7:$Z$91,MATCH(Calculation!$C786,'State Tax Lookup'!$B$7:$B$91,0),MATCH($H786,'State Tax Lookup'!$D$6:$Z$6,0))</f>
        <v>0.35</v>
      </c>
      <c r="CY786" s="72">
        <v>0.37</v>
      </c>
      <c r="CZ786" s="70">
        <f t="shared" si="1434"/>
        <v>15.236150643364256</v>
      </c>
      <c r="DA786" s="70">
        <v>14.788696346247992</v>
      </c>
      <c r="DB786" s="69">
        <f t="shared" si="1438"/>
        <v>-2.426988829932997E-2</v>
      </c>
      <c r="DC786" s="111">
        <f>VLOOKUP($H786,RoR!$E:$F,2,FALSE)</f>
        <v>5.5874999999999994E-2</v>
      </c>
      <c r="DD786" s="216">
        <f>HLOOKUP($H786,'GDP-PI'!$D$8:$CQ$11,3,FALSE)</f>
        <v>3.0512430354548314E-2</v>
      </c>
      <c r="DE786" s="111">
        <f>VLOOKUP(H786,'HW Dx Data'!$E:$F,2,FALSE)</f>
        <v>461.08567272971823</v>
      </c>
      <c r="DF786" s="72">
        <f t="shared" si="1448"/>
        <v>109.4</v>
      </c>
      <c r="DG786" s="69">
        <f t="shared" si="1449"/>
        <v>9.7620891318751846E-2</v>
      </c>
      <c r="DH786" s="66">
        <f>HLOOKUP(H786,'GDP-PI'!$8:$9,2,FALSE)</f>
        <v>90.073999999999998</v>
      </c>
      <c r="DI786" s="69">
        <f t="shared" si="1439"/>
        <v>3.005618372545445E-2</v>
      </c>
      <c r="EB786"/>
    </row>
    <row r="787" spans="1:132" s="160" customFormat="1" ht="21">
      <c r="A787" s="160" t="s">
        <v>206</v>
      </c>
      <c r="B787" s="161" t="s">
        <v>206</v>
      </c>
      <c r="C787" s="161">
        <v>4064479</v>
      </c>
      <c r="D787" s="161" t="s">
        <v>177</v>
      </c>
      <c r="E787" s="161"/>
      <c r="F787" s="161"/>
      <c r="G787" s="161" t="s">
        <v>118</v>
      </c>
      <c r="H787" s="162">
        <v>2007</v>
      </c>
      <c r="I787" s="163"/>
      <c r="J787" s="159">
        <f>IFERROR(INDEX('Labor Expenditures'!$F$7:$X$91,MATCH($C787,'Labor Expenditures'!$D$7:$D$91,0),MATCH($G787,'Labor Expenditures'!$F$5:$X$5,0)),"NA")</f>
        <v>2391.9366242890437</v>
      </c>
      <c r="K787" s="159">
        <f t="shared" si="1440"/>
        <v>22.883871076671074</v>
      </c>
      <c r="L787" s="165">
        <f t="shared" si="1446"/>
        <v>4.0505375183835096E-2</v>
      </c>
      <c r="M787" s="76">
        <f t="shared" si="1450"/>
        <v>4.0730622984078798E-5</v>
      </c>
      <c r="N787" s="62">
        <f t="shared" ref="N787:N800" si="1456">+N786*EXP(O787)</f>
        <v>118.49357534739821</v>
      </c>
      <c r="O787" s="96">
        <f t="shared" si="1451"/>
        <v>7.790164770690941E-2</v>
      </c>
      <c r="P787" s="96"/>
      <c r="Q787" s="159">
        <f>IFERROR(INDEX('Non-Labor Expenditures'!$F$7:$AB$91,MATCH($C787,'Non-Labor Expenditures'!$D$7:$D$91,0),MATCH($G787,'Non-Labor Expenditures'!$F$5:$AB$5,0)),"NA")</f>
        <v>3463.9709841071881</v>
      </c>
      <c r="R787" s="159">
        <f t="shared" si="1441"/>
        <v>37.449144674557154</v>
      </c>
      <c r="S787" s="165">
        <f t="shared" si="1452"/>
        <v>-3.1634705511455231E-2</v>
      </c>
      <c r="T787" s="165">
        <f t="shared" si="1453"/>
        <v>-3.181062408511299E-5</v>
      </c>
      <c r="U787" s="165"/>
      <c r="V787" s="165"/>
      <c r="W787" s="159">
        <f t="shared" si="1421"/>
        <v>2598.5936602440679</v>
      </c>
      <c r="X787" s="163"/>
      <c r="Y787" s="167">
        <v>162.25221319704616</v>
      </c>
      <c r="Z787" s="168">
        <v>2.0727651451354155E-2</v>
      </c>
      <c r="AA787" s="76">
        <f t="shared" si="1442"/>
        <v>2.0842916595114605E-5</v>
      </c>
      <c r="AB787" s="168"/>
      <c r="AC787" s="168"/>
      <c r="AD787" s="163">
        <f t="shared" si="1410"/>
        <v>8454.5012686402988</v>
      </c>
      <c r="AE787" s="168">
        <f t="shared" si="1454"/>
        <v>2.4554378376759767E-2</v>
      </c>
      <c r="AF787" s="163"/>
      <c r="AG787" s="163"/>
      <c r="AH787" s="163"/>
      <c r="AI787" s="163"/>
      <c r="AJ787" s="116">
        <f t="shared" si="1455"/>
        <v>182.26800191096902</v>
      </c>
      <c r="AK787" s="114">
        <f>+AV787/$AX$12</f>
        <v>1.3273887151898855E-3</v>
      </c>
      <c r="AL787" s="115">
        <f t="shared" si="1443"/>
        <v>0.28291871374616623</v>
      </c>
      <c r="AM787" s="115">
        <f t="shared" si="1444"/>
        <v>0.40971913943118771</v>
      </c>
      <c r="AN787" s="115">
        <f t="shared" si="1445"/>
        <v>0.30736214682264618</v>
      </c>
      <c r="AO787" s="115">
        <f t="shared" si="1447"/>
        <v>4.630793171159886E-3</v>
      </c>
      <c r="AP787" s="166">
        <f>+AP786*EXP(AO787)</f>
        <v>100.5959905605804</v>
      </c>
      <c r="AQ787" s="168">
        <f>LN(AP787/AP786)</f>
        <v>4.630793171159807E-3</v>
      </c>
      <c r="AR787" s="69">
        <f>+AD787/$AF$12</f>
        <v>1.0055609360293889E-3</v>
      </c>
      <c r="AS787" s="169">
        <f t="shared" ref="AS787:AS801" si="1457">+AR787*AQ787</f>
        <v>4.6565447157499578E-6</v>
      </c>
      <c r="AT787" s="115"/>
      <c r="AU787" s="115"/>
      <c r="AV787" s="113">
        <f>IFERROR(INDEX('Total Customers'!$F$7:$AB$91,MATCH($C787,'Total Customers'!$D$7:$D$91,0),MATCH($G787,'Total Customers'!$F$5:$AB$5,0)),"NA")</f>
        <v>46385</v>
      </c>
      <c r="AW787" s="68">
        <f t="shared" si="1422"/>
        <v>4.1911571893432972E-3</v>
      </c>
      <c r="AX787" s="114"/>
      <c r="AY787" s="114"/>
      <c r="AZ787" s="116"/>
      <c r="BA787" s="116"/>
      <c r="BB787" s="166"/>
      <c r="BC787" s="166"/>
      <c r="BD787" s="166"/>
      <c r="BE787" s="166"/>
      <c r="BF787" s="166"/>
      <c r="BG787" s="166"/>
      <c r="BH787" s="166"/>
      <c r="BI787" s="113"/>
      <c r="BJ787" s="113"/>
      <c r="BK787" s="113">
        <f>INDEX('Dist. Plant Gas Additions'!$F$7:$AE$91,MATCH($C787,'Dist. Plant Gas Additions'!$D$7:$D$91,0),MATCH(Calculation!$G787,'Dist. Plant Gas Additions'!$F$5:$AE$5,0))</f>
        <v>1483</v>
      </c>
      <c r="BL787" s="113">
        <f>INDEX('Gen. Plant Additions'!$F$7:$AE$91,MATCH($C787,'Gen. Plant Additions'!$D$7:$D$91,0),MATCH(Calculation!$G787,'Gen. Plant Additions'!$F$5:$AE$5,0))</f>
        <v>686</v>
      </c>
      <c r="BM787" s="231">
        <f t="shared" si="1423"/>
        <v>0.92074460356156862</v>
      </c>
      <c r="BN787" s="61">
        <f t="shared" si="1415"/>
        <v>631.63079804323604</v>
      </c>
      <c r="BO787" s="113">
        <f>INDEX('Dist Plant Depreciation'!$E$7:$AD$94,MATCH($C787,'Dist Plant Depreciation'!$D$7:$D$94,0),MATCH(Calculation!$G787,'Dist Plant Depreciation'!$E$5:$AD$5,0))</f>
        <v>33592</v>
      </c>
      <c r="BP787" s="113">
        <f>INDEX('Gen. Plant Depreciation'!$E$7:$AD$94,MATCH($C787,'Gen. Plant Depreciation'!$D$7:$D$94,0),MATCH(Calculation!$G787,'Gen. Plant Depreciation'!$E$5:$AD$5,0))</f>
        <v>2695</v>
      </c>
      <c r="BQ787" s="113"/>
      <c r="BR787" s="113"/>
      <c r="BS787" s="113"/>
      <c r="BT787" s="113"/>
      <c r="BU787" s="113"/>
      <c r="BV787" s="113"/>
      <c r="BW787" s="113">
        <f>INDEX('Gross Dx Plant'!$E$7:$AD$91,MATCH($C787,'Gross Dx Plant'!$D$7:$D$91,0),MATCH(Calculation!$G787,'Gross Dx Plant'!$E$5:$AD$5,0))</f>
        <v>57030</v>
      </c>
      <c r="BX787" s="113">
        <f>INDEX('Gross Gen Plant'!$E$7:$AD$91,MATCH($C787,'Gross Gen Plant'!$D$7:$D$91,0),MATCH(Calculation!$G787,'Gross Gen Plant'!$E$5:$AD$5,0))</f>
        <v>4909</v>
      </c>
      <c r="BY787" s="113">
        <f t="shared" si="1325"/>
        <v>25652</v>
      </c>
      <c r="BZ787" s="113"/>
      <c r="CA787" s="116">
        <v>2007</v>
      </c>
      <c r="CB787" s="113"/>
      <c r="CC787" s="113"/>
      <c r="CD787" s="113"/>
      <c r="CE787" s="175"/>
      <c r="CF787" s="113">
        <f t="shared" si="1424"/>
        <v>2169</v>
      </c>
      <c r="CG787" s="113">
        <f t="shared" si="1425"/>
        <v>4.3552265281956464</v>
      </c>
      <c r="CH787" s="178">
        <v>0.94915254237288138</v>
      </c>
      <c r="CI787" s="61">
        <f>+CI778*CH787+CG779*CH786+CG780*CH785+CG781*CH784+CG782*CH783+CG783*CH782+CG784*CH781+CG785*CH780+CG786*CH779+CG787</f>
        <v>162.25221319704616</v>
      </c>
      <c r="CJ787" s="114">
        <f t="shared" si="1426"/>
        <v>2.0727651451354155E-2</v>
      </c>
      <c r="CK787" s="114"/>
      <c r="CL787" s="169">
        <f t="shared" si="1427"/>
        <v>6.4605477532271765E-3</v>
      </c>
      <c r="CM787" s="169">
        <f t="shared" si="1435"/>
        <v>6.2565146700822478E-3</v>
      </c>
      <c r="CN787" s="114">
        <f>VLOOKUP($H787,RoR!$E:$F,2,FALSE)</f>
        <v>5.5558333333333321E-2</v>
      </c>
      <c r="CO787" s="169">
        <v>2.691120634145272E-2</v>
      </c>
      <c r="CP787" s="169">
        <f t="shared" si="1433"/>
        <v>2.86471269918806E-2</v>
      </c>
      <c r="CQ787" s="169">
        <f t="shared" si="1436"/>
        <v>2.4645426938451377E-2</v>
      </c>
      <c r="CR787" s="169">
        <f t="shared" si="1437"/>
        <v>6.4575155250632399E-2</v>
      </c>
      <c r="CS787" s="179">
        <f t="shared" si="1428"/>
        <v>0.87050000000000005</v>
      </c>
      <c r="CT787" s="180">
        <f t="shared" si="1429"/>
        <v>0.92303077153834634</v>
      </c>
      <c r="CU787" s="180">
        <f t="shared" si="1430"/>
        <v>0.52502249887505614</v>
      </c>
      <c r="CV787" s="180">
        <f t="shared" si="1431"/>
        <v>0.88499666072084604</v>
      </c>
      <c r="CW787" s="180">
        <f t="shared" si="1432"/>
        <v>0.42887993290280618</v>
      </c>
      <c r="CX787" s="181">
        <f>INDEX('State Tax Lookup'!$D$7:$Z$91,MATCH(Calculation!$C787,'State Tax Lookup'!$B$7:$B$91,0),MATCH($H787,'State Tax Lookup'!$D$6:$Z$6,0))</f>
        <v>0.35</v>
      </c>
      <c r="CY787" s="72">
        <v>0.37</v>
      </c>
      <c r="CZ787" s="70">
        <f t="shared" si="1434"/>
        <v>16.351200718133523</v>
      </c>
      <c r="DA787" s="70">
        <v>16.108943221861779</v>
      </c>
      <c r="DB787" s="69">
        <f t="shared" si="1438"/>
        <v>7.0630397166980718E-2</v>
      </c>
      <c r="DC787" s="111">
        <f>VLOOKUP($H787,RoR!$E:$F,2,FALSE)</f>
        <v>5.5558333333333321E-2</v>
      </c>
      <c r="DD787" s="216">
        <f>HLOOKUP($H787,'GDP-PI'!$D$8:$CQ$11,3,FALSE)</f>
        <v>2.691120634145272E-2</v>
      </c>
      <c r="DE787" s="111">
        <f>VLOOKUP(H787,'HW Dx Data'!$E:$F,2,FALSE)</f>
        <v>498.0223154772637</v>
      </c>
      <c r="DF787" s="72">
        <f t="shared" si="1448"/>
        <v>104.52499999999999</v>
      </c>
      <c r="DG787" s="69">
        <f t="shared" si="1449"/>
        <v>-4.5584612745252218E-2</v>
      </c>
      <c r="DH787" s="66">
        <f>HLOOKUP(H787,'GDP-PI'!$8:$9,2,FALSE)</f>
        <v>92.498000000000005</v>
      </c>
      <c r="DI787" s="69">
        <f t="shared" si="1439"/>
        <v>2.6555467950038037E-2</v>
      </c>
      <c r="EB787"/>
    </row>
    <row r="788" spans="1:132" s="160" customFormat="1" ht="21">
      <c r="A788" s="160" t="s">
        <v>206</v>
      </c>
      <c r="B788" s="161" t="s">
        <v>206</v>
      </c>
      <c r="C788" s="161">
        <v>4064479</v>
      </c>
      <c r="D788" s="161" t="s">
        <v>177</v>
      </c>
      <c r="E788" s="161"/>
      <c r="F788" s="161"/>
      <c r="G788" s="161" t="s">
        <v>120</v>
      </c>
      <c r="H788" s="162">
        <v>2008</v>
      </c>
      <c r="I788" s="163"/>
      <c r="J788" s="159">
        <f>IFERROR(INDEX('Labor Expenditures'!$F$7:$X$91,MATCH($C788,'Labor Expenditures'!$D$7:$D$91,0),MATCH($G788,'Labor Expenditures'!$F$5:$X$5,0)),"NA")</f>
        <v>2459.3484700560334</v>
      </c>
      <c r="K788" s="159">
        <f t="shared" si="1440"/>
        <v>22.792849583466481</v>
      </c>
      <c r="L788" s="165">
        <f t="shared" si="1446"/>
        <v>-3.985470601698864E-3</v>
      </c>
      <c r="M788" s="76">
        <f t="shared" si="1450"/>
        <v>-4.0045755151789755E-6</v>
      </c>
      <c r="N788" s="62">
        <f t="shared" si="1456"/>
        <v>110.16067316237333</v>
      </c>
      <c r="O788" s="96">
        <f t="shared" si="1451"/>
        <v>-7.2918777456491307E-2</v>
      </c>
      <c r="P788" s="96"/>
      <c r="Q788" s="159">
        <f>IFERROR(INDEX('Non-Labor Expenditures'!$F$7:$AB$91,MATCH($C788,'Non-Labor Expenditures'!$D$7:$D$91,0),MATCH($G788,'Non-Labor Expenditures'!$F$5:$AB$5,0)),"NA")</f>
        <v>3561.5959275738101</v>
      </c>
      <c r="R788" s="159">
        <f t="shared" si="1441"/>
        <v>37.783203848487332</v>
      </c>
      <c r="S788" s="165">
        <f t="shared" si="1452"/>
        <v>8.8807906717292481E-3</v>
      </c>
      <c r="T788" s="165">
        <f t="shared" si="1453"/>
        <v>8.9233619899936586E-6</v>
      </c>
      <c r="U788" s="165"/>
      <c r="V788" s="165"/>
      <c r="W788" s="159">
        <f t="shared" si="1421"/>
        <v>3011.1297726764724</v>
      </c>
      <c r="X788" s="163"/>
      <c r="Y788" s="167">
        <v>165.62772090164572</v>
      </c>
      <c r="Z788" s="168">
        <v>2.0590628540028227E-2</v>
      </c>
      <c r="AA788" s="76">
        <f t="shared" si="1442"/>
        <v>2.06893326119114E-5</v>
      </c>
      <c r="AB788" s="168"/>
      <c r="AC788" s="168"/>
      <c r="AD788" s="163">
        <f t="shared" si="1410"/>
        <v>9032.0741703063159</v>
      </c>
      <c r="AE788" s="168">
        <f t="shared" si="1454"/>
        <v>6.6083044709383976E-2</v>
      </c>
      <c r="AF788" s="163"/>
      <c r="AG788" s="163"/>
      <c r="AH788" s="163"/>
      <c r="AI788" s="163"/>
      <c r="AJ788" s="116">
        <f t="shared" si="1455"/>
        <v>194.45142350333302</v>
      </c>
      <c r="AK788" s="114">
        <f>+AV788/$AX$13</f>
        <v>1.3221134106259276E-3</v>
      </c>
      <c r="AL788" s="115">
        <f t="shared" si="1443"/>
        <v>0.2722905529431261</v>
      </c>
      <c r="AM788" s="115">
        <f t="shared" si="1444"/>
        <v>0.39432757752176667</v>
      </c>
      <c r="AN788" s="115">
        <f t="shared" si="1445"/>
        <v>0.33338186953510729</v>
      </c>
      <c r="AO788" s="115">
        <f t="shared" si="1447"/>
        <v>9.0605612017188187E-3</v>
      </c>
      <c r="AP788" s="166">
        <f t="shared" ref="AP788:AP801" si="1458">+AP787*EXP(AO788)</f>
        <v>101.51158834083328</v>
      </c>
      <c r="AQ788" s="168">
        <f t="shared" ref="AQ788:AQ801" si="1459">LN(AP788/AP787)</f>
        <v>9.0605612017187146E-3</v>
      </c>
      <c r="AR788" s="69">
        <f>+AD788/$AF$13</f>
        <v>1.0047936405482374E-3</v>
      </c>
      <c r="AS788" s="169">
        <f t="shared" si="1457"/>
        <v>9.1039942752850606E-6</v>
      </c>
      <c r="AT788" s="115"/>
      <c r="AU788" s="115"/>
      <c r="AV788" s="113">
        <f>IFERROR(INDEX('Total Customers'!$F$7:$AB$91,MATCH($C788,'Total Customers'!$D$7:$D$91,0),MATCH($G788,'Total Customers'!$F$5:$AB$5,0)),"NA")</f>
        <v>46449</v>
      </c>
      <c r="AW788" s="68">
        <f t="shared" si="1422"/>
        <v>1.3788053975747126E-3</v>
      </c>
      <c r="AX788" s="114"/>
      <c r="AY788" s="114"/>
      <c r="AZ788" s="116"/>
      <c r="BA788" s="116"/>
      <c r="BB788" s="166"/>
      <c r="BC788" s="166"/>
      <c r="BD788" s="166"/>
      <c r="BE788" s="166"/>
      <c r="BF788" s="166"/>
      <c r="BG788" s="166"/>
      <c r="BH788" s="166"/>
      <c r="BI788" s="113"/>
      <c r="BJ788" s="113"/>
      <c r="BK788" s="113">
        <f>INDEX('Dist. Plant Gas Additions'!$F$7:$AE$91,MATCH($C788,'Dist. Plant Gas Additions'!$D$7:$D$91,0),MATCH(Calculation!$G788,'Dist. Plant Gas Additions'!$F$5:$AE$5,0))</f>
        <v>1831</v>
      </c>
      <c r="BL788" s="113">
        <f>INDEX('Gen. Plant Additions'!$F$7:$AE$91,MATCH($C788,'Gen. Plant Additions'!$D$7:$D$91,0),MATCH(Calculation!$G788,'Gen. Plant Additions'!$F$5:$AE$5,0))</f>
        <v>710</v>
      </c>
      <c r="BM788" s="231">
        <f t="shared" si="1423"/>
        <v>0.91563558065875084</v>
      </c>
      <c r="BN788" s="61">
        <f t="shared" si="1415"/>
        <v>650.10126226771308</v>
      </c>
      <c r="BO788" s="113">
        <f>INDEX('Dist Plant Depreciation'!$E$7:$AD$94,MATCH($C788,'Dist Plant Depreciation'!$D$7:$D$94,0),MATCH(Calculation!$G788,'Dist Plant Depreciation'!$E$5:$AD$5,0))</f>
        <v>35048</v>
      </c>
      <c r="BP788" s="113">
        <f>INDEX('Gen. Plant Depreciation'!$E$7:$AD$94,MATCH($C788,'Gen. Plant Depreciation'!$D$7:$D$94,0),MATCH(Calculation!$G788,'Gen. Plant Depreciation'!$E$5:$AD$5,0))</f>
        <v>2977</v>
      </c>
      <c r="BQ788" s="113"/>
      <c r="BR788" s="113"/>
      <c r="BS788" s="113"/>
      <c r="BT788" s="113"/>
      <c r="BU788" s="113"/>
      <c r="BV788" s="113"/>
      <c r="BW788" s="113">
        <f>INDEX('Gross Dx Plant'!$E$7:$AD$91,MATCH($C788,'Gross Dx Plant'!$D$7:$D$91,0),MATCH(Calculation!$G788,'Gross Dx Plant'!$E$5:$AD$5,0))</f>
        <v>58684</v>
      </c>
      <c r="BX788" s="113">
        <f>INDEX('Gross Gen Plant'!$E$7:$AD$91,MATCH($C788,'Gross Gen Plant'!$D$7:$D$91,0),MATCH(Calculation!$G788,'Gross Gen Plant'!$E$5:$AD$5,0))</f>
        <v>5407</v>
      </c>
      <c r="BY788" s="113">
        <f t="shared" ref="BY788:BY832" si="1460">IF(OR(BO788="NA",BP788="NA"),"NA",(SUM(BW788:BX788)-SUM(BO788:BP788)))</f>
        <v>26066</v>
      </c>
      <c r="BZ788" s="113"/>
      <c r="CA788" s="116">
        <v>2008</v>
      </c>
      <c r="CB788" s="113"/>
      <c r="CC788" s="113"/>
      <c r="CD788" s="113"/>
      <c r="CE788" s="175"/>
      <c r="CF788" s="113">
        <f t="shared" si="1424"/>
        <v>2541</v>
      </c>
      <c r="CG788" s="113">
        <f t="shared" si="1425"/>
        <v>4.458824023549381</v>
      </c>
      <c r="CH788" s="178">
        <v>0.94252873563218387</v>
      </c>
      <c r="CI788" s="61">
        <f>+CI778*CH788+CG779*CH787+CG780*CH786+CG781*CH785+CG782*CH784+CG783*CH783+CG784*CH782+CG785*CH781+CG786*CH780+CG787*CH779+CG788</f>
        <v>165.62772090164572</v>
      </c>
      <c r="CJ788" s="114">
        <f t="shared" si="1426"/>
        <v>2.0590628540028227E-2</v>
      </c>
      <c r="CK788" s="114"/>
      <c r="CL788" s="169">
        <f t="shared" si="1427"/>
        <v>6.6767429399203215E-3</v>
      </c>
      <c r="CM788" s="169">
        <f t="shared" si="1435"/>
        <v>6.4644205396710676E-3</v>
      </c>
      <c r="CN788" s="114">
        <f>VLOOKUP($H788,RoR!$E:$F,2,FALSE)</f>
        <v>5.6316666666666668E-2</v>
      </c>
      <c r="CO788" s="169">
        <v>1.9092304698479889E-2</v>
      </c>
      <c r="CP788" s="169">
        <f t="shared" si="1433"/>
        <v>3.7224361968186778E-2</v>
      </c>
      <c r="CQ788" s="169">
        <f t="shared" si="1436"/>
        <v>2.4437521068862558E-2</v>
      </c>
      <c r="CR788" s="169">
        <f t="shared" si="1437"/>
        <v>6.9030581091053131E-2</v>
      </c>
      <c r="CS788" s="179">
        <f t="shared" si="1428"/>
        <v>0.87050000000000005</v>
      </c>
      <c r="CT788" s="180">
        <f t="shared" si="1429"/>
        <v>0.91060168006009956</v>
      </c>
      <c r="CU788" s="180">
        <f t="shared" si="1430"/>
        <v>0.53108168097070152</v>
      </c>
      <c r="CV788" s="180">
        <f t="shared" si="1431"/>
        <v>0.88825329850328805</v>
      </c>
      <c r="CW788" s="180">
        <f t="shared" si="1432"/>
        <v>0.4295627335323573</v>
      </c>
      <c r="CX788" s="181">
        <f>INDEX('State Tax Lookup'!$D$7:$Z$91,MATCH(Calculation!$C788,'State Tax Lookup'!$B$7:$B$91,0),MATCH($H788,'State Tax Lookup'!$D$6:$Z$6,0))</f>
        <v>0.35</v>
      </c>
      <c r="CY788" s="72">
        <v>0.37</v>
      </c>
      <c r="CZ788" s="70">
        <f t="shared" si="1434"/>
        <v>18.558327885608715</v>
      </c>
      <c r="DA788" s="70">
        <v>18.300102035478151</v>
      </c>
      <c r="DB788" s="69">
        <f t="shared" si="1438"/>
        <v>0.12661729786452683</v>
      </c>
      <c r="DC788" s="111">
        <f>VLOOKUP($H788,RoR!$E:$F,2,FALSE)</f>
        <v>5.6316666666666668E-2</v>
      </c>
      <c r="DD788" s="216">
        <f>HLOOKUP($H788,'GDP-PI'!$D$8:$CQ$11,3,FALSE)</f>
        <v>1.9092304698479889E-2</v>
      </c>
      <c r="DE788" s="111">
        <f>VLOOKUP(H788,'HW Dx Data'!$E:$F,2,FALSE)</f>
        <v>569.88120333515076</v>
      </c>
      <c r="DF788" s="72">
        <f t="shared" si="1448"/>
        <v>107.9</v>
      </c>
      <c r="DG788" s="69">
        <f t="shared" si="1449"/>
        <v>3.1778595021460486E-2</v>
      </c>
      <c r="DH788" s="66">
        <f>HLOOKUP(H788,'GDP-PI'!$8:$9,2,FALSE)</f>
        <v>94.263999999999996</v>
      </c>
      <c r="DI788" s="69">
        <f t="shared" si="1439"/>
        <v>1.8912333748032254E-2</v>
      </c>
      <c r="EB788"/>
    </row>
    <row r="789" spans="1:132" s="160" customFormat="1" ht="21">
      <c r="A789" s="160" t="s">
        <v>206</v>
      </c>
      <c r="B789" s="161" t="s">
        <v>206</v>
      </c>
      <c r="C789" s="161">
        <v>4064479</v>
      </c>
      <c r="D789" s="161" t="s">
        <v>177</v>
      </c>
      <c r="E789" s="161"/>
      <c r="F789" s="161"/>
      <c r="G789" s="161" t="s">
        <v>125</v>
      </c>
      <c r="H789" s="162">
        <v>2009</v>
      </c>
      <c r="I789" s="163"/>
      <c r="J789" s="159">
        <f>IFERROR(INDEX('Labor Expenditures'!$F$7:$X$91,MATCH($C789,'Labor Expenditures'!$D$7:$D$91,0),MATCH($G789,'Labor Expenditures'!$F$5:$X$5,0)),"NA")</f>
        <v>2638.3753376151399</v>
      </c>
      <c r="K789" s="159">
        <f t="shared" si="1440"/>
        <v>23.785218279153842</v>
      </c>
      <c r="L789" s="165">
        <f t="shared" si="1446"/>
        <v>4.2617435006328475E-2</v>
      </c>
      <c r="M789" s="76">
        <f t="shared" si="1450"/>
        <v>4.275214649041994E-5</v>
      </c>
      <c r="N789" s="62">
        <f t="shared" si="1456"/>
        <v>117.45872488815715</v>
      </c>
      <c r="O789" s="96">
        <f t="shared" si="1451"/>
        <v>6.4147029152928692E-2</v>
      </c>
      <c r="P789" s="96"/>
      <c r="Q789" s="159">
        <f>IFERROR(INDEX('Non-Labor Expenditures'!$F$7:$AB$91,MATCH($C789,'Non-Labor Expenditures'!$D$7:$D$91,0),MATCH($G789,'Non-Labor Expenditures'!$F$5:$AB$5,0)),"NA")</f>
        <v>3820.86026940589</v>
      </c>
      <c r="R789" s="159">
        <f t="shared" si="1441"/>
        <v>40.220005151695176</v>
      </c>
      <c r="S789" s="165">
        <f t="shared" si="1452"/>
        <v>6.2499851188903027E-2</v>
      </c>
      <c r="T789" s="165">
        <f t="shared" si="1453"/>
        <v>6.2697409951130334E-5</v>
      </c>
      <c r="U789" s="165"/>
      <c r="V789" s="165"/>
      <c r="W789" s="159">
        <f t="shared" si="1421"/>
        <v>2946.0349250891359</v>
      </c>
      <c r="X789" s="163"/>
      <c r="Y789" s="167">
        <v>167.85543604407255</v>
      </c>
      <c r="Z789" s="168">
        <v>1.3360484532215324E-2</v>
      </c>
      <c r="AA789" s="76">
        <f t="shared" si="1442"/>
        <v>1.340271632535934E-5</v>
      </c>
      <c r="AB789" s="168"/>
      <c r="AC789" s="168"/>
      <c r="AD789" s="163">
        <f t="shared" si="1410"/>
        <v>9405.2705321101657</v>
      </c>
      <c r="AE789" s="168">
        <f t="shared" si="1454"/>
        <v>4.0488188289883729E-2</v>
      </c>
      <c r="AF789" s="163"/>
      <c r="AG789" s="163"/>
      <c r="AH789" s="163"/>
      <c r="AI789" s="163"/>
      <c r="AJ789" s="116">
        <f t="shared" si="1455"/>
        <v>202.63428917613197</v>
      </c>
      <c r="AK789" s="114">
        <f>+AV789/$AX$14</f>
        <v>1.3194614811911001E-3</v>
      </c>
      <c r="AL789" s="115">
        <f t="shared" si="1443"/>
        <v>0.28052094074355077</v>
      </c>
      <c r="AM789" s="115">
        <f t="shared" si="1444"/>
        <v>0.40624671628117881</v>
      </c>
      <c r="AN789" s="115">
        <f t="shared" si="1445"/>
        <v>0.31323234297527047</v>
      </c>
      <c r="AO789" s="115">
        <f t="shared" si="1447"/>
        <v>4.111713065792201E-2</v>
      </c>
      <c r="AP789" s="166">
        <f t="shared" si="1458"/>
        <v>105.77245052133364</v>
      </c>
      <c r="AQ789" s="168">
        <f t="shared" si="1459"/>
        <v>4.1117130657921976E-2</v>
      </c>
      <c r="AR789" s="69">
        <f>+AD789/$AF$14</f>
        <v>1.0031609477217825E-3</v>
      </c>
      <c r="AS789" s="169">
        <f t="shared" si="1457"/>
        <v>4.1247099758401369E-5</v>
      </c>
      <c r="AT789" s="115"/>
      <c r="AU789" s="115"/>
      <c r="AV789" s="113">
        <f>IFERROR(INDEX('Total Customers'!$F$7:$AB$91,MATCH($C789,'Total Customers'!$D$7:$D$91,0),MATCH($G789,'Total Customers'!$F$5:$AB$5,0)),"NA")</f>
        <v>46415</v>
      </c>
      <c r="AW789" s="68">
        <f t="shared" si="1422"/>
        <v>-7.3225365091363038E-4</v>
      </c>
      <c r="AX789" s="114"/>
      <c r="AY789" s="114"/>
      <c r="AZ789" s="116"/>
      <c r="BA789" s="116"/>
      <c r="BB789" s="166"/>
      <c r="BC789" s="166"/>
      <c r="BD789" s="166"/>
      <c r="BE789" s="166"/>
      <c r="BF789" s="166"/>
      <c r="BG789" s="166"/>
      <c r="BH789" s="166"/>
      <c r="BI789" s="113"/>
      <c r="BJ789" s="113"/>
      <c r="BK789" s="113">
        <f>INDEX('Dist. Plant Gas Additions'!$F$7:$AE$91,MATCH($C789,'Dist. Plant Gas Additions'!$D$7:$D$91,0),MATCH(Calculation!$G789,'Dist. Plant Gas Additions'!$F$5:$AE$5,0))</f>
        <v>1275</v>
      </c>
      <c r="BL789" s="113">
        <f>INDEX('Gen. Plant Additions'!$F$7:$AE$91,MATCH($C789,'Gen. Plant Additions'!$D$7:$D$91,0),MATCH(Calculation!$G789,'Gen. Plant Additions'!$F$5:$AE$5,0))</f>
        <v>582</v>
      </c>
      <c r="BM789" s="231">
        <f t="shared" si="1423"/>
        <v>0.91139625858106155</v>
      </c>
      <c r="BN789" s="61">
        <f t="shared" si="1415"/>
        <v>530.43262249417785</v>
      </c>
      <c r="BO789" s="113">
        <f>INDEX('Dist Plant Depreciation'!$E$7:$AD$94,MATCH($C789,'Dist Plant Depreciation'!$D$7:$D$94,0),MATCH(Calculation!$G789,'Dist Plant Depreciation'!$E$5:$AD$5,0))</f>
        <v>36604</v>
      </c>
      <c r="BP789" s="113">
        <f>INDEX('Gen. Plant Depreciation'!$E$7:$AD$94,MATCH($C789,'Gen. Plant Depreciation'!$D$7:$D$94,0),MATCH(Calculation!$G789,'Gen. Plant Depreciation'!$E$5:$AD$5,0))</f>
        <v>3336</v>
      </c>
      <c r="BQ789" s="113"/>
      <c r="BR789" s="113"/>
      <c r="BS789" s="113"/>
      <c r="BT789" s="113"/>
      <c r="BU789" s="113"/>
      <c r="BV789" s="113"/>
      <c r="BW789" s="113">
        <f>INDEX('Gross Dx Plant'!$E$7:$AD$91,MATCH($C789,'Gross Dx Plant'!$D$7:$D$91,0),MATCH(Calculation!$G789,'Gross Dx Plant'!$E$5:$AD$5,0))</f>
        <v>59876</v>
      </c>
      <c r="BX789" s="113">
        <f>INDEX('Gross Gen Plant'!$E$7:$AD$91,MATCH($C789,'Gross Gen Plant'!$D$7:$D$91,0),MATCH(Calculation!$G789,'Gross Gen Plant'!$E$5:$AD$5,0))</f>
        <v>5821</v>
      </c>
      <c r="BY789" s="113">
        <f t="shared" si="1460"/>
        <v>25757</v>
      </c>
      <c r="BZ789" s="113"/>
      <c r="CA789" s="116">
        <v>2009</v>
      </c>
      <c r="CB789" s="113"/>
      <c r="CC789" s="113"/>
      <c r="CD789" s="113"/>
      <c r="CE789" s="175"/>
      <c r="CF789" s="113">
        <f t="shared" si="1424"/>
        <v>1857</v>
      </c>
      <c r="CG789" s="113">
        <f t="shared" si="1425"/>
        <v>3.3705990736066798</v>
      </c>
      <c r="CH789" s="178">
        <v>0.93567251461988299</v>
      </c>
      <c r="CI789" s="61">
        <f>+CI778*CH789+CG779*CH788+CG780*CH787+CG781*CH786+CG782*CH785+CG783*CH784+CG784*CH783+CG785*CH782+CG786*CH781+CG787*CH780+CG788*CH779+CG789</f>
        <v>167.85543604407255</v>
      </c>
      <c r="CJ789" s="114">
        <f t="shared" si="1426"/>
        <v>1.3360484532215324E-2</v>
      </c>
      <c r="CK789" s="114"/>
      <c r="CL789" s="169">
        <f t="shared" si="1427"/>
        <v>6.900317923583121E-3</v>
      </c>
      <c r="CM789" s="169">
        <f t="shared" si="1435"/>
        <v>6.67920287224354E-3</v>
      </c>
      <c r="CN789" s="114">
        <f>VLOOKUP($H789,RoR!$E:$F,2,FALSE)</f>
        <v>5.3133333333333324E-2</v>
      </c>
      <c r="CO789" s="169">
        <v>7.7972502758210105E-3</v>
      </c>
      <c r="CP789" s="169">
        <f t="shared" si="1433"/>
        <v>4.5336083057512314E-2</v>
      </c>
      <c r="CQ789" s="169">
        <f t="shared" si="1436"/>
        <v>2.4222738736290085E-2</v>
      </c>
      <c r="CR789" s="169">
        <f t="shared" si="1437"/>
        <v>6.3720160300892073E-2</v>
      </c>
      <c r="CS789" s="179">
        <f t="shared" si="1428"/>
        <v>0.87050000000000005</v>
      </c>
      <c r="CT789" s="180">
        <f t="shared" si="1429"/>
        <v>0.96515780330083989</v>
      </c>
      <c r="CU789" s="180">
        <f t="shared" si="1430"/>
        <v>0.50448557089084056</v>
      </c>
      <c r="CV789" s="180">
        <f t="shared" si="1431"/>
        <v>0.87391435735465484</v>
      </c>
      <c r="CW789" s="180">
        <f t="shared" si="1432"/>
        <v>0.42551605393279146</v>
      </c>
      <c r="CX789" s="181">
        <f>INDEX('State Tax Lookup'!$D$7:$Z$91,MATCH(Calculation!$C789,'State Tax Lookup'!$B$7:$B$91,0),MATCH($H789,'State Tax Lookup'!$D$6:$Z$6,0))</f>
        <v>0.35</v>
      </c>
      <c r="CY789" s="72">
        <v>0.37</v>
      </c>
      <c r="CZ789" s="70">
        <f t="shared" si="1434"/>
        <v>17.787088471974883</v>
      </c>
      <c r="DA789" s="70">
        <v>17.478615056163342</v>
      </c>
      <c r="DB789" s="69">
        <f t="shared" si="1438"/>
        <v>-4.2445803579961791E-2</v>
      </c>
      <c r="DC789" s="111">
        <f>VLOOKUP($H789,RoR!$E:$F,2,FALSE)</f>
        <v>5.3133333333333324E-2</v>
      </c>
      <c r="DD789" s="216">
        <f>HLOOKUP($H789,'GDP-PI'!$D$8:$CQ$11,3,FALSE)</f>
        <v>7.7972502758210105E-3</v>
      </c>
      <c r="DE789" s="111">
        <f>VLOOKUP(H789,'HW Dx Data'!$E:$F,2,FALSE)</f>
        <v>550.94063679692806</v>
      </c>
      <c r="DF789" s="72">
        <f t="shared" si="1448"/>
        <v>110.925</v>
      </c>
      <c r="DG789" s="69">
        <f t="shared" si="1449"/>
        <v>2.7649425000884052E-2</v>
      </c>
      <c r="DH789" s="66">
        <f>HLOOKUP(H789,'GDP-PI'!$8:$9,2,FALSE)</f>
        <v>94.998999999999995</v>
      </c>
      <c r="DI789" s="69">
        <f t="shared" si="1439"/>
        <v>7.7670088183096342E-3</v>
      </c>
      <c r="EB789"/>
    </row>
    <row r="790" spans="1:132" s="160" customFormat="1" ht="21">
      <c r="A790" s="160" t="s">
        <v>206</v>
      </c>
      <c r="B790" s="161" t="s">
        <v>206</v>
      </c>
      <c r="C790" s="161">
        <v>4064479</v>
      </c>
      <c r="D790" s="161" t="s">
        <v>177</v>
      </c>
      <c r="E790" s="161"/>
      <c r="F790" s="161"/>
      <c r="G790" s="161" t="s">
        <v>126</v>
      </c>
      <c r="H790" s="162">
        <v>2010</v>
      </c>
      <c r="I790" s="163"/>
      <c r="J790" s="159">
        <f>IFERROR(INDEX('Labor Expenditures'!$F$7:$X$91,MATCH($C790,'Labor Expenditures'!$D$7:$D$91,0),MATCH($G790,'Labor Expenditures'!$F$5:$X$5,0)),"NA")</f>
        <v>2535.7097869551044</v>
      </c>
      <c r="K790" s="159">
        <f t="shared" si="1440"/>
        <v>21.686634910883939</v>
      </c>
      <c r="L790" s="165">
        <f t="shared" si="1446"/>
        <v>-9.2368138942913944E-2</v>
      </c>
      <c r="M790" s="76">
        <f t="shared" si="1450"/>
        <v>-8.8072311032974786E-5</v>
      </c>
      <c r="N790" s="62">
        <f t="shared" si="1456"/>
        <v>96.40978154564678</v>
      </c>
      <c r="O790" s="96">
        <f t="shared" si="1451"/>
        <v>-0.19747932953942804</v>
      </c>
      <c r="P790" s="96"/>
      <c r="Q790" s="159">
        <f>IFERROR(INDEX('Non-Labor Expenditures'!$F$7:$AB$91,MATCH($C790,'Non-Labor Expenditures'!$D$7:$D$91,0),MATCH($G790,'Non-Labor Expenditures'!$F$5:$AB$5,0)),"NA")</f>
        <v>3672.1813767703243</v>
      </c>
      <c r="R790" s="159">
        <f t="shared" si="1441"/>
        <v>38.208506765967023</v>
      </c>
      <c r="S790" s="165">
        <f t="shared" si="1452"/>
        <v>-5.1306331403087428E-2</v>
      </c>
      <c r="T790" s="165">
        <f t="shared" si="1453"/>
        <v>-4.8920192925899037E-5</v>
      </c>
      <c r="U790" s="165"/>
      <c r="V790" s="165"/>
      <c r="W790" s="159">
        <f t="shared" si="1421"/>
        <v>3058.2149625358206</v>
      </c>
      <c r="X790" s="163"/>
      <c r="Y790" s="167">
        <v>172.64004769650441</v>
      </c>
      <c r="Z790" s="168">
        <v>2.8105668563865642E-2</v>
      </c>
      <c r="AA790" s="76">
        <f t="shared" si="1442"/>
        <v>2.6798539105310974E-5</v>
      </c>
      <c r="AB790" s="168"/>
      <c r="AC790" s="168"/>
      <c r="AD790" s="163">
        <f t="shared" si="1410"/>
        <v>9266.1061262612493</v>
      </c>
      <c r="AE790" s="168">
        <f t="shared" si="1454"/>
        <v>-1.4906986823556833E-2</v>
      </c>
      <c r="AF790" s="163"/>
      <c r="AG790" s="163"/>
      <c r="AH790" s="163"/>
      <c r="AI790" s="163"/>
      <c r="AJ790" s="116">
        <f t="shared" si="1455"/>
        <v>199.2796706581197</v>
      </c>
      <c r="AK790" s="114">
        <f>+AV790/$AX$15</f>
        <v>1.3145887345699517E-3</v>
      </c>
      <c r="AL790" s="115">
        <f t="shared" si="1443"/>
        <v>0.2736543001346165</v>
      </c>
      <c r="AM790" s="115">
        <f t="shared" si="1444"/>
        <v>0.39630253816788524</v>
      </c>
      <c r="AN790" s="115">
        <f t="shared" si="1445"/>
        <v>0.33004316169749826</v>
      </c>
      <c r="AO790" s="115">
        <f t="shared" si="1447"/>
        <v>-3.7142152767317763E-2</v>
      </c>
      <c r="AP790" s="166">
        <f t="shared" si="1458"/>
        <v>101.91589768813081</v>
      </c>
      <c r="AQ790" s="168">
        <f t="shared" si="1459"/>
        <v>-3.714215276731779E-2</v>
      </c>
      <c r="AR790" s="69">
        <f>+AD790/$AF$15</f>
        <v>9.5349231933108351E-4</v>
      </c>
      <c r="AS790" s="169">
        <f t="shared" si="1457"/>
        <v>-3.5414757387059262E-5</v>
      </c>
      <c r="AT790" s="115"/>
      <c r="AU790" s="115"/>
      <c r="AV790" s="113">
        <f>IFERROR(INDEX('Total Customers'!$F$7:$AB$91,MATCH($C790,'Total Customers'!$D$7:$D$91,0),MATCH($G790,'Total Customers'!$F$5:$AB$5,0)),"NA")</f>
        <v>46498</v>
      </c>
      <c r="AW790" s="68">
        <f t="shared" si="1422"/>
        <v>1.7866180637376783E-3</v>
      </c>
      <c r="AX790" s="114"/>
      <c r="AY790" s="114"/>
      <c r="AZ790" s="116"/>
      <c r="BA790" s="116"/>
      <c r="BB790" s="166"/>
      <c r="BC790" s="166"/>
      <c r="BD790" s="166"/>
      <c r="BE790" s="166"/>
      <c r="BF790" s="166"/>
      <c r="BG790" s="166"/>
      <c r="BH790" s="166"/>
      <c r="BI790" s="113"/>
      <c r="BJ790" s="113"/>
      <c r="BK790" s="113">
        <f>INDEX('Dist. Plant Gas Additions'!$F$7:$AE$91,MATCH($C790,'Dist. Plant Gas Additions'!$D$7:$D$91,0),MATCH(Calculation!$G790,'Dist. Plant Gas Additions'!$F$5:$AE$5,0))</f>
        <v>2532</v>
      </c>
      <c r="BL790" s="113">
        <f>INDEX('Gen. Plant Additions'!$F$7:$AE$91,MATCH($C790,'Gen. Plant Additions'!$D$7:$D$91,0),MATCH(Calculation!$G790,'Gen. Plant Additions'!$F$5:$AE$5,0))</f>
        <v>873</v>
      </c>
      <c r="BM790" s="231">
        <f t="shared" si="1423"/>
        <v>0.90604778315810908</v>
      </c>
      <c r="BN790" s="61">
        <f t="shared" si="1415"/>
        <v>790.97971469702918</v>
      </c>
      <c r="BO790" s="113">
        <f>INDEX('Dist Plant Depreciation'!$E$7:$AD$94,MATCH($C790,'Dist Plant Depreciation'!$D$7:$D$94,0),MATCH(Calculation!$G790,'Dist Plant Depreciation'!$E$5:$AD$5,0))</f>
        <v>38231</v>
      </c>
      <c r="BP790" s="113">
        <f>INDEX('Gen. Plant Depreciation'!$E$7:$AD$94,MATCH($C790,'Gen. Plant Depreciation'!$D$7:$D$94,0),MATCH(Calculation!$G790,'Gen. Plant Depreciation'!$E$5:$AD$5,0))</f>
        <v>3705</v>
      </c>
      <c r="BQ790" s="113"/>
      <c r="BR790" s="113"/>
      <c r="BS790" s="113"/>
      <c r="BT790" s="113"/>
      <c r="BU790" s="113"/>
      <c r="BV790" s="113"/>
      <c r="BW790" s="113">
        <f>INDEX('Gross Dx Plant'!$E$7:$AD$91,MATCH($C790,'Gross Dx Plant'!$D$7:$D$91,0),MATCH(Calculation!$G790,'Gross Dx Plant'!$E$5:$AD$5,0))</f>
        <v>62308</v>
      </c>
      <c r="BX790" s="113">
        <f>INDEX('Gross Gen Plant'!$E$7:$AD$91,MATCH($C790,'Gross Gen Plant'!$D$7:$D$91,0),MATCH(Calculation!$G790,'Gross Gen Plant'!$E$5:$AD$5,0))</f>
        <v>6461</v>
      </c>
      <c r="BY790" s="113">
        <f t="shared" si="1460"/>
        <v>26833</v>
      </c>
      <c r="BZ790" s="113"/>
      <c r="CA790" s="116">
        <v>2010</v>
      </c>
      <c r="CB790" s="113"/>
      <c r="CC790" s="113"/>
      <c r="CD790" s="113"/>
      <c r="CE790" s="175"/>
      <c r="CF790" s="113">
        <f t="shared" si="1424"/>
        <v>3405</v>
      </c>
      <c r="CG790" s="113">
        <f t="shared" si="1425"/>
        <v>5.9842931798618428</v>
      </c>
      <c r="CH790" s="178">
        <v>0.9285714285714286</v>
      </c>
      <c r="CI790" s="61">
        <f>+CI778*CH790+CG779*CH789+CG780*CH788+CG781*CH787+CG782*CH786+CG783*CH785+CG784*CH784+CG785*CH783+CG786*CH782+CG787*CH781+CG788*CH780+CG789*CH779+CG790</f>
        <v>172.64004769650441</v>
      </c>
      <c r="CJ790" s="114">
        <f t="shared" si="1426"/>
        <v>2.8105668563865642E-2</v>
      </c>
      <c r="CK790" s="114"/>
      <c r="CL790" s="169">
        <f t="shared" si="1427"/>
        <v>7.1471115604202912E-3</v>
      </c>
      <c r="CM790" s="169">
        <f t="shared" si="1435"/>
        <v>6.9080574746412451E-3</v>
      </c>
      <c r="CN790" s="114">
        <f>VLOOKUP($H790,RoR!$E:$F,2,FALSE)</f>
        <v>4.9433333333333322E-2</v>
      </c>
      <c r="CO790" s="169">
        <v>1.1684333519300205E-2</v>
      </c>
      <c r="CP790" s="169">
        <f t="shared" si="1433"/>
        <v>3.7748999814033117E-2</v>
      </c>
      <c r="CQ790" s="169">
        <f t="shared" si="1436"/>
        <v>2.399388413389238E-2</v>
      </c>
      <c r="CR790" s="169">
        <f t="shared" si="1437"/>
        <v>4.7937530248493419E-2</v>
      </c>
      <c r="CS790" s="179">
        <f t="shared" si="1428"/>
        <v>0.87050000000000005</v>
      </c>
      <c r="CT790" s="180">
        <f t="shared" si="1429"/>
        <v>1.037398205301105</v>
      </c>
      <c r="CU790" s="180">
        <f t="shared" si="1430"/>
        <v>0.46926837491571133</v>
      </c>
      <c r="CV790" s="180">
        <f t="shared" si="1431"/>
        <v>0.8548537519972772</v>
      </c>
      <c r="CW790" s="180">
        <f t="shared" si="1432"/>
        <v>0.41615833911547367</v>
      </c>
      <c r="CX790" s="181">
        <f>INDEX('State Tax Lookup'!$D$7:$Z$91,MATCH(Calculation!$C790,'State Tax Lookup'!$B$7:$B$91,0),MATCH($H790,'State Tax Lookup'!$D$6:$Z$6,0))</f>
        <v>0.35</v>
      </c>
      <c r="CY790" s="72">
        <v>0.37</v>
      </c>
      <c r="CZ790" s="70">
        <f t="shared" si="1434"/>
        <v>18.219338227049423</v>
      </c>
      <c r="DA790" s="70">
        <v>17.956102603965455</v>
      </c>
      <c r="DB790" s="69">
        <f t="shared" si="1438"/>
        <v>2.4010742585186349E-2</v>
      </c>
      <c r="DC790" s="111">
        <f>VLOOKUP($H790,RoR!$E:$F,2,FALSE)</f>
        <v>4.9433333333333322E-2</v>
      </c>
      <c r="DD790" s="216">
        <f>HLOOKUP($H790,'GDP-PI'!$D$8:$CQ$11,3,FALSE)</f>
        <v>1.1684333519300205E-2</v>
      </c>
      <c r="DE790" s="111">
        <f>VLOOKUP(H790,'HW Dx Data'!$E:$F,2,FALSE)</f>
        <v>568.98950262971744</v>
      </c>
      <c r="DF790" s="72">
        <f t="shared" si="1448"/>
        <v>116.925</v>
      </c>
      <c r="DG790" s="69">
        <f t="shared" si="1449"/>
        <v>5.2678406346976722E-2</v>
      </c>
      <c r="DH790" s="66">
        <f>HLOOKUP(H790,'GDP-PI'!$8:$9,2,FALSE)</f>
        <v>96.108999999999995</v>
      </c>
      <c r="DI790" s="69">
        <f t="shared" si="1439"/>
        <v>1.1616598807150427E-2</v>
      </c>
      <c r="EB790"/>
    </row>
    <row r="791" spans="1:132" s="160" customFormat="1" ht="21">
      <c r="A791" s="160" t="s">
        <v>206</v>
      </c>
      <c r="B791" s="161" t="s">
        <v>206</v>
      </c>
      <c r="C791" s="161">
        <v>4064479</v>
      </c>
      <c r="D791" s="161" t="s">
        <v>177</v>
      </c>
      <c r="E791" s="161"/>
      <c r="F791" s="161"/>
      <c r="G791" s="161" t="s">
        <v>127</v>
      </c>
      <c r="H791" s="162">
        <v>2011</v>
      </c>
      <c r="I791" s="163"/>
      <c r="J791" s="159">
        <f>IFERROR(INDEX('Labor Expenditures'!$F$7:$X$91,MATCH($C791,'Labor Expenditures'!$D$7:$D$91,0),MATCH($G791,'Labor Expenditures'!$F$5:$X$5,0)),"NA")</f>
        <v>2493.6866904985886</v>
      </c>
      <c r="K791" s="159">
        <f t="shared" si="1440"/>
        <v>20.630293199574673</v>
      </c>
      <c r="L791" s="165">
        <f t="shared" si="1446"/>
        <v>-4.9935628802457839E-2</v>
      </c>
      <c r="M791" s="76">
        <f t="shared" si="1450"/>
        <v>-4.6283452424430782E-5</v>
      </c>
      <c r="N791" s="62">
        <f t="shared" si="1456"/>
        <v>115.61294549347205</v>
      </c>
      <c r="O791" s="96">
        <f t="shared" si="1451"/>
        <v>0.18164027042126935</v>
      </c>
      <c r="P791" s="96"/>
      <c r="Q791" s="159">
        <f>IFERROR(INDEX('Non-Labor Expenditures'!$F$7:$AB$91,MATCH($C791,'Non-Labor Expenditures'!$D$7:$D$91,0),MATCH($G791,'Non-Labor Expenditures'!$F$5:$AB$5,0)),"NA")</f>
        <v>3611.3240842695345</v>
      </c>
      <c r="R791" s="159">
        <f t="shared" si="1441"/>
        <v>36.808179267261238</v>
      </c>
      <c r="S791" s="165">
        <f t="shared" si="1452"/>
        <v>-3.7338097853798775E-2</v>
      </c>
      <c r="T791" s="165">
        <f t="shared" si="1453"/>
        <v>-3.4607275748372625E-5</v>
      </c>
      <c r="U791" s="165"/>
      <c r="V791" s="165"/>
      <c r="W791" s="159">
        <f t="shared" si="1421"/>
        <v>3354.5613361784622</v>
      </c>
      <c r="X791" s="163"/>
      <c r="Y791" s="167">
        <v>178.29715266620622</v>
      </c>
      <c r="Z791" s="168">
        <v>3.2242777611901176E-2</v>
      </c>
      <c r="AA791" s="76">
        <f t="shared" si="1442"/>
        <v>2.9884615442320784E-5</v>
      </c>
      <c r="AB791" s="168"/>
      <c r="AC791" s="168"/>
      <c r="AD791" s="163">
        <f t="shared" si="1410"/>
        <v>9459.5721109465849</v>
      </c>
      <c r="AE791" s="168">
        <f t="shared" si="1454"/>
        <v>2.0663910412739107E-2</v>
      </c>
      <c r="AF791" s="163"/>
      <c r="AG791" s="163"/>
      <c r="AH791" s="163"/>
      <c r="AI791" s="163"/>
      <c r="AJ791" s="116">
        <f t="shared" si="1455"/>
        <v>201.16476928688721</v>
      </c>
      <c r="AK791" s="114">
        <f>+AV791/$AX$16</f>
        <v>1.3230451455111915E-3</v>
      </c>
      <c r="AL791" s="115">
        <f t="shared" si="1443"/>
        <v>0.26361516792212014</v>
      </c>
      <c r="AM791" s="115">
        <f t="shared" si="1444"/>
        <v>0.38176399967293684</v>
      </c>
      <c r="AN791" s="115">
        <f t="shared" si="1445"/>
        <v>0.35462083240494302</v>
      </c>
      <c r="AO791" s="115">
        <f t="shared" si="1447"/>
        <v>-1.6902472174860596E-2</v>
      </c>
      <c r="AP791" s="166">
        <f t="shared" si="1458"/>
        <v>100.20774374273641</v>
      </c>
      <c r="AQ791" s="168">
        <f t="shared" si="1459"/>
        <v>-1.6902472174860645E-2</v>
      </c>
      <c r="AR791" s="69">
        <f>+AD791/$AF$16</f>
        <v>9.2686231322980166E-4</v>
      </c>
      <c r="AS791" s="169">
        <f t="shared" si="1457"/>
        <v>-1.5666264459293693E-5</v>
      </c>
      <c r="AT791" s="115"/>
      <c r="AU791" s="115"/>
      <c r="AV791" s="113">
        <f>IFERROR(INDEX('Total Customers'!$F$7:$AB$91,MATCH($C791,'Total Customers'!$D$7:$D$91,0),MATCH($G791,'Total Customers'!$F$5:$AB$5,0)),"NA")</f>
        <v>47024</v>
      </c>
      <c r="AW791" s="68">
        <f t="shared" si="1422"/>
        <v>1.1248808760927986E-2</v>
      </c>
      <c r="AX791" s="114"/>
      <c r="AY791" s="114"/>
      <c r="AZ791" s="116"/>
      <c r="BA791" s="116"/>
      <c r="BB791" s="166"/>
      <c r="BC791" s="166"/>
      <c r="BD791" s="166"/>
      <c r="BE791" s="166"/>
      <c r="BF791" s="166"/>
      <c r="BG791" s="166"/>
      <c r="BH791" s="166"/>
      <c r="BI791" s="113"/>
      <c r="BJ791" s="113"/>
      <c r="BK791" s="113">
        <f>INDEX('Dist. Plant Gas Additions'!$F$7:$AE$91,MATCH($C791,'Dist. Plant Gas Additions'!$D$7:$D$91,0),MATCH(Calculation!$G791,'Dist. Plant Gas Additions'!$F$5:$AE$5,0))</f>
        <v>2196</v>
      </c>
      <c r="BL791" s="113">
        <f>INDEX('Gen. Plant Additions'!$F$7:$AE$91,MATCH($C791,'Gen. Plant Additions'!$D$7:$D$91,0),MATCH(Calculation!$G791,'Gen. Plant Additions'!$F$5:$AE$5,0))</f>
        <v>2042</v>
      </c>
      <c r="BM791" s="231">
        <f t="shared" si="1423"/>
        <v>0.88781940786298386</v>
      </c>
      <c r="BN791" s="61">
        <f t="shared" si="1415"/>
        <v>1812.9272308562131</v>
      </c>
      <c r="BO791" s="113">
        <f>INDEX('Dist Plant Depreciation'!$E$7:$AD$94,MATCH($C791,'Dist Plant Depreciation'!$D$7:$D$94,0),MATCH(Calculation!$G791,'Dist Plant Depreciation'!$E$5:$AD$5,0))</f>
        <v>39886</v>
      </c>
      <c r="BP791" s="113">
        <f>INDEX('Gen. Plant Depreciation'!$E$7:$AD$94,MATCH($C791,'Gen. Plant Depreciation'!$D$7:$D$94,0),MATCH(Calculation!$G791,'Gen. Plant Depreciation'!$E$5:$AD$5,0))</f>
        <v>4021</v>
      </c>
      <c r="BQ791" s="113"/>
      <c r="BR791" s="113"/>
      <c r="BS791" s="113"/>
      <c r="BT791" s="113"/>
      <c r="BU791" s="113"/>
      <c r="BV791" s="113"/>
      <c r="BW791" s="113">
        <f>INDEX('Gross Dx Plant'!$E$7:$AD$91,MATCH($C791,'Gross Dx Plant'!$D$7:$D$91,0),MATCH(Calculation!$G791,'Gross Dx Plant'!$E$5:$AD$5,0))</f>
        <v>64382</v>
      </c>
      <c r="BX791" s="113">
        <f>INDEX('Gross Gen Plant'!$E$7:$AD$91,MATCH($C791,'Gross Gen Plant'!$D$7:$D$91,0),MATCH(Calculation!$G791,'Gross Gen Plant'!$E$5:$AD$5,0))</f>
        <v>8135</v>
      </c>
      <c r="BY791" s="113">
        <f t="shared" si="1460"/>
        <v>28610</v>
      </c>
      <c r="BZ791" s="113"/>
      <c r="CA791" s="116">
        <v>2011</v>
      </c>
      <c r="CB791" s="113"/>
      <c r="CC791" s="113"/>
      <c r="CD791" s="113"/>
      <c r="CE791" s="175"/>
      <c r="CF791" s="113">
        <f t="shared" si="1424"/>
        <v>4238</v>
      </c>
      <c r="CG791" s="113">
        <f t="shared" si="1425"/>
        <v>6.9292398827716291</v>
      </c>
      <c r="CH791" s="178">
        <v>0.92121212121212126</v>
      </c>
      <c r="CI791" s="61">
        <f>+CI778*CH791+CG779*CH790+CG780*CH789+CG781*CH788+CG782*CH787+CG783*CH786+CG784*CH785+CG785*CH784+CG786*CH783+CG787*CH782+CG788*CH781+CG789*CH780+CG790*CH779+CG791</f>
        <v>178.29715266620622</v>
      </c>
      <c r="CJ791" s="114">
        <f t="shared" si="1426"/>
        <v>3.2242777611901176E-2</v>
      </c>
      <c r="CK791" s="114"/>
      <c r="CL791" s="169">
        <f t="shared" si="1427"/>
        <v>7.3687127062557088E-3</v>
      </c>
      <c r="CM791" s="169">
        <f t="shared" si="1435"/>
        <v>7.138714063419707E-3</v>
      </c>
      <c r="CN791" s="114">
        <f>VLOOKUP($H791,RoR!$E:$F,2,FALSE)</f>
        <v>4.6391666666666664E-2</v>
      </c>
      <c r="CO791" s="169">
        <v>2.0840920205183799E-2</v>
      </c>
      <c r="CP791" s="169">
        <f t="shared" si="1433"/>
        <v>2.5550746461482865E-2</v>
      </c>
      <c r="CQ791" s="169">
        <f t="shared" si="1436"/>
        <v>2.3763227545113917E-2</v>
      </c>
      <c r="CR791" s="169">
        <f t="shared" si="1437"/>
        <v>2.4810540821321614E-2</v>
      </c>
      <c r="CS791" s="179">
        <f t="shared" si="1428"/>
        <v>0.87050000000000005</v>
      </c>
      <c r="CT791" s="180">
        <f t="shared" si="1429"/>
        <v>1.1054151524782025</v>
      </c>
      <c r="CU791" s="180">
        <f t="shared" si="1430"/>
        <v>0.43611011316687626</v>
      </c>
      <c r="CV791" s="180">
        <f t="shared" si="1431"/>
        <v>0.83698442246886229</v>
      </c>
      <c r="CW791" s="180">
        <f t="shared" si="1432"/>
        <v>0.40349573304423936</v>
      </c>
      <c r="CX791" s="181">
        <f>INDEX('State Tax Lookup'!$D$7:$Z$91,MATCH(Calculation!$C791,'State Tax Lookup'!$B$7:$B$91,0),MATCH($H791,'State Tax Lookup'!$D$6:$Z$6,0))</f>
        <v>0.35</v>
      </c>
      <c r="CY791" s="72">
        <v>0.37</v>
      </c>
      <c r="CZ791" s="70">
        <f t="shared" si="1434"/>
        <v>19.430956958930363</v>
      </c>
      <c r="DA791" s="70">
        <v>19.146574949201604</v>
      </c>
      <c r="DB791" s="69">
        <f t="shared" si="1438"/>
        <v>6.4383943859650447E-2</v>
      </c>
      <c r="DC791" s="111">
        <f>VLOOKUP($H791,RoR!$E:$F,2,FALSE)</f>
        <v>4.6391666666666664E-2</v>
      </c>
      <c r="DD791" s="216">
        <f>HLOOKUP($H791,'GDP-PI'!$D$8:$CQ$11,3,FALSE)</f>
        <v>2.0840920205183799E-2</v>
      </c>
      <c r="DE791" s="111">
        <f>VLOOKUP(H791,'HW Dx Data'!$E:$F,2,FALSE)</f>
        <v>611.61109612283201</v>
      </c>
      <c r="DF791" s="72">
        <f t="shared" si="1448"/>
        <v>120.875</v>
      </c>
      <c r="DG791" s="69">
        <f t="shared" si="1449"/>
        <v>3.3224250161508609E-2</v>
      </c>
      <c r="DH791" s="66">
        <f>HLOOKUP(H791,'GDP-PI'!$8:$9,2,FALSE)</f>
        <v>98.111999999999995</v>
      </c>
      <c r="DI791" s="69">
        <f t="shared" si="1439"/>
        <v>2.0626719212849295E-2</v>
      </c>
      <c r="EB791"/>
    </row>
    <row r="792" spans="1:132" s="160" customFormat="1" ht="21">
      <c r="A792" s="160" t="s">
        <v>206</v>
      </c>
      <c r="B792" s="161" t="s">
        <v>206</v>
      </c>
      <c r="C792" s="161">
        <v>4064479</v>
      </c>
      <c r="D792" s="161" t="s">
        <v>177</v>
      </c>
      <c r="E792" s="161"/>
      <c r="F792" s="161"/>
      <c r="G792" s="161" t="s">
        <v>128</v>
      </c>
      <c r="H792" s="162">
        <v>2012</v>
      </c>
      <c r="I792" s="163"/>
      <c r="J792" s="159">
        <f>IFERROR(INDEX('Labor Expenditures'!$F$7:$X$91,MATCH($C792,'Labor Expenditures'!$D$7:$D$91,0),MATCH($G792,'Labor Expenditures'!$F$5:$X$5,0)),"NA")</f>
        <v>2499.4769650877074</v>
      </c>
      <c r="K792" s="159">
        <f t="shared" si="1440"/>
        <v>20.027860297177142</v>
      </c>
      <c r="L792" s="165">
        <f t="shared" si="1446"/>
        <v>-2.9636220205963359E-2</v>
      </c>
      <c r="M792" s="76">
        <f t="shared" si="1450"/>
        <v>-2.7331121669353862E-5</v>
      </c>
      <c r="N792" s="62">
        <f t="shared" si="1456"/>
        <v>115.59791157879252</v>
      </c>
      <c r="O792" s="96">
        <f t="shared" si="1451"/>
        <v>-1.3004505836010502E-4</v>
      </c>
      <c r="P792" s="96"/>
      <c r="Q792" s="159">
        <f>IFERROR(INDEX('Non-Labor Expenditures'!$F$7:$AB$91,MATCH($C792,'Non-Labor Expenditures'!$D$7:$D$91,0),MATCH($G792,'Non-Labor Expenditures'!$F$5:$AB$5,0)),"NA")</f>
        <v>3619.709483348694</v>
      </c>
      <c r="R792" s="159">
        <f t="shared" si="1441"/>
        <v>36.197094833486943</v>
      </c>
      <c r="S792" s="165">
        <f t="shared" si="1452"/>
        <v>-1.6741220782836803E-2</v>
      </c>
      <c r="T792" s="165">
        <f t="shared" si="1453"/>
        <v>-1.5439092398738467E-5</v>
      </c>
      <c r="U792" s="165"/>
      <c r="V792" s="165"/>
      <c r="W792" s="159">
        <f t="shared" si="1421"/>
        <v>3743.0667772553757</v>
      </c>
      <c r="X792" s="163"/>
      <c r="Y792" s="167">
        <v>180.94063471455479</v>
      </c>
      <c r="Z792" s="168">
        <v>1.4717437065583823E-2</v>
      </c>
      <c r="AA792" s="76">
        <f t="shared" si="1442"/>
        <v>1.357271812346673E-5</v>
      </c>
      <c r="AB792" s="168"/>
      <c r="AC792" s="168"/>
      <c r="AD792" s="163">
        <f t="shared" si="1410"/>
        <v>9862.2532256917766</v>
      </c>
      <c r="AE792" s="168">
        <f t="shared" si="1454"/>
        <v>4.1687513743010329E-2</v>
      </c>
      <c r="AF792" s="163"/>
      <c r="AG792" s="163"/>
      <c r="AH792" s="163"/>
      <c r="AI792" s="163"/>
      <c r="AJ792" s="116">
        <f t="shared" si="1455"/>
        <v>207.48223814385327</v>
      </c>
      <c r="AK792" s="114">
        <f>+AV792/$AX$17</f>
        <v>1.3309570450015134E-3</v>
      </c>
      <c r="AL792" s="115">
        <f t="shared" si="1443"/>
        <v>0.25343873330857253</v>
      </c>
      <c r="AM792" s="115">
        <f t="shared" si="1444"/>
        <v>0.36702662165671512</v>
      </c>
      <c r="AN792" s="115">
        <f t="shared" si="1445"/>
        <v>0.3795346450347124</v>
      </c>
      <c r="AO792" s="115">
        <f t="shared" si="1447"/>
        <v>-8.527152675725359E-3</v>
      </c>
      <c r="AP792" s="166">
        <f t="shared" si="1458"/>
        <v>99.356889848706402</v>
      </c>
      <c r="AQ792" s="168">
        <f t="shared" si="1459"/>
        <v>-8.5271526757254665E-3</v>
      </c>
      <c r="AR792" s="69">
        <f>+AD792/$AF$17</f>
        <v>9.2222022509653014E-4</v>
      </c>
      <c r="AS792" s="169">
        <f t="shared" si="1457"/>
        <v>-7.8639126600400197E-6</v>
      </c>
      <c r="AT792" s="115"/>
      <c r="AU792" s="115"/>
      <c r="AV792" s="113">
        <f>IFERROR(INDEX('Total Customers'!$F$7:$AB$91,MATCH($C792,'Total Customers'!$D$7:$D$91,0),MATCH($G792,'Total Customers'!$F$5:$AB$5,0)),"NA")</f>
        <v>47533</v>
      </c>
      <c r="AW792" s="68">
        <f t="shared" si="1422"/>
        <v>1.0766096988214822E-2</v>
      </c>
      <c r="AX792" s="114"/>
      <c r="AY792" s="114"/>
      <c r="AZ792" s="116"/>
      <c r="BA792" s="116"/>
      <c r="BB792" s="166"/>
      <c r="BC792" s="166"/>
      <c r="BD792" s="166"/>
      <c r="BE792" s="166"/>
      <c r="BF792" s="166"/>
      <c r="BG792" s="166"/>
      <c r="BH792" s="166"/>
      <c r="BI792" s="113"/>
      <c r="BJ792" s="113"/>
      <c r="BK792" s="113">
        <f>INDEX('Dist. Plant Gas Additions'!$F$7:$AE$91,MATCH($C792,'Dist. Plant Gas Additions'!$D$7:$D$91,0),MATCH(Calculation!$G792,'Dist. Plant Gas Additions'!$F$5:$AE$5,0))</f>
        <v>2057</v>
      </c>
      <c r="BL792" s="113">
        <f>INDEX('Gen. Plant Additions'!$F$7:$AE$91,MATCH($C792,'Gen. Plant Additions'!$D$7:$D$91,0),MATCH(Calculation!$G792,'Gen. Plant Additions'!$F$5:$AE$5,0))</f>
        <v>616</v>
      </c>
      <c r="BM792" s="231">
        <f t="shared" si="1423"/>
        <v>0.88671623362679841</v>
      </c>
      <c r="BN792" s="61">
        <f t="shared" si="1415"/>
        <v>546.21719991410782</v>
      </c>
      <c r="BO792" s="113">
        <f>INDEX('Dist Plant Depreciation'!$E$7:$AD$94,MATCH($C792,'Dist Plant Depreciation'!$D$7:$D$94,0),MATCH(Calculation!$G792,'Dist Plant Depreciation'!$E$5:$AD$5,0))</f>
        <v>41400</v>
      </c>
      <c r="BP792" s="113">
        <f>INDEX('Gen. Plant Depreciation'!$E$7:$AD$94,MATCH($C792,'Gen. Plant Depreciation'!$D$7:$D$94,0),MATCH(Calculation!$G792,'Gen. Plant Depreciation'!$E$5:$AD$5,0))</f>
        <v>4508</v>
      </c>
      <c r="BQ792" s="113"/>
      <c r="BR792" s="113"/>
      <c r="BS792" s="113"/>
      <c r="BT792" s="113"/>
      <c r="BU792" s="113"/>
      <c r="BV792" s="113"/>
      <c r="BW792" s="113">
        <f>INDEX('Gross Dx Plant'!$E$7:$AD$91,MATCH($C792,'Gross Dx Plant'!$D$7:$D$91,0),MATCH(Calculation!$G792,'Gross Dx Plant'!$E$5:$AD$5,0))</f>
        <v>66071</v>
      </c>
      <c r="BX792" s="113">
        <f>INDEX('Gross Gen Plant'!$E$7:$AD$91,MATCH($C792,'Gross Gen Plant'!$D$7:$D$91,0),MATCH(Calculation!$G792,'Gross Gen Plant'!$E$5:$AD$5,0))</f>
        <v>8441</v>
      </c>
      <c r="BY792" s="113">
        <f t="shared" si="1460"/>
        <v>28604</v>
      </c>
      <c r="BZ792" s="113"/>
      <c r="CA792" s="116">
        <v>2012</v>
      </c>
      <c r="CB792" s="113"/>
      <c r="CC792" s="113"/>
      <c r="CD792" s="113"/>
      <c r="CE792" s="175"/>
      <c r="CF792" s="113">
        <f t="shared" si="1424"/>
        <v>2673</v>
      </c>
      <c r="CG792" s="113">
        <f t="shared" si="1425"/>
        <v>3.9959975913955796</v>
      </c>
      <c r="CH792" s="178">
        <v>0.9135802469135802</v>
      </c>
      <c r="CI792" s="61">
        <f>+CI778*CH792+CG779*CH791+CG780*CH790+CG781*CH789+CG782*CH788+CG783*CH787+CG784*CH786+CG785*CH785+CG786*CH784+CG787*CH783+CG788*CH782+CG789*CH781+CG790*CH780+CG791*CH779+CG792</f>
        <v>180.94063471455479</v>
      </c>
      <c r="CJ792" s="114">
        <f t="shared" si="1426"/>
        <v>1.4717437065583823E-2</v>
      </c>
      <c r="CK792" s="114"/>
      <c r="CL792" s="169">
        <f t="shared" si="1427"/>
        <v>7.5857383184300105E-3</v>
      </c>
      <c r="CM792" s="169">
        <f t="shared" si="1435"/>
        <v>7.3671875283686699E-3</v>
      </c>
      <c r="CN792" s="114">
        <f>VLOOKUP($H792,RoR!$E:$F,2,FALSE)</f>
        <v>3.6733333333333333E-2</v>
      </c>
      <c r="CO792" s="169">
        <v>1.924331376386168E-2</v>
      </c>
      <c r="CP792" s="169">
        <f t="shared" si="1433"/>
        <v>1.7490019569471653E-2</v>
      </c>
      <c r="CQ792" s="169">
        <f t="shared" si="1436"/>
        <v>2.3534754080164956E-2</v>
      </c>
      <c r="CR792" s="169">
        <f t="shared" si="1437"/>
        <v>6.7122682943869583E-2</v>
      </c>
      <c r="CS792" s="179">
        <f t="shared" si="1428"/>
        <v>0.87050000000000005</v>
      </c>
      <c r="CT792" s="180">
        <f t="shared" si="1429"/>
        <v>1.3960631020522127</v>
      </c>
      <c r="CU792" s="180">
        <f t="shared" si="1430"/>
        <v>0.29441923774954631</v>
      </c>
      <c r="CV792" s="180">
        <f t="shared" si="1431"/>
        <v>0.76377954189366437</v>
      </c>
      <c r="CW792" s="180">
        <f t="shared" si="1432"/>
        <v>0.31393465103033691</v>
      </c>
      <c r="CX792" s="181">
        <f>INDEX('State Tax Lookup'!$D$7:$Z$91,MATCH(Calculation!$C792,'State Tax Lookup'!$B$7:$B$91,0),MATCH($H792,'State Tax Lookup'!$D$6:$Z$6,0))</f>
        <v>0.35</v>
      </c>
      <c r="CY792" s="72">
        <v>0.37</v>
      </c>
      <c r="CZ792" s="70">
        <f t="shared" si="1434"/>
        <v>20.99341869055446</v>
      </c>
      <c r="DA792" s="70">
        <v>20.759737328210988</v>
      </c>
      <c r="DB792" s="69">
        <f t="shared" si="1438"/>
        <v>7.7341479122700979E-2</v>
      </c>
      <c r="DC792" s="111">
        <f>VLOOKUP($H792,RoR!$E:$F,2,FALSE)</f>
        <v>3.6733333333333333E-2</v>
      </c>
      <c r="DD792" s="216">
        <f>HLOOKUP($H792,'GDP-PI'!$D$8:$CQ$11,3,FALSE)</f>
        <v>1.924331376386168E-2</v>
      </c>
      <c r="DE792" s="111">
        <f>VLOOKUP(H792,'HW Dx Data'!$E:$F,2,FALSE)</f>
        <v>668.91932211262167</v>
      </c>
      <c r="DF792" s="72">
        <f t="shared" si="1448"/>
        <v>124.80000000000001</v>
      </c>
      <c r="DG792" s="69">
        <f t="shared" si="1449"/>
        <v>3.1955502161869064E-2</v>
      </c>
      <c r="DH792" s="66">
        <f>HLOOKUP(H792,'GDP-PI'!$8:$9,2,FALSE)</f>
        <v>100</v>
      </c>
      <c r="DI792" s="69">
        <f t="shared" si="1439"/>
        <v>1.9060502738742411E-2</v>
      </c>
      <c r="EB792"/>
    </row>
    <row r="793" spans="1:132" s="160" customFormat="1" ht="21">
      <c r="A793" s="160" t="s">
        <v>206</v>
      </c>
      <c r="B793" s="161" t="s">
        <v>206</v>
      </c>
      <c r="C793" s="161">
        <v>4064479</v>
      </c>
      <c r="D793" s="161" t="s">
        <v>177</v>
      </c>
      <c r="E793" s="161"/>
      <c r="F793" s="161"/>
      <c r="G793" s="161" t="s">
        <v>129</v>
      </c>
      <c r="H793" s="162">
        <v>2013</v>
      </c>
      <c r="I793" s="163"/>
      <c r="J793" s="159">
        <f>IFERROR(INDEX('Labor Expenditures'!$F$7:$X$91,MATCH($C793,'Labor Expenditures'!$D$7:$D$91,0),MATCH($G793,'Labor Expenditures'!$F$5:$X$5,0)),"NA")</f>
        <v>2433.7929033673936</v>
      </c>
      <c r="K793" s="159">
        <f t="shared" si="1440"/>
        <v>19.193950342014144</v>
      </c>
      <c r="L793" s="165">
        <f t="shared" si="1446"/>
        <v>-4.252917603758205E-2</v>
      </c>
      <c r="M793" s="76">
        <f t="shared" si="1450"/>
        <v>-3.7155520475025125E-5</v>
      </c>
      <c r="N793" s="62">
        <f t="shared" si="1456"/>
        <v>107.68780200057708</v>
      </c>
      <c r="O793" s="96">
        <f t="shared" si="1451"/>
        <v>-7.0881571447199823E-2</v>
      </c>
      <c r="P793" s="96"/>
      <c r="Q793" s="159">
        <f>IFERROR(INDEX('Non-Labor Expenditures'!$F$7:$AB$91,MATCH($C793,'Non-Labor Expenditures'!$D$7:$D$91,0),MATCH($G793,'Non-Labor Expenditures'!$F$5:$AB$5,0)),"NA")</f>
        <v>3524.5866938872041</v>
      </c>
      <c r="R793" s="159">
        <f t="shared" si="1441"/>
        <v>34.631844338746077</v>
      </c>
      <c r="S793" s="165">
        <f t="shared" si="1452"/>
        <v>-4.4205246986294362E-2</v>
      </c>
      <c r="T793" s="165">
        <f t="shared" si="1453"/>
        <v>-3.8619816148128312E-5</v>
      </c>
      <c r="U793" s="165"/>
      <c r="V793" s="165"/>
      <c r="W793" s="159">
        <f t="shared" si="1421"/>
        <v>3731.4519909755227</v>
      </c>
      <c r="X793" s="163"/>
      <c r="Y793" s="167">
        <v>183.42527982354184</v>
      </c>
      <c r="Z793" s="168">
        <v>1.3638397681827468E-2</v>
      </c>
      <c r="AA793" s="76">
        <f t="shared" si="1442"/>
        <v>1.1915155935912788E-5</v>
      </c>
      <c r="AB793" s="168"/>
      <c r="AC793" s="168"/>
      <c r="AD793" s="163">
        <f t="shared" si="1410"/>
        <v>9689.8315882301213</v>
      </c>
      <c r="AE793" s="168">
        <f t="shared" si="1454"/>
        <v>-1.7637618586801431E-2</v>
      </c>
      <c r="AF793" s="163"/>
      <c r="AG793" s="163"/>
      <c r="AH793" s="163"/>
      <c r="AI793" s="163"/>
      <c r="AJ793" s="116">
        <f t="shared" si="1455"/>
        <v>199.20300121764944</v>
      </c>
      <c r="AK793" s="114">
        <f>+AV793/$AX$18</f>
        <v>1.3533571091047939E-3</v>
      </c>
      <c r="AL793" s="115">
        <f t="shared" si="1443"/>
        <v>0.251169783623859</v>
      </c>
      <c r="AM793" s="115">
        <f t="shared" si="1444"/>
        <v>0.36374075873190498</v>
      </c>
      <c r="AN793" s="115">
        <f t="shared" si="1445"/>
        <v>0.38508945764423591</v>
      </c>
      <c r="AO793" s="115">
        <f t="shared" si="1447"/>
        <v>-2.1668044698421436E-2</v>
      </c>
      <c r="AP793" s="166">
        <f t="shared" si="1458"/>
        <v>97.227177000069702</v>
      </c>
      <c r="AQ793" s="168">
        <f t="shared" si="1459"/>
        <v>-2.1668044698421412E-2</v>
      </c>
      <c r="AR793" s="69">
        <f>+AD793/$AF$18</f>
        <v>8.7364778575046108E-4</v>
      </c>
      <c r="AS793" s="169">
        <f t="shared" si="1457"/>
        <v>-1.8930239272317884E-5</v>
      </c>
      <c r="AT793" s="115"/>
      <c r="AU793" s="115"/>
      <c r="AV793" s="113">
        <f>IFERROR(INDEX('Total Customers'!$F$7:$AB$91,MATCH($C793,'Total Customers'!$D$7:$D$91,0),MATCH($G793,'Total Customers'!$F$5:$AB$5,0)),"NA")</f>
        <v>48643</v>
      </c>
      <c r="AW793" s="68">
        <f t="shared" si="1422"/>
        <v>2.3083706722727255E-2</v>
      </c>
      <c r="AX793" s="114"/>
      <c r="AY793" s="114"/>
      <c r="AZ793" s="116"/>
      <c r="BA793" s="116"/>
      <c r="BB793" s="166"/>
      <c r="BC793" s="166"/>
      <c r="BD793" s="166"/>
      <c r="BE793" s="166"/>
      <c r="BF793" s="166"/>
      <c r="BG793" s="166"/>
      <c r="BH793" s="166"/>
      <c r="BI793" s="113"/>
      <c r="BJ793" s="113"/>
      <c r="BK793" s="113">
        <f>INDEX('Dist. Plant Gas Additions'!$F$7:$AE$91,MATCH($C793,'Dist. Plant Gas Additions'!$D$7:$D$91,0),MATCH(Calculation!$G793,'Dist. Plant Gas Additions'!$F$5:$AE$5,0))</f>
        <v>2240</v>
      </c>
      <c r="BL793" s="113">
        <f>INDEX('Gen. Plant Additions'!$F$7:$AE$91,MATCH($C793,'Gen. Plant Additions'!$D$7:$D$91,0),MATCH(Calculation!$G793,'Gen. Plant Additions'!$F$5:$AE$5,0))</f>
        <v>351</v>
      </c>
      <c r="BM793" s="231">
        <f t="shared" si="1423"/>
        <v>0.88764529188977404</v>
      </c>
      <c r="BN793" s="61">
        <f t="shared" si="1415"/>
        <v>311.56349745331067</v>
      </c>
      <c r="BO793" s="113">
        <f>INDEX('Dist Plant Depreciation'!$E$7:$AD$94,MATCH($C793,'Dist Plant Depreciation'!$D$7:$D$94,0),MATCH(Calculation!$G793,'Dist Plant Depreciation'!$E$5:$AD$5,0))</f>
        <v>42905</v>
      </c>
      <c r="BP793" s="113">
        <f>INDEX('Gen. Plant Depreciation'!$E$7:$AD$94,MATCH($C793,'Gen. Plant Depreciation'!$D$7:$D$94,0),MATCH(Calculation!$G793,'Gen. Plant Depreciation'!$E$5:$AD$5,0))</f>
        <v>5083</v>
      </c>
      <c r="BQ793" s="113"/>
      <c r="BR793" s="113"/>
      <c r="BS793" s="113"/>
      <c r="BT793" s="113"/>
      <c r="BU793" s="113"/>
      <c r="BV793" s="113"/>
      <c r="BW793" s="113">
        <f>INDEX('Gross Dx Plant'!$E$7:$AD$91,MATCH($C793,'Gross Dx Plant'!$D$7:$D$91,0),MATCH(Calculation!$G793,'Gross Dx Plant'!$E$5:$AD$5,0))</f>
        <v>67967</v>
      </c>
      <c r="BX793" s="113">
        <f>INDEX('Gross Gen Plant'!$E$7:$AD$91,MATCH($C793,'Gross Gen Plant'!$D$7:$D$91,0),MATCH(Calculation!$G793,'Gross Gen Plant'!$E$5:$AD$5,0))</f>
        <v>8603</v>
      </c>
      <c r="BY793" s="113">
        <f t="shared" si="1460"/>
        <v>28582</v>
      </c>
      <c r="BZ793" s="113"/>
      <c r="CA793" s="116">
        <v>2013</v>
      </c>
      <c r="CB793" s="113"/>
      <c r="CC793" s="113"/>
      <c r="CD793" s="113"/>
      <c r="CE793" s="175"/>
      <c r="CF793" s="113">
        <f t="shared" si="1424"/>
        <v>2591</v>
      </c>
      <c r="CG793" s="113">
        <f t="shared" si="1425"/>
        <v>3.9065303113586491</v>
      </c>
      <c r="CH793" s="178">
        <v>0.90566037735849059</v>
      </c>
      <c r="CI793" s="61">
        <f>+CI778*CH793+CG779*CH792+CG780*CH791+CG781*CH790+CG782*CH789+CG783*CH788+CG784*CH787+CG785*CH786+CG786*CH785+CG787*CH784+CG788*CH783+CG789*CH782+CG790*CH781+CG791*CH780+CG792*CH779+CG793</f>
        <v>183.42527982354184</v>
      </c>
      <c r="CJ793" s="114">
        <f t="shared" si="1426"/>
        <v>1.3638397681827468E-2</v>
      </c>
      <c r="CK793" s="114"/>
      <c r="CL793" s="169">
        <f t="shared" si="1427"/>
        <v>7.8582967535993763E-3</v>
      </c>
      <c r="CM793" s="169">
        <f t="shared" si="1435"/>
        <v>7.6042492594283655E-3</v>
      </c>
      <c r="CN793" s="114">
        <f>VLOOKUP($H793,RoR!$E:$F,2,FALSE)</f>
        <v>4.2350000000000006E-2</v>
      </c>
      <c r="CO793" s="169">
        <v>1.7730000000000024E-2</v>
      </c>
      <c r="CP793" s="169">
        <f t="shared" si="1433"/>
        <v>2.4619999999999982E-2</v>
      </c>
      <c r="CQ793" s="169">
        <f t="shared" si="1436"/>
        <v>2.329769234910526E-2</v>
      </c>
      <c r="CR793" s="169">
        <f t="shared" si="1437"/>
        <v>5.3376742735721204E-2</v>
      </c>
      <c r="CS793" s="179">
        <f t="shared" si="1428"/>
        <v>0.87050000000000005</v>
      </c>
      <c r="CT793" s="180">
        <f t="shared" si="1429"/>
        <v>1.2109103018193925</v>
      </c>
      <c r="CU793" s="180">
        <f t="shared" si="1430"/>
        <v>0.38468122786304604</v>
      </c>
      <c r="CV793" s="180">
        <f t="shared" si="1431"/>
        <v>0.80969194503422559</v>
      </c>
      <c r="CW793" s="180">
        <f t="shared" si="1432"/>
        <v>0.37716621754800816</v>
      </c>
      <c r="CX793" s="181">
        <f>INDEX('State Tax Lookup'!$D$7:$Z$91,MATCH(Calculation!$C793,'State Tax Lookup'!$B$7:$B$91,0),MATCH($H793,'State Tax Lookup'!$D$6:$Z$6,0))</f>
        <v>0.35</v>
      </c>
      <c r="CY793" s="72">
        <v>0.37</v>
      </c>
      <c r="CZ793" s="70">
        <f t="shared" si="1434"/>
        <v>20.622520733731935</v>
      </c>
      <c r="DA793" s="70">
        <v>20.339519021246105</v>
      </c>
      <c r="DB793" s="69">
        <f t="shared" si="1438"/>
        <v>-1.7825274770887266E-2</v>
      </c>
      <c r="DC793" s="111">
        <f>VLOOKUP($H793,RoR!$E:$F,2,FALSE)</f>
        <v>4.2350000000000006E-2</v>
      </c>
      <c r="DD793" s="216">
        <f>HLOOKUP($H793,'GDP-PI'!$D$8:$CQ$11,3,FALSE)</f>
        <v>1.7730000000000024E-2</v>
      </c>
      <c r="DE793" s="111">
        <f>VLOOKUP(H793,'HW Dx Data'!$E:$F,2,FALSE)</f>
        <v>663.24840548821396</v>
      </c>
      <c r="DF793" s="72">
        <f t="shared" si="1448"/>
        <v>126.8</v>
      </c>
      <c r="DG793" s="69">
        <f t="shared" si="1449"/>
        <v>1.5898586067798204E-2</v>
      </c>
      <c r="DH793" s="66">
        <f>HLOOKUP(H793,'GDP-PI'!$8:$9,2,FALSE)</f>
        <v>101.773</v>
      </c>
      <c r="DI793" s="69">
        <f t="shared" si="1439"/>
        <v>1.7574657016510519E-2</v>
      </c>
      <c r="EB793"/>
    </row>
    <row r="794" spans="1:132" s="160" customFormat="1" ht="21">
      <c r="A794" s="160" t="s">
        <v>206</v>
      </c>
      <c r="B794" s="161" t="s">
        <v>206</v>
      </c>
      <c r="C794" s="161">
        <v>4064479</v>
      </c>
      <c r="D794" s="161" t="s">
        <v>177</v>
      </c>
      <c r="E794" s="161"/>
      <c r="F794" s="161"/>
      <c r="G794" s="161" t="s">
        <v>130</v>
      </c>
      <c r="H794" s="162">
        <v>2014</v>
      </c>
      <c r="I794" s="163"/>
      <c r="J794" s="159">
        <f>IFERROR(INDEX('Labor Expenditures'!$F$7:$X$91,MATCH($C794,'Labor Expenditures'!$D$7:$D$91,0),MATCH($G794,'Labor Expenditures'!$F$5:$X$5,0)),"NA")</f>
        <v>2504.3902594031438</v>
      </c>
      <c r="K794" s="159">
        <f t="shared" si="1440"/>
        <v>19.353865992296321</v>
      </c>
      <c r="L794" s="165">
        <f t="shared" si="1446"/>
        <v>8.2970493732102794E-3</v>
      </c>
      <c r="M794" s="76">
        <f t="shared" si="1450"/>
        <v>7.2844440820015667E-6</v>
      </c>
      <c r="N794" s="62">
        <f t="shared" si="1456"/>
        <v>119.67255103701906</v>
      </c>
      <c r="O794" s="96">
        <f t="shared" si="1451"/>
        <v>0.10552295292203159</v>
      </c>
      <c r="P794" s="96"/>
      <c r="Q794" s="159">
        <f>IFERROR(INDEX('Non-Labor Expenditures'!$F$7:$AB$91,MATCH($C794,'Non-Labor Expenditures'!$D$7:$D$91,0),MATCH($G794,'Non-Labor Expenditures'!$F$5:$AB$5,0)),"NA")</f>
        <v>3626.8248511942397</v>
      </c>
      <c r="R794" s="159">
        <f t="shared" si="1441"/>
        <v>34.992087095567065</v>
      </c>
      <c r="S794" s="165">
        <f t="shared" si="1452"/>
        <v>1.0348337538628632E-2</v>
      </c>
      <c r="T794" s="165">
        <f t="shared" si="1453"/>
        <v>9.0853847857303258E-6</v>
      </c>
      <c r="U794" s="165"/>
      <c r="V794" s="165"/>
      <c r="W794" s="159">
        <f t="shared" si="1421"/>
        <v>3864.0866006765477</v>
      </c>
      <c r="X794" s="163"/>
      <c r="Y794" s="167">
        <v>184.61200052263069</v>
      </c>
      <c r="Z794" s="168">
        <v>6.4489380577286712E-3</v>
      </c>
      <c r="AA794" s="76">
        <f t="shared" si="1442"/>
        <v>5.6618837078994112E-6</v>
      </c>
      <c r="AB794" s="168"/>
      <c r="AC794" s="168"/>
      <c r="AD794" s="163">
        <f t="shared" si="1410"/>
        <v>9995.3017112739308</v>
      </c>
      <c r="AE794" s="168">
        <f t="shared" si="1454"/>
        <v>3.1038107921242137E-2</v>
      </c>
      <c r="AF794" s="163"/>
      <c r="AG794" s="163"/>
      <c r="AH794" s="163"/>
      <c r="AI794" s="163"/>
      <c r="AJ794" s="116">
        <f t="shared" si="1455"/>
        <v>206.83072696424142</v>
      </c>
      <c r="AK794" s="114">
        <f>+AV794/$AX$19</f>
        <v>1.3373526417322322E-3</v>
      </c>
      <c r="AL794" s="115">
        <f t="shared" si="1443"/>
        <v>0.25055674473321643</v>
      </c>
      <c r="AM794" s="115">
        <f t="shared" si="1444"/>
        <v>0.36285296391838384</v>
      </c>
      <c r="AN794" s="115">
        <f t="shared" si="1445"/>
        <v>0.38659029134839978</v>
      </c>
      <c r="AO794" s="115">
        <f t="shared" si="1447"/>
        <v>8.3292008873595315E-3</v>
      </c>
      <c r="AP794" s="166">
        <f t="shared" si="1458"/>
        <v>98.0403836684808</v>
      </c>
      <c r="AQ794" s="168">
        <f t="shared" si="1459"/>
        <v>8.3292008873596304E-3</v>
      </c>
      <c r="AR794" s="69">
        <f>+AD794/$AF$19</f>
        <v>8.7795597619579828E-4</v>
      </c>
      <c r="AS794" s="169">
        <f t="shared" si="1457"/>
        <v>7.3126716959927334E-6</v>
      </c>
      <c r="AT794" s="115"/>
      <c r="AU794" s="115"/>
      <c r="AV794" s="113">
        <f>IFERROR(INDEX('Total Customers'!$F$7:$AB$91,MATCH($C794,'Total Customers'!$D$7:$D$91,0),MATCH($G794,'Total Customers'!$F$5:$AB$5,0)),"NA")</f>
        <v>48326</v>
      </c>
      <c r="AW794" s="68">
        <f t="shared" si="1422"/>
        <v>-6.5381952842413649E-3</v>
      </c>
      <c r="AX794" s="114"/>
      <c r="AY794" s="114"/>
      <c r="AZ794" s="116"/>
      <c r="BA794" s="116"/>
      <c r="BB794" s="166"/>
      <c r="BC794" s="166"/>
      <c r="BD794" s="166"/>
      <c r="BE794" s="166"/>
      <c r="BF794" s="166"/>
      <c r="BG794" s="166"/>
      <c r="BH794" s="166"/>
      <c r="BI794" s="113"/>
      <c r="BJ794" s="113"/>
      <c r="BK794" s="113">
        <f>INDEX('Dist. Plant Gas Additions'!$F$7:$AE$91,MATCH($C794,'Dist. Plant Gas Additions'!$D$7:$D$91,0),MATCH(Calculation!$G794,'Dist. Plant Gas Additions'!$F$5:$AE$5,0))</f>
        <v>1491</v>
      </c>
      <c r="BL794" s="113">
        <f>INDEX('Gen. Plant Additions'!$F$7:$AE$91,MATCH($C794,'Gen. Plant Additions'!$D$7:$D$91,0),MATCH(Calculation!$G794,'Gen. Plant Additions'!$F$5:$AE$5,0))</f>
        <v>344</v>
      </c>
      <c r="BM794" s="231">
        <f t="shared" si="1423"/>
        <v>0.88984215460885419</v>
      </c>
      <c r="BN794" s="61">
        <f>+BM794*BL794</f>
        <v>306.10570118544587</v>
      </c>
      <c r="BO794" s="113">
        <f>INDEX('Dist Plant Depreciation'!$E$7:$AD$94,MATCH($C794,'Dist Plant Depreciation'!$D$7:$D$94,0),MATCH(Calculation!$G794,'Dist Plant Depreciation'!$E$5:$AD$5,0))</f>
        <v>44646</v>
      </c>
      <c r="BP794" s="113">
        <f>INDEX('Gen. Plant Depreciation'!$E$7:$AD$94,MATCH($C794,'Gen. Plant Depreciation'!$D$7:$D$94,0),MATCH(Calculation!$G794,'Gen. Plant Depreciation'!$E$5:$AD$5,0))</f>
        <v>5521</v>
      </c>
      <c r="BQ794" s="113"/>
      <c r="BR794" s="113"/>
      <c r="BS794" s="113"/>
      <c r="BT794" s="113"/>
      <c r="BU794" s="113"/>
      <c r="BV794" s="113"/>
      <c r="BW794" s="113">
        <f>INDEX('Gross Dx Plant'!$E$7:$AD$91,MATCH($C794,'Gross Dx Plant'!$D$7:$D$91,0),MATCH(Calculation!$G794,'Gross Dx Plant'!$E$5:$AD$5,0))</f>
        <v>69284</v>
      </c>
      <c r="BX794" s="113">
        <f>INDEX('Gross Gen Plant'!$E$7:$AD$91,MATCH($C794,'Gross Gen Plant'!$D$7:$D$91,0),MATCH(Calculation!$G794,'Gross Gen Plant'!$E$5:$AD$5,0))</f>
        <v>8577</v>
      </c>
      <c r="BY794" s="113">
        <f t="shared" si="1460"/>
        <v>27694</v>
      </c>
      <c r="BZ794" s="113"/>
      <c r="CA794" s="116">
        <v>2014</v>
      </c>
      <c r="CB794" s="113"/>
      <c r="CC794" s="113"/>
      <c r="CD794" s="113"/>
      <c r="CE794" s="175"/>
      <c r="CF794" s="113">
        <f t="shared" si="1424"/>
        <v>1835</v>
      </c>
      <c r="CG794" s="113">
        <f t="shared" si="1425"/>
        <v>2.6809097519842275</v>
      </c>
      <c r="CH794" s="178">
        <v>0.89743589743589747</v>
      </c>
      <c r="CI794" s="61">
        <f>+CI778*CH794+CG779*CH793+CG780*CH792+CG781*CH791+CG782*CH790+CG783*CH789+CG784*CH788+CG785*CH787+CG786*CH786+CG787*CH785+CG788*CH784+CG789*CH783+CG790*CH782+CG791*CH781+CG792*CH780+CG793*CH779+CG794</f>
        <v>184.61200052263069</v>
      </c>
      <c r="CJ794" s="114">
        <f t="shared" si="1426"/>
        <v>6.4489380577286712E-3</v>
      </c>
      <c r="CK794" s="114"/>
      <c r="CL794" s="169">
        <f t="shared" si="1427"/>
        <v>8.1460366549954855E-3</v>
      </c>
      <c r="CM794" s="169">
        <f t="shared" si="1435"/>
        <v>7.8633572423416238E-3</v>
      </c>
      <c r="CN794" s="114">
        <f>VLOOKUP($H794,RoR!$E:$F,2,FALSE)</f>
        <v>4.1625000000000002E-2</v>
      </c>
      <c r="CO794" s="169">
        <v>1.841352814597208E-2</v>
      </c>
      <c r="CP794" s="169">
        <f t="shared" si="1433"/>
        <v>2.3211471854027922E-2</v>
      </c>
      <c r="CQ794" s="169">
        <f t="shared" si="1436"/>
        <v>2.3038584366192001E-2</v>
      </c>
      <c r="CR794" s="169">
        <f t="shared" si="1437"/>
        <v>3.9072621432650924E-2</v>
      </c>
      <c r="CS794" s="179">
        <f t="shared" si="1428"/>
        <v>0.87050000000000005</v>
      </c>
      <c r="CT794" s="180">
        <f t="shared" si="1429"/>
        <v>1.2320012320012319</v>
      </c>
      <c r="CU794" s="180">
        <f t="shared" si="1430"/>
        <v>0.37439939939939942</v>
      </c>
      <c r="CV794" s="180">
        <f t="shared" si="1431"/>
        <v>0.80432100613819935</v>
      </c>
      <c r="CW794" s="180">
        <f t="shared" si="1432"/>
        <v>0.37100152660040037</v>
      </c>
      <c r="CX794" s="181">
        <f>INDEX('State Tax Lookup'!$D$7:$Z$91,MATCH(Calculation!$C794,'State Tax Lookup'!$B$7:$B$91,0),MATCH($H794,'State Tax Lookup'!$D$6:$Z$6,0))</f>
        <v>0.35</v>
      </c>
      <c r="CY794" s="72">
        <v>0.37</v>
      </c>
      <c r="CZ794" s="70">
        <f t="shared" si="1434"/>
        <v>21.066270714668462</v>
      </c>
      <c r="DA794" s="70">
        <v>20.763592984765573</v>
      </c>
      <c r="DB794" s="69">
        <f t="shared" si="1438"/>
        <v>2.1289498972320558E-2</v>
      </c>
      <c r="DC794" s="111">
        <f>VLOOKUP($H794,RoR!$E:$F,2,FALSE)</f>
        <v>4.1625000000000002E-2</v>
      </c>
      <c r="DD794" s="216">
        <f>HLOOKUP($H794,'GDP-PI'!$D$8:$CQ$11,3,FALSE)</f>
        <v>1.841352814597208E-2</v>
      </c>
      <c r="DE794" s="111">
        <f>VLOOKUP(H794,'HW Dx Data'!$E:$F,2,FALSE)</f>
        <v>684.46914285042885</v>
      </c>
      <c r="DF794" s="72">
        <f t="shared" si="1448"/>
        <v>129.4</v>
      </c>
      <c r="DG794" s="69">
        <f t="shared" si="1449"/>
        <v>2.0297340063674733E-2</v>
      </c>
      <c r="DH794" s="66">
        <f>HLOOKUP(H794,'GDP-PI'!$8:$9,2,FALSE)</f>
        <v>103.64700000000001</v>
      </c>
      <c r="DI794" s="69">
        <f t="shared" si="1439"/>
        <v>1.8246051898256087E-2</v>
      </c>
      <c r="EB794"/>
    </row>
    <row r="795" spans="1:132" s="160" customFormat="1" ht="21">
      <c r="A795" s="160" t="s">
        <v>206</v>
      </c>
      <c r="B795" s="161" t="s">
        <v>206</v>
      </c>
      <c r="C795" s="161">
        <v>4064479</v>
      </c>
      <c r="D795" s="161" t="s">
        <v>177</v>
      </c>
      <c r="E795" s="161"/>
      <c r="F795" s="161"/>
      <c r="G795" s="161" t="s">
        <v>132</v>
      </c>
      <c r="H795" s="162">
        <v>2015</v>
      </c>
      <c r="I795" s="163"/>
      <c r="J795" s="159">
        <f>IFERROR(INDEX('Labor Expenditures'!$F$7:$X$91,MATCH($C795,'Labor Expenditures'!$D$7:$D$91,0),MATCH($G795,'Labor Expenditures'!$F$5:$X$5,0)),"NA")</f>
        <v>2581.6172103352251</v>
      </c>
      <c r="K795" s="159">
        <f t="shared" si="1440"/>
        <v>19.337956631724534</v>
      </c>
      <c r="L795" s="165">
        <f t="shared" si="1446"/>
        <v>-8.2236298987425449E-4</v>
      </c>
      <c r="M795" s="76">
        <f t="shared" si="1450"/>
        <v>-7.2373266685979251E-7</v>
      </c>
      <c r="N795" s="62">
        <f t="shared" si="1456"/>
        <v>118.95658915242616</v>
      </c>
      <c r="O795" s="96">
        <f t="shared" si="1451"/>
        <v>-6.0006421040499705E-3</v>
      </c>
      <c r="P795" s="96"/>
      <c r="Q795" s="159">
        <f>IFERROR(INDEX('Non-Labor Expenditures'!$F$7:$AB$91,MATCH($C795,'Non-Labor Expenditures'!$D$7:$D$91,0),MATCH($G795,'Non-Labor Expenditures'!$F$5:$AB$5,0)),"NA")</f>
        <v>3738.6639001486878</v>
      </c>
      <c r="R795" s="159">
        <f t="shared" si="1441"/>
        <v>35.729163124157225</v>
      </c>
      <c r="S795" s="165">
        <f t="shared" si="1452"/>
        <v>2.0845296598186912E-2</v>
      </c>
      <c r="T795" s="165">
        <f t="shared" si="1453"/>
        <v>1.8345210429272848E-5</v>
      </c>
      <c r="U795" s="165"/>
      <c r="V795" s="165"/>
      <c r="W795" s="159">
        <f t="shared" si="1421"/>
        <v>3798.102336960842</v>
      </c>
      <c r="X795" s="163"/>
      <c r="Y795" s="167">
        <v>187.09468479518597</v>
      </c>
      <c r="Z795" s="168">
        <v>1.3358496308924368E-2</v>
      </c>
      <c r="AA795" s="76">
        <f t="shared" si="1442"/>
        <v>1.1756341515773752E-5</v>
      </c>
      <c r="AB795" s="168"/>
      <c r="AC795" s="168"/>
      <c r="AD795" s="163">
        <f t="shared" si="1410"/>
        <v>10118.383447444754</v>
      </c>
      <c r="AE795" s="168">
        <f t="shared" si="1454"/>
        <v>1.2238758987724275E-2</v>
      </c>
      <c r="AF795" s="163"/>
      <c r="AG795" s="163"/>
      <c r="AH795" s="163"/>
      <c r="AI795" s="163"/>
      <c r="AJ795" s="116">
        <f t="shared" si="1455"/>
        <v>207.64603105839959</v>
      </c>
      <c r="AK795" s="114">
        <f>+AV795/$AX$20</f>
        <v>1.3375399870355048E-3</v>
      </c>
      <c r="AL795" s="115">
        <f t="shared" si="1443"/>
        <v>0.25514127071228693</v>
      </c>
      <c r="AM795" s="115">
        <f t="shared" si="1444"/>
        <v>0.36949221380741715</v>
      </c>
      <c r="AN795" s="115">
        <f t="shared" si="1445"/>
        <v>0.37536651548029598</v>
      </c>
      <c r="AO795" s="115">
        <f t="shared" si="1447"/>
        <v>1.2514341150785958E-2</v>
      </c>
      <c r="AP795" s="166">
        <f t="shared" si="1458"/>
        <v>99.27500359106692</v>
      </c>
      <c r="AQ795" s="168">
        <f t="shared" si="1459"/>
        <v>1.2514341150785859E-2</v>
      </c>
      <c r="AR795" s="69">
        <f>+AD795/$AF$20</f>
        <v>8.8006473512439653E-4</v>
      </c>
      <c r="AS795" s="169">
        <f t="shared" si="1457"/>
        <v>1.1013430330122693E-5</v>
      </c>
      <c r="AT795" s="115"/>
      <c r="AU795" s="115"/>
      <c r="AV795" s="113">
        <f>IFERROR(INDEX('Total Customers'!$F$7:$AB$91,MATCH($C795,'Total Customers'!$D$7:$D$91,0),MATCH($G795,'Total Customers'!$F$5:$AB$5,0)),"NA")</f>
        <v>48729</v>
      </c>
      <c r="AW795" s="68">
        <f t="shared" si="1422"/>
        <v>8.3046173021060609E-3</v>
      </c>
      <c r="AX795" s="114"/>
      <c r="AY795" s="114"/>
      <c r="AZ795" s="116"/>
      <c r="BA795" s="116"/>
      <c r="BB795" s="166"/>
      <c r="BC795" s="166"/>
      <c r="BD795" s="166"/>
      <c r="BE795" s="166"/>
      <c r="BF795" s="166"/>
      <c r="BG795" s="166"/>
      <c r="BH795" s="166"/>
      <c r="BI795" s="113"/>
      <c r="BJ795" s="113"/>
      <c r="BK795" s="113">
        <f>INDEX('Dist. Plant Gas Additions'!$F$7:$AE$91,MATCH($C795,'Dist. Plant Gas Additions'!$D$7:$D$91,0),MATCH(Calculation!$G795,'Dist. Plant Gas Additions'!$F$5:$AE$5,0))</f>
        <v>2302</v>
      </c>
      <c r="BL795" s="113">
        <f>INDEX('Gen. Plant Additions'!$F$7:$AE$91,MATCH($C795,'Gen. Plant Additions'!$D$7:$D$91,0),MATCH(Calculation!$G795,'Gen. Plant Additions'!$F$5:$AE$5,0))</f>
        <v>432</v>
      </c>
      <c r="BM795" s="231">
        <f t="shared" si="1423"/>
        <v>0.89122552574329228</v>
      </c>
      <c r="BN795" s="61">
        <f t="shared" ref="BN795:BN811" si="1461">+BM795*BL795</f>
        <v>385.00942712110225</v>
      </c>
      <c r="BO795" s="113">
        <f>INDEX('Dist Plant Depreciation'!$E$7:$AD$94,MATCH($C795,'Dist Plant Depreciation'!$D$7:$D$94,0),MATCH(Calculation!$G795,'Dist Plant Depreciation'!$E$5:$AD$5,0))</f>
        <v>46290</v>
      </c>
      <c r="BP795" s="113">
        <f>INDEX('Gen. Plant Depreciation'!$E$7:$AD$94,MATCH($C795,'Gen. Plant Depreciation'!$D$7:$D$94,0),MATCH(Calculation!$G795,'Gen. Plant Depreciation'!$E$5:$AD$5,0))</f>
        <v>6038</v>
      </c>
      <c r="BQ795" s="113"/>
      <c r="BR795" s="113"/>
      <c r="BS795" s="113"/>
      <c r="BT795" s="113"/>
      <c r="BU795" s="113"/>
      <c r="BV795" s="113"/>
      <c r="BW795" s="113">
        <f>INDEX('Gross Dx Plant'!$E$7:$AD$91,MATCH($C795,'Gross Dx Plant'!$D$7:$D$91,0),MATCH(Calculation!$G795,'Gross Dx Plant'!$E$5:$AD$5,0))</f>
        <v>71282</v>
      </c>
      <c r="BX795" s="113">
        <f>INDEX('Gross Gen Plant'!$E$7:$AD$91,MATCH($C795,'Gross Gen Plant'!$D$7:$D$91,0),MATCH(Calculation!$G795,'Gross Gen Plant'!$E$5:$AD$5,0))</f>
        <v>8700</v>
      </c>
      <c r="BY795" s="113">
        <f t="shared" si="1460"/>
        <v>27654</v>
      </c>
      <c r="BZ795" s="113"/>
      <c r="CA795" s="116">
        <v>2015</v>
      </c>
      <c r="CB795" s="113"/>
      <c r="CC795" s="113"/>
      <c r="CD795" s="113"/>
      <c r="CE795" s="175"/>
      <c r="CF795" s="113">
        <f t="shared" si="1424"/>
        <v>2734</v>
      </c>
      <c r="CG795" s="113">
        <f t="shared" si="1425"/>
        <v>4.0466855898447109</v>
      </c>
      <c r="CH795" s="178">
        <v>0.88888888888888884</v>
      </c>
      <c r="CI795" s="61">
        <f>+CI778*CH795+CG779*CH794+CG780*CH793+CG781*CH792+CG782*CH791+CG783*CH790+CG784*CH789+CG785*CH788+CG786*CH787+CG787*CH786+CG788*CH785+CG789*CH784+CG790*CH783+CG791*CH782+CG792*CH781+CG793*CH780+CG794*CH779+CG795</f>
        <v>187.09468479518597</v>
      </c>
      <c r="CJ795" s="114">
        <f t="shared" si="1426"/>
        <v>1.3358496308924368E-2</v>
      </c>
      <c r="CK795" s="114"/>
      <c r="CL795" s="169">
        <f t="shared" si="1427"/>
        <v>8.4718290948681448E-3</v>
      </c>
      <c r="CM795" s="169">
        <f t="shared" si="1435"/>
        <v>8.1587208344876695E-3</v>
      </c>
      <c r="CN795" s="114">
        <f>VLOOKUP($H795,RoR!$E:$F,2,FALSE)</f>
        <v>3.8866666666666674E-2</v>
      </c>
      <c r="CO795" s="169">
        <v>9.5709475431029478E-3</v>
      </c>
      <c r="CP795" s="169">
        <f t="shared" si="1433"/>
        <v>2.9295719123563727E-2</v>
      </c>
      <c r="CQ795" s="169">
        <f t="shared" si="1436"/>
        <v>2.2743220774045954E-2</v>
      </c>
      <c r="CR795" s="169">
        <f t="shared" si="1437"/>
        <v>3.5270373279175926E-3</v>
      </c>
      <c r="CS795" s="179">
        <f t="shared" si="1428"/>
        <v>0.87050000000000005</v>
      </c>
      <c r="CT795" s="180">
        <f t="shared" si="1429"/>
        <v>1.3194352816994324</v>
      </c>
      <c r="CU795" s="180">
        <f t="shared" si="1430"/>
        <v>0.33177530017152673</v>
      </c>
      <c r="CV795" s="180">
        <f t="shared" si="1431"/>
        <v>0.78242572977668579</v>
      </c>
      <c r="CW795" s="180">
        <f t="shared" si="1432"/>
        <v>0.34251158643433932</v>
      </c>
      <c r="CX795" s="181">
        <f>INDEX('State Tax Lookup'!$D$7:$Z$91,MATCH(Calculation!$C795,'State Tax Lookup'!$B$7:$B$91,0),MATCH($H795,'State Tax Lookup'!$D$6:$Z$6,0))</f>
        <v>0.35</v>
      </c>
      <c r="CY795" s="72">
        <v>0.37</v>
      </c>
      <c r="CZ795" s="70">
        <f t="shared" si="1434"/>
        <v>20.57343144653942</v>
      </c>
      <c r="DA795" s="70">
        <v>20.279488671080099</v>
      </c>
      <c r="DB795" s="69">
        <f t="shared" si="1438"/>
        <v>-2.367270935240999E-2</v>
      </c>
      <c r="DC795" s="111">
        <f>VLOOKUP($H795,RoR!$E:$F,2,FALSE)</f>
        <v>3.8866666666666674E-2</v>
      </c>
      <c r="DD795" s="216">
        <f>HLOOKUP($H795,'GDP-PI'!$D$8:$CQ$11,3,FALSE)</f>
        <v>9.5709475431029478E-3</v>
      </c>
      <c r="DE795" s="111">
        <f>VLOOKUP(H795,'HW Dx Data'!$E:$F,2,FALSE)</f>
        <v>675.61463308665782</v>
      </c>
      <c r="DF795" s="72">
        <f t="shared" si="1448"/>
        <v>133.5</v>
      </c>
      <c r="DG795" s="69">
        <f t="shared" si="1449"/>
        <v>3.1193095773504077E-2</v>
      </c>
      <c r="DH795" s="66">
        <f>HLOOKUP(H795,'GDP-PI'!$8:$9,2,FALSE)</f>
        <v>104.639</v>
      </c>
      <c r="DI795" s="69">
        <f t="shared" si="1439"/>
        <v>9.5254361854427965E-3</v>
      </c>
      <c r="EB795"/>
    </row>
    <row r="796" spans="1:132" s="160" customFormat="1" ht="21">
      <c r="A796" s="160" t="s">
        <v>206</v>
      </c>
      <c r="B796" s="161" t="s">
        <v>206</v>
      </c>
      <c r="C796" s="161">
        <v>4064479</v>
      </c>
      <c r="D796" s="161" t="s">
        <v>177</v>
      </c>
      <c r="E796" s="161"/>
      <c r="F796" s="161"/>
      <c r="G796" s="161" t="s">
        <v>133</v>
      </c>
      <c r="H796" s="162">
        <v>2016</v>
      </c>
      <c r="I796" s="163"/>
      <c r="J796" s="159">
        <f>IFERROR(INDEX('Labor Expenditures'!$F$7:$X$91,MATCH($C796,'Labor Expenditures'!$D$7:$D$91,0),MATCH($G796,'Labor Expenditures'!$F$5:$X$5,0)),"NA")</f>
        <v>2722.0352833311454</v>
      </c>
      <c r="K796" s="159">
        <f t="shared" si="1440"/>
        <v>19.876124741373825</v>
      </c>
      <c r="L796" s="165">
        <f t="shared" si="1446"/>
        <v>2.7449420286638757E-2</v>
      </c>
      <c r="M796" s="76">
        <f t="shared" si="1450"/>
        <v>2.4079716974911042E-5</v>
      </c>
      <c r="N796" s="62">
        <f t="shared" si="1456"/>
        <v>299.52341185208718</v>
      </c>
      <c r="O796" s="96">
        <f t="shared" si="1451"/>
        <v>0.92343395477187806</v>
      </c>
      <c r="P796" s="96"/>
      <c r="Q796" s="159">
        <f>IFERROR(INDEX('Non-Labor Expenditures'!$F$7:$AB$91,MATCH($C796,'Non-Labor Expenditures'!$D$7:$D$91,0),MATCH($G796,'Non-Labor Expenditures'!$F$5:$AB$5,0)),"NA")</f>
        <v>3942.0154963251489</v>
      </c>
      <c r="R796" s="159">
        <f t="shared" si="1441"/>
        <v>37.281677917881787</v>
      </c>
      <c r="S796" s="165">
        <f t="shared" si="1452"/>
        <v>4.2534747788216837E-2</v>
      </c>
      <c r="T796" s="165">
        <f t="shared" si="1453"/>
        <v>3.7313162815246603E-5</v>
      </c>
      <c r="U796" s="165"/>
      <c r="V796" s="165"/>
      <c r="W796" s="159">
        <f t="shared" si="1421"/>
        <v>3773.1199692590285</v>
      </c>
      <c r="X796" s="163"/>
      <c r="Y796" s="167">
        <v>189.83191352576407</v>
      </c>
      <c r="Z796" s="168">
        <v>1.4524190446008603E-2</v>
      </c>
      <c r="AA796" s="76">
        <f t="shared" si="1442"/>
        <v>1.2741194224776846E-5</v>
      </c>
      <c r="AB796" s="168"/>
      <c r="AC796" s="168"/>
      <c r="AD796" s="163">
        <f t="shared" si="1410"/>
        <v>10437.170748915323</v>
      </c>
      <c r="AE796" s="168">
        <f t="shared" si="1454"/>
        <v>3.1019631960322439E-2</v>
      </c>
      <c r="AF796" s="163"/>
      <c r="AG796" s="163"/>
      <c r="AH796" s="163"/>
      <c r="AI796" s="163"/>
      <c r="AJ796" s="116">
        <f t="shared" si="1455"/>
        <v>212.48744373695158</v>
      </c>
      <c r="AK796" s="114">
        <f>+AV796/$AX$21</f>
        <v>1.3365941961351504E-3</v>
      </c>
      <c r="AL796" s="115">
        <f t="shared" si="1443"/>
        <v>0.26080202660419549</v>
      </c>
      <c r="AM796" s="115">
        <f t="shared" si="1444"/>
        <v>0.37769004562226027</v>
      </c>
      <c r="AN796" s="115">
        <f t="shared" si="1445"/>
        <v>0.36150792777354418</v>
      </c>
      <c r="AO796" s="115">
        <f t="shared" si="1447"/>
        <v>2.8323029058700502E-2</v>
      </c>
      <c r="AP796" s="166">
        <f t="shared" si="1458"/>
        <v>102.12696991514709</v>
      </c>
      <c r="AQ796" s="168">
        <f t="shared" si="1459"/>
        <v>2.8323029058700534E-2</v>
      </c>
      <c r="AR796" s="69">
        <f>+AD796/$AF$21</f>
        <v>8.7723954544249719E-4</v>
      </c>
      <c r="AS796" s="169">
        <f t="shared" si="1457"/>
        <v>2.4846081137009094E-5</v>
      </c>
      <c r="AT796" s="115"/>
      <c r="AU796" s="115"/>
      <c r="AV796" s="113">
        <f>IFERROR(INDEX('Total Customers'!$F$7:$AB$91,MATCH($C796,'Total Customers'!$D$7:$D$91,0),MATCH($G796,'Total Customers'!$F$5:$AB$5,0)),"NA")</f>
        <v>49119</v>
      </c>
      <c r="AW796" s="68">
        <f t="shared" si="1422"/>
        <v>7.9715899200965643E-3</v>
      </c>
      <c r="AX796" s="114"/>
      <c r="AY796" s="114"/>
      <c r="AZ796" s="116"/>
      <c r="BA796" s="116"/>
      <c r="BB796" s="166"/>
      <c r="BC796" s="166"/>
      <c r="BD796" s="166"/>
      <c r="BE796" s="166"/>
      <c r="BF796" s="166"/>
      <c r="BG796" s="166"/>
      <c r="BH796" s="166"/>
      <c r="BI796" s="113"/>
      <c r="BJ796" s="113"/>
      <c r="BK796" s="113">
        <f>INDEX('Dist. Plant Gas Additions'!$F$7:$AE$91,MATCH($C796,'Dist. Plant Gas Additions'!$D$7:$D$91,0),MATCH(Calculation!$G796,'Dist. Plant Gas Additions'!$F$5:$AE$5,0))</f>
        <v>2458</v>
      </c>
      <c r="BL796" s="113">
        <f>INDEX('Gen. Plant Additions'!$F$7:$AE$91,MATCH($C796,'Gen. Plant Additions'!$D$7:$D$91,0),MATCH(Calculation!$G796,'Gen. Plant Additions'!$F$5:$AE$5,0))</f>
        <v>484</v>
      </c>
      <c r="BM796" s="231">
        <f t="shared" si="1423"/>
        <v>0.94412354985559743</v>
      </c>
      <c r="BN796" s="61">
        <f t="shared" si="1461"/>
        <v>456.95579813010914</v>
      </c>
      <c r="BO796" s="113">
        <f>INDEX('Dist Plant Depreciation'!$E$7:$AD$94,MATCH($C796,'Dist Plant Depreciation'!$D$7:$D$94,0),MATCH(Calculation!$G796,'Dist Plant Depreciation'!$E$5:$AD$5,0))</f>
        <v>50183</v>
      </c>
      <c r="BP796" s="113">
        <f>INDEX('Gen. Plant Depreciation'!$E$7:$AD$94,MATCH($C796,'Gen. Plant Depreciation'!$D$7:$D$94,0),MATCH(Calculation!$G796,'Gen. Plant Depreciation'!$E$5:$AD$5,0))</f>
        <v>3495</v>
      </c>
      <c r="BQ796" s="113"/>
      <c r="BR796" s="113"/>
      <c r="BS796" s="113"/>
      <c r="BT796" s="113"/>
      <c r="BU796" s="113"/>
      <c r="BV796" s="113"/>
      <c r="BW796" s="113">
        <f>INDEX('Gross Dx Plant'!$E$7:$AD$91,MATCH($C796,'Gross Dx Plant'!$D$7:$D$91,0),MATCH(Calculation!$G796,'Gross Dx Plant'!$E$5:$AD$5,0))</f>
        <v>77150</v>
      </c>
      <c r="BX796" s="113">
        <f>INDEX('Gross Gen Plant'!$E$7:$AD$91,MATCH($C796,'Gross Gen Plant'!$D$7:$D$91,0),MATCH(Calculation!$G796,'Gross Gen Plant'!$E$5:$AD$5,0))</f>
        <v>4566</v>
      </c>
      <c r="BY796" s="113">
        <f t="shared" si="1460"/>
        <v>28038</v>
      </c>
      <c r="BZ796" s="113"/>
      <c r="CA796" s="116">
        <v>2016</v>
      </c>
      <c r="CB796" s="113"/>
      <c r="CC796" s="113"/>
      <c r="CD796" s="113"/>
      <c r="CE796" s="175"/>
      <c r="CF796" s="113">
        <f t="shared" si="1424"/>
        <v>2942</v>
      </c>
      <c r="CG796" s="113">
        <f t="shared" si="1425"/>
        <v>4.3815205676851052</v>
      </c>
      <c r="CH796" s="178">
        <v>0.88</v>
      </c>
      <c r="CI796" s="61">
        <f>+CI778*CH796+CG779*CH795+CG780*CH794+CG781*CH793+CG782*CH792+CG783*CH791+CG784*CH790+CG785*CH789+CG786*CH788+CG787*CH787+CG788*CH786+CG789*CH785+CG790*CH784+CG791*CH783+CG792*CH782+CG793*CH781+CG794*CH780+CG795*CH779+CG796</f>
        <v>189.83191352576407</v>
      </c>
      <c r="CJ796" s="114">
        <f t="shared" si="1426"/>
        <v>1.4524190446008603E-2</v>
      </c>
      <c r="CK796" s="114"/>
      <c r="CL796" s="169">
        <f t="shared" si="1427"/>
        <v>8.7885545166984762E-3</v>
      </c>
      <c r="CM796" s="169">
        <f t="shared" si="1435"/>
        <v>8.4688067555207022E-3</v>
      </c>
      <c r="CN796" s="114">
        <f>VLOOKUP($H796,RoR!$E:$F,2,FALSE)</f>
        <v>3.6658333333333334E-2</v>
      </c>
      <c r="CO796" s="169">
        <v>1.0483662879041455E-2</v>
      </c>
      <c r="CP796" s="169">
        <f t="shared" si="1433"/>
        <v>2.6174670454291879E-2</v>
      </c>
      <c r="CQ796" s="169">
        <f t="shared" si="1436"/>
        <v>2.2433134853012925E-2</v>
      </c>
      <c r="CR796" s="169">
        <f t="shared" si="1437"/>
        <v>4.301363574220729E-3</v>
      </c>
      <c r="CS796" s="179">
        <f t="shared" si="1428"/>
        <v>0.87050000000000005</v>
      </c>
      <c r="CT796" s="180">
        <f t="shared" si="1429"/>
        <v>1.3989193348138562</v>
      </c>
      <c r="CU796" s="180">
        <f t="shared" si="1430"/>
        <v>0.29302682427824522</v>
      </c>
      <c r="CV796" s="180">
        <f t="shared" si="1431"/>
        <v>0.76309497491941802</v>
      </c>
      <c r="CW796" s="180">
        <f t="shared" si="1432"/>
        <v>0.31280857135128509</v>
      </c>
      <c r="CX796" s="181">
        <f>INDEX('State Tax Lookup'!$D$7:$Z$91,MATCH(Calculation!$C796,'State Tax Lookup'!$B$7:$B$91,0),MATCH($H796,'State Tax Lookup'!$D$6:$Z$6,0))</f>
        <v>0.35</v>
      </c>
      <c r="CY796" s="72">
        <v>0.37</v>
      </c>
      <c r="CZ796" s="70">
        <f t="shared" si="1434"/>
        <v>20.166900911105479</v>
      </c>
      <c r="DA796" s="70">
        <v>19.909765876209278</v>
      </c>
      <c r="DB796" s="69">
        <f t="shared" si="1438"/>
        <v>-1.9957816037926492E-2</v>
      </c>
      <c r="DC796" s="111">
        <f>VLOOKUP($H796,RoR!$E:$F,2,FALSE)</f>
        <v>3.6658333333333334E-2</v>
      </c>
      <c r="DD796" s="216">
        <f>HLOOKUP($H796,'GDP-PI'!$D$8:$CQ$11,3,FALSE)</f>
        <v>1.0483662879041455E-2</v>
      </c>
      <c r="DE796" s="111">
        <f>VLOOKUP(H796,'HW Dx Data'!$E:$F,2,FALSE)</f>
        <v>671.45639385971219</v>
      </c>
      <c r="DF796" s="72">
        <f t="shared" si="1448"/>
        <v>136.94999999999999</v>
      </c>
      <c r="DG796" s="69">
        <f t="shared" si="1449"/>
        <v>2.5514417868782811E-2</v>
      </c>
      <c r="DH796" s="66">
        <f>HLOOKUP(H796,'GDP-PI'!$8:$9,2,FALSE)</f>
        <v>105.736</v>
      </c>
      <c r="DI796" s="69">
        <f t="shared" si="1439"/>
        <v>1.0429090367205095E-2</v>
      </c>
      <c r="EB796"/>
    </row>
    <row r="797" spans="1:132" s="160" customFormat="1" ht="21">
      <c r="A797" s="160" t="s">
        <v>206</v>
      </c>
      <c r="B797" s="161" t="s">
        <v>206</v>
      </c>
      <c r="C797" s="161">
        <v>4064479</v>
      </c>
      <c r="D797" s="161" t="s">
        <v>177</v>
      </c>
      <c r="E797" s="161"/>
      <c r="F797" s="161"/>
      <c r="G797" s="161" t="s">
        <v>135</v>
      </c>
      <c r="H797" s="162">
        <v>2017</v>
      </c>
      <c r="I797" s="163"/>
      <c r="J797" s="159">
        <f>IFERROR(INDEX('Labor Expenditures'!$F$7:$X$91,MATCH($C797,'Labor Expenditures'!$D$7:$D$91,0),MATCH($G797,'Labor Expenditures'!$F$5:$X$5,0)),"NA")</f>
        <v>2866.6461369921954</v>
      </c>
      <c r="K797" s="159">
        <f t="shared" si="1440"/>
        <v>20.410438853629017</v>
      </c>
      <c r="L797" s="165">
        <f t="shared" si="1446"/>
        <v>2.6527228783096549E-2</v>
      </c>
      <c r="M797" s="76">
        <f t="shared" si="1450"/>
        <v>2.353677137326626E-5</v>
      </c>
      <c r="N797" s="62">
        <f t="shared" si="1456"/>
        <v>166.30536497974398</v>
      </c>
      <c r="O797" s="96">
        <f t="shared" si="1451"/>
        <v>-0.58836693775949478</v>
      </c>
      <c r="P797" s="96"/>
      <c r="Q797" s="159">
        <f>IFERROR(INDEX('Non-Labor Expenditures'!$F$7:$AB$91,MATCH($C797,'Non-Labor Expenditures'!$D$7:$D$91,0),MATCH($G797,'Non-Labor Expenditures'!$F$5:$AB$5,0)),"NA")</f>
        <v>4151.439022008125</v>
      </c>
      <c r="R797" s="159">
        <f t="shared" si="1441"/>
        <v>38.528078829970255</v>
      </c>
      <c r="S797" s="165">
        <f t="shared" si="1452"/>
        <v>3.2885298396516917E-2</v>
      </c>
      <c r="T797" s="165">
        <f t="shared" si="1453"/>
        <v>2.9178085514671947E-5</v>
      </c>
      <c r="U797" s="165"/>
      <c r="V797" s="165"/>
      <c r="W797" s="159">
        <f t="shared" si="1421"/>
        <v>3487.8548966263588</v>
      </c>
      <c r="X797" s="163"/>
      <c r="Y797" s="167">
        <v>192.10470567137449</v>
      </c>
      <c r="Z797" s="168">
        <v>1.1901550462249522E-2</v>
      </c>
      <c r="AA797" s="76">
        <f t="shared" si="1442"/>
        <v>1.055986942729037E-5</v>
      </c>
      <c r="AB797" s="168"/>
      <c r="AC797" s="168"/>
      <c r="AD797" s="163">
        <f t="shared" si="1410"/>
        <v>10505.940055626679</v>
      </c>
      <c r="AE797" s="168">
        <f t="shared" si="1454"/>
        <v>6.5672721226537178E-3</v>
      </c>
      <c r="AF797" s="163"/>
      <c r="AG797" s="163"/>
      <c r="AH797" s="163"/>
      <c r="AI797" s="163"/>
      <c r="AJ797" s="116">
        <f t="shared" si="1455"/>
        <v>212.5331780147815</v>
      </c>
      <c r="AK797" s="114">
        <f>+AV797/$AX$22</f>
        <v>1.3350053127982912E-3</v>
      </c>
      <c r="AL797" s="115">
        <f t="shared" si="1443"/>
        <v>0.27285955581451299</v>
      </c>
      <c r="AM797" s="115">
        <f t="shared" si="1444"/>
        <v>0.39515159995461174</v>
      </c>
      <c r="AN797" s="115">
        <f t="shared" si="1445"/>
        <v>0.33198884423087527</v>
      </c>
      <c r="AO797" s="115">
        <f t="shared" si="1447"/>
        <v>2.3912688922519385E-2</v>
      </c>
      <c r="AP797" s="166">
        <f t="shared" si="1458"/>
        <v>104.59853347023115</v>
      </c>
      <c r="AQ797" s="168">
        <f t="shared" si="1459"/>
        <v>2.3912688922519486E-2</v>
      </c>
      <c r="AR797" s="69">
        <f>+AD797/$AF$22</f>
        <v>8.8726838245026772E-4</v>
      </c>
      <c r="AS797" s="169">
        <f t="shared" si="1457"/>
        <v>2.12169728203203E-5</v>
      </c>
      <c r="AT797" s="115"/>
      <c r="AU797" s="115"/>
      <c r="AV797" s="113">
        <f>IFERROR(INDEX('Total Customers'!$F$7:$AB$91,MATCH($C797,'Total Customers'!$D$7:$D$91,0),MATCH($G797,'Total Customers'!$F$5:$AB$5,0)),"NA")</f>
        <v>49432</v>
      </c>
      <c r="AW797" s="68">
        <f t="shared" si="1422"/>
        <v>6.3520624332133709E-3</v>
      </c>
      <c r="AX797" s="114"/>
      <c r="AY797" s="114"/>
      <c r="AZ797" s="116"/>
      <c r="BA797" s="116"/>
      <c r="BB797" s="166"/>
      <c r="BC797" s="166"/>
      <c r="BD797" s="166"/>
      <c r="BE797" s="166"/>
      <c r="BF797" s="166"/>
      <c r="BG797" s="166"/>
      <c r="BH797" s="166"/>
      <c r="BI797" s="113"/>
      <c r="BJ797" s="113"/>
      <c r="BK797" s="113">
        <f>INDEX('Dist. Plant Gas Additions'!$F$7:$AE$91,MATCH($C797,'Dist. Plant Gas Additions'!$D$7:$D$91,0),MATCH(Calculation!$G797,'Dist. Plant Gas Additions'!$F$5:$AE$5,0))</f>
        <v>2541</v>
      </c>
      <c r="BL797" s="113">
        <f>INDEX('Gen. Plant Additions'!$F$7:$AE$91,MATCH($C797,'Gen. Plant Additions'!$D$7:$D$91,0),MATCH(Calculation!$G797,'Gen. Plant Additions'!$F$5:$AE$5,0))</f>
        <v>311</v>
      </c>
      <c r="BM797" s="231">
        <f t="shared" si="1423"/>
        <v>0.94637460438331389</v>
      </c>
      <c r="BN797" s="61">
        <f t="shared" si="1461"/>
        <v>294.32250196321064</v>
      </c>
      <c r="BO797" s="113">
        <f>INDEX('Dist Plant Depreciation'!$E$7:$AD$94,MATCH($C797,'Dist Plant Depreciation'!$D$7:$D$94,0),MATCH(Calculation!$G797,'Dist Plant Depreciation'!$E$5:$AD$5,0))</f>
        <v>52807</v>
      </c>
      <c r="BP797" s="113">
        <f>INDEX('Gen. Plant Depreciation'!$E$7:$AD$94,MATCH($C797,'Gen. Plant Depreciation'!$D$7:$D$94,0),MATCH(Calculation!$G797,'Gen. Plant Depreciation'!$E$5:$AD$5,0))</f>
        <v>2913</v>
      </c>
      <c r="BQ797" s="113"/>
      <c r="BR797" s="113"/>
      <c r="BS797" s="113"/>
      <c r="BT797" s="113"/>
      <c r="BU797" s="113"/>
      <c r="BV797" s="113"/>
      <c r="BW797" s="113">
        <f>INDEX('Gross Dx Plant'!$E$7:$AD$91,MATCH($C797,'Gross Dx Plant'!$D$7:$D$91,0),MATCH(Calculation!$G797,'Gross Dx Plant'!$E$5:$AD$5,0))</f>
        <v>79539</v>
      </c>
      <c r="BX797" s="113">
        <f>INDEX('Gross Gen Plant'!$E$7:$AD$91,MATCH($C797,'Gross Gen Plant'!$D$7:$D$91,0),MATCH(Calculation!$G797,'Gross Gen Plant'!$E$5:$AD$5,0))</f>
        <v>4507</v>
      </c>
      <c r="BY797" s="113">
        <f t="shared" si="1460"/>
        <v>28326</v>
      </c>
      <c r="BZ797" s="113"/>
      <c r="CA797" s="116">
        <v>2017</v>
      </c>
      <c r="CB797" s="113"/>
      <c r="CC797" s="113"/>
      <c r="CD797" s="113"/>
      <c r="CE797" s="175"/>
      <c r="CF797" s="113">
        <f t="shared" si="1424"/>
        <v>2852</v>
      </c>
      <c r="CG797" s="113">
        <f t="shared" si="1425"/>
        <v>4.003208272721082</v>
      </c>
      <c r="CH797" s="178">
        <v>0.87074829931972786</v>
      </c>
      <c r="CI797" s="61">
        <f>+CI778*CH797+CG779*CH796+CG780*CH795+CG781*CH794+CG782*CH793+CG783*CH792+CG784*CH791+CG785*CH790+CG786*CH789+CG787*CH788+CG788*CH787+CG789*CH786+CG790*CH785+CG791*CH784+CG792*CH783+CG793*CH782+CG794*CH781+CG795*CH780+CG796*CH779+CG797</f>
        <v>192.10470567137449</v>
      </c>
      <c r="CJ797" s="114">
        <f t="shared" si="1426"/>
        <v>1.1901550462249522E-2</v>
      </c>
      <c r="CK797" s="114"/>
      <c r="CL797" s="169">
        <f t="shared" si="1427"/>
        <v>9.1155174858193969E-3</v>
      </c>
      <c r="CM797" s="169">
        <f t="shared" si="1435"/>
        <v>8.7919670324620065E-3</v>
      </c>
      <c r="CN797" s="114">
        <f>VLOOKUP($H797,RoR!$E:$F,2,FALSE)</f>
        <v>3.7433333333333339E-2</v>
      </c>
      <c r="CO797" s="169">
        <v>1.9056896421275615E-2</v>
      </c>
      <c r="CP797" s="169">
        <f t="shared" si="1433"/>
        <v>1.8376436912057724E-2</v>
      </c>
      <c r="CQ797" s="169">
        <f t="shared" si="1436"/>
        <v>2.2109974576071618E-2</v>
      </c>
      <c r="CR797" s="169">
        <f t="shared" si="1437"/>
        <v>1.3976271617800498E-2</v>
      </c>
      <c r="CS797" s="179">
        <f t="shared" si="1428"/>
        <v>0.92230000000000001</v>
      </c>
      <c r="CT797" s="180">
        <f t="shared" si="1429"/>
        <v>1.3699568463593395</v>
      </c>
      <c r="CU797" s="180">
        <f t="shared" si="1430"/>
        <v>0.30714603739982199</v>
      </c>
      <c r="CV797" s="180">
        <f t="shared" si="1431"/>
        <v>0.77007188472689425</v>
      </c>
      <c r="CW797" s="180">
        <f t="shared" si="1432"/>
        <v>0.32402839633793828</v>
      </c>
      <c r="CX797" s="181">
        <f>INDEX('State Tax Lookup'!$D$7:$Z$91,MATCH(Calculation!$C797,'State Tax Lookup'!$B$7:$B$91,0),MATCH($H797,'State Tax Lookup'!$D$6:$Z$6,0))</f>
        <v>0.20999999999999996</v>
      </c>
      <c r="CY797" s="72">
        <v>0.37</v>
      </c>
      <c r="CZ797" s="70">
        <f t="shared" si="1434"/>
        <v>18.37338533782933</v>
      </c>
      <c r="DA797" s="70">
        <v>18.231812616449311</v>
      </c>
      <c r="DB797" s="69">
        <f t="shared" si="1438"/>
        <v>-9.3139523261276266E-2</v>
      </c>
      <c r="DC797" s="111">
        <f>VLOOKUP($H797,RoR!$E:$F,2,FALSE)</f>
        <v>3.7433333333333339E-2</v>
      </c>
      <c r="DD797" s="216">
        <f>HLOOKUP($H797,'GDP-PI'!$D$8:$CQ$11,3,FALSE)</f>
        <v>1.9056896421275615E-2</v>
      </c>
      <c r="DE797" s="111">
        <f>VLOOKUP(H797,'HW Dx Data'!$E:$F,2,FALSE)</f>
        <v>712.42858370229726</v>
      </c>
      <c r="DF797" s="72">
        <f t="shared" si="1448"/>
        <v>140.44999999999999</v>
      </c>
      <c r="DG797" s="69">
        <f t="shared" si="1449"/>
        <v>2.5235657841165486E-2</v>
      </c>
      <c r="DH797" s="66">
        <f>HLOOKUP(H797,'GDP-PI'!$8:$9,2,FALSE)</f>
        <v>107.751</v>
      </c>
      <c r="DI797" s="69">
        <f t="shared" si="1439"/>
        <v>1.8877588227745139E-2</v>
      </c>
      <c r="EB797"/>
    </row>
    <row r="798" spans="1:132" s="160" customFormat="1" ht="21">
      <c r="A798" s="160" t="s">
        <v>206</v>
      </c>
      <c r="B798" s="161" t="s">
        <v>206</v>
      </c>
      <c r="C798" s="161">
        <v>4064479</v>
      </c>
      <c r="D798" s="161" t="s">
        <v>177</v>
      </c>
      <c r="E798" s="161"/>
      <c r="F798" s="161"/>
      <c r="G798" s="161" t="s">
        <v>136</v>
      </c>
      <c r="H798" s="162">
        <v>2018</v>
      </c>
      <c r="I798" s="163"/>
      <c r="J798" s="159">
        <f>IFERROR(INDEX('Labor Expenditures'!$F$7:$X$91,MATCH($C798,'Labor Expenditures'!$D$7:$D$91,0),MATCH($G798,'Labor Expenditures'!$F$5:$X$5,0)),"NA")</f>
        <v>2862.0642531867579</v>
      </c>
      <c r="K798" s="159">
        <f t="shared" si="1440"/>
        <v>19.813528924795833</v>
      </c>
      <c r="L798" s="165">
        <f t="shared" si="1446"/>
        <v>-2.9681495081497228E-2</v>
      </c>
      <c r="M798" s="76">
        <f t="shared" si="1450"/>
        <v>-2.4644642723598633E-5</v>
      </c>
      <c r="N798" s="62">
        <f t="shared" si="1456"/>
        <v>114.97308031981045</v>
      </c>
      <c r="O798" s="96">
        <f t="shared" si="1451"/>
        <v>-0.36912762974513919</v>
      </c>
      <c r="P798" s="96"/>
      <c r="Q798" s="159">
        <f>IFERROR(INDEX('Non-Labor Expenditures'!$F$7:$AB$91,MATCH($C798,'Non-Labor Expenditures'!$D$7:$D$91,0),MATCH($G798,'Non-Labor Expenditures'!$F$5:$AB$5,0)),"NA")</f>
        <v>4144.8035984800026</v>
      </c>
      <c r="R798" s="159">
        <f t="shared" si="1441"/>
        <v>37.570054916335842</v>
      </c>
      <c r="S798" s="165">
        <f t="shared" si="1452"/>
        <v>-2.5179974436014153E-2</v>
      </c>
      <c r="T798" s="165">
        <f t="shared" si="1453"/>
        <v>-2.0907015366343643E-5</v>
      </c>
      <c r="U798" s="165"/>
      <c r="V798" s="165"/>
      <c r="W798" s="159">
        <f t="shared" si="1421"/>
        <v>3679.6053392347108</v>
      </c>
      <c r="X798" s="163"/>
      <c r="Y798" s="167">
        <v>193.80540569191936</v>
      </c>
      <c r="Z798" s="168">
        <v>8.8140267935578834E-3</v>
      </c>
      <c r="AA798" s="76">
        <f t="shared" si="1442"/>
        <v>7.3183153573307973E-6</v>
      </c>
      <c r="AB798" s="168"/>
      <c r="AC798" s="168"/>
      <c r="AD798" s="163">
        <f t="shared" si="1410"/>
        <v>10686.473190901472</v>
      </c>
      <c r="AE798" s="168">
        <f t="shared" si="1454"/>
        <v>1.7037937154214585E-2</v>
      </c>
      <c r="AF798" s="163"/>
      <c r="AG798" s="163"/>
      <c r="AH798" s="163"/>
      <c r="AI798" s="163"/>
      <c r="AJ798" s="116">
        <f t="shared" si="1455"/>
        <v>215.08882519325078</v>
      </c>
      <c r="AK798" s="114">
        <f>+AV798/$AX$23</f>
        <v>1.3300596369143858E-3</v>
      </c>
      <c r="AL798" s="115">
        <f t="shared" si="1443"/>
        <v>0.26782121679054383</v>
      </c>
      <c r="AM798" s="115">
        <f t="shared" si="1444"/>
        <v>0.38785514401598026</v>
      </c>
      <c r="AN798" s="115">
        <f t="shared" si="1445"/>
        <v>0.34432363919347586</v>
      </c>
      <c r="AO798" s="115">
        <f t="shared" si="1447"/>
        <v>-1.4901633569711702E-2</v>
      </c>
      <c r="AP798" s="166">
        <f t="shared" si="1458"/>
        <v>103.05140048635334</v>
      </c>
      <c r="AQ798" s="168">
        <f t="shared" si="1459"/>
        <v>-1.4901633569711649E-2</v>
      </c>
      <c r="AR798" s="69">
        <f>+AD798/$AF$23</f>
        <v>8.3030328007168168E-4</v>
      </c>
      <c r="AS798" s="169">
        <f t="shared" si="1457"/>
        <v>-1.2372875231357864E-5</v>
      </c>
      <c r="AT798" s="115"/>
      <c r="AU798" s="115"/>
      <c r="AV798" s="113">
        <f>IFERROR(INDEX('Total Customers'!$F$7:$AB$91,MATCH($C798,'Total Customers'!$D$7:$D$91,0),MATCH($G798,'Total Customers'!$F$5:$AB$5,0)),"NA")</f>
        <v>49684</v>
      </c>
      <c r="AW798" s="68">
        <f t="shared" si="1422"/>
        <v>5.0849619232689117E-3</v>
      </c>
      <c r="AX798" s="114"/>
      <c r="AY798" s="114"/>
      <c r="AZ798" s="116"/>
      <c r="BA798" s="116"/>
      <c r="BB798" s="166"/>
      <c r="BC798" s="166"/>
      <c r="BD798" s="166"/>
      <c r="BE798" s="166"/>
      <c r="BF798" s="166"/>
      <c r="BG798" s="166"/>
      <c r="BH798" s="166"/>
      <c r="BI798" s="113"/>
      <c r="BJ798" s="113"/>
      <c r="BK798" s="113">
        <f>INDEX('Dist. Plant Gas Additions'!$F$7:$AE$91,MATCH($C798,'Dist. Plant Gas Additions'!$D$7:$D$91,0),MATCH(Calculation!$G798,'Dist. Plant Gas Additions'!$F$5:$AE$5,0))</f>
        <v>2416</v>
      </c>
      <c r="BL798" s="113">
        <f>INDEX('Gen. Plant Additions'!$F$7:$AE$91,MATCH($C798,'Gen. Plant Additions'!$D$7:$D$91,0),MATCH(Calculation!$G798,'Gen. Plant Additions'!$F$5:$AE$5,0))</f>
        <v>242</v>
      </c>
      <c r="BM798" s="231">
        <f t="shared" si="1423"/>
        <v>0.94749348015068091</v>
      </c>
      <c r="BN798" s="61">
        <f t="shared" si="1461"/>
        <v>229.29342219646477</v>
      </c>
      <c r="BO798" s="113">
        <f>INDEX('Dist Plant Depreciation'!$E$7:$AD$94,MATCH($C798,'Dist Plant Depreciation'!$D$7:$D$94,0),MATCH(Calculation!$G798,'Dist Plant Depreciation'!$E$5:$AD$5,0))</f>
        <v>54935</v>
      </c>
      <c r="BP798" s="113">
        <f>INDEX('Gen. Plant Depreciation'!$E$7:$AD$94,MATCH($C798,'Gen. Plant Depreciation'!$D$7:$D$94,0),MATCH(Calculation!$G798,'Gen. Plant Depreciation'!$E$5:$AD$5,0))</f>
        <v>3071</v>
      </c>
      <c r="BQ798" s="113"/>
      <c r="BR798" s="113"/>
      <c r="BS798" s="113"/>
      <c r="BT798" s="113"/>
      <c r="BU798" s="113"/>
      <c r="BV798" s="113"/>
      <c r="BW798" s="113">
        <f>INDEX('Gross Dx Plant'!$E$7:$AD$91,MATCH($C798,'Gross Dx Plant'!$D$7:$D$91,0),MATCH(Calculation!$G798,'Gross Dx Plant'!$E$5:$AD$5,0))</f>
        <v>81745</v>
      </c>
      <c r="BX798" s="113">
        <f>INDEX('Gross Gen Plant'!$E$7:$AD$91,MATCH($C798,'Gross Gen Plant'!$D$7:$D$91,0),MATCH(Calculation!$G798,'Gross Gen Plant'!$E$5:$AD$5,0))</f>
        <v>4530</v>
      </c>
      <c r="BY798" s="113">
        <f t="shared" si="1460"/>
        <v>28269</v>
      </c>
      <c r="BZ798" s="113"/>
      <c r="CA798" s="116">
        <v>2018</v>
      </c>
      <c r="CB798" s="113"/>
      <c r="CC798" s="113"/>
      <c r="CD798" s="113"/>
      <c r="CE798" s="175"/>
      <c r="CF798" s="113">
        <f t="shared" si="1424"/>
        <v>2658</v>
      </c>
      <c r="CG798" s="113">
        <f t="shared" si="1425"/>
        <v>3.5198924241380247</v>
      </c>
      <c r="CH798" s="178">
        <v>0.86111111111111116</v>
      </c>
      <c r="CI798" s="61">
        <f>+CI778*CH798++CG779*CH797+CG780*CH796+CG781*CH795+CG782*CH794+CG783*CH793+CG784*CH792+CG785*CH791+CG786*CH790+CG787*CH789+CG788*CH788+CG789*CH787+CG790*CH786+CG791*CH785+CG792*CH784+CG793*CH783+CG794*CH782+CG795*CH781+CG796*CH780+CG797*CH779+CG798</f>
        <v>193.80540569191936</v>
      </c>
      <c r="CJ798" s="114">
        <f t="shared" si="1426"/>
        <v>8.8140267935578834E-3</v>
      </c>
      <c r="CK798" s="114"/>
      <c r="CL798" s="169">
        <f t="shared" si="1427"/>
        <v>9.4697961574411894E-3</v>
      </c>
      <c r="CM798" s="169">
        <f t="shared" si="1435"/>
        <v>9.1246227199863542E-3</v>
      </c>
      <c r="CN798" s="114">
        <f>VLOOKUP($H798,RoR!$E:$F,2,FALSE)</f>
        <v>3.9299999999999995E-2</v>
      </c>
      <c r="CO798" s="169">
        <v>2.386056741932796E-2</v>
      </c>
      <c r="CP798" s="169">
        <f t="shared" si="1433"/>
        <v>1.5439432580672034E-2</v>
      </c>
      <c r="CQ798" s="169">
        <f t="shared" si="1436"/>
        <v>2.1777318888547271E-2</v>
      </c>
      <c r="CR798" s="169">
        <f t="shared" si="1437"/>
        <v>3.8270792163076606E-2</v>
      </c>
      <c r="CS798" s="179">
        <f t="shared" si="1428"/>
        <v>0.92230000000000001</v>
      </c>
      <c r="CT798" s="180">
        <f t="shared" si="1429"/>
        <v>1.3048868010700074</v>
      </c>
      <c r="CU798" s="180">
        <f t="shared" si="1430"/>
        <v>0.33886768447837151</v>
      </c>
      <c r="CV798" s="180">
        <f t="shared" si="1431"/>
        <v>0.78602506232557801</v>
      </c>
      <c r="CW798" s="180">
        <f t="shared" si="1432"/>
        <v>0.34756768162358759</v>
      </c>
      <c r="CX798" s="181">
        <f>INDEX('State Tax Lookup'!$D$7:$Z$91,MATCH(Calculation!$C798,'State Tax Lookup'!$B$7:$B$91,0),MATCH($H798,'State Tax Lookup'!$D$6:$Z$6,0))</f>
        <v>0.20999999999999996</v>
      </c>
      <c r="CY798" s="72">
        <v>0.37</v>
      </c>
      <c r="CZ798" s="70">
        <f t="shared" si="1434"/>
        <v>19.154165570151406</v>
      </c>
      <c r="DA798" s="70">
        <v>19.050901628905343</v>
      </c>
      <c r="DB798" s="69">
        <f t="shared" si="1438"/>
        <v>4.1617046750739087E-2</v>
      </c>
      <c r="DC798" s="111">
        <f>VLOOKUP($H798,RoR!$E:$F,2,FALSE)</f>
        <v>3.9299999999999995E-2</v>
      </c>
      <c r="DD798" s="216">
        <f>HLOOKUP($H798,'GDP-PI'!$D$8:$CQ$11,3,FALSE)</f>
        <v>2.386056741932796E-2</v>
      </c>
      <c r="DE798" s="111">
        <f>VLOOKUP(H798,'HW Dx Data'!$E:$F,2,FALSE)</f>
        <v>755.13671434174842</v>
      </c>
      <c r="DF798" s="72">
        <f t="shared" si="1448"/>
        <v>144.44999999999999</v>
      </c>
      <c r="DG798" s="69">
        <f t="shared" si="1449"/>
        <v>2.80818733619915E-2</v>
      </c>
      <c r="DH798" s="66">
        <f>HLOOKUP(H798,'GDP-PI'!$8:$9,2,FALSE)</f>
        <v>110.322</v>
      </c>
      <c r="DI798" s="69">
        <f t="shared" si="1439"/>
        <v>2.3580352716508712E-2</v>
      </c>
      <c r="EB798"/>
    </row>
    <row r="799" spans="1:132" s="160" customFormat="1" ht="21">
      <c r="A799" s="160" t="s">
        <v>206</v>
      </c>
      <c r="B799" s="161" t="s">
        <v>206</v>
      </c>
      <c r="C799" s="161">
        <v>4064479</v>
      </c>
      <c r="D799" s="161" t="s">
        <v>177</v>
      </c>
      <c r="E799" s="161"/>
      <c r="F799" s="161"/>
      <c r="G799" s="161" t="s">
        <v>140</v>
      </c>
      <c r="H799" s="162">
        <v>2019</v>
      </c>
      <c r="I799" s="163"/>
      <c r="J799" s="159">
        <f>IFERROR(INDEX('Labor Expenditures'!$F$7:$X$91,MATCH($C799,'Labor Expenditures'!$D$7:$D$91,0),MATCH($G799,'Labor Expenditures'!$F$5:$X$5,0)),"NA")</f>
        <v>3121.4905335265867</v>
      </c>
      <c r="K799" s="159">
        <f t="shared" si="1440"/>
        <v>20.855122989988885</v>
      </c>
      <c r="L799" s="165">
        <f t="shared" si="1446"/>
        <v>5.1234641615958615E-2</v>
      </c>
      <c r="M799" s="76">
        <f t="shared" si="1450"/>
        <v>4.394040725212682E-5</v>
      </c>
      <c r="N799" s="62">
        <f t="shared" si="1456"/>
        <v>115.83617670254903</v>
      </c>
      <c r="O799" s="96">
        <f t="shared" si="1451"/>
        <v>7.478906322116485E-3</v>
      </c>
      <c r="P799" s="96"/>
      <c r="Q799" s="159">
        <f>IFERROR(INDEX('Non-Labor Expenditures'!$F$7:$AB$91,MATCH($C799,'Non-Labor Expenditures'!$D$7:$D$91,0),MATCH($G799,'Non-Labor Expenditures'!$F$5:$AB$5,0)),"NA")</f>
        <v>4520.5013065575022</v>
      </c>
      <c r="R799" s="159">
        <f t="shared" si="1441"/>
        <v>40.247345096578485</v>
      </c>
      <c r="S799" s="165">
        <f t="shared" si="1452"/>
        <v>6.8836720063728291E-2</v>
      </c>
      <c r="T799" s="165">
        <f t="shared" si="1453"/>
        <v>5.9036492070605794E-5</v>
      </c>
      <c r="U799" s="165"/>
      <c r="V799" s="165"/>
      <c r="W799" s="159">
        <f t="shared" si="1421"/>
        <v>3738.2057687152646</v>
      </c>
      <c r="X799" s="163"/>
      <c r="Y799" s="167">
        <v>195.43846767326258</v>
      </c>
      <c r="Z799" s="168">
        <v>8.3909943092449497E-3</v>
      </c>
      <c r="AA799" s="76">
        <f t="shared" si="1442"/>
        <v>7.1963752564565129E-6</v>
      </c>
      <c r="AB799" s="168"/>
      <c r="AC799" s="168"/>
      <c r="AD799" s="163">
        <f t="shared" si="1410"/>
        <v>11380.197608799353</v>
      </c>
      <c r="AE799" s="168">
        <f t="shared" si="1454"/>
        <v>6.289603917459867E-2</v>
      </c>
      <c r="AF799" s="163"/>
      <c r="AG799" s="163"/>
      <c r="AH799" s="163"/>
      <c r="AI799" s="163"/>
      <c r="AJ799" s="116">
        <f t="shared" si="1455"/>
        <v>227.73603907865268</v>
      </c>
      <c r="AK799" s="114">
        <f>+AV799/$AX$24</f>
        <v>1.3267101281870506E-3</v>
      </c>
      <c r="AL799" s="115">
        <f t="shared" si="1443"/>
        <v>0.27429141749814606</v>
      </c>
      <c r="AM799" s="115">
        <f t="shared" si="1444"/>
        <v>0.39722520310738518</v>
      </c>
      <c r="AN799" s="115">
        <f t="shared" si="1445"/>
        <v>0.32848337939446881</v>
      </c>
      <c r="AO799" s="115">
        <f t="shared" si="1447"/>
        <v>4.3731411239960757E-2</v>
      </c>
      <c r="AP799" s="166">
        <f t="shared" si="1458"/>
        <v>107.65797554905392</v>
      </c>
      <c r="AQ799" s="168">
        <f t="shared" si="1459"/>
        <v>4.373141123996075E-2</v>
      </c>
      <c r="AR799" s="69">
        <f>+AD799/$AF$24</f>
        <v>8.5763081122910056E-4</v>
      </c>
      <c r="AS799" s="169">
        <f t="shared" si="1457"/>
        <v>3.7505405697920944E-5</v>
      </c>
      <c r="AT799" s="115"/>
      <c r="AU799" s="115"/>
      <c r="AV799" s="113">
        <f>IFERROR(INDEX('Total Customers'!$F$7:$AB$91,MATCH($C799,'Total Customers'!$D$7:$D$91,0),MATCH($G799,'Total Customers'!$F$5:$AB$5,0)),"NA")</f>
        <v>49971</v>
      </c>
      <c r="AW799" s="68">
        <f t="shared" si="1422"/>
        <v>5.7598874811330405E-3</v>
      </c>
      <c r="AX799" s="114"/>
      <c r="AY799" s="114"/>
      <c r="AZ799" s="116"/>
      <c r="BA799" s="116"/>
      <c r="BB799" s="166"/>
      <c r="BC799" s="166"/>
      <c r="BD799" s="166"/>
      <c r="BE799" s="166"/>
      <c r="BF799" s="166"/>
      <c r="BG799" s="166"/>
      <c r="BH799" s="166"/>
      <c r="BI799" s="113"/>
      <c r="BJ799" s="113"/>
      <c r="BK799" s="113">
        <f>INDEX('Dist. Plant Gas Additions'!$F$7:$AE$91,MATCH($C799,'Dist. Plant Gas Additions'!$D$7:$D$91,0),MATCH(Calculation!$G799,'Dist. Plant Gas Additions'!$F$5:$AE$5,0))</f>
        <v>2362</v>
      </c>
      <c r="BL799" s="113">
        <f>INDEX('Gen. Plant Additions'!$F$7:$AE$91,MATCH($C799,'Gen. Plant Additions'!$D$7:$D$91,0),MATCH(Calculation!$G799,'Gen. Plant Additions'!$F$5:$AE$5,0))</f>
        <v>379</v>
      </c>
      <c r="BM799" s="231">
        <f t="shared" si="1423"/>
        <v>0.94783040929066076</v>
      </c>
      <c r="BN799" s="61">
        <f t="shared" si="1461"/>
        <v>359.2277251211604</v>
      </c>
      <c r="BO799" s="113">
        <f>INDEX('Dist Plant Depreciation'!$E$7:$AD$94,MATCH($C799,'Dist Plant Depreciation'!$D$7:$D$94,0),MATCH(Calculation!$G799,'Dist Plant Depreciation'!$E$5:$AD$5,0))</f>
        <v>57127</v>
      </c>
      <c r="BP799" s="113">
        <f>INDEX('Gen. Plant Depreciation'!$E$7:$AD$94,MATCH($C799,'Gen. Plant Depreciation'!$D$7:$D$94,0),MATCH(Calculation!$G799,'Gen. Plant Depreciation'!$E$5:$AD$5,0))</f>
        <v>3176</v>
      </c>
      <c r="BQ799" s="113"/>
      <c r="BR799" s="113"/>
      <c r="BS799" s="113"/>
      <c r="BT799" s="113"/>
      <c r="BU799" s="113"/>
      <c r="BV799" s="113"/>
      <c r="BW799" s="113">
        <f>INDEX('Gross Dx Plant'!$E$7:$AD$91,MATCH($C799,'Gross Dx Plant'!$D$7:$D$91,0),MATCH(Calculation!$G799,'Gross Dx Plant'!$E$5:$AD$5,0))</f>
        <v>83901</v>
      </c>
      <c r="BX799" s="113">
        <f>INDEX('Gross Gen Plant'!$E$7:$AD$91,MATCH($C799,'Gross Gen Plant'!$D$7:$D$91,0),MATCH(Calculation!$G799,'Gross Gen Plant'!$E$5:$AD$5,0))</f>
        <v>4618</v>
      </c>
      <c r="BY799" s="113">
        <f t="shared" si="1460"/>
        <v>28216</v>
      </c>
      <c r="BZ799" s="113"/>
      <c r="CA799" s="116">
        <v>2019</v>
      </c>
      <c r="CB799" s="113"/>
      <c r="CC799" s="113"/>
      <c r="CD799" s="113"/>
      <c r="CE799" s="175"/>
      <c r="CF799" s="113">
        <f t="shared" si="1424"/>
        <v>2741</v>
      </c>
      <c r="CG799" s="113">
        <f t="shared" si="1425"/>
        <v>3.5434528113848698</v>
      </c>
      <c r="CH799" s="178">
        <v>0.85106382978723405</v>
      </c>
      <c r="CI799" s="61">
        <f>CI778*CH799+CG779*CH798+CG780*CH797+CG781*CH796+CG782*CH795+CG783*CH794+CG784*CH793+CG785*CH792+CG786*CH791+CG787*CH790+CG788*CH789+CG789*CH788+CG790*CH787+CG791*CH786+CG792*CH785+CG793*CH784+CG794*CH783+CG795*CH782+CG796*CH781+CG797*CH780+CG798*CH779+CG799</f>
        <v>195.43846767326258</v>
      </c>
      <c r="CJ799" s="114">
        <f t="shared" si="1426"/>
        <v>8.3909943092449497E-3</v>
      </c>
      <c r="CK799" s="114"/>
      <c r="CL799" s="169">
        <f t="shared" si="1427"/>
        <v>9.8572628726284542E-3</v>
      </c>
      <c r="CM799" s="169">
        <f t="shared" si="1435"/>
        <v>9.4808588386296796E-3</v>
      </c>
      <c r="CN799" s="114">
        <f>VLOOKUP($H799,RoR!$E:$F,2,FALSE)</f>
        <v>3.3875000000000009E-2</v>
      </c>
      <c r="CO799" s="169">
        <v>1.8092492884465461E-2</v>
      </c>
      <c r="CP799" s="169">
        <f t="shared" si="1433"/>
        <v>1.5782507115534548E-2</v>
      </c>
      <c r="CQ799" s="169">
        <f t="shared" si="1436"/>
        <v>2.1421082769903947E-2</v>
      </c>
      <c r="CR799" s="169">
        <f t="shared" si="1437"/>
        <v>4.8445665544254078E-2</v>
      </c>
      <c r="CS799" s="179">
        <f t="shared" si="1428"/>
        <v>0.92230000000000001</v>
      </c>
      <c r="CT799" s="180">
        <f t="shared" si="1429"/>
        <v>1.513861292459078</v>
      </c>
      <c r="CU799" s="180">
        <f t="shared" si="1430"/>
        <v>0.23699261992619944</v>
      </c>
      <c r="CV799" s="180">
        <f t="shared" si="1431"/>
        <v>0.73619765810468829</v>
      </c>
      <c r="CW799" s="180">
        <f t="shared" si="1432"/>
        <v>0.26412854465362851</v>
      </c>
      <c r="CX799" s="181">
        <f>INDEX('State Tax Lookup'!$D$7:$Z$91,MATCH(Calculation!$C799,'State Tax Lookup'!$B$7:$B$91,0),MATCH($H799,'State Tax Lookup'!$D$6:$Z$6,0))</f>
        <v>0.20999999999999996</v>
      </c>
      <c r="CY799" s="72">
        <v>0.37</v>
      </c>
      <c r="CZ799" s="70">
        <f t="shared" si="1434"/>
        <v>19.288449439112458</v>
      </c>
      <c r="DA799" s="70">
        <v>19.236104090735289</v>
      </c>
      <c r="DB799" s="69">
        <f t="shared" si="1438"/>
        <v>6.9862268786038961E-3</v>
      </c>
      <c r="DC799" s="111">
        <f>VLOOKUP($H799,RoR!$E:$F,2,FALSE)</f>
        <v>3.3875000000000009E-2</v>
      </c>
      <c r="DD799" s="216">
        <f>HLOOKUP($H799,'GDP-PI'!$D$8:$CQ$11,3,FALSE)</f>
        <v>1.8092492884465461E-2</v>
      </c>
      <c r="DE799" s="111">
        <f>VLOOKUP(H799,'HW Dx Data'!$E:$F,2,FALSE)</f>
        <v>773.53929793938721</v>
      </c>
      <c r="DF799" s="72">
        <f t="shared" si="1448"/>
        <v>149.67500000000001</v>
      </c>
      <c r="DG799" s="69">
        <f t="shared" si="1449"/>
        <v>3.5532849899171604E-2</v>
      </c>
      <c r="DH799" s="66">
        <f>HLOOKUP(H799,'GDP-PI'!$8:$9,2,FALSE)</f>
        <v>112.318</v>
      </c>
      <c r="DI799" s="69">
        <f t="shared" si="1439"/>
        <v>1.7930771451401852E-2</v>
      </c>
      <c r="EB799"/>
    </row>
    <row r="800" spans="1:132" s="160" customFormat="1" ht="21">
      <c r="A800" s="160" t="s">
        <v>206</v>
      </c>
      <c r="B800" s="160" t="s">
        <v>206</v>
      </c>
      <c r="C800" s="160">
        <v>4064479</v>
      </c>
      <c r="D800" s="160" t="s">
        <v>177</v>
      </c>
      <c r="G800" s="161" t="s">
        <v>141</v>
      </c>
      <c r="H800" s="162">
        <v>2020</v>
      </c>
      <c r="I800" s="163"/>
      <c r="J800" s="159">
        <f>IFERROR(INDEX('Labor Expenditures'!$F$7:$X$91,MATCH($C800,'Labor Expenditures'!$D$7:$D$91,0),MATCH($G800,'Labor Expenditures'!$F$5:$X$5,0)),"NA")</f>
        <v>2736.6087986368393</v>
      </c>
      <c r="K800" s="159">
        <f t="shared" si="1440"/>
        <v>17.868813572555268</v>
      </c>
      <c r="L800" s="165">
        <f t="shared" si="1446"/>
        <v>-0.15454269018499059</v>
      </c>
      <c r="M800" s="76">
        <f t="shared" si="1450"/>
        <v>-1.1968657482698372E-4</v>
      </c>
      <c r="N800" s="62">
        <f t="shared" si="1456"/>
        <v>116.10890483226461</v>
      </c>
      <c r="O800" s="96">
        <f t="shared" si="1451"/>
        <v>2.3516623297228779E-3</v>
      </c>
      <c r="P800" s="96"/>
      <c r="Q800" s="159">
        <f>IFERROR(INDEX('Non-Labor Expenditures'!$F$7:$AB$91,MATCH($C800,'Non-Labor Expenditures'!$D$7:$D$91,0),MATCH($G800,'Non-Labor Expenditures'!$F$5:$AB$5,0)),"NA")</f>
        <v>3963.1206684449871</v>
      </c>
      <c r="R800" s="159">
        <f t="shared" si="1441"/>
        <v>34.879563719009241</v>
      </c>
      <c r="S800" s="165">
        <f t="shared" si="1452"/>
        <v>-0.14314295044901537</v>
      </c>
      <c r="T800" s="165">
        <f t="shared" si="1453"/>
        <v>-1.1085797347880783E-4</v>
      </c>
      <c r="U800" s="165"/>
      <c r="V800" s="165"/>
      <c r="W800" s="159">
        <f t="shared" si="1421"/>
        <v>3892.4238356788578</v>
      </c>
      <c r="X800" s="163"/>
      <c r="Y800" s="167">
        <v>198.19007316957649</v>
      </c>
      <c r="Z800" s="168">
        <v>1.3980949201168463E-2</v>
      </c>
      <c r="AA800" s="76">
        <f t="shared" si="1442"/>
        <v>1.0827635527211911E-5</v>
      </c>
      <c r="AB800" s="168"/>
      <c r="AC800" s="168"/>
      <c r="AD800" s="163">
        <f t="shared" si="1410"/>
        <v>10592.153302760684</v>
      </c>
      <c r="AE800" s="168">
        <f t="shared" si="1454"/>
        <v>-7.1761320578922871E-2</v>
      </c>
      <c r="AF800" s="163"/>
      <c r="AG800" s="163"/>
      <c r="AH800" s="163"/>
      <c r="AI800" s="163"/>
      <c r="AJ800" s="116">
        <f t="shared" si="1455"/>
        <v>209.26078793213117</v>
      </c>
      <c r="AK800" s="114">
        <f>+AV800/$AX$25</f>
        <v>1.3343714033007008E-3</v>
      </c>
      <c r="AL800" s="115">
        <f t="shared" si="1443"/>
        <v>0.25836189492495204</v>
      </c>
      <c r="AM800" s="115">
        <f t="shared" si="1444"/>
        <v>0.37415627919698441</v>
      </c>
      <c r="AN800" s="115">
        <f t="shared" si="1445"/>
        <v>0.36748182587806361</v>
      </c>
      <c r="AO800" s="115">
        <f t="shared" si="1447"/>
        <v>-9.1502621477949103E-2</v>
      </c>
      <c r="AP800" s="166">
        <f t="shared" si="1458"/>
        <v>98.244246315842759</v>
      </c>
      <c r="AQ800" s="168">
        <f t="shared" si="1459"/>
        <v>-9.1502621477949131E-2</v>
      </c>
      <c r="AR800" s="69">
        <f>+AD800/$AF$25</f>
        <v>7.7445639572933914E-4</v>
      </c>
      <c r="AS800" s="169">
        <f t="shared" si="1457"/>
        <v>-7.0864790429598501E-5</v>
      </c>
      <c r="AT800" s="115"/>
      <c r="AU800" s="115"/>
      <c r="AV800" s="113">
        <f>IFERROR(INDEX('Total Customers'!$F$7:$AB$91,MATCH($C800,'Total Customers'!$D$7:$D$91,0),MATCH($G800,'Total Customers'!$F$5:$AB$5,0)),"NA")</f>
        <v>50617</v>
      </c>
      <c r="AW800" s="68">
        <f t="shared" si="1422"/>
        <v>1.2844651085047691E-2</v>
      </c>
      <c r="AX800" s="114"/>
      <c r="AY800" s="114"/>
      <c r="AZ800" s="116"/>
      <c r="BA800" s="116"/>
      <c r="BB800" s="166"/>
      <c r="BC800" s="166"/>
      <c r="BD800" s="166"/>
      <c r="BE800" s="166"/>
      <c r="BF800" s="166"/>
      <c r="BG800" s="166"/>
      <c r="BH800" s="166"/>
      <c r="BI800" s="113"/>
      <c r="BJ800" s="113"/>
      <c r="BK800" s="113">
        <f>INDEX('Dist. Plant Gas Additions'!$F$7:$AE$91,MATCH($C800,'Dist. Plant Gas Additions'!$D$7:$D$91,0),MATCH(Calculation!$G800,'Dist. Plant Gas Additions'!$F$5:$AE$5,0))</f>
        <v>3191</v>
      </c>
      <c r="BL800" s="113">
        <f>INDEX('Gen. Plant Additions'!$F$7:$AE$91,MATCH($C800,'Gen. Plant Additions'!$D$7:$D$91,0),MATCH(Calculation!$G800,'Gen. Plant Additions'!$F$5:$AE$5,0))</f>
        <v>678</v>
      </c>
      <c r="BM800" s="231">
        <f t="shared" si="1423"/>
        <v>0.94593944430472487</v>
      </c>
      <c r="BN800" s="61">
        <f t="shared" si="1461"/>
        <v>641.34694323860344</v>
      </c>
      <c r="BO800" s="113">
        <f>INDEX('Dist Plant Depreciation'!$E$7:$AD$94,MATCH($C800,'Dist Plant Depreciation'!$D$7:$D$94,0),MATCH(Calculation!$G800,'Dist Plant Depreciation'!$E$5:$AD$5,0))</f>
        <v>58845</v>
      </c>
      <c r="BP800" s="113">
        <f>INDEX('Gen. Plant Depreciation'!$E$7:$AD$94,MATCH($C800,'Gen. Plant Depreciation'!$D$7:$D$94,0),MATCH(Calculation!$G800,'Gen. Plant Depreciation'!$E$5:$AD$5,0))</f>
        <v>3218</v>
      </c>
      <c r="BQ800" s="113"/>
      <c r="BR800" s="113"/>
      <c r="BS800" s="113"/>
      <c r="BT800" s="113"/>
      <c r="BU800" s="113"/>
      <c r="BV800" s="113"/>
      <c r="BW800" s="113">
        <f>INDEX('Gross Dx Plant'!$E$7:$AD$91,MATCH($C800,'Gross Dx Plant'!$D$7:$D$91,0),MATCH(Calculation!$G800,'Gross Dx Plant'!$E$5:$AD$5,0))</f>
        <v>86509</v>
      </c>
      <c r="BX800" s="113">
        <f>INDEX('Gross Gen Plant'!$E$7:$AD$91,MATCH($C800,'Gross Gen Plant'!$D$7:$D$91,0),MATCH(Calculation!$G800,'Gross Gen Plant'!$E$5:$AD$5,0))</f>
        <v>4944</v>
      </c>
      <c r="BY800" s="113">
        <f t="shared" si="1460"/>
        <v>29390</v>
      </c>
      <c r="BZ800" s="113"/>
      <c r="CA800" s="116">
        <v>2020</v>
      </c>
      <c r="CB800" s="113"/>
      <c r="CC800" s="113"/>
      <c r="CD800" s="113"/>
      <c r="CE800" s="175"/>
      <c r="CF800" s="113">
        <f t="shared" si="1424"/>
        <v>3869</v>
      </c>
      <c r="CG800" s="113">
        <f t="shared" si="1425"/>
        <v>4.7584484023073079</v>
      </c>
      <c r="CH800" s="178">
        <v>0.84057971014492749</v>
      </c>
      <c r="CI800" s="61">
        <f>CI778*CH800+CG779*CH799+CG780*CH798+CG781*CH797+CG782*CH796+CG783*CH795+CG784*CH794+CG785*CH793+CG786*CH792+CG787*CH791+CG788*CH790+CG789*CH789+CG790*CH788+CG791*CH787+CG792*CH786+CG793*CH785+CG794*CH784+CG795*CH783+CG796*CH782+CG797*CH781+CG798*CH780+CG799*CH779+CG800</f>
        <v>198.19007316957649</v>
      </c>
      <c r="CJ800" s="114">
        <f t="shared" si="1426"/>
        <v>1.3980949201168463E-2</v>
      </c>
      <c r="CK800" s="114"/>
      <c r="CL800" s="169">
        <f t="shared" si="1427"/>
        <v>1.0268413019633722E-2</v>
      </c>
      <c r="CM800" s="169">
        <f t="shared" si="1435"/>
        <v>9.8651573499011214E-3</v>
      </c>
      <c r="CN800" s="114">
        <f>VLOOKUP($H800,RoR!$E:$F,2,FALSE)</f>
        <v>2.4766666666666666E-2</v>
      </c>
      <c r="CO800" s="169">
        <v>1.1618796630994188E-2</v>
      </c>
      <c r="CP800" s="169">
        <f t="shared" si="1433"/>
        <v>1.3147870035672478E-2</v>
      </c>
      <c r="CQ800" s="169">
        <f t="shared" si="1436"/>
        <v>2.1036784258632504E-2</v>
      </c>
      <c r="CR800" s="169">
        <f t="shared" si="1437"/>
        <v>4.5144642961987357E-2</v>
      </c>
      <c r="CS800" s="179">
        <f t="shared" si="1428"/>
        <v>0.92230000000000001</v>
      </c>
      <c r="CT800" s="180">
        <f t="shared" si="1429"/>
        <v>2.0706077233668081</v>
      </c>
      <c r="CU800" s="180">
        <f t="shared" si="1430"/>
        <v>-3.4421265141318998E-2</v>
      </c>
      <c r="CV800" s="180">
        <f t="shared" si="1431"/>
        <v>0.62416226176410472</v>
      </c>
      <c r="CW800" s="180">
        <f t="shared" si="1432"/>
        <v>-4.4485877841158712E-2</v>
      </c>
      <c r="CX800" s="181">
        <f>INDEX('State Tax Lookup'!$D$7:$Z$91,MATCH(Calculation!$C800,'State Tax Lookup'!$B$7:$B$91,0),MATCH($H800,'State Tax Lookup'!$D$6:$Z$6,0))</f>
        <v>0.20999999999999996</v>
      </c>
      <c r="CY800" s="72">
        <v>0.37</v>
      </c>
      <c r="CZ800" s="70">
        <f t="shared" si="1434"/>
        <v>19.916364889773284</v>
      </c>
      <c r="DA800" s="70">
        <v>19.952659173050833</v>
      </c>
      <c r="DB800" s="69">
        <f t="shared" si="1438"/>
        <v>3.2035307954795415E-2</v>
      </c>
      <c r="DC800" s="111">
        <f>VLOOKUP($H800,RoR!$E:$F,2,FALSE)</f>
        <v>2.4766666666666666E-2</v>
      </c>
      <c r="DD800" s="216">
        <f>HLOOKUP($H800,'GDP-PI'!$D$8:$CQ$11,3,FALSE)</f>
        <v>1.1618796630994188E-2</v>
      </c>
      <c r="DE800" s="111">
        <f>VLOOKUP(H800,'HW Dx Data'!$E:$F,2,FALSE)</f>
        <v>813.080162458833</v>
      </c>
      <c r="DF800" s="72">
        <f t="shared" si="1448"/>
        <v>153.15</v>
      </c>
      <c r="DG800" s="69">
        <f t="shared" si="1449"/>
        <v>2.2951556467368479E-2</v>
      </c>
      <c r="DH800" s="66">
        <f>HLOOKUP(H800,'GDP-PI'!$8:$9,2,FALSE)</f>
        <v>113.623</v>
      </c>
      <c r="DI800" s="69">
        <f t="shared" si="1439"/>
        <v>1.1551816731392881E-2</v>
      </c>
      <c r="EB800"/>
    </row>
    <row r="801" spans="1:132" s="160" customFormat="1" ht="21">
      <c r="A801" s="160" t="s">
        <v>206</v>
      </c>
      <c r="B801" s="160" t="s">
        <v>206</v>
      </c>
      <c r="C801" s="160">
        <v>4064479</v>
      </c>
      <c r="D801" s="160" t="s">
        <v>177</v>
      </c>
      <c r="G801" s="161" t="s">
        <v>142</v>
      </c>
      <c r="H801" s="162">
        <v>2021</v>
      </c>
      <c r="I801" s="163"/>
      <c r="J801" s="159">
        <v>2968.2976580963509</v>
      </c>
      <c r="K801" s="159">
        <f t="shared" si="1440"/>
        <v>18.876296712854376</v>
      </c>
      <c r="L801" s="164">
        <f t="shared" si="1446"/>
        <v>5.4850057961411826E-2</v>
      </c>
      <c r="M801" s="76">
        <f t="shared" si="1450"/>
        <v>4.2780784623466771E-5</v>
      </c>
      <c r="N801" s="166">
        <f>+N800*EXP(O801)</f>
        <v>119.16103408602568</v>
      </c>
      <c r="O801" s="114">
        <f t="shared" si="1451"/>
        <v>2.5947220500336012E-2</v>
      </c>
      <c r="P801" s="114"/>
      <c r="Q801" s="159">
        <v>4184.2268192442534</v>
      </c>
      <c r="R801" s="159">
        <f t="shared" si="1441"/>
        <v>35.312910956572317</v>
      </c>
      <c r="S801" s="165">
        <f t="shared" si="1452"/>
        <v>1.2347555640560009E-2</v>
      </c>
      <c r="T801" s="165">
        <f t="shared" si="1453"/>
        <v>9.6305845083463118E-6</v>
      </c>
      <c r="U801" s="165"/>
      <c r="V801" s="165"/>
      <c r="W801" s="159">
        <f t="shared" si="1421"/>
        <v>4798.2825920790838</v>
      </c>
      <c r="X801" s="163"/>
      <c r="Y801" s="167">
        <v>201.44288763607867</v>
      </c>
      <c r="Z801" s="168"/>
      <c r="AA801" s="76">
        <f t="shared" si="1442"/>
        <v>0</v>
      </c>
      <c r="AB801" s="168"/>
      <c r="AC801" s="168"/>
      <c r="AD801" s="163">
        <f t="shared" si="1410"/>
        <v>11950.807069419689</v>
      </c>
      <c r="AE801" s="168">
        <f t="shared" si="1454"/>
        <v>0.12068534074905567</v>
      </c>
      <c r="AF801" s="113"/>
      <c r="AG801" s="114"/>
      <c r="AH801" s="114"/>
      <c r="AI801" s="114"/>
      <c r="AJ801" s="116">
        <f t="shared" si="1455"/>
        <v>234.53189162060778</v>
      </c>
      <c r="AK801" s="114">
        <f>+AV801/$AX$26</f>
        <v>1.3198890392995789E-3</v>
      </c>
      <c r="AL801" s="115">
        <f t="shared" si="1443"/>
        <v>0.24837633482443011</v>
      </c>
      <c r="AM801" s="115">
        <f t="shared" si="1444"/>
        <v>0.35012085752359423</v>
      </c>
      <c r="AN801" s="115">
        <f t="shared" si="1445"/>
        <v>0.4015028076519756</v>
      </c>
      <c r="AO801" s="115">
        <f t="shared" si="1447"/>
        <v>1.8368836758929832E-2</v>
      </c>
      <c r="AP801" s="166">
        <f t="shared" si="1458"/>
        <v>100.06555529155467</v>
      </c>
      <c r="AQ801" s="168">
        <f t="shared" si="1459"/>
        <v>1.8368836758929852E-2</v>
      </c>
      <c r="AR801" s="69">
        <f>+AD801/$AF$26</f>
        <v>7.7995878607027102E-4</v>
      </c>
      <c r="AS801" s="169">
        <f t="shared" si="1457"/>
        <v>1.43269356200179E-5</v>
      </c>
      <c r="AT801" s="115"/>
      <c r="AU801" s="115"/>
      <c r="AV801" s="113">
        <f>INDEX('Total Customers'!$E$7:$E$91,MATCH(Calculation!$C801,'Total Customers'!$D$7:$D$91,0))</f>
        <v>50956</v>
      </c>
      <c r="AW801" s="68">
        <f t="shared" si="1422"/>
        <v>6.6750269994123503E-3</v>
      </c>
      <c r="AX801" s="113"/>
      <c r="AY801" s="113"/>
      <c r="AZ801" s="116"/>
      <c r="BA801" s="116"/>
      <c r="BB801" s="166"/>
      <c r="BC801" s="166"/>
      <c r="BD801" s="166"/>
      <c r="BE801" s="166"/>
      <c r="BF801" s="166"/>
      <c r="BG801" s="166"/>
      <c r="BH801" s="166"/>
      <c r="BI801" s="113"/>
      <c r="BJ801" s="113"/>
      <c r="BK801" s="113">
        <f>INDEX('Dist. Plant Gas Additions'!$E$7:$AE$91,MATCH($C801,'Dist. Plant Gas Additions'!$D$7:$D$91,0),MATCH(Calculation!$G801,'Dist. Plant Gas Additions'!$E$5:$AE$5,0))</f>
        <v>2084</v>
      </c>
      <c r="BL801" s="113">
        <f>INDEX('Gen. Plant Additions'!$E$7:$AE$91,MATCH($C801,'Gen. Plant Additions'!$D$7:$D$91,0),MATCH(Calculation!$G801,'Gen. Plant Additions'!$E$5:$AE$5,0))</f>
        <v>1998</v>
      </c>
      <c r="BM801" s="232">
        <v>0.94593944430472487</v>
      </c>
      <c r="BN801" s="61">
        <f t="shared" si="1461"/>
        <v>1889.9870097208402</v>
      </c>
      <c r="BO801" s="113"/>
      <c r="BP801" s="113"/>
      <c r="BQ801" s="175"/>
      <c r="BR801" s="175"/>
      <c r="BS801" s="170"/>
      <c r="BT801" s="176"/>
      <c r="BU801" s="177"/>
      <c r="BV801" s="177"/>
      <c r="BW801" s="113"/>
      <c r="BX801" s="113"/>
      <c r="BY801" s="113"/>
      <c r="BZ801" s="113"/>
      <c r="CA801" s="116">
        <v>2021</v>
      </c>
      <c r="CB801" s="113"/>
      <c r="CC801" s="113"/>
      <c r="CD801" s="113"/>
      <c r="CE801" s="175"/>
      <c r="CF801" s="113">
        <f t="shared" si="1424"/>
        <v>4082</v>
      </c>
      <c r="CG801" s="113">
        <f t="shared" si="1425"/>
        <v>4.3750284729760374</v>
      </c>
      <c r="CH801" s="178">
        <f>+(51-23)/(51-23*0.75)</f>
        <v>0.82962962962962961</v>
      </c>
      <c r="CI801" s="113">
        <f>CI778*CH801+CG779*CH800+CG780*CH799+CG781*CH798+CG782*CH797+CG783*CH796+CG784*CH795+CG785*CH794+CG786*CH793+CG787*CH792+CG788*CH791+CG789*CH790+CG790*CH789+CG791*CH788+CG792*CH787+CG783*CH786+CG794*CH785+CG795*CH784+CG796*CH783+CG797*CH782+CG798*CH781+CG799*CH780+CG801+CG800*CH779</f>
        <v>201.44288763607867</v>
      </c>
      <c r="CJ801" s="114"/>
      <c r="CK801" s="113"/>
      <c r="CL801" s="169">
        <f t="shared" si="1427"/>
        <v>5.6623118833690001E-3</v>
      </c>
      <c r="CM801" s="169">
        <f t="shared" si="1435"/>
        <v>8.5959959252103913E-3</v>
      </c>
      <c r="CN801" s="114">
        <f>VLOOKUP($H801,RoR!$E:$F,2,FALSE)</f>
        <v>2.7033333333333336E-2</v>
      </c>
      <c r="CO801" s="169"/>
      <c r="CP801" s="169"/>
      <c r="CQ801" s="169">
        <f t="shared" si="1436"/>
        <v>2.2305945683323232E-2</v>
      </c>
      <c r="CR801" s="169">
        <f t="shared" si="1437"/>
        <v>7.433422950153494E-2</v>
      </c>
      <c r="CS801" s="179">
        <f t="shared" si="1428"/>
        <v>0.92230000000000001</v>
      </c>
      <c r="CT801" s="180">
        <f t="shared" si="1429"/>
        <v>1.8969932656739068</v>
      </c>
      <c r="CU801" s="180">
        <f t="shared" si="1430"/>
        <v>5.0215782983970621E-2</v>
      </c>
      <c r="CV801" s="180">
        <f t="shared" si="1431"/>
        <v>0.655952481704143</v>
      </c>
      <c r="CW801" s="180">
        <f t="shared" si="1432"/>
        <v>6.2485378865697057E-2</v>
      </c>
      <c r="CX801" s="181">
        <f>CX800</f>
        <v>0.20999999999999996</v>
      </c>
      <c r="CY801" s="72">
        <v>0.37</v>
      </c>
      <c r="CZ801" s="182">
        <f t="shared" si="1434"/>
        <v>24.210509211395014</v>
      </c>
      <c r="DA801" s="182"/>
      <c r="DB801" s="169">
        <f t="shared" si="1438"/>
        <v>0.19524505377978499</v>
      </c>
      <c r="DC801" s="181">
        <f>VLOOKUP($H801,RoR!$E:$F,2,FALSE)</f>
        <v>2.7033333333333336E-2</v>
      </c>
      <c r="DD801" s="183">
        <f>HLOOKUP($H801,'GDP-PI'!$D$8:$CR$11,3,FALSE)</f>
        <v>4.2834637353352578E-2</v>
      </c>
      <c r="DE801" s="181">
        <f>VLOOKUP(H801,'HW Dx Data'!$E:$F,2,FALSE)</f>
        <v>933.02249921662576</v>
      </c>
      <c r="DF801" s="72">
        <f t="shared" si="1448"/>
        <v>157.25</v>
      </c>
      <c r="DG801" s="69">
        <f t="shared" si="1449"/>
        <v>2.6419062301765574E-2</v>
      </c>
      <c r="DH801" s="175">
        <f>HLOOKUP(H801,'GDP-PI'!$8:$9,2,FALSE)</f>
        <v>118.49</v>
      </c>
      <c r="DI801" s="169">
        <f t="shared" si="1439"/>
        <v>4.194261824609434E-2</v>
      </c>
      <c r="EB801"/>
    </row>
    <row r="802" spans="1:132" s="160" customFormat="1" ht="21">
      <c r="G802" s="161" t="s">
        <v>144</v>
      </c>
      <c r="H802" s="162"/>
      <c r="I802" s="163"/>
      <c r="J802" s="159">
        <v>3171.0498084459828</v>
      </c>
      <c r="K802" s="159">
        <f t="shared" si="1440"/>
        <v>19.50815015961847</v>
      </c>
      <c r="L802" s="164">
        <f t="shared" ref="L802" si="1462">LN(K802/K801)</f>
        <v>3.2925342359430516E-2</v>
      </c>
      <c r="M802" s="76">
        <f t="shared" si="1450"/>
        <v>2.5394820610876378E-5</v>
      </c>
      <c r="N802" s="166">
        <f>+N801*EXP(O802)</f>
        <v>116.9892079852645</v>
      </c>
      <c r="O802" s="114">
        <f t="shared" si="1451"/>
        <v>-1.8394114836634019E-2</v>
      </c>
      <c r="P802" s="114"/>
      <c r="Q802" s="163">
        <v>4470.0340673274695</v>
      </c>
      <c r="R802" s="159">
        <f t="shared" si="1441"/>
        <v>35.12796909491135</v>
      </c>
      <c r="S802" s="165">
        <f t="shared" ref="S802" si="1463">LN(R802/R801)</f>
        <v>-5.2509930731887249E-3</v>
      </c>
      <c r="T802" s="165">
        <f t="shared" si="1453"/>
        <v>-4.0500118621967321E-6</v>
      </c>
      <c r="U802" s="166"/>
      <c r="V802" s="114"/>
      <c r="W802" s="159">
        <f t="shared" si="1421"/>
        <v>4888.5899605173654</v>
      </c>
      <c r="X802" s="168"/>
      <c r="Y802" s="167">
        <v>202.18294113247427</v>
      </c>
      <c r="Z802" s="168">
        <v>3.6670315571842773E-3</v>
      </c>
      <c r="AA802" s="76">
        <f t="shared" si="1442"/>
        <v>2.8283262039474224E-6</v>
      </c>
      <c r="AB802" s="166"/>
      <c r="AC802" s="114"/>
      <c r="AD802" s="163">
        <f t="shared" si="1410"/>
        <v>12529.673836290818</v>
      </c>
      <c r="AE802" s="168">
        <f t="shared" si="1454"/>
        <v>4.7300924659017099E-2</v>
      </c>
      <c r="AF802" s="113"/>
      <c r="AG802" s="114"/>
      <c r="AH802" s="114"/>
      <c r="AI802" s="114"/>
      <c r="AJ802" s="116">
        <f t="shared" si="1455"/>
        <v>244.63418790836849</v>
      </c>
      <c r="AK802" s="114"/>
      <c r="AL802" s="115">
        <f t="shared" si="1443"/>
        <v>0.25308318874681213</v>
      </c>
      <c r="AM802" s="115">
        <f t="shared" si="1444"/>
        <v>0.35675582028165082</v>
      </c>
      <c r="AN802" s="115">
        <f t="shared" si="1445"/>
        <v>0.390160990971537</v>
      </c>
      <c r="AO802" s="115"/>
      <c r="AP802" s="166"/>
      <c r="AQ802" s="168"/>
      <c r="AR802" s="69">
        <f>+AD802/$AF$27</f>
        <v>7.7128493710568093E-4</v>
      </c>
      <c r="AS802" s="169"/>
      <c r="AT802" s="166"/>
      <c r="AU802" s="168"/>
      <c r="AV802" s="113">
        <v>51218</v>
      </c>
      <c r="AW802" s="68">
        <f t="shared" si="1422"/>
        <v>5.1285175143061384E-3</v>
      </c>
      <c r="AX802" s="113"/>
      <c r="AY802" s="113"/>
      <c r="AZ802" s="113"/>
      <c r="BA802" s="113"/>
      <c r="BB802" s="171"/>
      <c r="BC802" s="172"/>
      <c r="BD802" s="173"/>
      <c r="BE802" s="115"/>
      <c r="BF802" s="174"/>
      <c r="BG802" s="174"/>
      <c r="BH802" s="166"/>
      <c r="BI802" s="113"/>
      <c r="BJ802" s="113"/>
      <c r="BK802" s="113"/>
      <c r="BL802" s="113"/>
      <c r="BM802" s="232">
        <v>0.94593944430472487</v>
      </c>
      <c r="BN802" s="61">
        <f t="shared" si="1461"/>
        <v>0</v>
      </c>
      <c r="BO802" s="113"/>
      <c r="BP802" s="113"/>
      <c r="BQ802" s="175"/>
      <c r="BR802" s="175"/>
      <c r="BS802" s="170"/>
      <c r="BT802" s="176"/>
      <c r="BU802" s="177"/>
      <c r="BV802" s="177"/>
      <c r="BW802" s="113"/>
      <c r="BX802" s="113"/>
      <c r="BY802" s="113"/>
      <c r="BZ802" s="113"/>
      <c r="CA802" s="116">
        <v>2022</v>
      </c>
      <c r="CB802" s="113"/>
      <c r="CC802" s="113"/>
      <c r="CD802" s="113"/>
      <c r="CE802" s="175"/>
      <c r="CF802" s="238">
        <v>4011</v>
      </c>
      <c r="CG802" s="113">
        <f>+CF802/DE802</f>
        <v>3.8911147544164302</v>
      </c>
      <c r="CH802" s="178">
        <f>+(51-24)/(51-24*0.75)</f>
        <v>0.81818181818181823</v>
      </c>
      <c r="CI802" s="113">
        <f>+CI778*CH802+CG779*CH801+CG780*CH800+CG781*CH799+CG782*CH798+CG783*CH797+CG784*CH796+CG785*CH795+CG786*CH794+CG787*CH793+CG788*CH792+CG789*CH791+CG790*CH790+CG791*CH789+CG792*CH788+CG793*CH787+CG794*CH786+CG795*CH785+CG796*CH784+CG797*CH783+CG798*CH782+CG799*CH781+CG800*CH780+CG801*CH779+CG802*CH778</f>
        <v>202.11406325973343</v>
      </c>
      <c r="CJ802" s="114">
        <f t="shared" ref="CJ802" si="1464">LN(CI802/CI801)</f>
        <v>3.3263024760437922E-3</v>
      </c>
      <c r="CK802" s="113"/>
      <c r="CL802" s="169">
        <f t="shared" si="1427"/>
        <v>1.5984377351553482E-2</v>
      </c>
      <c r="CM802" s="169">
        <f t="shared" si="1435"/>
        <v>1.0638367418185401E-2</v>
      </c>
      <c r="CN802" s="114"/>
      <c r="CO802" s="169"/>
      <c r="CP802" s="169"/>
      <c r="CQ802" s="69">
        <f t="shared" si="1436"/>
        <v>2.0263574190348223E-2</v>
      </c>
      <c r="CR802" s="169">
        <f t="shared" si="1437"/>
        <v>0.10114668178709289</v>
      </c>
      <c r="CS802" s="179">
        <f t="shared" ref="CS802" si="1465">1-CX802*CY802</f>
        <v>0.92230000000000001</v>
      </c>
      <c r="CT802" s="180">
        <f t="shared" ref="CT802" si="1466">2/(DC802*39)</f>
        <v>1.2820512820512819</v>
      </c>
      <c r="CU802" s="180">
        <f t="shared" ref="CU802" si="1467">+(DC802*40-(1+DC802))/(DC802*40)</f>
        <v>0.35000000000000003</v>
      </c>
      <c r="CV802" s="180">
        <f t="shared" ref="CV802" si="1468">+(1-(1/(1+DC802)^40))</f>
        <v>0.79171095533705893</v>
      </c>
      <c r="CW802" s="180">
        <f t="shared" ref="CW802" si="1469">+CV802*CU802*CT802</f>
        <v>0.35525491585637264</v>
      </c>
      <c r="CX802" s="181">
        <f>CX801</f>
        <v>0.20999999999999996</v>
      </c>
      <c r="CY802" s="72">
        <v>0.37</v>
      </c>
      <c r="CZ802" s="182">
        <f t="shared" ref="CZ802" si="1470">+(DE802*CQ802-CR802)*CS802/(1-CX802)</f>
        <v>24.267870749296254</v>
      </c>
      <c r="DA802" s="182"/>
      <c r="DB802" s="169">
        <f t="shared" si="1438"/>
        <v>2.3664802626475259E-3</v>
      </c>
      <c r="DC802" s="181">
        <v>0.04</v>
      </c>
      <c r="DD802" s="183">
        <v>7.0000000000000001E-3</v>
      </c>
      <c r="DE802" s="181">
        <v>1030.81</v>
      </c>
      <c r="DF802" s="72">
        <f t="shared" si="1448"/>
        <v>162.55000000000001</v>
      </c>
      <c r="DG802" s="169">
        <f t="shared" si="1449"/>
        <v>3.3148751169364422E-2</v>
      </c>
      <c r="DH802" s="175">
        <v>127.25</v>
      </c>
      <c r="DI802" s="169">
        <f t="shared" si="1439"/>
        <v>7.1325086601983473E-2</v>
      </c>
      <c r="EB802"/>
    </row>
    <row r="803" spans="1:132" s="160" customFormat="1" ht="21">
      <c r="A803" s="160" t="s">
        <v>207</v>
      </c>
      <c r="B803" s="161" t="s">
        <v>207</v>
      </c>
      <c r="C803" s="161">
        <v>4057093</v>
      </c>
      <c r="D803" s="161" t="s">
        <v>171</v>
      </c>
      <c r="E803" s="161" t="s">
        <v>3</v>
      </c>
      <c r="F803" s="161"/>
      <c r="G803" s="161" t="s">
        <v>100</v>
      </c>
      <c r="H803" s="162">
        <v>1998</v>
      </c>
      <c r="I803" s="163"/>
      <c r="J803" s="159"/>
      <c r="K803" s="159"/>
      <c r="L803" s="159"/>
      <c r="M803" s="60"/>
      <c r="N803" s="131"/>
      <c r="O803" s="76"/>
      <c r="P803" s="76"/>
      <c r="Q803" s="159"/>
      <c r="R803" s="159"/>
      <c r="S803" s="159"/>
      <c r="T803" s="159"/>
      <c r="U803" s="159"/>
      <c r="V803" s="159"/>
      <c r="W803" s="159"/>
      <c r="X803" s="163"/>
      <c r="Y803" s="167">
        <v>777.65435507983364</v>
      </c>
      <c r="Z803" s="168"/>
      <c r="AA803" s="78"/>
      <c r="AB803" s="168"/>
      <c r="AC803" s="168"/>
      <c r="AD803" s="163">
        <f t="shared" si="1410"/>
        <v>0</v>
      </c>
      <c r="AE803" s="163"/>
      <c r="AF803" s="163"/>
      <c r="AG803" s="114"/>
      <c r="AH803" s="114"/>
      <c r="AI803" s="114"/>
      <c r="AJ803" s="166">
        <f>+(AJ800+AJ801+AJ802)/3</f>
        <v>229.47562248703582</v>
      </c>
      <c r="AK803" s="168"/>
      <c r="AL803" s="115"/>
      <c r="AM803" s="115"/>
      <c r="AN803" s="115"/>
      <c r="AO803" s="115"/>
      <c r="AP803" s="115"/>
      <c r="AQ803" s="168">
        <f>AVERAGE(AQ812:AQ826)</f>
        <v>1.6145381355430817E-2</v>
      </c>
      <c r="AR803" s="79"/>
      <c r="AS803" s="115"/>
      <c r="AT803" s="115"/>
      <c r="AU803" s="115"/>
      <c r="AV803" s="113">
        <f>IFERROR(INDEX('Total Customers'!$F$7:$AB$91,MATCH($C803,'Total Customers'!$D$7:$D$91,0),MATCH($G803,'Total Customers'!$F$5:$AB$5,0)),"NA")</f>
        <v>115758</v>
      </c>
      <c r="AW803" s="68"/>
      <c r="AX803" s="114"/>
      <c r="AY803" s="114"/>
      <c r="AZ803" s="116"/>
      <c r="BA803" s="116"/>
      <c r="BB803" s="166"/>
      <c r="BC803" s="166"/>
      <c r="BD803" s="166"/>
      <c r="BE803" s="166"/>
      <c r="BF803" s="166"/>
      <c r="BG803" s="166"/>
      <c r="BH803" s="166"/>
      <c r="BI803" s="113">
        <f>INDEX('Gross Dx Plant'!$E$7:$AD$91,MATCH($C803,'Gross Dx Plant'!$D$7:$D$91,0),MATCH(Calculation!$G803,'Gross Dx Plant'!$E$5:$AD$5,0))</f>
        <v>232172</v>
      </c>
      <c r="BJ803" s="113">
        <f>INDEX('Gross Gen Plant'!$E$7:$AD$91,MATCH($C803,'Gross Gen Plant'!$D$7:$D$91,0),MATCH(Calculation!$G803,'Gross Gen Plant'!$E$5:$AD$5,0))</f>
        <v>8109</v>
      </c>
      <c r="BK803" s="113">
        <f>INDEX('Dist. Plant Gas Additions'!$F$7:$AE$91,MATCH($C803,'Dist. Plant Gas Additions'!$D$7:$D$91,0),MATCH(Calculation!$G803,'Dist. Plant Gas Additions'!$F$5:$AE$5,0))</f>
        <v>14717</v>
      </c>
      <c r="BL803" s="113">
        <f>INDEX('Gen. Plant Additions'!$F$7:$AE$91,MATCH($C803,'Gen. Plant Additions'!$D$7:$D$91,0),MATCH(Calculation!$G803,'Gen. Plant Additions'!$F$5:$AE$5,0))</f>
        <v>692</v>
      </c>
      <c r="BM803" s="231">
        <f>+(BW803/(BW803+BX803))</f>
        <v>0.96625201326779897</v>
      </c>
      <c r="BN803" s="61">
        <f t="shared" si="1461"/>
        <v>668.64639318131685</v>
      </c>
      <c r="BO803" s="113">
        <f>INDEX('Dist Plant Depreciation'!$E$7:$AD$94,MATCH($C803,'Dist Plant Depreciation'!$D$7:$D$94,0),MATCH(Calculation!$G803,'Dist Plant Depreciation'!$E$5:$AD$5,0))</f>
        <v>76852</v>
      </c>
      <c r="BP803" s="113">
        <f>INDEX('Gen. Plant Depreciation'!$E$7:$AD$94,MATCH($C803,'Gen. Plant Depreciation'!$D$7:$D$94,0),MATCH(Calculation!$G803,'Gen. Plant Depreciation'!$E$5:$AD$5,0))</f>
        <v>6561</v>
      </c>
      <c r="BQ803" s="113"/>
      <c r="BR803" s="113"/>
      <c r="BS803" s="113"/>
      <c r="BT803" s="113"/>
      <c r="BU803" s="113"/>
      <c r="BV803" s="175"/>
      <c r="BW803" s="113">
        <f>INDEX('Gross Dx Plant'!$E$7:$AD$91,MATCH($C803,'Gross Dx Plant'!$D$7:$D$91,0),MATCH(Calculation!$G803,'Gross Dx Plant'!$E$5:$AD$5,0))</f>
        <v>232172</v>
      </c>
      <c r="BX803" s="113">
        <f>INDEX('Gross Gen Plant'!$E$7:$AD$91,MATCH($C803,'Gross Gen Plant'!$D$7:$D$91,0),MATCH(Calculation!$G803,'Gross Gen Plant'!$E$5:$AD$5,0))</f>
        <v>8109</v>
      </c>
      <c r="BY803" s="113">
        <f t="shared" si="1460"/>
        <v>156868</v>
      </c>
      <c r="BZ803" s="113"/>
      <c r="CA803" s="116">
        <v>1998</v>
      </c>
      <c r="CB803" s="113">
        <f>BI803+BJ803</f>
        <v>240281</v>
      </c>
      <c r="CC803" s="113">
        <f>76852+6561</f>
        <v>83413</v>
      </c>
      <c r="CD803" s="113">
        <f>+CB803-CC803</f>
        <v>156868</v>
      </c>
      <c r="CE803" s="113">
        <f>CD803/$BV$3</f>
        <v>777.65435507983364</v>
      </c>
      <c r="CF803" s="175"/>
      <c r="CG803" s="175"/>
      <c r="CH803" s="178">
        <v>1</v>
      </c>
      <c r="CI803" s="113">
        <f>+CE803</f>
        <v>777.65435507983364</v>
      </c>
      <c r="CJ803" s="114"/>
      <c r="CK803" s="114"/>
      <c r="CL803" s="169"/>
      <c r="CM803" s="169"/>
      <c r="CN803" s="114" t="e">
        <f>VLOOKUP($H803,RoR!$E:$F,2,FALSE)</f>
        <v>#N/A</v>
      </c>
      <c r="CO803" s="169">
        <v>1.1028127770464469E-2</v>
      </c>
      <c r="CP803" s="169"/>
      <c r="CQ803" s="169"/>
      <c r="CR803" s="169"/>
      <c r="CS803" s="179"/>
      <c r="CT803" s="182" t="e">
        <f>2/(DC803*39)</f>
        <v>#N/A</v>
      </c>
      <c r="CU803" s="180" t="e">
        <f>+(DC803*40-(1+DC803))/(DC803*40)</f>
        <v>#N/A</v>
      </c>
      <c r="CV803" s="180" t="e">
        <f>+(1-(1/(1+DC803)^40))</f>
        <v>#N/A</v>
      </c>
      <c r="CW803" s="180" t="e">
        <f>+CV803*CU803*CT803</f>
        <v>#N/A</v>
      </c>
      <c r="CX803" s="181">
        <f>INDEX('State Tax Lookup'!$D$7:$Z$91,MATCH(Calculation!$C803,'State Tax Lookup'!$B$7:$B$91,0),MATCH($H803,'State Tax Lookup'!$D$6:$Z$6,0))</f>
        <v>0.39649667</v>
      </c>
      <c r="CY803" s="72">
        <v>0.37</v>
      </c>
      <c r="CZ803" s="66"/>
      <c r="DA803" s="66"/>
      <c r="DB803" s="69"/>
      <c r="DC803" s="111" t="e">
        <f>VLOOKUP($H803,RoR!$E:$F,2,FALSE)</f>
        <v>#N/A</v>
      </c>
      <c r="DD803" s="216">
        <f>HLOOKUP($H803,'GDP-PI'!$D$8:$CQ$11,3,FALSE)</f>
        <v>1.1028127770464469E-2</v>
      </c>
      <c r="DE803" s="111">
        <f>VLOOKUP(H803,'HW Dx Data'!$E:$F,2,FALSE)</f>
        <v>329.24564746449528</v>
      </c>
      <c r="DF803" s="72" t="e">
        <f t="shared" si="1448"/>
        <v>#N/A</v>
      </c>
      <c r="DG803" s="169" t="e">
        <f t="shared" si="1449"/>
        <v>#N/A</v>
      </c>
      <c r="DH803" s="66">
        <f>HLOOKUP(H803,'GDP-PI'!$8:$9,2,FALSE)</f>
        <v>75.266999999999996</v>
      </c>
      <c r="DI803"/>
      <c r="EB803"/>
    </row>
    <row r="804" spans="1:132" s="160" customFormat="1" ht="21">
      <c r="A804" s="160" t="s">
        <v>207</v>
      </c>
      <c r="B804" s="161" t="s">
        <v>207</v>
      </c>
      <c r="C804" s="161">
        <v>4057093</v>
      </c>
      <c r="D804" s="161" t="s">
        <v>171</v>
      </c>
      <c r="E804" s="161" t="s">
        <v>3</v>
      </c>
      <c r="F804" s="161"/>
      <c r="G804" s="161" t="s">
        <v>106</v>
      </c>
      <c r="H804" s="162">
        <v>1999</v>
      </c>
      <c r="I804" s="163"/>
      <c r="J804" s="159"/>
      <c r="K804" s="159"/>
      <c r="L804" s="159"/>
      <c r="M804" s="60"/>
      <c r="N804" s="152"/>
      <c r="O804" s="60"/>
      <c r="P804" s="60"/>
      <c r="Q804" s="159"/>
      <c r="R804" s="159"/>
      <c r="S804" s="159"/>
      <c r="T804" s="187"/>
      <c r="U804" s="159"/>
      <c r="V804" s="159"/>
      <c r="W804" s="159">
        <f t="shared" ref="W804:W825" si="1471">+CI803*CZ804</f>
        <v>0</v>
      </c>
      <c r="X804" s="163"/>
      <c r="Y804" s="167">
        <v>825.85133547547071</v>
      </c>
      <c r="Z804" s="168">
        <v>6.0132624274547714E-2</v>
      </c>
      <c r="AA804" s="78"/>
      <c r="AB804" s="168"/>
      <c r="AC804" s="168"/>
      <c r="AD804" s="163">
        <f t="shared" si="1410"/>
        <v>0</v>
      </c>
      <c r="AE804" s="168"/>
      <c r="AF804" s="163"/>
      <c r="AG804" s="114"/>
      <c r="AH804" s="114"/>
      <c r="AI804" s="114"/>
      <c r="AJ804" s="167"/>
      <c r="AK804" s="168"/>
      <c r="AL804" s="115"/>
      <c r="AM804" s="115"/>
      <c r="AN804" s="115"/>
      <c r="AO804" s="115"/>
      <c r="AP804" s="115"/>
      <c r="AQ804" s="168"/>
      <c r="AR804" s="79"/>
      <c r="AS804" s="115"/>
      <c r="AT804" s="115"/>
      <c r="AU804" s="115"/>
      <c r="AV804" s="113">
        <f>IFERROR(INDEX('Total Customers'!$F$7:$AB$91,MATCH($C804,'Total Customers'!$D$7:$D$91,0),MATCH($G804,'Total Customers'!$F$5:$AB$5,0)),"NA")</f>
        <v>114015</v>
      </c>
      <c r="AW804" s="68">
        <f t="shared" si="1422"/>
        <v>-1.517178636277733E-2</v>
      </c>
      <c r="AX804" s="114"/>
      <c r="AY804" s="114"/>
      <c r="AZ804" s="116"/>
      <c r="BA804" s="116"/>
      <c r="BB804" s="166"/>
      <c r="BC804" s="166"/>
      <c r="BD804" s="166"/>
      <c r="BE804" s="166"/>
      <c r="BF804" s="166"/>
      <c r="BG804" s="166"/>
      <c r="BH804" s="166"/>
      <c r="BI804" s="113"/>
      <c r="BJ804" s="113"/>
      <c r="BK804" s="113">
        <f>INDEX('Dist. Plant Gas Additions'!$F$7:$AE$91,MATCH($C804,'Dist. Plant Gas Additions'!$D$7:$D$91,0),MATCH(Calculation!$G804,'Dist. Plant Gas Additions'!$F$5:$AE$5,0))</f>
        <v>17400</v>
      </c>
      <c r="BL804" s="113">
        <f>INDEX('Gen. Plant Additions'!$F$7:$AE$91,MATCH($C804,'Gen. Plant Additions'!$D$7:$D$91,0),MATCH(Calculation!$G804,'Gen. Plant Additions'!$F$5:$AE$5,0))</f>
        <v>59</v>
      </c>
      <c r="BM804" s="231">
        <f t="shared" ref="BM804:BM825" si="1472">+(BW804/(BW804+BX804))</f>
        <v>0.96817205512070725</v>
      </c>
      <c r="BN804" s="61">
        <f t="shared" si="1461"/>
        <v>57.122151252121725</v>
      </c>
      <c r="BO804" s="113">
        <f>INDEX('Dist Plant Depreciation'!$E$7:$AD$94,MATCH($C804,'Dist Plant Depreciation'!$D$7:$D$94,0),MATCH(Calculation!$G804,'Dist Plant Depreciation'!$E$5:$AD$5,0))</f>
        <v>79136</v>
      </c>
      <c r="BP804" s="113">
        <f>INDEX('Gen. Plant Depreciation'!$E$7:$AD$94,MATCH($C804,'Gen. Plant Depreciation'!$D$7:$D$94,0),MATCH(Calculation!$G804,'Gen. Plant Depreciation'!$E$5:$AD$5,0))</f>
        <v>5482</v>
      </c>
      <c r="BQ804" s="113"/>
      <c r="BR804" s="113"/>
      <c r="BS804" s="113"/>
      <c r="BT804" s="113"/>
      <c r="BU804" s="113"/>
      <c r="BV804" s="175"/>
      <c r="BW804" s="113">
        <f>INDEX('Gross Dx Plant'!$E$7:$AD$91,MATCH($C804,'Gross Dx Plant'!$D$7:$D$91,0),MATCH(Calculation!$G804,'Gross Dx Plant'!$E$5:$AD$5,0))</f>
        <v>240705</v>
      </c>
      <c r="BX804" s="113">
        <f>INDEX('Gross Gen Plant'!$E$7:$AD$91,MATCH($C804,'Gross Gen Plant'!$D$7:$D$91,0),MATCH(Calculation!$G804,'Gross Gen Plant'!$E$5:$AD$5,0))</f>
        <v>7913</v>
      </c>
      <c r="BY804" s="113">
        <f t="shared" si="1460"/>
        <v>164000</v>
      </c>
      <c r="BZ804" s="113"/>
      <c r="CA804" s="116">
        <v>1999</v>
      </c>
      <c r="CB804" s="113"/>
      <c r="CC804" s="113"/>
      <c r="CD804" s="113"/>
      <c r="CE804" s="175"/>
      <c r="CF804" s="113">
        <f t="shared" ref="CF804:CF826" si="1473">+BL804+BK804</f>
        <v>17459</v>
      </c>
      <c r="CG804" s="113">
        <f t="shared" ref="CG804:CG826" si="1474">+CF804/$DE804</f>
        <v>52.065907535337708</v>
      </c>
      <c r="CH804" s="178">
        <v>0.99502487562189057</v>
      </c>
      <c r="CI804" s="61">
        <f>+CI803*CH804+CG804</f>
        <v>825.85133547547071</v>
      </c>
      <c r="CJ804" s="114">
        <f t="shared" ref="CJ804:CJ825" si="1475">LN(CI804/CI803)</f>
        <v>6.0132624274547714E-2</v>
      </c>
      <c r="CK804" s="114"/>
      <c r="CL804" s="169">
        <f t="shared" ref="CL804:CL827" si="1476">+(CI803-CI804+CG804)/CI803</f>
        <v>4.9751243781094179E-3</v>
      </c>
      <c r="CM804" s="169"/>
      <c r="CN804" s="114">
        <f>VLOOKUP($H804,RoR!$E:$F,2,FALSE)</f>
        <v>7.0416666666666669E-2</v>
      </c>
      <c r="CO804" s="169">
        <v>1.4335631817396832E-2</v>
      </c>
      <c r="CP804" s="169">
        <f>+CN804-CO804</f>
        <v>5.6081034849269837E-2</v>
      </c>
      <c r="CQ804" s="169"/>
      <c r="CR804" s="169"/>
      <c r="CS804" s="179">
        <f t="shared" ref="CS804:CS827" si="1477">1-CX804*CY804</f>
        <v>0.85329623209999994</v>
      </c>
      <c r="CT804" s="180">
        <f t="shared" ref="CT804:CT827" si="1478">2/(DC804*39)</f>
        <v>0.72826581702321336</v>
      </c>
      <c r="CU804" s="180">
        <f t="shared" ref="CU804:CU827" si="1479">+(DC804*40-(1+DC804))/(DC804*40)</f>
        <v>0.61997041420118348</v>
      </c>
      <c r="CV804" s="180">
        <f t="shared" ref="CV804:CV827" si="1480">+(1-(1/(1+DC804)^40))</f>
        <v>0.93425155319585029</v>
      </c>
      <c r="CW804" s="180">
        <f t="shared" ref="CW804:CW827" si="1481">+CV804*CU804*CT804</f>
        <v>0.42181762214141483</v>
      </c>
      <c r="CX804" s="181">
        <f>INDEX('State Tax Lookup'!$D$7:$Z$91,MATCH(Calculation!$C804,'State Tax Lookup'!$B$7:$B$91,0),MATCH($H804,'State Tax Lookup'!$D$6:$Z$6,0))</f>
        <v>0.39649667</v>
      </c>
      <c r="CY804" s="72">
        <v>0.37</v>
      </c>
      <c r="CZ804" s="70"/>
      <c r="DA804" s="70"/>
      <c r="DB804" s="69"/>
      <c r="DC804" s="111">
        <f>VLOOKUP($H804,RoR!$E:$F,2,FALSE)</f>
        <v>7.0416666666666669E-2</v>
      </c>
      <c r="DD804" s="216">
        <f>HLOOKUP($H804,'GDP-PI'!$D$8:$CQ$11,3,FALSE)</f>
        <v>1.4335631817396832E-2</v>
      </c>
      <c r="DE804" s="111">
        <f>VLOOKUP(H804,'HW Dx Data'!$E:$F,2,FALSE)</f>
        <v>335.32499146683239</v>
      </c>
      <c r="DF804" s="66"/>
      <c r="DG804" s="69"/>
      <c r="DH804" s="66">
        <f>HLOOKUP(H804,'GDP-PI'!$8:$9,2,FALSE)</f>
        <v>76.346000000000004</v>
      </c>
      <c r="DI804"/>
      <c r="EB804"/>
    </row>
    <row r="805" spans="1:132" s="160" customFormat="1" ht="21">
      <c r="A805" s="160" t="s">
        <v>207</v>
      </c>
      <c r="B805" s="161" t="s">
        <v>207</v>
      </c>
      <c r="C805" s="161">
        <v>4057093</v>
      </c>
      <c r="D805" s="161" t="s">
        <v>171</v>
      </c>
      <c r="E805" s="161" t="s">
        <v>3</v>
      </c>
      <c r="F805" s="161"/>
      <c r="G805" s="161" t="s">
        <v>107</v>
      </c>
      <c r="H805" s="162">
        <v>2000</v>
      </c>
      <c r="I805" s="163"/>
      <c r="J805" s="159"/>
      <c r="K805" s="159"/>
      <c r="L805" s="159"/>
      <c r="M805" s="60"/>
      <c r="N805" s="152"/>
      <c r="O805" s="60"/>
      <c r="P805" s="60"/>
      <c r="Q805" s="159"/>
      <c r="R805" s="159"/>
      <c r="S805" s="159"/>
      <c r="T805" s="159"/>
      <c r="U805" s="159"/>
      <c r="V805" s="159"/>
      <c r="W805" s="159">
        <f t="shared" si="1471"/>
        <v>0</v>
      </c>
      <c r="X805" s="163"/>
      <c r="Y805" s="167">
        <v>872.31692781560992</v>
      </c>
      <c r="Z805" s="168">
        <v>5.4738031149255406E-2</v>
      </c>
      <c r="AA805" s="78"/>
      <c r="AB805" s="168"/>
      <c r="AC805" s="168"/>
      <c r="AD805" s="163">
        <f t="shared" si="1410"/>
        <v>0</v>
      </c>
      <c r="AE805" s="168"/>
      <c r="AF805" s="163"/>
      <c r="AG805" s="163"/>
      <c r="AH805" s="163"/>
      <c r="AI805" s="163"/>
      <c r="AJ805" s="167"/>
      <c r="AK805" s="168"/>
      <c r="AL805" s="115"/>
      <c r="AM805" s="115"/>
      <c r="AN805" s="115"/>
      <c r="AO805" s="115"/>
      <c r="AP805" s="115"/>
      <c r="AQ805" s="168"/>
      <c r="AR805" s="79"/>
      <c r="AS805" s="115"/>
      <c r="AT805" s="115"/>
      <c r="AU805" s="115"/>
      <c r="AV805" s="113">
        <f>IFERROR(INDEX('Total Customers'!$F$7:$AB$91,MATCH($C805,'Total Customers'!$D$7:$D$91,0),MATCH($G805,'Total Customers'!$F$5:$AB$5,0)),"NA")</f>
        <v>118698</v>
      </c>
      <c r="AW805" s="68">
        <f t="shared" si="1422"/>
        <v>4.0252433587896479E-2</v>
      </c>
      <c r="AX805" s="114"/>
      <c r="AY805" s="114"/>
      <c r="AZ805" s="116"/>
      <c r="BA805" s="116"/>
      <c r="BB805" s="166"/>
      <c r="BC805" s="166"/>
      <c r="BD805" s="166"/>
      <c r="BE805" s="166"/>
      <c r="BF805" s="166"/>
      <c r="BG805" s="166"/>
      <c r="BH805" s="166"/>
      <c r="BI805" s="113"/>
      <c r="BJ805" s="113"/>
      <c r="BK805" s="113">
        <f>INDEX('Dist. Plant Gas Additions'!$F$7:$AE$91,MATCH($C805,'Dist. Plant Gas Additions'!$D$7:$D$91,0),MATCH(Calculation!$G805,'Dist. Plant Gas Additions'!$F$5:$AE$5,0))</f>
        <v>17319</v>
      </c>
      <c r="BL805" s="113">
        <f>INDEX('Gen. Plant Additions'!$F$7:$AE$91,MATCH($C805,'Gen. Plant Additions'!$D$7:$D$91,0),MATCH(Calculation!$G805,'Gen. Plant Additions'!$F$5:$AE$5,0))</f>
        <v>254</v>
      </c>
      <c r="BM805" s="231">
        <f t="shared" si="1472"/>
        <v>0.97298349453282384</v>
      </c>
      <c r="BN805" s="61">
        <f t="shared" si="1461"/>
        <v>247.13780761133725</v>
      </c>
      <c r="BO805" s="113">
        <f>INDEX('Dist Plant Depreciation'!$E$7:$AD$94,MATCH($C805,'Dist Plant Depreciation'!$D$7:$D$94,0),MATCH(Calculation!$G805,'Dist Plant Depreciation'!$E$5:$AD$5,0))</f>
        <v>75818</v>
      </c>
      <c r="BP805" s="113">
        <f>INDEX('Gen. Plant Depreciation'!$E$7:$AD$94,MATCH($C805,'Gen. Plant Depreciation'!$D$7:$D$94,0),MATCH(Calculation!$G805,'Gen. Plant Depreciation'!$E$5:$AD$5,0))</f>
        <v>10911</v>
      </c>
      <c r="BQ805" s="113"/>
      <c r="BR805" s="113"/>
      <c r="BS805" s="113"/>
      <c r="BT805" s="113"/>
      <c r="BU805" s="113"/>
      <c r="BV805" s="175"/>
      <c r="BW805" s="113">
        <f>INDEX('Gross Dx Plant'!$E$7:$AD$91,MATCH($C805,'Gross Dx Plant'!$D$7:$D$91,0),MATCH(Calculation!$G805,'Gross Dx Plant'!$E$5:$AD$5,0))</f>
        <v>257431</v>
      </c>
      <c r="BX805" s="113">
        <f>INDEX('Gross Gen Plant'!$E$7:$AD$91,MATCH($C805,'Gross Gen Plant'!$D$7:$D$91,0),MATCH(Calculation!$G805,'Gross Gen Plant'!$E$5:$AD$5,0))</f>
        <v>7148</v>
      </c>
      <c r="BY805" s="113">
        <f t="shared" si="1460"/>
        <v>177850</v>
      </c>
      <c r="BZ805" s="113"/>
      <c r="CA805" s="116">
        <v>2000</v>
      </c>
      <c r="CB805" s="113"/>
      <c r="CC805" s="113"/>
      <c r="CD805" s="113"/>
      <c r="CE805" s="175"/>
      <c r="CF805" s="113">
        <f t="shared" si="1473"/>
        <v>17573</v>
      </c>
      <c r="CG805" s="113">
        <f t="shared" si="1474"/>
        <v>50.710794062041906</v>
      </c>
      <c r="CH805" s="178">
        <v>0.98989898989898994</v>
      </c>
      <c r="CI805" s="61">
        <f>+CI803*CH805+CG804*CH804+CG805</f>
        <v>872.31692781560992</v>
      </c>
      <c r="CJ805" s="114">
        <f t="shared" si="1475"/>
        <v>5.4738031149255406E-2</v>
      </c>
      <c r="CK805" s="114"/>
      <c r="CL805" s="169">
        <f t="shared" si="1476"/>
        <v>5.1403945716919962E-3</v>
      </c>
      <c r="CM805" s="169"/>
      <c r="CN805" s="114">
        <f>VLOOKUP($H805,RoR!$E:$F,2,FALSE)</f>
        <v>7.6225000000000001E-2</v>
      </c>
      <c r="CO805" s="169">
        <v>2.2568307442433211E-2</v>
      </c>
      <c r="CP805" s="169">
        <f t="shared" ref="CP805:CP825" si="1482">+CN805-CO805</f>
        <v>5.365669255756679E-2</v>
      </c>
      <c r="CQ805" s="169"/>
      <c r="CR805" s="169"/>
      <c r="CS805" s="179">
        <f t="shared" si="1477"/>
        <v>0.85329623209999994</v>
      </c>
      <c r="CT805" s="180">
        <f t="shared" si="1478"/>
        <v>0.67277207323124022</v>
      </c>
      <c r="CU805" s="180">
        <f t="shared" si="1479"/>
        <v>0.6470236142997704</v>
      </c>
      <c r="CV805" s="180">
        <f t="shared" si="1480"/>
        <v>0.94704866037543145</v>
      </c>
      <c r="CW805" s="180">
        <f t="shared" si="1481"/>
        <v>0.41224973107878493</v>
      </c>
      <c r="CX805" s="181">
        <f>INDEX('State Tax Lookup'!$D$7:$Z$91,MATCH(Calculation!$C805,'State Tax Lookup'!$B$7:$B$91,0),MATCH($H805,'State Tax Lookup'!$D$6:$Z$6,0))</f>
        <v>0.39649667</v>
      </c>
      <c r="CY805" s="72">
        <v>0.37</v>
      </c>
      <c r="CZ805" s="70"/>
      <c r="DA805" s="70"/>
      <c r="DB805" s="69"/>
      <c r="DC805" s="111">
        <f>VLOOKUP($H805,RoR!$E:$F,2,FALSE)</f>
        <v>7.6225000000000001E-2</v>
      </c>
      <c r="DD805" s="216">
        <f>HLOOKUP($H805,'GDP-PI'!$D$8:$CQ$11,3,FALSE)</f>
        <v>2.2568307442433211E-2</v>
      </c>
      <c r="DE805" s="111">
        <f>VLOOKUP(H805,'HW Dx Data'!$E:$F,2,FALSE)</f>
        <v>346.53371782150339</v>
      </c>
      <c r="DF805" s="66"/>
      <c r="DG805" s="69"/>
      <c r="DH805" s="66">
        <f>HLOOKUP(H805,'GDP-PI'!$8:$9,2,FALSE)</f>
        <v>78.069000000000003</v>
      </c>
      <c r="DI805"/>
      <c r="EB805"/>
    </row>
    <row r="806" spans="1:132" s="160" customFormat="1" ht="21">
      <c r="A806" s="160" t="s">
        <v>207</v>
      </c>
      <c r="B806" s="161" t="s">
        <v>207</v>
      </c>
      <c r="C806" s="161">
        <v>4057093</v>
      </c>
      <c r="D806" s="161" t="s">
        <v>171</v>
      </c>
      <c r="E806" s="161" t="s">
        <v>3</v>
      </c>
      <c r="F806" s="161"/>
      <c r="G806" s="161" t="s">
        <v>111</v>
      </c>
      <c r="H806" s="162">
        <v>2001</v>
      </c>
      <c r="I806" s="163"/>
      <c r="J806" s="159"/>
      <c r="K806" s="159"/>
      <c r="L806" s="159"/>
      <c r="M806" s="60"/>
      <c r="N806" s="152"/>
      <c r="O806" s="60"/>
      <c r="P806" s="60"/>
      <c r="Q806" s="159"/>
      <c r="R806" s="159"/>
      <c r="S806" s="159"/>
      <c r="T806" s="159"/>
      <c r="U806" s="159"/>
      <c r="V806" s="159"/>
      <c r="W806" s="159">
        <f t="shared" si="1471"/>
        <v>11242.823697866857</v>
      </c>
      <c r="X806" s="163"/>
      <c r="Y806" s="167">
        <v>903.82209667914469</v>
      </c>
      <c r="Z806" s="168">
        <v>3.5479738109350539E-2</v>
      </c>
      <c r="AA806" s="78"/>
      <c r="AB806" s="168"/>
      <c r="AC806" s="168"/>
      <c r="AD806" s="163">
        <f t="shared" si="1410"/>
        <v>11242.823697866857</v>
      </c>
      <c r="AE806" s="168"/>
      <c r="AF806" s="163"/>
      <c r="AG806" s="163"/>
      <c r="AH806" s="163"/>
      <c r="AI806" s="163"/>
      <c r="AJ806" s="167"/>
      <c r="AK806" s="168"/>
      <c r="AL806" s="115"/>
      <c r="AM806" s="115"/>
      <c r="AN806" s="115"/>
      <c r="AO806" s="115"/>
      <c r="AP806" s="115"/>
      <c r="AQ806" s="168"/>
      <c r="AR806" s="79"/>
      <c r="AS806" s="115"/>
      <c r="AT806" s="115"/>
      <c r="AU806" s="115"/>
      <c r="AV806" s="113">
        <f>IFERROR(INDEX('Total Customers'!$F$7:$AB$91,MATCH($C806,'Total Customers'!$D$7:$D$91,0),MATCH($G806,'Total Customers'!$F$5:$AB$5,0)),"NA")</f>
        <v>119694</v>
      </c>
      <c r="AW806" s="68">
        <f t="shared" si="1422"/>
        <v>8.3560337203187757E-3</v>
      </c>
      <c r="AX806" s="114"/>
      <c r="AY806" s="114"/>
      <c r="AZ806" s="116"/>
      <c r="BA806" s="116"/>
      <c r="BB806" s="166"/>
      <c r="BC806" s="166"/>
      <c r="BD806" s="166"/>
      <c r="BE806" s="166"/>
      <c r="BF806" s="166"/>
      <c r="BG806" s="166"/>
      <c r="BH806" s="166"/>
      <c r="BI806" s="113"/>
      <c r="BJ806" s="113"/>
      <c r="BK806" s="113">
        <f>INDEX('Dist. Plant Gas Additions'!$F$7:$AE$91,MATCH($C806,'Dist. Plant Gas Additions'!$D$7:$D$91,0),MATCH(Calculation!$G806,'Dist. Plant Gas Additions'!$F$5:$AE$5,0))</f>
        <v>12679</v>
      </c>
      <c r="BL806" s="113">
        <f>INDEX('Gen. Plant Additions'!$F$7:$AE$91,MATCH($C806,'Gen. Plant Additions'!$D$7:$D$91,0),MATCH(Calculation!$G806,'Gen. Plant Additions'!$F$5:$AE$5,0))</f>
        <v>3</v>
      </c>
      <c r="BM806" s="231">
        <f t="shared" si="1472"/>
        <v>0.97616611888644622</v>
      </c>
      <c r="BN806" s="61">
        <f t="shared" si="1461"/>
        <v>2.9284983566593388</v>
      </c>
      <c r="BO806" s="113">
        <f>INDEX('Dist Plant Depreciation'!$E$7:$AD$94,MATCH($C806,'Dist Plant Depreciation'!$D$7:$D$94,0),MATCH(Calculation!$G806,'Dist Plant Depreciation'!$E$5:$AD$5,0))</f>
        <v>80826</v>
      </c>
      <c r="BP806" s="113">
        <f>INDEX('Gen. Plant Depreciation'!$E$7:$AD$94,MATCH($C806,'Gen. Plant Depreciation'!$D$7:$D$94,0),MATCH(Calculation!$G806,'Gen. Plant Depreciation'!$E$5:$AD$5,0))</f>
        <v>10417</v>
      </c>
      <c r="BQ806" s="113"/>
      <c r="BR806" s="113"/>
      <c r="BS806" s="113"/>
      <c r="BT806" s="113"/>
      <c r="BU806" s="113"/>
      <c r="BV806" s="175"/>
      <c r="BW806" s="113">
        <f>INDEX('Gross Dx Plant'!$E$7:$AD$91,MATCH($C806,'Gross Dx Plant'!$D$7:$D$91,0),MATCH(Calculation!$G806,'Gross Dx Plant'!$E$5:$AD$5,0))</f>
        <v>269088</v>
      </c>
      <c r="BX806" s="113">
        <f>INDEX('Gross Gen Plant'!$E$7:$AD$91,MATCH($C806,'Gross Gen Plant'!$D$7:$D$91,0),MATCH(Calculation!$G806,'Gross Gen Plant'!$E$5:$AD$5,0))</f>
        <v>6570</v>
      </c>
      <c r="BY806" s="113">
        <f t="shared" si="1460"/>
        <v>184415</v>
      </c>
      <c r="BZ806" s="113"/>
      <c r="CA806" s="116">
        <v>2001</v>
      </c>
      <c r="CB806" s="113"/>
      <c r="CC806" s="113"/>
      <c r="CD806" s="113"/>
      <c r="CE806" s="175"/>
      <c r="CF806" s="113">
        <f t="shared" si="1473"/>
        <v>12682</v>
      </c>
      <c r="CG806" s="113">
        <f t="shared" si="1474"/>
        <v>35.880871414938476</v>
      </c>
      <c r="CH806" s="178">
        <v>0.98461538461538467</v>
      </c>
      <c r="CI806" s="61">
        <f>+CI803*CH806+CG804*CH805+CG805*CH803+CG806</f>
        <v>903.82209667914469</v>
      </c>
      <c r="CJ806" s="114">
        <f t="shared" si="1475"/>
        <v>3.5479738109350539E-2</v>
      </c>
      <c r="CK806" s="114"/>
      <c r="CL806" s="169">
        <f t="shared" si="1476"/>
        <v>5.0161843842248957E-3</v>
      </c>
      <c r="CM806" s="169">
        <f>+(CL806+CL805+CL804)/3</f>
        <v>5.043901111342103E-3</v>
      </c>
      <c r="CN806" s="114">
        <f>VLOOKUP($H806,RoR!$E:$F,2,FALSE)</f>
        <v>7.0824999999999999E-2</v>
      </c>
      <c r="CO806" s="169">
        <v>2.2454495382290052E-2</v>
      </c>
      <c r="CP806" s="169">
        <f t="shared" si="1482"/>
        <v>4.8370504617709947E-2</v>
      </c>
      <c r="CQ806" s="169">
        <f>+$CP$2-CM806</f>
        <v>2.5858040497191523E-2</v>
      </c>
      <c r="CR806" s="169">
        <f>+((DE804/DE803-1)+(DE805/DE804-1)+(DE806/DE805-1))/3</f>
        <v>2.3947275901631187E-2</v>
      </c>
      <c r="CS806" s="179">
        <f t="shared" si="1477"/>
        <v>0.85329623209999994</v>
      </c>
      <c r="CT806" s="180">
        <f t="shared" si="1478"/>
        <v>0.72406708481540816</v>
      </c>
      <c r="CU806" s="180">
        <f t="shared" si="1479"/>
        <v>0.62201729615248857</v>
      </c>
      <c r="CV806" s="180">
        <f t="shared" si="1480"/>
        <v>0.9352469954311422</v>
      </c>
      <c r="CW806" s="180">
        <f t="shared" si="1481"/>
        <v>0.42121864641655071</v>
      </c>
      <c r="CX806" s="181">
        <f>INDEX('State Tax Lookup'!$D$7:$Z$91,MATCH(Calculation!$C806,'State Tax Lookup'!$B$7:$B$91,0),MATCH($H806,'State Tax Lookup'!$D$6:$Z$6,0))</f>
        <v>0.39649667</v>
      </c>
      <c r="CY806" s="72">
        <v>0.37</v>
      </c>
      <c r="CZ806" s="70">
        <f t="shared" ref="CZ806:CZ827" si="1483">+(DE806*CQ806-CR806)*CS806/(1-CX806)</f>
        <v>12.888462139580721</v>
      </c>
      <c r="DA806" s="70"/>
      <c r="DB806" s="69"/>
      <c r="DC806" s="111">
        <f>VLOOKUP($H806,RoR!$E:$F,2,FALSE)</f>
        <v>7.0824999999999999E-2</v>
      </c>
      <c r="DD806" s="216">
        <f>HLOOKUP($H806,'GDP-PI'!$D$8:$CQ$11,3,FALSE)</f>
        <v>2.2454495382290052E-2</v>
      </c>
      <c r="DE806" s="111">
        <f>VLOOKUP(H806,'HW Dx Data'!$E:$F,2,FALSE)</f>
        <v>353.44738017483138</v>
      </c>
      <c r="DF806" s="66"/>
      <c r="DG806" s="69"/>
      <c r="DH806" s="66">
        <f>HLOOKUP(H806,'GDP-PI'!$8:$9,2,FALSE)</f>
        <v>79.822000000000003</v>
      </c>
      <c r="DI806"/>
      <c r="EB806"/>
    </row>
    <row r="807" spans="1:132" s="160" customFormat="1" ht="21">
      <c r="A807" s="160" t="s">
        <v>207</v>
      </c>
      <c r="B807" s="161" t="s">
        <v>207</v>
      </c>
      <c r="C807" s="161">
        <v>4057093</v>
      </c>
      <c r="D807" s="161" t="s">
        <v>171</v>
      </c>
      <c r="E807" s="161" t="s">
        <v>3</v>
      </c>
      <c r="F807" s="161"/>
      <c r="G807" s="161" t="s">
        <v>113</v>
      </c>
      <c r="H807" s="162">
        <v>2002</v>
      </c>
      <c r="I807" s="163"/>
      <c r="J807" s="159"/>
      <c r="K807" s="159"/>
      <c r="L807" s="159"/>
      <c r="M807" s="60"/>
      <c r="N807" s="152"/>
      <c r="O807" s="60"/>
      <c r="P807" s="60"/>
      <c r="Q807" s="159"/>
      <c r="R807" s="159"/>
      <c r="S807" s="159"/>
      <c r="T807" s="159"/>
      <c r="U807" s="159"/>
      <c r="V807" s="159"/>
      <c r="W807" s="159">
        <f t="shared" si="1471"/>
        <v>11787.989713131486</v>
      </c>
      <c r="X807" s="163"/>
      <c r="Y807" s="167">
        <v>935.0409763387745</v>
      </c>
      <c r="Z807" s="168">
        <v>3.3957807973208264E-2</v>
      </c>
      <c r="AA807" s="78"/>
      <c r="AB807" s="168"/>
      <c r="AC807" s="168"/>
      <c r="AD807" s="163">
        <f t="shared" si="1410"/>
        <v>11787.989713131486</v>
      </c>
      <c r="AE807" s="168"/>
      <c r="AF807" s="163"/>
      <c r="AG807" s="163"/>
      <c r="AH807" s="163"/>
      <c r="AI807" s="163"/>
      <c r="AJ807" s="167"/>
      <c r="AK807" s="168"/>
      <c r="AL807" s="115"/>
      <c r="AM807" s="115"/>
      <c r="AN807" s="115"/>
      <c r="AO807" s="115"/>
      <c r="AP807" s="115"/>
      <c r="AQ807" s="168"/>
      <c r="AR807" s="79"/>
      <c r="AS807" s="115"/>
      <c r="AT807" s="115"/>
      <c r="AU807" s="115"/>
      <c r="AV807" s="113">
        <f>IFERROR(INDEX('Total Customers'!$F$7:$AB$91,MATCH($C807,'Total Customers'!$D$7:$D$91,0),MATCH($G807,'Total Customers'!$F$5:$AB$5,0)),"NA")</f>
        <v>121182</v>
      </c>
      <c r="AW807" s="68">
        <f t="shared" si="1422"/>
        <v>1.2355061759977515E-2</v>
      </c>
      <c r="AX807" s="114"/>
      <c r="AY807" s="114"/>
      <c r="AZ807" s="116"/>
      <c r="BA807" s="116"/>
      <c r="BB807" s="166"/>
      <c r="BC807" s="166"/>
      <c r="BD807" s="166"/>
      <c r="BE807" s="166"/>
      <c r="BF807" s="166"/>
      <c r="BG807" s="166"/>
      <c r="BH807" s="166"/>
      <c r="BI807" s="113"/>
      <c r="BJ807" s="113"/>
      <c r="BK807" s="113">
        <f>INDEX('Dist. Plant Gas Additions'!$F$7:$AE$91,MATCH($C807,'Dist. Plant Gas Additions'!$D$7:$D$91,0),MATCH(Calculation!$G807,'Dist. Plant Gas Additions'!$F$5:$AE$5,0))</f>
        <v>12975</v>
      </c>
      <c r="BL807" s="113">
        <f>INDEX('Gen. Plant Additions'!$F$7:$AE$91,MATCH($C807,'Gen. Plant Additions'!$D$7:$D$91,0),MATCH(Calculation!$G807,'Gen. Plant Additions'!$F$5:$AE$5,0))</f>
        <v>186</v>
      </c>
      <c r="BM807" s="231">
        <f t="shared" si="1472"/>
        <v>0.97945480091064074</v>
      </c>
      <c r="BN807" s="61">
        <f t="shared" si="1461"/>
        <v>182.17859296937917</v>
      </c>
      <c r="BO807" s="113">
        <f>INDEX('Dist Plant Depreciation'!$E$7:$AD$94,MATCH($C807,'Dist Plant Depreciation'!$D$7:$D$94,0),MATCH(Calculation!$G807,'Dist Plant Depreciation'!$E$5:$AD$5,0))</f>
        <v>86088</v>
      </c>
      <c r="BP807" s="113">
        <f>INDEX('Gen. Plant Depreciation'!$E$7:$AD$94,MATCH($C807,'Gen. Plant Depreciation'!$D$7:$D$94,0),MATCH(Calculation!$G807,'Gen. Plant Depreciation'!$E$5:$AD$5,0))</f>
        <v>9664</v>
      </c>
      <c r="BQ807" s="113"/>
      <c r="BR807" s="113"/>
      <c r="BS807" s="113"/>
      <c r="BT807" s="113"/>
      <c r="BU807" s="113"/>
      <c r="BV807" s="175"/>
      <c r="BW807" s="113">
        <f>INDEX('Gross Dx Plant'!$E$7:$AD$91,MATCH($C807,'Gross Dx Plant'!$D$7:$D$91,0),MATCH(Calculation!$G807,'Gross Dx Plant'!$E$5:$AD$5,0))</f>
        <v>280938</v>
      </c>
      <c r="BX807" s="113">
        <f>INDEX('Gross Gen Plant'!$E$7:$AD$91,MATCH($C807,'Gross Gen Plant'!$D$7:$D$91,0),MATCH(Calculation!$G807,'Gross Gen Plant'!$E$5:$AD$5,0))</f>
        <v>5893</v>
      </c>
      <c r="BY807" s="113">
        <f t="shared" si="1460"/>
        <v>191079</v>
      </c>
      <c r="BZ807" s="113"/>
      <c r="CA807" s="116">
        <v>2002</v>
      </c>
      <c r="CB807" s="113"/>
      <c r="CC807" s="113"/>
      <c r="CD807" s="113"/>
      <c r="CE807" s="175"/>
      <c r="CF807" s="113">
        <f t="shared" si="1473"/>
        <v>13161</v>
      </c>
      <c r="CG807" s="113">
        <f t="shared" si="1474"/>
        <v>36.421936647336636</v>
      </c>
      <c r="CH807" s="178">
        <v>0.97916666666666663</v>
      </c>
      <c r="CI807" s="61">
        <f>+CI803*CH807+CG804*CH806+CG805*CH805+CG806*CH804+CG807</f>
        <v>935.0409763387745</v>
      </c>
      <c r="CJ807" s="114">
        <f t="shared" si="1475"/>
        <v>3.3957807973208264E-2</v>
      </c>
      <c r="CK807" s="114"/>
      <c r="CL807" s="169">
        <f t="shared" si="1476"/>
        <v>5.7567269121037061E-3</v>
      </c>
      <c r="CM807" s="169">
        <f t="shared" ref="CM807:CM827" si="1484">+(CL807+CL806+CL805)/3</f>
        <v>5.3044352893401999E-3</v>
      </c>
      <c r="CN807" s="114">
        <f>VLOOKUP($H807,RoR!$E:$F,2,FALSE)</f>
        <v>6.4916666666666664E-2</v>
      </c>
      <c r="CO807" s="169">
        <v>1.5246423291824351E-2</v>
      </c>
      <c r="CP807" s="169">
        <f t="shared" si="1482"/>
        <v>4.9670243374842313E-2</v>
      </c>
      <c r="CQ807" s="169">
        <f t="shared" ref="CQ807:CQ827" si="1485">+$CP$2-CM807</f>
        <v>2.5597506319193424E-2</v>
      </c>
      <c r="CR807" s="169">
        <f t="shared" ref="CR807:CR827" si="1486">+((DE805/DE804-1)+(DE806/DE805-1)+(DE807/DE806-1))/3</f>
        <v>2.5243621214759093E-2</v>
      </c>
      <c r="CS807" s="179">
        <f t="shared" si="1477"/>
        <v>0.85329623209999994</v>
      </c>
      <c r="CT807" s="180">
        <f t="shared" si="1478"/>
        <v>0.78996741384417901</v>
      </c>
      <c r="CU807" s="180">
        <f t="shared" si="1479"/>
        <v>0.58989088575096271</v>
      </c>
      <c r="CV807" s="180">
        <f t="shared" si="1480"/>
        <v>0.91920675783645744</v>
      </c>
      <c r="CW807" s="180">
        <f t="shared" si="1481"/>
        <v>0.42834536472275586</v>
      </c>
      <c r="CX807" s="181">
        <f>INDEX('State Tax Lookup'!$D$7:$Z$91,MATCH(Calculation!$C807,'State Tax Lookup'!$B$7:$B$91,0),MATCH($H807,'State Tax Lookup'!$D$6:$Z$6,0))</f>
        <v>0.39649667</v>
      </c>
      <c r="CY807" s="72">
        <v>0.37</v>
      </c>
      <c r="CZ807" s="70">
        <f t="shared" si="1483"/>
        <v>13.042378313656346</v>
      </c>
      <c r="DA807" s="70"/>
      <c r="DB807" s="69">
        <f>LN(CZ807/CZ806)</f>
        <v>1.1871422522905095E-2</v>
      </c>
      <c r="DC807" s="111">
        <f>VLOOKUP($H807,RoR!$E:$F,2,FALSE)</f>
        <v>6.4916666666666664E-2</v>
      </c>
      <c r="DD807" s="216">
        <f>HLOOKUP($H807,'GDP-PI'!$D$8:$CQ$11,3,FALSE)</f>
        <v>1.5246423291824351E-2</v>
      </c>
      <c r="DE807" s="111">
        <f>VLOOKUP(H807,'HW Dx Data'!$E:$F,2,FALSE)</f>
        <v>361.34816573413599</v>
      </c>
      <c r="DF807" s="66"/>
      <c r="DG807" s="69"/>
      <c r="DH807" s="66">
        <f>HLOOKUP(H807,'GDP-PI'!$8:$9,2,FALSE)</f>
        <v>81.039000000000001</v>
      </c>
      <c r="DI807" s="69">
        <f>LN(DH807/DH806)</f>
        <v>1.513136459537477E-2</v>
      </c>
      <c r="EB807"/>
    </row>
    <row r="808" spans="1:132" s="160" customFormat="1" ht="21">
      <c r="A808" s="160" t="s">
        <v>207</v>
      </c>
      <c r="B808" s="161" t="s">
        <v>207</v>
      </c>
      <c r="C808" s="161">
        <v>4057093</v>
      </c>
      <c r="D808" s="161" t="s">
        <v>171</v>
      </c>
      <c r="E808" s="161" t="s">
        <v>3</v>
      </c>
      <c r="F808" s="161"/>
      <c r="G808" s="161" t="s">
        <v>114</v>
      </c>
      <c r="H808" s="162">
        <v>2003</v>
      </c>
      <c r="I808" s="163"/>
      <c r="J808" s="159"/>
      <c r="K808" s="159"/>
      <c r="L808" s="159"/>
      <c r="M808" s="76"/>
      <c r="N808" s="152"/>
      <c r="O808" s="76"/>
      <c r="P808" s="76"/>
      <c r="Q808" s="159"/>
      <c r="R808" s="159"/>
      <c r="S808" s="159"/>
      <c r="T808" s="159"/>
      <c r="U808" s="159"/>
      <c r="V808" s="159"/>
      <c r="W808" s="159">
        <f t="shared" si="1471"/>
        <v>12383.22792641826</v>
      </c>
      <c r="X808" s="163"/>
      <c r="Y808" s="167">
        <v>974.42346781138315</v>
      </c>
      <c r="Z808" s="168">
        <v>4.1255627747239246E-2</v>
      </c>
      <c r="AA808" s="78"/>
      <c r="AB808" s="168"/>
      <c r="AC808" s="168"/>
      <c r="AD808" s="163">
        <f t="shared" si="1410"/>
        <v>12383.22792641826</v>
      </c>
      <c r="AE808" s="168"/>
      <c r="AF808" s="163"/>
      <c r="AG808" s="163"/>
      <c r="AH808" s="163"/>
      <c r="AI808" s="163"/>
      <c r="AJ808" s="167"/>
      <c r="AK808" s="168"/>
      <c r="AL808" s="115"/>
      <c r="AM808" s="115"/>
      <c r="AN808" s="115"/>
      <c r="AO808" s="115"/>
      <c r="AP808" s="115"/>
      <c r="AQ808" s="168"/>
      <c r="AR808" s="79"/>
      <c r="AS808" s="115"/>
      <c r="AT808" s="115"/>
      <c r="AU808" s="115"/>
      <c r="AV808" s="113">
        <f>IFERROR(INDEX('Total Customers'!$F$7:$AB$91,MATCH($C808,'Total Customers'!$D$7:$D$91,0),MATCH($G808,'Total Customers'!$F$5:$AB$5,0)),"NA")</f>
        <v>122101</v>
      </c>
      <c r="AW808" s="68">
        <f t="shared" si="1422"/>
        <v>7.5550233370046864E-3</v>
      </c>
      <c r="AX808" s="114"/>
      <c r="AY808" s="114"/>
      <c r="AZ808" s="116"/>
      <c r="BA808" s="116"/>
      <c r="BB808" s="166"/>
      <c r="BC808" s="166"/>
      <c r="BD808" s="166"/>
      <c r="BE808" s="166"/>
      <c r="BF808" s="166"/>
      <c r="BG808" s="166"/>
      <c r="BH808" s="166"/>
      <c r="BI808" s="113"/>
      <c r="BJ808" s="113"/>
      <c r="BK808" s="113">
        <f>INDEX('Dist. Plant Gas Additions'!$F$7:$AE$91,MATCH($C808,'Dist. Plant Gas Additions'!$D$7:$D$91,0),MATCH(Calculation!$G808,'Dist. Plant Gas Additions'!$F$5:$AE$5,0))</f>
        <v>15557</v>
      </c>
      <c r="BL808" s="113">
        <f>INDEX('Gen. Plant Additions'!$F$7:$AE$91,MATCH($C808,'Gen. Plant Additions'!$D$7:$D$91,0),MATCH(Calculation!$G808,'Gen. Plant Additions'!$F$5:$AE$5,0))</f>
        <v>937</v>
      </c>
      <c r="BM808" s="231">
        <f t="shared" si="1472"/>
        <v>0.97921527743302061</v>
      </c>
      <c r="BN808" s="61">
        <f t="shared" si="1461"/>
        <v>917.52471495474026</v>
      </c>
      <c r="BO808" s="113">
        <f>INDEX('Dist Plant Depreciation'!$E$7:$AD$94,MATCH($C808,'Dist Plant Depreciation'!$D$7:$D$94,0),MATCH(Calculation!$G808,'Dist Plant Depreciation'!$E$5:$AD$5,0))</f>
        <v>91707</v>
      </c>
      <c r="BP808" s="113">
        <f>INDEX('Gen. Plant Depreciation'!$E$7:$AD$94,MATCH($C808,'Gen. Plant Depreciation'!$D$7:$D$94,0),MATCH(Calculation!$G808,'Gen. Plant Depreciation'!$E$5:$AD$5,0))</f>
        <v>9215</v>
      </c>
      <c r="BQ808" s="113"/>
      <c r="BR808" s="113"/>
      <c r="BS808" s="113"/>
      <c r="BT808" s="113"/>
      <c r="BU808" s="113"/>
      <c r="BV808" s="175"/>
      <c r="BW808" s="113">
        <f>INDEX('Gross Dx Plant'!$E$7:$AD$91,MATCH($C808,'Gross Dx Plant'!$D$7:$D$91,0),MATCH(Calculation!$G808,'Gross Dx Plant'!$E$5:$AD$5,0))</f>
        <v>295865</v>
      </c>
      <c r="BX808" s="113">
        <f>INDEX('Gross Gen Plant'!$E$7:$AD$91,MATCH($C808,'Gross Gen Plant'!$D$7:$D$91,0),MATCH(Calculation!$G808,'Gross Gen Plant'!$E$5:$AD$5,0))</f>
        <v>6280</v>
      </c>
      <c r="BY808" s="113">
        <f t="shared" si="1460"/>
        <v>201223</v>
      </c>
      <c r="BZ808" s="113"/>
      <c r="CA808" s="116">
        <v>2003</v>
      </c>
      <c r="CB808" s="113"/>
      <c r="CC808" s="113"/>
      <c r="CD808" s="113"/>
      <c r="CE808" s="175"/>
      <c r="CF808" s="113">
        <f t="shared" si="1473"/>
        <v>16494</v>
      </c>
      <c r="CG808" s="113">
        <f t="shared" si="1474"/>
        <v>44.670978787385039</v>
      </c>
      <c r="CH808" s="178">
        <v>0.97354497354497349</v>
      </c>
      <c r="CI808" s="61">
        <f>+CI803*CH808+CG804*CH807+CG805*CH806+CG806*CH805+CG807*CH804+CG808</f>
        <v>974.42346781138315</v>
      </c>
      <c r="CJ808" s="114">
        <f t="shared" si="1475"/>
        <v>4.1255627747239246E-2</v>
      </c>
      <c r="CK808" s="114"/>
      <c r="CL808" s="169">
        <f t="shared" si="1476"/>
        <v>5.6558882964507845E-3</v>
      </c>
      <c r="CM808" s="169">
        <f t="shared" si="1484"/>
        <v>5.4762665309264621E-3</v>
      </c>
      <c r="CN808" s="114">
        <f>VLOOKUP($H808,RoR!$E:$F,2,FALSE)</f>
        <v>5.6666666666666671E-2</v>
      </c>
      <c r="CO808" s="169">
        <v>1.8855119140166909E-2</v>
      </c>
      <c r="CP808" s="169">
        <f t="shared" si="1482"/>
        <v>3.7811547526499761E-2</v>
      </c>
      <c r="CQ808" s="169">
        <f t="shared" si="1485"/>
        <v>2.5425675077607162E-2</v>
      </c>
      <c r="CR808" s="169">
        <f t="shared" si="1486"/>
        <v>2.1375012817671957E-2</v>
      </c>
      <c r="CS808" s="179">
        <f t="shared" si="1477"/>
        <v>0.85329623209999994</v>
      </c>
      <c r="CT808" s="180">
        <f t="shared" si="1478"/>
        <v>0.90497737556561086</v>
      </c>
      <c r="CU808" s="180">
        <f t="shared" si="1479"/>
        <v>0.5338235294117647</v>
      </c>
      <c r="CV808" s="180">
        <f t="shared" si="1480"/>
        <v>0.88972433127405692</v>
      </c>
      <c r="CW808" s="180">
        <f t="shared" si="1481"/>
        <v>0.42982423775949252</v>
      </c>
      <c r="CX808" s="181">
        <f>INDEX('State Tax Lookup'!$D$7:$Z$91,MATCH(Calculation!$C808,'State Tax Lookup'!$B$7:$B$91,0),MATCH($H808,'State Tax Lookup'!$D$6:$Z$6,0))</f>
        <v>0.39649667</v>
      </c>
      <c r="CY808" s="72">
        <v>0.37</v>
      </c>
      <c r="CZ808" s="70">
        <f t="shared" si="1483"/>
        <v>13.243513642477733</v>
      </c>
      <c r="DA808" s="70"/>
      <c r="DB808" s="69">
        <f t="shared" ref="DB808:DB825" si="1487">LN(CZ808/CZ807)</f>
        <v>1.5303970268594711E-2</v>
      </c>
      <c r="DC808" s="111">
        <f>VLOOKUP($H808,RoR!$E:$F,2,FALSE)</f>
        <v>5.6666666666666671E-2</v>
      </c>
      <c r="DD808" s="216">
        <f>HLOOKUP($H808,'GDP-PI'!$D$8:$CQ$11,3,FALSE)</f>
        <v>1.8855119140166909E-2</v>
      </c>
      <c r="DE808" s="111">
        <f>VLOOKUP(H808,'HW Dx Data'!$E:$F,2,FALSE)</f>
        <v>369.23301095560191</v>
      </c>
      <c r="DF808" s="66"/>
      <c r="DG808" s="69"/>
      <c r="DH808" s="66">
        <f>HLOOKUP(H808,'GDP-PI'!$8:$9,2,FALSE)</f>
        <v>82.566999999999993</v>
      </c>
      <c r="DI808" s="69">
        <f t="shared" ref="DI808:DI827" si="1488">LN(DH808/DH807)</f>
        <v>1.8679564681853753E-2</v>
      </c>
      <c r="EB808"/>
    </row>
    <row r="809" spans="1:132" s="160" customFormat="1" ht="21">
      <c r="A809" s="160" t="s">
        <v>207</v>
      </c>
      <c r="B809" s="161" t="s">
        <v>207</v>
      </c>
      <c r="C809" s="161">
        <v>4057093</v>
      </c>
      <c r="D809" s="161" t="s">
        <v>171</v>
      </c>
      <c r="E809" s="161" t="s">
        <v>3</v>
      </c>
      <c r="F809" s="161"/>
      <c r="G809" s="161" t="s">
        <v>115</v>
      </c>
      <c r="H809" s="162">
        <v>2004</v>
      </c>
      <c r="I809" s="163"/>
      <c r="J809" s="159">
        <f>IFERROR(INDEX('Labor Expenditures'!$F$7:$X$91,MATCH($C809,'Labor Expenditures'!$D$7:$D$91,0),MATCH($G809,'Labor Expenditures'!$F$5:$X$5,0)),"NA")</f>
        <v>16803.610059825973</v>
      </c>
      <c r="K809" s="159">
        <f t="shared" ref="K809:K827" si="1489">+J809/DF809</f>
        <v>178.09867577981953</v>
      </c>
      <c r="L809" s="165"/>
      <c r="M809" s="76"/>
      <c r="N809" s="152"/>
      <c r="O809" s="76"/>
      <c r="P809" s="76"/>
      <c r="Q809" s="159">
        <f>IFERROR(INDEX('Non-Labor Expenditures'!$F$7:$AB$91,MATCH($C809,'Non-Labor Expenditures'!$D$7:$D$91,0),MATCH($G809,'Non-Labor Expenditures'!$F$5:$AB$5,0)),"NA")</f>
        <v>24334.765848066636</v>
      </c>
      <c r="R809" s="159">
        <f t="shared" ref="R809:R827" si="1490">+Q809/DH809</f>
        <v>287.04104659306228</v>
      </c>
      <c r="S809" s="159"/>
      <c r="T809" s="159"/>
      <c r="U809" s="159"/>
      <c r="V809" s="159"/>
      <c r="W809" s="159">
        <f t="shared" si="1471"/>
        <v>14301.492896323311</v>
      </c>
      <c r="X809" s="163"/>
      <c r="Y809" s="167">
        <v>1009.8893083304946</v>
      </c>
      <c r="Z809" s="168">
        <v>3.5750027079977667E-2</v>
      </c>
      <c r="AA809" s="76">
        <f t="shared" ref="AA809:AA827" si="1491">+Z809*$AR809</f>
        <v>0</v>
      </c>
      <c r="AB809" s="168"/>
      <c r="AC809" s="168"/>
      <c r="AD809" s="163">
        <f t="shared" si="1410"/>
        <v>55439.868804215919</v>
      </c>
      <c r="AE809" s="168"/>
      <c r="AF809" s="163"/>
      <c r="AG809" s="163"/>
      <c r="AH809" s="163"/>
      <c r="AI809" s="163"/>
      <c r="AJ809" s="167"/>
      <c r="AK809" s="168"/>
      <c r="AL809" s="115">
        <f t="shared" ref="AL809:AL827" si="1492">+J809/AD809</f>
        <v>0.30309613681026865</v>
      </c>
      <c r="AM809" s="115">
        <f t="shared" ref="AM809:AM827" si="1493">+Q809/AD809</f>
        <v>0.43893981665079446</v>
      </c>
      <c r="AN809" s="115">
        <f t="shared" ref="AN809:AN827" si="1494">+W809/AD809</f>
        <v>0.2579640465389369</v>
      </c>
      <c r="AO809" s="115"/>
      <c r="AP809" s="115"/>
      <c r="AQ809" s="168"/>
      <c r="AR809" s="79"/>
      <c r="AS809" s="115"/>
      <c r="AT809" s="115"/>
      <c r="AU809" s="115"/>
      <c r="AV809" s="113">
        <f>IFERROR(INDEX('Total Customers'!$F$7:$AB$91,MATCH($C809,'Total Customers'!$D$7:$D$91,0),MATCH($G809,'Total Customers'!$F$5:$AB$5,0)),"NA")</f>
        <v>123577</v>
      </c>
      <c r="AW809" s="68">
        <f t="shared" si="1422"/>
        <v>1.2015872474082315E-2</v>
      </c>
      <c r="AX809" s="114"/>
      <c r="AY809" s="114"/>
      <c r="AZ809" s="116"/>
      <c r="BA809" s="116"/>
      <c r="BB809" s="166"/>
      <c r="BC809" s="166"/>
      <c r="BD809" s="166"/>
      <c r="BE809" s="166"/>
      <c r="BF809" s="166"/>
      <c r="BG809" s="166"/>
      <c r="BH809" s="166"/>
      <c r="BI809" s="113"/>
      <c r="BJ809" s="113"/>
      <c r="BK809" s="113">
        <f>INDEX('Dist. Plant Gas Additions'!$F$7:$AE$91,MATCH($C809,'Dist. Plant Gas Additions'!$D$7:$D$91,0),MATCH(Calculation!$G809,'Dist. Plant Gas Additions'!$F$5:$AE$5,0))</f>
        <v>16225</v>
      </c>
      <c r="BL809" s="113">
        <f>INDEX('Gen. Plant Additions'!$F$7:$AE$91,MATCH($C809,'Gen. Plant Additions'!$D$7:$D$91,0),MATCH(Calculation!$G809,'Gen. Plant Additions'!$F$5:$AE$5,0))</f>
        <v>846</v>
      </c>
      <c r="BM809" s="231">
        <f t="shared" si="1472"/>
        <v>0.97936866986059401</v>
      </c>
      <c r="BN809" s="61">
        <f t="shared" si="1461"/>
        <v>828.54589470206258</v>
      </c>
      <c r="BO809" s="113">
        <f>INDEX('Dist Plant Depreciation'!$E$7:$AD$94,MATCH($C809,'Dist Plant Depreciation'!$D$7:$D$94,0),MATCH(Calculation!$G809,'Dist Plant Depreciation'!$E$5:$AD$5,0))</f>
        <v>94346</v>
      </c>
      <c r="BP809" s="113">
        <f>INDEX('Gen. Plant Depreciation'!$E$7:$AD$94,MATCH($C809,'Gen. Plant Depreciation'!$D$7:$D$94,0),MATCH(Calculation!$G809,'Gen. Plant Depreciation'!$E$5:$AD$5,0))</f>
        <v>8461</v>
      </c>
      <c r="BQ809" s="113"/>
      <c r="BR809" s="113"/>
      <c r="BS809" s="113"/>
      <c r="BT809" s="113"/>
      <c r="BU809" s="113"/>
      <c r="BV809" s="175"/>
      <c r="BW809" s="113">
        <f>INDEX('Gross Dx Plant'!$E$7:$AD$91,MATCH($C809,'Gross Dx Plant'!$D$7:$D$91,0),MATCH(Calculation!$G809,'Gross Dx Plant'!$E$5:$AD$5,0))</f>
        <v>308270</v>
      </c>
      <c r="BX809" s="113">
        <f>INDEX('Gross Gen Plant'!$E$7:$AD$91,MATCH($C809,'Gross Gen Plant'!$D$7:$D$91,0),MATCH(Calculation!$G809,'Gross Gen Plant'!$E$5:$AD$5,0))</f>
        <v>6494</v>
      </c>
      <c r="BY809" s="113">
        <f t="shared" si="1460"/>
        <v>211957</v>
      </c>
      <c r="BZ809" s="113"/>
      <c r="CA809" s="116">
        <v>2004</v>
      </c>
      <c r="CB809" s="113"/>
      <c r="CC809" s="113"/>
      <c r="CD809" s="113"/>
      <c r="CE809" s="175"/>
      <c r="CF809" s="113">
        <f t="shared" si="1473"/>
        <v>17071</v>
      </c>
      <c r="CG809" s="113">
        <f t="shared" si="1474"/>
        <v>41.146124430495838</v>
      </c>
      <c r="CH809" s="178">
        <v>0.967741935483871</v>
      </c>
      <c r="CI809" s="61">
        <f>+CI803*CH809+CG804*CH808+CG805*CH807+CG806*CH806+CG807*CH805+CG808*CH804+CG809</f>
        <v>1009.8893083304946</v>
      </c>
      <c r="CJ809" s="114">
        <f t="shared" si="1475"/>
        <v>3.5750027079977667E-2</v>
      </c>
      <c r="CK809" s="114"/>
      <c r="CL809" s="169">
        <f t="shared" si="1476"/>
        <v>5.829379216556292E-3</v>
      </c>
      <c r="CM809" s="169">
        <f t="shared" si="1484"/>
        <v>5.7473314750369278E-3</v>
      </c>
      <c r="CN809" s="114">
        <f>VLOOKUP($H809,RoR!$E:$F,2,FALSE)</f>
        <v>5.6283333333333331E-2</v>
      </c>
      <c r="CO809" s="169">
        <v>2.6778252812867276E-2</v>
      </c>
      <c r="CP809" s="169">
        <f t="shared" si="1482"/>
        <v>2.9505080520466055E-2</v>
      </c>
      <c r="CQ809" s="169">
        <f t="shared" si="1485"/>
        <v>2.5154610133496697E-2</v>
      </c>
      <c r="CR809" s="169">
        <f t="shared" si="1486"/>
        <v>5.5940039414565046E-2</v>
      </c>
      <c r="CS809" s="179">
        <f t="shared" si="1477"/>
        <v>0.85329623209999994</v>
      </c>
      <c r="CT809" s="180">
        <f t="shared" si="1478"/>
        <v>0.91114097628755619</v>
      </c>
      <c r="CU809" s="180">
        <f t="shared" si="1479"/>
        <v>0.53081877405981637</v>
      </c>
      <c r="CV809" s="180">
        <f t="shared" si="1480"/>
        <v>0.88811215519385678</v>
      </c>
      <c r="CW809" s="180">
        <f t="shared" si="1481"/>
        <v>0.42953609753547711</v>
      </c>
      <c r="CX809" s="181">
        <f>INDEX('State Tax Lookup'!$D$7:$Z$91,MATCH(Calculation!$C809,'State Tax Lookup'!$B$7:$B$91,0),MATCH($H809,'State Tax Lookup'!$D$6:$Z$6,0))</f>
        <v>0.39649667</v>
      </c>
      <c r="CY809" s="72">
        <v>0.37</v>
      </c>
      <c r="CZ809" s="70">
        <f t="shared" si="1483"/>
        <v>14.676876500568454</v>
      </c>
      <c r="DA809" s="70"/>
      <c r="DB809" s="69">
        <f t="shared" si="1487"/>
        <v>0.10276533195287622</v>
      </c>
      <c r="DC809" s="111">
        <f>VLOOKUP($H809,RoR!$E:$F,2,FALSE)</f>
        <v>5.6283333333333331E-2</v>
      </c>
      <c r="DD809" s="216">
        <f>HLOOKUP($H809,'GDP-PI'!$D$8:$CQ$11,3,FALSE)</f>
        <v>2.6778252812867276E-2</v>
      </c>
      <c r="DE809" s="111">
        <f>VLOOKUP(H809,'HW Dx Data'!$E:$F,2,FALSE)</f>
        <v>414.88719135228365</v>
      </c>
      <c r="DF809" s="72">
        <f>VLOOKUP(G809,EG$8:EH$27,2,FALSE)</f>
        <v>94.35</v>
      </c>
      <c r="DG809" s="69"/>
      <c r="DH809" s="66">
        <f>HLOOKUP(H809,'GDP-PI'!$8:$9,2,FALSE)</f>
        <v>84.778000000000006</v>
      </c>
      <c r="DI809" s="69">
        <f t="shared" si="1488"/>
        <v>2.6425990216022755E-2</v>
      </c>
      <c r="EB809"/>
    </row>
    <row r="810" spans="1:132" s="160" customFormat="1" ht="21">
      <c r="A810" s="160" t="s">
        <v>207</v>
      </c>
      <c r="B810" s="161" t="s">
        <v>207</v>
      </c>
      <c r="C810" s="161">
        <v>4057093</v>
      </c>
      <c r="D810" s="161" t="s">
        <v>171</v>
      </c>
      <c r="E810" s="161" t="s">
        <v>3</v>
      </c>
      <c r="F810" s="161"/>
      <c r="G810" s="161" t="s">
        <v>116</v>
      </c>
      <c r="H810" s="162">
        <v>2005</v>
      </c>
      <c r="I810" s="163"/>
      <c r="J810" s="159">
        <f>IFERROR(INDEX('Labor Expenditures'!$F$7:$X$91,MATCH($C810,'Labor Expenditures'!$D$7:$D$91,0),MATCH($G810,'Labor Expenditures'!$F$5:$X$5,0)),"NA")</f>
        <v>16115.466828067429</v>
      </c>
      <c r="K810" s="159">
        <f t="shared" si="1489"/>
        <v>162.41337191300005</v>
      </c>
      <c r="L810" s="165">
        <f t="shared" ref="L810:L826" si="1495">LN(K810/K809)</f>
        <v>-9.2192991302229785E-2</v>
      </c>
      <c r="M810" s="76"/>
      <c r="N810" s="62">
        <v>100</v>
      </c>
      <c r="O810" s="77"/>
      <c r="P810" s="77"/>
      <c r="Q810" s="159">
        <f>IFERROR(INDEX('Non-Labor Expenditures'!$F$7:$AB$91,MATCH($C810,'Non-Labor Expenditures'!$D$7:$D$91,0),MATCH($G810,'Non-Labor Expenditures'!$F$5:$AB$5,0)),"NA")</f>
        <v>23338.205921053581</v>
      </c>
      <c r="R810" s="159">
        <f t="shared" si="1490"/>
        <v>267.00614276949881</v>
      </c>
      <c r="S810" s="165">
        <f>LN(R810/R809)</f>
        <v>-7.2353560258393471E-2</v>
      </c>
      <c r="T810" s="165"/>
      <c r="U810" s="165"/>
      <c r="V810" s="165"/>
      <c r="W810" s="159">
        <f t="shared" si="1471"/>
        <v>16664.744025955559</v>
      </c>
      <c r="X810" s="163"/>
      <c r="Y810" s="167">
        <v>1042.6172698828514</v>
      </c>
      <c r="Z810" s="168">
        <v>3.1893428325918224E-2</v>
      </c>
      <c r="AA810" s="76">
        <f t="shared" si="1491"/>
        <v>0</v>
      </c>
      <c r="AB810" s="168"/>
      <c r="AC810" s="168"/>
      <c r="AD810" s="163">
        <f t="shared" si="1410"/>
        <v>56118.41677507657</v>
      </c>
      <c r="AE810" s="168">
        <f>LN(AD810/AD809)</f>
        <v>1.2165054983196059E-2</v>
      </c>
      <c r="AF810" s="163"/>
      <c r="AG810" s="163"/>
      <c r="AH810" s="163"/>
      <c r="AI810" s="163"/>
      <c r="AJ810" s="116"/>
      <c r="AK810" s="114"/>
      <c r="AL810" s="115">
        <f t="shared" si="1492"/>
        <v>0.28716895012663052</v>
      </c>
      <c r="AM810" s="115">
        <f t="shared" si="1493"/>
        <v>0.41587427554475476</v>
      </c>
      <c r="AN810" s="115">
        <f t="shared" si="1494"/>
        <v>0.29695677432861473</v>
      </c>
      <c r="AO810" s="115">
        <f t="shared" ref="AO810:AO826" si="1496">+(((AL810+AL809)/2)*L810+((AM809+AM810)/2)*S810+((AN809+AN810)/2)*Z810)</f>
        <v>-4.9284409764239534E-2</v>
      </c>
      <c r="AP810" s="166">
        <v>100</v>
      </c>
      <c r="AQ810" s="168"/>
      <c r="AR810" s="16"/>
      <c r="AS810" s="115"/>
      <c r="AT810" s="115"/>
      <c r="AU810" s="115"/>
      <c r="AV810" s="113">
        <f>IFERROR(INDEX('Total Customers'!$F$7:$AB$91,MATCH($C810,'Total Customers'!$D$7:$D$91,0),MATCH($G810,'Total Customers'!$F$5:$AB$5,0)),"NA")</f>
        <v>124098</v>
      </c>
      <c r="AW810" s="68">
        <f t="shared" si="1422"/>
        <v>4.2071324798480681E-3</v>
      </c>
      <c r="AX810" s="114"/>
      <c r="AY810" s="114"/>
      <c r="AZ810" s="116"/>
      <c r="BA810" s="116"/>
      <c r="BB810" s="166"/>
      <c r="BC810" s="166"/>
      <c r="BD810" s="166"/>
      <c r="BE810" s="166"/>
      <c r="BF810" s="166"/>
      <c r="BG810" s="166"/>
      <c r="BH810" s="166"/>
      <c r="BI810" s="113"/>
      <c r="BJ810" s="113"/>
      <c r="BK810" s="113">
        <f>INDEX('Dist. Plant Gas Additions'!$F$7:$AE$91,MATCH($C810,'Dist. Plant Gas Additions'!$D$7:$D$91,0),MATCH(Calculation!$G810,'Dist. Plant Gas Additions'!$F$5:$AE$5,0))</f>
        <v>17182</v>
      </c>
      <c r="BL810" s="113">
        <f>INDEX('Gen. Plant Additions'!$F$7:$AE$91,MATCH($C810,'Gen. Plant Additions'!$D$7:$D$91,0),MATCH(Calculation!$G810,'Gen. Plant Additions'!$F$5:$AE$5,0))</f>
        <v>1022</v>
      </c>
      <c r="BM810" s="231">
        <f t="shared" si="1472"/>
        <v>0.97831764989745451</v>
      </c>
      <c r="BN810" s="61">
        <f t="shared" si="1461"/>
        <v>999.84063819519849</v>
      </c>
      <c r="BO810" s="113">
        <f>INDEX('Dist Plant Depreciation'!$E$7:$AD$94,MATCH($C810,'Dist Plant Depreciation'!$D$7:$D$94,0),MATCH(Calculation!$G810,'Dist Plant Depreciation'!$E$5:$AD$5,0))</f>
        <v>100043</v>
      </c>
      <c r="BP810" s="113">
        <f>INDEX('Gen. Plant Depreciation'!$E$7:$AD$94,MATCH($C810,'Gen. Plant Depreciation'!$D$7:$D$94,0),MATCH(Calculation!$G810,'Gen. Plant Depreciation'!$E$5:$AD$5,0))</f>
        <v>2987</v>
      </c>
      <c r="BQ810" s="113"/>
      <c r="BR810" s="113"/>
      <c r="BS810" s="113"/>
      <c r="BT810" s="113"/>
      <c r="BU810" s="113"/>
      <c r="BV810" s="175"/>
      <c r="BW810" s="113">
        <f>INDEX('Gross Dx Plant'!$E$7:$AD$91,MATCH($C810,'Gross Dx Plant'!$D$7:$D$91,0),MATCH(Calculation!$G810,'Gross Dx Plant'!$E$5:$AD$5,0))</f>
        <v>324371</v>
      </c>
      <c r="BX810" s="113">
        <f>INDEX('Gross Gen Plant'!$E$7:$AD$91,MATCH($C810,'Gross Gen Plant'!$D$7:$D$91,0),MATCH(Calculation!$G810,'Gross Gen Plant'!$E$5:$AD$5,0))</f>
        <v>7189</v>
      </c>
      <c r="BY810" s="113">
        <f t="shared" si="1460"/>
        <v>228530</v>
      </c>
      <c r="BZ810" s="113"/>
      <c r="CA810" s="116">
        <v>2005</v>
      </c>
      <c r="CB810" s="113"/>
      <c r="CC810" s="113"/>
      <c r="CD810" s="113"/>
      <c r="CE810" s="175"/>
      <c r="CF810" s="113">
        <f t="shared" si="1473"/>
        <v>18204</v>
      </c>
      <c r="CG810" s="113">
        <f t="shared" si="1474"/>
        <v>38.797528915488002</v>
      </c>
      <c r="CH810" s="178">
        <v>0.96174863387978138</v>
      </c>
      <c r="CI810" s="61">
        <f>+CI803*CH810+CG804*CH809+CG805*CH808+CG806*CH807+CG807*CH806+CG808*CH805+CG809*CH804+CG810</f>
        <v>1042.6172698828514</v>
      </c>
      <c r="CJ810" s="114">
        <f t="shared" si="1475"/>
        <v>3.1893428325918224E-2</v>
      </c>
      <c r="CK810" s="114"/>
      <c r="CL810" s="169">
        <f t="shared" si="1476"/>
        <v>6.0101313213872798E-3</v>
      </c>
      <c r="CM810" s="169">
        <f t="shared" si="1484"/>
        <v>5.8317996114647863E-3</v>
      </c>
      <c r="CN810" s="114">
        <f>VLOOKUP($H810,RoR!$E:$F,2,FALSE)</f>
        <v>5.2350000000000001E-2</v>
      </c>
      <c r="CO810" s="169">
        <v>3.1010403642454332E-2</v>
      </c>
      <c r="CP810" s="169">
        <f t="shared" si="1482"/>
        <v>2.1339596357545669E-2</v>
      </c>
      <c r="CQ810" s="169">
        <f t="shared" si="1485"/>
        <v>2.5070141997068838E-2</v>
      </c>
      <c r="CR810" s="169">
        <f t="shared" si="1486"/>
        <v>9.2129610649277341E-2</v>
      </c>
      <c r="CS810" s="179">
        <f t="shared" si="1477"/>
        <v>0.85329623209999994</v>
      </c>
      <c r="CT810" s="180">
        <f t="shared" si="1478"/>
        <v>0.97959983346802826</v>
      </c>
      <c r="CU810" s="180">
        <f t="shared" si="1479"/>
        <v>0.49744508118433622</v>
      </c>
      <c r="CV810" s="180">
        <f t="shared" si="1480"/>
        <v>0.87010519444335932</v>
      </c>
      <c r="CW810" s="180">
        <f t="shared" si="1481"/>
        <v>0.42399975420741998</v>
      </c>
      <c r="CX810" s="181">
        <f>INDEX('State Tax Lookup'!$D$7:$Z$91,MATCH(Calculation!$C810,'State Tax Lookup'!$B$7:$B$91,0),MATCH($H810,'State Tax Lookup'!$D$6:$Z$6,0))</f>
        <v>0.39649667</v>
      </c>
      <c r="CY810" s="72">
        <v>0.37</v>
      </c>
      <c r="CZ810" s="70">
        <f t="shared" si="1483"/>
        <v>16.501555060034246</v>
      </c>
      <c r="DA810" s="70"/>
      <c r="DB810" s="69">
        <f t="shared" si="1487"/>
        <v>0.11718139442207406</v>
      </c>
      <c r="DC810" s="111">
        <f>VLOOKUP($H810,RoR!$E:$F,2,FALSE)</f>
        <v>5.2350000000000001E-2</v>
      </c>
      <c r="DD810" s="216">
        <f>HLOOKUP($H810,'GDP-PI'!$D$8:$CQ$11,3,FALSE)</f>
        <v>3.1010403642454332E-2</v>
      </c>
      <c r="DE810" s="111">
        <f>VLOOKUP(H810,'HW Dx Data'!$E:$F,2,FALSE)</f>
        <v>469.20514034936258</v>
      </c>
      <c r="DF810" s="72">
        <f t="shared" ref="DF810:DF828" si="1497">VLOOKUP(G810,EG$8:EH$27,2,FALSE)</f>
        <v>99.224999999999994</v>
      </c>
      <c r="DG810" s="69">
        <f t="shared" ref="DG810:DG828" si="1498">LN(DF810/DF809)</f>
        <v>5.0378726854569796E-2</v>
      </c>
      <c r="DH810" s="66">
        <f>HLOOKUP(H810,'GDP-PI'!$8:$9,2,FALSE)</f>
        <v>87.406999999999996</v>
      </c>
      <c r="DI810" s="69">
        <f t="shared" si="1488"/>
        <v>3.0539295810733648E-2</v>
      </c>
      <c r="EB810"/>
    </row>
    <row r="811" spans="1:132" s="160" customFormat="1" ht="21">
      <c r="A811" s="160" t="s">
        <v>207</v>
      </c>
      <c r="B811" s="161" t="s">
        <v>207</v>
      </c>
      <c r="C811" s="161">
        <v>4057093</v>
      </c>
      <c r="D811" s="161" t="s">
        <v>171</v>
      </c>
      <c r="E811" s="161" t="s">
        <v>3</v>
      </c>
      <c r="F811" s="161"/>
      <c r="G811" s="161" t="s">
        <v>117</v>
      </c>
      <c r="H811" s="162">
        <v>2006</v>
      </c>
      <c r="I811" s="163"/>
      <c r="J811" s="159">
        <f>IFERROR(INDEX('Labor Expenditures'!$F$7:$X$91,MATCH($C811,'Labor Expenditures'!$D$7:$D$91,0),MATCH($G811,'Labor Expenditures'!$F$5:$X$5,0)),"NA")</f>
        <v>16486.183717010565</v>
      </c>
      <c r="K811" s="159">
        <f t="shared" si="1489"/>
        <v>150.69637766920076</v>
      </c>
      <c r="L811" s="165">
        <f t="shared" si="1495"/>
        <v>-7.4877695060803107E-2</v>
      </c>
      <c r="M811" s="76">
        <f t="shared" ref="M811:M827" si="1499">+L811*$AR811</f>
        <v>-5.3773653414113641E-4</v>
      </c>
      <c r="N811" s="62">
        <f>+N810*EXP(O811)</f>
        <v>109.61858180345997</v>
      </c>
      <c r="O811" s="96">
        <f t="shared" ref="O811:O827" si="1500">+M811+M836+M861+M886+M911+M936+M961+M986+M1011+M1036+M1061+M1086+M1111+M1136+M1161+M1186+M1211+M1236+M1261+M1286+M1311+M1336+M1361+M1386+M1411+M1436+M1461+M1486+M1511+M1536+M1561+M1586+M1611+M1636+M1661+M1686+M1711+M1736+M1761+M1786+M1811+M1836+M1861+M1886+M1911+M1936+M1961+M1986+M2011+M2036+M2061+M2086+M2111+M2136</f>
        <v>9.1836716157574827E-2</v>
      </c>
      <c r="P811" s="96"/>
      <c r="Q811" s="159">
        <f>IFERROR(INDEX('Non-Labor Expenditures'!$F$7:$AB$91,MATCH($C811,'Non-Labor Expenditures'!$D$7:$D$91,0),MATCH($G811,'Non-Labor Expenditures'!$F$5:$AB$5,0)),"NA")</f>
        <v>23875.073216607118</v>
      </c>
      <c r="R811" s="159">
        <f t="shared" si="1490"/>
        <v>265.06065253688212</v>
      </c>
      <c r="S811" s="165">
        <f t="shared" ref="S811:S826" si="1501">LN(R811/R810)</f>
        <v>-7.312987467505516E-3</v>
      </c>
      <c r="T811" s="165">
        <f t="shared" ref="T811:T827" si="1502">+S811*AR811</f>
        <v>-5.2518450678812928E-5</v>
      </c>
      <c r="U811" s="165"/>
      <c r="V811" s="165"/>
      <c r="W811" s="159">
        <f t="shared" si="1471"/>
        <v>16801.048303216619</v>
      </c>
      <c r="X811" s="163"/>
      <c r="Y811" s="167">
        <v>1081.4760468529091</v>
      </c>
      <c r="Z811" s="168">
        <v>3.6592660626369698E-2</v>
      </c>
      <c r="AA811" s="76">
        <f t="shared" si="1491"/>
        <v>2.6279134906928342E-4</v>
      </c>
      <c r="AB811" s="168"/>
      <c r="AC811" s="168"/>
      <c r="AD811" s="163">
        <f t="shared" si="1410"/>
        <v>57162.305236834305</v>
      </c>
      <c r="AE811" s="168">
        <f t="shared" ref="AE811:AE827" si="1503">LN(AD811/AD810)</f>
        <v>1.8430638378466931E-2</v>
      </c>
      <c r="AF811" s="163"/>
      <c r="AG811" s="163"/>
      <c r="AH811" s="163"/>
      <c r="AI811" s="163"/>
      <c r="AJ811" s="116">
        <f t="shared" ref="AJ811:AJ827" si="1504">+(AD811*1000)/AV811</f>
        <v>456.48407430611229</v>
      </c>
      <c r="AK811" s="114">
        <f>+AV811/$AX$11</f>
        <v>3.6106622880722199E-3</v>
      </c>
      <c r="AL811" s="115">
        <f t="shared" si="1492"/>
        <v>0.28841005709453404</v>
      </c>
      <c r="AM811" s="115">
        <f t="shared" si="1493"/>
        <v>0.41767163024108539</v>
      </c>
      <c r="AN811" s="115">
        <f t="shared" si="1494"/>
        <v>0.29391831266438051</v>
      </c>
      <c r="AO811" s="115">
        <f t="shared" si="1496"/>
        <v>-1.3786024308898595E-2</v>
      </c>
      <c r="AP811" s="166">
        <f>+AP810*EXP(AO811)</f>
        <v>98.630856774253132</v>
      </c>
      <c r="AQ811" s="168">
        <f>LN(AP811/AP810)</f>
        <v>-1.3786024308898555E-2</v>
      </c>
      <c r="AR811" s="69">
        <f>+AD811/$AF$11</f>
        <v>7.1815316123777177E-3</v>
      </c>
      <c r="AS811" s="169">
        <f>+AR811*AQ811</f>
        <v>-9.9004769383362646E-5</v>
      </c>
      <c r="AT811" s="115"/>
      <c r="AU811" s="115"/>
      <c r="AV811" s="113">
        <f>IFERROR(INDEX('Total Customers'!$F$7:$AB$91,MATCH($C811,'Total Customers'!$D$7:$D$91,0),MATCH($G811,'Total Customers'!$F$5:$AB$5,0)),"NA")</f>
        <v>125223</v>
      </c>
      <c r="AW811" s="68">
        <f t="shared" si="1422"/>
        <v>9.0245718191502185E-3</v>
      </c>
      <c r="AX811" s="114"/>
      <c r="AY811" s="114"/>
      <c r="AZ811" s="116">
        <v>8247377</v>
      </c>
      <c r="BA811" s="116"/>
      <c r="BB811" s="166"/>
      <c r="BC811" s="166"/>
      <c r="BD811" s="166"/>
      <c r="BE811" s="166"/>
      <c r="BF811" s="166"/>
      <c r="BG811" s="166"/>
      <c r="BH811" s="166"/>
      <c r="BI811" s="113"/>
      <c r="BJ811" s="113"/>
      <c r="BK811" s="113">
        <f>INDEX('Dist. Plant Gas Additions'!$F$7:$AE$91,MATCH($C811,'Dist. Plant Gas Additions'!$D$7:$D$91,0),MATCH(Calculation!$G811,'Dist. Plant Gas Additions'!$F$5:$AE$5,0))</f>
        <v>19456</v>
      </c>
      <c r="BL811" s="113">
        <f>INDEX('Gen. Plant Additions'!$F$7:$AE$91,MATCH($C811,'Gen. Plant Additions'!$D$7:$D$91,0),MATCH(Calculation!$G811,'Gen. Plant Additions'!$F$5:$AE$5,0))</f>
        <v>1441</v>
      </c>
      <c r="BM811" s="231">
        <f t="shared" si="1472"/>
        <v>0.97807214253678687</v>
      </c>
      <c r="BN811" s="61">
        <f t="shared" si="1461"/>
        <v>1409.40195739551</v>
      </c>
      <c r="BO811" s="113">
        <f>INDEX('Dist Plant Depreciation'!$E$7:$AD$94,MATCH($C811,'Dist Plant Depreciation'!$D$7:$D$94,0),MATCH(Calculation!$G811,'Dist Plant Depreciation'!$E$5:$AD$5,0))</f>
        <v>105825</v>
      </c>
      <c r="BP811" s="113">
        <f>INDEX('Gen. Plant Depreciation'!$E$7:$AD$94,MATCH($C811,'Gen. Plant Depreciation'!$D$7:$D$94,0),MATCH(Calculation!$G811,'Gen. Plant Depreciation'!$E$5:$AD$5,0))</f>
        <v>2562</v>
      </c>
      <c r="BQ811" s="113"/>
      <c r="BR811" s="113"/>
      <c r="BS811" s="113"/>
      <c r="BT811" s="113"/>
      <c r="BU811" s="113"/>
      <c r="BV811" s="175"/>
      <c r="BW811" s="113">
        <f>INDEX('Gross Dx Plant'!$E$7:$AD$91,MATCH($C811,'Gross Dx Plant'!$D$7:$D$91,0),MATCH(Calculation!$G811,'Gross Dx Plant'!$E$5:$AD$5,0))</f>
        <v>342381</v>
      </c>
      <c r="BX811" s="113">
        <f>INDEX('Gross Gen Plant'!$E$7:$AD$91,MATCH($C811,'Gross Gen Plant'!$D$7:$D$91,0),MATCH(Calculation!$G811,'Gross Gen Plant'!$E$5:$AD$5,0))</f>
        <v>7676</v>
      </c>
      <c r="BY811" s="113">
        <f t="shared" si="1460"/>
        <v>241670</v>
      </c>
      <c r="BZ811" s="114"/>
      <c r="CA811" s="116">
        <v>2006</v>
      </c>
      <c r="CB811" s="113"/>
      <c r="CC811" s="113"/>
      <c r="CD811" s="113"/>
      <c r="CE811" s="175"/>
      <c r="CF811" s="113">
        <f t="shared" si="1473"/>
        <v>20897</v>
      </c>
      <c r="CG811" s="113">
        <f t="shared" si="1474"/>
        <v>45.32129544664798</v>
      </c>
      <c r="CH811" s="178">
        <v>0.9555555555555556</v>
      </c>
      <c r="CI811" s="61">
        <f>+CI803*CH811+CG804*CH810+CG805*CH809+CG806*CH808+CG807*CH807+CG808*CH806+CG809*CH805+CG810*CH804+CG811</f>
        <v>1081.4760468529091</v>
      </c>
      <c r="CJ811" s="114">
        <f t="shared" si="1475"/>
        <v>3.6592660626369698E-2</v>
      </c>
      <c r="CK811" s="114"/>
      <c r="CL811" s="169">
        <f t="shared" si="1476"/>
        <v>6.1983612426795391E-3</v>
      </c>
      <c r="CM811" s="169">
        <f t="shared" si="1484"/>
        <v>6.0126239268743706E-3</v>
      </c>
      <c r="CN811" s="114">
        <f>VLOOKUP($H811,RoR!$E:$F,2,FALSE)</f>
        <v>5.5874999999999994E-2</v>
      </c>
      <c r="CO811" s="169">
        <v>3.0512430354548314E-2</v>
      </c>
      <c r="CP811" s="169">
        <f t="shared" si="1482"/>
        <v>2.536256964545168E-2</v>
      </c>
      <c r="CQ811" s="169">
        <f t="shared" si="1485"/>
        <v>2.4889317681659254E-2</v>
      </c>
      <c r="CR811" s="169">
        <f t="shared" si="1486"/>
        <v>7.9087823893859641E-2</v>
      </c>
      <c r="CS811" s="179">
        <f t="shared" si="1477"/>
        <v>0.85329623209999994</v>
      </c>
      <c r="CT811" s="180">
        <f t="shared" si="1478"/>
        <v>0.91779957551769631</v>
      </c>
      <c r="CU811" s="180">
        <f t="shared" si="1479"/>
        <v>0.52757270693512304</v>
      </c>
      <c r="CV811" s="180">
        <f t="shared" si="1480"/>
        <v>0.88636824549024895</v>
      </c>
      <c r="CW811" s="180">
        <f t="shared" si="1481"/>
        <v>0.42918482841932087</v>
      </c>
      <c r="CX811" s="181">
        <f>INDEX('State Tax Lookup'!$D$7:$Z$91,MATCH(Calculation!$C811,'State Tax Lookup'!$B$7:$B$91,0),MATCH($H811,'State Tax Lookup'!$D$6:$Z$6,0))</f>
        <v>0.39649667</v>
      </c>
      <c r="CY811" s="72">
        <v>0.37</v>
      </c>
      <c r="CZ811" s="70">
        <f t="shared" si="1483"/>
        <v>16.11430079717017</v>
      </c>
      <c r="DA811" s="70">
        <v>14.788696346247992</v>
      </c>
      <c r="DB811" s="69">
        <f t="shared" si="1487"/>
        <v>-2.3747496525525397E-2</v>
      </c>
      <c r="DC811" s="111">
        <f>VLOOKUP($H811,RoR!$E:$F,2,FALSE)</f>
        <v>5.5874999999999994E-2</v>
      </c>
      <c r="DD811" s="216">
        <f>HLOOKUP($H811,'GDP-PI'!$D$8:$CQ$11,3,FALSE)</f>
        <v>3.0512430354548314E-2</v>
      </c>
      <c r="DE811" s="111">
        <f>VLOOKUP(H811,'HW Dx Data'!$E:$F,2,FALSE)</f>
        <v>461.08567272971823</v>
      </c>
      <c r="DF811" s="72">
        <f t="shared" si="1497"/>
        <v>109.4</v>
      </c>
      <c r="DG811" s="69">
        <f t="shared" si="1498"/>
        <v>9.7620891318751846E-2</v>
      </c>
      <c r="DH811" s="66">
        <f>HLOOKUP(H811,'GDP-PI'!$8:$9,2,FALSE)</f>
        <v>90.073999999999998</v>
      </c>
      <c r="DI811" s="69">
        <f t="shared" si="1488"/>
        <v>3.005618372545445E-2</v>
      </c>
      <c r="EB811"/>
    </row>
    <row r="812" spans="1:132" s="160" customFormat="1" ht="21">
      <c r="A812" s="160" t="s">
        <v>207</v>
      </c>
      <c r="B812" s="161" t="s">
        <v>207</v>
      </c>
      <c r="C812" s="161">
        <v>4057093</v>
      </c>
      <c r="D812" s="161" t="s">
        <v>171</v>
      </c>
      <c r="E812" s="161" t="s">
        <v>3</v>
      </c>
      <c r="F812" s="161"/>
      <c r="G812" s="161" t="s">
        <v>118</v>
      </c>
      <c r="H812" s="162">
        <v>2007</v>
      </c>
      <c r="I812" s="163"/>
      <c r="J812" s="159">
        <f>IFERROR(INDEX('Labor Expenditures'!$F$7:$X$91,MATCH($C812,'Labor Expenditures'!$D$7:$D$91,0),MATCH($G812,'Labor Expenditures'!$F$5:$X$5,0)),"NA")</f>
        <v>18938.125283413814</v>
      </c>
      <c r="K812" s="159">
        <f t="shared" si="1489"/>
        <v>181.1827341154156</v>
      </c>
      <c r="L812" s="165">
        <f t="shared" si="1495"/>
        <v>0.18423903408724265</v>
      </c>
      <c r="M812" s="76">
        <f t="shared" si="1499"/>
        <v>1.4260664194461342E-3</v>
      </c>
      <c r="N812" s="62">
        <f t="shared" ref="N812:N825" si="1505">+N811*EXP(O812)</f>
        <v>118.49465087128141</v>
      </c>
      <c r="O812" s="96">
        <f t="shared" si="1500"/>
        <v>7.7860917083925341E-2</v>
      </c>
      <c r="P812" s="96"/>
      <c r="Q812" s="159">
        <f>IFERROR(INDEX('Non-Labor Expenditures'!$F$7:$AB$91,MATCH($C812,'Non-Labor Expenditures'!$D$7:$D$91,0),MATCH($G812,'Non-Labor Expenditures'!$F$5:$AB$5,0)),"NA")</f>
        <v>27425.942564272918</v>
      </c>
      <c r="R812" s="159">
        <f t="shared" si="1490"/>
        <v>296.50308724808013</v>
      </c>
      <c r="S812" s="165">
        <f t="shared" si="1501"/>
        <v>0.1120989533919521</v>
      </c>
      <c r="T812" s="165">
        <f t="shared" si="1502"/>
        <v>8.6768015192492545E-4</v>
      </c>
      <c r="U812" s="165"/>
      <c r="V812" s="165"/>
      <c r="W812" s="159">
        <f t="shared" si="1471"/>
        <v>18714.457789547865</v>
      </c>
      <c r="X812" s="163"/>
      <c r="Y812" s="167">
        <v>1113.6869343255655</v>
      </c>
      <c r="Z812" s="168">
        <v>2.9349255489111728E-2</v>
      </c>
      <c r="AA812" s="76">
        <f t="shared" si="1491"/>
        <v>2.2717220536961922E-4</v>
      </c>
      <c r="AB812" s="168"/>
      <c r="AC812" s="168"/>
      <c r="AD812" s="163">
        <f t="shared" si="1410"/>
        <v>65078.525637234598</v>
      </c>
      <c r="AE812" s="168">
        <f t="shared" si="1503"/>
        <v>0.12969994567855608</v>
      </c>
      <c r="AF812" s="163"/>
      <c r="AG812" s="163"/>
      <c r="AH812" s="163"/>
      <c r="AI812" s="163"/>
      <c r="AJ812" s="116">
        <f t="shared" si="1504"/>
        <v>518.36812009426581</v>
      </c>
      <c r="AK812" s="114">
        <f>+AV812/$AX$12</f>
        <v>3.5926919531856028E-3</v>
      </c>
      <c r="AL812" s="115">
        <f t="shared" si="1492"/>
        <v>0.29100421526111508</v>
      </c>
      <c r="AM812" s="115">
        <f t="shared" si="1493"/>
        <v>0.42142845578820548</v>
      </c>
      <c r="AN812" s="115">
        <f t="shared" si="1494"/>
        <v>0.28756732895067944</v>
      </c>
      <c r="AO812" s="115">
        <f t="shared" si="1496"/>
        <v>0.10893956898457913</v>
      </c>
      <c r="AP812" s="166">
        <f>+AP811*EXP(AO812)</f>
        <v>109.98277148517967</v>
      </c>
      <c r="AQ812" s="168">
        <f>LN(AP812/AP811)</f>
        <v>0.10893956898457911</v>
      </c>
      <c r="AR812" s="69">
        <f>+AD812/$AF$12</f>
        <v>7.7403055574577617E-3</v>
      </c>
      <c r="AS812" s="169">
        <f t="shared" ref="AS812:AS826" si="1506">+AR812*AQ812</f>
        <v>8.4322555123839094E-4</v>
      </c>
      <c r="AT812" s="115"/>
      <c r="AU812" s="115"/>
      <c r="AV812" s="113">
        <f>IFERROR(INDEX('Total Customers'!$F$7:$AB$91,MATCH($C812,'Total Customers'!$D$7:$D$91,0),MATCH($G812,'Total Customers'!$F$5:$AB$5,0)),"NA")</f>
        <v>125545</v>
      </c>
      <c r="AW812" s="68">
        <f t="shared" si="1422"/>
        <v>2.5681121751672848E-3</v>
      </c>
      <c r="AX812" s="114"/>
      <c r="AY812" s="114"/>
      <c r="AZ812" s="116">
        <v>8187757</v>
      </c>
      <c r="BA812" s="116"/>
      <c r="BB812" s="166"/>
      <c r="BC812" s="166"/>
      <c r="BD812" s="166"/>
      <c r="BE812" s="166"/>
      <c r="BF812" s="166"/>
      <c r="BG812" s="166"/>
      <c r="BH812" s="166"/>
      <c r="BI812" s="113"/>
      <c r="BJ812" s="113"/>
      <c r="BK812" s="113">
        <f>INDEX('Dist. Plant Gas Additions'!$F$7:$AE$91,MATCH($C812,'Dist. Plant Gas Additions'!$D$7:$D$91,0),MATCH(Calculation!$G812,'Dist. Plant Gas Additions'!$F$5:$AE$5,0))</f>
        <v>17723</v>
      </c>
      <c r="BL812" s="113">
        <f>INDEX('Gen. Plant Additions'!$F$7:$AE$91,MATCH($C812,'Gen. Plant Additions'!$D$7:$D$91,0),MATCH(Calculation!$G812,'Gen. Plant Additions'!$F$5:$AE$5,0))</f>
        <v>1757</v>
      </c>
      <c r="BM812" s="231">
        <f t="shared" si="1472"/>
        <v>0.97650024748032394</v>
      </c>
      <c r="BN812" s="61">
        <f>+BM812*BL812</f>
        <v>1715.7109348229292</v>
      </c>
      <c r="BO812" s="113">
        <f>INDEX('Dist Plant Depreciation'!$E$7:$AD$94,MATCH($C812,'Dist Plant Depreciation'!$D$7:$D$94,0),MATCH(Calculation!$G812,'Dist Plant Depreciation'!$E$5:$AD$5,0))</f>
        <v>111909</v>
      </c>
      <c r="BP812" s="113">
        <f>INDEX('Gen. Plant Depreciation'!$E$7:$AD$94,MATCH($C812,'Gen. Plant Depreciation'!$D$7:$D$94,0),MATCH(Calculation!$G812,'Gen. Plant Depreciation'!$E$5:$AD$5,0))</f>
        <v>2352</v>
      </c>
      <c r="BQ812" s="113"/>
      <c r="BR812" s="113"/>
      <c r="BS812" s="113"/>
      <c r="BT812" s="113"/>
      <c r="BU812" s="113"/>
      <c r="BV812" s="175"/>
      <c r="BW812" s="113">
        <f>INDEX('Gross Dx Plant'!$E$7:$AD$91,MATCH($C812,'Gross Dx Plant'!$D$7:$D$91,0),MATCH(Calculation!$G812,'Gross Dx Plant'!$E$5:$AD$5,0))</f>
        <v>359065</v>
      </c>
      <c r="BX812" s="113">
        <f>INDEX('Gross Gen Plant'!$E$7:$AD$91,MATCH($C812,'Gross Gen Plant'!$D$7:$D$91,0),MATCH(Calculation!$G812,'Gross Gen Plant'!$E$5:$AD$5,0))</f>
        <v>8641</v>
      </c>
      <c r="BY812" s="113">
        <f t="shared" si="1460"/>
        <v>253445</v>
      </c>
      <c r="BZ812" s="113"/>
      <c r="CA812" s="116">
        <v>2007</v>
      </c>
      <c r="CB812" s="113"/>
      <c r="CC812" s="113"/>
      <c r="CD812" s="113"/>
      <c r="CE812" s="175"/>
      <c r="CF812" s="113">
        <f t="shared" si="1473"/>
        <v>19480</v>
      </c>
      <c r="CG812" s="113">
        <f t="shared" si="1474"/>
        <v>39.114713125519216</v>
      </c>
      <c r="CH812" s="178">
        <v>0.94915254237288138</v>
      </c>
      <c r="CI812" s="61">
        <f>+CI803*CH812+CG804*CH811+CG805*CH810+CG806*CH809+CG807*CH808+CG808*CH807+CG809*CH806+CG810*CH805+CG811*CH804+CG812</f>
        <v>1113.6869343255655</v>
      </c>
      <c r="CJ812" s="114">
        <f t="shared" si="1475"/>
        <v>2.9349255489111728E-2</v>
      </c>
      <c r="CK812" s="114"/>
      <c r="CL812" s="169">
        <f t="shared" si="1476"/>
        <v>6.3837064842563324E-3</v>
      </c>
      <c r="CM812" s="169">
        <f t="shared" si="1484"/>
        <v>6.197399682774384E-3</v>
      </c>
      <c r="CN812" s="114">
        <f>VLOOKUP($H812,RoR!$E:$F,2,FALSE)</f>
        <v>5.5558333333333321E-2</v>
      </c>
      <c r="CO812" s="169">
        <v>2.691120634145272E-2</v>
      </c>
      <c r="CP812" s="169">
        <f t="shared" si="1482"/>
        <v>2.86471269918806E-2</v>
      </c>
      <c r="CQ812" s="169">
        <f t="shared" si="1485"/>
        <v>2.470454192575924E-2</v>
      </c>
      <c r="CR812" s="169">
        <f t="shared" si="1486"/>
        <v>6.4575155250632399E-2</v>
      </c>
      <c r="CS812" s="179">
        <f t="shared" si="1477"/>
        <v>0.85329623209999994</v>
      </c>
      <c r="CT812" s="180">
        <f t="shared" si="1478"/>
        <v>0.92303077153834634</v>
      </c>
      <c r="CU812" s="180">
        <f t="shared" si="1479"/>
        <v>0.52502249887505614</v>
      </c>
      <c r="CV812" s="180">
        <f t="shared" si="1480"/>
        <v>0.88499666072084604</v>
      </c>
      <c r="CW812" s="180">
        <f t="shared" si="1481"/>
        <v>0.42887993290280618</v>
      </c>
      <c r="CX812" s="181">
        <f>INDEX('State Tax Lookup'!$D$7:$Z$91,MATCH(Calculation!$C812,'State Tax Lookup'!$B$7:$B$91,0),MATCH($H812,'State Tax Lookup'!$D$6:$Z$6,0))</f>
        <v>0.39649667</v>
      </c>
      <c r="CY812" s="72">
        <v>0.37</v>
      </c>
      <c r="CZ812" s="70">
        <f t="shared" si="1483"/>
        <v>17.304551352761681</v>
      </c>
      <c r="DA812" s="70">
        <v>16.108943221861779</v>
      </c>
      <c r="DB812" s="69">
        <f t="shared" si="1487"/>
        <v>7.1262424875066496E-2</v>
      </c>
      <c r="DC812" s="111">
        <f>VLOOKUP($H812,RoR!$E:$F,2,FALSE)</f>
        <v>5.5558333333333321E-2</v>
      </c>
      <c r="DD812" s="216">
        <f>HLOOKUP($H812,'GDP-PI'!$D$8:$CQ$11,3,FALSE)</f>
        <v>2.691120634145272E-2</v>
      </c>
      <c r="DE812" s="111">
        <f>VLOOKUP(H812,'HW Dx Data'!$E:$F,2,FALSE)</f>
        <v>498.0223154772637</v>
      </c>
      <c r="DF812" s="72">
        <f t="shared" si="1497"/>
        <v>104.52499999999999</v>
      </c>
      <c r="DG812" s="69">
        <f t="shared" si="1498"/>
        <v>-4.5584612745252218E-2</v>
      </c>
      <c r="DH812" s="66">
        <f>HLOOKUP(H812,'GDP-PI'!$8:$9,2,FALSE)</f>
        <v>92.498000000000005</v>
      </c>
      <c r="DI812" s="69">
        <f t="shared" si="1488"/>
        <v>2.6555467950038037E-2</v>
      </c>
      <c r="EB812"/>
    </row>
    <row r="813" spans="1:132" s="160" customFormat="1" ht="21">
      <c r="A813" s="160" t="s">
        <v>207</v>
      </c>
      <c r="B813" s="161" t="s">
        <v>207</v>
      </c>
      <c r="C813" s="161">
        <v>4057093</v>
      </c>
      <c r="D813" s="161" t="s">
        <v>171</v>
      </c>
      <c r="E813" s="161" t="s">
        <v>3</v>
      </c>
      <c r="F813" s="161"/>
      <c r="G813" s="161" t="s">
        <v>120</v>
      </c>
      <c r="H813" s="162">
        <v>2008</v>
      </c>
      <c r="I813" s="163"/>
      <c r="J813" s="159">
        <f>IFERROR(INDEX('Labor Expenditures'!$F$7:$X$91,MATCH($C813,'Labor Expenditures'!$D$7:$D$91,0),MATCH($G813,'Labor Expenditures'!$F$5:$X$5,0)),"NA")</f>
        <v>18943.461785304688</v>
      </c>
      <c r="K813" s="159">
        <f t="shared" si="1489"/>
        <v>175.56498410847718</v>
      </c>
      <c r="L813" s="165">
        <f t="shared" si="1495"/>
        <v>-3.149684854043279E-2</v>
      </c>
      <c r="M813" s="76">
        <f t="shared" si="1499"/>
        <v>-2.3919918833783813E-4</v>
      </c>
      <c r="N813" s="62">
        <f t="shared" si="1505"/>
        <v>110.16211420310003</v>
      </c>
      <c r="O813" s="96">
        <f t="shared" si="1500"/>
        <v>-7.2914772880976114E-2</v>
      </c>
      <c r="P813" s="96"/>
      <c r="Q813" s="159">
        <f>IFERROR(INDEX('Non-Labor Expenditures'!$F$7:$AB$91,MATCH($C813,'Non-Labor Expenditures'!$D$7:$D$91,0),MATCH($G813,'Non-Labor Expenditures'!$F$5:$AB$5,0)),"NA")</f>
        <v>27433.670815731974</v>
      </c>
      <c r="R813" s="159">
        <f t="shared" si="1490"/>
        <v>291.030200455444</v>
      </c>
      <c r="S813" s="165">
        <f t="shared" si="1501"/>
        <v>-1.863058726700452E-2</v>
      </c>
      <c r="T813" s="165">
        <f t="shared" si="1502"/>
        <v>-1.4148784907175698E-4</v>
      </c>
      <c r="U813" s="165"/>
      <c r="V813" s="165"/>
      <c r="W813" s="159">
        <f t="shared" si="1471"/>
        <v>21888.672611750317</v>
      </c>
      <c r="X813" s="163"/>
      <c r="Y813" s="167">
        <v>1144.5522760622903</v>
      </c>
      <c r="Z813" s="168">
        <v>2.7337461686639378E-2</v>
      </c>
      <c r="AA813" s="76">
        <f t="shared" si="1491"/>
        <v>2.0761120396748858E-4</v>
      </c>
      <c r="AB813" s="168"/>
      <c r="AC813" s="168"/>
      <c r="AD813" s="163">
        <f t="shared" si="1410"/>
        <v>68265.805212786974</v>
      </c>
      <c r="AE813" s="168">
        <f t="shared" si="1503"/>
        <v>4.7814357991562417E-2</v>
      </c>
      <c r="AF813" s="163"/>
      <c r="AG813" s="163"/>
      <c r="AH813" s="163"/>
      <c r="AI813" s="163"/>
      <c r="AJ813" s="116">
        <f t="shared" si="1504"/>
        <v>539.4246300979587</v>
      </c>
      <c r="AK813" s="114">
        <f>+AV813/$AX$13</f>
        <v>3.6021748251833844E-3</v>
      </c>
      <c r="AL813" s="115">
        <f t="shared" si="1492"/>
        <v>0.27749561769991921</v>
      </c>
      <c r="AM813" s="115">
        <f t="shared" si="1493"/>
        <v>0.40186548346159889</v>
      </c>
      <c r="AN813" s="115">
        <f t="shared" si="1494"/>
        <v>0.32063889883848196</v>
      </c>
      <c r="AO813" s="115">
        <f t="shared" si="1496"/>
        <v>-8.3087941329313877E-3</v>
      </c>
      <c r="AP813" s="166">
        <f t="shared" ref="AP813:AP826" si="1507">+AP812*EXP(AO813)</f>
        <v>109.07273317467651</v>
      </c>
      <c r="AQ813" s="168">
        <f t="shared" ref="AQ813:AQ826" si="1508">LN(AP813/AP812)</f>
        <v>-8.3087941329314206E-3</v>
      </c>
      <c r="AR813" s="69">
        <f>+AD813/$AF$13</f>
        <v>7.5943848169691E-3</v>
      </c>
      <c r="AS813" s="169">
        <f t="shared" si="1506"/>
        <v>-6.3100180010456318E-5</v>
      </c>
      <c r="AT813" s="115"/>
      <c r="AU813" s="115"/>
      <c r="AV813" s="113">
        <f>IFERROR(INDEX('Total Customers'!$F$7:$AB$91,MATCH($C813,'Total Customers'!$D$7:$D$91,0),MATCH($G813,'Total Customers'!$F$5:$AB$5,0)),"NA")</f>
        <v>126553</v>
      </c>
      <c r="AW813" s="68">
        <f t="shared" si="1422"/>
        <v>7.9969327156314881E-3</v>
      </c>
      <c r="AX813" s="114"/>
      <c r="AY813" s="114"/>
      <c r="AZ813" s="116">
        <v>8244107</v>
      </c>
      <c r="BA813" s="116"/>
      <c r="BB813" s="166"/>
      <c r="BC813" s="166"/>
      <c r="BD813" s="166"/>
      <c r="BE813" s="166"/>
      <c r="BF813" s="166"/>
      <c r="BG813" s="166"/>
      <c r="BH813" s="166"/>
      <c r="BI813" s="113"/>
      <c r="BJ813" s="113"/>
      <c r="BK813" s="113">
        <f>INDEX('Dist. Plant Gas Additions'!$F$7:$AE$91,MATCH($C813,'Dist. Plant Gas Additions'!$D$7:$D$91,0),MATCH(Calculation!$G813,'Dist. Plant Gas Additions'!$F$5:$AE$5,0))</f>
        <v>20764</v>
      </c>
      <c r="BL813" s="113">
        <f>INDEX('Gen. Plant Additions'!$F$7:$AE$91,MATCH($C813,'Gen. Plant Additions'!$D$7:$D$91,0),MATCH(Calculation!$G813,'Gen. Plant Additions'!$F$5:$AE$5,0))</f>
        <v>1004</v>
      </c>
      <c r="BM813" s="231">
        <f t="shared" si="1472"/>
        <v>0.97593202758734576</v>
      </c>
      <c r="BN813" s="61">
        <f t="shared" ref="BN813:BN829" si="1509">+BM813*BL813</f>
        <v>979.83575569769516</v>
      </c>
      <c r="BO813" s="113">
        <f>INDEX('Dist Plant Depreciation'!$E$7:$AD$94,MATCH($C813,'Dist Plant Depreciation'!$D$7:$D$94,0),MATCH(Calculation!$G813,'Dist Plant Depreciation'!$E$5:$AD$5,0))</f>
        <v>118144</v>
      </c>
      <c r="BP813" s="113">
        <f>INDEX('Gen. Plant Depreciation'!$E$7:$AD$94,MATCH($C813,'Gen. Plant Depreciation'!$D$7:$D$94,0),MATCH(Calculation!$G813,'Gen. Plant Depreciation'!$E$5:$AD$5,0))</f>
        <v>12065</v>
      </c>
      <c r="BQ813" s="113"/>
      <c r="BR813" s="113"/>
      <c r="BS813" s="113"/>
      <c r="BT813" s="113"/>
      <c r="BU813" s="113"/>
      <c r="BV813" s="175"/>
      <c r="BW813" s="113">
        <f>INDEX('Gross Dx Plant'!$E$7:$AD$91,MATCH($C813,'Gross Dx Plant'!$D$7:$D$91,0),MATCH(Calculation!$G813,'Gross Dx Plant'!$E$5:$AD$5,0))</f>
        <v>378241</v>
      </c>
      <c r="BX813" s="113">
        <f>INDEX('Gross Gen Plant'!$E$7:$AD$91,MATCH($C813,'Gross Gen Plant'!$D$7:$D$91,0),MATCH(Calculation!$G813,'Gross Gen Plant'!$E$5:$AD$5,0))</f>
        <v>9328</v>
      </c>
      <c r="BY813" s="113">
        <f t="shared" si="1460"/>
        <v>257360</v>
      </c>
      <c r="BZ813" s="113"/>
      <c r="CA813" s="116">
        <v>2008</v>
      </c>
      <c r="CB813" s="113"/>
      <c r="CC813" s="113"/>
      <c r="CD813" s="113"/>
      <c r="CE813" s="175"/>
      <c r="CF813" s="113">
        <f t="shared" si="1473"/>
        <v>21768</v>
      </c>
      <c r="CG813" s="113">
        <f t="shared" si="1474"/>
        <v>38.197434610241217</v>
      </c>
      <c r="CH813" s="178">
        <v>0.94252873563218387</v>
      </c>
      <c r="CI813" s="61">
        <f>+CI803*CH813+CG804*CH812+CG805*CH811+CG806*CH810+CG807*CH809+CG808*CH808+CG809*CH807+CG810*CH806+CG811*CH805+CG812*CH804+CG813</f>
        <v>1144.5522760622903</v>
      </c>
      <c r="CJ813" s="114">
        <f t="shared" si="1475"/>
        <v>2.7337461686639378E-2</v>
      </c>
      <c r="CK813" s="114"/>
      <c r="CL813" s="169">
        <f t="shared" si="1476"/>
        <v>6.5836211663528937E-3</v>
      </c>
      <c r="CM813" s="169">
        <f t="shared" si="1484"/>
        <v>6.3885629644295887E-3</v>
      </c>
      <c r="CN813" s="114">
        <f>VLOOKUP($H813,RoR!$E:$F,2,FALSE)</f>
        <v>5.6316666666666668E-2</v>
      </c>
      <c r="CO813" s="169">
        <v>1.9092304698479889E-2</v>
      </c>
      <c r="CP813" s="169">
        <f t="shared" si="1482"/>
        <v>3.7224361968186778E-2</v>
      </c>
      <c r="CQ813" s="169">
        <f t="shared" si="1485"/>
        <v>2.4513378644104036E-2</v>
      </c>
      <c r="CR813" s="169">
        <f t="shared" si="1486"/>
        <v>6.9030581091053131E-2</v>
      </c>
      <c r="CS813" s="179">
        <f t="shared" si="1477"/>
        <v>0.85329623209999994</v>
      </c>
      <c r="CT813" s="180">
        <f t="shared" si="1478"/>
        <v>0.91060168006009956</v>
      </c>
      <c r="CU813" s="180">
        <f t="shared" si="1479"/>
        <v>0.53108168097070152</v>
      </c>
      <c r="CV813" s="180">
        <f t="shared" si="1480"/>
        <v>0.88825329850328805</v>
      </c>
      <c r="CW813" s="180">
        <f t="shared" si="1481"/>
        <v>0.4295627335323573</v>
      </c>
      <c r="CX813" s="181">
        <f>INDEX('State Tax Lookup'!$D$7:$Z$91,MATCH(Calculation!$C813,'State Tax Lookup'!$B$7:$B$91,0),MATCH($H813,'State Tax Lookup'!$D$6:$Z$6,0))</f>
        <v>0.39649667</v>
      </c>
      <c r="CY813" s="72">
        <v>0.37</v>
      </c>
      <c r="CZ813" s="70">
        <f t="shared" si="1483"/>
        <v>19.654242082857706</v>
      </c>
      <c r="DA813" s="70">
        <v>18.300102035478151</v>
      </c>
      <c r="DB813" s="69">
        <f t="shared" si="1487"/>
        <v>0.12732364621748346</v>
      </c>
      <c r="DC813" s="111">
        <f>VLOOKUP($H813,RoR!$E:$F,2,FALSE)</f>
        <v>5.6316666666666668E-2</v>
      </c>
      <c r="DD813" s="216">
        <f>HLOOKUP($H813,'GDP-PI'!$D$8:$CQ$11,3,FALSE)</f>
        <v>1.9092304698479889E-2</v>
      </c>
      <c r="DE813" s="111">
        <f>VLOOKUP(H813,'HW Dx Data'!$E:$F,2,FALSE)</f>
        <v>569.88120333515076</v>
      </c>
      <c r="DF813" s="72">
        <f t="shared" si="1497"/>
        <v>107.9</v>
      </c>
      <c r="DG813" s="69">
        <f t="shared" si="1498"/>
        <v>3.1778595021460486E-2</v>
      </c>
      <c r="DH813" s="66">
        <f>HLOOKUP(H813,'GDP-PI'!$8:$9,2,FALSE)</f>
        <v>94.263999999999996</v>
      </c>
      <c r="DI813" s="69">
        <f t="shared" si="1488"/>
        <v>1.8912333748032254E-2</v>
      </c>
      <c r="EB813"/>
    </row>
    <row r="814" spans="1:132" s="160" customFormat="1" ht="21">
      <c r="A814" s="160" t="s">
        <v>207</v>
      </c>
      <c r="B814" s="161" t="s">
        <v>207</v>
      </c>
      <c r="C814" s="161">
        <v>4057093</v>
      </c>
      <c r="D814" s="161" t="s">
        <v>171</v>
      </c>
      <c r="E814" s="161" t="s">
        <v>3</v>
      </c>
      <c r="F814" s="161"/>
      <c r="G814" s="161" t="s">
        <v>125</v>
      </c>
      <c r="H814" s="162">
        <v>2009</v>
      </c>
      <c r="I814" s="163"/>
      <c r="J814" s="159">
        <f>IFERROR(INDEX('Labor Expenditures'!$F$7:$X$91,MATCH($C814,'Labor Expenditures'!$D$7:$D$91,0),MATCH($G814,'Labor Expenditures'!$F$5:$X$5,0)),"NA")</f>
        <v>20132.788260648049</v>
      </c>
      <c r="K814" s="159">
        <f t="shared" si="1489"/>
        <v>181.49910534728915</v>
      </c>
      <c r="L814" s="165">
        <f t="shared" si="1495"/>
        <v>3.3241470287070446E-2</v>
      </c>
      <c r="M814" s="76">
        <f t="shared" si="1499"/>
        <v>2.5125283929773747E-4</v>
      </c>
      <c r="N814" s="62">
        <f t="shared" si="1505"/>
        <v>117.45523982565733</v>
      </c>
      <c r="O814" s="96">
        <f t="shared" si="1500"/>
        <v>6.4104277006438268E-2</v>
      </c>
      <c r="P814" s="96"/>
      <c r="Q814" s="159">
        <f>IFERROR(INDEX('Non-Labor Expenditures'!$F$7:$AB$91,MATCH($C814,'Non-Labor Expenditures'!$D$7:$D$91,0),MATCH($G814,'Non-Labor Expenditures'!$F$5:$AB$5,0)),"NA")</f>
        <v>29156.037687573487</v>
      </c>
      <c r="R814" s="159">
        <f t="shared" si="1490"/>
        <v>306.90889048909452</v>
      </c>
      <c r="S814" s="165">
        <f t="shared" si="1501"/>
        <v>5.3123886469645061E-2</v>
      </c>
      <c r="T814" s="165">
        <f t="shared" si="1502"/>
        <v>4.0153239898117911E-4</v>
      </c>
      <c r="U814" s="165"/>
      <c r="V814" s="165"/>
      <c r="W814" s="159">
        <f t="shared" si="1471"/>
        <v>21576.114846038494</v>
      </c>
      <c r="X814" s="163"/>
      <c r="Y814" s="167">
        <v>1177.6486013617775</v>
      </c>
      <c r="Z814" s="168">
        <v>2.8506204414887007E-2</v>
      </c>
      <c r="AA814" s="76">
        <f t="shared" si="1491"/>
        <v>2.1546173303976522E-4</v>
      </c>
      <c r="AB814" s="168"/>
      <c r="AC814" s="168"/>
      <c r="AD814" s="163">
        <f t="shared" si="1410"/>
        <v>70864.940794260037</v>
      </c>
      <c r="AE814" s="168">
        <f t="shared" si="1503"/>
        <v>3.7366837681976753E-2</v>
      </c>
      <c r="AF814" s="163"/>
      <c r="AG814" s="163"/>
      <c r="AH814" s="163"/>
      <c r="AI814" s="163"/>
      <c r="AJ814" s="116">
        <f t="shared" si="1504"/>
        <v>555.13294369357823</v>
      </c>
      <c r="AK814" s="114">
        <f>+AV814/$AX$14</f>
        <v>3.6288815236446984E-3</v>
      </c>
      <c r="AL814" s="115">
        <f t="shared" si="1492"/>
        <v>0.28410082665699166</v>
      </c>
      <c r="AM814" s="115">
        <f t="shared" si="1493"/>
        <v>0.41143105971429933</v>
      </c>
      <c r="AN814" s="115">
        <f t="shared" si="1494"/>
        <v>0.3044681136287089</v>
      </c>
      <c r="AO814" s="115">
        <f t="shared" si="1496"/>
        <v>3.9846596511407463E-2</v>
      </c>
      <c r="AP814" s="166">
        <f t="shared" si="1507"/>
        <v>113.50666220523063</v>
      </c>
      <c r="AQ814" s="168">
        <f t="shared" si="1508"/>
        <v>3.9846596511407484E-2</v>
      </c>
      <c r="AR814" s="69">
        <f>+AD814/$AF$14</f>
        <v>7.5584153507031971E-3</v>
      </c>
      <c r="AS814" s="169">
        <f t="shared" si="1506"/>
        <v>3.0117712674509881E-4</v>
      </c>
      <c r="AT814" s="115"/>
      <c r="AU814" s="115"/>
      <c r="AV814" s="113">
        <f>IFERROR(INDEX('Total Customers'!$F$7:$AB$91,MATCH($C814,'Total Customers'!$D$7:$D$91,0),MATCH($G814,'Total Customers'!$F$5:$AB$5,0)),"NA")</f>
        <v>127654</v>
      </c>
      <c r="AW814" s="68">
        <f t="shared" si="1422"/>
        <v>8.6622861248595185E-3</v>
      </c>
      <c r="AX814" s="114"/>
      <c r="AY814" s="114"/>
      <c r="AZ814" s="116">
        <v>8336812</v>
      </c>
      <c r="BA814" s="116"/>
      <c r="BB814" s="166"/>
      <c r="BC814" s="166"/>
      <c r="BD814" s="166"/>
      <c r="BE814" s="166"/>
      <c r="BF814" s="166"/>
      <c r="BG814" s="166"/>
      <c r="BH814" s="166"/>
      <c r="BI814" s="113"/>
      <c r="BJ814" s="113"/>
      <c r="BK814" s="113">
        <f>INDEX('Dist. Plant Gas Additions'!$F$7:$AE$91,MATCH($C814,'Dist. Plant Gas Additions'!$D$7:$D$91,0),MATCH(Calculation!$G814,'Dist. Plant Gas Additions'!$F$5:$AE$5,0))</f>
        <v>21247</v>
      </c>
      <c r="BL814" s="113">
        <f>INDEX('Gen. Plant Additions'!$F$7:$AE$91,MATCH($C814,'Gen. Plant Additions'!$D$7:$D$91,0),MATCH(Calculation!$G814,'Gen. Plant Additions'!$F$5:$AE$5,0))</f>
        <v>1270</v>
      </c>
      <c r="BM814" s="231">
        <f t="shared" si="1472"/>
        <v>0.97449437131484229</v>
      </c>
      <c r="BN814" s="61">
        <f t="shared" si="1509"/>
        <v>1237.6078515698498</v>
      </c>
      <c r="BO814" s="113">
        <f>INDEX('Dist Plant Depreciation'!$E$7:$AD$94,MATCH($C814,'Dist Plant Depreciation'!$D$7:$D$94,0),MATCH(Calculation!$G814,'Dist Plant Depreciation'!$E$5:$AD$5,0))</f>
        <v>125793</v>
      </c>
      <c r="BP814" s="113">
        <f>INDEX('Gen. Plant Depreciation'!$E$7:$AD$94,MATCH($C814,'Gen. Plant Depreciation'!$D$7:$D$94,0),MATCH(Calculation!$G814,'Gen. Plant Depreciation'!$E$5:$AD$5,0))</f>
        <v>13095</v>
      </c>
      <c r="BQ814" s="113"/>
      <c r="BR814" s="113"/>
      <c r="BS814" s="113"/>
      <c r="BT814" s="113"/>
      <c r="BU814" s="113"/>
      <c r="BV814" s="175"/>
      <c r="BW814" s="113">
        <f>INDEX('Gross Dx Plant'!$E$7:$AD$91,MATCH($C814,'Gross Dx Plant'!$D$7:$D$91,0),MATCH(Calculation!$G814,'Gross Dx Plant'!$E$5:$AD$5,0))</f>
        <v>398805</v>
      </c>
      <c r="BX814" s="113">
        <f>INDEX('Gross Gen Plant'!$E$7:$AD$91,MATCH($C814,'Gross Gen Plant'!$D$7:$D$91,0),MATCH(Calculation!$G814,'Gross Gen Plant'!$E$5:$AD$5,0))</f>
        <v>10438</v>
      </c>
      <c r="BY814" s="113">
        <f t="shared" si="1460"/>
        <v>270355</v>
      </c>
      <c r="BZ814" s="113"/>
      <c r="CA814" s="116">
        <v>2009</v>
      </c>
      <c r="CB814" s="113"/>
      <c r="CC814" s="113"/>
      <c r="CD814" s="113"/>
      <c r="CE814" s="175"/>
      <c r="CF814" s="113">
        <f t="shared" si="1473"/>
        <v>22517</v>
      </c>
      <c r="CG814" s="113">
        <f t="shared" si="1474"/>
        <v>40.870101960367052</v>
      </c>
      <c r="CH814" s="178">
        <v>0.93567251461988299</v>
      </c>
      <c r="CI814" s="61">
        <f>+CI803*CH814+CG804*CH813+CG805*CH812+CG806*CH811+CG807*CH810+CG808*CH809+CG809*CH808+CG810*CH807+CG811*CH806+CG812*CH805+CG813*CH804+CG814</f>
        <v>1177.6486013617775</v>
      </c>
      <c r="CJ814" s="114">
        <f t="shared" si="1475"/>
        <v>2.8506204414887007E-2</v>
      </c>
      <c r="CK814" s="114"/>
      <c r="CL814" s="169">
        <f t="shared" si="1476"/>
        <v>6.791980430657687E-3</v>
      </c>
      <c r="CM814" s="169">
        <f t="shared" si="1484"/>
        <v>6.586436027088971E-3</v>
      </c>
      <c r="CN814" s="114">
        <f>VLOOKUP($H814,RoR!$E:$F,2,FALSE)</f>
        <v>5.3133333333333324E-2</v>
      </c>
      <c r="CO814" s="169">
        <v>7.7972502758210105E-3</v>
      </c>
      <c r="CP814" s="169">
        <f t="shared" si="1482"/>
        <v>4.5336083057512314E-2</v>
      </c>
      <c r="CQ814" s="169">
        <f t="shared" si="1485"/>
        <v>2.4315505581444654E-2</v>
      </c>
      <c r="CR814" s="169">
        <f t="shared" si="1486"/>
        <v>6.3720160300892073E-2</v>
      </c>
      <c r="CS814" s="179">
        <f t="shared" si="1477"/>
        <v>0.85329623209999994</v>
      </c>
      <c r="CT814" s="180">
        <f t="shared" si="1478"/>
        <v>0.96515780330083989</v>
      </c>
      <c r="CU814" s="180">
        <f t="shared" si="1479"/>
        <v>0.50448557089084056</v>
      </c>
      <c r="CV814" s="180">
        <f t="shared" si="1480"/>
        <v>0.87391435735465484</v>
      </c>
      <c r="CW814" s="180">
        <f t="shared" si="1481"/>
        <v>0.42551605393279146</v>
      </c>
      <c r="CX814" s="181">
        <f>INDEX('State Tax Lookup'!$D$7:$Z$91,MATCH(Calculation!$C814,'State Tax Lookup'!$B$7:$B$91,0),MATCH($H814,'State Tax Lookup'!$D$6:$Z$6,0))</f>
        <v>0.39649667</v>
      </c>
      <c r="CY814" s="72">
        <v>0.37</v>
      </c>
      <c r="CZ814" s="70">
        <f t="shared" si="1483"/>
        <v>18.85113969653602</v>
      </c>
      <c r="DA814" s="70">
        <v>17.478615056163342</v>
      </c>
      <c r="DB814" s="69">
        <f t="shared" si="1487"/>
        <v>-4.171982367435817E-2</v>
      </c>
      <c r="DC814" s="111">
        <f>VLOOKUP($H814,RoR!$E:$F,2,FALSE)</f>
        <v>5.3133333333333324E-2</v>
      </c>
      <c r="DD814" s="216">
        <f>HLOOKUP($H814,'GDP-PI'!$D$8:$CQ$11,3,FALSE)</f>
        <v>7.7972502758210105E-3</v>
      </c>
      <c r="DE814" s="111">
        <f>VLOOKUP(H814,'HW Dx Data'!$E:$F,2,FALSE)</f>
        <v>550.94063679692806</v>
      </c>
      <c r="DF814" s="72">
        <f t="shared" si="1497"/>
        <v>110.925</v>
      </c>
      <c r="DG814" s="69">
        <f t="shared" si="1498"/>
        <v>2.7649425000884052E-2</v>
      </c>
      <c r="DH814" s="66">
        <f>HLOOKUP(H814,'GDP-PI'!$8:$9,2,FALSE)</f>
        <v>94.998999999999995</v>
      </c>
      <c r="DI814" s="69">
        <f t="shared" si="1488"/>
        <v>7.7670088183096342E-3</v>
      </c>
      <c r="EB814"/>
    </row>
    <row r="815" spans="1:132" s="160" customFormat="1" ht="21">
      <c r="A815" s="160" t="s">
        <v>207</v>
      </c>
      <c r="B815" s="161" t="s">
        <v>207</v>
      </c>
      <c r="C815" s="161">
        <v>4057093</v>
      </c>
      <c r="D815" s="161" t="s">
        <v>171</v>
      </c>
      <c r="E815" s="161" t="s">
        <v>3</v>
      </c>
      <c r="F815" s="161"/>
      <c r="G815" s="161" t="s">
        <v>126</v>
      </c>
      <c r="H815" s="162">
        <v>2010</v>
      </c>
      <c r="I815" s="163"/>
      <c r="J815" s="159">
        <f>IFERROR(INDEX('Labor Expenditures'!$F$7:$X$91,MATCH($C815,'Labor Expenditures'!$D$7:$D$91,0),MATCH($G815,'Labor Expenditures'!$F$5:$X$5,0)),"NA")</f>
        <v>21971.480532592574</v>
      </c>
      <c r="K815" s="159">
        <f t="shared" si="1489"/>
        <v>187.91088759967991</v>
      </c>
      <c r="L815" s="165">
        <f t="shared" si="1495"/>
        <v>3.4717123849346825E-2</v>
      </c>
      <c r="M815" s="76">
        <f t="shared" si="1499"/>
        <v>2.7347514738275218E-4</v>
      </c>
      <c r="N815" s="62">
        <f t="shared" si="1505"/>
        <v>96.415412170676035</v>
      </c>
      <c r="O815" s="96">
        <f t="shared" si="1500"/>
        <v>-0.19739125722839507</v>
      </c>
      <c r="P815" s="96"/>
      <c r="Q815" s="159">
        <f>IFERROR(INDEX('Non-Labor Expenditures'!$F$7:$AB$91,MATCH($C815,'Non-Labor Expenditures'!$D$7:$D$91,0),MATCH($G815,'Non-Labor Expenditures'!$F$5:$AB$5,0)),"NA")</f>
        <v>31818.807517694335</v>
      </c>
      <c r="R815" s="159">
        <f t="shared" si="1490"/>
        <v>331.07000923632893</v>
      </c>
      <c r="S815" s="165">
        <f t="shared" si="1501"/>
        <v>7.5778931389173187E-2</v>
      </c>
      <c r="T815" s="165">
        <f t="shared" si="1502"/>
        <v>5.9692889653217927E-4</v>
      </c>
      <c r="U815" s="165"/>
      <c r="V815" s="165"/>
      <c r="W815" s="159">
        <f t="shared" si="1471"/>
        <v>22761.298721056268</v>
      </c>
      <c r="X815" s="163"/>
      <c r="Y815" s="167">
        <v>1234.0330050841039</v>
      </c>
      <c r="Z815" s="168">
        <v>4.6767931869331182E-2</v>
      </c>
      <c r="AA815" s="76">
        <f t="shared" si="1491"/>
        <v>3.6840226501057022E-4</v>
      </c>
      <c r="AB815" s="168"/>
      <c r="AC815" s="168"/>
      <c r="AD815" s="163">
        <f t="shared" si="1410"/>
        <v>76551.58677134318</v>
      </c>
      <c r="AE815" s="168">
        <f t="shared" si="1503"/>
        <v>7.7189027303556951E-2</v>
      </c>
      <c r="AF815" s="163"/>
      <c r="AG815" s="163"/>
      <c r="AH815" s="163"/>
      <c r="AI815" s="163"/>
      <c r="AJ815" s="116">
        <f t="shared" si="1504"/>
        <v>596.65619731212689</v>
      </c>
      <c r="AK815" s="114">
        <f>+AV815/$AX$15</f>
        <v>3.6273183628125808E-3</v>
      </c>
      <c r="AL815" s="115">
        <f t="shared" si="1492"/>
        <v>0.28701535081461593</v>
      </c>
      <c r="AM815" s="115">
        <f t="shared" si="1493"/>
        <v>0.41565183505256348</v>
      </c>
      <c r="AN815" s="115">
        <f t="shared" si="1494"/>
        <v>0.29733281413282059</v>
      </c>
      <c r="AO815" s="115">
        <f t="shared" si="1496"/>
        <v>5.5323976894897847E-2</v>
      </c>
      <c r="AP815" s="166">
        <f t="shared" si="1507"/>
        <v>119.96325768475099</v>
      </c>
      <c r="AQ815" s="168">
        <f t="shared" si="1508"/>
        <v>5.532397689489791E-2</v>
      </c>
      <c r="AR815" s="69">
        <f>+AD815/$AF$15</f>
        <v>7.8772408846275264E-3</v>
      </c>
      <c r="AS815" s="169">
        <f t="shared" si="1506"/>
        <v>4.3580029269667844E-4</v>
      </c>
      <c r="AT815" s="115"/>
      <c r="AU815" s="115"/>
      <c r="AV815" s="113">
        <f>IFERROR(INDEX('Total Customers'!$F$7:$AB$91,MATCH($C815,'Total Customers'!$D$7:$D$91,0),MATCH($G815,'Total Customers'!$F$5:$AB$5,0)),"NA")</f>
        <v>128301</v>
      </c>
      <c r="AW815" s="68">
        <f t="shared" si="1422"/>
        <v>5.0555869434338414E-3</v>
      </c>
      <c r="AX815" s="114"/>
      <c r="AY815" s="114"/>
      <c r="AZ815" s="116">
        <v>8403441</v>
      </c>
      <c r="BA815" s="116"/>
      <c r="BB815" s="166"/>
      <c r="BC815" s="166"/>
      <c r="BD815" s="166"/>
      <c r="BE815" s="166"/>
      <c r="BF815" s="166"/>
      <c r="BG815" s="166"/>
      <c r="BH815" s="166"/>
      <c r="BI815" s="113"/>
      <c r="BJ815" s="113"/>
      <c r="BK815" s="113">
        <f>INDEX('Dist. Plant Gas Additions'!$F$7:$AE$91,MATCH($C815,'Dist. Plant Gas Additions'!$D$7:$D$91,0),MATCH(Calculation!$G815,'Dist. Plant Gas Additions'!$F$5:$AE$5,0))</f>
        <v>35852</v>
      </c>
      <c r="BL815" s="113">
        <f>INDEX('Gen. Plant Additions'!$F$7:$AE$91,MATCH($C815,'Gen. Plant Additions'!$D$7:$D$91,0),MATCH(Calculation!$G815,'Gen. Plant Additions'!$F$5:$AE$5,0))</f>
        <v>923</v>
      </c>
      <c r="BM815" s="231">
        <f t="shared" si="1472"/>
        <v>0.97548693415822885</v>
      </c>
      <c r="BN815" s="61">
        <f t="shared" si="1509"/>
        <v>900.37444022804527</v>
      </c>
      <c r="BO815" s="113">
        <f>INDEX('Dist Plant Depreciation'!$E$7:$AD$94,MATCH($C815,'Dist Plant Depreciation'!$D$7:$D$94,0),MATCH(Calculation!$G815,'Dist Plant Depreciation'!$E$5:$AD$5,0))</f>
        <v>132175</v>
      </c>
      <c r="BP815" s="113">
        <f>INDEX('Gen. Plant Depreciation'!$E$7:$AD$94,MATCH($C815,'Gen. Plant Depreciation'!$D$7:$D$94,0),MATCH(Calculation!$G815,'Gen. Plant Depreciation'!$E$5:$AD$5,0))</f>
        <v>13316</v>
      </c>
      <c r="BQ815" s="113"/>
      <c r="BR815" s="113"/>
      <c r="BS815" s="113"/>
      <c r="BT815" s="113"/>
      <c r="BU815" s="113"/>
      <c r="BV815" s="175"/>
      <c r="BW815" s="113">
        <f>INDEX('Gross Dx Plant'!$E$7:$AD$91,MATCH($C815,'Gross Dx Plant'!$D$7:$D$91,0),MATCH(Calculation!$G815,'Gross Dx Plant'!$E$5:$AD$5,0))</f>
        <v>433920</v>
      </c>
      <c r="BX815" s="113">
        <f>INDEX('Gross Gen Plant'!$E$7:$AD$91,MATCH($C815,'Gross Gen Plant'!$D$7:$D$91,0),MATCH(Calculation!$G815,'Gross Gen Plant'!$E$5:$AD$5,0))</f>
        <v>10904</v>
      </c>
      <c r="BY815" s="113">
        <f t="shared" si="1460"/>
        <v>299333</v>
      </c>
      <c r="BZ815" s="113"/>
      <c r="CA815" s="116">
        <v>2010</v>
      </c>
      <c r="CB815" s="113"/>
      <c r="CC815" s="113"/>
      <c r="CD815" s="113"/>
      <c r="CE815" s="175"/>
      <c r="CF815" s="113">
        <f t="shared" si="1473"/>
        <v>36775</v>
      </c>
      <c r="CG815" s="113">
        <f t="shared" si="1474"/>
        <v>64.632123844175993</v>
      </c>
      <c r="CH815" s="178">
        <v>0.9285714285714286</v>
      </c>
      <c r="CI815" s="61">
        <f>+CI803*CH815+CG804*CH814+CG805*CH813+CG806*CH812+CG807*CH811+CG808*CH810+CG809*CH809+CG810*CH808+CG811*CH807+CG812*CH806+CG813*CH805+CG814*CH804+CG815</f>
        <v>1234.0330050841039</v>
      </c>
      <c r="CJ815" s="114">
        <f t="shared" si="1475"/>
        <v>4.6767931869331182E-2</v>
      </c>
      <c r="CK815" s="114"/>
      <c r="CL815" s="169">
        <f t="shared" si="1476"/>
        <v>7.0035493714443514E-3</v>
      </c>
      <c r="CM815" s="169">
        <f t="shared" si="1484"/>
        <v>6.7930503228183113E-3</v>
      </c>
      <c r="CN815" s="114">
        <f>VLOOKUP($H815,RoR!$E:$F,2,FALSE)</f>
        <v>4.9433333333333322E-2</v>
      </c>
      <c r="CO815" s="169">
        <v>1.1684333519300205E-2</v>
      </c>
      <c r="CP815" s="169">
        <f t="shared" si="1482"/>
        <v>3.7748999814033117E-2</v>
      </c>
      <c r="CQ815" s="169">
        <f t="shared" si="1485"/>
        <v>2.4108891285715313E-2</v>
      </c>
      <c r="CR815" s="169">
        <f t="shared" si="1486"/>
        <v>4.7937530248493419E-2</v>
      </c>
      <c r="CS815" s="179">
        <f t="shared" si="1477"/>
        <v>0.85329623209999994</v>
      </c>
      <c r="CT815" s="180">
        <f t="shared" si="1478"/>
        <v>1.037398205301105</v>
      </c>
      <c r="CU815" s="180">
        <f t="shared" si="1479"/>
        <v>0.46926837491571133</v>
      </c>
      <c r="CV815" s="180">
        <f t="shared" si="1480"/>
        <v>0.8548537519972772</v>
      </c>
      <c r="CW815" s="180">
        <f t="shared" si="1481"/>
        <v>0.41615833911547367</v>
      </c>
      <c r="CX815" s="181">
        <f>INDEX('State Tax Lookup'!$D$7:$Z$91,MATCH(Calculation!$C815,'State Tax Lookup'!$B$7:$B$91,0),MATCH($H815,'State Tax Lookup'!$D$6:$Z$6,0))</f>
        <v>0.39649667</v>
      </c>
      <c r="CY815" s="72">
        <v>0.37</v>
      </c>
      <c r="CZ815" s="70">
        <f t="shared" si="1483"/>
        <v>19.32775082035182</v>
      </c>
      <c r="DA815" s="70">
        <v>17.956102603965455</v>
      </c>
      <c r="DB815" s="69">
        <f t="shared" si="1487"/>
        <v>2.4968556089348313E-2</v>
      </c>
      <c r="DC815" s="111">
        <f>VLOOKUP($H815,RoR!$E:$F,2,FALSE)</f>
        <v>4.9433333333333322E-2</v>
      </c>
      <c r="DD815" s="216">
        <f>HLOOKUP($H815,'GDP-PI'!$D$8:$CQ$11,3,FALSE)</f>
        <v>1.1684333519300205E-2</v>
      </c>
      <c r="DE815" s="111">
        <f>VLOOKUP(H815,'HW Dx Data'!$E:$F,2,FALSE)</f>
        <v>568.98950262971744</v>
      </c>
      <c r="DF815" s="72">
        <f t="shared" si="1497"/>
        <v>116.925</v>
      </c>
      <c r="DG815" s="69">
        <f t="shared" si="1498"/>
        <v>5.2678406346976722E-2</v>
      </c>
      <c r="DH815" s="66">
        <f>HLOOKUP(H815,'GDP-PI'!$8:$9,2,FALSE)</f>
        <v>96.108999999999995</v>
      </c>
      <c r="DI815" s="69">
        <f t="shared" si="1488"/>
        <v>1.1616598807150427E-2</v>
      </c>
      <c r="EB815"/>
    </row>
    <row r="816" spans="1:132" s="160" customFormat="1" ht="21">
      <c r="A816" s="160" t="s">
        <v>207</v>
      </c>
      <c r="B816" s="161" t="s">
        <v>207</v>
      </c>
      <c r="C816" s="161">
        <v>4057093</v>
      </c>
      <c r="D816" s="161" t="s">
        <v>171</v>
      </c>
      <c r="E816" s="161" t="s">
        <v>3</v>
      </c>
      <c r="F816" s="161"/>
      <c r="G816" s="161" t="s">
        <v>127</v>
      </c>
      <c r="H816" s="162">
        <v>2011</v>
      </c>
      <c r="I816" s="163"/>
      <c r="J816" s="159">
        <f>IFERROR(INDEX('Labor Expenditures'!$F$7:$X$91,MATCH($C816,'Labor Expenditures'!$D$7:$D$91,0),MATCH($G816,'Labor Expenditures'!$F$5:$X$5,0)),"NA")</f>
        <v>23367.041227479305</v>
      </c>
      <c r="K816" s="159">
        <f t="shared" si="1489"/>
        <v>193.31574955515455</v>
      </c>
      <c r="L816" s="165">
        <f t="shared" si="1495"/>
        <v>2.8357011833248177E-2</v>
      </c>
      <c r="M816" s="76">
        <f t="shared" si="1499"/>
        <v>2.2972042436189655E-4</v>
      </c>
      <c r="N816" s="62">
        <f t="shared" si="1505"/>
        <v>115.625049044408</v>
      </c>
      <c r="O816" s="96">
        <f t="shared" si="1500"/>
        <v>0.18168655387369376</v>
      </c>
      <c r="P816" s="96"/>
      <c r="Q816" s="159">
        <f>IFERROR(INDEX('Non-Labor Expenditures'!$F$7:$AB$91,MATCH($C816,'Non-Labor Expenditures'!$D$7:$D$91,0),MATCH($G816,'Non-Labor Expenditures'!$F$5:$AB$5,0)),"NA")</f>
        <v>33839.840058673537</v>
      </c>
      <c r="R816" s="159">
        <f t="shared" si="1490"/>
        <v>344.91030718641491</v>
      </c>
      <c r="S816" s="165">
        <f t="shared" si="1501"/>
        <v>4.0954542781907549E-2</v>
      </c>
      <c r="T816" s="165">
        <f t="shared" si="1502"/>
        <v>3.3177314319051055E-4</v>
      </c>
      <c r="U816" s="165"/>
      <c r="V816" s="165"/>
      <c r="W816" s="159">
        <f t="shared" si="1471"/>
        <v>25472.156523963145</v>
      </c>
      <c r="X816" s="163"/>
      <c r="Y816" s="167">
        <v>1271.6890368271927</v>
      </c>
      <c r="Z816" s="168">
        <v>3.0058295580636031E-2</v>
      </c>
      <c r="AA816" s="76">
        <f t="shared" si="1491"/>
        <v>2.4350254028821942E-4</v>
      </c>
      <c r="AB816" s="168"/>
      <c r="AC816" s="168"/>
      <c r="AD816" s="163">
        <f t="shared" si="1410"/>
        <v>82679.037810115988</v>
      </c>
      <c r="AE816" s="168">
        <f t="shared" si="1503"/>
        <v>7.7001246779270408E-2</v>
      </c>
      <c r="AF816" s="163"/>
      <c r="AG816" s="163"/>
      <c r="AH816" s="163"/>
      <c r="AI816" s="163"/>
      <c r="AJ816" s="116">
        <f t="shared" si="1504"/>
        <v>640.65459272952398</v>
      </c>
      <c r="AK816" s="114">
        <f>+AV816/$AX$16</f>
        <v>3.6310026413916576E-3</v>
      </c>
      <c r="AL816" s="115">
        <f t="shared" si="1492"/>
        <v>0.28262352642691602</v>
      </c>
      <c r="AM816" s="115">
        <f t="shared" si="1493"/>
        <v>0.40929165305952736</v>
      </c>
      <c r="AN816" s="115">
        <f t="shared" si="1494"/>
        <v>0.30808482051355662</v>
      </c>
      <c r="AO816" s="115">
        <f t="shared" si="1496"/>
        <v>3.4068130985544655E-2</v>
      </c>
      <c r="AP816" s="166">
        <f t="shared" si="1507"/>
        <v>124.12059594406314</v>
      </c>
      <c r="AQ816" s="168">
        <f t="shared" si="1508"/>
        <v>3.4068130985544676E-2</v>
      </c>
      <c r="AR816" s="69">
        <f>+AD816/$AF$16</f>
        <v>8.1010095743780999E-3</v>
      </c>
      <c r="AS816" s="169">
        <f t="shared" si="1506"/>
        <v>2.7598625529506464E-4</v>
      </c>
      <c r="AT816" s="115"/>
      <c r="AU816" s="115"/>
      <c r="AV816" s="113">
        <f>IFERROR(INDEX('Total Customers'!$F$7:$AB$91,MATCH($C816,'Total Customers'!$D$7:$D$91,0),MATCH($G816,'Total Customers'!$F$5:$AB$5,0)),"NA")</f>
        <v>129054</v>
      </c>
      <c r="AW816" s="68">
        <f t="shared" si="1422"/>
        <v>5.8518555988668749E-3</v>
      </c>
      <c r="AX816" s="114"/>
      <c r="AY816" s="114"/>
      <c r="AZ816" s="116">
        <v>8437841</v>
      </c>
      <c r="BA816" s="116"/>
      <c r="BB816" s="166"/>
      <c r="BC816" s="166"/>
      <c r="BD816" s="166"/>
      <c r="BE816" s="166"/>
      <c r="BF816" s="166"/>
      <c r="BG816" s="166"/>
      <c r="BH816" s="166"/>
      <c r="BI816" s="113"/>
      <c r="BJ816" s="113"/>
      <c r="BK816" s="113">
        <f>INDEX('Dist. Plant Gas Additions'!$F$7:$AE$91,MATCH($C816,'Dist. Plant Gas Additions'!$D$7:$D$91,0),MATCH(Calculation!$G816,'Dist. Plant Gas Additions'!$F$5:$AE$5,0))</f>
        <v>27377</v>
      </c>
      <c r="BL816" s="113">
        <f>INDEX('Gen. Plant Additions'!$F$7:$AE$91,MATCH($C816,'Gen. Plant Additions'!$D$7:$D$91,0),MATCH(Calculation!$G816,'Gen. Plant Additions'!$F$5:$AE$5,0))</f>
        <v>1073</v>
      </c>
      <c r="BM816" s="231">
        <f t="shared" si="1472"/>
        <v>0.97493068049529052</v>
      </c>
      <c r="BN816" s="61">
        <f t="shared" si="1509"/>
        <v>1046.1006201714467</v>
      </c>
      <c r="BO816" s="113">
        <f>INDEX('Dist Plant Depreciation'!$E$7:$AD$94,MATCH($C816,'Dist Plant Depreciation'!$D$7:$D$94,0),MATCH(Calculation!$G816,'Dist Plant Depreciation'!$E$5:$AD$5,0))</f>
        <v>141399</v>
      </c>
      <c r="BP816" s="113">
        <f>INDEX('Gen. Plant Depreciation'!$E$7:$AD$94,MATCH($C816,'Gen. Plant Depreciation'!$D$7:$D$94,0),MATCH(Calculation!$G816,'Gen. Plant Depreciation'!$E$5:$AD$5,0))</f>
        <v>13786</v>
      </c>
      <c r="BQ816" s="113"/>
      <c r="BR816" s="113"/>
      <c r="BS816" s="113"/>
      <c r="BT816" s="113"/>
      <c r="BU816" s="113"/>
      <c r="BV816" s="175"/>
      <c r="BW816" s="113">
        <f>INDEX('Gross Dx Plant'!$E$7:$AD$91,MATCH($C816,'Gross Dx Plant'!$D$7:$D$91,0),MATCH(Calculation!$G816,'Gross Dx Plant'!$E$5:$AD$5,0))</f>
        <v>460606</v>
      </c>
      <c r="BX816" s="113">
        <f>INDEX('Gross Gen Plant'!$E$7:$AD$91,MATCH($C816,'Gross Gen Plant'!$D$7:$D$91,0),MATCH(Calculation!$G816,'Gross Gen Plant'!$E$5:$AD$5,0))</f>
        <v>11844</v>
      </c>
      <c r="BY816" s="113">
        <f t="shared" si="1460"/>
        <v>317265</v>
      </c>
      <c r="BZ816" s="113"/>
      <c r="CA816" s="116">
        <v>2011</v>
      </c>
      <c r="CB816" s="113"/>
      <c r="CC816" s="113"/>
      <c r="CD816" s="113"/>
      <c r="CE816" s="175"/>
      <c r="CF816" s="113">
        <f t="shared" si="1473"/>
        <v>28450</v>
      </c>
      <c r="CG816" s="113">
        <f t="shared" si="1474"/>
        <v>46.516487650979904</v>
      </c>
      <c r="CH816" s="178">
        <v>0.92121212121212126</v>
      </c>
      <c r="CI816" s="61">
        <f>+CI803*CH816+CG804*CH815+CG805*CH814+CG806*CH813+CG807*CH812+CG808*CH811+CG809*CH810+CG810*CH809+CG811*CH808+CG812*CH807+CG813*CH806+CG814*CH805+CG815*CH804+CG816</f>
        <v>1271.6890368271927</v>
      </c>
      <c r="CJ816" s="114">
        <f t="shared" si="1475"/>
        <v>3.0058295580636031E-2</v>
      </c>
      <c r="CK816" s="114"/>
      <c r="CL816" s="169">
        <f t="shared" si="1476"/>
        <v>7.1800801691582553E-3</v>
      </c>
      <c r="CM816" s="169">
        <f t="shared" si="1484"/>
        <v>6.9918699904200979E-3</v>
      </c>
      <c r="CN816" s="114">
        <f>VLOOKUP($H816,RoR!$E:$F,2,FALSE)</f>
        <v>4.6391666666666664E-2</v>
      </c>
      <c r="CO816" s="169">
        <v>2.0840920205183799E-2</v>
      </c>
      <c r="CP816" s="169">
        <f t="shared" si="1482"/>
        <v>2.5550746461482865E-2</v>
      </c>
      <c r="CQ816" s="169">
        <f t="shared" si="1485"/>
        <v>2.3910071618113527E-2</v>
      </c>
      <c r="CR816" s="169">
        <f t="shared" si="1486"/>
        <v>2.4810540821321614E-2</v>
      </c>
      <c r="CS816" s="179">
        <f t="shared" si="1477"/>
        <v>0.85329623209999994</v>
      </c>
      <c r="CT816" s="180">
        <f t="shared" si="1478"/>
        <v>1.1054151524782025</v>
      </c>
      <c r="CU816" s="180">
        <f t="shared" si="1479"/>
        <v>0.43611011316687626</v>
      </c>
      <c r="CV816" s="180">
        <f t="shared" si="1480"/>
        <v>0.83698442246886229</v>
      </c>
      <c r="CW816" s="180">
        <f t="shared" si="1481"/>
        <v>0.40349573304423936</v>
      </c>
      <c r="CX816" s="181">
        <f>INDEX('State Tax Lookup'!$D$7:$Z$91,MATCH(Calculation!$C816,'State Tax Lookup'!$B$7:$B$91,0),MATCH($H816,'State Tax Lookup'!$D$6:$Z$6,0))</f>
        <v>0.39649667</v>
      </c>
      <c r="CY816" s="72">
        <v>0.37</v>
      </c>
      <c r="CZ816" s="70">
        <f t="shared" si="1483"/>
        <v>20.641389994449234</v>
      </c>
      <c r="DA816" s="70">
        <v>19.146574949201604</v>
      </c>
      <c r="DB816" s="69">
        <f t="shared" si="1487"/>
        <v>6.5756353527767625E-2</v>
      </c>
      <c r="DC816" s="111">
        <f>VLOOKUP($H816,RoR!$E:$F,2,FALSE)</f>
        <v>4.6391666666666664E-2</v>
      </c>
      <c r="DD816" s="216">
        <f>HLOOKUP($H816,'GDP-PI'!$D$8:$CQ$11,3,FALSE)</f>
        <v>2.0840920205183799E-2</v>
      </c>
      <c r="DE816" s="111">
        <f>VLOOKUP(H816,'HW Dx Data'!$E:$F,2,FALSE)</f>
        <v>611.61109612283201</v>
      </c>
      <c r="DF816" s="72">
        <f t="shared" si="1497"/>
        <v>120.875</v>
      </c>
      <c r="DG816" s="69">
        <f t="shared" si="1498"/>
        <v>3.3224250161508609E-2</v>
      </c>
      <c r="DH816" s="66">
        <f>HLOOKUP(H816,'GDP-PI'!$8:$9,2,FALSE)</f>
        <v>98.111999999999995</v>
      </c>
      <c r="DI816" s="69">
        <f t="shared" si="1488"/>
        <v>2.0626719212849295E-2</v>
      </c>
      <c r="EB816"/>
    </row>
    <row r="817" spans="1:132" s="160" customFormat="1" ht="21">
      <c r="A817" s="160" t="s">
        <v>207</v>
      </c>
      <c r="B817" s="161" t="s">
        <v>207</v>
      </c>
      <c r="C817" s="161">
        <v>4057093</v>
      </c>
      <c r="D817" s="161" t="s">
        <v>171</v>
      </c>
      <c r="E817" s="161" t="s">
        <v>3</v>
      </c>
      <c r="F817" s="161"/>
      <c r="G817" s="161" t="s">
        <v>128</v>
      </c>
      <c r="H817" s="162">
        <v>2012</v>
      </c>
      <c r="I817" s="163"/>
      <c r="J817" s="159">
        <f>IFERROR(INDEX('Labor Expenditures'!$F$7:$X$91,MATCH($C817,'Labor Expenditures'!$D$7:$D$91,0),MATCH($G817,'Labor Expenditures'!$F$5:$X$5,0)),"NA")</f>
        <v>23662.631386722103</v>
      </c>
      <c r="K817" s="159">
        <f t="shared" si="1489"/>
        <v>189.60441816283736</v>
      </c>
      <c r="L817" s="165">
        <f t="shared" si="1495"/>
        <v>-1.9384968063282201E-2</v>
      </c>
      <c r="M817" s="76">
        <f t="shared" si="1499"/>
        <v>-1.5647958174823707E-4</v>
      </c>
      <c r="N817" s="62">
        <f t="shared" si="1505"/>
        <v>115.61317335035068</v>
      </c>
      <c r="O817" s="96">
        <f t="shared" si="1500"/>
        <v>-1.0271393669075137E-4</v>
      </c>
      <c r="P817" s="96"/>
      <c r="Q817" s="159">
        <f>IFERROR(INDEX('Non-Labor Expenditures'!$F$7:$AB$91,MATCH($C817,'Non-Labor Expenditures'!$D$7:$D$91,0),MATCH($G817,'Non-Labor Expenditures'!$F$5:$AB$5,0)),"NA")</f>
        <v>34267.909817883403</v>
      </c>
      <c r="R817" s="159">
        <f t="shared" si="1490"/>
        <v>342.67909817883401</v>
      </c>
      <c r="S817" s="165">
        <f t="shared" si="1501"/>
        <v>-6.4899686401558177E-3</v>
      </c>
      <c r="T817" s="165">
        <f t="shared" si="1502"/>
        <v>-5.2388406060587953E-5</v>
      </c>
      <c r="U817" s="165"/>
      <c r="V817" s="165"/>
      <c r="W817" s="159">
        <f t="shared" si="1471"/>
        <v>28393.963203417759</v>
      </c>
      <c r="X817" s="163"/>
      <c r="Y817" s="167">
        <v>1321.3997256790576</v>
      </c>
      <c r="Z817" s="168">
        <v>3.834560588728031E-2</v>
      </c>
      <c r="AA817" s="76">
        <f t="shared" si="1491"/>
        <v>3.0953387962963749E-4</v>
      </c>
      <c r="AB817" s="168"/>
      <c r="AC817" s="168"/>
      <c r="AD817" s="163">
        <f t="shared" si="1410"/>
        <v>86324.504408023262</v>
      </c>
      <c r="AE817" s="168">
        <f t="shared" si="1503"/>
        <v>4.3147405028706995E-2</v>
      </c>
      <c r="AF817" s="163"/>
      <c r="AG817" s="163"/>
      <c r="AH817" s="163"/>
      <c r="AI817" s="163"/>
      <c r="AJ817" s="116">
        <f t="shared" si="1504"/>
        <v>664.69423049043485</v>
      </c>
      <c r="AK817" s="114">
        <f>+AV817/$AX$17</f>
        <v>3.6364782864828967E-3</v>
      </c>
      <c r="AL817" s="115">
        <f t="shared" si="1492"/>
        <v>0.2741125657076211</v>
      </c>
      <c r="AM817" s="115">
        <f t="shared" si="1493"/>
        <v>0.3969661923097984</v>
      </c>
      <c r="AN817" s="115">
        <f t="shared" si="1494"/>
        <v>0.32892124198258055</v>
      </c>
      <c r="AO817" s="115">
        <f t="shared" si="1496"/>
        <v>4.2007419611270313E-3</v>
      </c>
      <c r="AP817" s="166">
        <f t="shared" si="1507"/>
        <v>124.64309120523031</v>
      </c>
      <c r="AQ817" s="168">
        <f t="shared" si="1508"/>
        <v>4.2007419611270972E-3</v>
      </c>
      <c r="AR817" s="69">
        <f>+AD817/$AF$17</f>
        <v>8.0722125121594056E-3</v>
      </c>
      <c r="AS817" s="169">
        <f t="shared" si="1506"/>
        <v>3.3909281818963196E-5</v>
      </c>
      <c r="AT817" s="115"/>
      <c r="AU817" s="115"/>
      <c r="AV817" s="113">
        <f>IFERROR(INDEX('Total Customers'!$F$7:$AB$91,MATCH($C817,'Total Customers'!$D$7:$D$91,0),MATCH($G817,'Total Customers'!$F$5:$AB$5,0)),"NA")</f>
        <v>129871</v>
      </c>
      <c r="AW817" s="68">
        <f t="shared" si="1422"/>
        <v>6.3107286777030229E-3</v>
      </c>
      <c r="AX817" s="114"/>
      <c r="AY817" s="114"/>
      <c r="AZ817" s="116">
        <v>8485072</v>
      </c>
      <c r="BA817" s="116"/>
      <c r="BB817" s="166"/>
      <c r="BC817" s="166"/>
      <c r="BD817" s="166"/>
      <c r="BE817" s="166"/>
      <c r="BF817" s="166"/>
      <c r="BG817" s="166"/>
      <c r="BH817" s="166"/>
      <c r="BI817" s="113"/>
      <c r="BJ817" s="113"/>
      <c r="BK817" s="113">
        <f>INDEX('Dist. Plant Gas Additions'!$F$7:$AE$91,MATCH($C817,'Dist. Plant Gas Additions'!$D$7:$D$91,0),MATCH(Calculation!$G817,'Dist. Plant Gas Additions'!$F$5:$AE$5,0))</f>
        <v>38746</v>
      </c>
      <c r="BL817" s="113">
        <f>INDEX('Gen. Plant Additions'!$F$7:$AE$91,MATCH($C817,'Gen. Plant Additions'!$D$7:$D$91,0),MATCH(Calculation!$G817,'Gen. Plant Additions'!$F$5:$AE$5,0))</f>
        <v>800</v>
      </c>
      <c r="BM817" s="231">
        <f t="shared" si="1472"/>
        <v>0.97528088128521417</v>
      </c>
      <c r="BN817" s="61">
        <f t="shared" si="1509"/>
        <v>780.22470502817134</v>
      </c>
      <c r="BO817" s="113">
        <f>INDEX('Dist Plant Depreciation'!$E$7:$AD$94,MATCH($C817,'Dist Plant Depreciation'!$D$7:$D$94,0),MATCH(Calculation!$G817,'Dist Plant Depreciation'!$E$5:$AD$5,0))</f>
        <v>150997</v>
      </c>
      <c r="BP817" s="113">
        <f>INDEX('Gen. Plant Depreciation'!$E$7:$AD$94,MATCH($C817,'Gen. Plant Depreciation'!$D$7:$D$94,0),MATCH(Calculation!$G817,'Gen. Plant Depreciation'!$E$5:$AD$5,0))</f>
        <v>14677</v>
      </c>
      <c r="BQ817" s="113"/>
      <c r="BR817" s="113"/>
      <c r="BS817" s="113"/>
      <c r="BT817" s="113"/>
      <c r="BU817" s="113"/>
      <c r="BV817" s="175"/>
      <c r="BW817" s="113">
        <f>INDEX('Gross Dx Plant'!$E$7:$AD$91,MATCH($C817,'Gross Dx Plant'!$D$7:$D$91,0),MATCH(Calculation!$G817,'Gross Dx Plant'!$E$5:$AD$5,0))</f>
        <v>498350</v>
      </c>
      <c r="BX817" s="113">
        <f>INDEX('Gross Gen Plant'!$E$7:$AD$91,MATCH($C817,'Gross Gen Plant'!$D$7:$D$91,0),MATCH(Calculation!$G817,'Gross Gen Plant'!$E$5:$AD$5,0))</f>
        <v>12631</v>
      </c>
      <c r="BY817" s="113">
        <f t="shared" si="1460"/>
        <v>345307</v>
      </c>
      <c r="BZ817" s="113"/>
      <c r="CA817" s="116">
        <v>2012</v>
      </c>
      <c r="CB817" s="113"/>
      <c r="CC817" s="113"/>
      <c r="CD817" s="113"/>
      <c r="CE817" s="175"/>
      <c r="CF817" s="113">
        <f t="shared" si="1473"/>
        <v>39546</v>
      </c>
      <c r="CG817" s="113">
        <f t="shared" si="1474"/>
        <v>59.119237092902949</v>
      </c>
      <c r="CH817" s="178">
        <v>0.9135802469135802</v>
      </c>
      <c r="CI817" s="61">
        <f>+CI803*CH817+CG804*CH816+CG805*CH815+CG806*CH814+CG807*CH813+CG808*CH812+CG809*CH811+CG810*CH810+CG811*CH809+CG812*CH808+CG813*CH807+CG814*CH806+CG815*CH805+CG816*CH804+CG817</f>
        <v>1321.3997256790576</v>
      </c>
      <c r="CJ817" s="114">
        <f t="shared" si="1475"/>
        <v>3.834560588728031E-2</v>
      </c>
      <c r="CK817" s="114"/>
      <c r="CL817" s="169">
        <f t="shared" si="1476"/>
        <v>7.3984661096960789E-3</v>
      </c>
      <c r="CM817" s="169">
        <f t="shared" si="1484"/>
        <v>7.1940318834328955E-3</v>
      </c>
      <c r="CN817" s="114">
        <f>VLOOKUP($H817,RoR!$E:$F,2,FALSE)</f>
        <v>3.6733333333333333E-2</v>
      </c>
      <c r="CO817" s="169">
        <v>1.924331376386168E-2</v>
      </c>
      <c r="CP817" s="169">
        <f t="shared" si="1482"/>
        <v>1.7490019569471653E-2</v>
      </c>
      <c r="CQ817" s="169">
        <f t="shared" si="1485"/>
        <v>2.3707909725100729E-2</v>
      </c>
      <c r="CR817" s="169">
        <f t="shared" si="1486"/>
        <v>6.7122682943869583E-2</v>
      </c>
      <c r="CS817" s="179">
        <f t="shared" si="1477"/>
        <v>0.85329623209999994</v>
      </c>
      <c r="CT817" s="180">
        <f t="shared" si="1478"/>
        <v>1.3960631020522127</v>
      </c>
      <c r="CU817" s="180">
        <f t="shared" si="1479"/>
        <v>0.29441923774954631</v>
      </c>
      <c r="CV817" s="180">
        <f t="shared" si="1480"/>
        <v>0.76377954189366437</v>
      </c>
      <c r="CW817" s="180">
        <f t="shared" si="1481"/>
        <v>0.31393465103033691</v>
      </c>
      <c r="CX817" s="181">
        <f>INDEX('State Tax Lookup'!$D$7:$Z$91,MATCH(Calculation!$C817,'State Tax Lookup'!$B$7:$B$91,0),MATCH($H817,'State Tax Lookup'!$D$6:$Z$6,0))</f>
        <v>0.39649667</v>
      </c>
      <c r="CY817" s="72">
        <v>0.37</v>
      </c>
      <c r="CZ817" s="70">
        <f t="shared" si="1483"/>
        <v>22.327756535716805</v>
      </c>
      <c r="DA817" s="70">
        <v>20.759737328210988</v>
      </c>
      <c r="DB817" s="69">
        <f t="shared" si="1487"/>
        <v>7.8532309146701784E-2</v>
      </c>
      <c r="DC817" s="111">
        <f>VLOOKUP($H817,RoR!$E:$F,2,FALSE)</f>
        <v>3.6733333333333333E-2</v>
      </c>
      <c r="DD817" s="216">
        <f>HLOOKUP($H817,'GDP-PI'!$D$8:$CQ$11,3,FALSE)</f>
        <v>1.924331376386168E-2</v>
      </c>
      <c r="DE817" s="111">
        <f>VLOOKUP(H817,'HW Dx Data'!$E:$F,2,FALSE)</f>
        <v>668.91932211262167</v>
      </c>
      <c r="DF817" s="72">
        <f t="shared" si="1497"/>
        <v>124.80000000000001</v>
      </c>
      <c r="DG817" s="69">
        <f t="shared" si="1498"/>
        <v>3.1955502161869064E-2</v>
      </c>
      <c r="DH817" s="66">
        <f>HLOOKUP(H817,'GDP-PI'!$8:$9,2,FALSE)</f>
        <v>100</v>
      </c>
      <c r="DI817" s="69">
        <f t="shared" si="1488"/>
        <v>1.9060502738742411E-2</v>
      </c>
      <c r="EB817"/>
    </row>
    <row r="818" spans="1:132" s="160" customFormat="1" ht="21">
      <c r="A818" s="160" t="s">
        <v>207</v>
      </c>
      <c r="B818" s="161" t="s">
        <v>207</v>
      </c>
      <c r="C818" s="161">
        <v>4057093</v>
      </c>
      <c r="D818" s="161" t="s">
        <v>171</v>
      </c>
      <c r="E818" s="161" t="s">
        <v>3</v>
      </c>
      <c r="F818" s="161"/>
      <c r="G818" s="161" t="s">
        <v>129</v>
      </c>
      <c r="H818" s="162">
        <v>2013</v>
      </c>
      <c r="I818" s="163"/>
      <c r="J818" s="159">
        <f>IFERROR(INDEX('Labor Expenditures'!$F$7:$X$91,MATCH($C818,'Labor Expenditures'!$D$7:$D$91,0),MATCH($G818,'Labor Expenditures'!$F$5:$X$5,0)),"NA")</f>
        <v>23476.236138471206</v>
      </c>
      <c r="K818" s="159">
        <f t="shared" si="1489"/>
        <v>185.14381812674452</v>
      </c>
      <c r="L818" s="165">
        <f t="shared" si="1495"/>
        <v>-2.3806973753204109E-2</v>
      </c>
      <c r="M818" s="76">
        <f t="shared" si="1499"/>
        <v>-1.8568210341594291E-4</v>
      </c>
      <c r="N818" s="62">
        <f t="shared" si="1505"/>
        <v>107.7060212417739</v>
      </c>
      <c r="O818" s="96">
        <f t="shared" si="1500"/>
        <v>-7.0844415926724802E-2</v>
      </c>
      <c r="P818" s="96"/>
      <c r="Q818" s="159">
        <f>IFERROR(INDEX('Non-Labor Expenditures'!$F$7:$AB$91,MATCH($C818,'Non-Labor Expenditures'!$D$7:$D$91,0),MATCH($G818,'Non-Labor Expenditures'!$F$5:$AB$5,0)),"NA")</f>
        <v>33997.974684585926</v>
      </c>
      <c r="R818" s="159">
        <f t="shared" si="1490"/>
        <v>334.0569176951247</v>
      </c>
      <c r="S818" s="165">
        <f t="shared" si="1501"/>
        <v>-2.5483044701916435E-2</v>
      </c>
      <c r="T818" s="165">
        <f t="shared" si="1502"/>
        <v>-1.9875459143804501E-4</v>
      </c>
      <c r="U818" s="165"/>
      <c r="V818" s="165"/>
      <c r="W818" s="159">
        <f t="shared" si="1471"/>
        <v>29031.683922148146</v>
      </c>
      <c r="X818" s="163"/>
      <c r="Y818" s="167">
        <v>1356.880445481087</v>
      </c>
      <c r="Z818" s="168">
        <v>2.6496701879292192E-2</v>
      </c>
      <c r="AA818" s="76">
        <f t="shared" si="1491"/>
        <v>2.0666059405681408E-4</v>
      </c>
      <c r="AB818" s="168"/>
      <c r="AC818" s="168"/>
      <c r="AD818" s="163">
        <f t="shared" si="1410"/>
        <v>86505.894745205282</v>
      </c>
      <c r="AE818" s="168">
        <f t="shared" si="1503"/>
        <v>2.0990567015038049E-3</v>
      </c>
      <c r="AF818" s="163"/>
      <c r="AG818" s="163"/>
      <c r="AH818" s="163"/>
      <c r="AI818" s="163"/>
      <c r="AJ818" s="116">
        <f t="shared" si="1504"/>
        <v>661.81036596158913</v>
      </c>
      <c r="AK818" s="114">
        <f>+AV818/$AX$18</f>
        <v>3.6366725137881445E-3</v>
      </c>
      <c r="AL818" s="115">
        <f t="shared" si="1492"/>
        <v>0.27138307981922133</v>
      </c>
      <c r="AM818" s="115">
        <f t="shared" si="1493"/>
        <v>0.39301338694575277</v>
      </c>
      <c r="AN818" s="115">
        <f t="shared" si="1494"/>
        <v>0.33560353323502584</v>
      </c>
      <c r="AO818" s="115">
        <f t="shared" si="1496"/>
        <v>-7.7549852934852229E-3</v>
      </c>
      <c r="AP818" s="166">
        <f t="shared" si="1507"/>
        <v>123.68022420127417</v>
      </c>
      <c r="AQ818" s="168">
        <f t="shared" si="1508"/>
        <v>-7.7549852934852333E-3</v>
      </c>
      <c r="AR818" s="69">
        <f>+AD818/$AF$18</f>
        <v>7.7994836866215524E-3</v>
      </c>
      <c r="AS818" s="169">
        <f t="shared" si="1506"/>
        <v>-6.0484881286528128E-5</v>
      </c>
      <c r="AT818" s="115"/>
      <c r="AU818" s="115"/>
      <c r="AV818" s="113">
        <f>IFERROR(INDEX('Total Customers'!$F$7:$AB$91,MATCH($C818,'Total Customers'!$D$7:$D$91,0),MATCH($G818,'Total Customers'!$F$5:$AB$5,0)),"NA")</f>
        <v>130711</v>
      </c>
      <c r="AW818" s="68">
        <f t="shared" si="1422"/>
        <v>6.4471291922022465E-3</v>
      </c>
      <c r="AX818" s="114"/>
      <c r="AY818" s="114"/>
      <c r="AZ818" s="116">
        <v>8534921</v>
      </c>
      <c r="BA818" s="116"/>
      <c r="BB818" s="166"/>
      <c r="BC818" s="166"/>
      <c r="BD818" s="166"/>
      <c r="BE818" s="166"/>
      <c r="BF818" s="166"/>
      <c r="BG818" s="166"/>
      <c r="BH818" s="166"/>
      <c r="BI818" s="113"/>
      <c r="BJ818" s="113"/>
      <c r="BK818" s="113">
        <f>INDEX('Dist. Plant Gas Additions'!$F$7:$AE$91,MATCH($C818,'Dist. Plant Gas Additions'!$D$7:$D$91,0),MATCH(Calculation!$G818,'Dist. Plant Gas Additions'!$F$5:$AE$5,0))</f>
        <v>28708</v>
      </c>
      <c r="BL818" s="113">
        <f>INDEX('Gen. Plant Additions'!$F$7:$AE$91,MATCH($C818,'Gen. Plant Additions'!$D$7:$D$91,0),MATCH(Calculation!$G818,'Gen. Plant Additions'!$F$5:$AE$5,0))</f>
        <v>1486</v>
      </c>
      <c r="BM818" s="231">
        <f t="shared" si="1472"/>
        <v>0.97385663290918822</v>
      </c>
      <c r="BN818" s="61">
        <f t="shared" si="1509"/>
        <v>1447.1509565030537</v>
      </c>
      <c r="BO818" s="113">
        <f>INDEX('Dist Plant Depreciation'!$E$7:$AD$94,MATCH($C818,'Dist Plant Depreciation'!$D$7:$D$94,0),MATCH(Calculation!$G818,'Dist Plant Depreciation'!$E$5:$AD$5,0))</f>
        <v>160680</v>
      </c>
      <c r="BP818" s="113">
        <f>INDEX('Gen. Plant Depreciation'!$E$7:$AD$94,MATCH($C818,'Gen. Plant Depreciation'!$D$7:$D$94,0),MATCH(Calculation!$G818,'Gen. Plant Depreciation'!$E$5:$AD$5,0))</f>
        <v>15556</v>
      </c>
      <c r="BQ818" s="113"/>
      <c r="BR818" s="113"/>
      <c r="BS818" s="113"/>
      <c r="BT818" s="113"/>
      <c r="BU818" s="113"/>
      <c r="BV818" s="175"/>
      <c r="BW818" s="113">
        <f>INDEX('Gross Dx Plant'!$E$7:$AD$91,MATCH($C818,'Gross Dx Plant'!$D$7:$D$91,0),MATCH(Calculation!$G818,'Gross Dx Plant'!$E$5:$AD$5,0))</f>
        <v>525718</v>
      </c>
      <c r="BX818" s="113">
        <f>INDEX('Gross Gen Plant'!$E$7:$AD$91,MATCH($C818,'Gross Gen Plant'!$D$7:$D$91,0),MATCH(Calculation!$G818,'Gross Gen Plant'!$E$5:$AD$5,0))</f>
        <v>14113</v>
      </c>
      <c r="BY818" s="113">
        <f t="shared" si="1460"/>
        <v>363595</v>
      </c>
      <c r="BZ818" s="113"/>
      <c r="CA818" s="116">
        <v>2013</v>
      </c>
      <c r="CB818" s="113"/>
      <c r="CC818" s="113"/>
      <c r="CD818" s="113"/>
      <c r="CE818" s="175"/>
      <c r="CF818" s="113">
        <f t="shared" si="1473"/>
        <v>30194</v>
      </c>
      <c r="CG818" s="113">
        <f t="shared" si="1474"/>
        <v>45.524421544254359</v>
      </c>
      <c r="CH818" s="178">
        <v>0.90566037735849059</v>
      </c>
      <c r="CI818" s="61">
        <f>+CI803*CH818+CG804*CH817+CG805*CH816+CG806*CH815+CG807*CH814+CG808*CH813+CG809*CH812+CG810*CH811+CG811*CH810+CG812*CH809+CG813*CH808+CG814*CH807+CG815*CH806+CG816*CH805+CG817*CH804+CG818</f>
        <v>1356.880445481087</v>
      </c>
      <c r="CJ818" s="114">
        <f t="shared" si="1475"/>
        <v>2.6496701879292192E-2</v>
      </c>
      <c r="CK818" s="114"/>
      <c r="CL818" s="169">
        <f t="shared" si="1476"/>
        <v>7.6008050758929711E-3</v>
      </c>
      <c r="CM818" s="169">
        <f t="shared" si="1484"/>
        <v>7.3931171182491017E-3</v>
      </c>
      <c r="CN818" s="114">
        <f>VLOOKUP($H818,RoR!$E:$F,2,FALSE)</f>
        <v>4.2350000000000006E-2</v>
      </c>
      <c r="CO818" s="169">
        <v>1.7730000000000024E-2</v>
      </c>
      <c r="CP818" s="169">
        <f t="shared" si="1482"/>
        <v>2.4619999999999982E-2</v>
      </c>
      <c r="CQ818" s="169">
        <f t="shared" si="1485"/>
        <v>2.3508824490284522E-2</v>
      </c>
      <c r="CR818" s="169">
        <f t="shared" si="1486"/>
        <v>5.3376742735721204E-2</v>
      </c>
      <c r="CS818" s="179">
        <f t="shared" si="1477"/>
        <v>0.85329623209999994</v>
      </c>
      <c r="CT818" s="180">
        <f t="shared" si="1478"/>
        <v>1.2109103018193925</v>
      </c>
      <c r="CU818" s="180">
        <f t="shared" si="1479"/>
        <v>0.38468122786304604</v>
      </c>
      <c r="CV818" s="180">
        <f t="shared" si="1480"/>
        <v>0.80969194503422559</v>
      </c>
      <c r="CW818" s="180">
        <f t="shared" si="1481"/>
        <v>0.37716621754800816</v>
      </c>
      <c r="CX818" s="181">
        <f>INDEX('State Tax Lookup'!$D$7:$Z$91,MATCH(Calculation!$C818,'State Tax Lookup'!$B$7:$B$91,0),MATCH($H818,'State Tax Lookup'!$D$6:$Z$6,0))</f>
        <v>0.39649667</v>
      </c>
      <c r="CY818" s="72">
        <v>0.37</v>
      </c>
      <c r="CZ818" s="70">
        <f t="shared" si="1483"/>
        <v>21.97040256477197</v>
      </c>
      <c r="DA818" s="70">
        <v>20.339519021246105</v>
      </c>
      <c r="DB818" s="69">
        <f t="shared" si="1487"/>
        <v>-1.6134382571011654E-2</v>
      </c>
      <c r="DC818" s="111">
        <f>VLOOKUP($H818,RoR!$E:$F,2,FALSE)</f>
        <v>4.2350000000000006E-2</v>
      </c>
      <c r="DD818" s="216">
        <f>HLOOKUP($H818,'GDP-PI'!$D$8:$CQ$11,3,FALSE)</f>
        <v>1.7730000000000024E-2</v>
      </c>
      <c r="DE818" s="111">
        <f>VLOOKUP(H818,'HW Dx Data'!$E:$F,2,FALSE)</f>
        <v>663.24840548821396</v>
      </c>
      <c r="DF818" s="72">
        <f t="shared" si="1497"/>
        <v>126.8</v>
      </c>
      <c r="DG818" s="69">
        <f t="shared" si="1498"/>
        <v>1.5898586067798204E-2</v>
      </c>
      <c r="DH818" s="66">
        <f>HLOOKUP(H818,'GDP-PI'!$8:$9,2,FALSE)</f>
        <v>101.773</v>
      </c>
      <c r="DI818" s="69">
        <f t="shared" si="1488"/>
        <v>1.7574657016510519E-2</v>
      </c>
      <c r="EB818"/>
    </row>
    <row r="819" spans="1:132" s="160" customFormat="1" ht="21">
      <c r="A819" s="160" t="s">
        <v>207</v>
      </c>
      <c r="B819" s="161" t="s">
        <v>207</v>
      </c>
      <c r="C819" s="161">
        <v>4057093</v>
      </c>
      <c r="D819" s="161" t="s">
        <v>171</v>
      </c>
      <c r="E819" s="161" t="s">
        <v>3</v>
      </c>
      <c r="F819" s="161"/>
      <c r="G819" s="161" t="s">
        <v>130</v>
      </c>
      <c r="H819" s="162">
        <v>2014</v>
      </c>
      <c r="I819" s="163"/>
      <c r="J819" s="159">
        <f>IFERROR(INDEX('Labor Expenditures'!$F$7:$X$91,MATCH($C819,'Labor Expenditures'!$D$7:$D$91,0),MATCH($G819,'Labor Expenditures'!$F$5:$X$5,0)),"NA")</f>
        <v>23446.334188854056</v>
      </c>
      <c r="K819" s="159">
        <f t="shared" si="1489"/>
        <v>181.1926907948536</v>
      </c>
      <c r="L819" s="165">
        <f t="shared" si="1495"/>
        <v>-2.1571863324284922E-2</v>
      </c>
      <c r="M819" s="76">
        <f t="shared" si="1499"/>
        <v>-1.6656758966852577E-4</v>
      </c>
      <c r="N819" s="62">
        <f t="shared" si="1505"/>
        <v>119.69192603461327</v>
      </c>
      <c r="O819" s="96">
        <f t="shared" si="1500"/>
        <v>0.10551566847794959</v>
      </c>
      <c r="P819" s="96"/>
      <c r="Q819" s="159">
        <f>IFERROR(INDEX('Non-Labor Expenditures'!$F$7:$AB$91,MATCH($C819,'Non-Labor Expenditures'!$D$7:$D$91,0),MATCH($G819,'Non-Labor Expenditures'!$F$5:$AB$5,0)),"NA")</f>
        <v>33954.671076626488</v>
      </c>
      <c r="R819" s="159">
        <f t="shared" si="1490"/>
        <v>327.59916907027201</v>
      </c>
      <c r="S819" s="165">
        <f t="shared" si="1501"/>
        <v>-1.9520575158866366E-2</v>
      </c>
      <c r="T819" s="165">
        <f t="shared" si="1502"/>
        <v>-1.5072852559265196E-4</v>
      </c>
      <c r="U819" s="165"/>
      <c r="V819" s="165"/>
      <c r="W819" s="159">
        <f t="shared" si="1471"/>
        <v>30506.511031284452</v>
      </c>
      <c r="X819" s="163"/>
      <c r="Y819" s="167">
        <v>1382.4241316250263</v>
      </c>
      <c r="Z819" s="168">
        <v>1.8650300347064497E-2</v>
      </c>
      <c r="AA819" s="76">
        <f t="shared" si="1491"/>
        <v>1.4400868059957357E-4</v>
      </c>
      <c r="AB819" s="168"/>
      <c r="AC819" s="168"/>
      <c r="AD819" s="163">
        <f t="shared" si="1410"/>
        <v>87907.516296764996</v>
      </c>
      <c r="AE819" s="168">
        <f t="shared" si="1503"/>
        <v>1.6072751709344808E-2</v>
      </c>
      <c r="AF819" s="163"/>
      <c r="AG819" s="163"/>
      <c r="AH819" s="163"/>
      <c r="AI819" s="163"/>
      <c r="AJ819" s="116">
        <f t="shared" si="1504"/>
        <v>668.52872600092019</v>
      </c>
      <c r="AK819" s="114">
        <f>+AV819/$AX$19</f>
        <v>3.6389075916057226E-3</v>
      </c>
      <c r="AL819" s="115">
        <f t="shared" si="1492"/>
        <v>0.26671592119270104</v>
      </c>
      <c r="AM819" s="115">
        <f t="shared" si="1493"/>
        <v>0.38625446954956255</v>
      </c>
      <c r="AN819" s="115">
        <f t="shared" si="1494"/>
        <v>0.3470296092577364</v>
      </c>
      <c r="AO819" s="115">
        <f t="shared" si="1496"/>
        <v>-7.0441208660092219E-3</v>
      </c>
      <c r="AP819" s="166">
        <f t="shared" si="1507"/>
        <v>122.81206704503563</v>
      </c>
      <c r="AQ819" s="168">
        <f t="shared" si="1508"/>
        <v>-7.0441208660092687E-3</v>
      </c>
      <c r="AR819" s="69">
        <f>+AD819/$AF$19</f>
        <v>7.7215207219030182E-3</v>
      </c>
      <c r="AS819" s="169">
        <f t="shared" si="1506"/>
        <v>-5.4391325234480001E-5</v>
      </c>
      <c r="AT819" s="115"/>
      <c r="AU819" s="115"/>
      <c r="AV819" s="113">
        <f>IFERROR(INDEX('Total Customers'!$F$7:$AB$91,MATCH($C819,'Total Customers'!$D$7:$D$91,0),MATCH($G819,'Total Customers'!$F$5:$AB$5,0)),"NA")</f>
        <v>131494</v>
      </c>
      <c r="AW819" s="68">
        <f t="shared" si="1422"/>
        <v>5.9724439081767023E-3</v>
      </c>
      <c r="AX819" s="114"/>
      <c r="AY819" s="114"/>
      <c r="AZ819" s="116">
        <v>8599754</v>
      </c>
      <c r="BA819" s="116"/>
      <c r="BB819" s="166"/>
      <c r="BC819" s="166"/>
      <c r="BD819" s="166"/>
      <c r="BE819" s="166"/>
      <c r="BF819" s="166"/>
      <c r="BG819" s="166"/>
      <c r="BH819" s="166"/>
      <c r="BI819" s="113"/>
      <c r="BJ819" s="113"/>
      <c r="BK819" s="113">
        <f>INDEX('Dist. Plant Gas Additions'!$F$7:$AE$91,MATCH($C819,'Dist. Plant Gas Additions'!$D$7:$D$91,0),MATCH(Calculation!$G819,'Dist. Plant Gas Additions'!$F$5:$AE$5,0))</f>
        <v>24311</v>
      </c>
      <c r="BL819" s="113">
        <f>INDEX('Gen. Plant Additions'!$F$7:$AE$91,MATCH($C819,'Gen. Plant Additions'!$D$7:$D$91,0),MATCH(Calculation!$G819,'Gen. Plant Additions'!$F$5:$AE$5,0))</f>
        <v>455</v>
      </c>
      <c r="BM819" s="231">
        <f t="shared" si="1472"/>
        <v>0.97429908613849625</v>
      </c>
      <c r="BN819" s="61">
        <f t="shared" si="1509"/>
        <v>443.30608419301581</v>
      </c>
      <c r="BO819" s="113">
        <f>INDEX('Dist Plant Depreciation'!$E$7:$AD$94,MATCH($C819,'Dist Plant Depreciation'!$D$7:$D$94,0),MATCH(Calculation!$G819,'Dist Plant Depreciation'!$E$5:$AD$5,0))</f>
        <v>172524</v>
      </c>
      <c r="BP819" s="113">
        <f>INDEX('Gen. Plant Depreciation'!$E$7:$AD$94,MATCH($C819,'Gen. Plant Depreciation'!$D$7:$D$94,0),MATCH(Calculation!$G819,'Gen. Plant Depreciation'!$E$5:$AD$5,0))</f>
        <v>15823</v>
      </c>
      <c r="BQ819" s="113"/>
      <c r="BR819" s="113"/>
      <c r="BS819" s="113"/>
      <c r="BT819" s="113"/>
      <c r="BU819" s="113"/>
      <c r="BV819" s="175"/>
      <c r="BW819" s="113">
        <f>INDEX('Gross Dx Plant'!$E$7:$AD$91,MATCH($C819,'Gross Dx Plant'!$D$7:$D$91,0),MATCH(Calculation!$G819,'Gross Dx Plant'!$E$5:$AD$5,0))</f>
        <v>549379</v>
      </c>
      <c r="BX819" s="113">
        <f>INDEX('Gross Gen Plant'!$E$7:$AD$91,MATCH($C819,'Gross Gen Plant'!$D$7:$D$91,0),MATCH(Calculation!$G819,'Gross Gen Plant'!$E$5:$AD$5,0))</f>
        <v>14492</v>
      </c>
      <c r="BY819" s="113">
        <f t="shared" si="1460"/>
        <v>375524</v>
      </c>
      <c r="BZ819" s="113"/>
      <c r="CA819" s="116">
        <v>2014</v>
      </c>
      <c r="CB819" s="113"/>
      <c r="CC819" s="113"/>
      <c r="CD819" s="113"/>
      <c r="CE819" s="175"/>
      <c r="CF819" s="113">
        <f t="shared" si="1473"/>
        <v>24766</v>
      </c>
      <c r="CG819" s="113">
        <f t="shared" si="1474"/>
        <v>36.18278524122146</v>
      </c>
      <c r="CH819" s="178">
        <v>0.89743589743589747</v>
      </c>
      <c r="CI819" s="61">
        <f>+CI803*CH819+CG804*CH818+CG805*CH817+CG806*CH816+CG807*CH815+CG808*CH814+CG809*CH813+CG810*CH812+CG811*CH811+CG812*CH810+CG813*CH809+CG814*CH808+CG815*CH807+CG816*CH806+CG817*CH805+CG818*CH804+CG819</f>
        <v>1382.4241316250263</v>
      </c>
      <c r="CJ819" s="114">
        <f t="shared" si="1475"/>
        <v>1.8650300347064497E-2</v>
      </c>
      <c r="CK819" s="114"/>
      <c r="CL819" s="169">
        <f t="shared" si="1476"/>
        <v>7.8408522524694418E-3</v>
      </c>
      <c r="CM819" s="169">
        <f t="shared" si="1484"/>
        <v>7.6133744793528309E-3</v>
      </c>
      <c r="CN819" s="114">
        <f>VLOOKUP($H819,RoR!$E:$F,2,FALSE)</f>
        <v>4.1625000000000002E-2</v>
      </c>
      <c r="CO819" s="169">
        <v>1.841352814597208E-2</v>
      </c>
      <c r="CP819" s="169">
        <f t="shared" si="1482"/>
        <v>2.3211471854027922E-2</v>
      </c>
      <c r="CQ819" s="169">
        <f t="shared" si="1485"/>
        <v>2.3288567129180794E-2</v>
      </c>
      <c r="CR819" s="169">
        <f t="shared" si="1486"/>
        <v>3.9072621432650924E-2</v>
      </c>
      <c r="CS819" s="179">
        <f t="shared" si="1477"/>
        <v>0.85329623209999994</v>
      </c>
      <c r="CT819" s="180">
        <f t="shared" si="1478"/>
        <v>1.2320012320012319</v>
      </c>
      <c r="CU819" s="180">
        <f t="shared" si="1479"/>
        <v>0.37439939939939942</v>
      </c>
      <c r="CV819" s="180">
        <f t="shared" si="1480"/>
        <v>0.80432100613819935</v>
      </c>
      <c r="CW819" s="180">
        <f t="shared" si="1481"/>
        <v>0.37100152660040037</v>
      </c>
      <c r="CX819" s="181">
        <f>INDEX('State Tax Lookup'!$D$7:$Z$91,MATCH(Calculation!$C819,'State Tax Lookup'!$B$7:$B$91,0),MATCH($H819,'State Tax Lookup'!$D$6:$Z$6,0))</f>
        <v>0.39649667</v>
      </c>
      <c r="CY819" s="72">
        <v>0.37</v>
      </c>
      <c r="CZ819" s="70">
        <f t="shared" si="1483"/>
        <v>22.48282900153982</v>
      </c>
      <c r="DA819" s="70">
        <v>20.763592984765573</v>
      </c>
      <c r="DB819" s="69">
        <f t="shared" si="1487"/>
        <v>2.3055652758058248E-2</v>
      </c>
      <c r="DC819" s="111">
        <f>VLOOKUP($H819,RoR!$E:$F,2,FALSE)</f>
        <v>4.1625000000000002E-2</v>
      </c>
      <c r="DD819" s="216">
        <f>HLOOKUP($H819,'GDP-PI'!$D$8:$CQ$11,3,FALSE)</f>
        <v>1.841352814597208E-2</v>
      </c>
      <c r="DE819" s="111">
        <f>VLOOKUP(H819,'HW Dx Data'!$E:$F,2,FALSE)</f>
        <v>684.46914285042885</v>
      </c>
      <c r="DF819" s="72">
        <f t="shared" si="1497"/>
        <v>129.4</v>
      </c>
      <c r="DG819" s="69">
        <f t="shared" si="1498"/>
        <v>2.0297340063674733E-2</v>
      </c>
      <c r="DH819" s="66">
        <f>HLOOKUP(H819,'GDP-PI'!$8:$9,2,FALSE)</f>
        <v>103.64700000000001</v>
      </c>
      <c r="DI819" s="69">
        <f t="shared" si="1488"/>
        <v>1.8246051898256087E-2</v>
      </c>
      <c r="EB819"/>
    </row>
    <row r="820" spans="1:132" s="160" customFormat="1" ht="21">
      <c r="A820" s="160" t="s">
        <v>207</v>
      </c>
      <c r="B820" s="161" t="s">
        <v>207</v>
      </c>
      <c r="C820" s="161">
        <v>4057093</v>
      </c>
      <c r="D820" s="161" t="s">
        <v>171</v>
      </c>
      <c r="E820" s="161" t="s">
        <v>3</v>
      </c>
      <c r="F820" s="161"/>
      <c r="G820" s="161" t="s">
        <v>132</v>
      </c>
      <c r="H820" s="162">
        <v>2015</v>
      </c>
      <c r="I820" s="163"/>
      <c r="J820" s="159">
        <f>IFERROR(INDEX('Labor Expenditures'!$F$7:$X$91,MATCH($C820,'Labor Expenditures'!$D$7:$D$91,0),MATCH($G820,'Labor Expenditures'!$F$5:$X$5,0)),"NA")</f>
        <v>22408.090118226301</v>
      </c>
      <c r="K820" s="159">
        <f t="shared" si="1489"/>
        <v>167.85086230881123</v>
      </c>
      <c r="L820" s="165">
        <f t="shared" si="1495"/>
        <v>-7.6485194228207959E-2</v>
      </c>
      <c r="M820" s="76">
        <f t="shared" si="1499"/>
        <v>-5.6739880199868577E-4</v>
      </c>
      <c r="N820" s="62">
        <f t="shared" si="1505"/>
        <v>118.97593434246107</v>
      </c>
      <c r="O820" s="96">
        <f t="shared" si="1500"/>
        <v>-5.9999183713831117E-3</v>
      </c>
      <c r="P820" s="96"/>
      <c r="Q820" s="159">
        <f>IFERROR(INDEX('Non-Labor Expenditures'!$F$7:$AB$91,MATCH($C820,'Non-Labor Expenditures'!$D$7:$D$91,0),MATCH($G820,'Non-Labor Expenditures'!$F$5:$AB$5,0)),"NA")</f>
        <v>32451.099745113952</v>
      </c>
      <c r="R820" s="159">
        <f t="shared" si="1490"/>
        <v>310.12432979208472</v>
      </c>
      <c r="S820" s="165">
        <f t="shared" si="1501"/>
        <v>-5.4817534640146499E-2</v>
      </c>
      <c r="T820" s="165">
        <f t="shared" si="1502"/>
        <v>-4.0665914229802083E-4</v>
      </c>
      <c r="U820" s="165"/>
      <c r="V820" s="165"/>
      <c r="W820" s="159">
        <f t="shared" si="1471"/>
        <v>30432.66421917273</v>
      </c>
      <c r="X820" s="163"/>
      <c r="Y820" s="167">
        <v>1429.3495631414639</v>
      </c>
      <c r="Z820" s="168">
        <v>3.3380914604450425E-2</v>
      </c>
      <c r="AA820" s="76">
        <f t="shared" si="1491"/>
        <v>2.4763342954551025E-4</v>
      </c>
      <c r="AB820" s="168"/>
      <c r="AC820" s="168"/>
      <c r="AD820" s="163">
        <f t="shared" si="1410"/>
        <v>85291.854082512989</v>
      </c>
      <c r="AE820" s="168">
        <f t="shared" si="1503"/>
        <v>-3.0206358005362682E-2</v>
      </c>
      <c r="AF820" s="163"/>
      <c r="AG820" s="163"/>
      <c r="AH820" s="163"/>
      <c r="AI820" s="163"/>
      <c r="AJ820" s="116">
        <f t="shared" si="1504"/>
        <v>643.21209989602789</v>
      </c>
      <c r="AK820" s="114">
        <f>+AV820/$AX$20</f>
        <v>3.6397589710617712E-3</v>
      </c>
      <c r="AL820" s="115">
        <f t="shared" si="1492"/>
        <v>0.26272251153724813</v>
      </c>
      <c r="AM820" s="115">
        <f t="shared" si="1493"/>
        <v>0.38047126650242741</v>
      </c>
      <c r="AN820" s="115">
        <f t="shared" si="1494"/>
        <v>0.35680622196032441</v>
      </c>
      <c r="AO820" s="115">
        <f t="shared" si="1496"/>
        <v>-2.9514766088653742E-2</v>
      </c>
      <c r="AP820" s="166">
        <f t="shared" si="1507"/>
        <v>119.24026731560787</v>
      </c>
      <c r="AQ820" s="168">
        <f t="shared" si="1508"/>
        <v>-2.9514766088653908E-2</v>
      </c>
      <c r="AR820" s="69">
        <f>+AD820/$AF$20</f>
        <v>7.4184135599596537E-3</v>
      </c>
      <c r="AS820" s="169">
        <f t="shared" si="1506"/>
        <v>-2.1895274097110751E-4</v>
      </c>
      <c r="AT820" s="115"/>
      <c r="AU820" s="115"/>
      <c r="AV820" s="113">
        <f>IFERROR(INDEX('Total Customers'!$F$7:$AB$91,MATCH($C820,'Total Customers'!$D$7:$D$91,0),MATCH($G820,'Total Customers'!$F$5:$AB$5,0)),"NA")</f>
        <v>132603</v>
      </c>
      <c r="AW820" s="68">
        <f t="shared" si="1422"/>
        <v>8.3984787297897035E-3</v>
      </c>
      <c r="AX820" s="114"/>
      <c r="AY820" s="114"/>
      <c r="AZ820" s="116">
        <v>8659109</v>
      </c>
      <c r="BA820" s="116"/>
      <c r="BB820" s="166"/>
      <c r="BC820" s="166"/>
      <c r="BD820" s="166"/>
      <c r="BE820" s="166"/>
      <c r="BF820" s="166"/>
      <c r="BG820" s="166"/>
      <c r="BH820" s="166"/>
      <c r="BI820" s="113"/>
      <c r="BJ820" s="113"/>
      <c r="BK820" s="113">
        <f>INDEX('Dist. Plant Gas Additions'!$F$7:$AE$91,MATCH($C820,'Dist. Plant Gas Additions'!$D$7:$D$91,0),MATCH(Calculation!$G820,'Dist. Plant Gas Additions'!$F$5:$AE$5,0))</f>
        <v>38576</v>
      </c>
      <c r="BL820" s="113">
        <f>INDEX('Gen. Plant Additions'!$F$7:$AE$91,MATCH($C820,'Gen. Plant Additions'!$D$7:$D$91,0),MATCH(Calculation!$G820,'Gen. Plant Additions'!$F$5:$AE$5,0))</f>
        <v>705</v>
      </c>
      <c r="BM820" s="231">
        <f t="shared" si="1472"/>
        <v>0.97731703821709126</v>
      </c>
      <c r="BN820" s="61">
        <f t="shared" si="1509"/>
        <v>689.00851194304937</v>
      </c>
      <c r="BO820" s="113">
        <f>INDEX('Dist Plant Depreciation'!$E$7:$AD$94,MATCH($C820,'Dist Plant Depreciation'!$D$7:$D$94,0),MATCH(Calculation!$G820,'Dist Plant Depreciation'!$E$5:$AD$5,0))</f>
        <v>182850</v>
      </c>
      <c r="BP820" s="113">
        <f>INDEX('Gen. Plant Depreciation'!$E$7:$AD$94,MATCH($C820,'Gen. Plant Depreciation'!$D$7:$D$94,0),MATCH(Calculation!$G820,'Gen. Plant Depreciation'!$E$5:$AD$5,0))</f>
        <v>16969</v>
      </c>
      <c r="BQ820" s="113"/>
      <c r="BR820" s="113"/>
      <c r="BS820" s="113"/>
      <c r="BT820" s="113"/>
      <c r="BU820" s="113"/>
      <c r="BV820" s="175"/>
      <c r="BW820" s="113">
        <f>INDEX('Gross Dx Plant'!$E$7:$AD$91,MATCH($C820,'Gross Dx Plant'!$D$7:$D$91,0),MATCH(Calculation!$G820,'Gross Dx Plant'!$E$5:$AD$5,0))</f>
        <v>586486</v>
      </c>
      <c r="BX820" s="113">
        <f>INDEX('Gross Gen Plant'!$E$7:$AD$91,MATCH($C820,'Gross Gen Plant'!$D$7:$D$91,0),MATCH(Calculation!$G820,'Gross Gen Plant'!$E$5:$AD$5,0))</f>
        <v>13612</v>
      </c>
      <c r="BY820" s="113">
        <f t="shared" si="1460"/>
        <v>400279</v>
      </c>
      <c r="BZ820" s="113"/>
      <c r="CA820" s="116">
        <v>2015</v>
      </c>
      <c r="CB820" s="113"/>
      <c r="CC820" s="113"/>
      <c r="CD820" s="113"/>
      <c r="CE820" s="175"/>
      <c r="CF820" s="113">
        <f t="shared" si="1473"/>
        <v>39281</v>
      </c>
      <c r="CG820" s="113">
        <f t="shared" si="1474"/>
        <v>58.141132646192432</v>
      </c>
      <c r="CH820" s="178">
        <v>0.88888888888888884</v>
      </c>
      <c r="CI820" s="61">
        <f>+CI803*CH820+CG804*CH819+CG805*CH818+CG806*CH817+CG807*CH816+CG808*CH815+CG809*CH814+CG810*CH813+CG811*CH812+CG812*CH811+CG813*CH810+CG814*CH809+CG815*CH808+CG816*CH807+CG817*CH806+CG818*CH805+CG819*CH804+CG820</f>
        <v>1429.3495631414639</v>
      </c>
      <c r="CJ820" s="114">
        <f t="shared" si="1475"/>
        <v>3.3380914604450425E-2</v>
      </c>
      <c r="CK820" s="114"/>
      <c r="CL820" s="169">
        <f t="shared" si="1476"/>
        <v>8.1130681049171923E-3</v>
      </c>
      <c r="CM820" s="169">
        <f t="shared" si="1484"/>
        <v>7.8515751444265345E-3</v>
      </c>
      <c r="CN820" s="114">
        <f>VLOOKUP($H820,RoR!$E:$F,2,FALSE)</f>
        <v>3.8866666666666674E-2</v>
      </c>
      <c r="CO820" s="169">
        <v>9.5709475431029478E-3</v>
      </c>
      <c r="CP820" s="169">
        <f t="shared" si="1482"/>
        <v>2.9295719123563727E-2</v>
      </c>
      <c r="CQ820" s="169">
        <f t="shared" si="1485"/>
        <v>2.3050366464107089E-2</v>
      </c>
      <c r="CR820" s="169">
        <f t="shared" si="1486"/>
        <v>3.5270373279175926E-3</v>
      </c>
      <c r="CS820" s="179">
        <f t="shared" si="1477"/>
        <v>0.85329623209999994</v>
      </c>
      <c r="CT820" s="180">
        <f t="shared" si="1478"/>
        <v>1.3194352816994324</v>
      </c>
      <c r="CU820" s="180">
        <f t="shared" si="1479"/>
        <v>0.33177530017152673</v>
      </c>
      <c r="CV820" s="180">
        <f t="shared" si="1480"/>
        <v>0.78242572977668579</v>
      </c>
      <c r="CW820" s="180">
        <f t="shared" si="1481"/>
        <v>0.34251158643433932</v>
      </c>
      <c r="CX820" s="181">
        <f>INDEX('State Tax Lookup'!$D$7:$Z$91,MATCH(Calculation!$C820,'State Tax Lookup'!$B$7:$B$91,0),MATCH($H820,'State Tax Lookup'!$D$6:$Z$6,0))</f>
        <v>0.39649667</v>
      </c>
      <c r="CY820" s="72">
        <v>0.37</v>
      </c>
      <c r="CZ820" s="70">
        <f t="shared" si="1483"/>
        <v>22.013985088208365</v>
      </c>
      <c r="DA820" s="70">
        <v>20.279488671080099</v>
      </c>
      <c r="DB820" s="69">
        <f t="shared" si="1487"/>
        <v>-2.107392514854781E-2</v>
      </c>
      <c r="DC820" s="111">
        <f>VLOOKUP($H820,RoR!$E:$F,2,FALSE)</f>
        <v>3.8866666666666674E-2</v>
      </c>
      <c r="DD820" s="216">
        <f>HLOOKUP($H820,'GDP-PI'!$D$8:$CQ$11,3,FALSE)</f>
        <v>9.5709475431029478E-3</v>
      </c>
      <c r="DE820" s="111">
        <f>VLOOKUP(H820,'HW Dx Data'!$E:$F,2,FALSE)</f>
        <v>675.61463308665782</v>
      </c>
      <c r="DF820" s="72">
        <f t="shared" si="1497"/>
        <v>133.5</v>
      </c>
      <c r="DG820" s="69">
        <f t="shared" si="1498"/>
        <v>3.1193095773504077E-2</v>
      </c>
      <c r="DH820" s="66">
        <f>HLOOKUP(H820,'GDP-PI'!$8:$9,2,FALSE)</f>
        <v>104.639</v>
      </c>
      <c r="DI820" s="69">
        <f t="shared" si="1488"/>
        <v>9.5254361854427965E-3</v>
      </c>
      <c r="EB820"/>
    </row>
    <row r="821" spans="1:132" s="160" customFormat="1" ht="21">
      <c r="A821" s="160" t="s">
        <v>207</v>
      </c>
      <c r="B821" s="161" t="s">
        <v>207</v>
      </c>
      <c r="C821" s="161">
        <v>4057093</v>
      </c>
      <c r="D821" s="161" t="s">
        <v>171</v>
      </c>
      <c r="E821" s="161" t="s">
        <v>3</v>
      </c>
      <c r="F821" s="161"/>
      <c r="G821" s="161" t="s">
        <v>133</v>
      </c>
      <c r="H821" s="162">
        <v>2016</v>
      </c>
      <c r="I821" s="163"/>
      <c r="J821" s="159">
        <f>IFERROR(INDEX('Labor Expenditures'!$F$7:$X$91,MATCH($C821,'Labor Expenditures'!$D$7:$D$91,0),MATCH($G821,'Labor Expenditures'!$F$5:$X$5,0)),"NA")</f>
        <v>20598.545051648096</v>
      </c>
      <c r="K821" s="159">
        <f t="shared" si="1489"/>
        <v>150.40923732492223</v>
      </c>
      <c r="L821" s="165">
        <f t="shared" si="1495"/>
        <v>-0.10971603277683573</v>
      </c>
      <c r="M821" s="76">
        <f t="shared" si="1499"/>
        <v>-7.5028921527092837E-4</v>
      </c>
      <c r="N821" s="62">
        <f t="shared" si="1505"/>
        <v>299.56490800645457</v>
      </c>
      <c r="O821" s="96">
        <f t="shared" si="1500"/>
        <v>0.92340987505490313</v>
      </c>
      <c r="P821" s="96"/>
      <c r="Q821" s="159">
        <f>IFERROR(INDEX('Non-Labor Expenditures'!$F$7:$AB$91,MATCH($C821,'Non-Labor Expenditures'!$D$7:$D$91,0),MATCH($G821,'Non-Labor Expenditures'!$F$5:$AB$5,0)),"NA")</f>
        <v>29830.54051231057</v>
      </c>
      <c r="R821" s="159">
        <f t="shared" si="1490"/>
        <v>282.12283907383073</v>
      </c>
      <c r="S821" s="165">
        <f t="shared" si="1501"/>
        <v>-9.4630705275258062E-2</v>
      </c>
      <c r="T821" s="165">
        <f t="shared" si="1502"/>
        <v>-6.4712873592434649E-4</v>
      </c>
      <c r="U821" s="165"/>
      <c r="V821" s="165"/>
      <c r="W821" s="159">
        <f t="shared" si="1471"/>
        <v>30933.210429913433</v>
      </c>
      <c r="X821" s="163"/>
      <c r="Y821" s="167">
        <v>1483.6028235208819</v>
      </c>
      <c r="Z821" s="168">
        <v>3.725397994085252E-2</v>
      </c>
      <c r="AA821" s="76">
        <f t="shared" si="1491"/>
        <v>2.5476002611573168E-4</v>
      </c>
      <c r="AB821" s="168"/>
      <c r="AC821" s="168"/>
      <c r="AD821" s="163">
        <f t="shared" si="1410"/>
        <v>81362.295993872103</v>
      </c>
      <c r="AE821" s="168">
        <f t="shared" si="1503"/>
        <v>-4.716698114084647E-2</v>
      </c>
      <c r="AF821" s="163"/>
      <c r="AG821" s="163"/>
      <c r="AH821" s="163"/>
      <c r="AI821" s="163"/>
      <c r="AJ821" s="116">
        <f t="shared" si="1504"/>
        <v>617.04950054886808</v>
      </c>
      <c r="AK821" s="114">
        <f>+AV821/$AX$21</f>
        <v>3.5880066963861752E-3</v>
      </c>
      <c r="AL821" s="115">
        <f t="shared" si="1492"/>
        <v>0.25317064618234841</v>
      </c>
      <c r="AM821" s="115">
        <f t="shared" si="1493"/>
        <v>0.36663838142617428</v>
      </c>
      <c r="AN821" s="115">
        <f t="shared" si="1494"/>
        <v>0.38019097239147731</v>
      </c>
      <c r="AO821" s="115">
        <f t="shared" si="1496"/>
        <v>-4.9922592404147627E-2</v>
      </c>
      <c r="AP821" s="166">
        <f t="shared" si="1507"/>
        <v>113.43363114077762</v>
      </c>
      <c r="AQ821" s="168">
        <f t="shared" si="1508"/>
        <v>-4.9922592404147627E-2</v>
      </c>
      <c r="AR821" s="69">
        <f>+AD821/$AF$21</f>
        <v>6.838464682705301E-3</v>
      </c>
      <c r="AS821" s="169">
        <f t="shared" si="1506"/>
        <v>-3.4139388502485549E-4</v>
      </c>
      <c r="AT821" s="115"/>
      <c r="AU821" s="115"/>
      <c r="AV821" s="113">
        <f>IFERROR(INDEX('Total Customers'!$F$7:$AB$91,MATCH($C821,'Total Customers'!$D$7:$D$91,0),MATCH($G821,'Total Customers'!$F$5:$AB$5,0)),"NA")</f>
        <v>131857</v>
      </c>
      <c r="AW821" s="68">
        <f t="shared" si="1422"/>
        <v>-5.6416999068893258E-3</v>
      </c>
      <c r="AX821" s="114"/>
      <c r="AY821" s="114"/>
      <c r="AZ821" s="116">
        <v>8759079</v>
      </c>
      <c r="BA821" s="116"/>
      <c r="BB821" s="166"/>
      <c r="BC821" s="166"/>
      <c r="BD821" s="166"/>
      <c r="BE821" s="166"/>
      <c r="BF821" s="166"/>
      <c r="BG821" s="166"/>
      <c r="BH821" s="166"/>
      <c r="BI821" s="113"/>
      <c r="BJ821" s="113"/>
      <c r="BK821" s="113">
        <f>INDEX('Dist. Plant Gas Additions'!$F$7:$AE$91,MATCH($C821,'Dist. Plant Gas Additions'!$D$7:$D$91,0),MATCH(Calculation!$G821,'Dist. Plant Gas Additions'!$F$5:$AE$5,0))</f>
        <v>43855</v>
      </c>
      <c r="BL821" s="113">
        <f>INDEX('Gen. Plant Additions'!$F$7:$AE$91,MATCH($C821,'Gen. Plant Additions'!$D$7:$D$91,0),MATCH(Calculation!$G821,'Gen. Plant Additions'!$F$5:$AE$5,0))</f>
        <v>584</v>
      </c>
      <c r="BM821" s="231">
        <f t="shared" si="1472"/>
        <v>0.97834874733039545</v>
      </c>
      <c r="BN821" s="61">
        <f t="shared" si="1509"/>
        <v>571.35566844095092</v>
      </c>
      <c r="BO821" s="113">
        <f>INDEX('Dist Plant Depreciation'!$E$7:$AD$94,MATCH($C821,'Dist Plant Depreciation'!$D$7:$D$94,0),MATCH(Calculation!$G821,'Dist Plant Depreciation'!$E$5:$AD$5,0))</f>
        <v>192952</v>
      </c>
      <c r="BP821" s="113">
        <f>INDEX('Gen. Plant Depreciation'!$E$7:$AD$94,MATCH($C821,'Gen. Plant Depreciation'!$D$7:$D$94,0),MATCH(Calculation!$G821,'Gen. Plant Depreciation'!$E$5:$AD$5,0))</f>
        <v>18722</v>
      </c>
      <c r="BQ821" s="113"/>
      <c r="BR821" s="113"/>
      <c r="BS821" s="113"/>
      <c r="BT821" s="113"/>
      <c r="BU821" s="113"/>
      <c r="BV821" s="175"/>
      <c r="BW821" s="113">
        <f>INDEX('Gross Dx Plant'!$E$7:$AD$91,MATCH($C821,'Gross Dx Plant'!$D$7:$D$91,0),MATCH(Calculation!$G821,'Gross Dx Plant'!$E$5:$AD$5,0))</f>
        <v>628050</v>
      </c>
      <c r="BX821" s="113">
        <f>INDEX('Gross Gen Plant'!$E$7:$AD$91,MATCH($C821,'Gross Gen Plant'!$D$7:$D$91,0),MATCH(Calculation!$G821,'Gross Gen Plant'!$E$5:$AD$5,0))</f>
        <v>13899</v>
      </c>
      <c r="BY821" s="113">
        <f t="shared" si="1460"/>
        <v>430275</v>
      </c>
      <c r="BZ821" s="113"/>
      <c r="CA821" s="116">
        <v>2016</v>
      </c>
      <c r="CB821" s="113"/>
      <c r="CC821" s="113"/>
      <c r="CD821" s="113"/>
      <c r="CE821" s="175"/>
      <c r="CF821" s="113">
        <f t="shared" si="1473"/>
        <v>44439</v>
      </c>
      <c r="CG821" s="113">
        <f t="shared" si="1474"/>
        <v>66.183002211882524</v>
      </c>
      <c r="CH821" s="178">
        <v>0.88</v>
      </c>
      <c r="CI821" s="61">
        <f>+CI803*CH821+CG804*CH820+CG805*CH819+CG806*CH818+CG807*CH817+CG808*CH816+CG809*CH815+CG810*CH814+CG811*CH813+CG812*CH812+CG813*CH811+CG814*CH810+CG815*CH809+CG816*CH808+CG817*CH807+CG818*CH806+CG819*CH805+CG820*CH804+CG821</f>
        <v>1483.6028235208819</v>
      </c>
      <c r="CJ821" s="114">
        <f t="shared" si="1475"/>
        <v>3.725397994085252E-2</v>
      </c>
      <c r="CK821" s="114"/>
      <c r="CL821" s="169">
        <f t="shared" si="1476"/>
        <v>8.3462731161753432E-3</v>
      </c>
      <c r="CM821" s="169">
        <f t="shared" si="1484"/>
        <v>8.1000644911873258E-3</v>
      </c>
      <c r="CN821" s="114">
        <f>VLOOKUP($H821,RoR!$E:$F,2,FALSE)</f>
        <v>3.6658333333333334E-2</v>
      </c>
      <c r="CO821" s="169">
        <v>1.0483662879041455E-2</v>
      </c>
      <c r="CP821" s="169">
        <f t="shared" si="1482"/>
        <v>2.6174670454291879E-2</v>
      </c>
      <c r="CQ821" s="169">
        <f t="shared" si="1485"/>
        <v>2.2801877117346298E-2</v>
      </c>
      <c r="CR821" s="169">
        <f t="shared" si="1486"/>
        <v>4.301363574220729E-3</v>
      </c>
      <c r="CS821" s="179">
        <f t="shared" si="1477"/>
        <v>0.85329623209999994</v>
      </c>
      <c r="CT821" s="180">
        <f t="shared" si="1478"/>
        <v>1.3989193348138562</v>
      </c>
      <c r="CU821" s="180">
        <f t="shared" si="1479"/>
        <v>0.29302682427824522</v>
      </c>
      <c r="CV821" s="180">
        <f t="shared" si="1480"/>
        <v>0.76309497491941802</v>
      </c>
      <c r="CW821" s="180">
        <f t="shared" si="1481"/>
        <v>0.31280857135128509</v>
      </c>
      <c r="CX821" s="181">
        <f>INDEX('State Tax Lookup'!$D$7:$Z$91,MATCH(Calculation!$C821,'State Tax Lookup'!$B$7:$B$91,0),MATCH($H821,'State Tax Lookup'!$D$6:$Z$6,0))</f>
        <v>0.39649667</v>
      </c>
      <c r="CY821" s="72">
        <v>0.37</v>
      </c>
      <c r="CZ821" s="70">
        <f t="shared" si="1483"/>
        <v>21.641459323587416</v>
      </c>
      <c r="DA821" s="70">
        <v>19.909765876209278</v>
      </c>
      <c r="DB821" s="69">
        <f t="shared" si="1487"/>
        <v>-1.7067049123786791E-2</v>
      </c>
      <c r="DC821" s="111">
        <f>VLOOKUP($H821,RoR!$E:$F,2,FALSE)</f>
        <v>3.6658333333333334E-2</v>
      </c>
      <c r="DD821" s="216">
        <f>HLOOKUP($H821,'GDP-PI'!$D$8:$CQ$11,3,FALSE)</f>
        <v>1.0483662879041455E-2</v>
      </c>
      <c r="DE821" s="111">
        <f>VLOOKUP(H821,'HW Dx Data'!$E:$F,2,FALSE)</f>
        <v>671.45639385971219</v>
      </c>
      <c r="DF821" s="72">
        <f t="shared" si="1497"/>
        <v>136.94999999999999</v>
      </c>
      <c r="DG821" s="69">
        <f t="shared" si="1498"/>
        <v>2.5514417868782811E-2</v>
      </c>
      <c r="DH821" s="66">
        <f>HLOOKUP(H821,'GDP-PI'!$8:$9,2,FALSE)</f>
        <v>105.736</v>
      </c>
      <c r="DI821" s="69">
        <f t="shared" si="1488"/>
        <v>1.0429090367205095E-2</v>
      </c>
      <c r="EB821"/>
    </row>
    <row r="822" spans="1:132" s="160" customFormat="1" ht="21">
      <c r="A822" s="160" t="s">
        <v>207</v>
      </c>
      <c r="B822" s="161" t="s">
        <v>207</v>
      </c>
      <c r="C822" s="161">
        <v>4057093</v>
      </c>
      <c r="D822" s="161" t="s">
        <v>171</v>
      </c>
      <c r="E822" s="161" t="s">
        <v>3</v>
      </c>
      <c r="F822" s="161"/>
      <c r="G822" s="161" t="s">
        <v>135</v>
      </c>
      <c r="H822" s="162">
        <v>2017</v>
      </c>
      <c r="I822" s="163"/>
      <c r="J822" s="159">
        <f>IFERROR(INDEX('Labor Expenditures'!$F$7:$X$91,MATCH($C822,'Labor Expenditures'!$D$7:$D$91,0),MATCH($G822,'Labor Expenditures'!$F$5:$X$5,0)),"NA")</f>
        <v>25457.337846467075</v>
      </c>
      <c r="K822" s="159">
        <f t="shared" si="1489"/>
        <v>181.25552044476382</v>
      </c>
      <c r="L822" s="165">
        <f t="shared" si="1495"/>
        <v>0.18654792288374411</v>
      </c>
      <c r="M822" s="76">
        <f t="shared" si="1499"/>
        <v>1.4387875698783795E-3</v>
      </c>
      <c r="N822" s="62">
        <f t="shared" si="1505"/>
        <v>166.32449023787305</v>
      </c>
      <c r="O822" s="96">
        <f t="shared" si="1500"/>
        <v>-0.58839047453086801</v>
      </c>
      <c r="P822" s="96"/>
      <c r="Q822" s="159">
        <f>IFERROR(INDEX('Non-Labor Expenditures'!$F$7:$AB$91,MATCH($C822,'Non-Labor Expenditures'!$D$7:$D$91,0),MATCH($G822,'Non-Labor Expenditures'!$F$5:$AB$5,0)),"NA")</f>
        <v>36866.979976522802</v>
      </c>
      <c r="R822" s="159">
        <f t="shared" si="1490"/>
        <v>342.14977101393771</v>
      </c>
      <c r="S822" s="165">
        <f t="shared" si="1501"/>
        <v>0.19290599249716461</v>
      </c>
      <c r="T822" s="165">
        <f t="shared" si="1502"/>
        <v>1.4878254331083646E-3</v>
      </c>
      <c r="U822" s="165"/>
      <c r="V822" s="165"/>
      <c r="W822" s="159">
        <f t="shared" si="1471"/>
        <v>28999.944332327505</v>
      </c>
      <c r="X822" s="163"/>
      <c r="Y822" s="167">
        <v>1538.9807403877981</v>
      </c>
      <c r="Z822" s="168">
        <v>3.6646870623963088E-2</v>
      </c>
      <c r="AA822" s="76">
        <f t="shared" si="1491"/>
        <v>2.8264620218558268E-4</v>
      </c>
      <c r="AB822" s="168"/>
      <c r="AC822" s="168"/>
      <c r="AD822" s="163">
        <f t="shared" si="1410"/>
        <v>91324.262155317381</v>
      </c>
      <c r="AE822" s="168">
        <f t="shared" si="1503"/>
        <v>0.11550452179766939</v>
      </c>
      <c r="AF822" s="163"/>
      <c r="AG822" s="163"/>
      <c r="AH822" s="163"/>
      <c r="AI822" s="163"/>
      <c r="AJ822" s="116">
        <f t="shared" si="1504"/>
        <v>676.09039403686324</v>
      </c>
      <c r="AK822" s="114">
        <f>+AV822/$AX$22</f>
        <v>3.6480116652543855E-3</v>
      </c>
      <c r="AL822" s="115">
        <f t="shared" si="1492"/>
        <v>0.2787576624837238</v>
      </c>
      <c r="AM822" s="115">
        <f t="shared" si="1493"/>
        <v>0.40369316002599875</v>
      </c>
      <c r="AN822" s="115">
        <f t="shared" si="1494"/>
        <v>0.31754917749027745</v>
      </c>
      <c r="AO822" s="115">
        <f t="shared" si="1496"/>
        <v>0.13670084233114116</v>
      </c>
      <c r="AP822" s="166">
        <f t="shared" si="1507"/>
        <v>130.04996991527716</v>
      </c>
      <c r="AQ822" s="168">
        <f t="shared" si="1508"/>
        <v>0.13670084233114113</v>
      </c>
      <c r="AR822" s="69">
        <f>+AD822/$AF$22</f>
        <v>7.7126968107547678E-3</v>
      </c>
      <c r="AS822" s="169">
        <f t="shared" si="1506"/>
        <v>1.0543321506748826E-3</v>
      </c>
      <c r="AT822" s="115"/>
      <c r="AU822" s="115"/>
      <c r="AV822" s="113">
        <f>IFERROR(INDEX('Total Customers'!$F$7:$AB$91,MATCH($C822,'Total Customers'!$D$7:$D$91,0),MATCH($G822,'Total Customers'!$F$5:$AB$5,0)),"NA")</f>
        <v>135077</v>
      </c>
      <c r="AW822" s="68">
        <f t="shared" si="1422"/>
        <v>2.4126984186111717E-2</v>
      </c>
      <c r="AX822" s="114"/>
      <c r="AY822" s="114"/>
      <c r="AZ822" s="116">
        <v>8824403</v>
      </c>
      <c r="BA822" s="116"/>
      <c r="BB822" s="166"/>
      <c r="BC822" s="166"/>
      <c r="BD822" s="166"/>
      <c r="BE822" s="166"/>
      <c r="BF822" s="166"/>
      <c r="BG822" s="166"/>
      <c r="BH822" s="166"/>
      <c r="BI822" s="113"/>
      <c r="BJ822" s="113"/>
      <c r="BK822" s="113">
        <f>INDEX('Dist. Plant Gas Additions'!$F$7:$AE$91,MATCH($C822,'Dist. Plant Gas Additions'!$D$7:$D$91,0),MATCH(Calculation!$G822,'Dist. Plant Gas Additions'!$F$5:$AE$5,0))</f>
        <v>47212</v>
      </c>
      <c r="BL822" s="113">
        <f>INDEX('Gen. Plant Additions'!$F$7:$AE$91,MATCH($C822,'Gen. Plant Additions'!$D$7:$D$91,0),MATCH(Calculation!$G822,'Gen. Plant Additions'!$F$5:$AE$5,0))</f>
        <v>1301</v>
      </c>
      <c r="BM822" s="231">
        <f t="shared" si="1472"/>
        <v>0.97846776993739804</v>
      </c>
      <c r="BN822" s="61">
        <f t="shared" si="1509"/>
        <v>1272.9865686885548</v>
      </c>
      <c r="BO822" s="113">
        <f>INDEX('Dist Plant Depreciation'!$E$7:$AD$94,MATCH($C822,'Dist Plant Depreciation'!$D$7:$D$94,0),MATCH(Calculation!$G822,'Dist Plant Depreciation'!$E$5:$AD$5,0))</f>
        <v>204495</v>
      </c>
      <c r="BP822" s="113">
        <f>INDEX('Gen. Plant Depreciation'!$E$7:$AD$94,MATCH($C822,'Gen. Plant Depreciation'!$D$7:$D$94,0),MATCH(Calculation!$G822,'Gen. Plant Depreciation'!$E$5:$AD$5,0))</f>
        <v>20395</v>
      </c>
      <c r="BQ822" s="113"/>
      <c r="BR822" s="113"/>
      <c r="BS822" s="113"/>
      <c r="BT822" s="113"/>
      <c r="BU822" s="113"/>
      <c r="BV822" s="175"/>
      <c r="BW822" s="113">
        <f>INDEX('Gross Dx Plant'!$E$7:$AD$91,MATCH($C822,'Gross Dx Plant'!$D$7:$D$91,0),MATCH(Calculation!$G822,'Gross Dx Plant'!$E$5:$AD$5,0))</f>
        <v>673496</v>
      </c>
      <c r="BX822" s="113">
        <f>INDEX('Gross Gen Plant'!$E$7:$AD$91,MATCH($C822,'Gross Gen Plant'!$D$7:$D$91,0),MATCH(Calculation!$G822,'Gross Gen Plant'!$E$5:$AD$5,0))</f>
        <v>14821</v>
      </c>
      <c r="BY822" s="113">
        <f t="shared" si="1460"/>
        <v>463427</v>
      </c>
      <c r="BZ822" s="113"/>
      <c r="CA822" s="116">
        <v>2017</v>
      </c>
      <c r="CB822" s="113"/>
      <c r="CC822" s="113"/>
      <c r="CD822" s="113"/>
      <c r="CE822" s="175"/>
      <c r="CF822" s="113">
        <f t="shared" si="1473"/>
        <v>48513</v>
      </c>
      <c r="CG822" s="113">
        <f t="shared" si="1474"/>
        <v>68.095246470728554</v>
      </c>
      <c r="CH822" s="178">
        <v>0.87074829931972786</v>
      </c>
      <c r="CI822" s="61">
        <f>+CI803*CH822+CG804*CH821+CG805*CH820+CG806*CH819+CG807*CH818+CG808*CH817+CG809*CH816+CG810*CH815+CG811*CH814+CG812*CH813+CG813*CH812+CG814*CH811+CG815*CH810+CG816*CH809+CG817*CH808+CG818*CH807+CG819*CH806+CG820*CH805+CG821*CH804+CG822</f>
        <v>1538.9807403877981</v>
      </c>
      <c r="CJ822" s="114">
        <f t="shared" si="1475"/>
        <v>3.6646870623963088E-2</v>
      </c>
      <c r="CK822" s="114"/>
      <c r="CL822" s="169">
        <f t="shared" si="1476"/>
        <v>8.5719232952331942E-3</v>
      </c>
      <c r="CM822" s="169">
        <f t="shared" si="1484"/>
        <v>8.3437548387752438E-3</v>
      </c>
      <c r="CN822" s="114">
        <f>VLOOKUP($H822,RoR!$E:$F,2,FALSE)</f>
        <v>3.7433333333333339E-2</v>
      </c>
      <c r="CO822" s="169">
        <v>1.9056896421275615E-2</v>
      </c>
      <c r="CP822" s="169">
        <f t="shared" si="1482"/>
        <v>1.8376436912057724E-2</v>
      </c>
      <c r="CQ822" s="169">
        <f t="shared" si="1485"/>
        <v>2.2558186769758383E-2</v>
      </c>
      <c r="CR822" s="169">
        <f t="shared" si="1486"/>
        <v>1.3976271617800498E-2</v>
      </c>
      <c r="CS822" s="179">
        <f t="shared" si="1477"/>
        <v>0.90509623210000001</v>
      </c>
      <c r="CT822" s="180">
        <f t="shared" si="1478"/>
        <v>1.3699568463593395</v>
      </c>
      <c r="CU822" s="180">
        <f t="shared" si="1479"/>
        <v>0.30714603739982199</v>
      </c>
      <c r="CV822" s="180">
        <f t="shared" si="1480"/>
        <v>0.77007188472689425</v>
      </c>
      <c r="CW822" s="180">
        <f t="shared" si="1481"/>
        <v>0.32402839633793828</v>
      </c>
      <c r="CX822" s="181">
        <f>INDEX('State Tax Lookup'!$D$7:$Z$91,MATCH(Calculation!$C822,'State Tax Lookup'!$B$7:$B$91,0),MATCH($H822,'State Tax Lookup'!$D$6:$Z$6,0))</f>
        <v>0.25649666999999998</v>
      </c>
      <c r="CY822" s="72">
        <v>0.37</v>
      </c>
      <c r="CZ822" s="70">
        <f t="shared" si="1483"/>
        <v>19.546972998814415</v>
      </c>
      <c r="DA822" s="70">
        <v>18.231812616449311</v>
      </c>
      <c r="DB822" s="69">
        <f t="shared" si="1487"/>
        <v>-0.10179044747638472</v>
      </c>
      <c r="DC822" s="111">
        <f>VLOOKUP($H822,RoR!$E:$F,2,FALSE)</f>
        <v>3.7433333333333339E-2</v>
      </c>
      <c r="DD822" s="216">
        <f>HLOOKUP($H822,'GDP-PI'!$D$8:$CQ$11,3,FALSE)</f>
        <v>1.9056896421275615E-2</v>
      </c>
      <c r="DE822" s="111">
        <f>VLOOKUP(H822,'HW Dx Data'!$E:$F,2,FALSE)</f>
        <v>712.42858370229726</v>
      </c>
      <c r="DF822" s="72">
        <f t="shared" si="1497"/>
        <v>140.44999999999999</v>
      </c>
      <c r="DG822" s="69">
        <f t="shared" si="1498"/>
        <v>2.5235657841165486E-2</v>
      </c>
      <c r="DH822" s="66">
        <f>HLOOKUP(H822,'GDP-PI'!$8:$9,2,FALSE)</f>
        <v>107.751</v>
      </c>
      <c r="DI822" s="69">
        <f t="shared" si="1488"/>
        <v>1.8877588227745139E-2</v>
      </c>
      <c r="EB822"/>
    </row>
    <row r="823" spans="1:132" s="160" customFormat="1" ht="21">
      <c r="A823" s="160" t="s">
        <v>207</v>
      </c>
      <c r="B823" s="161" t="s">
        <v>207</v>
      </c>
      <c r="C823" s="161">
        <v>4057093</v>
      </c>
      <c r="D823" s="161" t="s">
        <v>171</v>
      </c>
      <c r="E823" s="161" t="s">
        <v>3</v>
      </c>
      <c r="F823" s="161"/>
      <c r="G823" s="161" t="s">
        <v>136</v>
      </c>
      <c r="H823" s="162">
        <v>2018</v>
      </c>
      <c r="I823" s="163"/>
      <c r="J823" s="159">
        <f>IFERROR(INDEX('Labor Expenditures'!$F$7:$X$91,MATCH($C823,'Labor Expenditures'!$D$7:$D$91,0),MATCH($G823,'Labor Expenditures'!$F$5:$X$5,0)),"NA")</f>
        <v>27804.851620678553</v>
      </c>
      <c r="K823" s="159">
        <f t="shared" si="1489"/>
        <v>192.48772323072728</v>
      </c>
      <c r="L823" s="165">
        <f t="shared" si="1495"/>
        <v>6.012462537206352E-2</v>
      </c>
      <c r="M823" s="76">
        <f t="shared" si="1499"/>
        <v>4.652177440668862E-4</v>
      </c>
      <c r="N823" s="62">
        <f t="shared" si="1505"/>
        <v>114.98913615289196</v>
      </c>
      <c r="O823" s="96">
        <f t="shared" si="1500"/>
        <v>-0.36910298510241557</v>
      </c>
      <c r="P823" s="96"/>
      <c r="Q823" s="159">
        <f>IFERROR(INDEX('Non-Labor Expenditures'!$F$7:$AB$91,MATCH($C823,'Non-Labor Expenditures'!$D$7:$D$91,0),MATCH($G823,'Non-Labor Expenditures'!$F$5:$AB$5,0)),"NA")</f>
        <v>40266.618376673767</v>
      </c>
      <c r="R823" s="159">
        <f t="shared" si="1490"/>
        <v>364.99173670413666</v>
      </c>
      <c r="S823" s="165">
        <f t="shared" si="1501"/>
        <v>6.4626146017546182E-2</v>
      </c>
      <c r="T823" s="165">
        <f t="shared" si="1502"/>
        <v>5.0004851875533871E-4</v>
      </c>
      <c r="U823" s="165"/>
      <c r="V823" s="165"/>
      <c r="W823" s="159">
        <f t="shared" si="1471"/>
        <v>31515.274305556879</v>
      </c>
      <c r="X823" s="163"/>
      <c r="Y823" s="167">
        <v>1589.1461164989837</v>
      </c>
      <c r="Z823" s="168">
        <v>3.2076497918949481E-2</v>
      </c>
      <c r="AA823" s="76">
        <f t="shared" si="1491"/>
        <v>2.4819374602462815E-4</v>
      </c>
      <c r="AB823" s="168"/>
      <c r="AC823" s="168"/>
      <c r="AD823" s="163">
        <f t="shared" si="1410"/>
        <v>99586.74430290921</v>
      </c>
      <c r="AE823" s="168">
        <f t="shared" si="1503"/>
        <v>8.6612573085033465E-2</v>
      </c>
      <c r="AF823" s="163"/>
      <c r="AG823" s="163"/>
      <c r="AH823" s="163"/>
      <c r="AI823" s="163"/>
      <c r="AJ823" s="116">
        <f t="shared" si="1504"/>
        <v>731.62068428061832</v>
      </c>
      <c r="AK823" s="114">
        <f>+AV823/$AX$23</f>
        <v>3.6439307957795743E-3</v>
      </c>
      <c r="AL823" s="115">
        <f t="shared" si="1492"/>
        <v>0.27920233576574804</v>
      </c>
      <c r="AM823" s="115">
        <f t="shared" si="1493"/>
        <v>0.40433712999188254</v>
      </c>
      <c r="AN823" s="115">
        <f t="shared" si="1494"/>
        <v>0.31646053424236931</v>
      </c>
      <c r="AO823" s="115">
        <f t="shared" si="1496"/>
        <v>5.305191528781425E-2</v>
      </c>
      <c r="AP823" s="166">
        <f t="shared" si="1507"/>
        <v>137.1356628781559</v>
      </c>
      <c r="AQ823" s="168">
        <f t="shared" si="1508"/>
        <v>5.3051915287814201E-2</v>
      </c>
      <c r="AR823" s="69">
        <f>+AD823/$AF$23</f>
        <v>7.737557468142601E-3</v>
      </c>
      <c r="AS823" s="169">
        <f t="shared" si="1506"/>
        <v>4.1049224333449539E-4</v>
      </c>
      <c r="AT823" s="115"/>
      <c r="AU823" s="115"/>
      <c r="AV823" s="113">
        <f>IFERROR(INDEX('Total Customers'!$F$7:$AB$91,MATCH($C823,'Total Customers'!$D$7:$D$91,0),MATCH($G823,'Total Customers'!$F$5:$AB$5,0)),"NA")</f>
        <v>136118</v>
      </c>
      <c r="AW823" s="68">
        <f t="shared" si="1422"/>
        <v>7.6771703973044572E-3</v>
      </c>
      <c r="AX823" s="114"/>
      <c r="AY823" s="114"/>
      <c r="AZ823" s="116">
        <v>8911356</v>
      </c>
      <c r="BA823" s="116"/>
      <c r="BB823" s="166"/>
      <c r="BC823" s="166"/>
      <c r="BD823" s="166"/>
      <c r="BE823" s="166"/>
      <c r="BF823" s="166"/>
      <c r="BG823" s="166"/>
      <c r="BH823" s="166"/>
      <c r="BI823" s="113"/>
      <c r="BJ823" s="113"/>
      <c r="BK823" s="113">
        <f>INDEX('Dist. Plant Gas Additions'!$F$7:$AE$91,MATCH($C823,'Dist. Plant Gas Additions'!$D$7:$D$91,0),MATCH(Calculation!$G823,'Dist. Plant Gas Additions'!$F$5:$AE$5,0))</f>
        <v>45951</v>
      </c>
      <c r="BL823" s="113">
        <f>INDEX('Gen. Plant Additions'!$F$7:$AE$91,MATCH($C823,'Gen. Plant Additions'!$D$7:$D$91,0),MATCH(Calculation!$G823,'Gen. Plant Additions'!$F$5:$AE$5,0))</f>
        <v>2164</v>
      </c>
      <c r="BM823" s="231">
        <f t="shared" si="1472"/>
        <v>0.97757576746691044</v>
      </c>
      <c r="BN823" s="61">
        <f t="shared" si="1509"/>
        <v>2115.4739607983943</v>
      </c>
      <c r="BO823" s="113">
        <f>INDEX('Dist Plant Depreciation'!$E$7:$AD$94,MATCH($C823,'Dist Plant Depreciation'!$D$7:$D$94,0),MATCH(Calculation!$G823,'Dist Plant Depreciation'!$E$5:$AD$5,0))</f>
        <v>218345</v>
      </c>
      <c r="BP823" s="113">
        <f>INDEX('Gen. Plant Depreciation'!$E$7:$AD$94,MATCH($C823,'Gen. Plant Depreciation'!$D$7:$D$94,0),MATCH(Calculation!$G823,'Gen. Plant Depreciation'!$E$5:$AD$5,0))</f>
        <v>21956</v>
      </c>
      <c r="BQ823" s="113"/>
      <c r="BR823" s="113"/>
      <c r="BS823" s="113"/>
      <c r="BT823" s="113"/>
      <c r="BU823" s="113"/>
      <c r="BV823" s="175"/>
      <c r="BW823" s="113">
        <f>INDEX('Gross Dx Plant'!$E$7:$AD$91,MATCH($C823,'Gross Dx Plant'!$D$7:$D$91,0),MATCH(Calculation!$G823,'Gross Dx Plant'!$E$5:$AD$5,0))</f>
        <v>718788</v>
      </c>
      <c r="BX823" s="113">
        <f>INDEX('Gross Gen Plant'!$E$7:$AD$91,MATCH($C823,'Gross Gen Plant'!$D$7:$D$91,0),MATCH(Calculation!$G823,'Gross Gen Plant'!$E$5:$AD$5,0))</f>
        <v>16488</v>
      </c>
      <c r="BY823" s="113">
        <f t="shared" si="1460"/>
        <v>494975</v>
      </c>
      <c r="BZ823" s="113"/>
      <c r="CA823" s="116">
        <v>2018</v>
      </c>
      <c r="CB823" s="113"/>
      <c r="CC823" s="113"/>
      <c r="CD823" s="113"/>
      <c r="CE823" s="175"/>
      <c r="CF823" s="113">
        <f t="shared" si="1473"/>
        <v>48115</v>
      </c>
      <c r="CG823" s="113">
        <f t="shared" si="1474"/>
        <v>63.716939047178727</v>
      </c>
      <c r="CH823" s="178">
        <v>0.86111111111111116</v>
      </c>
      <c r="CI823" s="61">
        <f>+CI803*CH823++CG804*CH822+CG805*CH821+CG806*CH820+CG807*CH819+CG808*CH818+CG809*CH817+CG810*CH816+CG811*CH815+CG812*CH814+CG813*CH813+CG814*CH812+CG815*CH811+CG816*CH810+CG817*CH809+CG818*CH808+CG819*CH807+CG820*CH806+CG821*CH805+CG822*CH804+CG823</f>
        <v>1589.1461164989837</v>
      </c>
      <c r="CJ823" s="114">
        <f t="shared" si="1475"/>
        <v>3.2076497918949481E-2</v>
      </c>
      <c r="CK823" s="114"/>
      <c r="CL823" s="169">
        <f t="shared" si="1476"/>
        <v>8.8055442023129565E-3</v>
      </c>
      <c r="CM823" s="169">
        <f t="shared" si="1484"/>
        <v>8.5745802045738301E-3</v>
      </c>
      <c r="CN823" s="114">
        <f>VLOOKUP($H823,RoR!$E:$F,2,FALSE)</f>
        <v>3.9299999999999995E-2</v>
      </c>
      <c r="CO823" s="169">
        <v>2.386056741932796E-2</v>
      </c>
      <c r="CP823" s="169">
        <f t="shared" si="1482"/>
        <v>1.5439432580672034E-2</v>
      </c>
      <c r="CQ823" s="169">
        <f t="shared" si="1485"/>
        <v>2.2327361403959793E-2</v>
      </c>
      <c r="CR823" s="169">
        <f t="shared" si="1486"/>
        <v>3.8270792163076606E-2</v>
      </c>
      <c r="CS823" s="179">
        <f t="shared" si="1477"/>
        <v>0.90509623210000001</v>
      </c>
      <c r="CT823" s="180">
        <f t="shared" si="1478"/>
        <v>1.3048868010700074</v>
      </c>
      <c r="CU823" s="180">
        <f t="shared" si="1479"/>
        <v>0.33886768447837151</v>
      </c>
      <c r="CV823" s="180">
        <f t="shared" si="1480"/>
        <v>0.78602506232557801</v>
      </c>
      <c r="CW823" s="180">
        <f t="shared" si="1481"/>
        <v>0.34756768162358759</v>
      </c>
      <c r="CX823" s="181">
        <f>INDEX('State Tax Lookup'!$D$7:$Z$91,MATCH(Calculation!$C823,'State Tax Lookup'!$B$7:$B$91,0),MATCH($H823,'State Tax Lookup'!$D$6:$Z$6,0))</f>
        <v>0.25649666999999998</v>
      </c>
      <c r="CY823" s="72">
        <v>0.37</v>
      </c>
      <c r="CZ823" s="70">
        <f t="shared" si="1483"/>
        <v>20.478017351676243</v>
      </c>
      <c r="DA823" s="70">
        <v>19.050901628905343</v>
      </c>
      <c r="DB823" s="69">
        <f t="shared" si="1487"/>
        <v>4.6531545861683093E-2</v>
      </c>
      <c r="DC823" s="111">
        <f>VLOOKUP($H823,RoR!$E:$F,2,FALSE)</f>
        <v>3.9299999999999995E-2</v>
      </c>
      <c r="DD823" s="216">
        <f>HLOOKUP($H823,'GDP-PI'!$D$8:$CQ$11,3,FALSE)</f>
        <v>2.386056741932796E-2</v>
      </c>
      <c r="DE823" s="111">
        <f>VLOOKUP(H823,'HW Dx Data'!$E:$F,2,FALSE)</f>
        <v>755.13671434174842</v>
      </c>
      <c r="DF823" s="72">
        <f t="shared" si="1497"/>
        <v>144.44999999999999</v>
      </c>
      <c r="DG823" s="69">
        <f t="shared" si="1498"/>
        <v>2.80818733619915E-2</v>
      </c>
      <c r="DH823" s="66">
        <f>HLOOKUP(H823,'GDP-PI'!$8:$9,2,FALSE)</f>
        <v>110.322</v>
      </c>
      <c r="DI823" s="69">
        <f t="shared" si="1488"/>
        <v>2.3580352716508712E-2</v>
      </c>
      <c r="EB823"/>
    </row>
    <row r="824" spans="1:132" s="160" customFormat="1" ht="21">
      <c r="A824" s="160" t="s">
        <v>207</v>
      </c>
      <c r="B824" s="161" t="s">
        <v>207</v>
      </c>
      <c r="C824" s="161">
        <v>4057093</v>
      </c>
      <c r="D824" s="161" t="s">
        <v>171</v>
      </c>
      <c r="E824" s="161" t="s">
        <v>3</v>
      </c>
      <c r="F824" s="161"/>
      <c r="G824" s="161" t="s">
        <v>140</v>
      </c>
      <c r="H824" s="162">
        <v>2019</v>
      </c>
      <c r="I824" s="163"/>
      <c r="J824" s="159">
        <f>IFERROR(INDEX('Labor Expenditures'!$F$7:$X$91,MATCH($C824,'Labor Expenditures'!$D$7:$D$91,0),MATCH($G824,'Labor Expenditures'!$F$5:$X$5,0)),"NA")</f>
        <v>28289.400041649918</v>
      </c>
      <c r="K824" s="159">
        <f t="shared" si="1489"/>
        <v>189.0055122208112</v>
      </c>
      <c r="L824" s="165">
        <f t="shared" si="1495"/>
        <v>-1.8256196445482913E-2</v>
      </c>
      <c r="M824" s="76">
        <f t="shared" si="1499"/>
        <v>-1.4063255656760992E-4</v>
      </c>
      <c r="N824" s="62">
        <f t="shared" si="1505"/>
        <v>115.84726257812243</v>
      </c>
      <c r="O824" s="96">
        <f t="shared" si="1500"/>
        <v>7.4349659148643579E-3</v>
      </c>
      <c r="P824" s="96"/>
      <c r="Q824" s="159">
        <f>IFERROR(INDEX('Non-Labor Expenditures'!$F$7:$AB$91,MATCH($C824,'Non-Labor Expenditures'!$D$7:$D$91,0),MATCH($G824,'Non-Labor Expenditures'!$F$5:$AB$5,0)),"NA")</f>
        <v>40968.334991401658</v>
      </c>
      <c r="R824" s="159">
        <f t="shared" si="1490"/>
        <v>364.75306710769121</v>
      </c>
      <c r="S824" s="165">
        <f t="shared" si="1501"/>
        <v>-6.5411799771301796E-4</v>
      </c>
      <c r="T824" s="165">
        <f t="shared" si="1502"/>
        <v>-5.0388527856813604E-6</v>
      </c>
      <c r="U824" s="165"/>
      <c r="V824" s="165"/>
      <c r="W824" s="159">
        <f t="shared" si="1471"/>
        <v>32959.704925848113</v>
      </c>
      <c r="X824" s="163"/>
      <c r="Y824" s="167">
        <v>1655.5653188436816</v>
      </c>
      <c r="Z824" s="168">
        <v>4.0945694556450939E-2</v>
      </c>
      <c r="AA824" s="76">
        <f t="shared" si="1491"/>
        <v>3.15416068352777E-4</v>
      </c>
      <c r="AB824" s="168"/>
      <c r="AC824" s="168"/>
      <c r="AD824" s="163">
        <f t="shared" si="1410"/>
        <v>102217.43995889969</v>
      </c>
      <c r="AE824" s="168">
        <f t="shared" si="1503"/>
        <v>2.607324219658233E-2</v>
      </c>
      <c r="AF824" s="163"/>
      <c r="AG824" s="163"/>
      <c r="AH824" s="163"/>
      <c r="AI824" s="163"/>
      <c r="AJ824" s="116">
        <f t="shared" si="1504"/>
        <v>744.98163342443365</v>
      </c>
      <c r="AK824" s="114">
        <f>+AV824/$AX$24</f>
        <v>3.6428176996315632E-3</v>
      </c>
      <c r="AL824" s="115">
        <f t="shared" si="1492"/>
        <v>0.2767570783716039</v>
      </c>
      <c r="AM824" s="115">
        <f t="shared" si="1493"/>
        <v>0.40079594057407908</v>
      </c>
      <c r="AN824" s="115">
        <f t="shared" si="1494"/>
        <v>0.32244698105431702</v>
      </c>
      <c r="AO824" s="115">
        <f t="shared" si="1496"/>
        <v>7.7420778294704472E-3</v>
      </c>
      <c r="AP824" s="166">
        <f t="shared" si="1507"/>
        <v>138.2014984203926</v>
      </c>
      <c r="AQ824" s="168">
        <f t="shared" si="1508"/>
        <v>7.7420778294704957E-3</v>
      </c>
      <c r="AR824" s="69">
        <f>+AD824/$AF$24</f>
        <v>7.7032780068712657E-3</v>
      </c>
      <c r="AS824" s="169">
        <f t="shared" si="1506"/>
        <v>5.9639377871245696E-5</v>
      </c>
      <c r="AT824" s="115"/>
      <c r="AU824" s="115"/>
      <c r="AV824" s="113">
        <f>IFERROR(INDEX('Total Customers'!$F$7:$AB$91,MATCH($C824,'Total Customers'!$D$7:$D$91,0),MATCH($G824,'Total Customers'!$F$5:$AB$5,0)),"NA")</f>
        <v>137208</v>
      </c>
      <c r="AW824" s="68">
        <f t="shared" si="1422"/>
        <v>7.9758660230303847E-3</v>
      </c>
      <c r="AX824" s="114"/>
      <c r="AY824" s="114"/>
      <c r="AZ824" s="116">
        <v>8963640</v>
      </c>
      <c r="BA824" s="116"/>
      <c r="BB824" s="166"/>
      <c r="BC824" s="166"/>
      <c r="BD824" s="166"/>
      <c r="BE824" s="166"/>
      <c r="BF824" s="166"/>
      <c r="BG824" s="166"/>
      <c r="BH824" s="166"/>
      <c r="BI824" s="113"/>
      <c r="BJ824" s="113"/>
      <c r="BK824" s="113">
        <f>INDEX('Dist. Plant Gas Additions'!$F$7:$AE$91,MATCH($C824,'Dist. Plant Gas Additions'!$D$7:$D$91,0),MATCH(Calculation!$G824,'Dist. Plant Gas Additions'!$F$5:$AE$5,0))</f>
        <v>61074</v>
      </c>
      <c r="BL824" s="113">
        <f>INDEX('Gen. Plant Additions'!$F$7:$AE$91,MATCH($C824,'Gen. Plant Additions'!$D$7:$D$91,0),MATCH(Calculation!$G824,'Gen. Plant Additions'!$F$5:$AE$5,0))</f>
        <v>1446</v>
      </c>
      <c r="BM824" s="231">
        <f t="shared" si="1472"/>
        <v>0.97771294790168839</v>
      </c>
      <c r="BN824" s="61">
        <f t="shared" si="1509"/>
        <v>1413.7729226658414</v>
      </c>
      <c r="BO824" s="113">
        <f>INDEX('Dist Plant Depreciation'!$E$7:$AD$94,MATCH($C824,'Dist Plant Depreciation'!$D$7:$D$94,0),MATCH(Calculation!$G824,'Dist Plant Depreciation'!$E$5:$AD$5,0))</f>
        <v>232409</v>
      </c>
      <c r="BP824" s="113">
        <f>INDEX('Gen. Plant Depreciation'!$E$7:$AD$94,MATCH($C824,'Gen. Plant Depreciation'!$D$7:$D$94,0),MATCH(Calculation!$G824,'Gen. Plant Depreciation'!$E$5:$AD$5,0))</f>
        <v>9149</v>
      </c>
      <c r="BQ824" s="113"/>
      <c r="BR824" s="113"/>
      <c r="BS824" s="113"/>
      <c r="BT824" s="113"/>
      <c r="BU824" s="113"/>
      <c r="BV824" s="175"/>
      <c r="BW824" s="113">
        <f>INDEX('Gross Dx Plant'!$E$7:$AD$91,MATCH($C824,'Gross Dx Plant'!$D$7:$D$91,0),MATCH(Calculation!$G824,'Gross Dx Plant'!$E$5:$AD$5,0))</f>
        <v>777185</v>
      </c>
      <c r="BX824" s="113">
        <f>INDEX('Gross Gen Plant'!$E$7:$AD$91,MATCH($C824,'Gross Gen Plant'!$D$7:$D$91,0),MATCH(Calculation!$G824,'Gross Gen Plant'!$E$5:$AD$5,0))</f>
        <v>17716</v>
      </c>
      <c r="BY824" s="113">
        <f t="shared" si="1460"/>
        <v>553343</v>
      </c>
      <c r="BZ824" s="113"/>
      <c r="CA824" s="116">
        <v>2019</v>
      </c>
      <c r="CB824" s="113"/>
      <c r="CC824" s="113"/>
      <c r="CD824" s="113"/>
      <c r="CE824" s="175"/>
      <c r="CF824" s="113">
        <f t="shared" si="1473"/>
        <v>62520</v>
      </c>
      <c r="CG824" s="113">
        <f t="shared" si="1474"/>
        <v>80.82330162998251</v>
      </c>
      <c r="CH824" s="178">
        <v>0.85106382978723405</v>
      </c>
      <c r="CI824" s="61">
        <f>CI803*CH824+CG804*CH823+CG805*CH822+CG806*CH821+CG807*CH820+CG808*CH819+CG809*CH818+CG810*CH817+CG811*CH816+CG812*CH815+CG813*CH814+CG814*CH813+CG815*CH812+CG816*CH811+CG817*CH810+CG818*CH809+CG819*CH808+CG820*CH807+CG821*CH806+CG822*CH805+CG823*CH804+CG824</f>
        <v>1655.5653188436816</v>
      </c>
      <c r="CJ824" s="114">
        <f t="shared" si="1475"/>
        <v>4.0945694556450939E-2</v>
      </c>
      <c r="CK824" s="114"/>
      <c r="CL824" s="169">
        <f t="shared" si="1476"/>
        <v>9.0640496400784358E-3</v>
      </c>
      <c r="CM824" s="169">
        <f t="shared" si="1484"/>
        <v>8.8138390458748616E-3</v>
      </c>
      <c r="CN824" s="114">
        <f>VLOOKUP($H824,RoR!$E:$F,2,FALSE)</f>
        <v>3.3875000000000009E-2</v>
      </c>
      <c r="CO824" s="169">
        <v>1.8092492884465461E-2</v>
      </c>
      <c r="CP824" s="169">
        <f t="shared" si="1482"/>
        <v>1.5782507115534548E-2</v>
      </c>
      <c r="CQ824" s="169">
        <f t="shared" si="1485"/>
        <v>2.2088102562658765E-2</v>
      </c>
      <c r="CR824" s="169">
        <f t="shared" si="1486"/>
        <v>4.8445665544254078E-2</v>
      </c>
      <c r="CS824" s="179">
        <f t="shared" si="1477"/>
        <v>0.90509623210000001</v>
      </c>
      <c r="CT824" s="180">
        <f t="shared" si="1478"/>
        <v>1.513861292459078</v>
      </c>
      <c r="CU824" s="180">
        <f t="shared" si="1479"/>
        <v>0.23699261992619944</v>
      </c>
      <c r="CV824" s="180">
        <f t="shared" si="1480"/>
        <v>0.73619765810468829</v>
      </c>
      <c r="CW824" s="180">
        <f t="shared" si="1481"/>
        <v>0.26412854465362851</v>
      </c>
      <c r="CX824" s="181">
        <f>INDEX('State Tax Lookup'!$D$7:$Z$91,MATCH(Calculation!$C824,'State Tax Lookup'!$B$7:$B$91,0),MATCH($H824,'State Tax Lookup'!$D$6:$Z$6,0))</f>
        <v>0.25649666999999998</v>
      </c>
      <c r="CY824" s="72">
        <v>0.37</v>
      </c>
      <c r="CZ824" s="70">
        <f t="shared" si="1483"/>
        <v>20.740512520309323</v>
      </c>
      <c r="DA824" s="70">
        <v>19.236104090735289</v>
      </c>
      <c r="DB824" s="69">
        <f t="shared" si="1487"/>
        <v>1.2736927694410897E-2</v>
      </c>
      <c r="DC824" s="111">
        <f>VLOOKUP($H824,RoR!$E:$F,2,FALSE)</f>
        <v>3.3875000000000009E-2</v>
      </c>
      <c r="DD824" s="216">
        <f>HLOOKUP($H824,'GDP-PI'!$D$8:$CQ$11,3,FALSE)</f>
        <v>1.8092492884465461E-2</v>
      </c>
      <c r="DE824" s="111">
        <f>VLOOKUP(H824,'HW Dx Data'!$E:$F,2,FALSE)</f>
        <v>773.53929793938721</v>
      </c>
      <c r="DF824" s="72">
        <f t="shared" si="1497"/>
        <v>149.67500000000001</v>
      </c>
      <c r="DG824" s="69">
        <f t="shared" si="1498"/>
        <v>3.5532849899171604E-2</v>
      </c>
      <c r="DH824" s="66">
        <f>HLOOKUP(H824,'GDP-PI'!$8:$9,2,FALSE)</f>
        <v>112.318</v>
      </c>
      <c r="DI824" s="69">
        <f t="shared" si="1488"/>
        <v>1.7930771451401852E-2</v>
      </c>
      <c r="EB824"/>
    </row>
    <row r="825" spans="1:132" s="160" customFormat="1" ht="21">
      <c r="A825" s="160" t="s">
        <v>207</v>
      </c>
      <c r="B825" s="160" t="s">
        <v>207</v>
      </c>
      <c r="C825" s="160">
        <v>4057093</v>
      </c>
      <c r="D825" s="160" t="s">
        <v>171</v>
      </c>
      <c r="E825" s="160" t="s">
        <v>3</v>
      </c>
      <c r="G825" s="161" t="s">
        <v>141</v>
      </c>
      <c r="H825" s="162">
        <v>2020</v>
      </c>
      <c r="I825" s="163"/>
      <c r="J825" s="159">
        <f>IFERROR(INDEX('Labor Expenditures'!$F$7:$X$91,MATCH($C825,'Labor Expenditures'!$D$7:$D$91,0),MATCH($G825,'Labor Expenditures'!$F$5:$X$5,0)),"NA")</f>
        <v>26644.044325130879</v>
      </c>
      <c r="K825" s="159">
        <f t="shared" si="1489"/>
        <v>173.97351828358393</v>
      </c>
      <c r="L825" s="165">
        <f t="shared" si="1495"/>
        <v>-8.2873085964448326E-2</v>
      </c>
      <c r="M825" s="76">
        <f t="shared" si="1499"/>
        <v>-6.1163230882203508E-4</v>
      </c>
      <c r="N825" s="62">
        <f t="shared" si="1505"/>
        <v>116.13391564756854</v>
      </c>
      <c r="O825" s="96">
        <f t="shared" si="1500"/>
        <v>2.4713489045498616E-3</v>
      </c>
      <c r="P825" s="96"/>
      <c r="Q825" s="159">
        <f>IFERROR(INDEX('Non-Labor Expenditures'!$F$7:$AB$91,MATCH($C825,'Non-Labor Expenditures'!$D$7:$D$91,0),MATCH($G825,'Non-Labor Expenditures'!$F$5:$AB$5,0)),"NA")</f>
        <v>38585.552603824442</v>
      </c>
      <c r="R825" s="159">
        <f t="shared" si="1490"/>
        <v>339.59279902682061</v>
      </c>
      <c r="S825" s="165">
        <f t="shared" si="1501"/>
        <v>-7.1473346228472734E-2</v>
      </c>
      <c r="T825" s="165">
        <f t="shared" si="1502"/>
        <v>-5.2749824945231216E-4</v>
      </c>
      <c r="U825" s="165"/>
      <c r="V825" s="165"/>
      <c r="W825" s="159">
        <f t="shared" si="1471"/>
        <v>35710.610889100775</v>
      </c>
      <c r="X825" s="163"/>
      <c r="Y825" s="167">
        <v>1694.2902697830561</v>
      </c>
      <c r="Z825" s="168">
        <v>2.3121400366823888E-2</v>
      </c>
      <c r="AA825" s="76">
        <f t="shared" si="1491"/>
        <v>1.7064400733943737E-4</v>
      </c>
      <c r="AB825" s="168"/>
      <c r="AC825" s="168"/>
      <c r="AD825" s="163">
        <f t="shared" si="1410"/>
        <v>100940.20781805609</v>
      </c>
      <c r="AE825" s="168">
        <f t="shared" si="1503"/>
        <v>-1.2573968864164909E-2</v>
      </c>
      <c r="AF825" s="163"/>
      <c r="AG825" s="163"/>
      <c r="AH825" s="163"/>
      <c r="AI825" s="163"/>
      <c r="AJ825" s="116">
        <f t="shared" si="1504"/>
        <v>728.27907315283505</v>
      </c>
      <c r="AK825" s="114">
        <f>+AV825/$AX$25</f>
        <v>3.6538161263781027E-3</v>
      </c>
      <c r="AL825" s="115">
        <f t="shared" si="1492"/>
        <v>0.26395868307658482</v>
      </c>
      <c r="AM825" s="115">
        <f t="shared" si="1493"/>
        <v>0.38226147377638242</v>
      </c>
      <c r="AN825" s="115">
        <f t="shared" si="1494"/>
        <v>0.35377984314703276</v>
      </c>
      <c r="AO825" s="115">
        <f t="shared" si="1496"/>
        <v>-4.2571603166162902E-2</v>
      </c>
      <c r="AP825" s="166">
        <f t="shared" si="1507"/>
        <v>132.44151483549601</v>
      </c>
      <c r="AQ825" s="168">
        <f t="shared" si="1508"/>
        <v>-4.2571603166163062E-2</v>
      </c>
      <c r="AR825" s="69">
        <f>+AD825/$AF$25</f>
        <v>7.3803491411484163E-3</v>
      </c>
      <c r="AS825" s="169">
        <f t="shared" si="1506"/>
        <v>-3.1419329486470274E-4</v>
      </c>
      <c r="AT825" s="115"/>
      <c r="AU825" s="115"/>
      <c r="AV825" s="113">
        <f>IFERROR(INDEX('Total Customers'!$F$7:$AB$91,MATCH($C825,'Total Customers'!$D$7:$D$91,0),MATCH($G825,'Total Customers'!$F$5:$AB$5,0)),"NA")</f>
        <v>138601</v>
      </c>
      <c r="AW825" s="68">
        <f t="shared" si="1422"/>
        <v>1.0101279107209874E-2</v>
      </c>
      <c r="AX825" s="114"/>
      <c r="AY825" s="114"/>
      <c r="AZ825" s="116">
        <v>9060252</v>
      </c>
      <c r="BA825" s="116"/>
      <c r="BB825" s="166"/>
      <c r="BC825" s="166"/>
      <c r="BD825" s="166"/>
      <c r="BE825" s="166"/>
      <c r="BF825" s="166"/>
      <c r="BG825" s="166"/>
      <c r="BH825" s="166"/>
      <c r="BI825" s="113"/>
      <c r="BJ825" s="113"/>
      <c r="BK825" s="113">
        <f>INDEX('Dist. Plant Gas Additions'!$F$7:$AE$91,MATCH($C825,'Dist. Plant Gas Additions'!$D$7:$D$91,0),MATCH(Calculation!$G825,'Dist. Plant Gas Additions'!$F$5:$AE$5,0))</f>
        <v>40093</v>
      </c>
      <c r="BL825" s="113">
        <f>INDEX('Gen. Plant Additions'!$F$7:$AE$91,MATCH($C825,'Gen. Plant Additions'!$D$7:$D$91,0),MATCH(Calculation!$G825,'Gen. Plant Additions'!$F$5:$AE$5,0))</f>
        <v>3902</v>
      </c>
      <c r="BM825" s="231">
        <f t="shared" si="1472"/>
        <v>0.96966854172388739</v>
      </c>
      <c r="BN825" s="61">
        <f t="shared" si="1509"/>
        <v>3783.6466498066088</v>
      </c>
      <c r="BO825" s="113">
        <f>INDEX('Dist Plant Depreciation'!$E$7:$AD$94,MATCH($C825,'Dist Plant Depreciation'!$D$7:$D$94,0),MATCH(Calculation!$G825,'Dist Plant Depreciation'!$E$5:$AD$5,0))</f>
        <v>248466</v>
      </c>
      <c r="BP825" s="113">
        <f>INDEX('Gen. Plant Depreciation'!$E$7:$AD$94,MATCH($C825,'Gen. Plant Depreciation'!$D$7:$D$94,0),MATCH(Calculation!$G825,'Gen. Plant Depreciation'!$E$5:$AD$5,0))</f>
        <v>9392</v>
      </c>
      <c r="BQ825" s="113"/>
      <c r="BR825" s="113"/>
      <c r="BS825" s="113"/>
      <c r="BT825" s="113"/>
      <c r="BU825" s="113"/>
      <c r="BV825" s="175"/>
      <c r="BW825" s="113">
        <f>INDEX('Gross Dx Plant'!$E$7:$AD$91,MATCH($C825,'Gross Dx Plant'!$D$7:$D$91,0),MATCH(Calculation!$G825,'Gross Dx Plant'!$E$5:$AD$5,0))</f>
        <v>815531</v>
      </c>
      <c r="BX825" s="113">
        <f>INDEX('Gross Gen Plant'!$E$7:$AD$91,MATCH($C825,'Gross Gen Plant'!$D$7:$D$91,0),MATCH(Calculation!$G825,'Gross Gen Plant'!$E$5:$AD$5,0))</f>
        <v>25510</v>
      </c>
      <c r="BY825" s="113">
        <f t="shared" si="1460"/>
        <v>583183</v>
      </c>
      <c r="BZ825" s="113"/>
      <c r="CA825" s="116">
        <v>2020</v>
      </c>
      <c r="CB825" s="113"/>
      <c r="CC825" s="113"/>
      <c r="CD825" s="113"/>
      <c r="CE825" s="175"/>
      <c r="CF825" s="113">
        <f t="shared" si="1473"/>
        <v>43995</v>
      </c>
      <c r="CG825" s="113">
        <f t="shared" si="1474"/>
        <v>54.109055947146551</v>
      </c>
      <c r="CH825" s="178">
        <v>0.84057971014492749</v>
      </c>
      <c r="CI825" s="61">
        <f>CI803*CH825+CG804*CH824+CG805*CH823+CG806*CH822+CG807*CH821+CG808*CH820+CG809*CH819+CG810*CH818+CG811*CH817+CG812*CH816+CG813*CH815+CG814*CH814+CG815*CH813+CG816*CH812+CG817*CH811+CG818*CH810+CG819*CH809+CG820*CH808+CG821*CH807+CG822*CH806+CG823*CH805+CG824*CH804+CG825</f>
        <v>1694.2902697830561</v>
      </c>
      <c r="CJ825" s="114">
        <f t="shared" si="1475"/>
        <v>2.3121400366823888E-2</v>
      </c>
      <c r="CK825" s="114"/>
      <c r="CL825" s="169">
        <f>+(CI824-CI825+CG825)/CI824</f>
        <v>9.292357621091556E-3</v>
      </c>
      <c r="CM825" s="169">
        <f t="shared" si="1484"/>
        <v>9.0539838211609828E-3</v>
      </c>
      <c r="CN825" s="114">
        <f>VLOOKUP($H825,RoR!$E:$F,2,FALSE)</f>
        <v>2.4766666666666666E-2</v>
      </c>
      <c r="CO825" s="169">
        <v>1.1618796630994188E-2</v>
      </c>
      <c r="CP825" s="169">
        <f t="shared" si="1482"/>
        <v>1.3147870035672478E-2</v>
      </c>
      <c r="CQ825" s="169">
        <f t="shared" si="1485"/>
        <v>2.184795778737264E-2</v>
      </c>
      <c r="CR825" s="169">
        <f t="shared" si="1486"/>
        <v>4.5144642961987357E-2</v>
      </c>
      <c r="CS825" s="179">
        <f t="shared" si="1477"/>
        <v>0.90509623210000001</v>
      </c>
      <c r="CT825" s="180">
        <f t="shared" si="1478"/>
        <v>2.0706077233668081</v>
      </c>
      <c r="CU825" s="180">
        <f t="shared" si="1479"/>
        <v>-3.4421265141318998E-2</v>
      </c>
      <c r="CV825" s="180">
        <f t="shared" si="1480"/>
        <v>0.62416226176410472</v>
      </c>
      <c r="CW825" s="180">
        <f t="shared" si="1481"/>
        <v>-4.4485877841158712E-2</v>
      </c>
      <c r="CX825" s="181">
        <f>INDEX('State Tax Lookup'!$D$7:$Z$91,MATCH(Calculation!$C825,'State Tax Lookup'!$B$7:$B$91,0),MATCH($H825,'State Tax Lookup'!$D$6:$Z$6,0))</f>
        <v>0.25649666999999998</v>
      </c>
      <c r="CY825" s="72">
        <v>0.37</v>
      </c>
      <c r="CZ825" s="70">
        <f t="shared" si="1483"/>
        <v>21.570040446391211</v>
      </c>
      <c r="DA825" s="70">
        <v>19.952659173050833</v>
      </c>
      <c r="DB825" s="69">
        <f t="shared" si="1487"/>
        <v>3.9216421342514435E-2</v>
      </c>
      <c r="DC825" s="111">
        <f>VLOOKUP($H825,RoR!$E:$F,2,FALSE)</f>
        <v>2.4766666666666666E-2</v>
      </c>
      <c r="DD825" s="216">
        <f>HLOOKUP($H825,'GDP-PI'!$D$8:$CQ$11,3,FALSE)</f>
        <v>1.1618796630994188E-2</v>
      </c>
      <c r="DE825" s="111">
        <f>VLOOKUP(H825,'HW Dx Data'!$E:$F,2,FALSE)</f>
        <v>813.080162458833</v>
      </c>
      <c r="DF825" s="72">
        <f t="shared" si="1497"/>
        <v>153.15</v>
      </c>
      <c r="DG825" s="69">
        <f t="shared" si="1498"/>
        <v>2.2951556467368479E-2</v>
      </c>
      <c r="DH825" s="66">
        <f>HLOOKUP(H825,'GDP-PI'!$8:$9,2,FALSE)</f>
        <v>113.623</v>
      </c>
      <c r="DI825" s="69">
        <f t="shared" si="1488"/>
        <v>1.1551816731392881E-2</v>
      </c>
      <c r="EB825"/>
    </row>
    <row r="826" spans="1:132" s="160" customFormat="1" ht="21">
      <c r="A826" s="160" t="s">
        <v>207</v>
      </c>
      <c r="B826" s="160" t="s">
        <v>207</v>
      </c>
      <c r="C826" s="160">
        <v>4057093</v>
      </c>
      <c r="D826" s="160" t="s">
        <v>171</v>
      </c>
      <c r="E826" s="160" t="s">
        <v>3</v>
      </c>
      <c r="G826" s="161" t="s">
        <v>142</v>
      </c>
      <c r="H826" s="162">
        <v>2021</v>
      </c>
      <c r="I826" s="163"/>
      <c r="J826" s="159">
        <v>25743.716423818496</v>
      </c>
      <c r="K826" s="159">
        <f t="shared" si="1489"/>
        <v>163.71202813239108</v>
      </c>
      <c r="L826" s="164">
        <f t="shared" si="1495"/>
        <v>-6.0794135502328324E-2</v>
      </c>
      <c r="M826" s="76">
        <f t="shared" si="1499"/>
        <v>-4.2489248349955583E-4</v>
      </c>
      <c r="N826" s="166">
        <f>+N825*EXP(O826)</f>
        <v>119.18160356355516</v>
      </c>
      <c r="O826" s="114">
        <f t="shared" si="1500"/>
        <v>2.5904439715712543E-2</v>
      </c>
      <c r="P826" s="114"/>
      <c r="Q826" s="159">
        <v>36289.335199840541</v>
      </c>
      <c r="R826" s="159">
        <f t="shared" si="1490"/>
        <v>306.26496075483624</v>
      </c>
      <c r="S826" s="165">
        <f t="shared" si="1501"/>
        <v>-0.10329663782318006</v>
      </c>
      <c r="T826" s="165">
        <f t="shared" si="1502"/>
        <v>-7.2194405955759028E-4</v>
      </c>
      <c r="U826" s="165"/>
      <c r="V826" s="165"/>
      <c r="W826" s="159">
        <f>+CI825*CZ827</f>
        <v>45055.47462380083</v>
      </c>
      <c r="X826" s="163"/>
      <c r="Y826" s="167">
        <v>1740.1070793331057</v>
      </c>
      <c r="Z826" s="168"/>
      <c r="AA826" s="76">
        <f t="shared" si="1491"/>
        <v>0</v>
      </c>
      <c r="AB826" s="168"/>
      <c r="AC826" s="168"/>
      <c r="AD826" s="163">
        <f t="shared" si="1410"/>
        <v>107088.52624745987</v>
      </c>
      <c r="AE826" s="168">
        <f t="shared" si="1503"/>
        <v>5.9127500767641478E-2</v>
      </c>
      <c r="AF826" s="113"/>
      <c r="AG826" s="114"/>
      <c r="AH826" s="114"/>
      <c r="AI826" s="114"/>
      <c r="AJ826" s="116">
        <f t="shared" si="1504"/>
        <v>765.37180076373761</v>
      </c>
      <c r="AK826" s="114">
        <f>+AV826/$AX$26</f>
        <v>3.6242035228761906E-3</v>
      </c>
      <c r="AL826" s="115">
        <f t="shared" si="1492"/>
        <v>0.24039658893362661</v>
      </c>
      <c r="AM826" s="115">
        <f t="shared" si="1493"/>
        <v>0.33887230006306412</v>
      </c>
      <c r="AN826" s="115">
        <f t="shared" si="1494"/>
        <v>0.42073111100330918</v>
      </c>
      <c r="AO826" s="115">
        <f t="shared" si="1496"/>
        <v>-5.2576268503129402E-2</v>
      </c>
      <c r="AP826" s="166">
        <f t="shared" si="1507"/>
        <v>125.65811951667612</v>
      </c>
      <c r="AQ826" s="168">
        <f t="shared" si="1508"/>
        <v>-5.2576268503129381E-2</v>
      </c>
      <c r="AR826" s="69">
        <f>+AD826/$AF$26</f>
        <v>6.9890373469211203E-3</v>
      </c>
      <c r="AS826" s="169">
        <f t="shared" si="1506"/>
        <v>-3.6745750413012384E-4</v>
      </c>
      <c r="AT826" s="115"/>
      <c r="AU826" s="115"/>
      <c r="AV826" s="113">
        <f>INDEX('Total Customers'!$E$7:$E$91,MATCH(Calculation!$C826,'Total Customers'!$D$7:$D$91,0))</f>
        <v>139917</v>
      </c>
      <c r="AW826" s="68">
        <f t="shared" si="1422"/>
        <v>9.4500879201715234E-3</v>
      </c>
      <c r="AX826" s="113"/>
      <c r="AY826" s="113"/>
      <c r="AZ826" s="116"/>
      <c r="BA826" s="116"/>
      <c r="BB826" s="166"/>
      <c r="BC826" s="166"/>
      <c r="BD826" s="166"/>
      <c r="BE826" s="166"/>
      <c r="BF826" s="166"/>
      <c r="BG826" s="166"/>
      <c r="BH826" s="166"/>
      <c r="BI826" s="113"/>
      <c r="BJ826" s="113"/>
      <c r="BK826" s="113">
        <f>INDEX('Dist. Plant Gas Additions'!$E$7:$AE$91,MATCH($C826,'Dist. Plant Gas Additions'!$D$7:$D$91,0),MATCH(Calculation!$G826,'Dist. Plant Gas Additions'!$E$5:$AE$5,0))</f>
        <v>54730</v>
      </c>
      <c r="BL826" s="113">
        <f>INDEX('Gen. Plant Additions'!$E$7:$AE$91,MATCH($C826,'Gen. Plant Additions'!$D$7:$D$91,0),MATCH(Calculation!$G826,'Gen. Plant Additions'!$E$5:$AE$5,0))</f>
        <v>3968</v>
      </c>
      <c r="BM826" s="231">
        <v>0.96966854172388739</v>
      </c>
      <c r="BN826" s="61">
        <f t="shared" si="1509"/>
        <v>3847.6447735603851</v>
      </c>
      <c r="BO826" s="113"/>
      <c r="BP826" s="113"/>
      <c r="BQ826" s="175"/>
      <c r="BR826" s="175"/>
      <c r="BS826" s="170"/>
      <c r="BT826" s="176"/>
      <c r="BU826" s="177"/>
      <c r="BV826" s="177"/>
      <c r="BW826" s="113"/>
      <c r="BX826" s="113"/>
      <c r="BY826" s="113"/>
      <c r="BZ826" s="113"/>
      <c r="CA826" s="116">
        <v>2021</v>
      </c>
      <c r="CB826" s="113"/>
      <c r="CC826" s="113"/>
      <c r="CD826" s="113"/>
      <c r="CE826" s="175"/>
      <c r="CF826" s="113">
        <f t="shared" si="1473"/>
        <v>58698</v>
      </c>
      <c r="CG826" s="113">
        <f t="shared" si="1474"/>
        <v>62.911666170197805</v>
      </c>
      <c r="CH826" s="178">
        <f>+(51-23)/(51-23*0.75)</f>
        <v>0.82962962962962961</v>
      </c>
      <c r="CI826" s="113">
        <f>CI803*CH826+CG804*CH825+CG805*CH824+CG806*CH823+CG807*CH822+CG808*CH821+CG809*CH820+CG810*CH819+CG811*CH818+CG812*CH817+CG813*CH816+CG814*CH815+CG815*CH814+CG816*CH813+CG817*CH812+CG808*CH811+CG819*CH810+CG820*CH809+CG821*CH808+CG822*CH807+CG823*CH806+CG824*CH805+CG826+CG825*CH804</f>
        <v>1740.1070793331057</v>
      </c>
      <c r="CJ826" s="114"/>
      <c r="CK826" s="113"/>
      <c r="CL826" s="169">
        <f t="shared" si="1476"/>
        <v>1.0089685885014918E-2</v>
      </c>
      <c r="CM826" s="169">
        <f t="shared" si="1484"/>
        <v>9.4820310487283028E-3</v>
      </c>
      <c r="CN826" s="114">
        <f>VLOOKUP($H826,RoR!$E:$F,2,FALSE)</f>
        <v>2.7033333333333336E-2</v>
      </c>
      <c r="CO826" s="169"/>
      <c r="CP826" s="169"/>
      <c r="CQ826" s="169">
        <f t="shared" si="1485"/>
        <v>2.141991055980532E-2</v>
      </c>
      <c r="CR826" s="169">
        <f t="shared" si="1486"/>
        <v>7.433422950153494E-2</v>
      </c>
      <c r="CS826" s="179">
        <f t="shared" si="1477"/>
        <v>0.90509623210000001</v>
      </c>
      <c r="CT826" s="180">
        <f t="shared" si="1478"/>
        <v>1.8969932656739068</v>
      </c>
      <c r="CU826" s="180">
        <f t="shared" si="1479"/>
        <v>5.0215782983970621E-2</v>
      </c>
      <c r="CV826" s="180">
        <f t="shared" si="1480"/>
        <v>0.655952481704143</v>
      </c>
      <c r="CW826" s="180">
        <f t="shared" si="1481"/>
        <v>6.2485378865697057E-2</v>
      </c>
      <c r="CX826" s="181">
        <f>CX825</f>
        <v>0.25649666999999998</v>
      </c>
      <c r="CY826" s="72">
        <v>0.37</v>
      </c>
      <c r="CZ826" s="182">
        <f t="shared" si="1483"/>
        <v>24.238361541606121</v>
      </c>
      <c r="DA826" s="182"/>
      <c r="DB826" s="169">
        <f>LN(CZ827/CZ825)</f>
        <v>0.20932523117729476</v>
      </c>
      <c r="DC826" s="181">
        <f>VLOOKUP($H826,RoR!$E:$F,2,FALSE)</f>
        <v>2.7033333333333336E-2</v>
      </c>
      <c r="DD826" s="183">
        <f>HLOOKUP($H826,'GDP-PI'!$D$8:$CR$11,3,FALSE)</f>
        <v>4.2834637353352578E-2</v>
      </c>
      <c r="DE826" s="181">
        <f>VLOOKUP(H826,'HW Dx Data'!$E:$F,2,FALSE)</f>
        <v>933.02249921662576</v>
      </c>
      <c r="DF826" s="72">
        <f t="shared" si="1497"/>
        <v>157.25</v>
      </c>
      <c r="DG826" s="69">
        <f t="shared" si="1498"/>
        <v>2.6419062301765574E-2</v>
      </c>
      <c r="DH826" s="175">
        <f>HLOOKUP(H826,'GDP-PI'!$8:$9,2,FALSE)</f>
        <v>118.49</v>
      </c>
      <c r="DI826" s="169">
        <f t="shared" si="1488"/>
        <v>4.194261824609434E-2</v>
      </c>
      <c r="EB826"/>
    </row>
    <row r="827" spans="1:132" s="160" customFormat="1" ht="21">
      <c r="G827" s="161" t="s">
        <v>144</v>
      </c>
      <c r="H827" s="162"/>
      <c r="I827" s="163"/>
      <c r="J827" s="159">
        <v>26694.333458214354</v>
      </c>
      <c r="K827" s="159">
        <f t="shared" si="1489"/>
        <v>164.22229134552046</v>
      </c>
      <c r="L827" s="164">
        <f t="shared" ref="L827" si="1510">LN(K827/K826)</f>
        <v>3.1119867279747675E-3</v>
      </c>
      <c r="M827" s="76">
        <f t="shared" si="1499"/>
        <v>2.1186457468792428E-5</v>
      </c>
      <c r="N827" s="166">
        <f>+N826*EXP(O827)</f>
        <v>117.00643116893951</v>
      </c>
      <c r="O827" s="114">
        <f t="shared" si="1500"/>
        <v>-1.8419509657244895E-2</v>
      </c>
      <c r="P827" s="114"/>
      <c r="Q827" s="163">
        <v>37629.361621820237</v>
      </c>
      <c r="R827" s="159">
        <f t="shared" si="1490"/>
        <v>295.71207561351855</v>
      </c>
      <c r="S827" s="165">
        <f t="shared" ref="S827" si="1511">LN(R827/R826)</f>
        <v>-3.5064348704644588E-2</v>
      </c>
      <c r="T827" s="165">
        <f t="shared" si="1502"/>
        <v>-2.3871866991711764E-4</v>
      </c>
      <c r="U827" s="166"/>
      <c r="V827" s="114"/>
      <c r="W827" s="159">
        <f t="shared" ref="W827" si="1512">+CI826*CZ827</f>
        <v>46273.859771164098</v>
      </c>
      <c r="X827" s="168"/>
      <c r="Y827" s="167">
        <v>1780.8619544994974</v>
      </c>
      <c r="Z827" s="168">
        <v>2.3150840016945617E-2</v>
      </c>
      <c r="AA827" s="76">
        <f t="shared" si="1491"/>
        <v>1.5761130437244366E-4</v>
      </c>
      <c r="AB827" s="166"/>
      <c r="AC827" s="114"/>
      <c r="AD827" s="163">
        <f t="shared" si="1410"/>
        <v>110597.55485119869</v>
      </c>
      <c r="AE827" s="168">
        <f t="shared" si="1503"/>
        <v>3.22421403024497E-2</v>
      </c>
      <c r="AF827" s="113"/>
      <c r="AG827" s="114"/>
      <c r="AH827" s="114"/>
      <c r="AI827" s="114"/>
      <c r="AJ827" s="116">
        <f t="shared" si="1504"/>
        <v>784.96436957449657</v>
      </c>
      <c r="AK827" s="114"/>
      <c r="AL827" s="115">
        <f t="shared" si="1492"/>
        <v>0.24136458978799055</v>
      </c>
      <c r="AM827" s="115">
        <f t="shared" si="1493"/>
        <v>0.34023683138789029</v>
      </c>
      <c r="AN827" s="115">
        <f t="shared" si="1494"/>
        <v>0.41839857882411918</v>
      </c>
      <c r="AO827" s="115"/>
      <c r="AP827" s="166"/>
      <c r="AQ827" s="168"/>
      <c r="AR827" s="69">
        <f>+AD827/$AF$27</f>
        <v>6.8080166532651781E-3</v>
      </c>
      <c r="AS827" s="169"/>
      <c r="AT827" s="166"/>
      <c r="AU827" s="168"/>
      <c r="AV827" s="113">
        <v>140895</v>
      </c>
      <c r="AW827" s="68">
        <f t="shared" si="1422"/>
        <v>6.9655424574272158E-3</v>
      </c>
      <c r="AX827" s="113"/>
      <c r="AY827" s="113"/>
      <c r="AZ827" s="113"/>
      <c r="BA827" s="113"/>
      <c r="BB827" s="171"/>
      <c r="BC827" s="172"/>
      <c r="BD827" s="173"/>
      <c r="BE827" s="115"/>
      <c r="BF827" s="174"/>
      <c r="BG827" s="174"/>
      <c r="BH827" s="166"/>
      <c r="BI827" s="113"/>
      <c r="BJ827" s="113"/>
      <c r="BK827" s="113"/>
      <c r="BL827" s="113"/>
      <c r="BM827" s="231">
        <v>0.96966854172388739</v>
      </c>
      <c r="BN827" s="61">
        <f t="shared" si="1509"/>
        <v>0</v>
      </c>
      <c r="BO827" s="113"/>
      <c r="BP827" s="113"/>
      <c r="BQ827" s="175"/>
      <c r="BR827" s="175"/>
      <c r="BS827" s="170"/>
      <c r="BT827" s="176"/>
      <c r="BU827" s="177"/>
      <c r="BV827" s="177"/>
      <c r="BW827" s="113"/>
      <c r="BX827" s="113"/>
      <c r="BY827" s="113"/>
      <c r="BZ827" s="113"/>
      <c r="CA827" s="116">
        <v>2022</v>
      </c>
      <c r="CB827" s="113"/>
      <c r="CC827" s="113"/>
      <c r="CD827" s="113"/>
      <c r="CE827" s="175"/>
      <c r="CF827" s="238">
        <v>59139</v>
      </c>
      <c r="CG827" s="113">
        <f>+CF827/DE827</f>
        <v>57.371387549596925</v>
      </c>
      <c r="CH827" s="178">
        <f>+(51-24)/(51-24*0.75)</f>
        <v>0.81818181818181823</v>
      </c>
      <c r="CI827" s="113">
        <f>+CI803*CH827+CG804*CH826+CG805*CH825+CG806*CH824+CG807*CH823+CG808*CH822+CG809*CH821+CG810*CH820+CG811*CH819+CG812*CH818+CG813*CH817+CG814*CH816+CG815*CH815+CG816*CH814+CG817*CH813+CG818*CH812+CG819*CH811+CG820*CH810+CG821*CH809+CG822*CH808+CG823*CH807+CG824*CH806+CG825*CH805+CG826*CH804+CG827*CH803</f>
        <v>1781.0278434606057</v>
      </c>
      <c r="CJ827" s="114">
        <f t="shared" ref="CJ827" si="1513">LN(CI827/CI826)</f>
        <v>2.3243986616440882E-2</v>
      </c>
      <c r="CK827" s="113"/>
      <c r="CL827" s="169">
        <f t="shared" si="1476"/>
        <v>9.4537994916965868E-3</v>
      </c>
      <c r="CM827" s="169">
        <f t="shared" si="1484"/>
        <v>9.6119476659343537E-3</v>
      </c>
      <c r="CN827" s="114"/>
      <c r="CO827" s="169"/>
      <c r="CP827" s="169"/>
      <c r="CQ827" s="69">
        <f t="shared" si="1485"/>
        <v>2.128999394259927E-2</v>
      </c>
      <c r="CR827" s="169">
        <f t="shared" si="1486"/>
        <v>0.10114668178709289</v>
      </c>
      <c r="CS827" s="179">
        <f t="shared" si="1477"/>
        <v>0.90509623210000001</v>
      </c>
      <c r="CT827" s="180">
        <f t="shared" si="1478"/>
        <v>1.2820512820512819</v>
      </c>
      <c r="CU827" s="180">
        <f t="shared" si="1479"/>
        <v>0.35000000000000003</v>
      </c>
      <c r="CV827" s="180">
        <f t="shared" si="1480"/>
        <v>0.79171095533705893</v>
      </c>
      <c r="CW827" s="180">
        <f t="shared" si="1481"/>
        <v>0.35525491585637264</v>
      </c>
      <c r="CX827" s="181">
        <f>CX826</f>
        <v>0.25649666999999998</v>
      </c>
      <c r="CY827" s="72">
        <v>0.37</v>
      </c>
      <c r="CZ827" s="182">
        <f t="shared" si="1483"/>
        <v>26.592535781705173</v>
      </c>
      <c r="DA827" s="182"/>
      <c r="DB827" s="169">
        <f t="shared" ref="DB827" si="1514">LN(CZ827/CZ826)</f>
        <v>9.269400095052166E-2</v>
      </c>
      <c r="DC827" s="181">
        <v>0.04</v>
      </c>
      <c r="DD827" s="183">
        <v>7.0000000000000001E-3</v>
      </c>
      <c r="DE827" s="181">
        <v>1030.81</v>
      </c>
      <c r="DF827" s="72">
        <f t="shared" si="1497"/>
        <v>162.55000000000001</v>
      </c>
      <c r="DG827" s="169">
        <f t="shared" si="1498"/>
        <v>3.3148751169364422E-2</v>
      </c>
      <c r="DH827" s="175">
        <v>127.25</v>
      </c>
      <c r="DI827" s="169">
        <f t="shared" si="1488"/>
        <v>7.1325086601983473E-2</v>
      </c>
      <c r="EB827"/>
    </row>
    <row r="828" spans="1:132" s="160" customFormat="1" ht="21">
      <c r="A828" s="160" t="s">
        <v>208</v>
      </c>
      <c r="B828" s="161" t="s">
        <v>208</v>
      </c>
      <c r="C828" s="161">
        <v>4004218</v>
      </c>
      <c r="D828" s="161" t="s">
        <v>209</v>
      </c>
      <c r="E828" s="161"/>
      <c r="F828" s="161"/>
      <c r="G828" s="161" t="s">
        <v>100</v>
      </c>
      <c r="H828" s="162">
        <v>1998</v>
      </c>
      <c r="I828" s="163"/>
      <c r="J828" s="159"/>
      <c r="K828" s="159"/>
      <c r="L828" s="159"/>
      <c r="M828" s="60"/>
      <c r="N828" s="131"/>
      <c r="O828" s="76"/>
      <c r="P828" s="76"/>
      <c r="Q828" s="165"/>
      <c r="R828" s="165"/>
      <c r="S828" s="165"/>
      <c r="T828" s="159"/>
      <c r="U828" s="165"/>
      <c r="V828" s="165"/>
      <c r="W828" s="159"/>
      <c r="X828" s="163"/>
      <c r="Y828" s="167">
        <v>8438.4926463761476</v>
      </c>
      <c r="Z828" s="168"/>
      <c r="AA828" s="78"/>
      <c r="AB828" s="168"/>
      <c r="AC828" s="168"/>
      <c r="AD828" s="163">
        <f t="shared" si="1410"/>
        <v>0</v>
      </c>
      <c r="AE828" s="163"/>
      <c r="AF828" s="163"/>
      <c r="AG828" s="114"/>
      <c r="AH828" s="114"/>
      <c r="AI828" s="114"/>
      <c r="AJ828" s="166">
        <f>+(AJ825+AJ826+AJ827)/3</f>
        <v>759.53841449702304</v>
      </c>
      <c r="AK828" s="168"/>
      <c r="AL828" s="115"/>
      <c r="AM828" s="115"/>
      <c r="AN828" s="115"/>
      <c r="AO828" s="115"/>
      <c r="AP828" s="115"/>
      <c r="AQ828" s="168">
        <f>AVERAGE(AQ837:AQ851)</f>
        <v>3.9419021660944881E-2</v>
      </c>
      <c r="AR828" s="79"/>
      <c r="AS828" s="115"/>
      <c r="AT828" s="115"/>
      <c r="AU828" s="115"/>
      <c r="AV828" s="113">
        <f>IFERROR(INDEX('Total Customers'!$F$7:$AB$91,MATCH($C828,'Total Customers'!$D$7:$D$91,0),MATCH($G828,'Total Customers'!$F$5:$AB$5,0)),"NA")</f>
        <v>3737058</v>
      </c>
      <c r="AW828" s="68"/>
      <c r="AX828" s="114"/>
      <c r="AY828" s="114"/>
      <c r="AZ828" s="116"/>
      <c r="BA828" s="116"/>
      <c r="BB828" s="166"/>
      <c r="BC828" s="166"/>
      <c r="BD828" s="166"/>
      <c r="BE828" s="166"/>
      <c r="BF828" s="166"/>
      <c r="BG828" s="166"/>
      <c r="BH828" s="166"/>
      <c r="BI828" s="113">
        <f>INDEX('Gross Dx Plant'!$E$7:$AD$91,MATCH($C828,'Gross Dx Plant'!$D$7:$D$91,0),MATCH(Calculation!$G828,'Gross Dx Plant'!$E$5:$AD$5,0))</f>
        <v>3749429</v>
      </c>
      <c r="BJ828" s="113">
        <f>INDEX('Gross Gen Plant'!$E$7:$AD$91,MATCH($C828,'Gross Gen Plant'!$D$7:$D$91,0),MATCH(Calculation!$G828,'Gross Gen Plant'!$E$5:$AD$5,0))</f>
        <v>68438</v>
      </c>
      <c r="BK828" s="113">
        <f>INDEX('Dist. Plant Gas Additions'!$F$7:$AE$91,MATCH($C828,'Dist. Plant Gas Additions'!$D$7:$D$91,0),MATCH(Calculation!$G828,'Dist. Plant Gas Additions'!$F$5:$AE$5,0))</f>
        <v>196405</v>
      </c>
      <c r="BL828" s="113">
        <f>INDEX('Gen. Plant Additions'!$F$7:$AE$91,MATCH($C828,'Gen. Plant Additions'!$D$7:$D$91,0),MATCH(Calculation!$G828,'Gen. Plant Additions'!$F$5:$AE$5,0))</f>
        <v>1758</v>
      </c>
      <c r="BM828" s="231">
        <f>+(BW828/(BW828+BX828))</f>
        <v>0.98207428388678808</v>
      </c>
      <c r="BN828" s="61">
        <f t="shared" si="1509"/>
        <v>1726.4865910729734</v>
      </c>
      <c r="BO828" s="113">
        <f>INDEX('Dist Plant Depreciation'!$E$7:$AD$94,MATCH($C828,'Dist Plant Depreciation'!$D$7:$D$94,0),MATCH(Calculation!$G828,'Dist Plant Depreciation'!$E$5:$AD$5,0))</f>
        <v>2096630</v>
      </c>
      <c r="BP828" s="113">
        <f>INDEX('Gen. Plant Depreciation'!$E$7:$AD$94,MATCH($C828,'Gen. Plant Depreciation'!$D$7:$D$94,0),MATCH(Calculation!$G828,'Gen. Plant Depreciation'!$E$5:$AD$5,0))</f>
        <v>19029</v>
      </c>
      <c r="BQ828" s="113"/>
      <c r="BR828" s="113"/>
      <c r="BS828" s="113"/>
      <c r="BT828" s="113"/>
      <c r="BU828" s="113"/>
      <c r="BV828" s="175"/>
      <c r="BW828" s="113">
        <f>INDEX('Gross Dx Plant'!$E$7:$AD$91,MATCH($C828,'Gross Dx Plant'!$D$7:$D$91,0),MATCH(Calculation!$G828,'Gross Dx Plant'!$E$5:$AD$5,0))</f>
        <v>3749429</v>
      </c>
      <c r="BX828" s="113">
        <f>INDEX('Gross Gen Plant'!$E$7:$AD$91,MATCH($C828,'Gross Gen Plant'!$D$7:$D$91,0),MATCH(Calculation!$G828,'Gross Gen Plant'!$E$5:$AD$5,0))</f>
        <v>68438</v>
      </c>
      <c r="BY828" s="113">
        <f t="shared" si="1460"/>
        <v>1702208</v>
      </c>
      <c r="BZ828" s="113"/>
      <c r="CA828" s="116">
        <v>1998</v>
      </c>
      <c r="CB828" s="113">
        <f>BI828+BJ828</f>
        <v>3817867</v>
      </c>
      <c r="CC828" s="113">
        <f>2096630+19029</f>
        <v>2115659</v>
      </c>
      <c r="CD828" s="113">
        <f>+CB828-CC828</f>
        <v>1702208</v>
      </c>
      <c r="CE828" s="113">
        <f>CD828/$BV$3</f>
        <v>8438.4926463761476</v>
      </c>
      <c r="CF828" s="175"/>
      <c r="CG828" s="175"/>
      <c r="CH828" s="178">
        <v>1</v>
      </c>
      <c r="CI828" s="113">
        <f>+CE828</f>
        <v>8438.4926463761476</v>
      </c>
      <c r="CJ828" s="114"/>
      <c r="CK828" s="114"/>
      <c r="CL828" s="169"/>
      <c r="CM828" s="169"/>
      <c r="CN828" s="114" t="e">
        <f>VLOOKUP($H828,RoR!$E:$F,2,FALSE)</f>
        <v>#N/A</v>
      </c>
      <c r="CO828" s="169">
        <v>1.1028127770464469E-2</v>
      </c>
      <c r="CP828" s="169"/>
      <c r="CQ828" s="169"/>
      <c r="CR828" s="169"/>
      <c r="CS828" s="179"/>
      <c r="CT828" s="182" t="e">
        <f>2/(DC828*39)</f>
        <v>#N/A</v>
      </c>
      <c r="CU828" s="180" t="e">
        <f>+(DC828*40-(1+DC828))/(DC828*40)</f>
        <v>#N/A</v>
      </c>
      <c r="CV828" s="180" t="e">
        <f>+(1-(1/(1+DC828)^40))</f>
        <v>#N/A</v>
      </c>
      <c r="CW828" s="180" t="e">
        <f>+CV828*CU828*CT828</f>
        <v>#N/A</v>
      </c>
      <c r="CX828" s="181">
        <f>INDEX('State Tax Lookup'!$D$7:$Z$91,MATCH(Calculation!$C828,'State Tax Lookup'!$B$7:$B$91,0),MATCH($H828,'State Tax Lookup'!$D$6:$Z$6,0))</f>
        <v>0.40745999999999999</v>
      </c>
      <c r="CY828" s="72">
        <v>0.37</v>
      </c>
      <c r="CZ828" s="175"/>
      <c r="DA828" s="175"/>
      <c r="DB828" s="69"/>
      <c r="DC828" s="181" t="e">
        <v>#N/A</v>
      </c>
      <c r="DD828" s="183">
        <v>1.1028127770464469E-2</v>
      </c>
      <c r="DE828" s="111">
        <f>VLOOKUP(H828,'HW Dx Data'!$E:$F,2,FALSE)</f>
        <v>329.24564746449528</v>
      </c>
      <c r="DF828" s="72" t="e">
        <f t="shared" si="1497"/>
        <v>#N/A</v>
      </c>
      <c r="DG828" s="169" t="e">
        <f t="shared" si="1498"/>
        <v>#N/A</v>
      </c>
      <c r="DH828" s="66">
        <f>HLOOKUP(H828,'GDP-PI'!$8:$9,2,FALSE)</f>
        <v>75.266999999999996</v>
      </c>
      <c r="DI828"/>
      <c r="EB828"/>
    </row>
    <row r="829" spans="1:132" s="160" customFormat="1" ht="21">
      <c r="A829" s="160" t="s">
        <v>208</v>
      </c>
      <c r="B829" s="161" t="s">
        <v>208</v>
      </c>
      <c r="C829" s="161">
        <v>4004218</v>
      </c>
      <c r="D829" s="161" t="s">
        <v>209</v>
      </c>
      <c r="E829" s="161"/>
      <c r="F829" s="161"/>
      <c r="G829" s="161" t="s">
        <v>106</v>
      </c>
      <c r="H829" s="162">
        <v>1999</v>
      </c>
      <c r="I829" s="163"/>
      <c r="J829" s="159"/>
      <c r="K829" s="163"/>
      <c r="L829" s="163"/>
      <c r="M829" s="60"/>
      <c r="N829" s="152"/>
      <c r="O829" s="60"/>
      <c r="P829" s="59"/>
      <c r="Q829" s="169"/>
      <c r="R829" s="169"/>
      <c r="S829" s="169"/>
      <c r="T829" s="187"/>
      <c r="U829" s="169"/>
      <c r="V829" s="169"/>
      <c r="W829" s="159">
        <f t="shared" ref="W829:W852" si="1515">+CI828*CZ829</f>
        <v>0</v>
      </c>
      <c r="X829" s="163"/>
      <c r="Y829" s="167">
        <v>8963.067927357286</v>
      </c>
      <c r="Z829" s="168">
        <v>6.030887473058498E-2</v>
      </c>
      <c r="AA829" s="78"/>
      <c r="AB829" s="168"/>
      <c r="AC829" s="168"/>
      <c r="AD829" s="163">
        <f t="shared" si="1410"/>
        <v>0</v>
      </c>
      <c r="AE829" s="168"/>
      <c r="AF829" s="163"/>
      <c r="AG829" s="114"/>
      <c r="AH829" s="114"/>
      <c r="AI829" s="114"/>
      <c r="AJ829" s="167"/>
      <c r="AK829" s="168"/>
      <c r="AL829" s="115"/>
      <c r="AM829" s="115"/>
      <c r="AN829" s="115"/>
      <c r="AO829" s="115"/>
      <c r="AP829" s="115"/>
      <c r="AQ829" s="168"/>
      <c r="AR829" s="79"/>
      <c r="AS829" s="115"/>
      <c r="AT829" s="115"/>
      <c r="AU829" s="115"/>
      <c r="AV829" s="113">
        <f>IFERROR(INDEX('Total Customers'!$F$7:$AB$91,MATCH($C829,'Total Customers'!$D$7:$D$91,0),MATCH($G829,'Total Customers'!$F$5:$AB$5,0)),"NA")</f>
        <v>3798199</v>
      </c>
      <c r="AW829" s="68">
        <f t="shared" si="1422"/>
        <v>1.6228336161493891E-2</v>
      </c>
      <c r="AX829" s="114"/>
      <c r="AY829" s="114"/>
      <c r="AZ829" s="116"/>
      <c r="BA829" s="116"/>
      <c r="BB829" s="166"/>
      <c r="BC829" s="166"/>
      <c r="BD829" s="166"/>
      <c r="BE829" s="166"/>
      <c r="BF829" s="166"/>
      <c r="BG829" s="166"/>
      <c r="BH829" s="166"/>
      <c r="BI829" s="113"/>
      <c r="BJ829" s="113"/>
      <c r="BK829" s="113">
        <f>INDEX('Dist. Plant Gas Additions'!$F$7:$AE$91,MATCH($C829,'Dist. Plant Gas Additions'!$D$7:$D$91,0),MATCH(Calculation!$G829,'Dist. Plant Gas Additions'!$F$5:$AE$5,0))</f>
        <v>186974</v>
      </c>
      <c r="BL829" s="113">
        <f>INDEX('Gen. Plant Additions'!$F$7:$AE$91,MATCH($C829,'Gen. Plant Additions'!$D$7:$D$91,0),MATCH(Calculation!$G829,'Gen. Plant Additions'!$F$5:$AE$5,0))</f>
        <v>3007</v>
      </c>
      <c r="BM829" s="231">
        <f t="shared" ref="BM829:BM850" si="1516">+(BW829/(BW829+BX829))</f>
        <v>0.98225366954680293</v>
      </c>
      <c r="BN829" s="61">
        <f t="shared" si="1509"/>
        <v>2953.6367843272365</v>
      </c>
      <c r="BO829" s="113">
        <f>INDEX('Dist Plant Depreciation'!$E$7:$AD$94,MATCH($C829,'Dist Plant Depreciation'!$D$7:$D$94,0),MATCH(Calculation!$G829,'Dist Plant Depreciation'!$E$5:$AD$5,0))</f>
        <v>2207806</v>
      </c>
      <c r="BP829" s="113">
        <f>INDEX('Gen. Plant Depreciation'!$E$7:$AD$94,MATCH($C829,'Gen. Plant Depreciation'!$D$7:$D$94,0),MATCH(Calculation!$G829,'Gen. Plant Depreciation'!$E$5:$AD$5,0))</f>
        <v>20711</v>
      </c>
      <c r="BQ829" s="113"/>
      <c r="BR829" s="113"/>
      <c r="BS829" s="113"/>
      <c r="BT829" s="113"/>
      <c r="BU829" s="113"/>
      <c r="BV829" s="175"/>
      <c r="BW829" s="113">
        <f>INDEX('Gross Dx Plant'!$E$7:$AD$91,MATCH($C829,'Gross Dx Plant'!$D$7:$D$91,0),MATCH(Calculation!$G829,'Gross Dx Plant'!$E$5:$AD$5,0))</f>
        <v>3888813</v>
      </c>
      <c r="BX829" s="113">
        <f>INDEX('Gross Gen Plant'!$E$7:$AD$91,MATCH($C829,'Gross Gen Plant'!$D$7:$D$91,0),MATCH(Calculation!$G829,'Gross Gen Plant'!$E$5:$AD$5,0))</f>
        <v>70259</v>
      </c>
      <c r="BY829" s="113">
        <f t="shared" si="1460"/>
        <v>1730555</v>
      </c>
      <c r="BZ829" s="113"/>
      <c r="CA829" s="116">
        <v>1999</v>
      </c>
      <c r="CB829" s="113"/>
      <c r="CC829" s="113"/>
      <c r="CD829" s="113"/>
      <c r="CE829" s="175"/>
      <c r="CF829" s="113">
        <f t="shared" ref="CF829:CF851" si="1517">+BL829+BK829</f>
        <v>189981</v>
      </c>
      <c r="CG829" s="113">
        <f t="shared" ref="CG829:CG851" si="1518">+CF829/$DE829</f>
        <v>566.55783146062163</v>
      </c>
      <c r="CH829" s="178">
        <v>0.99502487562189057</v>
      </c>
      <c r="CI829" s="61">
        <f>+CI828*CH829+CG829</f>
        <v>8963.067927357286</v>
      </c>
      <c r="CJ829" s="114">
        <f t="shared" ref="CJ829:CJ850" si="1519">LN(CI829/CI828)</f>
        <v>6.030887473058498E-2</v>
      </c>
      <c r="CK829" s="114"/>
      <c r="CL829" s="169">
        <f t="shared" ref="CL829:CL852" si="1520">+(CI828-CI829+CG829)/CI828</f>
        <v>4.9751243781094474E-3</v>
      </c>
      <c r="CM829" s="169"/>
      <c r="CN829" s="114">
        <f>VLOOKUP($H829,RoR!$E:$F,2,FALSE)</f>
        <v>7.0416666666666669E-2</v>
      </c>
      <c r="CO829" s="169">
        <v>1.4335631817396832E-2</v>
      </c>
      <c r="CP829" s="169">
        <f>+CN829-CO829</f>
        <v>5.6081034849269837E-2</v>
      </c>
      <c r="CQ829" s="169"/>
      <c r="CR829" s="169"/>
      <c r="CS829" s="179">
        <f t="shared" ref="CS829:CS852" si="1521">1-CX829*CY829</f>
        <v>0.84923979999999999</v>
      </c>
      <c r="CT829" s="180">
        <f t="shared" ref="CT829:CT852" si="1522">2/(DC829*39)</f>
        <v>0.72826581702321336</v>
      </c>
      <c r="CU829" s="180">
        <f t="shared" ref="CU829:CU852" si="1523">+(DC829*40-(1+DC829))/(DC829*40)</f>
        <v>0.61997041420118348</v>
      </c>
      <c r="CV829" s="180">
        <f t="shared" ref="CV829:CV852" si="1524">+(1-(1/(1+DC829)^40))</f>
        <v>0.93425155319585029</v>
      </c>
      <c r="CW829" s="180">
        <f t="shared" ref="CW829:CW852" si="1525">+CV829*CU829*CT829</f>
        <v>0.42181762214141483</v>
      </c>
      <c r="CX829" s="181">
        <f>INDEX('State Tax Lookup'!$D$7:$Z$91,MATCH(Calculation!$C829,'State Tax Lookup'!$B$7:$B$91,0),MATCH($H829,'State Tax Lookup'!$D$6:$Z$6,0))</f>
        <v>0.40745999999999999</v>
      </c>
      <c r="CY829" s="72">
        <v>0.37</v>
      </c>
      <c r="CZ829" s="182"/>
      <c r="DA829" s="182"/>
      <c r="DB829" s="69"/>
      <c r="DC829" s="181">
        <v>7.0416666666666669E-2</v>
      </c>
      <c r="DD829" s="183">
        <v>1.4335631817396832E-2</v>
      </c>
      <c r="DE829" s="111">
        <f>VLOOKUP(H829,'HW Dx Data'!$E:$F,2,FALSE)</f>
        <v>335.32499146683239</v>
      </c>
      <c r="DF829" s="66"/>
      <c r="DG829" s="69"/>
      <c r="DH829" s="66">
        <f>HLOOKUP(H829,'GDP-PI'!$8:$9,2,FALSE)</f>
        <v>76.346000000000004</v>
      </c>
      <c r="DI829"/>
      <c r="EB829"/>
    </row>
    <row r="830" spans="1:132" s="160" customFormat="1" ht="21">
      <c r="A830" s="160" t="s">
        <v>208</v>
      </c>
      <c r="B830" s="161" t="s">
        <v>208</v>
      </c>
      <c r="C830" s="161">
        <v>4004218</v>
      </c>
      <c r="D830" s="161" t="s">
        <v>209</v>
      </c>
      <c r="E830" s="161"/>
      <c r="F830" s="161"/>
      <c r="G830" s="161" t="s">
        <v>107</v>
      </c>
      <c r="H830" s="162">
        <v>2000</v>
      </c>
      <c r="I830" s="163"/>
      <c r="J830" s="159"/>
      <c r="K830" s="159"/>
      <c r="L830" s="159"/>
      <c r="M830" s="60"/>
      <c r="N830" s="152"/>
      <c r="O830" s="60"/>
      <c r="P830" s="60"/>
      <c r="Q830" s="159"/>
      <c r="R830" s="159"/>
      <c r="S830" s="159"/>
      <c r="T830" s="159"/>
      <c r="U830" s="159"/>
      <c r="V830" s="159"/>
      <c r="W830" s="159">
        <f t="shared" si="1515"/>
        <v>0</v>
      </c>
      <c r="X830" s="163"/>
      <c r="Y830" s="167">
        <v>9349.3477929109449</v>
      </c>
      <c r="Z830" s="168">
        <v>4.2194015111451544E-2</v>
      </c>
      <c r="AA830" s="78"/>
      <c r="AB830" s="168"/>
      <c r="AC830" s="168"/>
      <c r="AD830" s="163">
        <f t="shared" ref="AD830:AD895" si="1526">+J830+Q830+W830</f>
        <v>0</v>
      </c>
      <c r="AE830" s="168"/>
      <c r="AF830" s="163"/>
      <c r="AG830" s="163"/>
      <c r="AH830" s="163"/>
      <c r="AI830" s="163"/>
      <c r="AJ830" s="167"/>
      <c r="AK830" s="168"/>
      <c r="AL830" s="115"/>
      <c r="AM830" s="115"/>
      <c r="AN830" s="115"/>
      <c r="AO830" s="115"/>
      <c r="AP830" s="115"/>
      <c r="AQ830" s="168"/>
      <c r="AR830" s="79"/>
      <c r="AS830" s="115"/>
      <c r="AT830" s="115"/>
      <c r="AU830" s="115"/>
      <c r="AV830" s="113">
        <f>IFERROR(INDEX('Total Customers'!$F$7:$AB$91,MATCH($C830,'Total Customers'!$D$7:$D$91,0),MATCH($G830,'Total Customers'!$F$5:$AB$5,0)),"NA")</f>
        <v>3746752</v>
      </c>
      <c r="AW830" s="68">
        <f t="shared" si="1422"/>
        <v>-1.3637675676582904E-2</v>
      </c>
      <c r="AX830" s="114"/>
      <c r="AY830" s="114"/>
      <c r="AZ830" s="116"/>
      <c r="BA830" s="116"/>
      <c r="BB830" s="166"/>
      <c r="BC830" s="166"/>
      <c r="BD830" s="166"/>
      <c r="BE830" s="166"/>
      <c r="BF830" s="166"/>
      <c r="BG830" s="166"/>
      <c r="BH830" s="166"/>
      <c r="BI830" s="113"/>
      <c r="BJ830" s="113"/>
      <c r="BK830" s="113">
        <f>INDEX('Dist. Plant Gas Additions'!$F$7:$AE$91,MATCH($C830,'Dist. Plant Gas Additions'!$D$7:$D$91,0),MATCH(Calculation!$G830,'Dist. Plant Gas Additions'!$F$5:$AE$5,0))</f>
        <v>150169</v>
      </c>
      <c r="BL830" s="113">
        <f>INDEX('Gen. Plant Additions'!$F$7:$AE$91,MATCH($C830,'Gen. Plant Additions'!$D$7:$D$91,0),MATCH(Calculation!$G830,'Gen. Plant Additions'!$F$5:$AE$5,0))</f>
        <v>-344</v>
      </c>
      <c r="BM830" s="231">
        <f t="shared" si="1516"/>
        <v>0.98330990280403796</v>
      </c>
      <c r="BN830" s="61">
        <f>+BM830*BL830</f>
        <v>-338.25860656458906</v>
      </c>
      <c r="BO830" s="113">
        <f>INDEX('Dist Plant Depreciation'!$E$7:$AD$94,MATCH($C830,'Dist Plant Depreciation'!$D$7:$D$94,0),MATCH(Calculation!$G830,'Dist Plant Depreciation'!$E$5:$AD$5,0))</f>
        <v>2352959</v>
      </c>
      <c r="BP830" s="113">
        <f>INDEX('Gen. Plant Depreciation'!$E$7:$AD$94,MATCH($C830,'Gen. Plant Depreciation'!$D$7:$D$94,0),MATCH(Calculation!$G830,'Gen. Plant Depreciation'!$E$5:$AD$5,0))</f>
        <v>21732</v>
      </c>
      <c r="BQ830" s="113"/>
      <c r="BR830" s="113"/>
      <c r="BS830" s="113"/>
      <c r="BT830" s="113"/>
      <c r="BU830" s="113"/>
      <c r="BV830" s="175"/>
      <c r="BW830" s="113">
        <f>INDEX('Gross Dx Plant'!$E$7:$AD$91,MATCH($C830,'Gross Dx Plant'!$D$7:$D$91,0),MATCH(Calculation!$G830,'Gross Dx Plant'!$E$5:$AD$5,0))</f>
        <v>4023240</v>
      </c>
      <c r="BX830" s="113">
        <f>INDEX('Gross Gen Plant'!$E$7:$AD$91,MATCH($C830,'Gross Gen Plant'!$D$7:$D$91,0),MATCH(Calculation!$G830,'Gross Gen Plant'!$E$5:$AD$5,0))</f>
        <v>68288</v>
      </c>
      <c r="BY830" s="113">
        <f t="shared" si="1460"/>
        <v>1716837</v>
      </c>
      <c r="BZ830" s="113"/>
      <c r="CA830" s="116">
        <v>2000</v>
      </c>
      <c r="CB830" s="113"/>
      <c r="CC830" s="113"/>
      <c r="CD830" s="113"/>
      <c r="CE830" s="175"/>
      <c r="CF830" s="113">
        <f t="shared" si="1517"/>
        <v>149825</v>
      </c>
      <c r="CG830" s="113">
        <f t="shared" si="1518"/>
        <v>432.35331021142827</v>
      </c>
      <c r="CH830" s="178">
        <v>0.98989898989898994</v>
      </c>
      <c r="CI830" s="61">
        <f>+CI828*CH830+CG829*CH829+CG830</f>
        <v>9349.3477929109449</v>
      </c>
      <c r="CJ830" s="114">
        <f t="shared" si="1519"/>
        <v>4.2194015111451544E-2</v>
      </c>
      <c r="CK830" s="114"/>
      <c r="CL830" s="169">
        <f t="shared" si="1520"/>
        <v>5.1403654453117389E-3</v>
      </c>
      <c r="CM830" s="169"/>
      <c r="CN830" s="114">
        <f>VLOOKUP($H830,RoR!$E:$F,2,FALSE)</f>
        <v>7.6225000000000001E-2</v>
      </c>
      <c r="CO830" s="169">
        <v>2.2568307442433211E-2</v>
      </c>
      <c r="CP830" s="169">
        <f t="shared" ref="CP830:CP850" si="1527">+CN830-CO830</f>
        <v>5.365669255756679E-2</v>
      </c>
      <c r="CQ830" s="169"/>
      <c r="CR830" s="169"/>
      <c r="CS830" s="179">
        <f t="shared" si="1521"/>
        <v>0.84923979999999999</v>
      </c>
      <c r="CT830" s="180">
        <f t="shared" si="1522"/>
        <v>0.67277207323124022</v>
      </c>
      <c r="CU830" s="180">
        <f t="shared" si="1523"/>
        <v>0.6470236142997704</v>
      </c>
      <c r="CV830" s="180">
        <f t="shared" si="1524"/>
        <v>0.94704866037543145</v>
      </c>
      <c r="CW830" s="180">
        <f t="shared" si="1525"/>
        <v>0.41224973107878493</v>
      </c>
      <c r="CX830" s="181">
        <f>INDEX('State Tax Lookup'!$D$7:$Z$91,MATCH(Calculation!$C830,'State Tax Lookup'!$B$7:$B$91,0),MATCH($H830,'State Tax Lookup'!$D$6:$Z$6,0))</f>
        <v>0.40745999999999999</v>
      </c>
      <c r="CY830" s="72">
        <v>0.37</v>
      </c>
      <c r="CZ830" s="182"/>
      <c r="DA830" s="182"/>
      <c r="DB830" s="69"/>
      <c r="DC830" s="181">
        <v>7.6225000000000001E-2</v>
      </c>
      <c r="DD830" s="183">
        <v>2.2568307442433211E-2</v>
      </c>
      <c r="DE830" s="111">
        <f>VLOOKUP(H830,'HW Dx Data'!$E:$F,2,FALSE)</f>
        <v>346.53371782150339</v>
      </c>
      <c r="DF830" s="66"/>
      <c r="DG830" s="69"/>
      <c r="DH830" s="66">
        <f>HLOOKUP(H830,'GDP-PI'!$8:$9,2,FALSE)</f>
        <v>78.069000000000003</v>
      </c>
      <c r="DI830"/>
      <c r="EB830"/>
    </row>
    <row r="831" spans="1:132" s="160" customFormat="1" ht="21">
      <c r="A831" s="160" t="s">
        <v>208</v>
      </c>
      <c r="B831" s="161" t="s">
        <v>208</v>
      </c>
      <c r="C831" s="161">
        <v>4004218</v>
      </c>
      <c r="D831" s="161" t="s">
        <v>209</v>
      </c>
      <c r="E831" s="161"/>
      <c r="F831" s="161"/>
      <c r="G831" s="161" t="s">
        <v>111</v>
      </c>
      <c r="H831" s="162">
        <v>2001</v>
      </c>
      <c r="I831" s="163"/>
      <c r="J831" s="159"/>
      <c r="K831" s="159"/>
      <c r="L831" s="159"/>
      <c r="M831" s="60"/>
      <c r="N831" s="152"/>
      <c r="O831" s="60"/>
      <c r="P831" s="60"/>
      <c r="Q831" s="159"/>
      <c r="R831" s="159"/>
      <c r="S831" s="159"/>
      <c r="T831" s="159"/>
      <c r="U831" s="159"/>
      <c r="V831" s="159"/>
      <c r="W831" s="159">
        <f t="shared" si="1515"/>
        <v>121254.43273503006</v>
      </c>
      <c r="X831" s="163"/>
      <c r="Y831" s="167">
        <v>9771.5205739234989</v>
      </c>
      <c r="Z831" s="168">
        <v>4.4165504890137881E-2</v>
      </c>
      <c r="AA831" s="78"/>
      <c r="AB831" s="168"/>
      <c r="AC831" s="168"/>
      <c r="AD831" s="163">
        <f t="shared" si="1526"/>
        <v>121254.43273503006</v>
      </c>
      <c r="AE831" s="168"/>
      <c r="AF831" s="163"/>
      <c r="AG831" s="163"/>
      <c r="AH831" s="163"/>
      <c r="AI831" s="163"/>
      <c r="AJ831" s="167"/>
      <c r="AK831" s="168"/>
      <c r="AL831" s="115"/>
      <c r="AM831" s="115"/>
      <c r="AN831" s="115"/>
      <c r="AO831" s="115"/>
      <c r="AP831" s="115"/>
      <c r="AQ831" s="168"/>
      <c r="AR831" s="79"/>
      <c r="AS831" s="115"/>
      <c r="AT831" s="115"/>
      <c r="AU831" s="115"/>
      <c r="AV831" s="113">
        <f>IFERROR(INDEX('Total Customers'!$F$7:$AB$91,MATCH($C831,'Total Customers'!$D$7:$D$91,0),MATCH($G831,'Total Customers'!$F$5:$AB$5,0)),"NA")</f>
        <v>3907394</v>
      </c>
      <c r="AW831" s="68">
        <f t="shared" si="1422"/>
        <v>4.1981324287501953E-2</v>
      </c>
      <c r="AX831" s="114"/>
      <c r="AY831" s="114"/>
      <c r="AZ831" s="116"/>
      <c r="BA831" s="116"/>
      <c r="BB831" s="166"/>
      <c r="BC831" s="166"/>
      <c r="BD831" s="166"/>
      <c r="BE831" s="166"/>
      <c r="BF831" s="166"/>
      <c r="BG831" s="166"/>
      <c r="BH831" s="166"/>
      <c r="BI831" s="113"/>
      <c r="BJ831" s="113"/>
      <c r="BK831" s="113">
        <f>INDEX('Dist. Plant Gas Additions'!$F$7:$AE$91,MATCH($C831,'Dist. Plant Gas Additions'!$D$7:$D$91,0),MATCH(Calculation!$G831,'Dist. Plant Gas Additions'!$F$5:$AE$5,0))</f>
        <v>164978</v>
      </c>
      <c r="BL831" s="113">
        <f>INDEX('Gen. Plant Additions'!$F$7:$AE$91,MATCH($C831,'Gen. Plant Additions'!$D$7:$D$91,0),MATCH(Calculation!$G831,'Gen. Plant Additions'!$F$5:$AE$5,0))</f>
        <v>1023</v>
      </c>
      <c r="BM831" s="231">
        <f t="shared" si="1516"/>
        <v>0.98393331651361748</v>
      </c>
      <c r="BN831" s="61">
        <f t="shared" ref="BN831:BN847" si="1528">+BM831*BL831</f>
        <v>1006.5637827934307</v>
      </c>
      <c r="BO831" s="113">
        <f>INDEX('Dist Plant Depreciation'!$E$7:$AD$94,MATCH($C831,'Dist Plant Depreciation'!$D$7:$D$94,0),MATCH(Calculation!$G831,'Dist Plant Depreciation'!$E$5:$AD$5,0))</f>
        <v>2500812</v>
      </c>
      <c r="BP831" s="113">
        <f>INDEX('Gen. Plant Depreciation'!$E$7:$AD$94,MATCH($C831,'Gen. Plant Depreciation'!$D$7:$D$94,0),MATCH(Calculation!$G831,'Gen. Plant Depreciation'!$E$5:$AD$5,0))</f>
        <v>23112</v>
      </c>
      <c r="BQ831" s="113"/>
      <c r="BR831" s="113"/>
      <c r="BS831" s="113"/>
      <c r="BT831" s="113"/>
      <c r="BU831" s="113"/>
      <c r="BV831" s="175"/>
      <c r="BW831" s="113">
        <f>INDEX('Gross Dx Plant'!$E$7:$AD$91,MATCH($C831,'Gross Dx Plant'!$D$7:$D$91,0),MATCH(Calculation!$G831,'Gross Dx Plant'!$E$5:$AD$5,0))</f>
        <v>4169015</v>
      </c>
      <c r="BX831" s="113">
        <f>INDEX('Gross Gen Plant'!$E$7:$AD$91,MATCH($C831,'Gross Gen Plant'!$D$7:$D$91,0),MATCH(Calculation!$G831,'Gross Gen Plant'!$E$5:$AD$5,0))</f>
        <v>68076</v>
      </c>
      <c r="BY831" s="113">
        <f t="shared" si="1460"/>
        <v>1713167</v>
      </c>
      <c r="BZ831" s="113"/>
      <c r="CA831" s="116">
        <v>2001</v>
      </c>
      <c r="CB831" s="113"/>
      <c r="CC831" s="113"/>
      <c r="CD831" s="113"/>
      <c r="CE831" s="175"/>
      <c r="CF831" s="113">
        <f t="shared" si="1517"/>
        <v>166001</v>
      </c>
      <c r="CG831" s="113">
        <f t="shared" si="1518"/>
        <v>469.66255604409417</v>
      </c>
      <c r="CH831" s="178">
        <v>0.98461538461538467</v>
      </c>
      <c r="CI831" s="61">
        <f>+CI828*CH831+CG829*CH830+CG830*CH828+CG831</f>
        <v>9771.5205739234989</v>
      </c>
      <c r="CJ831" s="114">
        <f t="shared" si="1519"/>
        <v>4.4165504890137881E-2</v>
      </c>
      <c r="CK831" s="114"/>
      <c r="CL831" s="169">
        <f t="shared" si="1520"/>
        <v>5.0794746418085851E-3</v>
      </c>
      <c r="CM831" s="169">
        <f>+(CL831+CL830+CL829)/3</f>
        <v>5.0649881550765908E-3</v>
      </c>
      <c r="CN831" s="114">
        <f>VLOOKUP($H831,RoR!$E:$F,2,FALSE)</f>
        <v>7.0824999999999999E-2</v>
      </c>
      <c r="CO831" s="169">
        <v>2.2454495382290052E-2</v>
      </c>
      <c r="CP831" s="169">
        <f t="shared" si="1527"/>
        <v>4.8370504617709947E-2</v>
      </c>
      <c r="CQ831" s="169">
        <f>+$CP$2-CM831</f>
        <v>2.5836953453457035E-2</v>
      </c>
      <c r="CR831" s="169">
        <f>+((DE829/DE828-1)+(DE830/DE829-1)+(DE831/DE830-1))/3</f>
        <v>2.3947275901631187E-2</v>
      </c>
      <c r="CS831" s="179">
        <f t="shared" si="1521"/>
        <v>0.84923979999999999</v>
      </c>
      <c r="CT831" s="180">
        <f t="shared" si="1522"/>
        <v>0.72406708481540816</v>
      </c>
      <c r="CU831" s="180">
        <f t="shared" si="1523"/>
        <v>0.62201729615248857</v>
      </c>
      <c r="CV831" s="180">
        <f t="shared" si="1524"/>
        <v>0.9352469954311422</v>
      </c>
      <c r="CW831" s="180">
        <f t="shared" si="1525"/>
        <v>0.42121864641655071</v>
      </c>
      <c r="CX831" s="181">
        <f>INDEX('State Tax Lookup'!$D$7:$Z$91,MATCH(Calculation!$C831,'State Tax Lookup'!$B$7:$B$91,0),MATCH($H831,'State Tax Lookup'!$D$6:$Z$6,0))</f>
        <v>0.40745999999999999</v>
      </c>
      <c r="CY831" s="72">
        <v>0.37</v>
      </c>
      <c r="CZ831" s="182">
        <v>12.969293197860292</v>
      </c>
      <c r="DA831" s="182"/>
      <c r="DB831" s="69"/>
      <c r="DC831" s="181">
        <v>7.0824999999999999E-2</v>
      </c>
      <c r="DD831" s="183">
        <v>2.2454495382290052E-2</v>
      </c>
      <c r="DE831" s="111">
        <f>VLOOKUP(H831,'HW Dx Data'!$E:$F,2,FALSE)</f>
        <v>353.44738017483138</v>
      </c>
      <c r="DF831" s="66"/>
      <c r="DG831" s="69"/>
      <c r="DH831" s="66">
        <f>HLOOKUP(H831,'GDP-PI'!$8:$9,2,FALSE)</f>
        <v>79.822000000000003</v>
      </c>
      <c r="DI831"/>
      <c r="EB831"/>
    </row>
    <row r="832" spans="1:132" s="160" customFormat="1" ht="21">
      <c r="A832" s="160" t="s">
        <v>208</v>
      </c>
      <c r="B832" s="161" t="s">
        <v>208</v>
      </c>
      <c r="C832" s="161">
        <v>4004218</v>
      </c>
      <c r="D832" s="161" t="s">
        <v>209</v>
      </c>
      <c r="E832" s="161"/>
      <c r="F832" s="161"/>
      <c r="G832" s="161" t="s">
        <v>113</v>
      </c>
      <c r="H832" s="162">
        <v>2002</v>
      </c>
      <c r="I832" s="163"/>
      <c r="J832" s="159"/>
      <c r="K832" s="159"/>
      <c r="L832" s="159"/>
      <c r="M832" s="60"/>
      <c r="N832" s="152"/>
      <c r="O832" s="60"/>
      <c r="P832" s="60"/>
      <c r="Q832" s="159"/>
      <c r="R832" s="159"/>
      <c r="S832" s="159"/>
      <c r="T832" s="159"/>
      <c r="U832" s="159"/>
      <c r="V832" s="159"/>
      <c r="W832" s="159">
        <f t="shared" si="1515"/>
        <v>128152.95288906718</v>
      </c>
      <c r="X832" s="163"/>
      <c r="Y832" s="167">
        <v>10219.245227414849</v>
      </c>
      <c r="Z832" s="168">
        <v>4.4800638556015085E-2</v>
      </c>
      <c r="AA832" s="78"/>
      <c r="AB832" s="168"/>
      <c r="AC832" s="168"/>
      <c r="AD832" s="163">
        <f t="shared" si="1526"/>
        <v>128152.95288906718</v>
      </c>
      <c r="AE832" s="168"/>
      <c r="AF832" s="163"/>
      <c r="AG832" s="163"/>
      <c r="AH832" s="163"/>
      <c r="AI832" s="163"/>
      <c r="AJ832" s="167"/>
      <c r="AK832" s="168"/>
      <c r="AL832" s="115"/>
      <c r="AM832" s="115"/>
      <c r="AN832" s="115"/>
      <c r="AO832" s="115"/>
      <c r="AP832" s="115"/>
      <c r="AQ832" s="168"/>
      <c r="AR832" s="79"/>
      <c r="AS832" s="115"/>
      <c r="AT832" s="115"/>
      <c r="AU832" s="115"/>
      <c r="AV832" s="113">
        <f>IFERROR(INDEX('Total Customers'!$F$7:$AB$91,MATCH($C832,'Total Customers'!$D$7:$D$91,0),MATCH($G832,'Total Customers'!$F$5:$AB$5,0)),"NA")</f>
        <v>3938727</v>
      </c>
      <c r="AW832" s="68">
        <f t="shared" si="1422"/>
        <v>7.9869190299550231E-3</v>
      </c>
      <c r="AX832" s="114"/>
      <c r="AY832" s="114"/>
      <c r="AZ832" s="116"/>
      <c r="BA832" s="116"/>
      <c r="BB832" s="166"/>
      <c r="BC832" s="166"/>
      <c r="BD832" s="166"/>
      <c r="BE832" s="166"/>
      <c r="BF832" s="166"/>
      <c r="BG832" s="166"/>
      <c r="BH832" s="166"/>
      <c r="BI832" s="113"/>
      <c r="BJ832" s="113"/>
      <c r="BK832" s="113">
        <f>INDEX('Dist. Plant Gas Additions'!$F$7:$AE$91,MATCH($C832,'Dist. Plant Gas Additions'!$D$7:$D$91,0),MATCH(Calculation!$G832,'Dist. Plant Gas Additions'!$F$5:$AE$5,0))</f>
        <v>178769</v>
      </c>
      <c r="BL832" s="113">
        <f>INDEX('Gen. Plant Additions'!$F$7:$AE$91,MATCH($C832,'Gen. Plant Additions'!$D$7:$D$91,0),MATCH(Calculation!$G832,'Gen. Plant Additions'!$F$5:$AE$5,0))</f>
        <v>3134</v>
      </c>
      <c r="BM832" s="231">
        <f t="shared" si="1516"/>
        <v>0.98432353104750792</v>
      </c>
      <c r="BN832" s="61">
        <f t="shared" si="1528"/>
        <v>3084.8699463028897</v>
      </c>
      <c r="BO832" s="113">
        <f>INDEX('Dist Plant Depreciation'!$E$7:$AD$94,MATCH($C832,'Dist Plant Depreciation'!$D$7:$D$94,0),MATCH(Calculation!$G832,'Dist Plant Depreciation'!$E$5:$AD$5,0))</f>
        <v>2659445</v>
      </c>
      <c r="BP832" s="113">
        <f>INDEX('Gen. Plant Depreciation'!$E$7:$AD$94,MATCH($C832,'Gen. Plant Depreciation'!$D$7:$D$94,0),MATCH(Calculation!$G832,'Gen. Plant Depreciation'!$E$5:$AD$5,0))</f>
        <v>23580</v>
      </c>
      <c r="BQ832" s="113"/>
      <c r="BR832" s="113"/>
      <c r="BS832" s="113"/>
      <c r="BT832" s="113"/>
      <c r="BU832" s="113"/>
      <c r="BV832" s="175"/>
      <c r="BW832" s="113">
        <f>INDEX('Gross Dx Plant'!$E$7:$AD$91,MATCH($C832,'Gross Dx Plant'!$D$7:$D$91,0),MATCH(Calculation!$G832,'Gross Dx Plant'!$E$5:$AD$5,0))</f>
        <v>4336206</v>
      </c>
      <c r="BX832" s="113">
        <f>INDEX('Gross Gen Plant'!$E$7:$AD$91,MATCH($C832,'Gross Gen Plant'!$D$7:$D$91,0),MATCH(Calculation!$G832,'Gross Gen Plant'!$E$5:$AD$5,0))</f>
        <v>69059</v>
      </c>
      <c r="BY832" s="113">
        <f t="shared" si="1460"/>
        <v>1722240</v>
      </c>
      <c r="BZ832" s="113"/>
      <c r="CA832" s="116">
        <v>2002</v>
      </c>
      <c r="CB832" s="113"/>
      <c r="CC832" s="113"/>
      <c r="CD832" s="113"/>
      <c r="CE832" s="175"/>
      <c r="CF832" s="113">
        <f t="shared" si="1517"/>
        <v>181903</v>
      </c>
      <c r="CG832" s="113">
        <f t="shared" si="1518"/>
        <v>503.40092257126935</v>
      </c>
      <c r="CH832" s="178">
        <v>0.97916666666666663</v>
      </c>
      <c r="CI832" s="61">
        <f>+CI828*CH832+CG829*CH831+CG830*CH830+CG831*CH829+CG832</f>
        <v>10219.245227414849</v>
      </c>
      <c r="CJ832" s="114">
        <f t="shared" si="1519"/>
        <v>4.4800638556015085E-2</v>
      </c>
      <c r="CK832" s="114"/>
      <c r="CL832" s="169">
        <f t="shared" si="1520"/>
        <v>5.6978101472249998E-3</v>
      </c>
      <c r="CM832" s="169">
        <f t="shared" ref="CM832:CM852" si="1529">+(CL832+CL831+CL830)/3</f>
        <v>5.3058834114484412E-3</v>
      </c>
      <c r="CN832" s="114">
        <f>VLOOKUP($H832,RoR!$E:$F,2,FALSE)</f>
        <v>6.4916666666666664E-2</v>
      </c>
      <c r="CO832" s="169">
        <v>1.5246423291824351E-2</v>
      </c>
      <c r="CP832" s="169">
        <f t="shared" si="1527"/>
        <v>4.9670243374842313E-2</v>
      </c>
      <c r="CQ832" s="169">
        <f t="shared" ref="CQ832:CQ852" si="1530">+$CP$2-CM832</f>
        <v>2.5596058197085183E-2</v>
      </c>
      <c r="CR832" s="169">
        <f t="shared" ref="CR832:CR852" si="1531">+((DE830/DE829-1)+(DE831/DE830-1)+(DE832/DE831-1))/3</f>
        <v>2.5243621214759093E-2</v>
      </c>
      <c r="CS832" s="179">
        <f t="shared" si="1521"/>
        <v>0.84923979999999999</v>
      </c>
      <c r="CT832" s="180">
        <f t="shared" si="1522"/>
        <v>0.78996741384417901</v>
      </c>
      <c r="CU832" s="180">
        <f t="shared" si="1523"/>
        <v>0.58989088575096271</v>
      </c>
      <c r="CV832" s="180">
        <f t="shared" si="1524"/>
        <v>0.91920675783645744</v>
      </c>
      <c r="CW832" s="180">
        <f t="shared" si="1525"/>
        <v>0.42834536472275586</v>
      </c>
      <c r="CX832" s="181">
        <f>INDEX('State Tax Lookup'!$D$7:$Z$91,MATCH(Calculation!$C832,'State Tax Lookup'!$B$7:$B$91,0),MATCH($H832,'State Tax Lookup'!$D$6:$Z$6,0))</f>
        <v>0.40745999999999999</v>
      </c>
      <c r="CY832" s="72">
        <v>0.37</v>
      </c>
      <c r="CZ832" s="182">
        <v>13.114944794882698</v>
      </c>
      <c r="DA832" s="182"/>
      <c r="DB832" s="69">
        <f>LN(CZ832/CZ831)</f>
        <v>1.1167902308678973E-2</v>
      </c>
      <c r="DC832" s="181">
        <v>6.4916666666666664E-2</v>
      </c>
      <c r="DD832" s="183">
        <v>1.5246423291824351E-2</v>
      </c>
      <c r="DE832" s="111">
        <f>VLOOKUP(H832,'HW Dx Data'!$E:$F,2,FALSE)</f>
        <v>361.34816573413599</v>
      </c>
      <c r="DF832" s="66"/>
      <c r="DG832" s="69"/>
      <c r="DH832" s="66">
        <f>HLOOKUP(H832,'GDP-PI'!$8:$9,2,FALSE)</f>
        <v>81.039000000000001</v>
      </c>
      <c r="DI832" s="69">
        <f>LN(DH832/DH831)</f>
        <v>1.513136459537477E-2</v>
      </c>
      <c r="EB832"/>
    </row>
    <row r="833" spans="1:132" s="160" customFormat="1" ht="21">
      <c r="A833" s="160" t="s">
        <v>208</v>
      </c>
      <c r="B833" s="161" t="s">
        <v>208</v>
      </c>
      <c r="C833" s="161">
        <v>4004218</v>
      </c>
      <c r="D833" s="161" t="s">
        <v>209</v>
      </c>
      <c r="E833" s="161"/>
      <c r="F833" s="161"/>
      <c r="G833" s="161" t="s">
        <v>114</v>
      </c>
      <c r="H833" s="162">
        <v>2003</v>
      </c>
      <c r="I833" s="163"/>
      <c r="J833" s="159"/>
      <c r="K833" s="159"/>
      <c r="L833" s="159"/>
      <c r="M833" s="76"/>
      <c r="N833" s="152"/>
      <c r="O833" s="76"/>
      <c r="P833" s="76"/>
      <c r="Q833" s="159"/>
      <c r="R833" s="159"/>
      <c r="S833" s="159"/>
      <c r="T833" s="159"/>
      <c r="U833" s="159"/>
      <c r="V833" s="159"/>
      <c r="W833" s="159">
        <f t="shared" si="1515"/>
        <v>136189.48401067601</v>
      </c>
      <c r="X833" s="163"/>
      <c r="Y833" s="167">
        <v>10630.782528797192</v>
      </c>
      <c r="Z833" s="168">
        <v>3.9481075226242383E-2</v>
      </c>
      <c r="AA833" s="78"/>
      <c r="AB833" s="168"/>
      <c r="AC833" s="168"/>
      <c r="AD833" s="163">
        <f t="shared" si="1526"/>
        <v>136189.48401067601</v>
      </c>
      <c r="AE833" s="168"/>
      <c r="AF833" s="163"/>
      <c r="AG833" s="163"/>
      <c r="AH833" s="163"/>
      <c r="AI833" s="163"/>
      <c r="AJ833" s="167"/>
      <c r="AK833" s="168"/>
      <c r="AL833" s="115"/>
      <c r="AM833" s="115"/>
      <c r="AN833" s="115"/>
      <c r="AO833" s="115"/>
      <c r="AP833" s="115"/>
      <c r="AQ833" s="168"/>
      <c r="AR833" s="79"/>
      <c r="AS833" s="115"/>
      <c r="AT833" s="115"/>
      <c r="AU833" s="115"/>
      <c r="AV833" s="113">
        <f>IFERROR(INDEX('Total Customers'!$F$7:$AB$91,MATCH($C833,'Total Customers'!$D$7:$D$91,0),MATCH($G833,'Total Customers'!$F$5:$AB$5,0)),"NA")</f>
        <v>3954719</v>
      </c>
      <c r="AW833" s="68">
        <f t="shared" si="1422"/>
        <v>4.0519747345786226E-3</v>
      </c>
      <c r="AX833" s="114"/>
      <c r="AY833" s="114"/>
      <c r="AZ833" s="116"/>
      <c r="BA833" s="116"/>
      <c r="BB833" s="166"/>
      <c r="BC833" s="166"/>
      <c r="BD833" s="166"/>
      <c r="BE833" s="166"/>
      <c r="BF833" s="166"/>
      <c r="BG833" s="166"/>
      <c r="BH833" s="166"/>
      <c r="BI833" s="113"/>
      <c r="BJ833" s="113"/>
      <c r="BK833" s="113">
        <f>INDEX('Dist. Plant Gas Additions'!$F$7:$AE$91,MATCH($C833,'Dist. Plant Gas Additions'!$D$7:$D$91,0),MATCH(Calculation!$G833,'Dist. Plant Gas Additions'!$F$5:$AE$5,0))</f>
        <v>171847</v>
      </c>
      <c r="BL833" s="113">
        <f>INDEX('Gen. Plant Additions'!$F$7:$AE$91,MATCH($C833,'Gen. Plant Additions'!$D$7:$D$91,0),MATCH(Calculation!$G833,'Gen. Plant Additions'!$F$5:$AE$5,0))</f>
        <v>1419</v>
      </c>
      <c r="BM833" s="231">
        <f t="shared" si="1516"/>
        <v>0.98485115150337044</v>
      </c>
      <c r="BN833" s="61">
        <f t="shared" si="1528"/>
        <v>1397.5037839832826</v>
      </c>
      <c r="BO833" s="113">
        <f>INDEX('Dist Plant Depreciation'!$E$7:$AD$94,MATCH($C833,'Dist Plant Depreciation'!$D$7:$D$94,0),MATCH(Calculation!$G833,'Dist Plant Depreciation'!$E$5:$AD$5,0))</f>
        <v>1863258</v>
      </c>
      <c r="BP833" s="113">
        <f>INDEX('Gen. Plant Depreciation'!$E$7:$AD$94,MATCH($C833,'Gen. Plant Depreciation'!$D$7:$D$94,0),MATCH(Calculation!$G833,'Gen. Plant Depreciation'!$E$5:$AD$5,0))</f>
        <v>24396</v>
      </c>
      <c r="BQ833" s="113"/>
      <c r="BR833" s="113"/>
      <c r="BS833" s="113"/>
      <c r="BT833" s="113"/>
      <c r="BU833" s="113"/>
      <c r="BV833" s="175"/>
      <c r="BW833" s="113">
        <f>INDEX('Gross Dx Plant'!$E$7:$AD$91,MATCH($C833,'Gross Dx Plant'!$D$7:$D$91,0),MATCH(Calculation!$G833,'Gross Dx Plant'!$E$5:$AD$5,0))</f>
        <v>4498999</v>
      </c>
      <c r="BX833" s="113">
        <f>INDEX('Gross Gen Plant'!$E$7:$AD$91,MATCH($C833,'Gross Gen Plant'!$D$7:$D$91,0),MATCH(Calculation!$G833,'Gross Gen Plant'!$E$5:$AD$5,0))</f>
        <v>69203</v>
      </c>
      <c r="BY833" s="113">
        <f t="shared" ref="BY833:BY875" si="1532">IF(OR(BO833="NA",BP833="NA"),"NA",(SUM(BW833:BX833)-SUM(BO833:BP833)))</f>
        <v>2680548</v>
      </c>
      <c r="BZ833" s="113"/>
      <c r="CA833" s="116">
        <v>2003</v>
      </c>
      <c r="CB833" s="113"/>
      <c r="CC833" s="113"/>
      <c r="CD833" s="113"/>
      <c r="CE833" s="175"/>
      <c r="CF833" s="113">
        <f t="shared" si="1517"/>
        <v>173266</v>
      </c>
      <c r="CG833" s="113">
        <f t="shared" si="1518"/>
        <v>469.25923430187072</v>
      </c>
      <c r="CH833" s="178">
        <v>0.97354497354497349</v>
      </c>
      <c r="CI833" s="61">
        <f>+CI828*CH833+CG829*CH832+CG830*CH831+CG831*CH830+CG832*CH829+CG833</f>
        <v>10630.782528797192</v>
      </c>
      <c r="CJ833" s="114">
        <f t="shared" si="1519"/>
        <v>3.9481075226242383E-2</v>
      </c>
      <c r="CK833" s="114"/>
      <c r="CL833" s="169">
        <f t="shared" si="1520"/>
        <v>5.64835578704767E-3</v>
      </c>
      <c r="CM833" s="169">
        <f t="shared" si="1529"/>
        <v>5.475213525360418E-3</v>
      </c>
      <c r="CN833" s="114">
        <f>VLOOKUP($H833,RoR!$E:$F,2,FALSE)</f>
        <v>5.6666666666666671E-2</v>
      </c>
      <c r="CO833" s="169">
        <v>1.8855119140166909E-2</v>
      </c>
      <c r="CP833" s="169">
        <f t="shared" si="1527"/>
        <v>3.7811547526499761E-2</v>
      </c>
      <c r="CQ833" s="169">
        <f t="shared" si="1530"/>
        <v>2.5426728083173207E-2</v>
      </c>
      <c r="CR833" s="169">
        <f t="shared" si="1531"/>
        <v>2.1375012817671957E-2</v>
      </c>
      <c r="CS833" s="179">
        <f t="shared" si="1521"/>
        <v>0.84923979999999999</v>
      </c>
      <c r="CT833" s="180">
        <f t="shared" si="1522"/>
        <v>0.90497737556561086</v>
      </c>
      <c r="CU833" s="180">
        <f t="shared" si="1523"/>
        <v>0.5338235294117647</v>
      </c>
      <c r="CV833" s="180">
        <f t="shared" si="1524"/>
        <v>0.88972433127405692</v>
      </c>
      <c r="CW833" s="180">
        <f t="shared" si="1525"/>
        <v>0.42982423775949252</v>
      </c>
      <c r="CX833" s="181">
        <f>INDEX('State Tax Lookup'!$D$7:$Z$91,MATCH(Calculation!$C833,'State Tax Lookup'!$B$7:$B$91,0),MATCH($H833,'State Tax Lookup'!$D$6:$Z$6,0))</f>
        <v>0.40745999999999999</v>
      </c>
      <c r="CY833" s="72">
        <v>0.37</v>
      </c>
      <c r="CZ833" s="182">
        <v>13.326765429341567</v>
      </c>
      <c r="DA833" s="182"/>
      <c r="DB833" s="69">
        <f t="shared" ref="DB833:DB850" si="1533">LN(CZ833/CZ832)</f>
        <v>1.6022047284046107E-2</v>
      </c>
      <c r="DC833" s="181">
        <v>5.6666666666666671E-2</v>
      </c>
      <c r="DD833" s="183">
        <v>1.8855119140166909E-2</v>
      </c>
      <c r="DE833" s="111">
        <f>VLOOKUP(H833,'HW Dx Data'!$E:$F,2,FALSE)</f>
        <v>369.23301095560191</v>
      </c>
      <c r="DF833" s="66"/>
      <c r="DG833" s="69"/>
      <c r="DH833" s="66">
        <f>HLOOKUP(H833,'GDP-PI'!$8:$9,2,FALSE)</f>
        <v>82.566999999999993</v>
      </c>
      <c r="DI833" s="69">
        <f t="shared" ref="DI833:DI852" si="1534">LN(DH833/DH832)</f>
        <v>1.8679564681853753E-2</v>
      </c>
      <c r="EB833"/>
    </row>
    <row r="834" spans="1:132" s="160" customFormat="1" ht="21">
      <c r="A834" s="160" t="s">
        <v>208</v>
      </c>
      <c r="B834" s="161" t="s">
        <v>208</v>
      </c>
      <c r="C834" s="161">
        <v>4004218</v>
      </c>
      <c r="D834" s="161" t="s">
        <v>209</v>
      </c>
      <c r="E834" s="161"/>
      <c r="F834" s="161"/>
      <c r="G834" s="161" t="s">
        <v>115</v>
      </c>
      <c r="H834" s="162">
        <v>2004</v>
      </c>
      <c r="I834" s="163"/>
      <c r="J834" s="159">
        <f>IFERROR(INDEX('Labor Expenditures'!$F$7:$X$91,MATCH($C834,'Labor Expenditures'!$D$7:$D$91,0),MATCH($G834,'Labor Expenditures'!$F$5:$X$5,0)),"NA")</f>
        <v>172696.34960420371</v>
      </c>
      <c r="K834" s="159">
        <f t="shared" ref="K834:K852" si="1535">+J834/DF834</f>
        <v>1830.3799640085185</v>
      </c>
      <c r="L834" s="165"/>
      <c r="M834" s="76"/>
      <c r="N834" s="152"/>
      <c r="O834" s="76"/>
      <c r="P834" s="76"/>
      <c r="Q834" s="159">
        <f>IFERROR(INDEX('Non-Labor Expenditures'!$F$7:$AB$91,MATCH($C834,'Non-Labor Expenditures'!$D$7:$D$91,0),MATCH($G834,'Non-Labor Expenditures'!$F$5:$AB$5,0)),"NA")</f>
        <v>250096.56945572305</v>
      </c>
      <c r="R834" s="159">
        <f t="shared" ref="R834:R852" si="1536">+Q834/DH834</f>
        <v>2950.0173329840645</v>
      </c>
      <c r="S834" s="159"/>
      <c r="T834" s="159"/>
      <c r="U834" s="159"/>
      <c r="V834" s="159"/>
      <c r="W834" s="159">
        <f t="shared" si="1515"/>
        <v>156896.74682276355</v>
      </c>
      <c r="X834" s="163"/>
      <c r="Y834" s="167">
        <v>10982.808134453637</v>
      </c>
      <c r="Z834" s="168">
        <v>3.2577348562050093E-2</v>
      </c>
      <c r="AA834" s="76">
        <f t="shared" ref="AA834:AA852" si="1537">+Z834*$AR834</f>
        <v>0</v>
      </c>
      <c r="AB834" s="168"/>
      <c r="AC834" s="168"/>
      <c r="AD834" s="163">
        <f t="shared" si="1526"/>
        <v>579689.66588269034</v>
      </c>
      <c r="AE834" s="168"/>
      <c r="AF834" s="163"/>
      <c r="AG834" s="163"/>
      <c r="AH834" s="163"/>
      <c r="AI834" s="163"/>
      <c r="AJ834" s="167"/>
      <c r="AK834" s="168"/>
      <c r="AL834" s="115">
        <f t="shared" ref="AL834:AL852" si="1538">+J834/AD834</f>
        <v>0.29791172720189846</v>
      </c>
      <c r="AM834" s="115">
        <f t="shared" ref="AM834:AM852" si="1539">+Q834/AD834</f>
        <v>0.43143182322372842</v>
      </c>
      <c r="AN834" s="115">
        <f t="shared" ref="AN834:AN852" si="1540">+W834/AD834</f>
        <v>0.27065644957437307</v>
      </c>
      <c r="AO834" s="115"/>
      <c r="AP834" s="115"/>
      <c r="AQ834" s="168"/>
      <c r="AR834" s="79"/>
      <c r="AS834" s="115"/>
      <c r="AT834" s="115"/>
      <c r="AU834" s="115"/>
      <c r="AV834" s="113">
        <f>IFERROR(INDEX('Total Customers'!$F$7:$AB$91,MATCH($C834,'Total Customers'!$D$7:$D$91,0),MATCH($G834,'Total Customers'!$F$5:$AB$5,0)),"NA")</f>
        <v>4030373</v>
      </c>
      <c r="AW834" s="68">
        <f t="shared" si="1422"/>
        <v>1.8949378116012383E-2</v>
      </c>
      <c r="AX834" s="114"/>
      <c r="AY834" s="114"/>
      <c r="AZ834" s="116"/>
      <c r="BA834" s="116"/>
      <c r="BB834" s="166"/>
      <c r="BC834" s="166"/>
      <c r="BD834" s="166"/>
      <c r="BE834" s="166"/>
      <c r="BF834" s="166"/>
      <c r="BG834" s="166"/>
      <c r="BH834" s="166"/>
      <c r="BI834" s="113"/>
      <c r="BJ834" s="113"/>
      <c r="BK834" s="113">
        <f>INDEX('Dist. Plant Gas Additions'!$F$7:$AE$91,MATCH($C834,'Dist. Plant Gas Additions'!$D$7:$D$91,0),MATCH(Calculation!$G834,'Dist. Plant Gas Additions'!$F$5:$AE$5,0))</f>
        <v>170384</v>
      </c>
      <c r="BL834" s="113">
        <f>INDEX('Gen. Plant Additions'!$F$7:$AE$91,MATCH($C834,'Gen. Plant Additions'!$D$7:$D$91,0),MATCH(Calculation!$G834,'Gen. Plant Additions'!$F$5:$AE$5,0))</f>
        <v>1351</v>
      </c>
      <c r="BM834" s="231">
        <f t="shared" si="1516"/>
        <v>0.98543687462443974</v>
      </c>
      <c r="BN834" s="61">
        <f t="shared" si="1528"/>
        <v>1331.3252176176181</v>
      </c>
      <c r="BO834" s="113">
        <f>INDEX('Dist Plant Depreciation'!$E$7:$AD$94,MATCH($C834,'Dist Plant Depreciation'!$D$7:$D$94,0),MATCH(Calculation!$G834,'Dist Plant Depreciation'!$E$5:$AD$5,0))</f>
        <v>2860618</v>
      </c>
      <c r="BP834" s="113">
        <f>INDEX('Gen. Plant Depreciation'!$E$7:$AD$94,MATCH($C834,'Gen. Plant Depreciation'!$D$7:$D$94,0),MATCH(Calculation!$G834,'Gen. Plant Depreciation'!$E$5:$AD$5,0))</f>
        <v>25631</v>
      </c>
      <c r="BQ834" s="113"/>
      <c r="BR834" s="113"/>
      <c r="BS834" s="113"/>
      <c r="BT834" s="113"/>
      <c r="BU834" s="113"/>
      <c r="BV834" s="175"/>
      <c r="BW834" s="113">
        <f>INDEX('Gross Dx Plant'!$E$7:$AD$91,MATCH($C834,'Gross Dx Plant'!$D$7:$D$91,0),MATCH(Calculation!$G834,'Gross Dx Plant'!$E$5:$AD$5,0))</f>
        <v>4634484</v>
      </c>
      <c r="BX834" s="113">
        <f>INDEX('Gross Gen Plant'!$E$7:$AD$91,MATCH($C834,'Gross Gen Plant'!$D$7:$D$91,0),MATCH(Calculation!$G834,'Gross Gen Plant'!$E$5:$AD$5,0))</f>
        <v>68490</v>
      </c>
      <c r="BY834" s="113">
        <f t="shared" si="1532"/>
        <v>1816725</v>
      </c>
      <c r="BZ834" s="113"/>
      <c r="CA834" s="116">
        <v>2004</v>
      </c>
      <c r="CB834" s="113"/>
      <c r="CC834" s="113"/>
      <c r="CD834" s="113"/>
      <c r="CE834" s="175"/>
      <c r="CF834" s="113">
        <f t="shared" si="1517"/>
        <v>171735</v>
      </c>
      <c r="CG834" s="113">
        <f t="shared" si="1518"/>
        <v>413.93179538815554</v>
      </c>
      <c r="CH834" s="178">
        <v>0.967741935483871</v>
      </c>
      <c r="CI834" s="61">
        <f>+CI828*CH834+CG829*CH833+CG830*CH832+CG831*CH831+CG832*CH830+CG833*CH829+CG834</f>
        <v>10982.808134453637</v>
      </c>
      <c r="CJ834" s="114">
        <f t="shared" si="1519"/>
        <v>3.2577348562050093E-2</v>
      </c>
      <c r="CK834" s="114"/>
      <c r="CL834" s="169">
        <f t="shared" si="1520"/>
        <v>5.8232956571180041E-3</v>
      </c>
      <c r="CM834" s="169">
        <f t="shared" si="1529"/>
        <v>5.7231538637968907E-3</v>
      </c>
      <c r="CN834" s="114">
        <f>VLOOKUP($H834,RoR!$E:$F,2,FALSE)</f>
        <v>5.6283333333333331E-2</v>
      </c>
      <c r="CO834" s="169">
        <v>2.6778252812867276E-2</v>
      </c>
      <c r="CP834" s="169">
        <f t="shared" si="1527"/>
        <v>2.9505080520466055E-2</v>
      </c>
      <c r="CQ834" s="169">
        <f t="shared" si="1530"/>
        <v>2.5178787744736735E-2</v>
      </c>
      <c r="CR834" s="169">
        <f t="shared" si="1531"/>
        <v>5.5940039414565046E-2</v>
      </c>
      <c r="CS834" s="179">
        <f t="shared" si="1521"/>
        <v>0.84923979999999999</v>
      </c>
      <c r="CT834" s="180">
        <f t="shared" si="1522"/>
        <v>0.91114097628755619</v>
      </c>
      <c r="CU834" s="180">
        <f t="shared" si="1523"/>
        <v>0.53081877405981637</v>
      </c>
      <c r="CV834" s="180">
        <f t="shared" si="1524"/>
        <v>0.88811215519385678</v>
      </c>
      <c r="CW834" s="180">
        <f t="shared" si="1525"/>
        <v>0.42953609753547711</v>
      </c>
      <c r="CX834" s="181">
        <f>INDEX('State Tax Lookup'!$D$7:$Z$91,MATCH(Calculation!$C834,'State Tax Lookup'!$B$7:$B$91,0),MATCH($H834,'State Tax Lookup'!$D$6:$Z$6,0))</f>
        <v>0.40745999999999999</v>
      </c>
      <c r="CY834" s="72">
        <v>0.37</v>
      </c>
      <c r="CZ834" s="182">
        <v>14.758720385611674</v>
      </c>
      <c r="DA834" s="182"/>
      <c r="DB834" s="69">
        <f t="shared" si="1533"/>
        <v>0.10205966938960949</v>
      </c>
      <c r="DC834" s="181">
        <v>5.6283333333333331E-2</v>
      </c>
      <c r="DD834" s="183">
        <v>2.6778252812867276E-2</v>
      </c>
      <c r="DE834" s="111">
        <f>VLOOKUP(H834,'HW Dx Data'!$E:$F,2,FALSE)</f>
        <v>414.88719135228365</v>
      </c>
      <c r="DF834" s="72">
        <f>VLOOKUP(G834,EG$8:EH$27,2,FALSE)</f>
        <v>94.35</v>
      </c>
      <c r="DG834" s="69"/>
      <c r="DH834" s="66">
        <f>HLOOKUP(H834,'GDP-PI'!$8:$9,2,FALSE)</f>
        <v>84.778000000000006</v>
      </c>
      <c r="DI834" s="69">
        <f t="shared" si="1534"/>
        <v>2.6425990216022755E-2</v>
      </c>
      <c r="EB834"/>
    </row>
    <row r="835" spans="1:132" s="160" customFormat="1" ht="21">
      <c r="A835" s="160" t="s">
        <v>208</v>
      </c>
      <c r="B835" s="161" t="s">
        <v>208</v>
      </c>
      <c r="C835" s="161">
        <v>4004218</v>
      </c>
      <c r="D835" s="161" t="s">
        <v>209</v>
      </c>
      <c r="E835" s="161"/>
      <c r="F835" s="161"/>
      <c r="G835" s="161" t="s">
        <v>116</v>
      </c>
      <c r="H835" s="162">
        <v>2005</v>
      </c>
      <c r="I835" s="163"/>
      <c r="J835" s="159">
        <f>IFERROR(INDEX('Labor Expenditures'!$F$7:$X$91,MATCH($C835,'Labor Expenditures'!$D$7:$D$91,0),MATCH($G835,'Labor Expenditures'!$F$5:$X$5,0)),"NA")</f>
        <v>215708.0005698051</v>
      </c>
      <c r="K835" s="159">
        <f t="shared" si="1535"/>
        <v>2173.927947289545</v>
      </c>
      <c r="L835" s="165">
        <f t="shared" ref="L835:L851" si="1541">LN(K835/K834)</f>
        <v>0.17201206932186019</v>
      </c>
      <c r="M835" s="76"/>
      <c r="N835" s="62">
        <v>100</v>
      </c>
      <c r="O835" s="77"/>
      <c r="P835" s="77"/>
      <c r="Q835" s="159">
        <f>IFERROR(INDEX('Non-Labor Expenditures'!$F$7:$AB$91,MATCH($C835,'Non-Labor Expenditures'!$D$7:$D$91,0),MATCH($G835,'Non-Labor Expenditures'!$F$5:$AB$5,0)),"NA")</f>
        <v>312385.47352218168</v>
      </c>
      <c r="R835" s="159">
        <f t="shared" si="1536"/>
        <v>3573.9182619490625</v>
      </c>
      <c r="S835" s="165">
        <f>LN(R835/R834)</f>
        <v>0.19185150036569643</v>
      </c>
      <c r="T835" s="165"/>
      <c r="U835" s="165"/>
      <c r="V835" s="165"/>
      <c r="W835" s="159">
        <f t="shared" si="1515"/>
        <v>182659.28173297294</v>
      </c>
      <c r="X835" s="163"/>
      <c r="Y835" s="167">
        <v>11320.763889037349</v>
      </c>
      <c r="Z835" s="168">
        <v>3.0307398528814328E-2</v>
      </c>
      <c r="AA835" s="76">
        <f t="shared" si="1537"/>
        <v>0</v>
      </c>
      <c r="AB835" s="168"/>
      <c r="AC835" s="168"/>
      <c r="AD835" s="163">
        <f t="shared" si="1526"/>
        <v>710752.75582495972</v>
      </c>
      <c r="AE835" s="168">
        <f>LN(AD835/AD834)</f>
        <v>0.20383172634894309</v>
      </c>
      <c r="AF835" s="163"/>
      <c r="AG835" s="163"/>
      <c r="AH835" s="163"/>
      <c r="AI835" s="163"/>
      <c r="AJ835" s="116"/>
      <c r="AK835" s="114"/>
      <c r="AL835" s="115">
        <f t="shared" si="1538"/>
        <v>0.30349231684573091</v>
      </c>
      <c r="AM835" s="115">
        <f t="shared" si="1539"/>
        <v>0.43951355933836755</v>
      </c>
      <c r="AN835" s="115">
        <f t="shared" si="1540"/>
        <v>0.25699412381590153</v>
      </c>
      <c r="AO835" s="115">
        <f t="shared" ref="AO835:AO851" si="1542">+(((AL835+AL834)/2)*L835+((AM834+AM835)/2)*S835+((AN834+AN835)/2)*Z835)</f>
        <v>0.14326632435398892</v>
      </c>
      <c r="AP835" s="166">
        <v>100</v>
      </c>
      <c r="AQ835" s="168"/>
      <c r="AR835" s="16"/>
      <c r="AS835" s="115"/>
      <c r="AT835" s="115"/>
      <c r="AU835" s="115"/>
      <c r="AV835" s="113">
        <f>IFERROR(INDEX('Total Customers'!$F$7:$AB$91,MATCH($C835,'Total Customers'!$D$7:$D$91,0),MATCH($G835,'Total Customers'!$F$5:$AB$5,0)),"NA")</f>
        <v>4128646</v>
      </c>
      <c r="AW835" s="68">
        <f t="shared" si="1422"/>
        <v>2.4090580676858746E-2</v>
      </c>
      <c r="AX835" s="114"/>
      <c r="AY835" s="114"/>
      <c r="AZ835" s="116"/>
      <c r="BA835" s="116"/>
      <c r="BB835" s="166"/>
      <c r="BC835" s="166"/>
      <c r="BD835" s="166"/>
      <c r="BE835" s="166"/>
      <c r="BF835" s="166"/>
      <c r="BG835" s="166"/>
      <c r="BH835" s="166"/>
      <c r="BI835" s="113"/>
      <c r="BJ835" s="113"/>
      <c r="BK835" s="113">
        <f>INDEX('Dist. Plant Gas Additions'!$F$7:$AE$91,MATCH($C835,'Dist. Plant Gas Additions'!$D$7:$D$91,0),MATCH(Calculation!$G835,'Dist. Plant Gas Additions'!$F$5:$AE$5,0))</f>
        <v>188063</v>
      </c>
      <c r="BL835" s="113">
        <f>INDEX('Gen. Plant Additions'!$F$7:$AE$91,MATCH($C835,'Gen. Plant Additions'!$D$7:$D$91,0),MATCH(Calculation!$G835,'Gen. Plant Additions'!$F$5:$AE$5,0))</f>
        <v>1464</v>
      </c>
      <c r="BM835" s="231">
        <f t="shared" si="1516"/>
        <v>0.98608421635014376</v>
      </c>
      <c r="BN835" s="61">
        <f t="shared" si="1528"/>
        <v>1443.6272927366106</v>
      </c>
      <c r="BO835" s="113">
        <f>INDEX('Dist Plant Depreciation'!$E$7:$AD$94,MATCH($C835,'Dist Plant Depreciation'!$D$7:$D$94,0),MATCH(Calculation!$G835,'Dist Plant Depreciation'!$E$5:$AD$5,0))</f>
        <v>3005126</v>
      </c>
      <c r="BP835" s="113">
        <f>INDEX('Gen. Plant Depreciation'!$E$7:$AD$94,MATCH($C835,'Gen. Plant Depreciation'!$D$7:$D$94,0),MATCH(Calculation!$G835,'Gen. Plant Depreciation'!$E$5:$AD$5,0))</f>
        <v>26337</v>
      </c>
      <c r="BQ835" s="113"/>
      <c r="BR835" s="113"/>
      <c r="BS835" s="113"/>
      <c r="BT835" s="113"/>
      <c r="BU835" s="113"/>
      <c r="BV835" s="175"/>
      <c r="BW835" s="113">
        <f>INDEX('Gross Dx Plant'!$E$7:$AD$91,MATCH($C835,'Gross Dx Plant'!$D$7:$D$91,0),MATCH(Calculation!$G835,'Gross Dx Plant'!$E$5:$AD$5,0))</f>
        <v>4837174</v>
      </c>
      <c r="BX835" s="113">
        <f>INDEX('Gross Gen Plant'!$E$7:$AD$91,MATCH($C835,'Gross Gen Plant'!$D$7:$D$91,0),MATCH(Calculation!$G835,'Gross Gen Plant'!$E$5:$AD$5,0))</f>
        <v>68263</v>
      </c>
      <c r="BY835" s="113">
        <f t="shared" si="1532"/>
        <v>1873974</v>
      </c>
      <c r="BZ835" s="113"/>
      <c r="CA835" s="116">
        <v>2005</v>
      </c>
      <c r="CB835" s="113"/>
      <c r="CC835" s="113"/>
      <c r="CD835" s="113"/>
      <c r="CE835" s="175"/>
      <c r="CF835" s="113">
        <f t="shared" si="1517"/>
        <v>189527</v>
      </c>
      <c r="CG835" s="113">
        <f t="shared" si="1518"/>
        <v>403.93206233606315</v>
      </c>
      <c r="CH835" s="178">
        <v>0.96174863387978138</v>
      </c>
      <c r="CI835" s="61">
        <f>+CI828*CH835+CG829*CH834+CG830*CH833+CG831*CH832+CG832*CH831+CG833*CH830+CG834*CH829+CG835</f>
        <v>11320.763889037349</v>
      </c>
      <c r="CJ835" s="114">
        <f t="shared" si="1519"/>
        <v>3.0307398528814328E-2</v>
      </c>
      <c r="CK835" s="114"/>
      <c r="CL835" s="169">
        <f t="shared" si="1520"/>
        <v>6.0072348478327382E-3</v>
      </c>
      <c r="CM835" s="169">
        <f t="shared" si="1529"/>
        <v>5.8262954306661377E-3</v>
      </c>
      <c r="CN835" s="114">
        <f>VLOOKUP($H835,RoR!$E:$F,2,FALSE)</f>
        <v>5.2350000000000001E-2</v>
      </c>
      <c r="CO835" s="169">
        <v>3.1010403642454332E-2</v>
      </c>
      <c r="CP835" s="169">
        <f t="shared" si="1527"/>
        <v>2.1339596357545669E-2</v>
      </c>
      <c r="CQ835" s="169">
        <f t="shared" si="1530"/>
        <v>2.5075646177867488E-2</v>
      </c>
      <c r="CR835" s="169">
        <f t="shared" si="1531"/>
        <v>9.2129610649277341E-2</v>
      </c>
      <c r="CS835" s="179">
        <f t="shared" si="1521"/>
        <v>0.84923979999999999</v>
      </c>
      <c r="CT835" s="180">
        <f t="shared" si="1522"/>
        <v>0.97959983346802826</v>
      </c>
      <c r="CU835" s="180">
        <f t="shared" si="1523"/>
        <v>0.49744508118433622</v>
      </c>
      <c r="CV835" s="180">
        <f t="shared" si="1524"/>
        <v>0.87010519444335932</v>
      </c>
      <c r="CW835" s="180">
        <f t="shared" si="1525"/>
        <v>0.42399975420741998</v>
      </c>
      <c r="CX835" s="181">
        <f>INDEX('State Tax Lookup'!$D$7:$Z$91,MATCH(Calculation!$C835,'State Tax Lookup'!$B$7:$B$91,0),MATCH($H835,'State Tax Lookup'!$D$6:$Z$6,0))</f>
        <v>0.40745999999999999</v>
      </c>
      <c r="CY835" s="72">
        <v>0.37</v>
      </c>
      <c r="CZ835" s="182">
        <v>16.6313823838879</v>
      </c>
      <c r="DA835" s="182"/>
      <c r="DB835" s="69">
        <f t="shared" si="1533"/>
        <v>0.11945729498798224</v>
      </c>
      <c r="DC835" s="181">
        <v>5.2350000000000001E-2</v>
      </c>
      <c r="DD835" s="183">
        <v>3.1010403642454332E-2</v>
      </c>
      <c r="DE835" s="111">
        <f>VLOOKUP(H835,'HW Dx Data'!$E:$F,2,FALSE)</f>
        <v>469.20514034936258</v>
      </c>
      <c r="DF835" s="72">
        <f t="shared" ref="DF835:DF853" si="1543">VLOOKUP(G835,EG$8:EH$27,2,FALSE)</f>
        <v>99.224999999999994</v>
      </c>
      <c r="DG835" s="69">
        <f t="shared" ref="DG835:DG853" si="1544">LN(DF835/DF834)</f>
        <v>5.0378726854569796E-2</v>
      </c>
      <c r="DH835" s="66">
        <f>HLOOKUP(H835,'GDP-PI'!$8:$9,2,FALSE)</f>
        <v>87.406999999999996</v>
      </c>
      <c r="DI835" s="69">
        <f t="shared" si="1534"/>
        <v>3.0539295810733648E-2</v>
      </c>
      <c r="EB835"/>
    </row>
    <row r="836" spans="1:132" s="160" customFormat="1" ht="21">
      <c r="A836" s="160" t="s">
        <v>208</v>
      </c>
      <c r="B836" s="161" t="s">
        <v>208</v>
      </c>
      <c r="C836" s="161">
        <v>4004218</v>
      </c>
      <c r="D836" s="161" t="s">
        <v>209</v>
      </c>
      <c r="E836" s="161"/>
      <c r="F836" s="161"/>
      <c r="G836" s="161" t="s">
        <v>117</v>
      </c>
      <c r="H836" s="162">
        <v>2006</v>
      </c>
      <c r="I836" s="163"/>
      <c r="J836" s="159">
        <f>IFERROR(INDEX('Labor Expenditures'!$F$7:$X$91,MATCH($C836,'Labor Expenditures'!$D$7:$D$91,0),MATCH($G836,'Labor Expenditures'!$F$5:$X$5,0)),"NA")</f>
        <v>195708.5494301529</v>
      </c>
      <c r="K836" s="159">
        <f t="shared" si="1535"/>
        <v>1788.9264116101726</v>
      </c>
      <c r="L836" s="165">
        <f t="shared" si="1541"/>
        <v>-0.19491997536021199</v>
      </c>
      <c r="M836" s="76">
        <f t="shared" ref="M836:M852" si="1545">+L836*$AR836</f>
        <v>-1.6240441209271671E-2</v>
      </c>
      <c r="N836" s="62">
        <f>+N835*EXP(O836)</f>
        <v>109.67754357124397</v>
      </c>
      <c r="O836" s="96">
        <f t="shared" ref="O836:O852" si="1546">+M836+M861+M886+M911+M936+M961+M986+M1011+M1036+M1061+M1086+M1111+M1136+M1161+M1186+M1211+M1236+M1261+M1286+M1311+M1336+M1361+M1386+M1411+M1436+M1461+M1486+M1511+M1536+M1561+M1586+M1611+M1636+M1661+M1686+M1711+M1736+M1761+M1786+M1811+M1836+M1861+M1886+M1911+M1936+M1961+M1986+M2011+M2036+M2061+M2086+M2111+M2136+M2161</f>
        <v>9.2374452691715972E-2</v>
      </c>
      <c r="P836" s="96"/>
      <c r="Q836" s="159">
        <f>IFERROR(INDEX('Non-Labor Expenditures'!$F$7:$AB$91,MATCH($C836,'Non-Labor Expenditures'!$D$7:$D$91,0),MATCH($G836,'Non-Labor Expenditures'!$F$5:$AB$5,0)),"NA")</f>
        <v>283422.53288974916</v>
      </c>
      <c r="R836" s="159">
        <f t="shared" si="1536"/>
        <v>3146.5520892793611</v>
      </c>
      <c r="S836" s="165">
        <f t="shared" ref="S836:S851" si="1547">LN(R836/R835)</f>
        <v>-0.12735526776691453</v>
      </c>
      <c r="T836" s="165">
        <f t="shared" ref="T836:T852" si="1548">+S836*AR836</f>
        <v>-1.0611050689070728E-2</v>
      </c>
      <c r="U836" s="165"/>
      <c r="V836" s="165"/>
      <c r="W836" s="159">
        <f t="shared" si="1515"/>
        <v>184053.06143028621</v>
      </c>
      <c r="X836" s="163"/>
      <c r="Y836" s="167">
        <v>11689.916162870533</v>
      </c>
      <c r="Z836" s="168">
        <v>3.2088051899988763E-2</v>
      </c>
      <c r="AA836" s="76">
        <f t="shared" si="1537"/>
        <v>2.6735285567258491E-3</v>
      </c>
      <c r="AB836" s="168"/>
      <c r="AC836" s="168"/>
      <c r="AD836" s="163">
        <f t="shared" si="1526"/>
        <v>663184.14375018817</v>
      </c>
      <c r="AE836" s="168">
        <f t="shared" ref="AE836:AE852" si="1549">LN(AD836/AD835)</f>
        <v>-6.9271933036097327E-2</v>
      </c>
      <c r="AF836" s="163"/>
      <c r="AG836" s="163"/>
      <c r="AH836" s="163"/>
      <c r="AI836" s="163"/>
      <c r="AJ836" s="116">
        <f t="shared" ref="AJ836:AJ852" si="1550">+(AD836*1000)/AV836</f>
        <v>155.99957464875456</v>
      </c>
      <c r="AK836" s="114">
        <f>+AV836/$AX$11</f>
        <v>0.12257826943735828</v>
      </c>
      <c r="AL836" s="115">
        <f t="shared" si="1538"/>
        <v>0.29510438582481169</v>
      </c>
      <c r="AM836" s="115">
        <f t="shared" si="1539"/>
        <v>0.42736626857066462</v>
      </c>
      <c r="AN836" s="115">
        <f t="shared" si="1540"/>
        <v>0.27752934560452386</v>
      </c>
      <c r="AO836" s="115">
        <f t="shared" si="1542"/>
        <v>-0.10496417515590659</v>
      </c>
      <c r="AP836" s="166">
        <f>+AP835*EXP(AO836)</f>
        <v>90.035677714967463</v>
      </c>
      <c r="AQ836" s="168">
        <f>LN(AP836/AP835)</f>
        <v>-0.10496417515590657</v>
      </c>
      <c r="AR836" s="69">
        <f>+AD836/$AF$11</f>
        <v>8.3318506372983811E-2</v>
      </c>
      <c r="AS836" s="169">
        <f>+AR836*AQ836</f>
        <v>-8.7454582966623902E-3</v>
      </c>
      <c r="AT836" s="115"/>
      <c r="AU836" s="115"/>
      <c r="AV836" s="113">
        <f>IFERROR(INDEX('Total Customers'!$F$7:$AB$91,MATCH($C836,'Total Customers'!$D$7:$D$91,0),MATCH($G836,'Total Customers'!$F$5:$AB$5,0)),"NA")</f>
        <v>4251192</v>
      </c>
      <c r="AW836" s="68">
        <f t="shared" ref="AW836:AW899" si="1551">LN(AV836/AV835)</f>
        <v>2.9249906016348939E-2</v>
      </c>
      <c r="AX836" s="114"/>
      <c r="AY836" s="114"/>
      <c r="AZ836" s="116"/>
      <c r="BA836" s="116"/>
      <c r="BB836" s="166"/>
      <c r="BC836" s="166"/>
      <c r="BD836" s="166"/>
      <c r="BE836" s="166"/>
      <c r="BF836" s="166"/>
      <c r="BG836" s="166"/>
      <c r="BH836" s="166"/>
      <c r="BI836" s="113"/>
      <c r="BJ836" s="113"/>
      <c r="BK836" s="113">
        <f>INDEX('Dist. Plant Gas Additions'!$F$7:$AE$91,MATCH($C836,'Dist. Plant Gas Additions'!$D$7:$D$91,0),MATCH(Calculation!$G836,'Dist. Plant Gas Additions'!$F$5:$AE$5,0))</f>
        <v>201139</v>
      </c>
      <c r="BL836" s="113">
        <f>INDEX('Gen. Plant Additions'!$F$7:$AE$91,MATCH($C836,'Gen. Plant Additions'!$D$7:$D$91,0),MATCH(Calculation!$G836,'Gen. Plant Additions'!$F$5:$AE$5,0))</f>
        <v>1421</v>
      </c>
      <c r="BM836" s="231">
        <f t="shared" si="1516"/>
        <v>0.98689616807577796</v>
      </c>
      <c r="BN836" s="61">
        <f t="shared" si="1528"/>
        <v>1402.3794548356805</v>
      </c>
      <c r="BO836" s="113">
        <f>INDEX('Dist Plant Depreciation'!$E$7:$AD$94,MATCH($C836,'Dist Plant Depreciation'!$D$7:$D$94,0),MATCH(Calculation!$G836,'Dist Plant Depreciation'!$E$5:$AD$5,0))</f>
        <v>3129244</v>
      </c>
      <c r="BP836" s="113">
        <f>INDEX('Gen. Plant Depreciation'!$E$7:$AD$94,MATCH($C836,'Gen. Plant Depreciation'!$D$7:$D$94,0),MATCH(Calculation!$G836,'Gen. Plant Depreciation'!$E$5:$AD$5,0))</f>
        <v>25795</v>
      </c>
      <c r="BQ836" s="113"/>
      <c r="BR836" s="113"/>
      <c r="BS836" s="113"/>
      <c r="BT836" s="113"/>
      <c r="BU836" s="113"/>
      <c r="BV836" s="175"/>
      <c r="BW836" s="113">
        <f>INDEX('Gross Dx Plant'!$E$7:$AD$91,MATCH($C836,'Gross Dx Plant'!$D$7:$D$91,0),MATCH(Calculation!$G836,'Gross Dx Plant'!$E$5:$AD$5,0))</f>
        <v>5027707</v>
      </c>
      <c r="BX836" s="113">
        <f>INDEX('Gross Gen Plant'!$E$7:$AD$91,MATCH($C836,'Gross Gen Plant'!$D$7:$D$91,0),MATCH(Calculation!$G836,'Gross Gen Plant'!$E$5:$AD$5,0))</f>
        <v>66757</v>
      </c>
      <c r="BY836" s="113">
        <f t="shared" si="1532"/>
        <v>1939425</v>
      </c>
      <c r="BZ836" s="114"/>
      <c r="CA836" s="116">
        <v>2006</v>
      </c>
      <c r="CB836" s="113"/>
      <c r="CC836" s="113"/>
      <c r="CD836" s="113"/>
      <c r="CE836" s="175"/>
      <c r="CF836" s="113">
        <f t="shared" si="1517"/>
        <v>202560</v>
      </c>
      <c r="CG836" s="113">
        <f t="shared" si="1518"/>
        <v>439.31098270914561</v>
      </c>
      <c r="CH836" s="178">
        <v>0.9555555555555556</v>
      </c>
      <c r="CI836" s="61">
        <f>+CI828*CH836+CG829*CH835+CG830*CH834+CG831*CH833+CG832*CH832+CG833*CH831+CG834*CH830+CG835*CH829+CG836</f>
        <v>11689.916162870533</v>
      </c>
      <c r="CJ836" s="114">
        <f t="shared" si="1519"/>
        <v>3.2088051899988763E-2</v>
      </c>
      <c r="CK836" s="114"/>
      <c r="CL836" s="169">
        <f t="shared" si="1520"/>
        <v>6.1973475962961129E-3</v>
      </c>
      <c r="CM836" s="169">
        <f t="shared" si="1529"/>
        <v>6.0092927004156181E-3</v>
      </c>
      <c r="CN836" s="114">
        <f>VLOOKUP($H836,RoR!$E:$F,2,FALSE)</f>
        <v>5.5874999999999994E-2</v>
      </c>
      <c r="CO836" s="169">
        <v>3.0512430354548314E-2</v>
      </c>
      <c r="CP836" s="169">
        <f t="shared" si="1527"/>
        <v>2.536256964545168E-2</v>
      </c>
      <c r="CQ836" s="169">
        <f t="shared" si="1530"/>
        <v>2.4892648908118008E-2</v>
      </c>
      <c r="CR836" s="169">
        <f t="shared" si="1531"/>
        <v>7.9087823893859641E-2</v>
      </c>
      <c r="CS836" s="179">
        <f t="shared" si="1521"/>
        <v>0.84923979999999999</v>
      </c>
      <c r="CT836" s="180">
        <f t="shared" si="1522"/>
        <v>0.91779957551769631</v>
      </c>
      <c r="CU836" s="180">
        <f t="shared" si="1523"/>
        <v>0.52757270693512304</v>
      </c>
      <c r="CV836" s="180">
        <f t="shared" si="1524"/>
        <v>0.88636824549024895</v>
      </c>
      <c r="CW836" s="180">
        <f t="shared" si="1525"/>
        <v>0.42918482841932087</v>
      </c>
      <c r="CX836" s="181">
        <f>INDEX('State Tax Lookup'!$D$7:$Z$91,MATCH(Calculation!$C836,'State Tax Lookup'!$B$7:$B$91,0),MATCH($H836,'State Tax Lookup'!$D$6:$Z$6,0))</f>
        <v>0.40745999999999999</v>
      </c>
      <c r="CY836" s="72">
        <v>0.37</v>
      </c>
      <c r="CZ836" s="182">
        <v>16.258007254132124</v>
      </c>
      <c r="DA836" s="182">
        <v>14.788696346247992</v>
      </c>
      <c r="DB836" s="69">
        <f t="shared" si="1533"/>
        <v>-2.2705874147596124E-2</v>
      </c>
      <c r="DC836" s="181">
        <v>5.5874999999999994E-2</v>
      </c>
      <c r="DD836" s="183">
        <v>3.0512430354548314E-2</v>
      </c>
      <c r="DE836" s="111">
        <f>VLOOKUP(H836,'HW Dx Data'!$E:$F,2,FALSE)</f>
        <v>461.08567272971823</v>
      </c>
      <c r="DF836" s="72">
        <f t="shared" si="1543"/>
        <v>109.4</v>
      </c>
      <c r="DG836" s="69">
        <f t="shared" si="1544"/>
        <v>9.7620891318751846E-2</v>
      </c>
      <c r="DH836" s="66">
        <f>HLOOKUP(H836,'GDP-PI'!$8:$9,2,FALSE)</f>
        <v>90.073999999999998</v>
      </c>
      <c r="DI836" s="69">
        <f t="shared" si="1534"/>
        <v>3.005618372545445E-2</v>
      </c>
      <c r="EB836"/>
    </row>
    <row r="837" spans="1:132" s="160" customFormat="1" ht="21">
      <c r="A837" s="160" t="s">
        <v>208</v>
      </c>
      <c r="B837" s="161" t="s">
        <v>208</v>
      </c>
      <c r="C837" s="161">
        <v>4004218</v>
      </c>
      <c r="D837" s="161" t="s">
        <v>209</v>
      </c>
      <c r="E837" s="161"/>
      <c r="F837" s="161"/>
      <c r="G837" s="161" t="s">
        <v>118</v>
      </c>
      <c r="H837" s="162">
        <v>2007</v>
      </c>
      <c r="I837" s="163"/>
      <c r="J837" s="159">
        <f>IFERROR(INDEX('Labor Expenditures'!$F$7:$X$91,MATCH($C837,'Labor Expenditures'!$D$7:$D$91,0),MATCH($G837,'Labor Expenditures'!$F$5:$X$5,0)),"NA")</f>
        <v>196476.84044190843</v>
      </c>
      <c r="K837" s="159">
        <f t="shared" si="1535"/>
        <v>1879.7114608171103</v>
      </c>
      <c r="L837" s="165">
        <f t="shared" si="1541"/>
        <v>4.9502616905614374E-2</v>
      </c>
      <c r="M837" s="76">
        <f t="shared" si="1545"/>
        <v>4.0346218408890211E-3</v>
      </c>
      <c r="N837" s="62">
        <f t="shared" ref="N837:N850" si="1552">+N836*EXP(O837)</f>
        <v>118.3894352716635</v>
      </c>
      <c r="O837" s="96">
        <f t="shared" si="1546"/>
        <v>7.6434850664479206E-2</v>
      </c>
      <c r="P837" s="96"/>
      <c r="Q837" s="159">
        <f>IFERROR(INDEX('Non-Labor Expenditures'!$F$7:$AB$91,MATCH($C837,'Non-Labor Expenditures'!$D$7:$D$91,0),MATCH($G837,'Non-Labor Expenditures'!$F$5:$AB$5,0)),"NA")</f>
        <v>284535.1617717382</v>
      </c>
      <c r="R837" s="159">
        <f t="shared" si="1536"/>
        <v>3076.1223136904387</v>
      </c>
      <c r="S837" s="165">
        <f t="shared" si="1547"/>
        <v>-2.2637463789676134E-2</v>
      </c>
      <c r="T837" s="165">
        <f t="shared" si="1548"/>
        <v>-1.8450258094901445E-3</v>
      </c>
      <c r="U837" s="165"/>
      <c r="V837" s="165"/>
      <c r="W837" s="159">
        <f t="shared" si="1515"/>
        <v>204246.25467672962</v>
      </c>
      <c r="X837" s="163"/>
      <c r="Y837" s="167">
        <v>12027.587969555045</v>
      </c>
      <c r="Z837" s="168">
        <v>2.8476404837663682E-2</v>
      </c>
      <c r="AA837" s="76">
        <f t="shared" si="1537"/>
        <v>2.3209182077605509E-3</v>
      </c>
      <c r="AB837" s="168"/>
      <c r="AC837" s="168"/>
      <c r="AD837" s="163">
        <f t="shared" si="1526"/>
        <v>685258.25689037633</v>
      </c>
      <c r="AE837" s="168">
        <f t="shared" si="1549"/>
        <v>3.2743089731942752E-2</v>
      </c>
      <c r="AF837" s="163"/>
      <c r="AG837" s="163"/>
      <c r="AH837" s="163"/>
      <c r="AI837" s="163"/>
      <c r="AJ837" s="116">
        <f t="shared" si="1550"/>
        <v>159.17393079272338</v>
      </c>
      <c r="AK837" s="114">
        <f>+AV837/$AX$12</f>
        <v>0.12319778400917408</v>
      </c>
      <c r="AL837" s="115">
        <f t="shared" si="1538"/>
        <v>0.28671940610171975</v>
      </c>
      <c r="AM837" s="115">
        <f t="shared" si="1539"/>
        <v>0.415223251833442</v>
      </c>
      <c r="AN837" s="115">
        <f t="shared" si="1540"/>
        <v>0.29805734206483814</v>
      </c>
      <c r="AO837" s="115">
        <f t="shared" si="1542"/>
        <v>1.3059175028922534E-2</v>
      </c>
      <c r="AP837" s="166">
        <f>+AP836*EXP(AO837)</f>
        <v>91.219180353446831</v>
      </c>
      <c r="AQ837" s="168">
        <f>LN(AP837/AP836)</f>
        <v>1.3059175028922598E-2</v>
      </c>
      <c r="AR837" s="69">
        <f>+AD837/$AF$12</f>
        <v>8.1503203125235818E-2</v>
      </c>
      <c r="AS837" s="169">
        <f t="shared" ref="AS837:AS851" si="1553">+AR837*AQ837</f>
        <v>1.0643645950302858E-3</v>
      </c>
      <c r="AT837" s="115"/>
      <c r="AU837" s="115"/>
      <c r="AV837" s="113">
        <f>IFERROR(INDEX('Total Customers'!$F$7:$AB$91,MATCH($C837,'Total Customers'!$D$7:$D$91,0),MATCH($G837,'Total Customers'!$F$5:$AB$5,0)),"NA")</f>
        <v>4305091</v>
      </c>
      <c r="AW837" s="68">
        <f t="shared" si="1551"/>
        <v>1.2598861667629359E-2</v>
      </c>
      <c r="AX837" s="114"/>
      <c r="AY837" s="114"/>
      <c r="AZ837" s="116"/>
      <c r="BA837" s="116"/>
      <c r="BB837" s="166"/>
      <c r="BC837" s="166"/>
      <c r="BD837" s="166"/>
      <c r="BE837" s="166"/>
      <c r="BF837" s="166"/>
      <c r="BG837" s="166"/>
      <c r="BH837" s="166"/>
      <c r="BI837" s="113"/>
      <c r="BJ837" s="113"/>
      <c r="BK837" s="113">
        <f>INDEX('Dist. Plant Gas Additions'!$F$7:$AE$91,MATCH($C837,'Dist. Plant Gas Additions'!$D$7:$D$91,0),MATCH(Calculation!$G837,'Dist. Plant Gas Additions'!$F$5:$AE$5,0))</f>
        <v>204236</v>
      </c>
      <c r="BL837" s="113">
        <f>INDEX('Gen. Plant Additions'!$F$7:$AE$91,MATCH($C837,'Gen. Plant Additions'!$D$7:$D$91,0),MATCH(Calculation!$G837,'Gen. Plant Additions'!$F$5:$AE$5,0))</f>
        <v>1128</v>
      </c>
      <c r="BM837" s="231">
        <f t="shared" si="1516"/>
        <v>0.98754870751188795</v>
      </c>
      <c r="BN837" s="61">
        <f t="shared" si="1528"/>
        <v>1113.9549420734097</v>
      </c>
      <c r="BO837" s="113">
        <f>INDEX('Dist Plant Depreciation'!$E$7:$AD$94,MATCH($C837,'Dist Plant Depreciation'!$D$7:$D$94,0),MATCH(Calculation!$G837,'Dist Plant Depreciation'!$E$5:$AD$5,0))</f>
        <v>3269324</v>
      </c>
      <c r="BP837" s="113">
        <f>INDEX('Gen. Plant Depreciation'!$E$7:$AD$94,MATCH($C837,'Gen. Plant Depreciation'!$D$7:$D$94,0),MATCH(Calculation!$G837,'Gen. Plant Depreciation'!$E$5:$AD$5,0))</f>
        <v>26046</v>
      </c>
      <c r="BQ837" s="113"/>
      <c r="BR837" s="113"/>
      <c r="BS837" s="113"/>
      <c r="BT837" s="113"/>
      <c r="BU837" s="113"/>
      <c r="BV837" s="175"/>
      <c r="BW837" s="113">
        <f>INDEX('Gross Dx Plant'!$E$7:$AD$91,MATCH($C837,'Gross Dx Plant'!$D$7:$D$91,0),MATCH(Calculation!$G837,'Gross Dx Plant'!$E$5:$AD$5,0))</f>
        <v>5217285</v>
      </c>
      <c r="BX837" s="113">
        <f>INDEX('Gross Gen Plant'!$E$7:$AD$91,MATCH($C837,'Gross Gen Plant'!$D$7:$D$91,0),MATCH(Calculation!$G837,'Gross Gen Plant'!$E$5:$AD$5,0))</f>
        <v>65781</v>
      </c>
      <c r="BY837" s="113">
        <f t="shared" si="1532"/>
        <v>1987696</v>
      </c>
      <c r="BZ837" s="113"/>
      <c r="CA837" s="116">
        <v>2007</v>
      </c>
      <c r="CB837" s="113"/>
      <c r="CC837" s="113"/>
      <c r="CD837" s="113"/>
      <c r="CE837" s="175"/>
      <c r="CF837" s="113">
        <f t="shared" si="1517"/>
        <v>205364</v>
      </c>
      <c r="CG837" s="113">
        <f t="shared" si="1518"/>
        <v>412.35903215139268</v>
      </c>
      <c r="CH837" s="178">
        <v>0.94915254237288138</v>
      </c>
      <c r="CI837" s="61">
        <f>+CI828*CH837+CG829*CH836+CG830*CH835+CG831*CH834+CG832*CH833+CG833*CH832+CG834*CH831+CG835*CH830+CG836*CH829+CG837</f>
        <v>12027.587969555045</v>
      </c>
      <c r="CJ837" s="114">
        <f t="shared" si="1519"/>
        <v>2.8476404837663682E-2</v>
      </c>
      <c r="CK837" s="114"/>
      <c r="CL837" s="169">
        <f t="shared" si="1520"/>
        <v>6.3890300346295462E-3</v>
      </c>
      <c r="CM837" s="169">
        <f t="shared" si="1529"/>
        <v>6.1978708262527991E-3</v>
      </c>
      <c r="CN837" s="114">
        <f>VLOOKUP($H837,RoR!$E:$F,2,FALSE)</f>
        <v>5.5558333333333321E-2</v>
      </c>
      <c r="CO837" s="169">
        <v>2.691120634145272E-2</v>
      </c>
      <c r="CP837" s="169">
        <f t="shared" si="1527"/>
        <v>2.86471269918806E-2</v>
      </c>
      <c r="CQ837" s="169">
        <f t="shared" si="1530"/>
        <v>2.4704070782280825E-2</v>
      </c>
      <c r="CR837" s="169">
        <f t="shared" si="1531"/>
        <v>6.4575155250632399E-2</v>
      </c>
      <c r="CS837" s="179">
        <f t="shared" si="1521"/>
        <v>0.84923979999999999</v>
      </c>
      <c r="CT837" s="180">
        <f t="shared" si="1522"/>
        <v>0.92303077153834634</v>
      </c>
      <c r="CU837" s="180">
        <f t="shared" si="1523"/>
        <v>0.52502249887505614</v>
      </c>
      <c r="CV837" s="180">
        <f t="shared" si="1524"/>
        <v>0.88499666072084604</v>
      </c>
      <c r="CW837" s="180">
        <f t="shared" si="1525"/>
        <v>0.42887993290280618</v>
      </c>
      <c r="CX837" s="181">
        <f>INDEX('State Tax Lookup'!$D$7:$Z$91,MATCH(Calculation!$C837,'State Tax Lookup'!$B$7:$B$91,0),MATCH($H837,'State Tax Lookup'!$D$6:$Z$6,0))</f>
        <v>0.40745999999999999</v>
      </c>
      <c r="CY837" s="72">
        <v>0.37</v>
      </c>
      <c r="CZ837" s="182">
        <v>17.472003377188948</v>
      </c>
      <c r="DA837" s="182">
        <v>16.108943221861779</v>
      </c>
      <c r="DB837" s="69">
        <f t="shared" si="1533"/>
        <v>7.2014251341218041E-2</v>
      </c>
      <c r="DC837" s="181">
        <v>5.5558333333333321E-2</v>
      </c>
      <c r="DD837" s="183">
        <v>2.691120634145272E-2</v>
      </c>
      <c r="DE837" s="111">
        <f>VLOOKUP(H837,'HW Dx Data'!$E:$F,2,FALSE)</f>
        <v>498.0223154772637</v>
      </c>
      <c r="DF837" s="72">
        <f t="shared" si="1543"/>
        <v>104.52499999999999</v>
      </c>
      <c r="DG837" s="69">
        <f t="shared" si="1544"/>
        <v>-4.5584612745252218E-2</v>
      </c>
      <c r="DH837" s="66">
        <f>HLOOKUP(H837,'GDP-PI'!$8:$9,2,FALSE)</f>
        <v>92.498000000000005</v>
      </c>
      <c r="DI837" s="69">
        <f t="shared" si="1534"/>
        <v>2.6555467950038037E-2</v>
      </c>
      <c r="EB837"/>
    </row>
    <row r="838" spans="1:132" s="160" customFormat="1" ht="21">
      <c r="A838" s="160" t="s">
        <v>208</v>
      </c>
      <c r="B838" s="161" t="s">
        <v>208</v>
      </c>
      <c r="C838" s="161">
        <v>4004218</v>
      </c>
      <c r="D838" s="161" t="s">
        <v>209</v>
      </c>
      <c r="E838" s="161"/>
      <c r="F838" s="161"/>
      <c r="G838" s="161" t="s">
        <v>120</v>
      </c>
      <c r="H838" s="162">
        <v>2008</v>
      </c>
      <c r="I838" s="163"/>
      <c r="J838" s="159">
        <f>IFERROR(INDEX('Labor Expenditures'!$F$7:$X$91,MATCH($C838,'Labor Expenditures'!$D$7:$D$91,0),MATCH($G838,'Labor Expenditures'!$F$5:$X$5,0)),"NA")</f>
        <v>199324.87270142633</v>
      </c>
      <c r="K838" s="159">
        <f t="shared" si="1535"/>
        <v>1847.3111464451003</v>
      </c>
      <c r="L838" s="165">
        <f t="shared" si="1541"/>
        <v>-1.7387139298129073E-2</v>
      </c>
      <c r="M838" s="76">
        <f t="shared" si="1545"/>
        <v>-1.4057315434869277E-3</v>
      </c>
      <c r="N838" s="62">
        <f t="shared" si="1552"/>
        <v>110.09062779764828</v>
      </c>
      <c r="O838" s="96">
        <f t="shared" si="1546"/>
        <v>-7.2675573692638287E-2</v>
      </c>
      <c r="P838" s="96"/>
      <c r="Q838" s="159">
        <f>IFERROR(INDEX('Non-Labor Expenditures'!$F$7:$AB$91,MATCH($C838,'Non-Labor Expenditures'!$D$7:$D$91,0),MATCH($G838,'Non-Labor Expenditures'!$F$5:$AB$5,0)),"NA")</f>
        <v>288659.64442257083</v>
      </c>
      <c r="R838" s="159">
        <f t="shared" si="1536"/>
        <v>3062.2469280167493</v>
      </c>
      <c r="S838" s="165">
        <f t="shared" si="1547"/>
        <v>-4.5208780247008038E-3</v>
      </c>
      <c r="T838" s="165">
        <f t="shared" si="1548"/>
        <v>-3.6550813417953306E-4</v>
      </c>
      <c r="U838" s="165"/>
      <c r="V838" s="165"/>
      <c r="W838" s="159">
        <f t="shared" si="1515"/>
        <v>238765.20477046346</v>
      </c>
      <c r="X838" s="163"/>
      <c r="Y838" s="167">
        <v>12387.619197926484</v>
      </c>
      <c r="Z838" s="168">
        <v>2.9494513446206249E-2</v>
      </c>
      <c r="AA838" s="76">
        <f t="shared" si="1537"/>
        <v>2.3845997435353187E-3</v>
      </c>
      <c r="AB838" s="168"/>
      <c r="AC838" s="168"/>
      <c r="AD838" s="163">
        <f t="shared" si="1526"/>
        <v>726749.72189446061</v>
      </c>
      <c r="AE838" s="168">
        <f t="shared" si="1549"/>
        <v>5.8786372201498162E-2</v>
      </c>
      <c r="AF838" s="163"/>
      <c r="AG838" s="163"/>
      <c r="AH838" s="163"/>
      <c r="AI838" s="163"/>
      <c r="AJ838" s="116">
        <f t="shared" si="1550"/>
        <v>166.81821407564323</v>
      </c>
      <c r="AK838" s="114">
        <f>+AV838/$AX$13</f>
        <v>0.1240034444571045</v>
      </c>
      <c r="AL838" s="115">
        <f t="shared" si="1538"/>
        <v>0.27426893564105487</v>
      </c>
      <c r="AM838" s="115">
        <f t="shared" si="1539"/>
        <v>0.39719264517928538</v>
      </c>
      <c r="AN838" s="115">
        <f t="shared" si="1540"/>
        <v>0.32853841917965976</v>
      </c>
      <c r="AO838" s="115">
        <f t="shared" si="1542"/>
        <v>2.5271607435655976E-3</v>
      </c>
      <c r="AP838" s="166">
        <f t="shared" ref="AP838:AP851" si="1554">+AP837*EXP(AO838)</f>
        <v>91.449997418165196</v>
      </c>
      <c r="AQ838" s="168">
        <f t="shared" ref="AQ838:AQ851" si="1555">LN(AP838/AP837)</f>
        <v>2.5271607435656401E-3</v>
      </c>
      <c r="AR838" s="69">
        <f>+AD838/$AF$13</f>
        <v>8.0848926288765055E-2</v>
      </c>
      <c r="AS838" s="169">
        <f t="shared" si="1553"/>
        <v>2.0431823267639913E-4</v>
      </c>
      <c r="AT838" s="115"/>
      <c r="AU838" s="115"/>
      <c r="AV838" s="113">
        <f>IFERROR(INDEX('Total Customers'!$F$7:$AB$91,MATCH($C838,'Total Customers'!$D$7:$D$91,0),MATCH($G838,'Total Customers'!$F$5:$AB$5,0)),"NA")</f>
        <v>4356537</v>
      </c>
      <c r="AW838" s="68">
        <f t="shared" si="1551"/>
        <v>1.18791998418238E-2</v>
      </c>
      <c r="AX838" s="114"/>
      <c r="AY838" s="114"/>
      <c r="AZ838" s="116"/>
      <c r="BA838" s="116"/>
      <c r="BB838" s="166"/>
      <c r="BC838" s="166"/>
      <c r="BD838" s="166"/>
      <c r="BE838" s="166"/>
      <c r="BF838" s="166"/>
      <c r="BG838" s="166"/>
      <c r="BH838" s="166"/>
      <c r="BI838" s="113"/>
      <c r="BJ838" s="113"/>
      <c r="BK838" s="113">
        <f>INDEX('Dist. Plant Gas Additions'!$F$7:$AE$91,MATCH($C838,'Dist. Plant Gas Additions'!$D$7:$D$91,0),MATCH(Calculation!$G838,'Dist. Plant Gas Additions'!$F$5:$AE$5,0))</f>
        <v>248068</v>
      </c>
      <c r="BL838" s="113">
        <f>INDEX('Gen. Plant Additions'!$F$7:$AE$91,MATCH($C838,'Gen. Plant Additions'!$D$7:$D$91,0),MATCH(Calculation!$G838,'Gen. Plant Additions'!$F$5:$AE$5,0))</f>
        <v>2280</v>
      </c>
      <c r="BM838" s="231">
        <f t="shared" si="1516"/>
        <v>0.98780890218475204</v>
      </c>
      <c r="BN838" s="61">
        <f t="shared" si="1528"/>
        <v>2252.2042969812346</v>
      </c>
      <c r="BO838" s="113">
        <f>INDEX('Dist Plant Depreciation'!$E$7:$AD$94,MATCH($C838,'Dist Plant Depreciation'!$D$7:$D$94,0),MATCH(Calculation!$G838,'Dist Plant Depreciation'!$E$5:$AD$5,0))</f>
        <v>3398647</v>
      </c>
      <c r="BP838" s="113">
        <f>INDEX('Gen. Plant Depreciation'!$E$7:$AD$94,MATCH($C838,'Gen. Plant Depreciation'!$D$7:$D$94,0),MATCH(Calculation!$G838,'Gen. Plant Depreciation'!$E$5:$AD$5,0))</f>
        <v>27583</v>
      </c>
      <c r="BQ838" s="113"/>
      <c r="BR838" s="113"/>
      <c r="BS838" s="113"/>
      <c r="BT838" s="113"/>
      <c r="BU838" s="113"/>
      <c r="BV838" s="175"/>
      <c r="BW838" s="113">
        <f>INDEX('Gross Dx Plant'!$E$7:$AD$91,MATCH($C838,'Gross Dx Plant'!$D$7:$D$91,0),MATCH(Calculation!$G838,'Gross Dx Plant'!$E$5:$AD$5,0))</f>
        <v>5448260</v>
      </c>
      <c r="BX838" s="113">
        <f>INDEX('Gross Gen Plant'!$E$7:$AD$91,MATCH($C838,'Gross Gen Plant'!$D$7:$D$91,0),MATCH(Calculation!$G838,'Gross Gen Plant'!$E$5:$AD$5,0))</f>
        <v>67240</v>
      </c>
      <c r="BY838" s="113">
        <f t="shared" si="1532"/>
        <v>2089270</v>
      </c>
      <c r="BZ838" s="113"/>
      <c r="CA838" s="116">
        <v>2008</v>
      </c>
      <c r="CB838" s="113"/>
      <c r="CC838" s="113"/>
      <c r="CD838" s="113"/>
      <c r="CE838" s="175"/>
      <c r="CF838" s="113">
        <f t="shared" si="1517"/>
        <v>250348</v>
      </c>
      <c r="CG838" s="113">
        <f t="shared" si="1518"/>
        <v>439.29857404468339</v>
      </c>
      <c r="CH838" s="178">
        <v>0.94252873563218387</v>
      </c>
      <c r="CI838" s="61">
        <f>+CI828*CH838+CG829*CH837+CG830*CH836+CG831*CH835+CG832*CH834+CG833*CH833+CG834*CH832+CG835*CH831+CG836*CH830+CG837*CH829+CG838</f>
        <v>12387.619197926484</v>
      </c>
      <c r="CJ838" s="114">
        <f t="shared" si="1519"/>
        <v>2.9494513446206249E-2</v>
      </c>
      <c r="CK838" s="114"/>
      <c r="CL838" s="169">
        <f t="shared" si="1520"/>
        <v>6.5904606870380317E-3</v>
      </c>
      <c r="CM838" s="169">
        <f t="shared" si="1529"/>
        <v>6.3922794393212303E-3</v>
      </c>
      <c r="CN838" s="114">
        <f>VLOOKUP($H838,RoR!$E:$F,2,FALSE)</f>
        <v>5.6316666666666668E-2</v>
      </c>
      <c r="CO838" s="169">
        <v>1.9092304698479889E-2</v>
      </c>
      <c r="CP838" s="169">
        <f t="shared" si="1527"/>
        <v>3.7224361968186778E-2</v>
      </c>
      <c r="CQ838" s="169">
        <f t="shared" si="1530"/>
        <v>2.4509662169212396E-2</v>
      </c>
      <c r="CR838" s="169">
        <f t="shared" si="1531"/>
        <v>6.9030581091053131E-2</v>
      </c>
      <c r="CS838" s="179">
        <f t="shared" si="1521"/>
        <v>0.84923979999999999</v>
      </c>
      <c r="CT838" s="180">
        <f t="shared" si="1522"/>
        <v>0.91060168006009956</v>
      </c>
      <c r="CU838" s="180">
        <f t="shared" si="1523"/>
        <v>0.53108168097070152</v>
      </c>
      <c r="CV838" s="180">
        <f t="shared" si="1524"/>
        <v>0.88825329850328805</v>
      </c>
      <c r="CW838" s="180">
        <f t="shared" si="1525"/>
        <v>0.4295627335323573</v>
      </c>
      <c r="CX838" s="181">
        <f>INDEX('State Tax Lookup'!$D$7:$Z$91,MATCH(Calculation!$C838,'State Tax Lookup'!$B$7:$B$91,0),MATCH($H838,'State Tax Lookup'!$D$6:$Z$6,0))</f>
        <v>0.40745999999999999</v>
      </c>
      <c r="CY838" s="72">
        <v>0.37</v>
      </c>
      <c r="CZ838" s="182">
        <v>19.851461936910404</v>
      </c>
      <c r="DA838" s="182">
        <v>18.300102035478151</v>
      </c>
      <c r="DB838" s="69">
        <f t="shared" si="1533"/>
        <v>0.12767786078189125</v>
      </c>
      <c r="DC838" s="181">
        <v>5.6316666666666668E-2</v>
      </c>
      <c r="DD838" s="183">
        <v>1.9092304698479889E-2</v>
      </c>
      <c r="DE838" s="111">
        <f>VLOOKUP(H838,'HW Dx Data'!$E:$F,2,FALSE)</f>
        <v>569.88120333515076</v>
      </c>
      <c r="DF838" s="72">
        <f t="shared" si="1543"/>
        <v>107.9</v>
      </c>
      <c r="DG838" s="69">
        <f t="shared" si="1544"/>
        <v>3.1778595021460486E-2</v>
      </c>
      <c r="DH838" s="66">
        <f>HLOOKUP(H838,'GDP-PI'!$8:$9,2,FALSE)</f>
        <v>94.263999999999996</v>
      </c>
      <c r="DI838" s="69">
        <f t="shared" si="1534"/>
        <v>1.8912333748032254E-2</v>
      </c>
      <c r="EB838"/>
    </row>
    <row r="839" spans="1:132" s="160" customFormat="1" ht="21">
      <c r="A839" s="160" t="s">
        <v>208</v>
      </c>
      <c r="B839" s="161" t="s">
        <v>208</v>
      </c>
      <c r="C839" s="161">
        <v>4004218</v>
      </c>
      <c r="D839" s="161" t="s">
        <v>209</v>
      </c>
      <c r="E839" s="161"/>
      <c r="F839" s="161"/>
      <c r="G839" s="161" t="s">
        <v>125</v>
      </c>
      <c r="H839" s="162">
        <v>2009</v>
      </c>
      <c r="I839" s="163"/>
      <c r="J839" s="159">
        <f>IFERROR(INDEX('Labor Expenditures'!$F$7:$X$91,MATCH($C839,'Labor Expenditures'!$D$7:$D$91,0),MATCH($G839,'Labor Expenditures'!$F$5:$X$5,0)),"NA")</f>
        <v>238093.55942394232</v>
      </c>
      <c r="K839" s="159">
        <f t="shared" si="1535"/>
        <v>2146.4373173219951</v>
      </c>
      <c r="L839" s="165">
        <f t="shared" si="1541"/>
        <v>0.15007825850758483</v>
      </c>
      <c r="M839" s="76">
        <f t="shared" si="1545"/>
        <v>1.3106069698082336E-2</v>
      </c>
      <c r="N839" s="62">
        <f t="shared" si="1552"/>
        <v>117.3495326571087</v>
      </c>
      <c r="O839" s="96">
        <f t="shared" si="1546"/>
        <v>6.3853024167140532E-2</v>
      </c>
      <c r="P839" s="96"/>
      <c r="Q839" s="159">
        <f>IFERROR(INDEX('Non-Labor Expenditures'!$F$7:$AB$91,MATCH($C839,'Non-Labor Expenditures'!$D$7:$D$91,0),MATCH($G839,'Non-Labor Expenditures'!$F$5:$AB$5,0)),"NA")</f>
        <v>344803.94378863496</v>
      </c>
      <c r="R839" s="159">
        <f t="shared" si="1536"/>
        <v>3629.553403600406</v>
      </c>
      <c r="S839" s="165">
        <f t="shared" si="1547"/>
        <v>0.16996067469015924</v>
      </c>
      <c r="T839" s="165">
        <f t="shared" si="1548"/>
        <v>1.4842366046709882E-2</v>
      </c>
      <c r="U839" s="165"/>
      <c r="V839" s="165"/>
      <c r="W839" s="159">
        <f t="shared" si="1515"/>
        <v>235860.13891764134</v>
      </c>
      <c r="X839" s="163"/>
      <c r="Y839" s="167">
        <v>12783.590851967403</v>
      </c>
      <c r="Z839" s="168">
        <v>3.1464861769986967E-2</v>
      </c>
      <c r="AA839" s="76">
        <f t="shared" si="1537"/>
        <v>2.7477708996545571E-3</v>
      </c>
      <c r="AB839" s="168"/>
      <c r="AC839" s="168"/>
      <c r="AD839" s="163">
        <f t="shared" si="1526"/>
        <v>818757.64213021868</v>
      </c>
      <c r="AE839" s="168">
        <f t="shared" si="1549"/>
        <v>0.1192059640366535</v>
      </c>
      <c r="AF839" s="163"/>
      <c r="AG839" s="163"/>
      <c r="AH839" s="163"/>
      <c r="AI839" s="163"/>
      <c r="AJ839" s="116">
        <f t="shared" si="1550"/>
        <v>189.98592484406069</v>
      </c>
      <c r="AK839" s="114">
        <f>+AV839/$AX$14</f>
        <v>0.12251021470422771</v>
      </c>
      <c r="AL839" s="115">
        <f t="shared" si="1538"/>
        <v>0.29079857966818823</v>
      </c>
      <c r="AM839" s="115">
        <f t="shared" si="1539"/>
        <v>0.42113065704221653</v>
      </c>
      <c r="AN839" s="115">
        <f t="shared" si="1540"/>
        <v>0.28807076328959519</v>
      </c>
      <c r="AO839" s="115">
        <f t="shared" si="1542"/>
        <v>0.12164432594478228</v>
      </c>
      <c r="AP839" s="166">
        <f t="shared" si="1554"/>
        <v>103.27926940100726</v>
      </c>
      <c r="AQ839" s="168">
        <f t="shared" si="1555"/>
        <v>0.12164432594478229</v>
      </c>
      <c r="AR839" s="69">
        <f>+AD839/$AF$14</f>
        <v>8.7328236804000273E-2</v>
      </c>
      <c r="AS839" s="169">
        <f t="shared" si="1553"/>
        <v>1.0622984501968942E-2</v>
      </c>
      <c r="AT839" s="115"/>
      <c r="AU839" s="115"/>
      <c r="AV839" s="113">
        <f>IFERROR(INDEX('Total Customers'!$F$7:$AB$91,MATCH($C839,'Total Customers'!$D$7:$D$91,0),MATCH($G839,'Total Customers'!$F$5:$AB$5,0)),"NA")</f>
        <v>4309570</v>
      </c>
      <c r="AW839" s="68">
        <f t="shared" si="1551"/>
        <v>-1.0839344552429492E-2</v>
      </c>
      <c r="AX839" s="114"/>
      <c r="AY839" s="114"/>
      <c r="AZ839" s="116"/>
      <c r="BA839" s="116"/>
      <c r="BB839" s="166"/>
      <c r="BC839" s="166"/>
      <c r="BD839" s="166"/>
      <c r="BE839" s="166"/>
      <c r="BF839" s="166"/>
      <c r="BG839" s="166"/>
      <c r="BH839" s="166"/>
      <c r="BI839" s="113"/>
      <c r="BJ839" s="113"/>
      <c r="BK839" s="113">
        <f>INDEX('Dist. Plant Gas Additions'!$F$7:$AE$91,MATCH($C839,'Dist. Plant Gas Additions'!$D$7:$D$91,0),MATCH(Calculation!$G839,'Dist. Plant Gas Additions'!$F$5:$AE$5,0))</f>
        <v>262792</v>
      </c>
      <c r="BL839" s="113">
        <f>INDEX('Gen. Plant Additions'!$F$7:$AE$91,MATCH($C839,'Gen. Plant Additions'!$D$7:$D$91,0),MATCH(Calculation!$G839,'Gen. Plant Additions'!$F$5:$AE$5,0))</f>
        <v>1740</v>
      </c>
      <c r="BM839" s="231">
        <f t="shared" si="1516"/>
        <v>0.9882616892989653</v>
      </c>
      <c r="BN839" s="61">
        <f t="shared" si="1528"/>
        <v>1719.5753393801997</v>
      </c>
      <c r="BO839" s="113">
        <f>INDEX('Dist Plant Depreciation'!$E$7:$AD$94,MATCH($C839,'Dist Plant Depreciation'!$D$7:$D$94,0),MATCH(Calculation!$G839,'Dist Plant Depreciation'!$E$5:$AD$5,0))</f>
        <v>3531979</v>
      </c>
      <c r="BP839" s="113">
        <f>INDEX('Gen. Plant Depreciation'!$E$7:$AD$94,MATCH($C839,'Gen. Plant Depreciation'!$D$7:$D$94,0),MATCH(Calculation!$G839,'Gen. Plant Depreciation'!$E$5:$AD$5,0))</f>
        <v>28591</v>
      </c>
      <c r="BQ839" s="113"/>
      <c r="BR839" s="113"/>
      <c r="BS839" s="113"/>
      <c r="BT839" s="113"/>
      <c r="BU839" s="113"/>
      <c r="BV839" s="175"/>
      <c r="BW839" s="113">
        <f>INDEX('Gross Dx Plant'!$E$7:$AD$91,MATCH($C839,'Gross Dx Plant'!$D$7:$D$91,0),MATCH(Calculation!$G839,'Gross Dx Plant'!$E$5:$AD$5,0))</f>
        <v>5686185</v>
      </c>
      <c r="BX839" s="113">
        <f>INDEX('Gross Gen Plant'!$E$7:$AD$91,MATCH($C839,'Gross Gen Plant'!$D$7:$D$91,0),MATCH(Calculation!$G839,'Gross Gen Plant'!$E$5:$AD$5,0))</f>
        <v>67539</v>
      </c>
      <c r="BY839" s="113">
        <f t="shared" si="1532"/>
        <v>2193154</v>
      </c>
      <c r="BZ839" s="113"/>
      <c r="CA839" s="116">
        <v>2009</v>
      </c>
      <c r="CB839" s="113"/>
      <c r="CC839" s="113"/>
      <c r="CD839" s="113"/>
      <c r="CE839" s="175"/>
      <c r="CF839" s="113">
        <f t="shared" si="1517"/>
        <v>264532</v>
      </c>
      <c r="CG839" s="113">
        <f t="shared" si="1518"/>
        <v>480.14610346759412</v>
      </c>
      <c r="CH839" s="178">
        <v>0.93567251461988299</v>
      </c>
      <c r="CI839" s="61">
        <f>+CI828*CH839+CG829*CH838+CG830*CH837+CG831*CH836+CG832*CH835+CG833*CH834+CG834*CH833+CG835*CH832+CG836*CH831+CG837*CH830+CG838*CH829+CG839</f>
        <v>12783.590851967403</v>
      </c>
      <c r="CJ839" s="114">
        <f t="shared" si="1519"/>
        <v>3.1464861769986967E-2</v>
      </c>
      <c r="CK839" s="114"/>
      <c r="CL839" s="169">
        <f t="shared" si="1520"/>
        <v>6.7950465768890226E-3</v>
      </c>
      <c r="CM839" s="169">
        <f t="shared" si="1529"/>
        <v>6.5915124328522002E-3</v>
      </c>
      <c r="CN839" s="114">
        <f>VLOOKUP($H839,RoR!$E:$F,2,FALSE)</f>
        <v>5.3133333333333324E-2</v>
      </c>
      <c r="CO839" s="169">
        <v>7.7972502758210105E-3</v>
      </c>
      <c r="CP839" s="169">
        <f t="shared" si="1527"/>
        <v>4.5336083057512314E-2</v>
      </c>
      <c r="CQ839" s="169">
        <f t="shared" si="1530"/>
        <v>2.4310429175681426E-2</v>
      </c>
      <c r="CR839" s="169">
        <f t="shared" si="1531"/>
        <v>6.3720160300892073E-2</v>
      </c>
      <c r="CS839" s="179">
        <f t="shared" si="1521"/>
        <v>0.84923979999999999</v>
      </c>
      <c r="CT839" s="180">
        <f t="shared" si="1522"/>
        <v>0.96515780330083989</v>
      </c>
      <c r="CU839" s="180">
        <f t="shared" si="1523"/>
        <v>0.50448557089084056</v>
      </c>
      <c r="CV839" s="180">
        <f t="shared" si="1524"/>
        <v>0.87391435735465484</v>
      </c>
      <c r="CW839" s="180">
        <f t="shared" si="1525"/>
        <v>0.42551605393279146</v>
      </c>
      <c r="CX839" s="181">
        <f>INDEX('State Tax Lookup'!$D$7:$Z$91,MATCH(Calculation!$C839,'State Tax Lookup'!$B$7:$B$91,0),MATCH($H839,'State Tax Lookup'!$D$6:$Z$6,0))</f>
        <v>0.40745999999999999</v>
      </c>
      <c r="CY839" s="72">
        <v>0.37</v>
      </c>
      <c r="CZ839" s="182">
        <v>19.039989456337263</v>
      </c>
      <c r="DA839" s="182">
        <v>17.478615056163342</v>
      </c>
      <c r="DB839" s="69">
        <f t="shared" si="1533"/>
        <v>-4.1736178036592381E-2</v>
      </c>
      <c r="DC839" s="181">
        <v>5.3133333333333324E-2</v>
      </c>
      <c r="DD839" s="183">
        <v>7.7972502758210105E-3</v>
      </c>
      <c r="DE839" s="111">
        <f>VLOOKUP(H839,'HW Dx Data'!$E:$F,2,FALSE)</f>
        <v>550.94063679692806</v>
      </c>
      <c r="DF839" s="72">
        <f t="shared" si="1543"/>
        <v>110.925</v>
      </c>
      <c r="DG839" s="69">
        <f t="shared" si="1544"/>
        <v>2.7649425000884052E-2</v>
      </c>
      <c r="DH839" s="66">
        <f>HLOOKUP(H839,'GDP-PI'!$8:$9,2,FALSE)</f>
        <v>94.998999999999995</v>
      </c>
      <c r="DI839" s="69">
        <f t="shared" si="1534"/>
        <v>7.7670088183096342E-3</v>
      </c>
      <c r="EB839"/>
    </row>
    <row r="840" spans="1:132" s="160" customFormat="1" ht="21">
      <c r="A840" s="160" t="s">
        <v>208</v>
      </c>
      <c r="B840" s="161" t="s">
        <v>208</v>
      </c>
      <c r="C840" s="161">
        <v>4004218</v>
      </c>
      <c r="D840" s="161" t="s">
        <v>209</v>
      </c>
      <c r="E840" s="161"/>
      <c r="F840" s="161"/>
      <c r="G840" s="161" t="s">
        <v>126</v>
      </c>
      <c r="H840" s="162">
        <v>2010</v>
      </c>
      <c r="I840" s="163"/>
      <c r="J840" s="159">
        <f>IFERROR(INDEX('Labor Expenditures'!$F$7:$X$91,MATCH($C840,'Labor Expenditures'!$D$7:$D$91,0),MATCH($G840,'Labor Expenditures'!$F$5:$X$5,0)),"NA")</f>
        <v>248399.20723831697</v>
      </c>
      <c r="K840" s="159">
        <f t="shared" si="1535"/>
        <v>2124.4319626967458</v>
      </c>
      <c r="L840" s="165">
        <f t="shared" si="1541"/>
        <v>-1.0304951013417369E-2</v>
      </c>
      <c r="M840" s="76">
        <f t="shared" si="1545"/>
        <v>-9.0943826672769737E-4</v>
      </c>
      <c r="N840" s="62">
        <f t="shared" si="1552"/>
        <v>96.302300503406912</v>
      </c>
      <c r="O840" s="96">
        <f t="shared" si="1546"/>
        <v>-0.19766473237577781</v>
      </c>
      <c r="P840" s="96"/>
      <c r="Q840" s="159">
        <f>IFERROR(INDEX('Non-Labor Expenditures'!$F$7:$AB$91,MATCH($C840,'Non-Labor Expenditures'!$D$7:$D$91,0),MATCH($G840,'Non-Labor Expenditures'!$F$5:$AB$5,0)),"NA")</f>
        <v>359728.44665335119</v>
      </c>
      <c r="R840" s="159">
        <f t="shared" si="1536"/>
        <v>3742.9215438028823</v>
      </c>
      <c r="S840" s="165">
        <f t="shared" si="1547"/>
        <v>3.0756856526408912E-2</v>
      </c>
      <c r="T840" s="165">
        <f t="shared" si="1548"/>
        <v>2.7143712039921458E-3</v>
      </c>
      <c r="U840" s="165"/>
      <c r="V840" s="165"/>
      <c r="W840" s="159">
        <f t="shared" si="1515"/>
        <v>249516.95795814073</v>
      </c>
      <c r="X840" s="163"/>
      <c r="Y840" s="167">
        <v>13190.82321261186</v>
      </c>
      <c r="Z840" s="168">
        <v>3.1358992839372164E-2</v>
      </c>
      <c r="AA840" s="76">
        <f t="shared" si="1537"/>
        <v>2.7675112726913667E-3</v>
      </c>
      <c r="AB840" s="168"/>
      <c r="AC840" s="168"/>
      <c r="AD840" s="163">
        <f t="shared" si="1526"/>
        <v>857644.61184980895</v>
      </c>
      <c r="AE840" s="168">
        <f t="shared" si="1549"/>
        <v>4.6401687572592734E-2</v>
      </c>
      <c r="AF840" s="163"/>
      <c r="AG840" s="163"/>
      <c r="AH840" s="163"/>
      <c r="AI840" s="163"/>
      <c r="AJ840" s="116">
        <f t="shared" si="1550"/>
        <v>199.17732428608628</v>
      </c>
      <c r="AK840" s="114">
        <f>+AV840/$AX$15</f>
        <v>0.1217371423026897</v>
      </c>
      <c r="AL840" s="115">
        <f t="shared" si="1538"/>
        <v>0.28962953163380539</v>
      </c>
      <c r="AM840" s="115">
        <f t="shared" si="1539"/>
        <v>0.41943765714037617</v>
      </c>
      <c r="AN840" s="115">
        <f t="shared" si="1540"/>
        <v>0.29093281122581838</v>
      </c>
      <c r="AO840" s="115">
        <f t="shared" si="1542"/>
        <v>1.9014462366690875E-2</v>
      </c>
      <c r="AP840" s="166">
        <f t="shared" si="1554"/>
        <v>105.26185838070623</v>
      </c>
      <c r="AQ840" s="168">
        <f t="shared" si="1555"/>
        <v>1.901446236669093E-2</v>
      </c>
      <c r="AR840" s="69">
        <f>+AD840/$AF$15</f>
        <v>8.825255603287975E-2</v>
      </c>
      <c r="AS840" s="169">
        <f t="shared" si="1553"/>
        <v>1.6780749054514748E-3</v>
      </c>
      <c r="AT840" s="115"/>
      <c r="AU840" s="115"/>
      <c r="AV840" s="113">
        <f>IFERROR(INDEX('Total Customers'!$F$7:$AB$91,MATCH($C840,'Total Customers'!$D$7:$D$91,0),MATCH($G840,'Total Customers'!$F$5:$AB$5,0)),"NA")</f>
        <v>4305935</v>
      </c>
      <c r="AW840" s="68">
        <f t="shared" si="1551"/>
        <v>-8.4382754480218731E-4</v>
      </c>
      <c r="AX840" s="114"/>
      <c r="AY840" s="114"/>
      <c r="AZ840" s="116"/>
      <c r="BA840" s="116"/>
      <c r="BB840" s="166"/>
      <c r="BC840" s="166"/>
      <c r="BD840" s="166"/>
      <c r="BE840" s="166"/>
      <c r="BF840" s="166"/>
      <c r="BG840" s="166"/>
      <c r="BH840" s="166"/>
      <c r="BI840" s="113"/>
      <c r="BJ840" s="113"/>
      <c r="BK840" s="113">
        <f>INDEX('Dist. Plant Gas Additions'!$F$7:$AE$91,MATCH($C840,'Dist. Plant Gas Additions'!$D$7:$D$91,0),MATCH(Calculation!$G840,'Dist. Plant Gas Additions'!$F$5:$AE$5,0))</f>
        <v>280787</v>
      </c>
      <c r="BL840" s="113">
        <f>INDEX('Gen. Plant Additions'!$F$7:$AE$91,MATCH($C840,'Gen. Plant Additions'!$D$7:$D$91,0),MATCH(Calculation!$G840,'Gen. Plant Additions'!$F$5:$AE$5,0))</f>
        <v>1845</v>
      </c>
      <c r="BM840" s="231">
        <f t="shared" si="1516"/>
        <v>0.98660128005420467</v>
      </c>
      <c r="BN840" s="61">
        <f t="shared" si="1528"/>
        <v>1820.2793617000077</v>
      </c>
      <c r="BO840" s="113">
        <f>INDEX('Dist Plant Depreciation'!$E$7:$AD$94,MATCH($C840,'Dist Plant Depreciation'!$D$7:$D$94,0),MATCH(Calculation!$G840,'Dist Plant Depreciation'!$E$5:$AD$5,0))</f>
        <v>3684266</v>
      </c>
      <c r="BP840" s="113">
        <f>INDEX('Gen. Plant Depreciation'!$E$7:$AD$94,MATCH($C840,'Gen. Plant Depreciation'!$D$7:$D$94,0),MATCH(Calculation!$G840,'Gen. Plant Depreciation'!$E$5:$AD$5,0))</f>
        <v>30053</v>
      </c>
      <c r="BQ840" s="113"/>
      <c r="BR840" s="113"/>
      <c r="BS840" s="113"/>
      <c r="BT840" s="113"/>
      <c r="BU840" s="113"/>
      <c r="BV840" s="175"/>
      <c r="BW840" s="113">
        <f>INDEX('Gross Dx Plant'!$E$7:$AD$91,MATCH($C840,'Gross Dx Plant'!$D$7:$D$91,0),MATCH(Calculation!$G840,'Gross Dx Plant'!$E$5:$AD$5,0))</f>
        <v>5940938</v>
      </c>
      <c r="BX840" s="113">
        <f>INDEX('Gross Gen Plant'!$E$7:$AD$91,MATCH($C840,'Gross Gen Plant'!$D$7:$D$91,0),MATCH(Calculation!$G840,'Gross Gen Plant'!$E$5:$AD$5,0))</f>
        <v>80682</v>
      </c>
      <c r="BY840" s="113">
        <f t="shared" si="1532"/>
        <v>2307301</v>
      </c>
      <c r="BZ840" s="113"/>
      <c r="CA840" s="116">
        <v>2010</v>
      </c>
      <c r="CB840" s="113"/>
      <c r="CC840" s="113"/>
      <c r="CD840" s="113"/>
      <c r="CE840" s="175"/>
      <c r="CF840" s="113">
        <f t="shared" si="1517"/>
        <v>282632</v>
      </c>
      <c r="CG840" s="113">
        <f t="shared" si="1518"/>
        <v>496.72621145689055</v>
      </c>
      <c r="CH840" s="178">
        <v>0.9285714285714286</v>
      </c>
      <c r="CI840" s="61">
        <f>+CI828*CH840+CG829*CH839+CG830*CH838+CG831*CH837+CG832*CH836+CG833*CH835+CG834*CH834+CG835*CH833+CG836*CH832+CG837*CH831+CG838*CH830+CG839*CH829+CG840</f>
        <v>13190.82321261186</v>
      </c>
      <c r="CJ840" s="114">
        <f t="shared" si="1519"/>
        <v>3.1358992839372164E-2</v>
      </c>
      <c r="CK840" s="114"/>
      <c r="CL840" s="169">
        <f t="shared" si="1520"/>
        <v>7.0006817214945819E-3</v>
      </c>
      <c r="CM840" s="169">
        <f t="shared" si="1529"/>
        <v>6.7953963284738787E-3</v>
      </c>
      <c r="CN840" s="114">
        <f>VLOOKUP($H840,RoR!$E:$F,2,FALSE)</f>
        <v>4.9433333333333322E-2</v>
      </c>
      <c r="CO840" s="169">
        <v>1.1684333519300205E-2</v>
      </c>
      <c r="CP840" s="169">
        <f t="shared" si="1527"/>
        <v>3.7748999814033117E-2</v>
      </c>
      <c r="CQ840" s="169">
        <f t="shared" si="1530"/>
        <v>2.4106545280059746E-2</v>
      </c>
      <c r="CR840" s="169">
        <f t="shared" si="1531"/>
        <v>4.7937530248493419E-2</v>
      </c>
      <c r="CS840" s="179">
        <f t="shared" si="1521"/>
        <v>0.84923979999999999</v>
      </c>
      <c r="CT840" s="180">
        <f t="shared" si="1522"/>
        <v>1.037398205301105</v>
      </c>
      <c r="CU840" s="180">
        <f t="shared" si="1523"/>
        <v>0.46926837491571133</v>
      </c>
      <c r="CV840" s="180">
        <f t="shared" si="1524"/>
        <v>0.8548537519972772</v>
      </c>
      <c r="CW840" s="180">
        <f t="shared" si="1525"/>
        <v>0.41615833911547367</v>
      </c>
      <c r="CX840" s="181">
        <f>INDEX('State Tax Lookup'!$D$7:$Z$91,MATCH(Calculation!$C840,'State Tax Lookup'!$B$7:$B$91,0),MATCH($H840,'State Tax Lookup'!$D$6:$Z$6,0))</f>
        <v>0.40745999999999999</v>
      </c>
      <c r="CY840" s="72">
        <v>0.37</v>
      </c>
      <c r="CZ840" s="182">
        <v>19.518534412397898</v>
      </c>
      <c r="DA840" s="182">
        <v>17.956102603965455</v>
      </c>
      <c r="DB840" s="69">
        <f t="shared" si="1533"/>
        <v>2.4823021234860583E-2</v>
      </c>
      <c r="DC840" s="181">
        <v>4.9433333333333322E-2</v>
      </c>
      <c r="DD840" s="183">
        <v>1.1684333519300205E-2</v>
      </c>
      <c r="DE840" s="111">
        <f>VLOOKUP(H840,'HW Dx Data'!$E:$F,2,FALSE)</f>
        <v>568.98950262971744</v>
      </c>
      <c r="DF840" s="72">
        <f t="shared" si="1543"/>
        <v>116.925</v>
      </c>
      <c r="DG840" s="69">
        <f t="shared" si="1544"/>
        <v>5.2678406346976722E-2</v>
      </c>
      <c r="DH840" s="66">
        <f>HLOOKUP(H840,'GDP-PI'!$8:$9,2,FALSE)</f>
        <v>96.108999999999995</v>
      </c>
      <c r="DI840" s="69">
        <f t="shared" si="1534"/>
        <v>1.1616598807150427E-2</v>
      </c>
      <c r="EB840"/>
    </row>
    <row r="841" spans="1:132" s="160" customFormat="1" ht="21">
      <c r="A841" s="160" t="s">
        <v>208</v>
      </c>
      <c r="B841" s="161" t="s">
        <v>208</v>
      </c>
      <c r="C841" s="161">
        <v>4004218</v>
      </c>
      <c r="D841" s="161" t="s">
        <v>209</v>
      </c>
      <c r="E841" s="161"/>
      <c r="F841" s="161"/>
      <c r="G841" s="161" t="s">
        <v>127</v>
      </c>
      <c r="H841" s="162">
        <v>2011</v>
      </c>
      <c r="I841" s="163"/>
      <c r="J841" s="159">
        <f>IFERROR(INDEX('Labor Expenditures'!$F$7:$X$91,MATCH($C841,'Labor Expenditures'!$D$7:$D$91,0),MATCH($G841,'Labor Expenditures'!$F$5:$X$5,0)),"NA")</f>
        <v>245175.33098587193</v>
      </c>
      <c r="K841" s="159">
        <f t="shared" si="1535"/>
        <v>2028.337795126138</v>
      </c>
      <c r="L841" s="165">
        <f t="shared" si="1541"/>
        <v>-4.6287817467654917E-2</v>
      </c>
      <c r="M841" s="76">
        <f t="shared" si="1545"/>
        <v>-3.96763356236978E-3</v>
      </c>
      <c r="N841" s="62">
        <f t="shared" si="1552"/>
        <v>115.46287398059663</v>
      </c>
      <c r="O841" s="96">
        <f t="shared" si="1546"/>
        <v>0.18145683344933186</v>
      </c>
      <c r="P841" s="96"/>
      <c r="Q841" s="159">
        <f>IFERROR(INDEX('Non-Labor Expenditures'!$F$7:$AB$91,MATCH($C841,'Non-Labor Expenditures'!$D$7:$D$91,0),MATCH($G841,'Non-Labor Expenditures'!$F$5:$AB$5,0)),"NA")</f>
        <v>355059.6717027853</v>
      </c>
      <c r="R841" s="159">
        <f t="shared" si="1536"/>
        <v>3618.9219637025576</v>
      </c>
      <c r="S841" s="165">
        <f t="shared" si="1547"/>
        <v>-3.3690286518995527E-2</v>
      </c>
      <c r="T841" s="165">
        <f t="shared" si="1548"/>
        <v>-2.8878162512636818E-3</v>
      </c>
      <c r="U841" s="165"/>
      <c r="V841" s="165"/>
      <c r="W841" s="159">
        <f t="shared" si="1515"/>
        <v>274589.86545514467</v>
      </c>
      <c r="X841" s="163"/>
      <c r="Y841" s="167">
        <v>13704.239290186786</v>
      </c>
      <c r="Z841" s="168">
        <v>3.8183845552948778E-2</v>
      </c>
      <c r="AA841" s="76">
        <f t="shared" si="1537"/>
        <v>3.2729887785720021E-3</v>
      </c>
      <c r="AB841" s="168"/>
      <c r="AC841" s="168"/>
      <c r="AD841" s="163">
        <f t="shared" si="1526"/>
        <v>874824.86814380193</v>
      </c>
      <c r="AE841" s="168">
        <f t="shared" si="1549"/>
        <v>1.9833907253996096E-2</v>
      </c>
      <c r="AF841" s="163"/>
      <c r="AG841" s="163"/>
      <c r="AH841" s="163"/>
      <c r="AI841" s="163"/>
      <c r="AJ841" s="116">
        <f t="shared" si="1550"/>
        <v>201.24814196833904</v>
      </c>
      <c r="AK841" s="114">
        <f>+AV841/$AX$16</f>
        <v>0.12230503477706209</v>
      </c>
      <c r="AL841" s="115">
        <f t="shared" si="1538"/>
        <v>0.28025647179655905</v>
      </c>
      <c r="AM841" s="115">
        <f t="shared" si="1539"/>
        <v>0.40586371584994918</v>
      </c>
      <c r="AN841" s="115">
        <f t="shared" si="1540"/>
        <v>0.31387981235349172</v>
      </c>
      <c r="AO841" s="115">
        <f t="shared" si="1542"/>
        <v>-1.5544673608747202E-2</v>
      </c>
      <c r="AP841" s="166">
        <f t="shared" si="1554"/>
        <v>103.63824908057248</v>
      </c>
      <c r="AQ841" s="168">
        <f t="shared" si="1555"/>
        <v>-1.554467360874724E-2</v>
      </c>
      <c r="AR841" s="69">
        <f>+AD841/$AF$16</f>
        <v>8.5716583313574679E-2</v>
      </c>
      <c r="AS841" s="169">
        <f t="shared" si="1553"/>
        <v>-1.3324363104665084E-3</v>
      </c>
      <c r="AT841" s="115"/>
      <c r="AU841" s="115"/>
      <c r="AV841" s="113">
        <f>IFERROR(INDEX('Total Customers'!$F$7:$AB$91,MATCH($C841,'Total Customers'!$D$7:$D$91,0),MATCH($G841,'Total Customers'!$F$5:$AB$5,0)),"NA")</f>
        <v>4346996</v>
      </c>
      <c r="AW841" s="68">
        <f t="shared" si="1551"/>
        <v>9.4907282191388689E-3</v>
      </c>
      <c r="AX841" s="114"/>
      <c r="AY841" s="114"/>
      <c r="AZ841" s="116"/>
      <c r="BA841" s="116"/>
      <c r="BB841" s="166"/>
      <c r="BC841" s="166"/>
      <c r="BD841" s="166"/>
      <c r="BE841" s="166"/>
      <c r="BF841" s="166"/>
      <c r="BG841" s="166"/>
      <c r="BH841" s="166"/>
      <c r="BI841" s="113"/>
      <c r="BJ841" s="113"/>
      <c r="BK841" s="113">
        <f>INDEX('Dist. Plant Gas Additions'!$F$7:$AE$91,MATCH($C841,'Dist. Plant Gas Additions'!$D$7:$D$91,0),MATCH(Calculation!$G841,'Dist. Plant Gas Additions'!$F$5:$AE$5,0))</f>
        <v>344276</v>
      </c>
      <c r="BL841" s="113">
        <f>INDEX('Gen. Plant Additions'!$F$7:$AE$91,MATCH($C841,'Gen. Plant Additions'!$D$7:$D$91,0),MATCH(Calculation!$G841,'Gen. Plant Additions'!$F$5:$AE$5,0))</f>
        <v>27914</v>
      </c>
      <c r="BM841" s="231">
        <f t="shared" si="1516"/>
        <v>0.9854449677696443</v>
      </c>
      <c r="BN841" s="61">
        <f t="shared" si="1528"/>
        <v>27507.710830321852</v>
      </c>
      <c r="BO841" s="113">
        <f>INDEX('Dist Plant Depreciation'!$E$7:$AD$94,MATCH($C841,'Dist Plant Depreciation'!$D$7:$D$94,0),MATCH(Calculation!$G841,'Dist Plant Depreciation'!$E$5:$AD$5,0))</f>
        <v>3866243</v>
      </c>
      <c r="BP841" s="113">
        <f>INDEX('Gen. Plant Depreciation'!$E$7:$AD$94,MATCH($C841,'Gen. Plant Depreciation'!$D$7:$D$94,0),MATCH(Calculation!$G841,'Gen. Plant Depreciation'!$E$5:$AD$5,0))</f>
        <v>25620</v>
      </c>
      <c r="BQ841" s="113"/>
      <c r="BR841" s="113"/>
      <c r="BS841" s="113"/>
      <c r="BT841" s="113"/>
      <c r="BU841" s="113"/>
      <c r="BV841" s="175"/>
      <c r="BW841" s="113">
        <f>INDEX('Gross Dx Plant'!$E$7:$AD$91,MATCH($C841,'Gross Dx Plant'!$D$7:$D$91,0),MATCH(Calculation!$G841,'Gross Dx Plant'!$E$5:$AD$5,0))</f>
        <v>6282257</v>
      </c>
      <c r="BX841" s="113">
        <f>INDEX('Gross Gen Plant'!$E$7:$AD$91,MATCH($C841,'Gross Gen Plant'!$D$7:$D$91,0),MATCH(Calculation!$G841,'Gross Gen Plant'!$E$5:$AD$5,0))</f>
        <v>92789</v>
      </c>
      <c r="BY841" s="113">
        <f t="shared" si="1532"/>
        <v>2483183</v>
      </c>
      <c r="BZ841" s="113"/>
      <c r="CA841" s="116">
        <v>2011</v>
      </c>
      <c r="CB841" s="113"/>
      <c r="CC841" s="113"/>
      <c r="CD841" s="113"/>
      <c r="CE841" s="175"/>
      <c r="CF841" s="113">
        <f t="shared" si="1517"/>
        <v>372190</v>
      </c>
      <c r="CG841" s="113">
        <f t="shared" si="1518"/>
        <v>608.54030013420777</v>
      </c>
      <c r="CH841" s="178">
        <v>0.92121212121212126</v>
      </c>
      <c r="CI841" s="61">
        <f>+CI828*CH841+CG829*CH840+CG830*CH839+CG831*CH838+CG832*CH837+CG833*CH836+CG834*CH835+CG835*CH834+CG836*CH833+CG837*CH832+CG838*CH831+CG839*CH830+CG840*CH829+CG841</f>
        <v>13704.239290186786</v>
      </c>
      <c r="CJ841" s="114">
        <f t="shared" si="1519"/>
        <v>3.8183845552948778E-2</v>
      </c>
      <c r="CK841" s="114"/>
      <c r="CL841" s="169">
        <f t="shared" si="1520"/>
        <v>7.2113939385020833E-3</v>
      </c>
      <c r="CM841" s="169">
        <f t="shared" si="1529"/>
        <v>7.0023740789618956E-3</v>
      </c>
      <c r="CN841" s="114">
        <f>VLOOKUP($H841,RoR!$E:$F,2,FALSE)</f>
        <v>4.6391666666666664E-2</v>
      </c>
      <c r="CO841" s="169">
        <v>2.0840920205183799E-2</v>
      </c>
      <c r="CP841" s="169">
        <f t="shared" si="1527"/>
        <v>2.5550746461482865E-2</v>
      </c>
      <c r="CQ841" s="169">
        <f t="shared" si="1530"/>
        <v>2.389956752957173E-2</v>
      </c>
      <c r="CR841" s="169">
        <f t="shared" si="1531"/>
        <v>2.4810540821321614E-2</v>
      </c>
      <c r="CS841" s="179">
        <f t="shared" si="1521"/>
        <v>0.84923979999999999</v>
      </c>
      <c r="CT841" s="180">
        <f t="shared" si="1522"/>
        <v>1.1054151524782025</v>
      </c>
      <c r="CU841" s="180">
        <f t="shared" si="1523"/>
        <v>0.43611011316687626</v>
      </c>
      <c r="CV841" s="180">
        <f t="shared" si="1524"/>
        <v>0.83698442246886229</v>
      </c>
      <c r="CW841" s="180">
        <f t="shared" si="1525"/>
        <v>0.40349573304423936</v>
      </c>
      <c r="CX841" s="181">
        <f>INDEX('State Tax Lookup'!$D$7:$Z$91,MATCH(Calculation!$C841,'State Tax Lookup'!$B$7:$B$91,0),MATCH($H841,'State Tax Lookup'!$D$6:$Z$6,0))</f>
        <v>0.40745999999999999</v>
      </c>
      <c r="CY841" s="72">
        <v>0.37</v>
      </c>
      <c r="CZ841" s="182">
        <v>20.816734560782145</v>
      </c>
      <c r="DA841" s="182">
        <v>19.146574949201604</v>
      </c>
      <c r="DB841" s="69">
        <f t="shared" si="1533"/>
        <v>6.4392712590795306E-2</v>
      </c>
      <c r="DC841" s="181">
        <v>4.6391666666666664E-2</v>
      </c>
      <c r="DD841" s="183">
        <v>2.0840920205183799E-2</v>
      </c>
      <c r="DE841" s="111">
        <f>VLOOKUP(H841,'HW Dx Data'!$E:$F,2,FALSE)</f>
        <v>611.61109612283201</v>
      </c>
      <c r="DF841" s="72">
        <f t="shared" si="1543"/>
        <v>120.875</v>
      </c>
      <c r="DG841" s="69">
        <f t="shared" si="1544"/>
        <v>3.3224250161508609E-2</v>
      </c>
      <c r="DH841" s="66">
        <f>HLOOKUP(H841,'GDP-PI'!$8:$9,2,FALSE)</f>
        <v>98.111999999999995</v>
      </c>
      <c r="DI841" s="69">
        <f t="shared" si="1534"/>
        <v>2.0626719212849295E-2</v>
      </c>
      <c r="EB841"/>
    </row>
    <row r="842" spans="1:132" s="160" customFormat="1" ht="21">
      <c r="A842" s="160" t="s">
        <v>208</v>
      </c>
      <c r="B842" s="161" t="s">
        <v>208</v>
      </c>
      <c r="C842" s="161">
        <v>4004218</v>
      </c>
      <c r="D842" s="161" t="s">
        <v>209</v>
      </c>
      <c r="E842" s="161"/>
      <c r="F842" s="161"/>
      <c r="G842" s="161" t="s">
        <v>128</v>
      </c>
      <c r="H842" s="162">
        <v>2012</v>
      </c>
      <c r="I842" s="163"/>
      <c r="J842" s="159">
        <f>IFERROR(INDEX('Labor Expenditures'!$F$7:$X$91,MATCH($C842,'Labor Expenditures'!$D$7:$D$91,0),MATCH($G842,'Labor Expenditures'!$F$5:$X$5,0)),"NA")</f>
        <v>270546.26669629122</v>
      </c>
      <c r="K842" s="159">
        <f t="shared" si="1535"/>
        <v>2167.8386754510511</v>
      </c>
      <c r="L842" s="165">
        <f t="shared" si="1541"/>
        <v>6.6514031613920596E-2</v>
      </c>
      <c r="M842" s="76">
        <f t="shared" si="1545"/>
        <v>6.034983351888205E-3</v>
      </c>
      <c r="N842" s="62">
        <f t="shared" si="1552"/>
        <v>115.46908208338621</v>
      </c>
      <c r="O842" s="96">
        <f t="shared" si="1546"/>
        <v>5.3765645057487783E-5</v>
      </c>
      <c r="P842" s="96"/>
      <c r="Q842" s="159">
        <f>IFERROR(INDEX('Non-Labor Expenditures'!$F$7:$AB$91,MATCH($C842,'Non-Labor Expenditures'!$D$7:$D$91,0),MATCH($G842,'Non-Labor Expenditures'!$F$5:$AB$5,0)),"NA")</f>
        <v>391801.52524861792</v>
      </c>
      <c r="R842" s="159">
        <f t="shared" si="1536"/>
        <v>3918.0152524861792</v>
      </c>
      <c r="S842" s="165">
        <f t="shared" si="1547"/>
        <v>7.940903103704694E-2</v>
      </c>
      <c r="T842" s="165">
        <f t="shared" si="1548"/>
        <v>7.2049786890057421E-3</v>
      </c>
      <c r="U842" s="165"/>
      <c r="V842" s="165"/>
      <c r="W842" s="159">
        <f t="shared" si="1515"/>
        <v>307948.36398902524</v>
      </c>
      <c r="X842" s="163"/>
      <c r="Y842" s="167">
        <v>14315.230587935777</v>
      </c>
      <c r="Z842" s="168">
        <v>4.3618824346011852E-2</v>
      </c>
      <c r="AA842" s="76">
        <f t="shared" si="1537"/>
        <v>3.9576443100770436E-3</v>
      </c>
      <c r="AB842" s="168"/>
      <c r="AC842" s="168"/>
      <c r="AD842" s="163">
        <f t="shared" si="1526"/>
        <v>970296.15593393438</v>
      </c>
      <c r="AE842" s="168">
        <f t="shared" si="1549"/>
        <v>0.10357762466198291</v>
      </c>
      <c r="AF842" s="163"/>
      <c r="AG842" s="163"/>
      <c r="AH842" s="163"/>
      <c r="AI842" s="163"/>
      <c r="AJ842" s="116">
        <f t="shared" si="1550"/>
        <v>221.95685513453327</v>
      </c>
      <c r="AK842" s="114">
        <f>+AV842/$AX$17</f>
        <v>0.12240652310915576</v>
      </c>
      <c r="AL842" s="115">
        <f t="shared" si="1538"/>
        <v>0.27882854635849158</v>
      </c>
      <c r="AM842" s="115">
        <f t="shared" si="1539"/>
        <v>0.40379581311594409</v>
      </c>
      <c r="AN842" s="115">
        <f t="shared" si="1540"/>
        <v>0.31737564052556427</v>
      </c>
      <c r="AO842" s="115">
        <f t="shared" si="1542"/>
        <v>6.4507948977060775E-2</v>
      </c>
      <c r="AP842" s="166">
        <f t="shared" si="1554"/>
        <v>110.54408606274048</v>
      </c>
      <c r="AQ842" s="168">
        <f t="shared" si="1555"/>
        <v>6.4507948977060844E-2</v>
      </c>
      <c r="AR842" s="69">
        <f>+AD842/$AF$17</f>
        <v>9.0732484642009809E-2</v>
      </c>
      <c r="AS842" s="169">
        <f t="shared" si="1553"/>
        <v>5.8529664898487252E-3</v>
      </c>
      <c r="AT842" s="115"/>
      <c r="AU842" s="115"/>
      <c r="AV842" s="113">
        <f>IFERROR(INDEX('Total Customers'!$F$7:$AB$91,MATCH($C842,'Total Customers'!$D$7:$D$91,0),MATCH($G842,'Total Customers'!$F$5:$AB$5,0)),"NA")</f>
        <v>4371553</v>
      </c>
      <c r="AW842" s="68">
        <f t="shared" si="1551"/>
        <v>5.6332917188175544E-3</v>
      </c>
      <c r="AX842" s="114"/>
      <c r="AY842" s="114"/>
      <c r="AZ842" s="116"/>
      <c r="BA842" s="116"/>
      <c r="BB842" s="166"/>
      <c r="BC842" s="166"/>
      <c r="BD842" s="166"/>
      <c r="BE842" s="166"/>
      <c r="BF842" s="166"/>
      <c r="BG842" s="166"/>
      <c r="BH842" s="166"/>
      <c r="BI842" s="113"/>
      <c r="BJ842" s="113"/>
      <c r="BK842" s="113">
        <f>INDEX('Dist. Plant Gas Additions'!$F$7:$AE$91,MATCH($C842,'Dist. Plant Gas Additions'!$D$7:$D$91,0),MATCH(Calculation!$G842,'Dist. Plant Gas Additions'!$F$5:$AE$5,0))</f>
        <v>450738</v>
      </c>
      <c r="BL842" s="113">
        <f>INDEX('Gen. Plant Additions'!$F$7:$AE$91,MATCH($C842,'Gen. Plant Additions'!$D$7:$D$91,0),MATCH(Calculation!$G842,'Gen. Plant Additions'!$F$5:$AE$5,0))</f>
        <v>25899</v>
      </c>
      <c r="BM842" s="231">
        <f t="shared" si="1516"/>
        <v>0.98220228001630783</v>
      </c>
      <c r="BN842" s="61">
        <f t="shared" si="1528"/>
        <v>25438.056850142355</v>
      </c>
      <c r="BO842" s="113">
        <f>INDEX('Dist Plant Depreciation'!$E$7:$AD$94,MATCH($C842,'Dist Plant Depreciation'!$D$7:$D$94,0),MATCH(Calculation!$G842,'Dist Plant Depreciation'!$E$5:$AD$5,0))</f>
        <v>4020208</v>
      </c>
      <c r="BP842" s="113">
        <f>INDEX('Gen. Plant Depreciation'!$E$7:$AD$94,MATCH($C842,'Gen. Plant Depreciation'!$D$7:$D$94,0),MATCH(Calculation!$G842,'Gen. Plant Depreciation'!$E$5:$AD$5,0))</f>
        <v>26672</v>
      </c>
      <c r="BQ842" s="113"/>
      <c r="BR842" s="113"/>
      <c r="BS842" s="113"/>
      <c r="BT842" s="113"/>
      <c r="BU842" s="113"/>
      <c r="BV842" s="175"/>
      <c r="BW842" s="113">
        <f>INDEX('Gross Dx Plant'!$E$7:$AD$91,MATCH($C842,'Gross Dx Plant'!$D$7:$D$91,0),MATCH(Calculation!$G842,'Gross Dx Plant'!$E$5:$AD$5,0))</f>
        <v>6699864</v>
      </c>
      <c r="BX842" s="113">
        <f>INDEX('Gross Gen Plant'!$E$7:$AD$91,MATCH($C842,'Gross Gen Plant'!$D$7:$D$91,0),MATCH(Calculation!$G842,'Gross Gen Plant'!$E$5:$AD$5,0))</f>
        <v>121403</v>
      </c>
      <c r="BY842" s="113">
        <f t="shared" si="1532"/>
        <v>2774387</v>
      </c>
      <c r="BZ842" s="113"/>
      <c r="CA842" s="116">
        <v>2012</v>
      </c>
      <c r="CB842" s="113"/>
      <c r="CC842" s="113"/>
      <c r="CD842" s="113"/>
      <c r="CE842" s="175"/>
      <c r="CF842" s="113">
        <f t="shared" si="1517"/>
        <v>476637</v>
      </c>
      <c r="CG842" s="113">
        <f t="shared" si="1518"/>
        <v>712.54781293303961</v>
      </c>
      <c r="CH842" s="178">
        <v>0.9135802469135802</v>
      </c>
      <c r="CI842" s="61">
        <f>+CI828*CH842+CG829*CH841+CG830*CH840+CG831*CH839+CG832*CH838+CG833*CH837+CG834*CH836+CG835*CH835+CG836*CH834+CG837*CH833+CG838*CH832+CG839*CH831+CG840*CH830+CG841*CH829+CG842</f>
        <v>14315.230587935777</v>
      </c>
      <c r="CJ842" s="114">
        <f t="shared" si="1519"/>
        <v>4.3618824346011852E-2</v>
      </c>
      <c r="CK842" s="114"/>
      <c r="CL842" s="169">
        <f t="shared" si="1520"/>
        <v>7.4105912071142921E-3</v>
      </c>
      <c r="CM842" s="169">
        <f t="shared" si="1529"/>
        <v>7.2075556223703194E-3</v>
      </c>
      <c r="CN842" s="114">
        <f>VLOOKUP($H842,RoR!$E:$F,2,FALSE)</f>
        <v>3.6733333333333333E-2</v>
      </c>
      <c r="CO842" s="169">
        <v>1.924331376386168E-2</v>
      </c>
      <c r="CP842" s="169">
        <f t="shared" si="1527"/>
        <v>1.7490019569471653E-2</v>
      </c>
      <c r="CQ842" s="169">
        <f t="shared" si="1530"/>
        <v>2.3694385986163306E-2</v>
      </c>
      <c r="CR842" s="169">
        <f t="shared" si="1531"/>
        <v>6.7122682943869583E-2</v>
      </c>
      <c r="CS842" s="179">
        <f t="shared" si="1521"/>
        <v>0.84923979999999999</v>
      </c>
      <c r="CT842" s="180">
        <f t="shared" si="1522"/>
        <v>1.3960631020522127</v>
      </c>
      <c r="CU842" s="180">
        <f t="shared" si="1523"/>
        <v>0.29441923774954631</v>
      </c>
      <c r="CV842" s="180">
        <f t="shared" si="1524"/>
        <v>0.76377954189366437</v>
      </c>
      <c r="CW842" s="180">
        <f t="shared" si="1525"/>
        <v>0.31393465103033691</v>
      </c>
      <c r="CX842" s="181">
        <f>INDEX('State Tax Lookup'!$D$7:$Z$91,MATCH(Calculation!$C842,'State Tax Lookup'!$B$7:$B$91,0),MATCH($H842,'State Tax Lookup'!$D$6:$Z$6,0))</f>
        <v>0.40745999999999999</v>
      </c>
      <c r="CY842" s="72">
        <v>0.37</v>
      </c>
      <c r="CZ842" s="182">
        <v>22.47102939960617</v>
      </c>
      <c r="DA842" s="182">
        <v>20.759737328210988</v>
      </c>
      <c r="DB842" s="69">
        <f t="shared" si="1533"/>
        <v>7.6469687899479069E-2</v>
      </c>
      <c r="DC842" s="181">
        <v>3.6733333333333333E-2</v>
      </c>
      <c r="DD842" s="183">
        <v>1.924331376386168E-2</v>
      </c>
      <c r="DE842" s="111">
        <f>VLOOKUP(H842,'HW Dx Data'!$E:$F,2,FALSE)</f>
        <v>668.91932211262167</v>
      </c>
      <c r="DF842" s="72">
        <f t="shared" si="1543"/>
        <v>124.80000000000001</v>
      </c>
      <c r="DG842" s="69">
        <f t="shared" si="1544"/>
        <v>3.1955502161869064E-2</v>
      </c>
      <c r="DH842" s="66">
        <f>HLOOKUP(H842,'GDP-PI'!$8:$9,2,FALSE)</f>
        <v>100</v>
      </c>
      <c r="DI842" s="69">
        <f t="shared" si="1534"/>
        <v>1.9060502738742411E-2</v>
      </c>
      <c r="EB842"/>
    </row>
    <row r="843" spans="1:132" s="160" customFormat="1" ht="21">
      <c r="A843" s="160" t="s">
        <v>208</v>
      </c>
      <c r="B843" s="161" t="s">
        <v>208</v>
      </c>
      <c r="C843" s="161">
        <v>4004218</v>
      </c>
      <c r="D843" s="161" t="s">
        <v>209</v>
      </c>
      <c r="E843" s="161"/>
      <c r="F843" s="161"/>
      <c r="G843" s="161" t="s">
        <v>129</v>
      </c>
      <c r="H843" s="162">
        <v>2013</v>
      </c>
      <c r="I843" s="163"/>
      <c r="J843" s="159">
        <f>IFERROR(INDEX('Labor Expenditures'!$F$7:$X$91,MATCH($C843,'Labor Expenditures'!$D$7:$D$91,0),MATCH($G843,'Labor Expenditures'!$F$5:$X$5,0)),"NA")</f>
        <v>300043.673205734</v>
      </c>
      <c r="K843" s="159">
        <f t="shared" si="1535"/>
        <v>2366.2750252818141</v>
      </c>
      <c r="L843" s="165">
        <f t="shared" si="1541"/>
        <v>8.7586330293774967E-2</v>
      </c>
      <c r="M843" s="76">
        <f t="shared" si="1545"/>
        <v>8.2933561362579945E-3</v>
      </c>
      <c r="N843" s="62">
        <f t="shared" si="1552"/>
        <v>107.59176084399822</v>
      </c>
      <c r="O843" s="96">
        <f t="shared" si="1546"/>
        <v>-7.0658733823308853E-2</v>
      </c>
      <c r="P843" s="96"/>
      <c r="Q843" s="159">
        <f>IFERROR(INDEX('Non-Labor Expenditures'!$F$7:$AB$91,MATCH($C843,'Non-Labor Expenditures'!$D$7:$D$91,0),MATCH($G843,'Non-Labor Expenditures'!$F$5:$AB$5,0)),"NA")</f>
        <v>434519.27922986925</v>
      </c>
      <c r="R843" s="159">
        <f t="shared" si="1536"/>
        <v>4269.4946521166639</v>
      </c>
      <c r="S843" s="165">
        <f t="shared" si="1547"/>
        <v>8.5910259345062384E-2</v>
      </c>
      <c r="T843" s="165">
        <f t="shared" si="1548"/>
        <v>8.134652680585332E-3</v>
      </c>
      <c r="U843" s="165"/>
      <c r="V843" s="165"/>
      <c r="W843" s="159">
        <f t="shared" si="1515"/>
        <v>315641.44697985915</v>
      </c>
      <c r="X843" s="163"/>
      <c r="Y843" s="167">
        <v>15200.322315603975</v>
      </c>
      <c r="Z843" s="168">
        <v>5.9992586047180385E-2</v>
      </c>
      <c r="AA843" s="76">
        <f t="shared" si="1537"/>
        <v>5.680565448461663E-3</v>
      </c>
      <c r="AB843" s="168"/>
      <c r="AC843" s="168"/>
      <c r="AD843" s="163">
        <f t="shared" si="1526"/>
        <v>1050204.3994154623</v>
      </c>
      <c r="AE843" s="168">
        <f t="shared" si="1549"/>
        <v>7.9138750022568025E-2</v>
      </c>
      <c r="AF843" s="163"/>
      <c r="AG843" s="163"/>
      <c r="AH843" s="163"/>
      <c r="AI843" s="163"/>
      <c r="AJ843" s="116">
        <f t="shared" si="1550"/>
        <v>238.16464755554841</v>
      </c>
      <c r="AK843" s="114">
        <f>+AV843/$AX$18</f>
        <v>0.12268418822166711</v>
      </c>
      <c r="AL843" s="115">
        <f t="shared" si="1538"/>
        <v>0.28570026308472579</v>
      </c>
      <c r="AM843" s="115">
        <f t="shared" si="1539"/>
        <v>0.4137473423951758</v>
      </c>
      <c r="AN843" s="115">
        <f t="shared" si="1540"/>
        <v>0.30055239452009852</v>
      </c>
      <c r="AO843" s="115">
        <f t="shared" si="1542"/>
        <v>7.8375726046714098E-2</v>
      </c>
      <c r="AP843" s="166">
        <f t="shared" si="1554"/>
        <v>119.55662832587228</v>
      </c>
      <c r="AQ843" s="168">
        <f t="shared" si="1555"/>
        <v>7.8375726046714E-2</v>
      </c>
      <c r="AR843" s="69">
        <f>+AD843/$AF$18</f>
        <v>9.4687790987944026E-2</v>
      </c>
      <c r="AS843" s="169">
        <f t="shared" si="1553"/>
        <v>7.4212243664396162E-3</v>
      </c>
      <c r="AT843" s="115"/>
      <c r="AU843" s="115"/>
      <c r="AV843" s="113">
        <f>IFERROR(INDEX('Total Customers'!$F$7:$AB$91,MATCH($C843,'Total Customers'!$D$7:$D$91,0),MATCH($G843,'Total Customers'!$F$5:$AB$5,0)),"NA")</f>
        <v>4409573</v>
      </c>
      <c r="AW843" s="68">
        <f t="shared" si="1551"/>
        <v>8.6595358238319761E-3</v>
      </c>
      <c r="AX843" s="114"/>
      <c r="AY843" s="114"/>
      <c r="AZ843" s="116"/>
      <c r="BA843" s="116"/>
      <c r="BB843" s="166"/>
      <c r="BC843" s="166"/>
      <c r="BD843" s="166"/>
      <c r="BE843" s="166"/>
      <c r="BF843" s="166"/>
      <c r="BG843" s="166"/>
      <c r="BH843" s="166"/>
      <c r="BI843" s="113"/>
      <c r="BJ843" s="113"/>
      <c r="BK843" s="113">
        <f>INDEX('Dist. Plant Gas Additions'!$F$7:$AE$91,MATCH($C843,'Dist. Plant Gas Additions'!$D$7:$D$91,0),MATCH(Calculation!$G843,'Dist. Plant Gas Additions'!$F$5:$AE$5,0))</f>
        <v>594565</v>
      </c>
      <c r="BL843" s="113">
        <f>INDEX('Gen. Plant Additions'!$F$7:$AE$91,MATCH($C843,'Gen. Plant Additions'!$D$7:$D$91,0),MATCH(Calculation!$G843,'Gen. Plant Additions'!$F$5:$AE$5,0))</f>
        <v>64622</v>
      </c>
      <c r="BM843" s="231">
        <f t="shared" si="1516"/>
        <v>0.97526750049491651</v>
      </c>
      <c r="BN843" s="61">
        <f t="shared" si="1528"/>
        <v>63023.736416982494</v>
      </c>
      <c r="BO843" s="113">
        <f>INDEX('Dist Plant Depreciation'!$E$7:$AD$94,MATCH($C843,'Dist Plant Depreciation'!$D$7:$D$94,0),MATCH(Calculation!$G843,'Dist Plant Depreciation'!$E$5:$AD$5,0))</f>
        <v>4183610</v>
      </c>
      <c r="BP843" s="113">
        <f>INDEX('Gen. Plant Depreciation'!$E$7:$AD$94,MATCH($C843,'Gen. Plant Depreciation'!$D$7:$D$94,0),MATCH(Calculation!$G843,'Gen. Plant Depreciation'!$E$5:$AD$5,0))</f>
        <v>31130</v>
      </c>
      <c r="BQ843" s="113"/>
      <c r="BR843" s="113"/>
      <c r="BS843" s="113"/>
      <c r="BT843" s="113"/>
      <c r="BU843" s="113"/>
      <c r="BV843" s="175"/>
      <c r="BW843" s="113">
        <f>INDEX('Gross Dx Plant'!$E$7:$AD$91,MATCH($C843,'Gross Dx Plant'!$D$7:$D$91,0),MATCH(Calculation!$G843,'Gross Dx Plant'!$E$5:$AD$5,0))</f>
        <v>7246771</v>
      </c>
      <c r="BX843" s="113">
        <f>INDEX('Gross Gen Plant'!$E$7:$AD$91,MATCH($C843,'Gross Gen Plant'!$D$7:$D$91,0),MATCH(Calculation!$G843,'Gross Gen Plant'!$E$5:$AD$5,0))</f>
        <v>183776</v>
      </c>
      <c r="BY843" s="113">
        <f t="shared" si="1532"/>
        <v>3215807</v>
      </c>
      <c r="BZ843" s="113"/>
      <c r="CA843" s="116">
        <v>2013</v>
      </c>
      <c r="CB843" s="113"/>
      <c r="CC843" s="113"/>
      <c r="CD843" s="113"/>
      <c r="CE843" s="175"/>
      <c r="CF843" s="113">
        <f t="shared" si="1517"/>
        <v>659187</v>
      </c>
      <c r="CG843" s="113">
        <f t="shared" si="1518"/>
        <v>993.87649415421606</v>
      </c>
      <c r="CH843" s="178">
        <v>0.90566037735849059</v>
      </c>
      <c r="CI843" s="61">
        <f>+CI828*CH843+CG829*CH842+CG830*CH841+CG831*CH840+CG832*CH839+CG833*CH838+CG834*CH837+CG835*CH836+CG836*CH835+CG837*CH834+CG838*CH833+CG839*CH832+CG840*CH831+CG841*CH830+CG842*CH829+CG843</f>
        <v>15200.322315603975</v>
      </c>
      <c r="CJ843" s="114">
        <f t="shared" si="1519"/>
        <v>5.9992586047180385E-2</v>
      </c>
      <c r="CK843" s="114"/>
      <c r="CL843" s="169">
        <f t="shared" si="1520"/>
        <v>7.5992325668646464E-3</v>
      </c>
      <c r="CM843" s="169">
        <f t="shared" si="1529"/>
        <v>7.407072570827007E-3</v>
      </c>
      <c r="CN843" s="114">
        <f>VLOOKUP($H843,RoR!$E:$F,2,FALSE)</f>
        <v>4.2350000000000006E-2</v>
      </c>
      <c r="CO843" s="169">
        <v>1.7730000000000024E-2</v>
      </c>
      <c r="CP843" s="169">
        <f t="shared" si="1527"/>
        <v>2.4619999999999982E-2</v>
      </c>
      <c r="CQ843" s="169">
        <f t="shared" si="1530"/>
        <v>2.3494869037706617E-2</v>
      </c>
      <c r="CR843" s="169">
        <f t="shared" si="1531"/>
        <v>5.3376742735721204E-2</v>
      </c>
      <c r="CS843" s="179">
        <f t="shared" si="1521"/>
        <v>0.84923979999999999</v>
      </c>
      <c r="CT843" s="180">
        <f t="shared" si="1522"/>
        <v>1.2109103018193925</v>
      </c>
      <c r="CU843" s="180">
        <f t="shared" si="1523"/>
        <v>0.38468122786304604</v>
      </c>
      <c r="CV843" s="180">
        <f t="shared" si="1524"/>
        <v>0.80969194503422559</v>
      </c>
      <c r="CW843" s="180">
        <f t="shared" si="1525"/>
        <v>0.37716621754800816</v>
      </c>
      <c r="CX843" s="181">
        <f>INDEX('State Tax Lookup'!$D$7:$Z$91,MATCH(Calculation!$C843,'State Tax Lookup'!$B$7:$B$91,0),MATCH($H843,'State Tax Lookup'!$D$6:$Z$6,0))</f>
        <v>0.40745999999999999</v>
      </c>
      <c r="CY843" s="72">
        <v>0.37</v>
      </c>
      <c r="CZ843" s="182">
        <v>22.049344231022541</v>
      </c>
      <c r="DA843" s="182">
        <v>20.339519021246105</v>
      </c>
      <c r="DB843" s="69">
        <f t="shared" si="1533"/>
        <v>-1.8944035963472522E-2</v>
      </c>
      <c r="DC843" s="181">
        <v>4.2350000000000006E-2</v>
      </c>
      <c r="DD843" s="183">
        <v>1.7730000000000024E-2</v>
      </c>
      <c r="DE843" s="111">
        <f>VLOOKUP(H843,'HW Dx Data'!$E:$F,2,FALSE)</f>
        <v>663.24840548821396</v>
      </c>
      <c r="DF843" s="72">
        <f t="shared" si="1543"/>
        <v>126.8</v>
      </c>
      <c r="DG843" s="69">
        <f t="shared" si="1544"/>
        <v>1.5898586067798204E-2</v>
      </c>
      <c r="DH843" s="66">
        <f>HLOOKUP(H843,'GDP-PI'!$8:$9,2,FALSE)</f>
        <v>101.773</v>
      </c>
      <c r="DI843" s="69">
        <f t="shared" si="1534"/>
        <v>1.7574657016510519E-2</v>
      </c>
      <c r="EB843"/>
    </row>
    <row r="844" spans="1:132" s="160" customFormat="1" ht="21">
      <c r="A844" s="160" t="s">
        <v>208</v>
      </c>
      <c r="B844" s="161" t="s">
        <v>208</v>
      </c>
      <c r="C844" s="161">
        <v>4004218</v>
      </c>
      <c r="D844" s="161" t="s">
        <v>209</v>
      </c>
      <c r="E844" s="161"/>
      <c r="F844" s="161"/>
      <c r="G844" s="161" t="s">
        <v>130</v>
      </c>
      <c r="H844" s="162">
        <v>2014</v>
      </c>
      <c r="I844" s="163"/>
      <c r="J844" s="159">
        <f>IFERROR(INDEX('Labor Expenditures'!$F$7:$X$91,MATCH($C844,'Labor Expenditures'!$D$7:$D$91,0),MATCH($G844,'Labor Expenditures'!$F$5:$X$5,0)),"NA")</f>
        <v>262813.24157941324</v>
      </c>
      <c r="K844" s="159">
        <f t="shared" si="1535"/>
        <v>2031.0142316801641</v>
      </c>
      <c r="L844" s="165">
        <f t="shared" si="1541"/>
        <v>-0.15278170960842336</v>
      </c>
      <c r="M844" s="76">
        <f t="shared" si="1545"/>
        <v>-1.3224521457171805E-2</v>
      </c>
      <c r="N844" s="62">
        <f t="shared" si="1552"/>
        <v>119.58486764230481</v>
      </c>
      <c r="O844" s="96">
        <f t="shared" si="1546"/>
        <v>0.10568223606761812</v>
      </c>
      <c r="P844" s="96"/>
      <c r="Q844" s="159">
        <f>IFERROR(INDEX('Non-Labor Expenditures'!$F$7:$AB$91,MATCH($C844,'Non-Labor Expenditures'!$D$7:$D$91,0),MATCH($G844,'Non-Labor Expenditures'!$F$5:$AB$5,0)),"NA")</f>
        <v>380602.66054951696</v>
      </c>
      <c r="R844" s="159">
        <f t="shared" si="1536"/>
        <v>3672.1049383920126</v>
      </c>
      <c r="S844" s="165">
        <f t="shared" si="1547"/>
        <v>-0.15073042144300436</v>
      </c>
      <c r="T844" s="165">
        <f t="shared" si="1548"/>
        <v>-1.3046965489065721E-2</v>
      </c>
      <c r="U844" s="165"/>
      <c r="V844" s="165"/>
      <c r="W844" s="159">
        <f t="shared" si="1515"/>
        <v>342027.68753651343</v>
      </c>
      <c r="X844" s="163"/>
      <c r="Y844" s="167">
        <v>15994.406088570915</v>
      </c>
      <c r="Z844" s="168">
        <v>5.0922409042975493E-2</v>
      </c>
      <c r="AA844" s="76">
        <f t="shared" si="1537"/>
        <v>4.4077559595692654E-3</v>
      </c>
      <c r="AB844" s="168"/>
      <c r="AC844" s="168"/>
      <c r="AD844" s="163">
        <f t="shared" si="1526"/>
        <v>985443.58966544364</v>
      </c>
      <c r="AE844" s="168">
        <f t="shared" si="1549"/>
        <v>-6.3648205681243727E-2</v>
      </c>
      <c r="AF844" s="163"/>
      <c r="AG844" s="163"/>
      <c r="AH844" s="163"/>
      <c r="AI844" s="163"/>
      <c r="AJ844" s="116">
        <f t="shared" si="1550"/>
        <v>224.17578882670384</v>
      </c>
      <c r="AK844" s="114">
        <f>+AV844/$AX$19</f>
        <v>0.12164889055299252</v>
      </c>
      <c r="AL844" s="115">
        <f t="shared" si="1538"/>
        <v>0.26669536880202133</v>
      </c>
      <c r="AM844" s="115">
        <f t="shared" si="1539"/>
        <v>0.38622470584920127</v>
      </c>
      <c r="AN844" s="115">
        <f t="shared" si="1540"/>
        <v>0.34707992534877741</v>
      </c>
      <c r="AO844" s="115">
        <f t="shared" si="1542"/>
        <v>-8.5998537546283421E-2</v>
      </c>
      <c r="AP844" s="166">
        <f t="shared" si="1554"/>
        <v>109.70463289378289</v>
      </c>
      <c r="AQ844" s="168">
        <f t="shared" si="1555"/>
        <v>-8.5998537546283435E-2</v>
      </c>
      <c r="AR844" s="69">
        <f>+AD844/$AF$19</f>
        <v>8.6558276452502095E-2</v>
      </c>
      <c r="AS844" s="169">
        <f t="shared" si="1553"/>
        <v>-7.4438851874420826E-3</v>
      </c>
      <c r="AT844" s="115"/>
      <c r="AU844" s="115"/>
      <c r="AV844" s="113">
        <f>IFERROR(INDEX('Total Customers'!$F$7:$AB$91,MATCH($C844,'Total Customers'!$D$7:$D$91,0),MATCH($G844,'Total Customers'!$F$5:$AB$5,0)),"NA")</f>
        <v>4395852</v>
      </c>
      <c r="AW844" s="68">
        <f t="shared" si="1551"/>
        <v>-3.1164903693907671E-3</v>
      </c>
      <c r="AX844" s="114"/>
      <c r="AY844" s="114"/>
      <c r="AZ844" s="116"/>
      <c r="BA844" s="116"/>
      <c r="BB844" s="166"/>
      <c r="BC844" s="166"/>
      <c r="BD844" s="166"/>
      <c r="BE844" s="166"/>
      <c r="BF844" s="166"/>
      <c r="BG844" s="166"/>
      <c r="BH844" s="166"/>
      <c r="BI844" s="113"/>
      <c r="BJ844" s="113"/>
      <c r="BK844" s="113">
        <f>INDEX('Dist. Plant Gas Additions'!$F$7:$AE$91,MATCH($C844,'Dist. Plant Gas Additions'!$D$7:$D$91,0),MATCH(Calculation!$G844,'Dist. Plant Gas Additions'!$F$5:$AE$5,0))</f>
        <v>596995</v>
      </c>
      <c r="BL844" s="113">
        <f>INDEX('Gen. Plant Additions'!$F$7:$AE$91,MATCH($C844,'Gen. Plant Additions'!$D$7:$D$91,0),MATCH(Calculation!$G844,'Gen. Plant Additions'!$F$5:$AE$5,0))</f>
        <v>27110</v>
      </c>
      <c r="BM844" s="231">
        <f t="shared" si="1516"/>
        <v>0.97440818649803285</v>
      </c>
      <c r="BN844" s="61">
        <f t="shared" si="1528"/>
        <v>26416.205935961669</v>
      </c>
      <c r="BO844" s="113">
        <f>INDEX('Dist Plant Depreciation'!$E$7:$AD$94,MATCH($C844,'Dist Plant Depreciation'!$D$7:$D$94,0),MATCH(Calculation!$G844,'Dist Plant Depreciation'!$E$5:$AD$5,0))</f>
        <v>4370240</v>
      </c>
      <c r="BP844" s="113">
        <f>INDEX('Gen. Plant Depreciation'!$E$7:$AD$94,MATCH($C844,'Gen. Plant Depreciation'!$D$7:$D$94,0),MATCH(Calculation!$G844,'Gen. Plant Depreciation'!$E$5:$AD$5,0))</f>
        <v>38002</v>
      </c>
      <c r="BQ844" s="113"/>
      <c r="BR844" s="113"/>
      <c r="BS844" s="113"/>
      <c r="BT844" s="113"/>
      <c r="BU844" s="113"/>
      <c r="BV844" s="175"/>
      <c r="BW844" s="113">
        <f>INDEX('Gross Dx Plant'!$E$7:$AD$91,MATCH($C844,'Gross Dx Plant'!$D$7:$D$91,0),MATCH(Calculation!$G844,'Gross Dx Plant'!$E$5:$AD$5,0))</f>
        <v>7789078</v>
      </c>
      <c r="BX844" s="113">
        <f>INDEX('Gross Gen Plant'!$E$7:$AD$91,MATCH($C844,'Gross Gen Plant'!$D$7:$D$91,0),MATCH(Calculation!$G844,'Gross Gen Plant'!$E$5:$AD$5,0))</f>
        <v>204572</v>
      </c>
      <c r="BY844" s="113">
        <f t="shared" si="1532"/>
        <v>3585408</v>
      </c>
      <c r="BZ844" s="113"/>
      <c r="CA844" s="116">
        <v>2014</v>
      </c>
      <c r="CB844" s="113"/>
      <c r="CC844" s="113"/>
      <c r="CD844" s="113"/>
      <c r="CE844" s="175"/>
      <c r="CF844" s="113">
        <f t="shared" si="1517"/>
        <v>624105</v>
      </c>
      <c r="CG844" s="113">
        <f t="shared" si="1518"/>
        <v>911.80881785401436</v>
      </c>
      <c r="CH844" s="178">
        <v>0.89743589743589747</v>
      </c>
      <c r="CI844" s="61">
        <f>+CI828*CH844+CG829*CH843+CG830*CH842+CG831*CH841+CG832*CH840+CG833*CH839+CG834*CH838+CG835*CH837+CG836*CH836+CG837*CH835+CG838*CH834+CG839*CH833+CG840*CH832+CG841*CH831+CG842*CH830+CG843*CH829+CG844</f>
        <v>15994.406088570915</v>
      </c>
      <c r="CJ844" s="114">
        <f t="shared" si="1519"/>
        <v>5.0922409042975493E-2</v>
      </c>
      <c r="CK844" s="114"/>
      <c r="CL844" s="169">
        <f t="shared" si="1520"/>
        <v>7.7449045120722808E-3</v>
      </c>
      <c r="CM844" s="169">
        <f t="shared" si="1529"/>
        <v>7.5849094286837395E-3</v>
      </c>
      <c r="CN844" s="114">
        <f>VLOOKUP($H844,RoR!$E:$F,2,FALSE)</f>
        <v>4.1625000000000002E-2</v>
      </c>
      <c r="CO844" s="169">
        <v>1.841352814597208E-2</v>
      </c>
      <c r="CP844" s="169">
        <f t="shared" si="1527"/>
        <v>2.3211471854027922E-2</v>
      </c>
      <c r="CQ844" s="169">
        <f t="shared" si="1530"/>
        <v>2.3317032179849886E-2</v>
      </c>
      <c r="CR844" s="169">
        <f t="shared" si="1531"/>
        <v>3.9072621432650924E-2</v>
      </c>
      <c r="CS844" s="179">
        <f t="shared" si="1521"/>
        <v>0.84923979999999999</v>
      </c>
      <c r="CT844" s="180">
        <f t="shared" si="1522"/>
        <v>1.2320012320012319</v>
      </c>
      <c r="CU844" s="180">
        <f t="shared" si="1523"/>
        <v>0.37439939939939942</v>
      </c>
      <c r="CV844" s="180">
        <f t="shared" si="1524"/>
        <v>0.80432100613819935</v>
      </c>
      <c r="CW844" s="180">
        <f t="shared" si="1525"/>
        <v>0.37100152660040037</v>
      </c>
      <c r="CX844" s="181">
        <f>INDEX('State Tax Lookup'!$D$7:$Z$91,MATCH(Calculation!$C844,'State Tax Lookup'!$B$7:$B$91,0),MATCH($H844,'State Tax Lookup'!$D$6:$Z$6,0))</f>
        <v>0.40745999999999999</v>
      </c>
      <c r="CY844" s="72">
        <v>0.37</v>
      </c>
      <c r="CZ844" s="182">
        <v>22.501344408032914</v>
      </c>
      <c r="DA844" s="182">
        <v>20.763592984765573</v>
      </c>
      <c r="DB844" s="69">
        <f t="shared" si="1533"/>
        <v>2.0292197532526954E-2</v>
      </c>
      <c r="DC844" s="181">
        <v>4.1625000000000002E-2</v>
      </c>
      <c r="DD844" s="183">
        <v>1.841352814597208E-2</v>
      </c>
      <c r="DE844" s="111">
        <f>VLOOKUP(H844,'HW Dx Data'!$E:$F,2,FALSE)</f>
        <v>684.46914285042885</v>
      </c>
      <c r="DF844" s="72">
        <f t="shared" si="1543"/>
        <v>129.4</v>
      </c>
      <c r="DG844" s="69">
        <f t="shared" si="1544"/>
        <v>2.0297340063674733E-2</v>
      </c>
      <c r="DH844" s="66">
        <f>HLOOKUP(H844,'GDP-PI'!$8:$9,2,FALSE)</f>
        <v>103.64700000000001</v>
      </c>
      <c r="DI844" s="69">
        <f t="shared" si="1534"/>
        <v>1.8246051898256087E-2</v>
      </c>
      <c r="EB844"/>
    </row>
    <row r="845" spans="1:132" s="160" customFormat="1" ht="21">
      <c r="A845" s="160" t="s">
        <v>208</v>
      </c>
      <c r="B845" s="161" t="s">
        <v>208</v>
      </c>
      <c r="C845" s="161">
        <v>4004218</v>
      </c>
      <c r="D845" s="161" t="s">
        <v>209</v>
      </c>
      <c r="E845" s="161"/>
      <c r="F845" s="161"/>
      <c r="G845" s="161" t="s">
        <v>132</v>
      </c>
      <c r="H845" s="162">
        <v>2015</v>
      </c>
      <c r="I845" s="163"/>
      <c r="J845" s="159">
        <f>IFERROR(INDEX('Labor Expenditures'!$F$7:$X$91,MATCH($C845,'Labor Expenditures'!$D$7:$D$91,0),MATCH($G845,'Labor Expenditures'!$F$5:$X$5,0)),"NA")</f>
        <v>294789.49262681877</v>
      </c>
      <c r="K845" s="159">
        <f t="shared" si="1535"/>
        <v>2208.1609934593166</v>
      </c>
      <c r="L845" s="165">
        <f t="shared" si="1541"/>
        <v>8.3624749659430161E-2</v>
      </c>
      <c r="M845" s="76">
        <f t="shared" si="1545"/>
        <v>7.8045470266486384E-3</v>
      </c>
      <c r="N845" s="62">
        <f t="shared" si="1552"/>
        <v>118.93698192792746</v>
      </c>
      <c r="O845" s="96">
        <f t="shared" si="1546"/>
        <v>-5.4325195693844253E-3</v>
      </c>
      <c r="P845" s="96"/>
      <c r="Q845" s="159">
        <f>IFERROR(INDEX('Non-Labor Expenditures'!$F$7:$AB$91,MATCH($C845,'Non-Labor Expenditures'!$D$7:$D$91,0),MATCH($G845,'Non-Labor Expenditures'!$F$5:$AB$5,0)),"NA")</f>
        <v>426910.24440603418</v>
      </c>
      <c r="R845" s="159">
        <f t="shared" si="1536"/>
        <v>4079.8387255806556</v>
      </c>
      <c r="S845" s="165">
        <f t="shared" si="1547"/>
        <v>0.10529240924749128</v>
      </c>
      <c r="T845" s="165">
        <f t="shared" si="1548"/>
        <v>9.8267506075399268E-3</v>
      </c>
      <c r="U845" s="165"/>
      <c r="V845" s="165"/>
      <c r="W845" s="159">
        <f t="shared" si="1515"/>
        <v>351324.1393876361</v>
      </c>
      <c r="X845" s="163"/>
      <c r="Y845" s="167">
        <v>16911.596614354898</v>
      </c>
      <c r="Z845" s="168">
        <v>5.5760535162362353E-2</v>
      </c>
      <c r="AA845" s="76">
        <f t="shared" si="1537"/>
        <v>5.2040301546861139E-3</v>
      </c>
      <c r="AB845" s="168"/>
      <c r="AC845" s="168"/>
      <c r="AD845" s="163">
        <f t="shared" si="1526"/>
        <v>1073023.876420489</v>
      </c>
      <c r="AE845" s="168">
        <f t="shared" si="1549"/>
        <v>8.5144109770648138E-2</v>
      </c>
      <c r="AF845" s="163"/>
      <c r="AG845" s="163"/>
      <c r="AH845" s="163"/>
      <c r="AI845" s="163"/>
      <c r="AJ845" s="116">
        <f t="shared" si="1550"/>
        <v>241.10891373537237</v>
      </c>
      <c r="AK845" s="114">
        <f>+AV845/$AX$20</f>
        <v>0.12215616639174208</v>
      </c>
      <c r="AL845" s="115">
        <f t="shared" si="1538"/>
        <v>0.27472780345784098</v>
      </c>
      <c r="AM845" s="115">
        <f t="shared" si="1539"/>
        <v>0.3978571714826778</v>
      </c>
      <c r="AN845" s="115">
        <f t="shared" si="1540"/>
        <v>0.32741502505948122</v>
      </c>
      <c r="AO845" s="115">
        <f t="shared" si="1542"/>
        <v>8.2722223275345272E-2</v>
      </c>
      <c r="AP845" s="166">
        <f t="shared" si="1554"/>
        <v>119.16556421258504</v>
      </c>
      <c r="AQ845" s="168">
        <f t="shared" si="1555"/>
        <v>8.2722223275345244E-2</v>
      </c>
      <c r="AR845" s="69">
        <f>+AD845/$AF$20</f>
        <v>9.3328195999789615E-2</v>
      </c>
      <c r="AS845" s="169">
        <f t="shared" si="1553"/>
        <v>7.7203158673797793E-3</v>
      </c>
      <c r="AT845" s="115"/>
      <c r="AU845" s="115"/>
      <c r="AV845" s="113">
        <f>IFERROR(INDEX('Total Customers'!$F$7:$AB$91,MATCH($C845,'Total Customers'!$D$7:$D$91,0),MATCH($G845,'Total Customers'!$F$5:$AB$5,0)),"NA")</f>
        <v>4450370</v>
      </c>
      <c r="AW845" s="68">
        <f t="shared" si="1551"/>
        <v>1.2325869784464842E-2</v>
      </c>
      <c r="AX845" s="114"/>
      <c r="AY845" s="114"/>
      <c r="AZ845" s="116"/>
      <c r="BA845" s="116"/>
      <c r="BB845" s="166"/>
      <c r="BC845" s="166"/>
      <c r="BD845" s="166"/>
      <c r="BE845" s="166"/>
      <c r="BF845" s="166"/>
      <c r="BG845" s="166"/>
      <c r="BH845" s="166"/>
      <c r="BI845" s="113"/>
      <c r="BJ845" s="113"/>
      <c r="BK845" s="113">
        <f>INDEX('Dist. Plant Gas Additions'!$F$7:$AE$91,MATCH($C845,'Dist. Plant Gas Additions'!$D$7:$D$91,0),MATCH(Calculation!$G845,'Dist. Plant Gas Additions'!$F$5:$AE$5,0))</f>
        <v>671886</v>
      </c>
      <c r="BL845" s="113">
        <f>INDEX('Gen. Plant Additions'!$F$7:$AE$91,MATCH($C845,'Gen. Plant Additions'!$D$7:$D$91,0),MATCH(Calculation!$G845,'Gen. Plant Additions'!$F$5:$AE$5,0))</f>
        <v>33336</v>
      </c>
      <c r="BM845" s="231">
        <f t="shared" si="1516"/>
        <v>0.97389930999091678</v>
      </c>
      <c r="BN845" s="61">
        <f t="shared" si="1528"/>
        <v>32465.907397857201</v>
      </c>
      <c r="BO845" s="113">
        <f>INDEX('Dist Plant Depreciation'!$E$7:$AD$94,MATCH($C845,'Dist Plant Depreciation'!$D$7:$D$94,0),MATCH(Calculation!$G845,'Dist Plant Depreciation'!$E$5:$AD$5,0))</f>
        <v>4600948</v>
      </c>
      <c r="BP845" s="113">
        <f>INDEX('Gen. Plant Depreciation'!$E$7:$AD$94,MATCH($C845,'Gen. Plant Depreciation'!$D$7:$D$94,0),MATCH(Calculation!$G845,'Gen. Plant Depreciation'!$E$5:$AD$5,0))</f>
        <v>34254</v>
      </c>
      <c r="BQ845" s="113"/>
      <c r="BR845" s="113"/>
      <c r="BS845" s="113"/>
      <c r="BT845" s="113"/>
      <c r="BU845" s="113"/>
      <c r="BV845" s="175"/>
      <c r="BW845" s="113">
        <f>INDEX('Gross Dx Plant'!$E$7:$AD$91,MATCH($C845,'Gross Dx Plant'!$D$7:$D$91,0),MATCH(Calculation!$G845,'Gross Dx Plant'!$E$5:$AD$5,0))</f>
        <v>8433857</v>
      </c>
      <c r="BX845" s="113">
        <f>INDEX('Gross Gen Plant'!$E$7:$AD$91,MATCH($C845,'Gross Gen Plant'!$D$7:$D$91,0),MATCH(Calculation!$G845,'Gross Gen Plant'!$E$5:$AD$5,0))</f>
        <v>226029</v>
      </c>
      <c r="BY845" s="113">
        <f t="shared" si="1532"/>
        <v>4024684</v>
      </c>
      <c r="BZ845" s="113"/>
      <c r="CA845" s="116">
        <v>2015</v>
      </c>
      <c r="CB845" s="113"/>
      <c r="CC845" s="113"/>
      <c r="CD845" s="113"/>
      <c r="CE845" s="175"/>
      <c r="CF845" s="113">
        <f t="shared" si="1517"/>
        <v>705222</v>
      </c>
      <c r="CG845" s="113">
        <f t="shared" si="1518"/>
        <v>1043.8228621219703</v>
      </c>
      <c r="CH845" s="178">
        <v>0.88888888888888884</v>
      </c>
      <c r="CI845" s="61">
        <f>+CI828*CH845+CG829*CH844+CG830*CH843+CG831*CH842+CG832*CH841+CG833*CH840+CG834*CH839+CG835*CH838+CG836*CH837+CG837*CH836+CG838*CH835+CG839*CH834+CG840*CH833+CG841*CH832+CG842*CH831+CG843*CH830+CG844*CH829+CG845</f>
        <v>16911.596614354898</v>
      </c>
      <c r="CJ845" s="114">
        <f t="shared" si="1519"/>
        <v>5.5760535162362353E-2</v>
      </c>
      <c r="CK845" s="114"/>
      <c r="CL845" s="169">
        <f t="shared" si="1520"/>
        <v>7.9172890594840558E-3</v>
      </c>
      <c r="CM845" s="169">
        <f t="shared" si="1529"/>
        <v>7.753808712806994E-3</v>
      </c>
      <c r="CN845" s="114">
        <f>VLOOKUP($H845,RoR!$E:$F,2,FALSE)</f>
        <v>3.8866666666666674E-2</v>
      </c>
      <c r="CO845" s="169">
        <v>9.5709475431029478E-3</v>
      </c>
      <c r="CP845" s="169">
        <f t="shared" si="1527"/>
        <v>2.9295719123563727E-2</v>
      </c>
      <c r="CQ845" s="169">
        <f t="shared" si="1530"/>
        <v>2.314813289572663E-2</v>
      </c>
      <c r="CR845" s="169">
        <f t="shared" si="1531"/>
        <v>3.5270373279175926E-3</v>
      </c>
      <c r="CS845" s="179">
        <f t="shared" si="1521"/>
        <v>0.84923979999999999</v>
      </c>
      <c r="CT845" s="180">
        <f t="shared" si="1522"/>
        <v>1.3194352816994324</v>
      </c>
      <c r="CU845" s="180">
        <f t="shared" si="1523"/>
        <v>0.33177530017152673</v>
      </c>
      <c r="CV845" s="180">
        <f t="shared" si="1524"/>
        <v>0.78242572977668579</v>
      </c>
      <c r="CW845" s="180">
        <f t="shared" si="1525"/>
        <v>0.34251158643433932</v>
      </c>
      <c r="CX845" s="181">
        <f>INDEX('State Tax Lookup'!$D$7:$Z$91,MATCH(Calculation!$C845,'State Tax Lookup'!$B$7:$B$91,0),MATCH($H845,'State Tax Lookup'!$D$6:$Z$6,0))</f>
        <v>0.40745999999999999</v>
      </c>
      <c r="CY845" s="72">
        <v>0.37</v>
      </c>
      <c r="CZ845" s="182">
        <v>21.965438256483996</v>
      </c>
      <c r="DA845" s="182">
        <v>20.279488671080099</v>
      </c>
      <c r="DB845" s="69">
        <f t="shared" si="1533"/>
        <v>-2.4104829172888222E-2</v>
      </c>
      <c r="DC845" s="181">
        <v>3.8866666666666674E-2</v>
      </c>
      <c r="DD845" s="183">
        <v>9.5709475431029478E-3</v>
      </c>
      <c r="DE845" s="111">
        <f>VLOOKUP(H845,'HW Dx Data'!$E:$F,2,FALSE)</f>
        <v>675.61463308665782</v>
      </c>
      <c r="DF845" s="72">
        <f t="shared" si="1543"/>
        <v>133.5</v>
      </c>
      <c r="DG845" s="69">
        <f t="shared" si="1544"/>
        <v>3.1193095773504077E-2</v>
      </c>
      <c r="DH845" s="66">
        <f>HLOOKUP(H845,'GDP-PI'!$8:$9,2,FALSE)</f>
        <v>104.639</v>
      </c>
      <c r="DI845" s="69">
        <f t="shared" si="1534"/>
        <v>9.5254361854427965E-3</v>
      </c>
      <c r="EB845"/>
    </row>
    <row r="846" spans="1:132" s="160" customFormat="1" ht="21">
      <c r="A846" s="160" t="s">
        <v>208</v>
      </c>
      <c r="B846" s="161" t="s">
        <v>208</v>
      </c>
      <c r="C846" s="161">
        <v>4004218</v>
      </c>
      <c r="D846" s="161" t="s">
        <v>209</v>
      </c>
      <c r="E846" s="161"/>
      <c r="F846" s="161"/>
      <c r="G846" s="161" t="s">
        <v>133</v>
      </c>
      <c r="H846" s="162">
        <v>2016</v>
      </c>
      <c r="I846" s="163"/>
      <c r="J846" s="159">
        <f>IFERROR(INDEX('Labor Expenditures'!$F$7:$X$91,MATCH($C846,'Labor Expenditures'!$D$7:$D$91,0),MATCH($G846,'Labor Expenditures'!$F$5:$X$5,0)),"NA")</f>
        <v>335216.14992524328</v>
      </c>
      <c r="K846" s="159">
        <f t="shared" si="1535"/>
        <v>2447.7265419879031</v>
      </c>
      <c r="L846" s="165">
        <f t="shared" si="1541"/>
        <v>0.10299961224495852</v>
      </c>
      <c r="M846" s="76">
        <f t="shared" si="1545"/>
        <v>1.0254472093929601E-2</v>
      </c>
      <c r="N846" s="62">
        <f t="shared" si="1552"/>
        <v>299.69160227187285</v>
      </c>
      <c r="O846" s="96">
        <f t="shared" si="1546"/>
        <v>0.92416016427017411</v>
      </c>
      <c r="P846" s="96"/>
      <c r="Q846" s="159">
        <f>IFERROR(INDEX('Non-Labor Expenditures'!$F$7:$AB$91,MATCH($C846,'Non-Labor Expenditures'!$D$7:$D$91,0),MATCH($G846,'Non-Labor Expenditures'!$F$5:$AB$5,0)),"NA")</f>
        <v>485455.59483220225</v>
      </c>
      <c r="R846" s="159">
        <f t="shared" si="1536"/>
        <v>4591.204460469492</v>
      </c>
      <c r="S846" s="165">
        <f t="shared" si="1547"/>
        <v>0.11808493974653626</v>
      </c>
      <c r="T846" s="165">
        <f t="shared" si="1548"/>
        <v>1.1756342504129026E-2</v>
      </c>
      <c r="U846" s="165"/>
      <c r="V846" s="165"/>
      <c r="W846" s="159">
        <f t="shared" si="1515"/>
        <v>363848.00188458164</v>
      </c>
      <c r="X846" s="163"/>
      <c r="Y846" s="167">
        <v>18230.410534972347</v>
      </c>
      <c r="Z846" s="168">
        <v>7.5091531376465778E-2</v>
      </c>
      <c r="AA846" s="76">
        <f t="shared" si="1537"/>
        <v>7.4759894353689411E-3</v>
      </c>
      <c r="AB846" s="168"/>
      <c r="AC846" s="168"/>
      <c r="AD846" s="163">
        <f t="shared" si="1526"/>
        <v>1184519.7466420271</v>
      </c>
      <c r="AE846" s="168">
        <f t="shared" si="1549"/>
        <v>9.885669992098936E-2</v>
      </c>
      <c r="AF846" s="163"/>
      <c r="AG846" s="163"/>
      <c r="AH846" s="163"/>
      <c r="AI846" s="163"/>
      <c r="AJ846" s="116">
        <f t="shared" si="1550"/>
        <v>265.97609390630231</v>
      </c>
      <c r="AK846" s="114">
        <f>+AV846/$AX$21</f>
        <v>0.12118524794463166</v>
      </c>
      <c r="AL846" s="115">
        <f t="shared" si="1538"/>
        <v>0.28299751935376449</v>
      </c>
      <c r="AM846" s="115">
        <f t="shared" si="1539"/>
        <v>0.40983326466984721</v>
      </c>
      <c r="AN846" s="115">
        <f t="shared" si="1540"/>
        <v>0.30716921597638835</v>
      </c>
      <c r="AO846" s="115">
        <f t="shared" si="1542"/>
        <v>0.10023673546123495</v>
      </c>
      <c r="AP846" s="166">
        <f t="shared" si="1554"/>
        <v>131.72949735612846</v>
      </c>
      <c r="AQ846" s="168">
        <f t="shared" si="1555"/>
        <v>0.100236735461235</v>
      </c>
      <c r="AR846" s="69">
        <f>+AD846/$AF$21</f>
        <v>9.9558356293050237E-2</v>
      </c>
      <c r="AS846" s="169">
        <f t="shared" si="1553"/>
        <v>9.9794046227018578E-3</v>
      </c>
      <c r="AT846" s="115"/>
      <c r="AU846" s="115"/>
      <c r="AV846" s="113">
        <f>IFERROR(INDEX('Total Customers'!$F$7:$AB$91,MATCH($C846,'Total Customers'!$D$7:$D$91,0),MATCH($G846,'Total Customers'!$F$5:$AB$5,0)),"NA")</f>
        <v>4453482</v>
      </c>
      <c r="AW846" s="68">
        <f t="shared" si="1551"/>
        <v>6.9902332759317774E-4</v>
      </c>
      <c r="AX846" s="114"/>
      <c r="AY846" s="114"/>
      <c r="AZ846" s="116"/>
      <c r="BA846" s="116"/>
      <c r="BB846" s="166"/>
      <c r="BC846" s="166"/>
      <c r="BD846" s="166"/>
      <c r="BE846" s="166"/>
      <c r="BF846" s="166"/>
      <c r="BG846" s="166"/>
      <c r="BH846" s="166"/>
      <c r="BI846" s="113"/>
      <c r="BJ846" s="113"/>
      <c r="BK846" s="113">
        <f>INDEX('Dist. Plant Gas Additions'!$F$7:$AE$91,MATCH($C846,'Dist. Plant Gas Additions'!$D$7:$D$91,0),MATCH(Calculation!$G846,'Dist. Plant Gas Additions'!$F$5:$AE$5,0))</f>
        <v>938464</v>
      </c>
      <c r="BL846" s="113">
        <f>INDEX('Gen. Plant Additions'!$F$7:$AE$91,MATCH($C846,'Gen. Plant Additions'!$D$7:$D$91,0),MATCH(Calculation!$G846,'Gen. Plant Additions'!$F$5:$AE$5,0))</f>
        <v>38772</v>
      </c>
      <c r="BM846" s="231">
        <f t="shared" si="1516"/>
        <v>0.97037838192906478</v>
      </c>
      <c r="BN846" s="61">
        <f t="shared" si="1528"/>
        <v>37623.5106241537</v>
      </c>
      <c r="BO846" s="113">
        <f>INDEX('Dist Plant Depreciation'!$E$7:$AD$94,MATCH($C846,'Dist Plant Depreciation'!$D$7:$D$94,0),MATCH(Calculation!$G846,'Dist Plant Depreciation'!$E$5:$AD$5,0))</f>
        <v>4849089</v>
      </c>
      <c r="BP846" s="113">
        <f>INDEX('Gen. Plant Depreciation'!$E$7:$AD$94,MATCH($C846,'Gen. Plant Depreciation'!$D$7:$D$94,0),MATCH(Calculation!$G846,'Gen. Plant Depreciation'!$E$5:$AD$5,0))</f>
        <v>41931</v>
      </c>
      <c r="BQ846" s="113"/>
      <c r="BR846" s="113"/>
      <c r="BS846" s="113"/>
      <c r="BT846" s="113"/>
      <c r="BU846" s="113"/>
      <c r="BV846" s="175"/>
      <c r="BW846" s="113">
        <f>INDEX('Gross Dx Plant'!$E$7:$AD$91,MATCH($C846,'Gross Dx Plant'!$D$7:$D$91,0),MATCH(Calculation!$G846,'Gross Dx Plant'!$E$5:$AD$5,0))</f>
        <v>9336286</v>
      </c>
      <c r="BX846" s="113">
        <f>INDEX('Gross Gen Plant'!$E$7:$AD$91,MATCH($C846,'Gross Gen Plant'!$D$7:$D$91,0),MATCH(Calculation!$G846,'Gross Gen Plant'!$E$5:$AD$5,0))</f>
        <v>284998</v>
      </c>
      <c r="BY846" s="113">
        <f t="shared" si="1532"/>
        <v>4730264</v>
      </c>
      <c r="BZ846" s="113"/>
      <c r="CA846" s="116">
        <v>2016</v>
      </c>
      <c r="CB846" s="113"/>
      <c r="CC846" s="113"/>
      <c r="CD846" s="113"/>
      <c r="CE846" s="175"/>
      <c r="CF846" s="113">
        <f t="shared" si="1517"/>
        <v>977236</v>
      </c>
      <c r="CG846" s="113">
        <f t="shared" si="1518"/>
        <v>1455.397564066051</v>
      </c>
      <c r="CH846" s="178">
        <v>0.88</v>
      </c>
      <c r="CI846" s="61">
        <f>+CI828*CH846+CG829*CH845+CG830*CH844+CG831*CH843+CG832*CH842+CG833*CH841+CG834*CH840+CG835*CH839+CG836*CH838+CG837*CH837+CG838*CH836+CG839*CH835+CG840*CH834+CG841*CH833+CG842*CH832+CG843*CH831+CG844*CH830+CG845*CH829+CG846</f>
        <v>18230.410534972347</v>
      </c>
      <c r="CJ846" s="114">
        <f t="shared" si="1519"/>
        <v>7.5091531376465778E-2</v>
      </c>
      <c r="CK846" s="114"/>
      <c r="CL846" s="169">
        <f t="shared" si="1520"/>
        <v>8.0763304945830443E-3</v>
      </c>
      <c r="CM846" s="169">
        <f t="shared" si="1529"/>
        <v>7.9128413553797936E-3</v>
      </c>
      <c r="CN846" s="114">
        <f>VLOOKUP($H846,RoR!$E:$F,2,FALSE)</f>
        <v>3.6658333333333334E-2</v>
      </c>
      <c r="CO846" s="169">
        <v>1.0483662879041455E-2</v>
      </c>
      <c r="CP846" s="169">
        <f t="shared" si="1527"/>
        <v>2.6174670454291879E-2</v>
      </c>
      <c r="CQ846" s="169">
        <f t="shared" si="1530"/>
        <v>2.298910025315383E-2</v>
      </c>
      <c r="CR846" s="169">
        <f t="shared" si="1531"/>
        <v>4.301363574220729E-3</v>
      </c>
      <c r="CS846" s="179">
        <f t="shared" si="1521"/>
        <v>0.84923979999999999</v>
      </c>
      <c r="CT846" s="180">
        <f t="shared" si="1522"/>
        <v>1.3989193348138562</v>
      </c>
      <c r="CU846" s="180">
        <f t="shared" si="1523"/>
        <v>0.29302682427824522</v>
      </c>
      <c r="CV846" s="180">
        <f t="shared" si="1524"/>
        <v>0.76309497491941802</v>
      </c>
      <c r="CW846" s="180">
        <f t="shared" si="1525"/>
        <v>0.31280857135128509</v>
      </c>
      <c r="CX846" s="181">
        <f>INDEX('State Tax Lookup'!$D$7:$Z$91,MATCH(Calculation!$C846,'State Tax Lookup'!$B$7:$B$91,0),MATCH($H846,'State Tax Lookup'!$D$6:$Z$6,0))</f>
        <v>0.40745999999999999</v>
      </c>
      <c r="CY846" s="72">
        <v>0.37</v>
      </c>
      <c r="CZ846" s="182">
        <v>21.514704387860117</v>
      </c>
      <c r="DA846" s="182">
        <v>19.909765876209278</v>
      </c>
      <c r="DB846" s="69">
        <f t="shared" si="1533"/>
        <v>-2.0733603340333865E-2</v>
      </c>
      <c r="DC846" s="181">
        <v>3.6658333333333334E-2</v>
      </c>
      <c r="DD846" s="183">
        <v>1.0483662879041455E-2</v>
      </c>
      <c r="DE846" s="111">
        <f>VLOOKUP(H846,'HW Dx Data'!$E:$F,2,FALSE)</f>
        <v>671.45639385971219</v>
      </c>
      <c r="DF846" s="72">
        <f t="shared" si="1543"/>
        <v>136.94999999999999</v>
      </c>
      <c r="DG846" s="69">
        <f t="shared" si="1544"/>
        <v>2.5514417868782811E-2</v>
      </c>
      <c r="DH846" s="66">
        <f>HLOOKUP(H846,'GDP-PI'!$8:$9,2,FALSE)</f>
        <v>105.736</v>
      </c>
      <c r="DI846" s="69">
        <f t="shared" si="1534"/>
        <v>1.0429090367205095E-2</v>
      </c>
      <c r="EB846"/>
    </row>
    <row r="847" spans="1:132" s="160" customFormat="1" ht="21">
      <c r="A847" s="160" t="s">
        <v>208</v>
      </c>
      <c r="B847" s="161" t="s">
        <v>208</v>
      </c>
      <c r="C847" s="161">
        <v>4004218</v>
      </c>
      <c r="D847" s="161" t="s">
        <v>209</v>
      </c>
      <c r="E847" s="161"/>
      <c r="F847" s="161"/>
      <c r="G847" s="161" t="s">
        <v>135</v>
      </c>
      <c r="H847" s="162">
        <v>2017</v>
      </c>
      <c r="I847" s="163"/>
      <c r="J847" s="159">
        <f>IFERROR(INDEX('Labor Expenditures'!$F$7:$X$91,MATCH($C847,'Labor Expenditures'!$D$7:$D$91,0),MATCH($G847,'Labor Expenditures'!$F$5:$X$5,0)),"NA")</f>
        <v>330916.043893828</v>
      </c>
      <c r="K847" s="159">
        <f t="shared" si="1535"/>
        <v>2356.1128080728231</v>
      </c>
      <c r="L847" s="165">
        <f t="shared" si="1541"/>
        <v>-3.8146505877651504E-2</v>
      </c>
      <c r="M847" s="76">
        <f t="shared" si="1545"/>
        <v>-3.7464573664461342E-3</v>
      </c>
      <c r="N847" s="62">
        <f t="shared" si="1552"/>
        <v>166.15559878128738</v>
      </c>
      <c r="O847" s="96">
        <f t="shared" si="1546"/>
        <v>-0.58982926210074649</v>
      </c>
      <c r="P847" s="96"/>
      <c r="Q847" s="159">
        <f>IFERROR(INDEX('Non-Labor Expenditures'!$F$7:$AB$91,MATCH($C847,'Non-Labor Expenditures'!$D$7:$D$91,0),MATCH($G847,'Non-Labor Expenditures'!$F$5:$AB$5,0)),"NA")</f>
        <v>479228.23814969225</v>
      </c>
      <c r="R847" s="159">
        <f t="shared" si="1536"/>
        <v>4447.5525809476685</v>
      </c>
      <c r="S847" s="165">
        <f t="shared" si="1547"/>
        <v>-3.1788436264230814E-2</v>
      </c>
      <c r="T847" s="165">
        <f t="shared" si="1548"/>
        <v>-3.1220165116014817E-3</v>
      </c>
      <c r="U847" s="165"/>
      <c r="V847" s="165"/>
      <c r="W847" s="159">
        <f t="shared" si="1515"/>
        <v>352765.28562809655</v>
      </c>
      <c r="X847" s="163"/>
      <c r="Y847" s="167">
        <v>19423.825645912406</v>
      </c>
      <c r="Z847" s="168">
        <v>6.340933043414218E-2</v>
      </c>
      <c r="AA847" s="76">
        <f t="shared" si="1537"/>
        <v>6.2275783231193925E-3</v>
      </c>
      <c r="AB847" s="168"/>
      <c r="AC847" s="168"/>
      <c r="AD847" s="163">
        <f t="shared" si="1526"/>
        <v>1162909.5676716168</v>
      </c>
      <c r="AE847" s="168">
        <f t="shared" si="1549"/>
        <v>-1.8412302637573107E-2</v>
      </c>
      <c r="AF847" s="163"/>
      <c r="AG847" s="163"/>
      <c r="AH847" s="163"/>
      <c r="AI847" s="163"/>
      <c r="AJ847" s="116">
        <f t="shared" si="1550"/>
        <v>258.74145039345262</v>
      </c>
      <c r="AK847" s="114">
        <f>+AV847/$AX$22</f>
        <v>0.12138212804038331</v>
      </c>
      <c r="AL847" s="115">
        <f t="shared" si="1538"/>
        <v>0.28455870782488246</v>
      </c>
      <c r="AM847" s="115">
        <f t="shared" si="1539"/>
        <v>0.41209415716581071</v>
      </c>
      <c r="AN847" s="115">
        <f t="shared" si="1540"/>
        <v>0.30334713500930682</v>
      </c>
      <c r="AO847" s="115">
        <f t="shared" si="1542"/>
        <v>-4.5328206918578313E-3</v>
      </c>
      <c r="AP847" s="166">
        <f t="shared" si="1554"/>
        <v>131.1337424100125</v>
      </c>
      <c r="AQ847" s="168">
        <f t="shared" si="1555"/>
        <v>-4.5328206918578053E-3</v>
      </c>
      <c r="AR847" s="69">
        <f>+AD847/$AF$22</f>
        <v>9.8212333744596828E-2</v>
      </c>
      <c r="AS847" s="169">
        <f t="shared" si="1553"/>
        <v>-4.4517889859315308E-4</v>
      </c>
      <c r="AT847" s="115"/>
      <c r="AU847" s="115"/>
      <c r="AV847" s="113">
        <f>IFERROR(INDEX('Total Customers'!$F$7:$AB$91,MATCH($C847,'Total Customers'!$D$7:$D$91,0),MATCH($G847,'Total Customers'!$F$5:$AB$5,0)),"NA")</f>
        <v>4494485</v>
      </c>
      <c r="AW847" s="68">
        <f t="shared" si="1551"/>
        <v>9.1648274966397228E-3</v>
      </c>
      <c r="AX847" s="114"/>
      <c r="AY847" s="114"/>
      <c r="AZ847" s="116"/>
      <c r="BA847" s="116"/>
      <c r="BB847" s="166"/>
      <c r="BC847" s="166"/>
      <c r="BD847" s="166"/>
      <c r="BE847" s="166"/>
      <c r="BF847" s="166"/>
      <c r="BG847" s="166"/>
      <c r="BH847" s="166"/>
      <c r="BI847" s="113"/>
      <c r="BJ847" s="113"/>
      <c r="BK847" s="113">
        <f>INDEX('Dist. Plant Gas Additions'!$F$7:$AE$91,MATCH($C847,'Dist. Plant Gas Additions'!$D$7:$D$91,0),MATCH(Calculation!$G847,'Dist. Plant Gas Additions'!$F$5:$AE$5,0))</f>
        <v>843826</v>
      </c>
      <c r="BL847" s="113">
        <f>INDEX('Gen. Plant Additions'!$F$7:$AE$91,MATCH($C847,'Gen. Plant Additions'!$D$7:$D$91,0),MATCH(Calculation!$G847,'Gen. Plant Additions'!$F$5:$AE$5,0))</f>
        <v>112560</v>
      </c>
      <c r="BM847" s="231">
        <f t="shared" si="1516"/>
        <v>0.9627288479287841</v>
      </c>
      <c r="BN847" s="61">
        <f t="shared" si="1528"/>
        <v>108364.75912286394</v>
      </c>
      <c r="BO847" s="113">
        <f>INDEX('Dist Plant Depreciation'!$E$7:$AD$94,MATCH($C847,'Dist Plant Depreciation'!$D$7:$D$94,0),MATCH(Calculation!$G847,'Dist Plant Depreciation'!$E$5:$AD$5,0))</f>
        <v>5099734</v>
      </c>
      <c r="BP847" s="113">
        <f>INDEX('Gen. Plant Depreciation'!$E$7:$AD$94,MATCH($C847,'Gen. Plant Depreciation'!$D$7:$D$94,0),MATCH(Calculation!$G847,'Gen. Plant Depreciation'!$E$5:$AD$5,0))</f>
        <v>52753</v>
      </c>
      <c r="BQ847" s="113"/>
      <c r="BR847" s="113"/>
      <c r="BS847" s="113"/>
      <c r="BT847" s="113"/>
      <c r="BU847" s="113"/>
      <c r="BV847" s="175"/>
      <c r="BW847" s="113">
        <f>INDEX('Gross Dx Plant'!$E$7:$AD$91,MATCH($C847,'Gross Dx Plant'!$D$7:$D$91,0),MATCH(Calculation!$G847,'Gross Dx Plant'!$E$5:$AD$5,0))</f>
        <v>10153337</v>
      </c>
      <c r="BX847" s="113">
        <f>INDEX('Gross Gen Plant'!$E$7:$AD$91,MATCH($C847,'Gross Gen Plant'!$D$7:$D$91,0),MATCH(Calculation!$G847,'Gross Gen Plant'!$E$5:$AD$5,0))</f>
        <v>393077</v>
      </c>
      <c r="BY847" s="113">
        <f t="shared" si="1532"/>
        <v>5393927</v>
      </c>
      <c r="BZ847" s="113"/>
      <c r="CA847" s="116">
        <v>2017</v>
      </c>
      <c r="CB847" s="113"/>
      <c r="CC847" s="113"/>
      <c r="CD847" s="113"/>
      <c r="CE847" s="175"/>
      <c r="CF847" s="113">
        <f t="shared" si="1517"/>
        <v>956386</v>
      </c>
      <c r="CG847" s="113">
        <f t="shared" si="1518"/>
        <v>1342.4306967442583</v>
      </c>
      <c r="CH847" s="178">
        <v>0.87074829931972786</v>
      </c>
      <c r="CI847" s="61">
        <f>+CI828*CH847+CG829*CH846+CG830*CH845+CG831*CH844+CG832*CH843+CG833*CH842+CG834*CH841+CG835*CH840+CG836*CH839+CG837*CH838+CG838*CH837+CG839*CH836+CG840*CH835+CG841*CH834+CG842*CH833+CG843*CH832+CG844*CH831+CG845*CH830+CG846*CH829+CG847</f>
        <v>19423.825645912406</v>
      </c>
      <c r="CJ847" s="114">
        <f t="shared" si="1519"/>
        <v>6.340933043414218E-2</v>
      </c>
      <c r="CK847" s="114"/>
      <c r="CL847" s="169">
        <f t="shared" si="1520"/>
        <v>8.1740115242240341E-3</v>
      </c>
      <c r="CM847" s="169">
        <f t="shared" si="1529"/>
        <v>8.0558770260970441E-3</v>
      </c>
      <c r="CN847" s="114">
        <f>VLOOKUP($H847,RoR!$E:$F,2,FALSE)</f>
        <v>3.7433333333333339E-2</v>
      </c>
      <c r="CO847" s="169">
        <v>1.9056896421275615E-2</v>
      </c>
      <c r="CP847" s="169">
        <f t="shared" si="1527"/>
        <v>1.8376436912057724E-2</v>
      </c>
      <c r="CQ847" s="169">
        <f t="shared" si="1530"/>
        <v>2.2846064582436581E-2</v>
      </c>
      <c r="CR847" s="169">
        <f t="shared" si="1531"/>
        <v>1.3976271617800498E-2</v>
      </c>
      <c r="CS847" s="179">
        <f t="shared" si="1521"/>
        <v>0.90103980000000006</v>
      </c>
      <c r="CT847" s="180">
        <f t="shared" si="1522"/>
        <v>1.3699568463593395</v>
      </c>
      <c r="CU847" s="180">
        <f t="shared" si="1523"/>
        <v>0.30714603739982199</v>
      </c>
      <c r="CV847" s="180">
        <f t="shared" si="1524"/>
        <v>0.77007188472689425</v>
      </c>
      <c r="CW847" s="180">
        <f t="shared" si="1525"/>
        <v>0.32402839633793828</v>
      </c>
      <c r="CX847" s="181">
        <f>INDEX('State Tax Lookup'!$D$7:$Z$91,MATCH(Calculation!$C847,'State Tax Lookup'!$B$7:$B$91,0),MATCH($H847,'State Tax Lookup'!$D$6:$Z$6,0))</f>
        <v>0.26745999999999998</v>
      </c>
      <c r="CY847" s="72">
        <v>0.37</v>
      </c>
      <c r="CZ847" s="182">
        <v>19.350375294696107</v>
      </c>
      <c r="DA847" s="182">
        <v>18.231812616449311</v>
      </c>
      <c r="DB847" s="69">
        <f t="shared" si="1533"/>
        <v>-0.10602481201779088</v>
      </c>
      <c r="DC847" s="181">
        <v>3.7433333333333339E-2</v>
      </c>
      <c r="DD847" s="183">
        <v>1.9056896421275615E-2</v>
      </c>
      <c r="DE847" s="111">
        <f>VLOOKUP(H847,'HW Dx Data'!$E:$F,2,FALSE)</f>
        <v>712.42858370229726</v>
      </c>
      <c r="DF847" s="72">
        <f t="shared" si="1543"/>
        <v>140.44999999999999</v>
      </c>
      <c r="DG847" s="69">
        <f t="shared" si="1544"/>
        <v>2.5235657841165486E-2</v>
      </c>
      <c r="DH847" s="66">
        <f>HLOOKUP(H847,'GDP-PI'!$8:$9,2,FALSE)</f>
        <v>107.751</v>
      </c>
      <c r="DI847" s="69">
        <f t="shared" si="1534"/>
        <v>1.8877588227745139E-2</v>
      </c>
      <c r="EB847"/>
    </row>
    <row r="848" spans="1:132" s="160" customFormat="1" ht="21">
      <c r="A848" s="160" t="s">
        <v>208</v>
      </c>
      <c r="B848" s="161" t="s">
        <v>208</v>
      </c>
      <c r="C848" s="161">
        <v>4004218</v>
      </c>
      <c r="D848" s="161" t="s">
        <v>209</v>
      </c>
      <c r="E848" s="161"/>
      <c r="F848" s="161"/>
      <c r="G848" s="161" t="s">
        <v>136</v>
      </c>
      <c r="H848" s="162">
        <v>2018</v>
      </c>
      <c r="I848" s="163"/>
      <c r="J848" s="159">
        <f>IFERROR(INDEX('Labor Expenditures'!$F$7:$X$91,MATCH($C848,'Labor Expenditures'!$D$7:$D$91,0),MATCH($G848,'Labor Expenditures'!$F$5:$X$5,0)),"NA")</f>
        <v>345557.33900176245</v>
      </c>
      <c r="K848" s="159">
        <f t="shared" si="1535"/>
        <v>2392.2280304725682</v>
      </c>
      <c r="L848" s="165">
        <f t="shared" si="1541"/>
        <v>1.521201618136408E-2</v>
      </c>
      <c r="M848" s="76">
        <f t="shared" si="1545"/>
        <v>1.4628046020677113E-3</v>
      </c>
      <c r="N848" s="62">
        <f t="shared" si="1552"/>
        <v>114.81894409668659</v>
      </c>
      <c r="O848" s="96">
        <f t="shared" si="1546"/>
        <v>-0.36956820284648245</v>
      </c>
      <c r="P848" s="96"/>
      <c r="Q848" s="159">
        <f>IFERROR(INDEX('Non-Labor Expenditures'!$F$7:$AB$91,MATCH($C848,'Non-Labor Expenditures'!$D$7:$D$91,0),MATCH($G848,'Non-Labor Expenditures'!$F$5:$AB$5,0)),"NA")</f>
        <v>500431.56808269583</v>
      </c>
      <c r="R848" s="159">
        <f t="shared" si="1536"/>
        <v>4536.0994913316999</v>
      </c>
      <c r="S848" s="165">
        <f t="shared" si="1547"/>
        <v>1.971353682684697E-2</v>
      </c>
      <c r="T848" s="165">
        <f t="shared" si="1548"/>
        <v>1.8956758952617153E-3</v>
      </c>
      <c r="U848" s="165"/>
      <c r="V848" s="165"/>
      <c r="W848" s="159">
        <f t="shared" si="1515"/>
        <v>391659.21234340291</v>
      </c>
      <c r="X848" s="163"/>
      <c r="Y848" s="167">
        <v>20615.009437323446</v>
      </c>
      <c r="Z848" s="168">
        <v>5.951898533061447E-2</v>
      </c>
      <c r="AA848" s="76">
        <f t="shared" si="1537"/>
        <v>5.7234126373520763E-3</v>
      </c>
      <c r="AB848" s="168"/>
      <c r="AC848" s="168"/>
      <c r="AD848" s="163">
        <f t="shared" si="1526"/>
        <v>1237648.1194278612</v>
      </c>
      <c r="AE848" s="168">
        <f t="shared" si="1549"/>
        <v>6.228778805786702E-2</v>
      </c>
      <c r="AF848" s="163"/>
      <c r="AG848" s="163"/>
      <c r="AH848" s="163"/>
      <c r="AI848" s="163"/>
      <c r="AJ848" s="116">
        <f t="shared" si="1550"/>
        <v>276.72047990173434</v>
      </c>
      <c r="AK848" s="114">
        <f>+AV848/$AX$23</f>
        <v>0.11973205739269976</v>
      </c>
      <c r="AL848" s="115">
        <f t="shared" si="1538"/>
        <v>0.27920483502330723</v>
      </c>
      <c r="AM848" s="115">
        <f t="shared" si="1539"/>
        <v>0.40434074938362519</v>
      </c>
      <c r="AN848" s="115">
        <f t="shared" si="1540"/>
        <v>0.31645441559306758</v>
      </c>
      <c r="AO848" s="115">
        <f t="shared" si="1542"/>
        <v>3.0780379565725151E-2</v>
      </c>
      <c r="AP848" s="166">
        <f t="shared" si="1554"/>
        <v>135.23285120721593</v>
      </c>
      <c r="AQ848" s="168">
        <f t="shared" si="1555"/>
        <v>3.0780379565725245E-2</v>
      </c>
      <c r="AR848" s="69">
        <f>+AD848/$AF$23</f>
        <v>9.6161125824975283E-2</v>
      </c>
      <c r="AS848" s="169">
        <f t="shared" si="1553"/>
        <v>2.9598759523602031E-3</v>
      </c>
      <c r="AT848" s="115"/>
      <c r="AU848" s="115"/>
      <c r="AV848" s="113">
        <f>IFERROR(INDEX('Total Customers'!$F$7:$AB$91,MATCH($C848,'Total Customers'!$D$7:$D$91,0),MATCH($G848,'Total Customers'!$F$5:$AB$5,0)),"NA")</f>
        <v>4472557</v>
      </c>
      <c r="AW848" s="68">
        <f t="shared" si="1551"/>
        <v>-4.8908087438007666E-3</v>
      </c>
      <c r="AX848" s="114"/>
      <c r="AY848" s="114"/>
      <c r="AZ848" s="116"/>
      <c r="BA848" s="116"/>
      <c r="BB848" s="166"/>
      <c r="BC848" s="166"/>
      <c r="BD848" s="166"/>
      <c r="BE848" s="166"/>
      <c r="BF848" s="166"/>
      <c r="BG848" s="166"/>
      <c r="BH848" s="166"/>
      <c r="BI848" s="113"/>
      <c r="BJ848" s="113"/>
      <c r="BK848" s="113">
        <f>INDEX('Dist. Plant Gas Additions'!$F$7:$AE$91,MATCH($C848,'Dist. Plant Gas Additions'!$D$7:$D$91,0),MATCH(Calculation!$G848,'Dist. Plant Gas Additions'!$F$5:$AE$5,0))</f>
        <v>959458</v>
      </c>
      <c r="BL848" s="113">
        <f>INDEX('Gen. Plant Additions'!$F$7:$AE$91,MATCH($C848,'Gen. Plant Additions'!$D$7:$D$91,0),MATCH(Calculation!$G848,'Gen. Plant Additions'!$F$5:$AE$5,0))</f>
        <v>61935</v>
      </c>
      <c r="BM848" s="231">
        <f t="shared" si="1516"/>
        <v>0.96000367018520183</v>
      </c>
      <c r="BN848" s="61">
        <f>+BM848*BL848</f>
        <v>59457.827312920475</v>
      </c>
      <c r="BO848" s="113">
        <f>INDEX('Dist Plant Depreciation'!$E$7:$AD$94,MATCH($C848,'Dist Plant Depreciation'!$D$7:$D$94,0),MATCH(Calculation!$G848,'Dist Plant Depreciation'!$E$5:$AD$5,0))</f>
        <v>5344337</v>
      </c>
      <c r="BP848" s="113">
        <f>INDEX('Gen. Plant Depreciation'!$E$7:$AD$94,MATCH($C848,'Gen. Plant Depreciation'!$D$7:$D$94,0),MATCH(Calculation!$G848,'Gen. Plant Depreciation'!$E$5:$AD$5,0))</f>
        <v>65706</v>
      </c>
      <c r="BQ848" s="113"/>
      <c r="BR848" s="113"/>
      <c r="BS848" s="113"/>
      <c r="BT848" s="113"/>
      <c r="BU848" s="113"/>
      <c r="BV848" s="175"/>
      <c r="BW848" s="113">
        <f>INDEX('Gross Dx Plant'!$E$7:$AD$91,MATCH($C848,'Gross Dx Plant'!$D$7:$D$91,0),MATCH(Calculation!$G848,'Gross Dx Plant'!$E$5:$AD$5,0))</f>
        <v>11048640</v>
      </c>
      <c r="BX848" s="113">
        <f>INDEX('Gross Gen Plant'!$E$7:$AD$91,MATCH($C848,'Gross Gen Plant'!$D$7:$D$91,0),MATCH(Calculation!$G848,'Gross Gen Plant'!$E$5:$AD$5,0))</f>
        <v>460316</v>
      </c>
      <c r="BY848" s="113">
        <f t="shared" si="1532"/>
        <v>6098913</v>
      </c>
      <c r="BZ848" s="113"/>
      <c r="CA848" s="116">
        <v>2018</v>
      </c>
      <c r="CB848" s="113"/>
      <c r="CC848" s="113"/>
      <c r="CD848" s="113"/>
      <c r="CE848" s="175"/>
      <c r="CF848" s="113">
        <f t="shared" si="1517"/>
        <v>1021393</v>
      </c>
      <c r="CG848" s="113">
        <f t="shared" si="1518"/>
        <v>1352.5934848636605</v>
      </c>
      <c r="CH848" s="178">
        <v>0.86111111111111116</v>
      </c>
      <c r="CI848" s="61">
        <f>+CI828*CH848++CG829*CH847+CG830*CH846+CG831*CH845+CG832*CH844+CG833*CH843+CG834*CH842+CG835*CH841+CG836*CH840+CG837*CH839+CG838*CH838+CG839*CH837+CG840*CH836+CG841*CH835+CG842*CH834+CG843*CH833+CG844*CH832+CG845*CH831+CG846*CH830+CG847*CH829+CG848</f>
        <v>20615.009437323446</v>
      </c>
      <c r="CJ848" s="114">
        <f t="shared" si="1519"/>
        <v>5.951898533061447E-2</v>
      </c>
      <c r="CK848" s="114"/>
      <c r="CL848" s="169">
        <f t="shared" si="1520"/>
        <v>8.3098817089406769E-3</v>
      </c>
      <c r="CM848" s="169">
        <f t="shared" si="1529"/>
        <v>8.1867412425825851E-3</v>
      </c>
      <c r="CN848" s="114">
        <f>VLOOKUP($H848,RoR!$E:$F,2,FALSE)</f>
        <v>3.9299999999999995E-2</v>
      </c>
      <c r="CO848" s="169">
        <v>2.386056741932796E-2</v>
      </c>
      <c r="CP848" s="169">
        <f t="shared" si="1527"/>
        <v>1.5439432580672034E-2</v>
      </c>
      <c r="CQ848" s="169">
        <f t="shared" si="1530"/>
        <v>2.2715200365951038E-2</v>
      </c>
      <c r="CR848" s="169">
        <f t="shared" si="1531"/>
        <v>3.8270792163076606E-2</v>
      </c>
      <c r="CS848" s="179">
        <f t="shared" si="1521"/>
        <v>0.90103980000000006</v>
      </c>
      <c r="CT848" s="180">
        <f t="shared" si="1522"/>
        <v>1.3048868010700074</v>
      </c>
      <c r="CU848" s="180">
        <f t="shared" si="1523"/>
        <v>0.33886768447837151</v>
      </c>
      <c r="CV848" s="180">
        <f t="shared" si="1524"/>
        <v>0.78602506232557801</v>
      </c>
      <c r="CW848" s="180">
        <f t="shared" si="1525"/>
        <v>0.34756768162358759</v>
      </c>
      <c r="CX848" s="181">
        <f>INDEX('State Tax Lookup'!$D$7:$Z$91,MATCH(Calculation!$C848,'State Tax Lookup'!$B$7:$B$91,0),MATCH($H848,'State Tax Lookup'!$D$6:$Z$6,0))</f>
        <v>0.26745999999999998</v>
      </c>
      <c r="CY848" s="72">
        <v>0.37</v>
      </c>
      <c r="CZ848" s="182">
        <v>20.16385543626544</v>
      </c>
      <c r="DA848" s="182">
        <v>19.050901628905343</v>
      </c>
      <c r="DB848" s="69">
        <f t="shared" si="1533"/>
        <v>4.1179852434573949E-2</v>
      </c>
      <c r="DC848" s="181">
        <v>3.9299999999999995E-2</v>
      </c>
      <c r="DD848" s="183">
        <v>2.386056741932796E-2</v>
      </c>
      <c r="DE848" s="111">
        <f>VLOOKUP(H848,'HW Dx Data'!$E:$F,2,FALSE)</f>
        <v>755.13671434174842</v>
      </c>
      <c r="DF848" s="72">
        <f t="shared" si="1543"/>
        <v>144.44999999999999</v>
      </c>
      <c r="DG848" s="69">
        <f t="shared" si="1544"/>
        <v>2.80818733619915E-2</v>
      </c>
      <c r="DH848" s="66">
        <f>HLOOKUP(H848,'GDP-PI'!$8:$9,2,FALSE)</f>
        <v>110.322</v>
      </c>
      <c r="DI848" s="69">
        <f t="shared" si="1534"/>
        <v>2.3580352716508712E-2</v>
      </c>
      <c r="EB848"/>
    </row>
    <row r="849" spans="1:132" s="160" customFormat="1" ht="21">
      <c r="A849" s="160" t="s">
        <v>208</v>
      </c>
      <c r="B849" s="161" t="s">
        <v>208</v>
      </c>
      <c r="C849" s="161">
        <v>4004218</v>
      </c>
      <c r="D849" s="161" t="s">
        <v>209</v>
      </c>
      <c r="E849" s="161"/>
      <c r="F849" s="161"/>
      <c r="G849" s="161" t="s">
        <v>140</v>
      </c>
      <c r="H849" s="162">
        <v>2019</v>
      </c>
      <c r="I849" s="163"/>
      <c r="J849" s="159">
        <f>IFERROR(INDEX('Labor Expenditures'!$F$7:$X$91,MATCH($C849,'Labor Expenditures'!$D$7:$D$91,0),MATCH($G849,'Labor Expenditures'!$F$5:$X$5,0)),"NA")</f>
        <v>422458.99195655232</v>
      </c>
      <c r="K849" s="159">
        <f t="shared" si="1535"/>
        <v>2822.5087152600786</v>
      </c>
      <c r="L849" s="165">
        <f t="shared" si="1541"/>
        <v>0.16540094280743153</v>
      </c>
      <c r="M849" s="76">
        <f t="shared" si="1545"/>
        <v>1.812853423301402E-2</v>
      </c>
      <c r="N849" s="62">
        <f t="shared" si="1552"/>
        <v>115.69206936159279</v>
      </c>
      <c r="O849" s="96">
        <f t="shared" si="1546"/>
        <v>7.5755984714319675E-3</v>
      </c>
      <c r="P849" s="96"/>
      <c r="Q849" s="159">
        <f>IFERROR(INDEX('Non-Labor Expenditures'!$F$7:$AB$91,MATCH($C849,'Non-Labor Expenditures'!$D$7:$D$91,0),MATCH($G849,'Non-Labor Expenditures'!$F$5:$AB$5,0)),"NA")</f>
        <v>611799.52480874443</v>
      </c>
      <c r="R849" s="159">
        <f t="shared" si="1536"/>
        <v>5447.0300825223421</v>
      </c>
      <c r="S849" s="165">
        <f t="shared" si="1547"/>
        <v>0.18300302125520151</v>
      </c>
      <c r="T849" s="165">
        <f t="shared" si="1548"/>
        <v>2.005778491500142E-2</v>
      </c>
      <c r="U849" s="165"/>
      <c r="V849" s="165"/>
      <c r="W849" s="159">
        <f t="shared" si="1515"/>
        <v>420108.90776400536</v>
      </c>
      <c r="X849" s="163"/>
      <c r="Y849" s="167">
        <v>21655.196641103303</v>
      </c>
      <c r="Z849" s="168">
        <v>4.9226031310247831E-2</v>
      </c>
      <c r="AA849" s="76">
        <f t="shared" si="1537"/>
        <v>5.3953488935200439E-3</v>
      </c>
      <c r="AB849" s="168"/>
      <c r="AC849" s="168"/>
      <c r="AD849" s="163">
        <f t="shared" si="1526"/>
        <v>1454367.4245293019</v>
      </c>
      <c r="AE849" s="168">
        <f t="shared" si="1549"/>
        <v>0.16135814554925368</v>
      </c>
      <c r="AF849" s="163"/>
      <c r="AG849" s="163"/>
      <c r="AH849" s="163"/>
      <c r="AI849" s="163"/>
      <c r="AJ849" s="116">
        <f t="shared" si="1550"/>
        <v>321.91041299244432</v>
      </c>
      <c r="AK849" s="114">
        <f>+AV849/$AX$24</f>
        <v>0.11994913414979906</v>
      </c>
      <c r="AL849" s="115">
        <f t="shared" si="1538"/>
        <v>0.2904761099783838</v>
      </c>
      <c r="AM849" s="115">
        <f t="shared" si="1539"/>
        <v>0.42066366070234967</v>
      </c>
      <c r="AN849" s="115">
        <f t="shared" si="1540"/>
        <v>0.28886022931926664</v>
      </c>
      <c r="AO849" s="115">
        <f t="shared" si="1542"/>
        <v>0.13750065133015651</v>
      </c>
      <c r="AP849" s="166">
        <f t="shared" si="1554"/>
        <v>155.16650524321818</v>
      </c>
      <c r="AQ849" s="168">
        <f t="shared" si="1555"/>
        <v>0.13750065133015649</v>
      </c>
      <c r="AR849" s="69">
        <f>+AD849/$AF$24</f>
        <v>0.10960357253900428</v>
      </c>
      <c r="AS849" s="169">
        <f t="shared" si="1553"/>
        <v>1.5070562612225143E-2</v>
      </c>
      <c r="AT849" s="115"/>
      <c r="AU849" s="115"/>
      <c r="AV849" s="113">
        <f>IFERROR(INDEX('Total Customers'!$F$7:$AB$91,MATCH($C849,'Total Customers'!$D$7:$D$91,0),MATCH($G849,'Total Customers'!$F$5:$AB$5,0)),"NA")</f>
        <v>4517926</v>
      </c>
      <c r="AW849" s="68">
        <f t="shared" si="1551"/>
        <v>1.0092758113391888E-2</v>
      </c>
      <c r="AX849" s="114"/>
      <c r="AY849" s="114"/>
      <c r="AZ849" s="116"/>
      <c r="BA849" s="116"/>
      <c r="BB849" s="166"/>
      <c r="BC849" s="166"/>
      <c r="BD849" s="166"/>
      <c r="BE849" s="166"/>
      <c r="BF849" s="166"/>
      <c r="BG849" s="166"/>
      <c r="BH849" s="166"/>
      <c r="BI849" s="113"/>
      <c r="BJ849" s="113"/>
      <c r="BK849" s="113">
        <f>INDEX('Dist. Plant Gas Additions'!$F$7:$AE$91,MATCH($C849,'Dist. Plant Gas Additions'!$D$7:$D$91,0),MATCH(Calculation!$G849,'Dist. Plant Gas Additions'!$F$5:$AE$5,0))</f>
        <v>914707</v>
      </c>
      <c r="BL849" s="113">
        <f>INDEX('Gen. Plant Additions'!$F$7:$AE$91,MATCH($C849,'Gen. Plant Additions'!$D$7:$D$91,0),MATCH(Calculation!$G849,'Gen. Plant Additions'!$F$5:$AE$5,0))</f>
        <v>24821</v>
      </c>
      <c r="BM849" s="231">
        <f t="shared" si="1516"/>
        <v>0.9609951437168357</v>
      </c>
      <c r="BN849" s="61">
        <f t="shared" ref="BN849:BN864" si="1556">+BM849*BL849</f>
        <v>23852.860462195578</v>
      </c>
      <c r="BO849" s="113">
        <f>INDEX('Dist Plant Depreciation'!$E$7:$AD$94,MATCH($C849,'Dist Plant Depreciation'!$D$7:$D$94,0),MATCH(Calculation!$G849,'Dist Plant Depreciation'!$E$5:$AD$5,0))</f>
        <v>5623609</v>
      </c>
      <c r="BP849" s="113">
        <f>INDEX('Gen. Plant Depreciation'!$E$7:$AD$94,MATCH($C849,'Gen. Plant Depreciation'!$D$7:$D$94,0),MATCH(Calculation!$G849,'Gen. Plant Depreciation'!$E$5:$AD$5,0))</f>
        <v>78244</v>
      </c>
      <c r="BQ849" s="113"/>
      <c r="BR849" s="113"/>
      <c r="BS849" s="113"/>
      <c r="BT849" s="113"/>
      <c r="BU849" s="113"/>
      <c r="BV849" s="175"/>
      <c r="BW849" s="113">
        <f>INDEX('Gross Dx Plant'!$E$7:$AD$91,MATCH($C849,'Gross Dx Plant'!$D$7:$D$91,0),MATCH(Calculation!$G849,'Gross Dx Plant'!$E$5:$AD$5,0))</f>
        <v>11929220</v>
      </c>
      <c r="BX849" s="113">
        <f>INDEX('Gross Gen Plant'!$E$7:$AD$91,MATCH($C849,'Gross Gen Plant'!$D$7:$D$91,0),MATCH(Calculation!$G849,'Gross Gen Plant'!$E$5:$AD$5,0))</f>
        <v>484183</v>
      </c>
      <c r="BY849" s="113">
        <f t="shared" si="1532"/>
        <v>6711550</v>
      </c>
      <c r="BZ849" s="113"/>
      <c r="CA849" s="116">
        <v>2019</v>
      </c>
      <c r="CB849" s="113"/>
      <c r="CC849" s="113"/>
      <c r="CD849" s="113"/>
      <c r="CE849" s="175"/>
      <c r="CF849" s="113">
        <f t="shared" si="1517"/>
        <v>939528</v>
      </c>
      <c r="CG849" s="113">
        <f t="shared" si="1518"/>
        <v>1214.5834122491076</v>
      </c>
      <c r="CH849" s="178">
        <v>0.85106382978723405</v>
      </c>
      <c r="CI849" s="61">
        <f>CI828*CH849+CG829*CH848+CG830*CH847+CG831*CH846+CG832*CH845+CG833*CH844+CG834*CH843+CG835*CH842+CG836*CH841+CG837*CH840+CG838*CH839+CG839*CH838+CG840*CH837+CG841*CH836+CG842*CH835+CG843*CH834+CG844*CH833+CG845*CH832+CG846*CH831+CG847*CH830+CG848*CH829+CG849</f>
        <v>21655.196641103303</v>
      </c>
      <c r="CJ849" s="114">
        <f t="shared" si="1519"/>
        <v>4.9226031310247831E-2</v>
      </c>
      <c r="CK849" s="114"/>
      <c r="CL849" s="169">
        <f t="shared" si="1520"/>
        <v>8.4596715320201053E-3</v>
      </c>
      <c r="CM849" s="169">
        <f t="shared" si="1529"/>
        <v>8.3145215883949387E-3</v>
      </c>
      <c r="CN849" s="114">
        <f>VLOOKUP($H849,RoR!$E:$F,2,FALSE)</f>
        <v>3.3875000000000009E-2</v>
      </c>
      <c r="CO849" s="169">
        <v>1.8092492884465461E-2</v>
      </c>
      <c r="CP849" s="169">
        <f t="shared" si="1527"/>
        <v>1.5782507115534548E-2</v>
      </c>
      <c r="CQ849" s="169">
        <f t="shared" si="1530"/>
        <v>2.2587420020138686E-2</v>
      </c>
      <c r="CR849" s="169">
        <f t="shared" si="1531"/>
        <v>4.8445665544254078E-2</v>
      </c>
      <c r="CS849" s="179">
        <f t="shared" si="1521"/>
        <v>0.90103980000000006</v>
      </c>
      <c r="CT849" s="180">
        <f t="shared" si="1522"/>
        <v>1.513861292459078</v>
      </c>
      <c r="CU849" s="180">
        <f t="shared" si="1523"/>
        <v>0.23699261992619944</v>
      </c>
      <c r="CV849" s="180">
        <f t="shared" si="1524"/>
        <v>0.73619765810468829</v>
      </c>
      <c r="CW849" s="180">
        <f t="shared" si="1525"/>
        <v>0.26412854465362851</v>
      </c>
      <c r="CX849" s="181">
        <f>INDEX('State Tax Lookup'!$D$7:$Z$91,MATCH(Calculation!$C849,'State Tax Lookup'!$B$7:$B$91,0),MATCH($H849,'State Tax Lookup'!$D$6:$Z$6,0))</f>
        <v>0.26745999999999998</v>
      </c>
      <c r="CY849" s="72">
        <v>0.37</v>
      </c>
      <c r="CZ849" s="182">
        <v>20.378788039912259</v>
      </c>
      <c r="DA849" s="182">
        <v>19.236104090735289</v>
      </c>
      <c r="DB849" s="69">
        <f t="shared" si="1533"/>
        <v>1.0602891118972092E-2</v>
      </c>
      <c r="DC849" s="181">
        <v>3.3875000000000009E-2</v>
      </c>
      <c r="DD849" s="183">
        <v>1.8092492884465461E-2</v>
      </c>
      <c r="DE849" s="111">
        <f>VLOOKUP(H849,'HW Dx Data'!$E:$F,2,FALSE)</f>
        <v>773.53929793938721</v>
      </c>
      <c r="DF849" s="72">
        <f t="shared" si="1543"/>
        <v>149.67500000000001</v>
      </c>
      <c r="DG849" s="69">
        <f t="shared" si="1544"/>
        <v>3.5532849899171604E-2</v>
      </c>
      <c r="DH849" s="66">
        <f>HLOOKUP(H849,'GDP-PI'!$8:$9,2,FALSE)</f>
        <v>112.318</v>
      </c>
      <c r="DI849" s="69">
        <f t="shared" si="1534"/>
        <v>1.7930771451401852E-2</v>
      </c>
      <c r="EB849"/>
    </row>
    <row r="850" spans="1:132" s="160" customFormat="1" ht="21">
      <c r="A850" s="160" t="s">
        <v>208</v>
      </c>
      <c r="B850" s="160" t="s">
        <v>208</v>
      </c>
      <c r="C850" s="160">
        <v>4004218</v>
      </c>
      <c r="D850" s="160" t="s">
        <v>209</v>
      </c>
      <c r="G850" s="161" t="s">
        <v>141</v>
      </c>
      <c r="H850" s="162">
        <v>2020</v>
      </c>
      <c r="I850" s="163"/>
      <c r="J850" s="159">
        <f>IFERROR(INDEX('Labor Expenditures'!$F$7:$X$91,MATCH($C850,'Labor Expenditures'!$D$7:$D$91,0),MATCH($G850,'Labor Expenditures'!$F$5:$X$5,0)),"NA")</f>
        <v>421550.71411270759</v>
      </c>
      <c r="K850" s="159">
        <f t="shared" si="1535"/>
        <v>2752.5348619830725</v>
      </c>
      <c r="L850" s="165">
        <f t="shared" si="1541"/>
        <v>-2.5103849712188427E-2</v>
      </c>
      <c r="M850" s="76">
        <f t="shared" si="1545"/>
        <v>-2.7362835995084016E-3</v>
      </c>
      <c r="N850" s="62">
        <f t="shared" si="1552"/>
        <v>116.04929621686591</v>
      </c>
      <c r="O850" s="96">
        <f t="shared" si="1546"/>
        <v>3.0829812133718964E-3</v>
      </c>
      <c r="P850" s="96"/>
      <c r="Q850" s="159">
        <f>IFERROR(INDEX('Non-Labor Expenditures'!$F$7:$AB$91,MATCH($C850,'Non-Labor Expenditures'!$D$7:$D$91,0),MATCH($G850,'Non-Labor Expenditures'!$F$5:$AB$5,0)),"NA")</f>
        <v>610484.16884795646</v>
      </c>
      <c r="R850" s="159">
        <f t="shared" si="1536"/>
        <v>5372.8925380244882</v>
      </c>
      <c r="S850" s="165">
        <f t="shared" si="1547"/>
        <v>-1.3704109976212891E-2</v>
      </c>
      <c r="T850" s="165">
        <f t="shared" si="1548"/>
        <v>-1.493728324686576E-3</v>
      </c>
      <c r="U850" s="165"/>
      <c r="V850" s="165"/>
      <c r="W850" s="159">
        <f t="shared" si="1515"/>
        <v>458726.27376385435</v>
      </c>
      <c r="X850" s="163"/>
      <c r="Y850" s="167">
        <v>22790.792099463095</v>
      </c>
      <c r="Z850" s="168">
        <v>5.1111143844017506E-2</v>
      </c>
      <c r="AA850" s="76">
        <f t="shared" si="1537"/>
        <v>5.5710413444913856E-3</v>
      </c>
      <c r="AB850" s="168"/>
      <c r="AC850" s="168"/>
      <c r="AD850" s="163">
        <f t="shared" si="1526"/>
        <v>1490761.1567245184</v>
      </c>
      <c r="AE850" s="168">
        <f t="shared" si="1549"/>
        <v>2.4715786646203313E-2</v>
      </c>
      <c r="AF850" s="163"/>
      <c r="AG850" s="163"/>
      <c r="AH850" s="163"/>
      <c r="AI850" s="163"/>
      <c r="AJ850" s="116">
        <f t="shared" si="1550"/>
        <v>329.96581987498649</v>
      </c>
      <c r="AK850" s="114">
        <f>+AV850/$AX$25</f>
        <v>0.11910210515496221</v>
      </c>
      <c r="AL850" s="115">
        <f t="shared" si="1538"/>
        <v>0.28277548835450844</v>
      </c>
      <c r="AM850" s="115">
        <f t="shared" si="1539"/>
        <v>0.40951172231325411</v>
      </c>
      <c r="AN850" s="115">
        <f t="shared" si="1540"/>
        <v>0.30771278933223745</v>
      </c>
      <c r="AO850" s="115">
        <f t="shared" si="1542"/>
        <v>2.3619463247727696E-3</v>
      </c>
      <c r="AP850" s="166">
        <f t="shared" si="1554"/>
        <v>155.53343336168112</v>
      </c>
      <c r="AQ850" s="168">
        <f t="shared" si="1555"/>
        <v>2.3619463247728685E-3</v>
      </c>
      <c r="AR850" s="69">
        <f>+AD850/$AF$25</f>
        <v>0.10899856519535649</v>
      </c>
      <c r="AS850" s="169">
        <f t="shared" si="1553"/>
        <v>2.5744876046868815E-4</v>
      </c>
      <c r="AT850" s="115"/>
      <c r="AU850" s="115"/>
      <c r="AV850" s="113">
        <v>4517926</v>
      </c>
      <c r="AW850" s="68">
        <f t="shared" si="1551"/>
        <v>0</v>
      </c>
      <c r="AX850" s="114"/>
      <c r="AY850" s="114"/>
      <c r="AZ850" s="116"/>
      <c r="BA850" s="116"/>
      <c r="BB850" s="166"/>
      <c r="BC850" s="166"/>
      <c r="BD850" s="166"/>
      <c r="BE850" s="166"/>
      <c r="BF850" s="166"/>
      <c r="BG850" s="166"/>
      <c r="BH850" s="166"/>
      <c r="BI850" s="113"/>
      <c r="BJ850" s="113"/>
      <c r="BK850" s="113">
        <f>INDEX('Dist. Plant Gas Additions'!$F$7:$AE$91,MATCH($C850,'Dist. Plant Gas Additions'!$D$7:$D$91,0),MATCH(Calculation!$G850,'Dist. Plant Gas Additions'!$F$5:$AE$5,0))</f>
        <v>1051764</v>
      </c>
      <c r="BL850" s="113">
        <f>INDEX('Gen. Plant Additions'!$F$7:$AE$91,MATCH($C850,'Gen. Plant Additions'!$D$7:$D$91,0),MATCH(Calculation!$G850,'Gen. Plant Additions'!$F$5:$AE$5,0))</f>
        <v>23837</v>
      </c>
      <c r="BM850" s="231">
        <f t="shared" si="1516"/>
        <v>0.96338622266384566</v>
      </c>
      <c r="BN850" s="61">
        <f t="shared" si="1556"/>
        <v>22964.237389638089</v>
      </c>
      <c r="BO850" s="113">
        <f>INDEX('Dist Plant Depreciation'!$E$7:$AD$94,MATCH($C850,'Dist Plant Depreciation'!$D$7:$D$94,0),MATCH(Calculation!$G850,'Dist Plant Depreciation'!$E$5:$AD$5,0))</f>
        <v>5894624</v>
      </c>
      <c r="BP850" s="113">
        <f>INDEX('Gen. Plant Depreciation'!$E$7:$AD$94,MATCH($C850,'Gen. Plant Depreciation'!$D$7:$D$94,0),MATCH(Calculation!$G850,'Gen. Plant Depreciation'!$E$5:$AD$5,0))</f>
        <v>87470</v>
      </c>
      <c r="BQ850" s="113"/>
      <c r="BR850" s="113"/>
      <c r="BS850" s="113"/>
      <c r="BT850" s="113"/>
      <c r="BU850" s="113"/>
      <c r="BV850" s="175"/>
      <c r="BW850" s="113">
        <f>INDEX('Gross Dx Plant'!$E$7:$AD$91,MATCH($C850,'Gross Dx Plant'!$D$7:$D$91,0),MATCH(Calculation!$G850,'Gross Dx Plant'!$E$5:$AD$5,0))</f>
        <v>12938513</v>
      </c>
      <c r="BX850" s="113">
        <f>INDEX('Gross Gen Plant'!$E$7:$AD$91,MATCH($C850,'Gross Gen Plant'!$D$7:$D$91,0),MATCH(Calculation!$G850,'Gross Gen Plant'!$E$5:$AD$5,0))</f>
        <v>491732</v>
      </c>
      <c r="BY850" s="113">
        <f t="shared" si="1532"/>
        <v>7448151</v>
      </c>
      <c r="BZ850" s="113"/>
      <c r="CA850" s="116">
        <v>2020</v>
      </c>
      <c r="CB850" s="113"/>
      <c r="CC850" s="113"/>
      <c r="CD850" s="113"/>
      <c r="CE850" s="175"/>
      <c r="CF850" s="113">
        <f t="shared" si="1517"/>
        <v>1075601</v>
      </c>
      <c r="CG850" s="113">
        <f t="shared" si="1518"/>
        <v>1322.872023771037</v>
      </c>
      <c r="CH850" s="178">
        <v>0.84057971014492749</v>
      </c>
      <c r="CI850" s="61">
        <f>CI828*CH850+CG829*CH849+CG830*CH848+CG831*CH847+CG832*CH846+CG833*CH845+CG834*CH844+CG835*CH843+CG836*CH842+CG837*CH841+CG838*CH840+CG839*CH839+CG840*CH838+CG841*CH837+CG842*CH836+CG843*CH835+CG844*CH834+CG845*CH833+CG846*CH832+CG847*CH831+CG848*CH830+CG849*CH829+CG850</f>
        <v>22790.792099463095</v>
      </c>
      <c r="CJ850" s="114">
        <f t="shared" si="1519"/>
        <v>5.1111143844017506E-2</v>
      </c>
      <c r="CK850" s="114"/>
      <c r="CL850" s="169">
        <f t="shared" si="1520"/>
        <v>8.6481119758468859E-3</v>
      </c>
      <c r="CM850" s="169">
        <f t="shared" si="1529"/>
        <v>8.4725550722692233E-3</v>
      </c>
      <c r="CN850" s="114">
        <f>VLOOKUP($H850,RoR!$E:$F,2,FALSE)</f>
        <v>2.4766666666666666E-2</v>
      </c>
      <c r="CO850" s="169">
        <v>1.1618796630994188E-2</v>
      </c>
      <c r="CP850" s="169">
        <f t="shared" si="1527"/>
        <v>1.3147870035672478E-2</v>
      </c>
      <c r="CQ850" s="169">
        <f t="shared" si="1530"/>
        <v>2.2429386536264403E-2</v>
      </c>
      <c r="CR850" s="169">
        <f t="shared" si="1531"/>
        <v>4.5144642961987357E-2</v>
      </c>
      <c r="CS850" s="179">
        <f t="shared" si="1521"/>
        <v>0.90103980000000006</v>
      </c>
      <c r="CT850" s="180">
        <f t="shared" si="1522"/>
        <v>2.0706077233668081</v>
      </c>
      <c r="CU850" s="180">
        <f t="shared" si="1523"/>
        <v>-3.4421265141318998E-2</v>
      </c>
      <c r="CV850" s="180">
        <f t="shared" si="1524"/>
        <v>0.62416226176410472</v>
      </c>
      <c r="CW850" s="180">
        <f t="shared" si="1525"/>
        <v>-4.4485877841158712E-2</v>
      </c>
      <c r="CX850" s="181">
        <f>INDEX('State Tax Lookup'!$D$7:$Z$91,MATCH(Calculation!$C850,'State Tax Lookup'!$B$7:$B$91,0),MATCH($H850,'State Tax Lookup'!$D$6:$Z$6,0))</f>
        <v>0.26745999999999998</v>
      </c>
      <c r="CY850" s="72">
        <v>0.37</v>
      </c>
      <c r="CZ850" s="182">
        <v>21.183195949057097</v>
      </c>
      <c r="DA850" s="182">
        <v>19.952659173050833</v>
      </c>
      <c r="DB850" s="69">
        <f t="shared" si="1533"/>
        <v>3.871366554129009E-2</v>
      </c>
      <c r="DC850" s="181">
        <v>2.4766666666666666E-2</v>
      </c>
      <c r="DD850" s="183">
        <v>1.1618796630994188E-2</v>
      </c>
      <c r="DE850" s="111">
        <f>VLOOKUP(H850,'HW Dx Data'!$E:$F,2,FALSE)</f>
        <v>813.080162458833</v>
      </c>
      <c r="DF850" s="72">
        <f t="shared" si="1543"/>
        <v>153.15</v>
      </c>
      <c r="DG850" s="69">
        <f t="shared" si="1544"/>
        <v>2.2951556467368479E-2</v>
      </c>
      <c r="DH850" s="66">
        <f>HLOOKUP(H850,'GDP-PI'!$8:$9,2,FALSE)</f>
        <v>113.623</v>
      </c>
      <c r="DI850" s="69">
        <f t="shared" si="1534"/>
        <v>1.1551816731392881E-2</v>
      </c>
      <c r="EB850"/>
    </row>
    <row r="851" spans="1:132" s="160" customFormat="1" ht="21">
      <c r="A851" s="160" t="s">
        <v>208</v>
      </c>
      <c r="B851" s="160" t="s">
        <v>208</v>
      </c>
      <c r="C851" s="160">
        <v>4004218</v>
      </c>
      <c r="D851" s="160" t="s">
        <v>209</v>
      </c>
      <c r="G851" s="161" t="s">
        <v>142</v>
      </c>
      <c r="H851" s="162">
        <v>2021</v>
      </c>
      <c r="I851" s="163"/>
      <c r="J851" s="159">
        <v>476245.32590278739</v>
      </c>
      <c r="K851" s="159">
        <f t="shared" si="1535"/>
        <v>3028.5871281576306</v>
      </c>
      <c r="L851" s="164">
        <f t="shared" si="1541"/>
        <v>9.5573961329761301E-2</v>
      </c>
      <c r="M851" s="76">
        <f t="shared" si="1545"/>
        <v>1.2496897825981915E-2</v>
      </c>
      <c r="N851" s="166">
        <f>+N850*EXP(O851)</f>
        <v>119.14537669730076</v>
      </c>
      <c r="O851" s="114">
        <f t="shared" si="1546"/>
        <v>2.6329332199212099E-2</v>
      </c>
      <c r="P851" s="114"/>
      <c r="Q851" s="159">
        <v>671333.7726581461</v>
      </c>
      <c r="R851" s="159">
        <f t="shared" si="1536"/>
        <v>5665.7420259781093</v>
      </c>
      <c r="S851" s="165">
        <f t="shared" si="1547"/>
        <v>5.3071459008909388E-2</v>
      </c>
      <c r="T851" s="165">
        <f t="shared" si="1548"/>
        <v>6.9394277634027678E-3</v>
      </c>
      <c r="U851" s="165"/>
      <c r="V851" s="165"/>
      <c r="W851" s="159">
        <f t="shared" si="1515"/>
        <v>855915.67013777047</v>
      </c>
      <c r="X851" s="163"/>
      <c r="Y851" s="167">
        <v>23472.681483873348</v>
      </c>
      <c r="Z851" s="168"/>
      <c r="AA851" s="76">
        <f t="shared" si="1537"/>
        <v>0</v>
      </c>
      <c r="AB851" s="168"/>
      <c r="AC851" s="168"/>
      <c r="AD851" s="163">
        <f t="shared" si="1526"/>
        <v>2003494.768698704</v>
      </c>
      <c r="AE851" s="168">
        <f t="shared" si="1549"/>
        <v>0.29560620704884555</v>
      </c>
      <c r="AF851" s="113"/>
      <c r="AG851" s="114"/>
      <c r="AH851" s="114"/>
      <c r="AI851" s="114"/>
      <c r="AJ851" s="116">
        <f t="shared" si="1550"/>
        <v>438.9735876119301</v>
      </c>
      <c r="AK851" s="114">
        <f>+AV851/$AX$26</f>
        <v>0.11822026160768127</v>
      </c>
      <c r="AL851" s="115">
        <f t="shared" si="1538"/>
        <v>0.23770729694099224</v>
      </c>
      <c r="AM851" s="115">
        <f t="shared" si="1539"/>
        <v>0.33508137038669994</v>
      </c>
      <c r="AN851" s="115">
        <f t="shared" si="1540"/>
        <v>0.42721133267230782</v>
      </c>
      <c r="AO851" s="115">
        <f t="shared" si="1542"/>
        <v>4.463062169609066E-2</v>
      </c>
      <c r="AP851" s="166">
        <f t="shared" si="1554"/>
        <v>162.63222053362938</v>
      </c>
      <c r="AQ851" s="168">
        <f t="shared" si="1555"/>
        <v>4.463062169609059E-2</v>
      </c>
      <c r="AR851" s="69">
        <f>+AD851/$AF$26</f>
        <v>0.13075630278485106</v>
      </c>
      <c r="AS851" s="169">
        <f t="shared" si="1553"/>
        <v>5.835735083970164E-3</v>
      </c>
      <c r="AT851" s="115"/>
      <c r="AU851" s="115"/>
      <c r="AV851" s="113">
        <f>INDEX('Total Customers'!$E$7:$E$91,MATCH(Calculation!$C851,'Total Customers'!$D$7:$D$91,0))</f>
        <v>4564044</v>
      </c>
      <c r="AW851" s="68">
        <f t="shared" si="1551"/>
        <v>1.0156033636494697E-2</v>
      </c>
      <c r="AX851" s="113"/>
      <c r="AY851" s="113"/>
      <c r="AZ851" s="116"/>
      <c r="BA851" s="116"/>
      <c r="BB851" s="166"/>
      <c r="BC851" s="166"/>
      <c r="BD851" s="166"/>
      <c r="BE851" s="166"/>
      <c r="BF851" s="166"/>
      <c r="BG851" s="166"/>
      <c r="BH851" s="166"/>
      <c r="BI851" s="113"/>
      <c r="BJ851" s="113"/>
      <c r="BK851" s="113">
        <f>INDEX('Dist. Plant Gas Additions'!$E$7:$AE$91,MATCH($C851,'Dist. Plant Gas Additions'!$D$7:$D$91,0),MATCH(Calculation!$G851,'Dist. Plant Gas Additions'!$E$5:$AE$5,0))</f>
        <v>1199092.95</v>
      </c>
      <c r="BL851" s="113">
        <f>INDEX('Gen. Plant Additions'!$E$7:$AE$91,MATCH($C851,'Gen. Plant Additions'!$D$7:$D$91,0),MATCH(Calculation!$G851,'Gen. Plant Additions'!$E$5:$AE$5,0))</f>
        <v>92663.921000000002</v>
      </c>
      <c r="BM851" s="232">
        <v>0.96338622266384566</v>
      </c>
      <c r="BN851" s="61">
        <f t="shared" si="1556"/>
        <v>89271.144829411001</v>
      </c>
      <c r="BO851" s="113"/>
      <c r="BP851" s="113"/>
      <c r="BQ851" s="175"/>
      <c r="BR851" s="175"/>
      <c r="BS851" s="170"/>
      <c r="BT851" s="176"/>
      <c r="BU851" s="177"/>
      <c r="BV851" s="177"/>
      <c r="BW851" s="113"/>
      <c r="BX851" s="113"/>
      <c r="BY851" s="113"/>
      <c r="BZ851" s="113"/>
      <c r="CA851" s="116">
        <v>2021</v>
      </c>
      <c r="CB851" s="113"/>
      <c r="CC851" s="113"/>
      <c r="CD851" s="113"/>
      <c r="CE851" s="175"/>
      <c r="CF851" s="113">
        <f t="shared" si="1517"/>
        <v>1291756.871</v>
      </c>
      <c r="CG851" s="113">
        <f t="shared" si="1518"/>
        <v>1384.4863034756086</v>
      </c>
      <c r="CH851" s="178">
        <f>+(51-23)/(51-23*0.75)</f>
        <v>0.82962962962962961</v>
      </c>
      <c r="CI851" s="113">
        <f>CI828*CH851+CG829*CH850+CG830*CH849+CG831*CH848+CG832*CH847+CG833*CH846+CG834*CH845+CG835*CH844+CG836*CH843+CG837*CH842+CG838*CH841+CG839*CH840+CG840*CH839+CG841*CH838+CG842*CH837+CG833*CH836+CG844*CH835+CG845*CH834+CG846*CH833+CG847*CH832+CG848*CH831+CG849*CH830+CG851+CG850*CH829</f>
        <v>23472.681483873348</v>
      </c>
      <c r="CJ851" s="114"/>
      <c r="CK851" s="113"/>
      <c r="CL851" s="169">
        <f t="shared" si="1520"/>
        <v>3.0828104437928123E-2</v>
      </c>
      <c r="CM851" s="169">
        <f t="shared" si="1529"/>
        <v>1.5978629315265037E-2</v>
      </c>
      <c r="CN851" s="114">
        <f>VLOOKUP($H851,RoR!$E:$F,2,FALSE)</f>
        <v>2.7033333333333336E-2</v>
      </c>
      <c r="CO851" s="169"/>
      <c r="CP851" s="169"/>
      <c r="CQ851" s="169">
        <f t="shared" si="1530"/>
        <v>1.4923312293268588E-2</v>
      </c>
      <c r="CR851" s="169">
        <f t="shared" si="1531"/>
        <v>7.433422950153494E-2</v>
      </c>
      <c r="CS851" s="179">
        <f t="shared" si="1521"/>
        <v>0.90103980000000006</v>
      </c>
      <c r="CT851" s="180">
        <f t="shared" si="1522"/>
        <v>1.8969932656739068</v>
      </c>
      <c r="CU851" s="180">
        <f t="shared" si="1523"/>
        <v>5.0215782983970621E-2</v>
      </c>
      <c r="CV851" s="180">
        <f t="shared" si="1524"/>
        <v>0.655952481704143</v>
      </c>
      <c r="CW851" s="180">
        <f t="shared" si="1525"/>
        <v>6.2485378865697057E-2</v>
      </c>
      <c r="CX851" s="181">
        <f>CX850</f>
        <v>0.26745999999999998</v>
      </c>
      <c r="CY851" s="72">
        <v>0.37</v>
      </c>
      <c r="CZ851" s="182">
        <v>37.555327888666675</v>
      </c>
      <c r="DA851" s="182"/>
      <c r="DB851" s="169">
        <f>LN(CZ852/CZ850)</f>
        <v>0.26113950425177695</v>
      </c>
      <c r="DC851" s="181">
        <v>2.7033333333333336E-2</v>
      </c>
      <c r="DD851" s="183">
        <v>4.2834637353352578E-2</v>
      </c>
      <c r="DE851" s="181">
        <f>VLOOKUP(H851,'HW Dx Data'!$E:$F,2,FALSE)</f>
        <v>933.02249921662576</v>
      </c>
      <c r="DF851" s="72">
        <f t="shared" si="1543"/>
        <v>157.25</v>
      </c>
      <c r="DG851" s="69">
        <f t="shared" si="1544"/>
        <v>2.6419062301765574E-2</v>
      </c>
      <c r="DH851" s="175">
        <f>HLOOKUP(H851,'GDP-PI'!$8:$9,2,FALSE)</f>
        <v>118.49</v>
      </c>
      <c r="DI851" s="169">
        <f t="shared" si="1534"/>
        <v>4.194261824609434E-2</v>
      </c>
      <c r="EB851"/>
    </row>
    <row r="852" spans="1:132" s="160" customFormat="1" ht="21">
      <c r="G852" s="161" t="s">
        <v>144</v>
      </c>
      <c r="H852" s="162"/>
      <c r="I852" s="163"/>
      <c r="J852" s="159">
        <v>436652.23748897167</v>
      </c>
      <c r="K852" s="159">
        <f t="shared" si="1535"/>
        <v>2686.2641494246177</v>
      </c>
      <c r="L852" s="164">
        <f t="shared" ref="L852" si="1557">LN(K852/K851)</f>
        <v>-0.11994478012202495</v>
      </c>
      <c r="M852" s="76">
        <f t="shared" si="1545"/>
        <v>-1.2535369370687879E-2</v>
      </c>
      <c r="N852" s="166">
        <f>+N851*EXP(O852)</f>
        <v>116.96838730384717</v>
      </c>
      <c r="O852" s="114">
        <f t="shared" si="1546"/>
        <v>-1.8440696114713686E-2</v>
      </c>
      <c r="P852" s="114"/>
      <c r="Q852" s="163">
        <v>615521.8287495143</v>
      </c>
      <c r="R852" s="159">
        <f t="shared" si="1536"/>
        <v>4837.1067092299745</v>
      </c>
      <c r="S852" s="165">
        <f t="shared" ref="S852" si="1558">LN(R852/R851)</f>
        <v>-0.15812111555464409</v>
      </c>
      <c r="T852" s="165">
        <f t="shared" si="1548"/>
        <v>-1.6525159217151447E-2</v>
      </c>
      <c r="U852" s="166"/>
      <c r="V852" s="114"/>
      <c r="W852" s="159">
        <f t="shared" si="1515"/>
        <v>645603.14126470883</v>
      </c>
      <c r="X852" s="168"/>
      <c r="Y852" s="167">
        <v>25010.847737980523</v>
      </c>
      <c r="Z852" s="168">
        <v>6.3472385389407665E-2</v>
      </c>
      <c r="AA852" s="76">
        <f t="shared" si="1537"/>
        <v>6.63346745798716E-3</v>
      </c>
      <c r="AB852" s="166"/>
      <c r="AC852" s="114"/>
      <c r="AD852" s="163">
        <f t="shared" si="1526"/>
        <v>1697777.2075031949</v>
      </c>
      <c r="AE852" s="168">
        <f t="shared" si="1549"/>
        <v>-0.16557316950201395</v>
      </c>
      <c r="AF852" s="113"/>
      <c r="AG852" s="114"/>
      <c r="AH852" s="114"/>
      <c r="AI852" s="114"/>
      <c r="AJ852" s="116">
        <f t="shared" si="1550"/>
        <v>372.74994209392969</v>
      </c>
      <c r="AK852" s="114"/>
      <c r="AL852" s="115">
        <f t="shared" si="1538"/>
        <v>0.25719054040731665</v>
      </c>
      <c r="AM852" s="115">
        <f t="shared" si="1539"/>
        <v>0.36254570153802468</v>
      </c>
      <c r="AN852" s="115">
        <f t="shared" si="1540"/>
        <v>0.38026375805465862</v>
      </c>
      <c r="AO852" s="115"/>
      <c r="AP852" s="166"/>
      <c r="AQ852" s="168"/>
      <c r="AR852" s="69">
        <f>+AD852/$AF$27</f>
        <v>0.10450950310580512</v>
      </c>
      <c r="AS852" s="169"/>
      <c r="AT852" s="166"/>
      <c r="AU852" s="168"/>
      <c r="AV852" s="113">
        <v>4554735</v>
      </c>
      <c r="AW852" s="68">
        <f t="shared" si="1551"/>
        <v>-2.0417214264785931E-3</v>
      </c>
      <c r="AX852" s="113"/>
      <c r="AY852" s="113"/>
      <c r="AZ852" s="113"/>
      <c r="BA852" s="113"/>
      <c r="BB852" s="171"/>
      <c r="BC852" s="172"/>
      <c r="BD852" s="173"/>
      <c r="BE852" s="115"/>
      <c r="BF852" s="174"/>
      <c r="BG852" s="174"/>
      <c r="BH852" s="166"/>
      <c r="BI852" s="113"/>
      <c r="BJ852" s="113"/>
      <c r="BK852" s="113"/>
      <c r="BL852" s="113"/>
      <c r="BM852" s="232">
        <v>0.96338622266384566</v>
      </c>
      <c r="BN852" s="61">
        <f t="shared" si="1556"/>
        <v>0</v>
      </c>
      <c r="BO852" s="113"/>
      <c r="BP852" s="113"/>
      <c r="BQ852" s="175"/>
      <c r="BR852" s="175"/>
      <c r="BS852" s="170"/>
      <c r="BT852" s="176"/>
      <c r="BU852" s="177"/>
      <c r="BV852" s="177"/>
      <c r="BW852" s="113"/>
      <c r="BX852" s="113"/>
      <c r="BY852" s="113"/>
      <c r="BZ852" s="113"/>
      <c r="CA852" s="116">
        <v>2022</v>
      </c>
      <c r="CB852" s="113"/>
      <c r="CC852" s="113"/>
      <c r="CD852" s="113"/>
      <c r="CE852" s="175"/>
      <c r="CF852" s="238">
        <v>1363203</v>
      </c>
      <c r="CG852" s="113">
        <f>+CF852/DE852</f>
        <v>1322.4580669570532</v>
      </c>
      <c r="CH852" s="178">
        <f>+(51-24)/(51-24*0.75)</f>
        <v>0.81818181818181823</v>
      </c>
      <c r="CI852" s="113">
        <f>+CI828*CH852+CG829*CH851+CG830*CH850+CG831*CH849+CG832*CH848+CG833*CH847+CG834*CH846+CG835*CH845+CG836*CH844+CG837*CH843+CG838*CH842+CG839*CH841+CG840*CH840+CG841*CH839+CG842*CH838+CG843*CH837+CG844*CH836+CG845*CH835+CG846*CH834+CG847*CH833+CG848*CH832+CG849*CH831+CG850*CH830+CG851*CH829+CG852*CH828</f>
        <v>25080.158280175496</v>
      </c>
      <c r="CJ852" s="114">
        <f t="shared" ref="CJ852" si="1559">LN(CI852/CI851)</f>
        <v>6.6239771870086325E-2</v>
      </c>
      <c r="CK852" s="113"/>
      <c r="CL852" s="169">
        <f t="shared" si="1520"/>
        <v>-1.2142572187200405E-2</v>
      </c>
      <c r="CM852" s="169">
        <f t="shared" si="1529"/>
        <v>9.1112147421915351E-3</v>
      </c>
      <c r="CN852" s="114"/>
      <c r="CO852" s="169"/>
      <c r="CP852" s="169"/>
      <c r="CQ852" s="69">
        <f t="shared" si="1530"/>
        <v>2.1790726866342092E-2</v>
      </c>
      <c r="CR852" s="169">
        <f t="shared" si="1531"/>
        <v>0.10114668178709289</v>
      </c>
      <c r="CS852" s="179">
        <f t="shared" si="1521"/>
        <v>0.90103980000000006</v>
      </c>
      <c r="CT852" s="180">
        <f t="shared" si="1522"/>
        <v>1.2820512820512819</v>
      </c>
      <c r="CU852" s="180">
        <f t="shared" si="1523"/>
        <v>0.35000000000000003</v>
      </c>
      <c r="CV852" s="180">
        <f t="shared" si="1524"/>
        <v>0.79171095533705893</v>
      </c>
      <c r="CW852" s="180">
        <f t="shared" si="1525"/>
        <v>0.35525491585637264</v>
      </c>
      <c r="CX852" s="181">
        <f>CX851</f>
        <v>0.26745999999999998</v>
      </c>
      <c r="CY852" s="72">
        <v>0.37</v>
      </c>
      <c r="CZ852" s="182">
        <f t="shared" ref="CZ852" si="1560">+(DE852*CQ852-CR852)*CS852/(1-CX852)</f>
        <v>27.504447743146155</v>
      </c>
      <c r="DA852" s="182"/>
      <c r="DB852" s="169">
        <f t="shared" ref="DB852" si="1561">LN(CZ852/CZ851)</f>
        <v>-0.31146752828327412</v>
      </c>
      <c r="DC852" s="181">
        <v>0.04</v>
      </c>
      <c r="DD852" s="183">
        <v>7.0000000000000001E-3</v>
      </c>
      <c r="DE852" s="181">
        <v>1030.81</v>
      </c>
      <c r="DF852" s="72">
        <f t="shared" si="1543"/>
        <v>162.55000000000001</v>
      </c>
      <c r="DG852" s="169">
        <f t="shared" si="1544"/>
        <v>3.3148751169364422E-2</v>
      </c>
      <c r="DH852" s="175">
        <v>127.25</v>
      </c>
      <c r="DI852" s="169">
        <f t="shared" si="1534"/>
        <v>7.1325086601983473E-2</v>
      </c>
      <c r="EB852"/>
    </row>
    <row r="853" spans="1:132" s="160" customFormat="1" ht="21">
      <c r="A853" s="160" t="s">
        <v>210</v>
      </c>
      <c r="B853" s="161" t="s">
        <v>211</v>
      </c>
      <c r="C853" s="161">
        <v>4057135</v>
      </c>
      <c r="D853" s="161" t="s">
        <v>192</v>
      </c>
      <c r="E853" s="161"/>
      <c r="F853" s="161"/>
      <c r="G853" s="161" t="s">
        <v>100</v>
      </c>
      <c r="H853" s="162">
        <v>1998</v>
      </c>
      <c r="I853" s="163"/>
      <c r="J853" s="159"/>
      <c r="K853" s="159"/>
      <c r="L853" s="159"/>
      <c r="M853" s="60"/>
      <c r="N853" s="131"/>
      <c r="O853" s="76"/>
      <c r="P853" s="76"/>
      <c r="Q853" s="159"/>
      <c r="R853" s="159"/>
      <c r="S853" s="159"/>
      <c r="T853" s="159"/>
      <c r="U853" s="159"/>
      <c r="V853" s="159"/>
      <c r="W853" s="159"/>
      <c r="X853" s="163"/>
      <c r="Y853" s="167">
        <v>4955.7544206043767</v>
      </c>
      <c r="Z853" s="168"/>
      <c r="AA853" s="78"/>
      <c r="AB853" s="168"/>
      <c r="AC853" s="168"/>
      <c r="AD853" s="163">
        <f t="shared" si="1526"/>
        <v>0</v>
      </c>
      <c r="AE853" s="163"/>
      <c r="AF853" s="163"/>
      <c r="AG853" s="114"/>
      <c r="AH853" s="114"/>
      <c r="AI853" s="114"/>
      <c r="AJ853" s="166">
        <f>+(AJ850+AJ851+AJ852)/3</f>
        <v>380.56311652694876</v>
      </c>
      <c r="AK853" s="168"/>
      <c r="AL853" s="115"/>
      <c r="AM853" s="115"/>
      <c r="AN853" s="115"/>
      <c r="AO853" s="115"/>
      <c r="AP853" s="115"/>
      <c r="AQ853" s="168">
        <f>AVERAGE(AQ862:AQ876)</f>
        <v>1.3935461066494128E-2</v>
      </c>
      <c r="AR853" s="79"/>
      <c r="AS853" s="115"/>
      <c r="AT853" s="115"/>
      <c r="AU853" s="115"/>
      <c r="AV853" s="113">
        <f>IFERROR(INDEX('Total Customers'!$F$7:$AB$91,MATCH($C853,'Total Customers'!$D$7:$D$91,0),MATCH($G853,'Total Customers'!$F$5:$AB$5,0)),"NA")</f>
        <v>832509</v>
      </c>
      <c r="AW853" s="68"/>
      <c r="AX853" s="114"/>
      <c r="AY853" s="114"/>
      <c r="AZ853" s="116"/>
      <c r="BA853" s="116"/>
      <c r="BB853" s="166"/>
      <c r="BC853" s="166"/>
      <c r="BD853" s="166"/>
      <c r="BE853" s="166"/>
      <c r="BF853" s="166"/>
      <c r="BG853" s="166"/>
      <c r="BH853" s="166"/>
      <c r="BI853" s="113">
        <f>INDEX('Gross Dx Plant'!$E$7:$AD$91,MATCH($C853,'Gross Dx Plant'!$D$7:$D$91,0),MATCH(Calculation!$G853,'Gross Dx Plant'!$E$5:$AD$5,0))</f>
        <v>1399780</v>
      </c>
      <c r="BJ853" s="113">
        <f>INDEX('Gross Gen Plant'!$E$7:$AD$91,MATCH($C853,'Gross Gen Plant'!$D$7:$D$91,0),MATCH(Calculation!$G853,'Gross Gen Plant'!$E$5:$AD$5,0))</f>
        <v>106759</v>
      </c>
      <c r="BK853" s="113">
        <f>INDEX('Dist. Plant Gas Additions'!$F$7:$AE$91,MATCH($C853,'Dist. Plant Gas Additions'!$D$7:$D$91,0),MATCH(Calculation!$G853,'Dist. Plant Gas Additions'!$F$5:$AE$5,0))</f>
        <v>41407</v>
      </c>
      <c r="BL853" s="113">
        <f>INDEX('Gen. Plant Additions'!$F$7:$AE$91,MATCH($C853,'Gen. Plant Additions'!$D$7:$D$91,0),MATCH(Calculation!$G853,'Gen. Plant Additions'!$F$5:$AE$5,0))</f>
        <v>12300</v>
      </c>
      <c r="BM853" s="231">
        <f>+(BW853/(BW853+BX853))</f>
        <v>0.92913625203197525</v>
      </c>
      <c r="BN853" s="61">
        <f t="shared" si="1556"/>
        <v>11428.375899993296</v>
      </c>
      <c r="BO853" s="113">
        <f>INDEX('Dist Plant Depreciation'!$E$7:$AD$94,MATCH($C853,'Dist Plant Depreciation'!$D$7:$D$94,0),MATCH(Calculation!$G853,'Dist Plant Depreciation'!$E$5:$AD$5,0))</f>
        <v>461009</v>
      </c>
      <c r="BP853" s="113">
        <f>INDEX('Gen. Plant Depreciation'!$E$7:$AD$94,MATCH($C853,'Gen. Plant Depreciation'!$D$7:$D$94,0),MATCH(Calculation!$G853,'Gen. Plant Depreciation'!$E$5:$AD$5,0))</f>
        <v>45858</v>
      </c>
      <c r="BQ853" s="113"/>
      <c r="BR853" s="113"/>
      <c r="BS853" s="113"/>
      <c r="BT853" s="113"/>
      <c r="BU853" s="113"/>
      <c r="BV853" s="175"/>
      <c r="BW853" s="113">
        <f>INDEX('Gross Dx Plant'!$E$7:$AD$91,MATCH($C853,'Gross Dx Plant'!$D$7:$D$91,0),MATCH(Calculation!$G853,'Gross Dx Plant'!$E$5:$AD$5,0))</f>
        <v>1399780</v>
      </c>
      <c r="BX853" s="113">
        <f>INDEX('Gross Gen Plant'!$E$7:$AD$91,MATCH($C853,'Gross Gen Plant'!$D$7:$D$91,0),MATCH(Calculation!$G853,'Gross Gen Plant'!$E$5:$AD$5,0))</f>
        <v>106759</v>
      </c>
      <c r="BY853" s="113">
        <f t="shared" si="1532"/>
        <v>999672</v>
      </c>
      <c r="BZ853" s="113"/>
      <c r="CA853" s="116">
        <v>1998</v>
      </c>
      <c r="CB853" s="113">
        <f>BI853+BJ853</f>
        <v>1506539</v>
      </c>
      <c r="CC853" s="113">
        <f>461009+45858</f>
        <v>506867</v>
      </c>
      <c r="CD853" s="113">
        <f>+CB853-CC853</f>
        <v>999672</v>
      </c>
      <c r="CE853" s="113">
        <f>CD853/$BV$3</f>
        <v>4955.7544206043767</v>
      </c>
      <c r="CF853" s="175"/>
      <c r="CG853" s="175"/>
      <c r="CH853" s="178">
        <v>1</v>
      </c>
      <c r="CI853" s="113">
        <f>+CE853</f>
        <v>4955.7544206043767</v>
      </c>
      <c r="CJ853" s="114"/>
      <c r="CK853" s="114"/>
      <c r="CL853" s="169"/>
      <c r="CM853" s="169"/>
      <c r="CN853" s="114" t="e">
        <f>VLOOKUP($H853,RoR!$E:$F,2,FALSE)</f>
        <v>#N/A</v>
      </c>
      <c r="CO853" s="169">
        <v>1.1028127770464469E-2</v>
      </c>
      <c r="CP853" s="169"/>
      <c r="CQ853" s="169"/>
      <c r="CR853" s="169"/>
      <c r="CS853" s="179"/>
      <c r="CT853" s="182" t="e">
        <f>2/(DC853*39)</f>
        <v>#N/A</v>
      </c>
      <c r="CU853" s="180" t="e">
        <f>+(DC853*40-(1+DC853))/(DC853*40)</f>
        <v>#N/A</v>
      </c>
      <c r="CV853" s="180" t="e">
        <f>+(1-(1/(1+DC853)^40))</f>
        <v>#N/A</v>
      </c>
      <c r="CW853" s="180" t="e">
        <f>+CV853*CU853*CT853</f>
        <v>#N/A</v>
      </c>
      <c r="CX853" s="181">
        <f>INDEX('State Tax Lookup'!$D$7:$Z$91,MATCH(Calculation!$C853,'State Tax Lookup'!$B$7:$B$91,0),MATCH($H853,'State Tax Lookup'!$D$6:$Z$6,0))</f>
        <v>0.40134999999999998</v>
      </c>
      <c r="CY853" s="72">
        <v>0.37</v>
      </c>
      <c r="CZ853" s="66"/>
      <c r="DA853" s="66"/>
      <c r="DB853" s="69"/>
      <c r="DC853" s="111" t="e">
        <f>VLOOKUP($H853,RoR!$E:$F,2,FALSE)</f>
        <v>#N/A</v>
      </c>
      <c r="DD853" s="216">
        <f>HLOOKUP($H853,'GDP-PI'!$D$8:$CQ$11,3,FALSE)</f>
        <v>1.1028127770464469E-2</v>
      </c>
      <c r="DE853" s="111">
        <f>VLOOKUP(H853,'HW Dx Data'!$E:$F,2,FALSE)</f>
        <v>329.24564746449528</v>
      </c>
      <c r="DF853" s="72" t="e">
        <f t="shared" si="1543"/>
        <v>#N/A</v>
      </c>
      <c r="DG853" s="169" t="e">
        <f t="shared" si="1544"/>
        <v>#N/A</v>
      </c>
      <c r="DH853" s="66">
        <f>HLOOKUP(H853,'GDP-PI'!$8:$9,2,FALSE)</f>
        <v>75.266999999999996</v>
      </c>
      <c r="DI853"/>
      <c r="EB853"/>
    </row>
    <row r="854" spans="1:132" s="160" customFormat="1" ht="21">
      <c r="A854" s="160" t="s">
        <v>210</v>
      </c>
      <c r="B854" s="161" t="s">
        <v>211</v>
      </c>
      <c r="C854" s="161">
        <v>4057135</v>
      </c>
      <c r="D854" s="161" t="s">
        <v>192</v>
      </c>
      <c r="E854" s="161"/>
      <c r="F854" s="161"/>
      <c r="G854" s="161" t="s">
        <v>106</v>
      </c>
      <c r="H854" s="162">
        <v>1999</v>
      </c>
      <c r="I854" s="163"/>
      <c r="J854" s="159"/>
      <c r="K854" s="159"/>
      <c r="L854" s="159"/>
      <c r="M854" s="60"/>
      <c r="N854" s="152"/>
      <c r="O854" s="60"/>
      <c r="P854" s="60"/>
      <c r="Q854" s="159"/>
      <c r="R854" s="159"/>
      <c r="S854" s="159"/>
      <c r="T854" s="187"/>
      <c r="U854" s="159"/>
      <c r="V854" s="159"/>
      <c r="W854" s="159">
        <f t="shared" ref="W854:W877" si="1562">+CI853*CZ854</f>
        <v>0</v>
      </c>
      <c r="X854" s="163"/>
      <c r="Y854" s="167">
        <v>5114.7953445758985</v>
      </c>
      <c r="Z854" s="168">
        <v>3.1587977164538122E-2</v>
      </c>
      <c r="AA854" s="78"/>
      <c r="AB854" s="168"/>
      <c r="AC854" s="168"/>
      <c r="AD854" s="163">
        <f t="shared" si="1526"/>
        <v>0</v>
      </c>
      <c r="AE854" s="168"/>
      <c r="AF854" s="163"/>
      <c r="AG854" s="114"/>
      <c r="AH854" s="114"/>
      <c r="AI854" s="114"/>
      <c r="AJ854" s="167"/>
      <c r="AK854" s="168"/>
      <c r="AL854" s="115"/>
      <c r="AM854" s="115"/>
      <c r="AN854" s="115"/>
      <c r="AO854" s="115"/>
      <c r="AP854" s="115"/>
      <c r="AQ854" s="168"/>
      <c r="AR854" s="79"/>
      <c r="AS854" s="115"/>
      <c r="AT854" s="115"/>
      <c r="AU854" s="115"/>
      <c r="AV854" s="113">
        <f>IFERROR(INDEX('Total Customers'!$F$7:$AB$91,MATCH($C854,'Total Customers'!$D$7:$D$91,0),MATCH($G854,'Total Customers'!$F$5:$AB$5,0)),"NA")</f>
        <v>836928</v>
      </c>
      <c r="AW854" s="68">
        <f t="shared" si="1551"/>
        <v>5.2940126770637591E-3</v>
      </c>
      <c r="AX854" s="114"/>
      <c r="AY854" s="114"/>
      <c r="AZ854" s="116"/>
      <c r="BA854" s="116"/>
      <c r="BB854" s="166"/>
      <c r="BC854" s="166"/>
      <c r="BD854" s="166"/>
      <c r="BE854" s="166"/>
      <c r="BF854" s="166"/>
      <c r="BG854" s="166"/>
      <c r="BH854" s="166"/>
      <c r="BI854" s="113"/>
      <c r="BJ854" s="113"/>
      <c r="BK854" s="113">
        <f>INDEX('Dist. Plant Gas Additions'!$F$7:$AE$91,MATCH($C854,'Dist. Plant Gas Additions'!$D$7:$D$91,0),MATCH(Calculation!$G854,'Dist. Plant Gas Additions'!$F$5:$AE$5,0))</f>
        <v>49270</v>
      </c>
      <c r="BL854" s="113">
        <f>INDEX('Gen. Plant Additions'!$F$7:$AE$91,MATCH($C854,'Gen. Plant Additions'!$D$7:$D$91,0),MATCH(Calculation!$G854,'Gen. Plant Additions'!$F$5:$AE$5,0))</f>
        <v>12328</v>
      </c>
      <c r="BM854" s="231">
        <f t="shared" ref="BM854:BM875" si="1563">+(BW854/(BW854+BX854))</f>
        <v>0.92694719011031335</v>
      </c>
      <c r="BN854" s="61">
        <f t="shared" si="1556"/>
        <v>11427.404959679943</v>
      </c>
      <c r="BO854" s="113">
        <f>INDEX('Dist Plant Depreciation'!$E$7:$AD$94,MATCH($C854,'Dist Plant Depreciation'!$D$7:$D$94,0),MATCH(Calculation!$G854,'Dist Plant Depreciation'!$E$5:$AD$5,0))</f>
        <v>491646</v>
      </c>
      <c r="BP854" s="113">
        <f>INDEX('Gen. Plant Depreciation'!$E$7:$AD$94,MATCH($C854,'Gen. Plant Depreciation'!$D$7:$D$94,0),MATCH(Calculation!$G854,'Gen. Plant Depreciation'!$E$5:$AD$5,0))</f>
        <v>52236</v>
      </c>
      <c r="BQ854" s="113"/>
      <c r="BR854" s="113"/>
      <c r="BS854" s="113"/>
      <c r="BT854" s="113"/>
      <c r="BU854" s="113"/>
      <c r="BV854" s="175"/>
      <c r="BW854" s="113">
        <f>INDEX('Gross Dx Plant'!$E$7:$AD$91,MATCH($C854,'Gross Dx Plant'!$D$7:$D$91,0),MATCH(Calculation!$G854,'Gross Dx Plant'!$E$5:$AD$5,0))</f>
        <v>1436973</v>
      </c>
      <c r="BX854" s="113">
        <f>INDEX('Gross Gen Plant'!$E$7:$AD$91,MATCH($C854,'Gross Gen Plant'!$D$7:$D$91,0),MATCH(Calculation!$G854,'Gross Gen Plant'!$E$5:$AD$5,0))</f>
        <v>113248</v>
      </c>
      <c r="BY854" s="113">
        <f t="shared" si="1532"/>
        <v>1006339</v>
      </c>
      <c r="BZ854" s="113"/>
      <c r="CA854" s="116">
        <v>1999</v>
      </c>
      <c r="CB854" s="113"/>
      <c r="CC854" s="113"/>
      <c r="CD854" s="113"/>
      <c r="CE854" s="175"/>
      <c r="CF854" s="113">
        <f t="shared" ref="CF854:CF876" si="1564">+BL854+BK854</f>
        <v>61598</v>
      </c>
      <c r="CG854" s="113">
        <f t="shared" ref="CG854:CG876" si="1565">+CF854/$DE854</f>
        <v>183.69641860139367</v>
      </c>
      <c r="CH854" s="178">
        <v>0.99502487562189057</v>
      </c>
      <c r="CI854" s="61">
        <f>+CI853*CH854+CG854</f>
        <v>5114.7953445758985</v>
      </c>
      <c r="CJ854" s="114">
        <f t="shared" ref="CJ854:CJ875" si="1566">LN(CI854/CI853)</f>
        <v>3.1587977164538122E-2</v>
      </c>
      <c r="CK854" s="114"/>
      <c r="CL854" s="169">
        <f t="shared" ref="CL854:CL877" si="1567">+(CI853-CI854+CG854)/CI853</f>
        <v>4.9751243781093208E-3</v>
      </c>
      <c r="CM854" s="169"/>
      <c r="CN854" s="114">
        <f>VLOOKUP($H854,RoR!$E:$F,2,FALSE)</f>
        <v>7.0416666666666669E-2</v>
      </c>
      <c r="CO854" s="169">
        <v>1.4335631817396832E-2</v>
      </c>
      <c r="CP854" s="169">
        <f>+CN854-CO854</f>
        <v>5.6081034849269837E-2</v>
      </c>
      <c r="CQ854" s="169"/>
      <c r="CR854" s="169"/>
      <c r="CS854" s="179">
        <f t="shared" ref="CS854:CS877" si="1568">1-CX854*CY854</f>
        <v>0.85150049999999999</v>
      </c>
      <c r="CT854" s="180">
        <f t="shared" ref="CT854:CT877" si="1569">2/(DC854*39)</f>
        <v>0.72826581702321336</v>
      </c>
      <c r="CU854" s="180">
        <f t="shared" ref="CU854:CU877" si="1570">+(DC854*40-(1+DC854))/(DC854*40)</f>
        <v>0.61997041420118348</v>
      </c>
      <c r="CV854" s="180">
        <f t="shared" ref="CV854:CV877" si="1571">+(1-(1/(1+DC854)^40))</f>
        <v>0.93425155319585029</v>
      </c>
      <c r="CW854" s="180">
        <f t="shared" ref="CW854:CW877" si="1572">+CV854*CU854*CT854</f>
        <v>0.42181762214141483</v>
      </c>
      <c r="CX854" s="181">
        <f>INDEX('State Tax Lookup'!$D$7:$Z$91,MATCH(Calculation!$C854,'State Tax Lookup'!$B$7:$B$91,0),MATCH($H854,'State Tax Lookup'!$D$6:$Z$6,0))</f>
        <v>0.40134999999999998</v>
      </c>
      <c r="CY854" s="72">
        <v>0.37</v>
      </c>
      <c r="CZ854" s="70"/>
      <c r="DA854" s="70"/>
      <c r="DB854" s="69"/>
      <c r="DC854" s="111">
        <f>VLOOKUP($H854,RoR!$E:$F,2,FALSE)</f>
        <v>7.0416666666666669E-2</v>
      </c>
      <c r="DD854" s="216">
        <f>HLOOKUP($H854,'GDP-PI'!$D$8:$CQ$11,3,FALSE)</f>
        <v>1.4335631817396832E-2</v>
      </c>
      <c r="DE854" s="111">
        <f>VLOOKUP(H854,'HW Dx Data'!$E:$F,2,FALSE)</f>
        <v>335.32499146683239</v>
      </c>
      <c r="DF854" s="66"/>
      <c r="DG854" s="69"/>
      <c r="DH854" s="66">
        <f>HLOOKUP(H854,'GDP-PI'!$8:$9,2,FALSE)</f>
        <v>76.346000000000004</v>
      </c>
      <c r="DI854"/>
      <c r="EB854"/>
    </row>
    <row r="855" spans="1:132" s="160" customFormat="1" ht="21">
      <c r="A855" s="160" t="s">
        <v>210</v>
      </c>
      <c r="B855" s="161" t="s">
        <v>211</v>
      </c>
      <c r="C855" s="161">
        <v>4057135</v>
      </c>
      <c r="D855" s="161" t="s">
        <v>192</v>
      </c>
      <c r="E855" s="161"/>
      <c r="F855" s="161"/>
      <c r="G855" s="161" t="s">
        <v>107</v>
      </c>
      <c r="H855" s="162">
        <v>2000</v>
      </c>
      <c r="I855" s="163"/>
      <c r="J855" s="159"/>
      <c r="K855" s="159"/>
      <c r="L855" s="159"/>
      <c r="M855" s="60"/>
      <c r="N855" s="152"/>
      <c r="O855" s="60"/>
      <c r="P855" s="60"/>
      <c r="Q855" s="159"/>
      <c r="R855" s="159"/>
      <c r="S855" s="159"/>
      <c r="T855" s="159"/>
      <c r="U855" s="159"/>
      <c r="V855" s="159"/>
      <c r="W855" s="159">
        <f t="shared" si="1562"/>
        <v>0</v>
      </c>
      <c r="X855" s="163"/>
      <c r="Y855" s="167">
        <v>5291.2498344110027</v>
      </c>
      <c r="Z855" s="168">
        <v>3.3917093790589325E-2</v>
      </c>
      <c r="AA855" s="78"/>
      <c r="AB855" s="168"/>
      <c r="AC855" s="168"/>
      <c r="AD855" s="163">
        <f t="shared" si="1526"/>
        <v>0</v>
      </c>
      <c r="AE855" s="168"/>
      <c r="AF855" s="163"/>
      <c r="AG855" s="163"/>
      <c r="AH855" s="163"/>
      <c r="AI855" s="163"/>
      <c r="AJ855" s="167"/>
      <c r="AK855" s="168"/>
      <c r="AL855" s="115"/>
      <c r="AM855" s="115"/>
      <c r="AN855" s="115"/>
      <c r="AO855" s="115"/>
      <c r="AP855" s="115"/>
      <c r="AQ855" s="168"/>
      <c r="AR855" s="79"/>
      <c r="AS855" s="115"/>
      <c r="AT855" s="115"/>
      <c r="AU855" s="115"/>
      <c r="AV855" s="113">
        <f>IFERROR(INDEX('Total Customers'!$F$7:$AB$91,MATCH($C855,'Total Customers'!$D$7:$D$91,0),MATCH($G855,'Total Customers'!$F$5:$AB$5,0)),"NA")</f>
        <v>840561</v>
      </c>
      <c r="AW855" s="68">
        <f t="shared" si="1551"/>
        <v>4.331480778843491E-3</v>
      </c>
      <c r="AX855" s="114"/>
      <c r="AY855" s="114"/>
      <c r="AZ855" s="116"/>
      <c r="BA855" s="116"/>
      <c r="BB855" s="166"/>
      <c r="BC855" s="166"/>
      <c r="BD855" s="166"/>
      <c r="BE855" s="166"/>
      <c r="BF855" s="166"/>
      <c r="BG855" s="166"/>
      <c r="BH855" s="166"/>
      <c r="BI855" s="113"/>
      <c r="BJ855" s="113"/>
      <c r="BK855" s="113">
        <f>INDEX('Dist. Plant Gas Additions'!$F$7:$AE$91,MATCH($C855,'Dist. Plant Gas Additions'!$D$7:$D$91,0),MATCH(Calculation!$G855,'Dist. Plant Gas Additions'!$F$5:$AE$5,0))</f>
        <v>56835</v>
      </c>
      <c r="BL855" s="113">
        <f>INDEX('Gen. Plant Additions'!$F$7:$AE$91,MATCH($C855,'Gen. Plant Additions'!$D$7:$D$91,0),MATCH(Calculation!$G855,'Gen. Plant Additions'!$F$5:$AE$5,0))</f>
        <v>13432</v>
      </c>
      <c r="BM855" s="231">
        <f t="shared" si="1563"/>
        <v>0.93149253787635922</v>
      </c>
      <c r="BN855" s="61">
        <f t="shared" si="1556"/>
        <v>12511.807768755258</v>
      </c>
      <c r="BO855" s="113">
        <f>INDEX('Dist Plant Depreciation'!$E$7:$AD$94,MATCH($C855,'Dist Plant Depreciation'!$D$7:$D$94,0),MATCH(Calculation!$G855,'Dist Plant Depreciation'!$E$5:$AD$5,0))</f>
        <v>520985</v>
      </c>
      <c r="BP855" s="113">
        <f>INDEX('Gen. Plant Depreciation'!$E$7:$AD$94,MATCH($C855,'Gen. Plant Depreciation'!$D$7:$D$94,0),MATCH(Calculation!$G855,'Gen. Plant Depreciation'!$E$5:$AD$5,0))</f>
        <v>51763</v>
      </c>
      <c r="BQ855" s="113"/>
      <c r="BR855" s="113"/>
      <c r="BS855" s="113"/>
      <c r="BT855" s="113"/>
      <c r="BU855" s="113"/>
      <c r="BV855" s="175"/>
      <c r="BW855" s="113">
        <f>INDEX('Gross Dx Plant'!$E$7:$AD$91,MATCH($C855,'Gross Dx Plant'!$D$7:$D$91,0),MATCH(Calculation!$G855,'Gross Dx Plant'!$E$5:$AD$5,0))</f>
        <v>1481850</v>
      </c>
      <c r="BX855" s="113">
        <f>INDEX('Gross Gen Plant'!$E$7:$AD$91,MATCH($C855,'Gross Gen Plant'!$D$7:$D$91,0),MATCH(Calculation!$G855,'Gross Gen Plant'!$E$5:$AD$5,0))</f>
        <v>108984</v>
      </c>
      <c r="BY855" s="113">
        <f t="shared" si="1532"/>
        <v>1018086</v>
      </c>
      <c r="BZ855" s="113"/>
      <c r="CA855" s="116">
        <v>2000</v>
      </c>
      <c r="CB855" s="113"/>
      <c r="CC855" s="113"/>
      <c r="CD855" s="113"/>
      <c r="CE855" s="175"/>
      <c r="CF855" s="113">
        <f t="shared" si="1564"/>
        <v>70267</v>
      </c>
      <c r="CG855" s="113">
        <f t="shared" si="1565"/>
        <v>202.77103319623848</v>
      </c>
      <c r="CH855" s="178">
        <v>0.98989898989898994</v>
      </c>
      <c r="CI855" s="61">
        <f>+CI853*CH855+CG854*CH854+CG855</f>
        <v>5291.2498344110027</v>
      </c>
      <c r="CJ855" s="114">
        <f t="shared" si="1566"/>
        <v>3.3917093790589325E-2</v>
      </c>
      <c r="CK855" s="114"/>
      <c r="CL855" s="169">
        <f t="shared" si="1567"/>
        <v>5.145180127107591E-3</v>
      </c>
      <c r="CM855" s="169"/>
      <c r="CN855" s="114">
        <f>VLOOKUP($H855,RoR!$E:$F,2,FALSE)</f>
        <v>7.6225000000000001E-2</v>
      </c>
      <c r="CO855" s="169">
        <v>2.2568307442433211E-2</v>
      </c>
      <c r="CP855" s="169">
        <f t="shared" ref="CP855:CP875" si="1573">+CN855-CO855</f>
        <v>5.365669255756679E-2</v>
      </c>
      <c r="CQ855" s="169"/>
      <c r="CR855" s="169"/>
      <c r="CS855" s="179">
        <f t="shared" si="1568"/>
        <v>0.85150049999999999</v>
      </c>
      <c r="CT855" s="180">
        <f t="shared" si="1569"/>
        <v>0.67277207323124022</v>
      </c>
      <c r="CU855" s="180">
        <f t="shared" si="1570"/>
        <v>0.6470236142997704</v>
      </c>
      <c r="CV855" s="180">
        <f t="shared" si="1571"/>
        <v>0.94704866037543145</v>
      </c>
      <c r="CW855" s="180">
        <f t="shared" si="1572"/>
        <v>0.41224973107878493</v>
      </c>
      <c r="CX855" s="181">
        <f>INDEX('State Tax Lookup'!$D$7:$Z$91,MATCH(Calculation!$C855,'State Tax Lookup'!$B$7:$B$91,0),MATCH($H855,'State Tax Lookup'!$D$6:$Z$6,0))</f>
        <v>0.40134999999999998</v>
      </c>
      <c r="CY855" s="72">
        <v>0.37</v>
      </c>
      <c r="CZ855" s="70"/>
      <c r="DA855" s="70"/>
      <c r="DB855" s="69"/>
      <c r="DC855" s="111">
        <f>VLOOKUP($H855,RoR!$E:$F,2,FALSE)</f>
        <v>7.6225000000000001E-2</v>
      </c>
      <c r="DD855" s="216">
        <f>HLOOKUP($H855,'GDP-PI'!$D$8:$CQ$11,3,FALSE)</f>
        <v>2.2568307442433211E-2</v>
      </c>
      <c r="DE855" s="111">
        <f>VLOOKUP(H855,'HW Dx Data'!$E:$F,2,FALSE)</f>
        <v>346.53371782150339</v>
      </c>
      <c r="DF855" s="66"/>
      <c r="DG855" s="69"/>
      <c r="DH855" s="66">
        <f>HLOOKUP(H855,'GDP-PI'!$8:$9,2,FALSE)</f>
        <v>78.069000000000003</v>
      </c>
      <c r="DI855"/>
      <c r="EB855"/>
    </row>
    <row r="856" spans="1:132" s="160" customFormat="1" ht="21">
      <c r="A856" s="160" t="s">
        <v>210</v>
      </c>
      <c r="B856" s="161" t="s">
        <v>211</v>
      </c>
      <c r="C856" s="161">
        <v>4057135</v>
      </c>
      <c r="D856" s="161" t="s">
        <v>192</v>
      </c>
      <c r="E856" s="161"/>
      <c r="F856" s="161"/>
      <c r="G856" s="161" t="s">
        <v>111</v>
      </c>
      <c r="H856" s="162">
        <v>2001</v>
      </c>
      <c r="I856" s="163"/>
      <c r="J856" s="159"/>
      <c r="K856" s="159"/>
      <c r="L856" s="159"/>
      <c r="M856" s="60"/>
      <c r="N856" s="152"/>
      <c r="O856" s="60"/>
      <c r="P856" s="60"/>
      <c r="Q856" s="159"/>
      <c r="R856" s="159"/>
      <c r="S856" s="159"/>
      <c r="T856" s="159"/>
      <c r="U856" s="159"/>
      <c r="V856" s="159"/>
      <c r="W856" s="159">
        <f t="shared" si="1562"/>
        <v>68502.163572738616</v>
      </c>
      <c r="X856" s="163"/>
      <c r="Y856" s="167">
        <v>5490.1349890884139</v>
      </c>
      <c r="Z856" s="168">
        <v>3.689836183742818E-2</v>
      </c>
      <c r="AA856" s="78"/>
      <c r="AB856" s="168"/>
      <c r="AC856" s="168"/>
      <c r="AD856" s="163">
        <f t="shared" si="1526"/>
        <v>68502.163572738616</v>
      </c>
      <c r="AE856" s="168"/>
      <c r="AF856" s="163"/>
      <c r="AG856" s="163"/>
      <c r="AH856" s="163"/>
      <c r="AI856" s="163"/>
      <c r="AJ856" s="167"/>
      <c r="AK856" s="168"/>
      <c r="AL856" s="115"/>
      <c r="AM856" s="115"/>
      <c r="AN856" s="115"/>
      <c r="AO856" s="115"/>
      <c r="AP856" s="115"/>
      <c r="AQ856" s="168"/>
      <c r="AR856" s="79"/>
      <c r="AS856" s="115"/>
      <c r="AT856" s="115"/>
      <c r="AU856" s="115"/>
      <c r="AV856" s="113">
        <f>IFERROR(INDEX('Total Customers'!$F$7:$AB$91,MATCH($C856,'Total Customers'!$D$7:$D$91,0),MATCH($G856,'Total Customers'!$F$5:$AB$5,0)),"NA")</f>
        <v>845637</v>
      </c>
      <c r="AW856" s="68">
        <f t="shared" si="1551"/>
        <v>6.0206634488465804E-3</v>
      </c>
      <c r="AX856" s="114"/>
      <c r="AY856" s="114"/>
      <c r="AZ856" s="116"/>
      <c r="BA856" s="116"/>
      <c r="BB856" s="166"/>
      <c r="BC856" s="166"/>
      <c r="BD856" s="166"/>
      <c r="BE856" s="166"/>
      <c r="BF856" s="166"/>
      <c r="BG856" s="166"/>
      <c r="BH856" s="166"/>
      <c r="BI856" s="113"/>
      <c r="BJ856" s="113"/>
      <c r="BK856" s="113">
        <f>INDEX('Dist. Plant Gas Additions'!$F$7:$AE$91,MATCH($C856,'Dist. Plant Gas Additions'!$D$7:$D$91,0),MATCH(Calculation!$G856,'Dist. Plant Gas Additions'!$F$5:$AE$5,0))</f>
        <v>68464</v>
      </c>
      <c r="BL856" s="113">
        <f>INDEX('Gen. Plant Additions'!$F$7:$AE$91,MATCH($C856,'Gen. Plant Additions'!$D$7:$D$91,0),MATCH(Calculation!$G856,'Gen. Plant Additions'!$F$5:$AE$5,0))</f>
        <v>11419</v>
      </c>
      <c r="BM856" s="231">
        <f t="shared" si="1563"/>
        <v>0.92967829698644566</v>
      </c>
      <c r="BN856" s="61">
        <f t="shared" si="1556"/>
        <v>10615.996473288224</v>
      </c>
      <c r="BO856" s="113">
        <f>INDEX('Dist Plant Depreciation'!$E$7:$AD$94,MATCH($C856,'Dist Plant Depreciation'!$D$7:$D$94,0),MATCH(Calculation!$G856,'Dist Plant Depreciation'!$E$5:$AD$5,0))</f>
        <v>544737</v>
      </c>
      <c r="BP856" s="113">
        <f>INDEX('Gen. Plant Depreciation'!$E$7:$AD$94,MATCH($C856,'Gen. Plant Depreciation'!$D$7:$D$94,0),MATCH(Calculation!$G856,'Gen. Plant Depreciation'!$E$5:$AD$5,0))</f>
        <v>57925</v>
      </c>
      <c r="BQ856" s="113"/>
      <c r="BR856" s="113"/>
      <c r="BS856" s="113"/>
      <c r="BT856" s="113"/>
      <c r="BU856" s="113"/>
      <c r="BV856" s="175"/>
      <c r="BW856" s="113">
        <f>INDEX('Gross Dx Plant'!$E$7:$AD$91,MATCH($C856,'Gross Dx Plant'!$D$7:$D$91,0),MATCH(Calculation!$G856,'Gross Dx Plant'!$E$5:$AD$5,0))</f>
        <v>1539749</v>
      </c>
      <c r="BX856" s="113">
        <f>INDEX('Gross Gen Plant'!$E$7:$AD$91,MATCH($C856,'Gross Gen Plant'!$D$7:$D$91,0),MATCH(Calculation!$G856,'Gross Gen Plant'!$E$5:$AD$5,0))</f>
        <v>116468</v>
      </c>
      <c r="BY856" s="113">
        <f t="shared" si="1532"/>
        <v>1053555</v>
      </c>
      <c r="BZ856" s="113"/>
      <c r="CA856" s="116">
        <v>2001</v>
      </c>
      <c r="CB856" s="113"/>
      <c r="CC856" s="113"/>
      <c r="CD856" s="113"/>
      <c r="CE856" s="175"/>
      <c r="CF856" s="113">
        <f t="shared" si="1564"/>
        <v>79883</v>
      </c>
      <c r="CG856" s="113">
        <f t="shared" si="1565"/>
        <v>226.01101176782294</v>
      </c>
      <c r="CH856" s="178">
        <v>0.98461538461538467</v>
      </c>
      <c r="CI856" s="61">
        <f>+CI853*CH856+CG854*CH855+CG855*CH853+CG856</f>
        <v>5490.1349890884139</v>
      </c>
      <c r="CJ856" s="114">
        <f t="shared" si="1566"/>
        <v>3.689836183742818E-2</v>
      </c>
      <c r="CK856" s="114"/>
      <c r="CL856" s="169">
        <f t="shared" si="1567"/>
        <v>5.1265500475902578E-3</v>
      </c>
      <c r="CM856" s="169">
        <f>+(CL856+CL855+CL854)/3</f>
        <v>5.0822848509357232E-3</v>
      </c>
      <c r="CN856" s="114">
        <f>VLOOKUP($H856,RoR!$E:$F,2,FALSE)</f>
        <v>7.0824999999999999E-2</v>
      </c>
      <c r="CO856" s="169">
        <v>2.2454495382290052E-2</v>
      </c>
      <c r="CP856" s="169">
        <f t="shared" si="1573"/>
        <v>4.8370504617709947E-2</v>
      </c>
      <c r="CQ856" s="169">
        <f>+$CP$2-CM856</f>
        <v>2.5819656757597901E-2</v>
      </c>
      <c r="CR856" s="169">
        <f>+((DE854/DE853-1)+(DE855/DE854-1)+(DE856/DE855-1))/3</f>
        <v>2.3947275901631187E-2</v>
      </c>
      <c r="CS856" s="179">
        <f t="shared" si="1568"/>
        <v>0.85150049999999999</v>
      </c>
      <c r="CT856" s="180">
        <f t="shared" si="1569"/>
        <v>0.72406708481540816</v>
      </c>
      <c r="CU856" s="180">
        <f t="shared" si="1570"/>
        <v>0.62201729615248857</v>
      </c>
      <c r="CV856" s="180">
        <f t="shared" si="1571"/>
        <v>0.9352469954311422</v>
      </c>
      <c r="CW856" s="180">
        <f t="shared" si="1572"/>
        <v>0.42121864641655071</v>
      </c>
      <c r="CX856" s="181">
        <f>INDEX('State Tax Lookup'!$D$7:$Z$91,MATCH(Calculation!$C856,'State Tax Lookup'!$B$7:$B$91,0),MATCH($H856,'State Tax Lookup'!$D$6:$Z$6,0))</f>
        <v>0.40134999999999998</v>
      </c>
      <c r="CY856" s="72">
        <v>0.37</v>
      </c>
      <c r="CZ856" s="70">
        <f t="shared" ref="CZ856:CZ877" si="1574">+(DE856*CQ856-CR856)*CS856/(1-CX856)</f>
        <v>12.94631055355638</v>
      </c>
      <c r="DA856" s="70"/>
      <c r="DB856" s="69"/>
      <c r="DC856" s="111">
        <f>VLOOKUP($H856,RoR!$E:$F,2,FALSE)</f>
        <v>7.0824999999999999E-2</v>
      </c>
      <c r="DD856" s="216">
        <f>HLOOKUP($H856,'GDP-PI'!$D$8:$CQ$11,3,FALSE)</f>
        <v>2.2454495382290052E-2</v>
      </c>
      <c r="DE856" s="111">
        <f>VLOOKUP(H856,'HW Dx Data'!$E:$F,2,FALSE)</f>
        <v>353.44738017483138</v>
      </c>
      <c r="DF856" s="66"/>
      <c r="DG856" s="69"/>
      <c r="DH856" s="66">
        <f>HLOOKUP(H856,'GDP-PI'!$8:$9,2,FALSE)</f>
        <v>79.822000000000003</v>
      </c>
      <c r="DI856"/>
      <c r="EB856"/>
    </row>
    <row r="857" spans="1:132" s="160" customFormat="1" ht="21">
      <c r="A857" s="160" t="s">
        <v>210</v>
      </c>
      <c r="B857" s="161" t="s">
        <v>211</v>
      </c>
      <c r="C857" s="161">
        <v>4057135</v>
      </c>
      <c r="D857" s="161" t="s">
        <v>192</v>
      </c>
      <c r="E857" s="161"/>
      <c r="F857" s="161"/>
      <c r="G857" s="161" t="s">
        <v>113</v>
      </c>
      <c r="H857" s="162">
        <v>2002</v>
      </c>
      <c r="I857" s="163"/>
      <c r="J857" s="159"/>
      <c r="K857" s="159"/>
      <c r="L857" s="159"/>
      <c r="M857" s="60"/>
      <c r="N857" s="152"/>
      <c r="O857" s="60"/>
      <c r="P857" s="60"/>
      <c r="Q857" s="159"/>
      <c r="R857" s="159"/>
      <c r="S857" s="159"/>
      <c r="T857" s="159"/>
      <c r="U857" s="159"/>
      <c r="V857" s="159"/>
      <c r="W857" s="159">
        <f t="shared" si="1562"/>
        <v>72003.425169270413</v>
      </c>
      <c r="X857" s="163"/>
      <c r="Y857" s="167">
        <v>5620.5204686820971</v>
      </c>
      <c r="Z857" s="168">
        <v>2.3471426307781811E-2</v>
      </c>
      <c r="AA857" s="78"/>
      <c r="AB857" s="168"/>
      <c r="AC857" s="168"/>
      <c r="AD857" s="163">
        <f t="shared" si="1526"/>
        <v>72003.425169270413</v>
      </c>
      <c r="AE857" s="168"/>
      <c r="AF857" s="163"/>
      <c r="AG857" s="163"/>
      <c r="AH857" s="163"/>
      <c r="AI857" s="163"/>
      <c r="AJ857" s="167"/>
      <c r="AK857" s="168"/>
      <c r="AL857" s="115"/>
      <c r="AM857" s="115"/>
      <c r="AN857" s="115"/>
      <c r="AO857" s="115"/>
      <c r="AP857" s="115"/>
      <c r="AQ857" s="168"/>
      <c r="AR857" s="79"/>
      <c r="AS857" s="115"/>
      <c r="AT857" s="115"/>
      <c r="AU857" s="115"/>
      <c r="AV857" s="113">
        <f>IFERROR(INDEX('Total Customers'!$F$7:$AB$91,MATCH($C857,'Total Customers'!$D$7:$D$91,0),MATCH($G857,'Total Customers'!$F$5:$AB$5,0)),"NA")</f>
        <v>837212</v>
      </c>
      <c r="AW857" s="68">
        <f t="shared" si="1551"/>
        <v>-1.0012865550011595E-2</v>
      </c>
      <c r="AX857" s="114"/>
      <c r="AY857" s="114"/>
      <c r="AZ857" s="116"/>
      <c r="BA857" s="116"/>
      <c r="BB857" s="166"/>
      <c r="BC857" s="166"/>
      <c r="BD857" s="166"/>
      <c r="BE857" s="166"/>
      <c r="BF857" s="166"/>
      <c r="BG857" s="166"/>
      <c r="BH857" s="166"/>
      <c r="BI857" s="113"/>
      <c r="BJ857" s="113"/>
      <c r="BK857" s="113">
        <f>INDEX('Dist. Plant Gas Additions'!$F$7:$AE$91,MATCH($C857,'Dist. Plant Gas Additions'!$D$7:$D$91,0),MATCH(Calculation!$G857,'Dist. Plant Gas Additions'!$F$5:$AE$5,0))</f>
        <v>50577</v>
      </c>
      <c r="BL857" s="113">
        <f>INDEX('Gen. Plant Additions'!$F$7:$AE$91,MATCH($C857,'Gen. Plant Additions'!$D$7:$D$91,0),MATCH(Calculation!$G857,'Gen. Plant Additions'!$F$5:$AE$5,0))</f>
        <v>7792</v>
      </c>
      <c r="BM857" s="231">
        <f t="shared" si="1563"/>
        <v>0.92947775389052556</v>
      </c>
      <c r="BN857" s="61">
        <f t="shared" si="1556"/>
        <v>7242.490658314975</v>
      </c>
      <c r="BO857" s="113">
        <f>INDEX('Dist Plant Depreciation'!$E$7:$AD$94,MATCH($C857,'Dist Plant Depreciation'!$D$7:$D$94,0),MATCH(Calculation!$G857,'Dist Plant Depreciation'!$E$5:$AD$5,0))</f>
        <v>565543</v>
      </c>
      <c r="BP857" s="113">
        <f>INDEX('Gen. Plant Depreciation'!$E$7:$AD$94,MATCH($C857,'Gen. Plant Depreciation'!$D$7:$D$94,0),MATCH(Calculation!$G857,'Gen. Plant Depreciation'!$E$5:$AD$5,0))</f>
        <v>66064</v>
      </c>
      <c r="BQ857" s="113"/>
      <c r="BR857" s="113"/>
      <c r="BS857" s="113"/>
      <c r="BT857" s="113"/>
      <c r="BU857" s="113"/>
      <c r="BV857" s="175"/>
      <c r="BW857" s="113">
        <f>INDEX('Gross Dx Plant'!$E$7:$AD$91,MATCH($C857,'Gross Dx Plant'!$D$7:$D$91,0),MATCH(Calculation!$G857,'Gross Dx Plant'!$E$5:$AD$5,0))</f>
        <v>1575897</v>
      </c>
      <c r="BX857" s="113">
        <f>INDEX('Gross Gen Plant'!$E$7:$AD$91,MATCH($C857,'Gross Gen Plant'!$D$7:$D$91,0),MATCH(Calculation!$G857,'Gross Gen Plant'!$E$5:$AD$5,0))</f>
        <v>119568</v>
      </c>
      <c r="BY857" s="113">
        <f t="shared" si="1532"/>
        <v>1063858</v>
      </c>
      <c r="BZ857" s="113"/>
      <c r="CA857" s="116">
        <v>2002</v>
      </c>
      <c r="CB857" s="113"/>
      <c r="CC857" s="113"/>
      <c r="CD857" s="113"/>
      <c r="CE857" s="175"/>
      <c r="CF857" s="113">
        <f t="shared" si="1564"/>
        <v>58369</v>
      </c>
      <c r="CG857" s="113">
        <f t="shared" si="1565"/>
        <v>161.53119217144533</v>
      </c>
      <c r="CH857" s="178">
        <v>0.97916666666666663</v>
      </c>
      <c r="CI857" s="61">
        <f>+CI853*CH857+CG854*CH856+CG855*CH855+CG856*CH854+CG857</f>
        <v>5620.5204686820971</v>
      </c>
      <c r="CJ857" s="114">
        <f t="shared" si="1566"/>
        <v>2.3471426307781811E-2</v>
      </c>
      <c r="CK857" s="114"/>
      <c r="CL857" s="169">
        <f t="shared" si="1567"/>
        <v>5.6730322004220199E-3</v>
      </c>
      <c r="CM857" s="169">
        <f t="shared" ref="CM857:CM877" si="1575">+(CL857+CL856+CL855)/3</f>
        <v>5.314920791706622E-3</v>
      </c>
      <c r="CN857" s="114">
        <f>VLOOKUP($H857,RoR!$E:$F,2,FALSE)</f>
        <v>6.4916666666666664E-2</v>
      </c>
      <c r="CO857" s="169">
        <v>1.5246423291824351E-2</v>
      </c>
      <c r="CP857" s="169">
        <f t="shared" si="1573"/>
        <v>4.9670243374842313E-2</v>
      </c>
      <c r="CQ857" s="169">
        <f t="shared" ref="CQ857:CQ877" si="1576">+$CP$2-CM857</f>
        <v>2.5587020816827004E-2</v>
      </c>
      <c r="CR857" s="169">
        <f t="shared" ref="CR857:CR877" si="1577">+((DE855/DE854-1)+(DE856/DE855-1)+(DE857/DE856-1))/3</f>
        <v>2.5243621214759093E-2</v>
      </c>
      <c r="CS857" s="179">
        <f t="shared" si="1568"/>
        <v>0.85150049999999999</v>
      </c>
      <c r="CT857" s="180">
        <f t="shared" si="1569"/>
        <v>0.78996741384417901</v>
      </c>
      <c r="CU857" s="180">
        <f t="shared" si="1570"/>
        <v>0.58989088575096271</v>
      </c>
      <c r="CV857" s="180">
        <f t="shared" si="1571"/>
        <v>0.91920675783645744</v>
      </c>
      <c r="CW857" s="180">
        <f t="shared" si="1572"/>
        <v>0.42834536472275586</v>
      </c>
      <c r="CX857" s="181">
        <f>INDEX('State Tax Lookup'!$D$7:$Z$91,MATCH(Calculation!$C857,'State Tax Lookup'!$B$7:$B$91,0),MATCH($H857,'State Tax Lookup'!$D$6:$Z$6,0))</f>
        <v>0.40134999999999998</v>
      </c>
      <c r="CY857" s="72">
        <v>0.37</v>
      </c>
      <c r="CZ857" s="70">
        <f t="shared" si="1574"/>
        <v>13.115055515461181</v>
      </c>
      <c r="DA857" s="70"/>
      <c r="DB857" s="69">
        <f>LN(CZ857/CZ856)</f>
        <v>1.2949998069680242E-2</v>
      </c>
      <c r="DC857" s="111">
        <f>VLOOKUP($H857,RoR!$E:$F,2,FALSE)</f>
        <v>6.4916666666666664E-2</v>
      </c>
      <c r="DD857" s="216">
        <f>HLOOKUP($H857,'GDP-PI'!$D$8:$CQ$11,3,FALSE)</f>
        <v>1.5246423291824351E-2</v>
      </c>
      <c r="DE857" s="111">
        <f>VLOOKUP(H857,'HW Dx Data'!$E:$F,2,FALSE)</f>
        <v>361.34816573413599</v>
      </c>
      <c r="DF857" s="66"/>
      <c r="DG857" s="69"/>
      <c r="DH857" s="66">
        <f>HLOOKUP(H857,'GDP-PI'!$8:$9,2,FALSE)</f>
        <v>81.039000000000001</v>
      </c>
      <c r="DI857" s="69">
        <f>LN(DH857/DH856)</f>
        <v>1.513136459537477E-2</v>
      </c>
      <c r="EB857"/>
    </row>
    <row r="858" spans="1:132" s="160" customFormat="1" ht="21">
      <c r="A858" s="160" t="s">
        <v>210</v>
      </c>
      <c r="B858" s="161" t="s">
        <v>211</v>
      </c>
      <c r="C858" s="161">
        <v>4057135</v>
      </c>
      <c r="D858" s="161" t="s">
        <v>192</v>
      </c>
      <c r="E858" s="161"/>
      <c r="F858" s="161"/>
      <c r="G858" s="161" t="s">
        <v>114</v>
      </c>
      <c r="H858" s="162">
        <v>2003</v>
      </c>
      <c r="I858" s="163"/>
      <c r="J858" s="159"/>
      <c r="K858" s="159"/>
      <c r="L858" s="159"/>
      <c r="M858" s="76"/>
      <c r="N858" s="152"/>
      <c r="O858" s="76"/>
      <c r="P858" s="76"/>
      <c r="Q858" s="159"/>
      <c r="R858" s="159"/>
      <c r="S858" s="159"/>
      <c r="T858" s="159"/>
      <c r="U858" s="159"/>
      <c r="V858" s="159"/>
      <c r="W858" s="159">
        <f t="shared" si="1562"/>
        <v>74836.336647832868</v>
      </c>
      <c r="X858" s="163"/>
      <c r="Y858" s="167">
        <v>5712.0416140477437</v>
      </c>
      <c r="Z858" s="168">
        <v>1.6152240679916427E-2</v>
      </c>
      <c r="AA858" s="78"/>
      <c r="AB858" s="168"/>
      <c r="AC858" s="168"/>
      <c r="AD858" s="163">
        <f t="shared" si="1526"/>
        <v>74836.336647832868</v>
      </c>
      <c r="AE858" s="168"/>
      <c r="AF858" s="163"/>
      <c r="AG858" s="163"/>
      <c r="AH858" s="163"/>
      <c r="AI858" s="163"/>
      <c r="AJ858" s="167"/>
      <c r="AK858" s="168"/>
      <c r="AL858" s="115"/>
      <c r="AM858" s="115"/>
      <c r="AN858" s="115"/>
      <c r="AO858" s="115"/>
      <c r="AP858" s="115"/>
      <c r="AQ858" s="168"/>
      <c r="AR858" s="79"/>
      <c r="AS858" s="115"/>
      <c r="AT858" s="115"/>
      <c r="AU858" s="115"/>
      <c r="AV858" s="113">
        <f>IFERROR(INDEX('Total Customers'!$F$7:$AB$91,MATCH($C858,'Total Customers'!$D$7:$D$91,0),MATCH($G858,'Total Customers'!$F$5:$AB$5,0)),"NA")</f>
        <v>818730</v>
      </c>
      <c r="AW858" s="68">
        <f t="shared" si="1551"/>
        <v>-2.2322964791525578E-2</v>
      </c>
      <c r="AX858" s="114"/>
      <c r="AY858" s="114"/>
      <c r="AZ858" s="116"/>
      <c r="BA858" s="116"/>
      <c r="BB858" s="166"/>
      <c r="BC858" s="166"/>
      <c r="BD858" s="166"/>
      <c r="BE858" s="166"/>
      <c r="BF858" s="166"/>
      <c r="BG858" s="166"/>
      <c r="BH858" s="166"/>
      <c r="BI858" s="113"/>
      <c r="BJ858" s="113"/>
      <c r="BK858" s="113">
        <f>INDEX('Dist. Plant Gas Additions'!$F$7:$AE$91,MATCH($C858,'Dist. Plant Gas Additions'!$D$7:$D$91,0),MATCH(Calculation!$G858,'Dist. Plant Gas Additions'!$F$5:$AE$5,0))</f>
        <v>35405</v>
      </c>
      <c r="BL858" s="113">
        <f>INDEX('Gen. Plant Additions'!$F$7:$AE$91,MATCH($C858,'Gen. Plant Additions'!$D$7:$D$91,0),MATCH(Calculation!$G858,'Gen. Plant Additions'!$F$5:$AE$5,0))</f>
        <v>10164</v>
      </c>
      <c r="BM858" s="231">
        <f t="shared" si="1563"/>
        <v>0.92648648648648646</v>
      </c>
      <c r="BN858" s="61">
        <f t="shared" si="1556"/>
        <v>9416.8086486486482</v>
      </c>
      <c r="BO858" s="113">
        <f>INDEX('Dist Plant Depreciation'!$E$7:$AD$94,MATCH($C858,'Dist Plant Depreciation'!$D$7:$D$94,0),MATCH(Calculation!$G858,'Dist Plant Depreciation'!$E$5:$AD$5,0))</f>
        <v>588522</v>
      </c>
      <c r="BP858" s="113">
        <f>INDEX('Gen. Plant Depreciation'!$E$7:$AD$94,MATCH($C858,'Gen. Plant Depreciation'!$D$7:$D$94,0),MATCH(Calculation!$G858,'Gen. Plant Depreciation'!$E$5:$AD$5,0))</f>
        <v>74149</v>
      </c>
      <c r="BQ858" s="113"/>
      <c r="BR858" s="113"/>
      <c r="BS858" s="113"/>
      <c r="BT858" s="113"/>
      <c r="BU858" s="113"/>
      <c r="BV858" s="175"/>
      <c r="BW858" s="113">
        <f>INDEX('Gross Dx Plant'!$E$7:$AD$91,MATCH($C858,'Gross Dx Plant'!$D$7:$D$91,0),MATCH(Calculation!$G858,'Gross Dx Plant'!$E$5:$AD$5,0))</f>
        <v>1597448</v>
      </c>
      <c r="BX858" s="113">
        <f>INDEX('Gross Gen Plant'!$E$7:$AD$91,MATCH($C858,'Gross Gen Plant'!$D$7:$D$91,0),MATCH(Calculation!$G858,'Gross Gen Plant'!$E$5:$AD$5,0))</f>
        <v>126752</v>
      </c>
      <c r="BY858" s="113">
        <f t="shared" si="1532"/>
        <v>1061529</v>
      </c>
      <c r="BZ858" s="113"/>
      <c r="CA858" s="116">
        <v>2003</v>
      </c>
      <c r="CB858" s="113"/>
      <c r="CC858" s="113"/>
      <c r="CD858" s="113"/>
      <c r="CE858" s="175"/>
      <c r="CF858" s="113">
        <f t="shared" si="1564"/>
        <v>45569</v>
      </c>
      <c r="CG858" s="113">
        <f t="shared" si="1565"/>
        <v>123.41529237070139</v>
      </c>
      <c r="CH858" s="178">
        <v>0.97354497354497349</v>
      </c>
      <c r="CI858" s="61">
        <f>+CI853*CH858+CG854*CH857+CG855*CH856+CG856*CH855+CG857*CH854+CG858</f>
        <v>5712.0416140477437</v>
      </c>
      <c r="CJ858" s="114">
        <f t="shared" si="1566"/>
        <v>1.6152240679916427E-2</v>
      </c>
      <c r="CK858" s="114"/>
      <c r="CL858" s="169">
        <f t="shared" si="1567"/>
        <v>5.6745896012248423E-3</v>
      </c>
      <c r="CM858" s="169">
        <f t="shared" si="1575"/>
        <v>5.4913906164123739E-3</v>
      </c>
      <c r="CN858" s="114">
        <f>VLOOKUP($H858,RoR!$E:$F,2,FALSE)</f>
        <v>5.6666666666666671E-2</v>
      </c>
      <c r="CO858" s="169">
        <v>1.8855119140166909E-2</v>
      </c>
      <c r="CP858" s="169">
        <f t="shared" si="1573"/>
        <v>3.7811547526499761E-2</v>
      </c>
      <c r="CQ858" s="169">
        <f t="shared" si="1576"/>
        <v>2.541055099212125E-2</v>
      </c>
      <c r="CR858" s="169">
        <f t="shared" si="1577"/>
        <v>2.1375012817671957E-2</v>
      </c>
      <c r="CS858" s="179">
        <f t="shared" si="1568"/>
        <v>0.85150049999999999</v>
      </c>
      <c r="CT858" s="180">
        <f t="shared" si="1569"/>
        <v>0.90497737556561086</v>
      </c>
      <c r="CU858" s="180">
        <f t="shared" si="1570"/>
        <v>0.5338235294117647</v>
      </c>
      <c r="CV858" s="180">
        <f t="shared" si="1571"/>
        <v>0.88972433127405692</v>
      </c>
      <c r="CW858" s="180">
        <f t="shared" si="1572"/>
        <v>0.42982423775949252</v>
      </c>
      <c r="CX858" s="181">
        <f>INDEX('State Tax Lookup'!$D$7:$Z$91,MATCH(Calculation!$C858,'State Tax Lookup'!$B$7:$B$91,0),MATCH($H858,'State Tax Lookup'!$D$6:$Z$6,0))</f>
        <v>0.40134999999999998</v>
      </c>
      <c r="CY858" s="72">
        <v>0.37</v>
      </c>
      <c r="CZ858" s="70">
        <f t="shared" si="1574"/>
        <v>13.314841048053427</v>
      </c>
      <c r="DA858" s="70"/>
      <c r="DB858" s="69">
        <f t="shared" ref="DB858:DB875" si="1578">LN(CZ858/CZ857)</f>
        <v>1.5118435099732184E-2</v>
      </c>
      <c r="DC858" s="111">
        <f>VLOOKUP($H858,RoR!$E:$F,2,FALSE)</f>
        <v>5.6666666666666671E-2</v>
      </c>
      <c r="DD858" s="216">
        <f>HLOOKUP($H858,'GDP-PI'!$D$8:$CQ$11,3,FALSE)</f>
        <v>1.8855119140166909E-2</v>
      </c>
      <c r="DE858" s="111">
        <f>VLOOKUP(H858,'HW Dx Data'!$E:$F,2,FALSE)</f>
        <v>369.23301095560191</v>
      </c>
      <c r="DF858" s="66"/>
      <c r="DG858" s="69"/>
      <c r="DH858" s="66">
        <f>HLOOKUP(H858,'GDP-PI'!$8:$9,2,FALSE)</f>
        <v>82.566999999999993</v>
      </c>
      <c r="DI858" s="69">
        <f t="shared" ref="DI858:DI877" si="1579">LN(DH858/DH857)</f>
        <v>1.8679564681853753E-2</v>
      </c>
      <c r="EB858"/>
    </row>
    <row r="859" spans="1:132" s="160" customFormat="1" ht="21">
      <c r="A859" s="160" t="s">
        <v>210</v>
      </c>
      <c r="B859" s="161" t="s">
        <v>211</v>
      </c>
      <c r="C859" s="161">
        <v>4057135</v>
      </c>
      <c r="D859" s="161" t="s">
        <v>192</v>
      </c>
      <c r="E859" s="161"/>
      <c r="F859" s="161"/>
      <c r="G859" s="161" t="s">
        <v>115</v>
      </c>
      <c r="H859" s="162">
        <v>2004</v>
      </c>
      <c r="I859" s="163"/>
      <c r="J859" s="159">
        <f>IFERROR(INDEX('Labor Expenditures'!$F$7:$X$91,MATCH($C859,'Labor Expenditures'!$D$7:$D$91,0),MATCH($G859,'Labor Expenditures'!$F$5:$X$5,0)),"NA")</f>
        <v>82432.621796345367</v>
      </c>
      <c r="K859" s="159">
        <f t="shared" ref="K859:K877" si="1580">+J859/DF859</f>
        <v>873.68968517589155</v>
      </c>
      <c r="L859" s="165"/>
      <c r="M859" s="76"/>
      <c r="N859" s="152"/>
      <c r="O859" s="76"/>
      <c r="P859" s="76"/>
      <c r="Q859" s="159">
        <f>IFERROR(INDEX('Non-Labor Expenditures'!$F$7:$AB$91,MATCH($C859,'Non-Labor Expenditures'!$D$7:$D$91,0),MATCH($G859,'Non-Labor Expenditures'!$F$5:$AB$5,0)),"NA")</f>
        <v>119377.83265110318</v>
      </c>
      <c r="R859" s="159">
        <f t="shared" ref="R859:R877" si="1581">+Q859/DH859</f>
        <v>1408.1227753792632</v>
      </c>
      <c r="S859" s="159"/>
      <c r="T859" s="159"/>
      <c r="U859" s="159"/>
      <c r="V859" s="159"/>
      <c r="W859" s="159">
        <f t="shared" si="1562"/>
        <v>84363.639785828651</v>
      </c>
      <c r="X859" s="163"/>
      <c r="Y859" s="167">
        <v>5810.7912466475864</v>
      </c>
      <c r="Z859" s="168">
        <v>1.7140238238524452E-2</v>
      </c>
      <c r="AA859" s="76">
        <f t="shared" ref="AA859:AA877" si="1582">+Z859*$AR859</f>
        <v>0</v>
      </c>
      <c r="AB859" s="168"/>
      <c r="AC859" s="168"/>
      <c r="AD859" s="163">
        <f t="shared" si="1526"/>
        <v>286174.0942332772</v>
      </c>
      <c r="AE859" s="168"/>
      <c r="AF859" s="163"/>
      <c r="AG859" s="163"/>
      <c r="AH859" s="163"/>
      <c r="AI859" s="163"/>
      <c r="AJ859" s="167"/>
      <c r="AK859" s="168"/>
      <c r="AL859" s="115">
        <f t="shared" ref="AL859:AL877" si="1583">+J859/AD859</f>
        <v>0.28805060785533482</v>
      </c>
      <c r="AM859" s="115">
        <f t="shared" ref="AM859:AM877" si="1584">+Q859/AD859</f>
        <v>0.41715108060686773</v>
      </c>
      <c r="AN859" s="115">
        <f t="shared" ref="AN859:AN877" si="1585">+W859/AD859</f>
        <v>0.29479831153779745</v>
      </c>
      <c r="AO859" s="115"/>
      <c r="AP859" s="115"/>
      <c r="AQ859" s="168"/>
      <c r="AR859" s="79"/>
      <c r="AS859" s="115"/>
      <c r="AT859" s="115"/>
      <c r="AU859" s="115"/>
      <c r="AV859" s="113">
        <f>IFERROR(INDEX('Total Customers'!$F$7:$AB$91,MATCH($C859,'Total Customers'!$D$7:$D$91,0),MATCH($G859,'Total Customers'!$F$5:$AB$5,0)),"NA")</f>
        <v>812705</v>
      </c>
      <c r="AW859" s="68">
        <f t="shared" si="1551"/>
        <v>-7.3861690982224872E-3</v>
      </c>
      <c r="AX859" s="114"/>
      <c r="AY859" s="114"/>
      <c r="AZ859" s="116"/>
      <c r="BA859" s="116"/>
      <c r="BB859" s="166"/>
      <c r="BC859" s="166"/>
      <c r="BD859" s="166"/>
      <c r="BE859" s="166"/>
      <c r="BF859" s="166"/>
      <c r="BG859" s="166"/>
      <c r="BH859" s="166"/>
      <c r="BI859" s="113"/>
      <c r="BJ859" s="113"/>
      <c r="BK859" s="113">
        <f>INDEX('Dist. Plant Gas Additions'!$F$7:$AE$91,MATCH($C859,'Dist. Plant Gas Additions'!$D$7:$D$91,0),MATCH(Calculation!$G859,'Dist. Plant Gas Additions'!$F$5:$AE$5,0))</f>
        <v>50016</v>
      </c>
      <c r="BL859" s="113">
        <f>INDEX('Gen. Plant Additions'!$F$7:$AE$91,MATCH($C859,'Gen. Plant Additions'!$D$7:$D$91,0),MATCH(Calculation!$G859,'Gen. Plant Additions'!$F$5:$AE$5,0))</f>
        <v>4866</v>
      </c>
      <c r="BM859" s="231">
        <f t="shared" si="1563"/>
        <v>0.92774600614482938</v>
      </c>
      <c r="BN859" s="61">
        <f t="shared" si="1556"/>
        <v>4514.4120659007394</v>
      </c>
      <c r="BO859" s="113">
        <f>INDEX('Dist Plant Depreciation'!$E$7:$AD$94,MATCH($C859,'Dist Plant Depreciation'!$D$7:$D$94,0),MATCH(Calculation!$G859,'Dist Plant Depreciation'!$E$5:$AD$5,0))</f>
        <v>612763</v>
      </c>
      <c r="BP859" s="113">
        <f>INDEX('Gen. Plant Depreciation'!$E$7:$AD$94,MATCH($C859,'Gen. Plant Depreciation'!$D$7:$D$94,0),MATCH(Calculation!$G859,'Gen. Plant Depreciation'!$E$5:$AD$5,0))</f>
        <v>80485</v>
      </c>
      <c r="BQ859" s="113"/>
      <c r="BR859" s="113"/>
      <c r="BS859" s="113"/>
      <c r="BT859" s="113"/>
      <c r="BU859" s="113"/>
      <c r="BV859" s="175"/>
      <c r="BW859" s="113">
        <f>INDEX('Gross Dx Plant'!$E$7:$AD$91,MATCH($C859,'Gross Dx Plant'!$D$7:$D$91,0),MATCH(Calculation!$G859,'Gross Dx Plant'!$E$5:$AD$5,0))</f>
        <v>1633603</v>
      </c>
      <c r="BX859" s="113">
        <f>INDEX('Gross Gen Plant'!$E$7:$AD$91,MATCH($C859,'Gross Gen Plant'!$D$7:$D$91,0),MATCH(Calculation!$G859,'Gross Gen Plant'!$E$5:$AD$5,0))</f>
        <v>127227</v>
      </c>
      <c r="BY859" s="113">
        <f t="shared" si="1532"/>
        <v>1067582</v>
      </c>
      <c r="BZ859" s="113"/>
      <c r="CA859" s="116">
        <v>2004</v>
      </c>
      <c r="CB859" s="113"/>
      <c r="CC859" s="113"/>
      <c r="CD859" s="113"/>
      <c r="CE859" s="175"/>
      <c r="CF859" s="113">
        <f t="shared" si="1564"/>
        <v>54882</v>
      </c>
      <c r="CG859" s="113">
        <f t="shared" si="1565"/>
        <v>132.28174102246339</v>
      </c>
      <c r="CH859" s="178">
        <v>0.967741935483871</v>
      </c>
      <c r="CI859" s="61">
        <f>+CI853*CH859+CG854*CH858+CG855*CH857+CG856*CH856+CG857*CH855+CG858*CH854+CG859</f>
        <v>5810.7912466475864</v>
      </c>
      <c r="CJ859" s="114">
        <f t="shared" si="1566"/>
        <v>1.7140238238524452E-2</v>
      </c>
      <c r="CK859" s="114"/>
      <c r="CL859" s="169">
        <f t="shared" si="1567"/>
        <v>5.8704243925944933E-3</v>
      </c>
      <c r="CM859" s="169">
        <f t="shared" si="1575"/>
        <v>5.7393487314137855E-3</v>
      </c>
      <c r="CN859" s="114">
        <f>VLOOKUP($H859,RoR!$E:$F,2,FALSE)</f>
        <v>5.6283333333333331E-2</v>
      </c>
      <c r="CO859" s="169">
        <v>2.6778252812867276E-2</v>
      </c>
      <c r="CP859" s="169">
        <f t="shared" si="1573"/>
        <v>2.9505080520466055E-2</v>
      </c>
      <c r="CQ859" s="169">
        <f t="shared" si="1576"/>
        <v>2.516259287711984E-2</v>
      </c>
      <c r="CR859" s="169">
        <f t="shared" si="1577"/>
        <v>5.5940039414565046E-2</v>
      </c>
      <c r="CS859" s="179">
        <f t="shared" si="1568"/>
        <v>0.85150049999999999</v>
      </c>
      <c r="CT859" s="180">
        <f t="shared" si="1569"/>
        <v>0.91114097628755619</v>
      </c>
      <c r="CU859" s="180">
        <f t="shared" si="1570"/>
        <v>0.53081877405981637</v>
      </c>
      <c r="CV859" s="180">
        <f t="shared" si="1571"/>
        <v>0.88811215519385678</v>
      </c>
      <c r="CW859" s="180">
        <f t="shared" si="1572"/>
        <v>0.42953609753547711</v>
      </c>
      <c r="CX859" s="181">
        <f>INDEX('State Tax Lookup'!$D$7:$Z$91,MATCH(Calculation!$C859,'State Tax Lookup'!$B$7:$B$91,0),MATCH($H859,'State Tax Lookup'!$D$6:$Z$6,0))</f>
        <v>0.40134999999999998</v>
      </c>
      <c r="CY859" s="72">
        <v>0.37</v>
      </c>
      <c r="CZ859" s="70">
        <f t="shared" si="1574"/>
        <v>14.769437179580656</v>
      </c>
      <c r="DA859" s="70"/>
      <c r="DB859" s="69">
        <f t="shared" si="1578"/>
        <v>0.10368070878520225</v>
      </c>
      <c r="DC859" s="111">
        <f>VLOOKUP($H859,RoR!$E:$F,2,FALSE)</f>
        <v>5.6283333333333331E-2</v>
      </c>
      <c r="DD859" s="216">
        <f>HLOOKUP($H859,'GDP-PI'!$D$8:$CQ$11,3,FALSE)</f>
        <v>2.6778252812867276E-2</v>
      </c>
      <c r="DE859" s="111">
        <f>VLOOKUP(H859,'HW Dx Data'!$E:$F,2,FALSE)</f>
        <v>414.88719135228365</v>
      </c>
      <c r="DF859" s="72">
        <f>VLOOKUP(G859,EG$8:EH$27,2,FALSE)</f>
        <v>94.35</v>
      </c>
      <c r="DG859" s="69"/>
      <c r="DH859" s="66">
        <f>HLOOKUP(H859,'GDP-PI'!$8:$9,2,FALSE)</f>
        <v>84.778000000000006</v>
      </c>
      <c r="DI859" s="69">
        <f t="shared" si="1579"/>
        <v>2.6425990216022755E-2</v>
      </c>
      <c r="EB859"/>
    </row>
    <row r="860" spans="1:132" s="160" customFormat="1" ht="21">
      <c r="A860" s="160" t="s">
        <v>210</v>
      </c>
      <c r="B860" s="161" t="s">
        <v>211</v>
      </c>
      <c r="C860" s="161">
        <v>4057135</v>
      </c>
      <c r="D860" s="161" t="s">
        <v>192</v>
      </c>
      <c r="E860" s="161"/>
      <c r="F860" s="161"/>
      <c r="G860" s="161" t="s">
        <v>116</v>
      </c>
      <c r="H860" s="162">
        <v>2005</v>
      </c>
      <c r="I860" s="163"/>
      <c r="J860" s="159">
        <f>IFERROR(INDEX('Labor Expenditures'!$F$7:$X$91,MATCH($C860,'Labor Expenditures'!$D$7:$D$91,0),MATCH($G860,'Labor Expenditures'!$F$5:$X$5,0)),"NA")</f>
        <v>102825.17628040782</v>
      </c>
      <c r="K860" s="159">
        <f t="shared" si="1580"/>
        <v>1036.2829557108373</v>
      </c>
      <c r="L860" s="165">
        <f t="shared" ref="L860:L876" si="1586">LN(K860/K859)</f>
        <v>0.1706702474773272</v>
      </c>
      <c r="M860" s="76"/>
      <c r="N860" s="62">
        <v>100</v>
      </c>
      <c r="O860" s="77"/>
      <c r="P860" s="77"/>
      <c r="Q860" s="159">
        <f>IFERROR(INDEX('Non-Labor Expenditures'!$F$7:$AB$91,MATCH($C860,'Non-Labor Expenditures'!$D$7:$D$91,0),MATCH($G860,'Non-Labor Expenditures'!$F$5:$AB$5,0)),"NA")</f>
        <v>148910.06034781874</v>
      </c>
      <c r="R860" s="159">
        <f t="shared" si="1581"/>
        <v>1703.6399870470184</v>
      </c>
      <c r="S860" s="165">
        <f>LN(R860/R859)</f>
        <v>0.19050967852116316</v>
      </c>
      <c r="T860" s="165"/>
      <c r="U860" s="165"/>
      <c r="V860" s="165"/>
      <c r="W860" s="159">
        <f t="shared" si="1562"/>
        <v>96303.87172533675</v>
      </c>
      <c r="X860" s="163"/>
      <c r="Y860" s="167">
        <v>5912.0285772556708</v>
      </c>
      <c r="Z860" s="168">
        <v>1.7272268783701143E-2</v>
      </c>
      <c r="AA860" s="76">
        <f t="shared" si="1582"/>
        <v>0</v>
      </c>
      <c r="AB860" s="168"/>
      <c r="AC860" s="168"/>
      <c r="AD860" s="163">
        <f t="shared" si="1526"/>
        <v>348039.10835356329</v>
      </c>
      <c r="AE860" s="168">
        <f>LN(AD860/AD859)</f>
        <v>0.19571450706691723</v>
      </c>
      <c r="AF860" s="163"/>
      <c r="AG860" s="163"/>
      <c r="AH860" s="163"/>
      <c r="AI860" s="163"/>
      <c r="AJ860" s="116"/>
      <c r="AK860" s="114"/>
      <c r="AL860" s="115">
        <f t="shared" si="1583"/>
        <v>0.29544144267819056</v>
      </c>
      <c r="AM860" s="115">
        <f t="shared" si="1584"/>
        <v>0.42785438984789359</v>
      </c>
      <c r="AN860" s="115">
        <f t="shared" si="1585"/>
        <v>0.27670416747391591</v>
      </c>
      <c r="AO860" s="115">
        <f t="shared" ref="AO860:AO876" si="1587">+(((AL860+AL859)/2)*L860+((AM859+AM860)/2)*S860+((AN859+AN860)/2)*Z860)</f>
        <v>0.13521879880930626</v>
      </c>
      <c r="AP860" s="166">
        <v>100</v>
      </c>
      <c r="AQ860" s="168"/>
      <c r="AR860" s="16"/>
      <c r="AS860" s="115"/>
      <c r="AT860" s="115"/>
      <c r="AU860" s="115"/>
      <c r="AV860" s="113">
        <f>IFERROR(INDEX('Total Customers'!$F$7:$AB$91,MATCH($C860,'Total Customers'!$D$7:$D$91,0),MATCH($G860,'Total Customers'!$F$5:$AB$5,0)),"NA")</f>
        <v>816428</v>
      </c>
      <c r="AW860" s="68">
        <f t="shared" si="1551"/>
        <v>4.5705371888745475E-3</v>
      </c>
      <c r="AX860" s="114"/>
      <c r="AY860" s="114"/>
      <c r="AZ860" s="116"/>
      <c r="BA860" s="116"/>
      <c r="BB860" s="166"/>
      <c r="BC860" s="166"/>
      <c r="BD860" s="166"/>
      <c r="BE860" s="166"/>
      <c r="BF860" s="166"/>
      <c r="BG860" s="166"/>
      <c r="BH860" s="166"/>
      <c r="BI860" s="113"/>
      <c r="BJ860" s="113"/>
      <c r="BK860" s="113">
        <f>INDEX('Dist. Plant Gas Additions'!$F$7:$AE$91,MATCH($C860,'Dist. Plant Gas Additions'!$D$7:$D$91,0),MATCH(Calculation!$G860,'Dist. Plant Gas Additions'!$F$5:$AE$5,0))</f>
        <v>54795</v>
      </c>
      <c r="BL860" s="113">
        <f>INDEX('Gen. Plant Additions'!$F$7:$AE$91,MATCH($C860,'Gen. Plant Additions'!$D$7:$D$91,0),MATCH(Calculation!$G860,'Gen. Plant Additions'!$F$5:$AE$5,0))</f>
        <v>9261</v>
      </c>
      <c r="BM860" s="231">
        <f t="shared" si="1563"/>
        <v>0.94807327958472187</v>
      </c>
      <c r="BN860" s="61">
        <f t="shared" si="1556"/>
        <v>8780.10664223411</v>
      </c>
      <c r="BO860" s="113">
        <f>INDEX('Dist Plant Depreciation'!$E$7:$AD$94,MATCH($C860,'Dist Plant Depreciation'!$D$7:$D$94,0),MATCH(Calculation!$G860,'Dist Plant Depreciation'!$E$5:$AD$5,0))</f>
        <v>635733</v>
      </c>
      <c r="BP860" s="113">
        <f>INDEX('Gen. Plant Depreciation'!$E$7:$AD$94,MATCH($C860,'Gen. Plant Depreciation'!$D$7:$D$94,0),MATCH(Calculation!$G860,'Gen. Plant Depreciation'!$E$5:$AD$5,0))</f>
        <v>46634</v>
      </c>
      <c r="BQ860" s="113"/>
      <c r="BR860" s="113"/>
      <c r="BS860" s="113"/>
      <c r="BT860" s="113"/>
      <c r="BU860" s="113"/>
      <c r="BV860" s="175"/>
      <c r="BW860" s="113">
        <f>INDEX('Gross Dx Plant'!$E$7:$AD$91,MATCH($C860,'Gross Dx Plant'!$D$7:$D$91,0),MATCH(Calculation!$G860,'Gross Dx Plant'!$E$5:$AD$5,0))</f>
        <v>1677354</v>
      </c>
      <c r="BX860" s="113">
        <f>INDEX('Gross Gen Plant'!$E$7:$AD$91,MATCH($C860,'Gross Gen Plant'!$D$7:$D$91,0),MATCH(Calculation!$G860,'Gross Gen Plant'!$E$5:$AD$5,0))</f>
        <v>91870</v>
      </c>
      <c r="BY860" s="113">
        <f t="shared" si="1532"/>
        <v>1086857</v>
      </c>
      <c r="BZ860" s="113"/>
      <c r="CA860" s="116">
        <v>2005</v>
      </c>
      <c r="CB860" s="113"/>
      <c r="CC860" s="113"/>
      <c r="CD860" s="113"/>
      <c r="CE860" s="175"/>
      <c r="CF860" s="113">
        <f t="shared" si="1564"/>
        <v>64056</v>
      </c>
      <c r="CG860" s="113">
        <f t="shared" si="1565"/>
        <v>136.52024347453852</v>
      </c>
      <c r="CH860" s="178">
        <v>0.96174863387978138</v>
      </c>
      <c r="CI860" s="61">
        <f>+CI853*CH860+CG854*CH859+CG855*CH858+CG856*CH857+CG857*CH856+CG858*CH855+CG859*CH854+CG860</f>
        <v>5912.0285772556708</v>
      </c>
      <c r="CJ860" s="114">
        <f t="shared" si="1566"/>
        <v>1.7272268783701143E-2</v>
      </c>
      <c r="CK860" s="114"/>
      <c r="CL860" s="169">
        <f t="shared" si="1567"/>
        <v>6.0719635878865551E-3</v>
      </c>
      <c r="CM860" s="169">
        <f t="shared" si="1575"/>
        <v>5.8723258605686305E-3</v>
      </c>
      <c r="CN860" s="114">
        <f>VLOOKUP($H860,RoR!$E:$F,2,FALSE)</f>
        <v>5.2350000000000001E-2</v>
      </c>
      <c r="CO860" s="169">
        <v>3.1010403642454332E-2</v>
      </c>
      <c r="CP860" s="169">
        <f t="shared" si="1573"/>
        <v>2.1339596357545669E-2</v>
      </c>
      <c r="CQ860" s="169">
        <f t="shared" si="1576"/>
        <v>2.5029615747964994E-2</v>
      </c>
      <c r="CR860" s="169">
        <f t="shared" si="1577"/>
        <v>9.2129610649277341E-2</v>
      </c>
      <c r="CS860" s="179">
        <f t="shared" si="1568"/>
        <v>0.85150049999999999</v>
      </c>
      <c r="CT860" s="180">
        <f t="shared" si="1569"/>
        <v>0.97959983346802826</v>
      </c>
      <c r="CU860" s="180">
        <f t="shared" si="1570"/>
        <v>0.49744508118433622</v>
      </c>
      <c r="CV860" s="180">
        <f t="shared" si="1571"/>
        <v>0.87010519444335932</v>
      </c>
      <c r="CW860" s="180">
        <f t="shared" si="1572"/>
        <v>0.42399975420741998</v>
      </c>
      <c r="CX860" s="181">
        <f>INDEX('State Tax Lookup'!$D$7:$Z$91,MATCH(Calculation!$C860,'State Tax Lookup'!$B$7:$B$91,0),MATCH($H860,'State Tax Lookup'!$D$6:$Z$6,0))</f>
        <v>0.40134999999999998</v>
      </c>
      <c r="CY860" s="72">
        <v>0.37</v>
      </c>
      <c r="CZ860" s="70">
        <f t="shared" si="1574"/>
        <v>16.573280236301251</v>
      </c>
      <c r="DA860" s="70"/>
      <c r="DB860" s="69">
        <f t="shared" si="1578"/>
        <v>0.1152317840369117</v>
      </c>
      <c r="DC860" s="111">
        <f>VLOOKUP($H860,RoR!$E:$F,2,FALSE)</f>
        <v>5.2350000000000001E-2</v>
      </c>
      <c r="DD860" s="216">
        <f>HLOOKUP($H860,'GDP-PI'!$D$8:$CQ$11,3,FALSE)</f>
        <v>3.1010403642454332E-2</v>
      </c>
      <c r="DE860" s="111">
        <f>VLOOKUP(H860,'HW Dx Data'!$E:$F,2,FALSE)</f>
        <v>469.20514034936258</v>
      </c>
      <c r="DF860" s="72">
        <f t="shared" ref="DF860:DF878" si="1588">VLOOKUP(G860,EG$8:EH$27,2,FALSE)</f>
        <v>99.224999999999994</v>
      </c>
      <c r="DG860" s="69">
        <f t="shared" ref="DG860:DG878" si="1589">LN(DF860/DF859)</f>
        <v>5.0378726854569796E-2</v>
      </c>
      <c r="DH860" s="66">
        <f>HLOOKUP(H860,'GDP-PI'!$8:$9,2,FALSE)</f>
        <v>87.406999999999996</v>
      </c>
      <c r="DI860" s="69">
        <f t="shared" si="1579"/>
        <v>3.0539295810733648E-2</v>
      </c>
      <c r="EB860"/>
    </row>
    <row r="861" spans="1:132" s="160" customFormat="1" ht="21">
      <c r="A861" s="160" t="s">
        <v>210</v>
      </c>
      <c r="B861" s="161" t="s">
        <v>211</v>
      </c>
      <c r="C861" s="161">
        <v>4057135</v>
      </c>
      <c r="D861" s="161" t="s">
        <v>192</v>
      </c>
      <c r="E861" s="161"/>
      <c r="F861" s="161"/>
      <c r="G861" s="161" t="s">
        <v>117</v>
      </c>
      <c r="H861" s="162">
        <v>2006</v>
      </c>
      <c r="I861" s="163"/>
      <c r="J861" s="159">
        <f>IFERROR(INDEX('Labor Expenditures'!$F$7:$X$91,MATCH($C861,'Labor Expenditures'!$D$7:$D$91,0),MATCH($G861,'Labor Expenditures'!$F$5:$X$5,0)),"NA")</f>
        <v>93063.124150521369</v>
      </c>
      <c r="K861" s="159">
        <f t="shared" si="1580"/>
        <v>850.66841088227943</v>
      </c>
      <c r="L861" s="165">
        <f t="shared" si="1586"/>
        <v>-0.19737310259639443</v>
      </c>
      <c r="M861" s="76">
        <f t="shared" ref="M861:M877" si="1590">+L861*$AR861</f>
        <v>-8.0201604796833019E-3</v>
      </c>
      <c r="N861" s="62">
        <f>+N860*EXP(O861)</f>
        <v>111.47329772013563</v>
      </c>
      <c r="O861" s="96">
        <f t="shared" ref="O861:O877" si="1591">+M861+M886+M911+M936+M961+M986+M1011+M1036+M1061+M1086+M1111+M1136+M1161+M1186+M1211+M1236+M1261+M1286+M1311+M1336+M1361+M1386+M1411+M1436+M1461+M1486+M1511+M1536+M1561+M1586+M1611+M1636+M1661+M1686+M1711+M1736+M1761+M1786+M1811+M1836+M1861+M1886+M1911+M1936+M1961+M1986+M2011+M2036+M2061+M2086+M2111+M2136+M2161+M2186</f>
        <v>0.10861489390098764</v>
      </c>
      <c r="P861" s="96"/>
      <c r="Q861" s="159">
        <f>IFERROR(INDEX('Non-Labor Expenditures'!$F$7:$AB$91,MATCH($C861,'Non-Labor Expenditures'!$D$7:$D$91,0),MATCH($G861,'Non-Labor Expenditures'!$F$5:$AB$5,0)),"NA")</f>
        <v>134772.78556391038</v>
      </c>
      <c r="R861" s="159">
        <f t="shared" si="1581"/>
        <v>1496.2451491430422</v>
      </c>
      <c r="S861" s="165">
        <f t="shared" ref="S861:S876" si="1592">LN(R861/R860)</f>
        <v>-0.1298083950030966</v>
      </c>
      <c r="T861" s="165">
        <f t="shared" ref="T861:T877" si="1593">+S861*AR861</f>
        <v>-5.2747012933360713E-3</v>
      </c>
      <c r="U861" s="165"/>
      <c r="V861" s="165"/>
      <c r="W861" s="159">
        <f t="shared" si="1562"/>
        <v>95599.636845193876</v>
      </c>
      <c r="X861" s="163"/>
      <c r="Y861" s="167">
        <v>6052.5671523009296</v>
      </c>
      <c r="Z861" s="168">
        <v>2.3493487332227503E-2</v>
      </c>
      <c r="AA861" s="76">
        <f t="shared" si="1582"/>
        <v>9.5464648502370639E-4</v>
      </c>
      <c r="AB861" s="168"/>
      <c r="AC861" s="168"/>
      <c r="AD861" s="163">
        <f t="shared" si="1526"/>
        <v>323435.5465596256</v>
      </c>
      <c r="AE861" s="168">
        <f t="shared" ref="AE861:AE877" si="1594">LN(AD861/AD860)</f>
        <v>-7.3314997533473453E-2</v>
      </c>
      <c r="AF861" s="163"/>
      <c r="AG861" s="163"/>
      <c r="AH861" s="163"/>
      <c r="AI861" s="163"/>
      <c r="AJ861" s="116">
        <f t="shared" ref="AJ861:AJ877" si="1595">+(AD861*1000)/AV861</f>
        <v>395.39217830499507</v>
      </c>
      <c r="AK861" s="114">
        <f>+AV861/$AX$11</f>
        <v>2.3586442423440844E-2</v>
      </c>
      <c r="AL861" s="115">
        <f t="shared" si="1583"/>
        <v>0.28773313613927437</v>
      </c>
      <c r="AM861" s="115">
        <f t="shared" si="1584"/>
        <v>0.41669132226647487</v>
      </c>
      <c r="AN861" s="115">
        <f t="shared" si="1585"/>
        <v>0.29557554159425087</v>
      </c>
      <c r="AO861" s="115">
        <f t="shared" si="1587"/>
        <v>-0.10564362663868912</v>
      </c>
      <c r="AP861" s="166">
        <f>+AP860*EXP(AO861)</f>
        <v>89.974523618214235</v>
      </c>
      <c r="AQ861" s="168">
        <f>LN(AP861/AP860)</f>
        <v>-0.10564362663868911</v>
      </c>
      <c r="AR861" s="69">
        <f>+AD861/$AF$11</f>
        <v>4.0634515920254945E-2</v>
      </c>
      <c r="AS861" s="169">
        <f>+AR861*AQ861</f>
        <v>-4.2927776285232823E-3</v>
      </c>
      <c r="AT861" s="115"/>
      <c r="AU861" s="115"/>
      <c r="AV861" s="113">
        <f>IFERROR(INDEX('Total Customers'!$F$7:$AB$91,MATCH($C861,'Total Customers'!$D$7:$D$91,0),MATCH($G861,'Total Customers'!$F$5:$AB$5,0)),"NA")</f>
        <v>818012</v>
      </c>
      <c r="AW861" s="68">
        <f t="shared" si="1551"/>
        <v>1.9382791609532236E-3</v>
      </c>
      <c r="AX861" s="114"/>
      <c r="AY861" s="114"/>
      <c r="AZ861" s="116"/>
      <c r="BA861" s="116"/>
      <c r="BB861" s="166"/>
      <c r="BC861" s="166"/>
      <c r="BD861" s="166"/>
      <c r="BE861" s="166"/>
      <c r="BF861" s="166"/>
      <c r="BG861" s="166"/>
      <c r="BH861" s="166"/>
      <c r="BI861" s="113"/>
      <c r="BJ861" s="113"/>
      <c r="BK861" s="113">
        <f>INDEX('Dist. Plant Gas Additions'!$F$7:$AE$91,MATCH($C861,'Dist. Plant Gas Additions'!$D$7:$D$91,0),MATCH(Calculation!$G861,'Dist. Plant Gas Additions'!$F$5:$AE$5,0))</f>
        <v>70211</v>
      </c>
      <c r="BL861" s="113">
        <f>INDEX('Gen. Plant Additions'!$F$7:$AE$91,MATCH($C861,'Gen. Plant Additions'!$D$7:$D$91,0),MATCH(Calculation!$G861,'Gen. Plant Additions'!$F$5:$AE$5,0))</f>
        <v>11709</v>
      </c>
      <c r="BM861" s="231">
        <f t="shared" si="1563"/>
        <v>0.94838416085731836</v>
      </c>
      <c r="BN861" s="61">
        <f t="shared" si="1556"/>
        <v>11104.63013947834</v>
      </c>
      <c r="BO861" s="113">
        <f>INDEX('Dist Plant Depreciation'!$E$7:$AD$94,MATCH($C861,'Dist Plant Depreciation'!$D$7:$D$94,0),MATCH(Calculation!$G861,'Dist Plant Depreciation'!$E$5:$AD$5,0))</f>
        <v>666881</v>
      </c>
      <c r="BP861" s="113">
        <f>INDEX('Gen. Plant Depreciation'!$E$7:$AD$94,MATCH($C861,'Gen. Plant Depreciation'!$D$7:$D$94,0),MATCH(Calculation!$G861,'Gen. Plant Depreciation'!$E$5:$AD$5,0))</f>
        <v>47197</v>
      </c>
      <c r="BQ861" s="113"/>
      <c r="BR861" s="113"/>
      <c r="BS861" s="113"/>
      <c r="BT861" s="113"/>
      <c r="BU861" s="113"/>
      <c r="BV861" s="175"/>
      <c r="BW861" s="113">
        <f>INDEX('Gross Dx Plant'!$E$7:$AD$91,MATCH($C861,'Gross Dx Plant'!$D$7:$D$91,0),MATCH(Calculation!$G861,'Gross Dx Plant'!$E$5:$AD$5,0))</f>
        <v>1756857</v>
      </c>
      <c r="BX861" s="113">
        <f>INDEX('Gross Gen Plant'!$E$7:$AD$91,MATCH($C861,'Gross Gen Plant'!$D$7:$D$91,0),MATCH(Calculation!$G861,'Gross Gen Plant'!$E$5:$AD$5,0))</f>
        <v>95617</v>
      </c>
      <c r="BY861" s="113">
        <f t="shared" si="1532"/>
        <v>1138396</v>
      </c>
      <c r="BZ861" s="114"/>
      <c r="CA861" s="116">
        <v>2006</v>
      </c>
      <c r="CB861" s="113"/>
      <c r="CC861" s="113"/>
      <c r="CD861" s="113"/>
      <c r="CE861" s="175"/>
      <c r="CF861" s="113">
        <f t="shared" si="1564"/>
        <v>81920</v>
      </c>
      <c r="CG861" s="113">
        <f t="shared" si="1565"/>
        <v>177.66763281760075</v>
      </c>
      <c r="CH861" s="178">
        <v>0.9555555555555556</v>
      </c>
      <c r="CI861" s="61">
        <f>+CI853*CH861+CG854*CH860+CG855*CH859+CG856*CH858+CG857*CH857+CG858*CH856+CG859*CH855+CG860*CH854+CG861</f>
        <v>6052.5671523009296</v>
      </c>
      <c r="CJ861" s="114">
        <f t="shared" si="1566"/>
        <v>2.3493487332227503E-2</v>
      </c>
      <c r="CK861" s="114"/>
      <c r="CL861" s="169">
        <f t="shared" si="1567"/>
        <v>6.2802568166165857E-3</v>
      </c>
      <c r="CM861" s="169">
        <f t="shared" si="1575"/>
        <v>6.0742149323658777E-3</v>
      </c>
      <c r="CN861" s="114">
        <f>VLOOKUP($H861,RoR!$E:$F,2,FALSE)</f>
        <v>5.5874999999999994E-2</v>
      </c>
      <c r="CO861" s="169">
        <v>3.0512430354548314E-2</v>
      </c>
      <c r="CP861" s="169">
        <f t="shared" si="1573"/>
        <v>2.536256964545168E-2</v>
      </c>
      <c r="CQ861" s="169">
        <f t="shared" si="1576"/>
        <v>2.4827726676167748E-2</v>
      </c>
      <c r="CR861" s="169">
        <f t="shared" si="1577"/>
        <v>7.9087823893859641E-2</v>
      </c>
      <c r="CS861" s="179">
        <f t="shared" si="1568"/>
        <v>0.85150049999999999</v>
      </c>
      <c r="CT861" s="180">
        <f t="shared" si="1569"/>
        <v>0.91779957551769631</v>
      </c>
      <c r="CU861" s="180">
        <f t="shared" si="1570"/>
        <v>0.52757270693512304</v>
      </c>
      <c r="CV861" s="180">
        <f t="shared" si="1571"/>
        <v>0.88636824549024895</v>
      </c>
      <c r="CW861" s="180">
        <f t="shared" si="1572"/>
        <v>0.42918482841932087</v>
      </c>
      <c r="CX861" s="181">
        <f>INDEX('State Tax Lookup'!$D$7:$Z$91,MATCH(Calculation!$C861,'State Tax Lookup'!$B$7:$B$91,0),MATCH($H861,'State Tax Lookup'!$D$6:$Z$6,0))</f>
        <v>0.40134999999999998</v>
      </c>
      <c r="CY861" s="72">
        <v>0.37</v>
      </c>
      <c r="CZ861" s="70">
        <f t="shared" si="1574"/>
        <v>16.170361086037015</v>
      </c>
      <c r="DA861" s="70">
        <v>14.788696346247992</v>
      </c>
      <c r="DB861" s="69">
        <f t="shared" si="1578"/>
        <v>-2.4611770252045813E-2</v>
      </c>
      <c r="DC861" s="111">
        <f>VLOOKUP($H861,RoR!$E:$F,2,FALSE)</f>
        <v>5.5874999999999994E-2</v>
      </c>
      <c r="DD861" s="216">
        <f>HLOOKUP($H861,'GDP-PI'!$D$8:$CQ$11,3,FALSE)</f>
        <v>3.0512430354548314E-2</v>
      </c>
      <c r="DE861" s="111">
        <f>VLOOKUP(H861,'HW Dx Data'!$E:$F,2,FALSE)</f>
        <v>461.08567272971823</v>
      </c>
      <c r="DF861" s="72">
        <f t="shared" si="1588"/>
        <v>109.4</v>
      </c>
      <c r="DG861" s="69">
        <f t="shared" si="1589"/>
        <v>9.7620891318751846E-2</v>
      </c>
      <c r="DH861" s="66">
        <f>HLOOKUP(H861,'GDP-PI'!$8:$9,2,FALSE)</f>
        <v>90.073999999999998</v>
      </c>
      <c r="DI861" s="69">
        <f t="shared" si="1579"/>
        <v>3.005618372545445E-2</v>
      </c>
      <c r="EB861"/>
    </row>
    <row r="862" spans="1:132" s="160" customFormat="1" ht="21">
      <c r="A862" s="160" t="s">
        <v>210</v>
      </c>
      <c r="B862" s="161" t="s">
        <v>211</v>
      </c>
      <c r="C862" s="161">
        <v>4057135</v>
      </c>
      <c r="D862" s="161" t="s">
        <v>192</v>
      </c>
      <c r="E862" s="161"/>
      <c r="F862" s="161"/>
      <c r="G862" s="161" t="s">
        <v>118</v>
      </c>
      <c r="H862" s="162">
        <v>2007</v>
      </c>
      <c r="I862" s="163"/>
      <c r="J862" s="159">
        <f>IFERROR(INDEX('Labor Expenditures'!$F$7:$X$91,MATCH($C862,'Labor Expenditures'!$D$7:$D$91,0),MATCH($G862,'Labor Expenditures'!$F$5:$X$5,0)),"NA")</f>
        <v>111088.57815179335</v>
      </c>
      <c r="K862" s="159">
        <f t="shared" si="1580"/>
        <v>1062.7943377354065</v>
      </c>
      <c r="L862" s="165">
        <f t="shared" si="1586"/>
        <v>0.22263447998087665</v>
      </c>
      <c r="M862" s="76">
        <f t="shared" si="1590"/>
        <v>9.9822399273238552E-3</v>
      </c>
      <c r="N862" s="62">
        <f t="shared" ref="N862:N875" si="1596">+N861*EXP(O862)</f>
        <v>119.84333027329235</v>
      </c>
      <c r="O862" s="96">
        <f t="shared" si="1591"/>
        <v>7.2400228823590179E-2</v>
      </c>
      <c r="P862" s="96"/>
      <c r="Q862" s="159">
        <f>IFERROR(INDEX('Non-Labor Expenditures'!$F$7:$AB$91,MATCH($C862,'Non-Labor Expenditures'!$D$7:$D$91,0),MATCH($G862,'Non-Labor Expenditures'!$F$5:$AB$5,0)),"NA")</f>
        <v>160877.00964816008</v>
      </c>
      <c r="R862" s="159">
        <f t="shared" si="1581"/>
        <v>1739.24852048866</v>
      </c>
      <c r="S862" s="165">
        <f t="shared" si="1592"/>
        <v>0.15049439928558636</v>
      </c>
      <c r="T862" s="165">
        <f t="shared" si="1593"/>
        <v>6.7477023393511977E-3</v>
      </c>
      <c r="U862" s="165"/>
      <c r="V862" s="165"/>
      <c r="W862" s="159">
        <f t="shared" si="1562"/>
        <v>105011.6940338679</v>
      </c>
      <c r="X862" s="163"/>
      <c r="Y862" s="167">
        <v>6190.2616805407297</v>
      </c>
      <c r="Z862" s="168">
        <v>2.2494855789117103E-2</v>
      </c>
      <c r="AA862" s="76">
        <f t="shared" si="1582"/>
        <v>1.0085996007303303E-3</v>
      </c>
      <c r="AB862" s="168"/>
      <c r="AC862" s="168"/>
      <c r="AD862" s="163">
        <f t="shared" si="1526"/>
        <v>376977.28183382133</v>
      </c>
      <c r="AE862" s="168">
        <f t="shared" si="1594"/>
        <v>0.15318506899140247</v>
      </c>
      <c r="AF862" s="163"/>
      <c r="AG862" s="163"/>
      <c r="AH862" s="163"/>
      <c r="AI862" s="163"/>
      <c r="AJ862" s="116">
        <f t="shared" si="1595"/>
        <v>454.08883070960331</v>
      </c>
      <c r="AK862" s="114">
        <f>+AV862/$AX$12</f>
        <v>2.3757181699497681E-2</v>
      </c>
      <c r="AL862" s="115">
        <f t="shared" si="1583"/>
        <v>0.29468242120957117</v>
      </c>
      <c r="AM862" s="115">
        <f t="shared" si="1584"/>
        <v>0.42675518499567749</v>
      </c>
      <c r="AN862" s="115">
        <f t="shared" si="1585"/>
        <v>0.27856239379475134</v>
      </c>
      <c r="AO862" s="115">
        <f t="shared" si="1587"/>
        <v>0.13475745512135667</v>
      </c>
      <c r="AP862" s="166">
        <f>+AP861*EXP(AO862)</f>
        <v>102.95417789840816</v>
      </c>
      <c r="AQ862" s="168">
        <f>LN(AP862/AP861)</f>
        <v>0.13475745512135676</v>
      </c>
      <c r="AR862" s="69">
        <f>+AD862/$AF$12</f>
        <v>4.4836900053312888E-2</v>
      </c>
      <c r="AS862" s="169">
        <f t="shared" ref="AS862:AS876" si="1597">+AR862*AQ862</f>
        <v>6.0421065467150701E-3</v>
      </c>
      <c r="AT862" s="115"/>
      <c r="AU862" s="115"/>
      <c r="AV862" s="113">
        <f>IFERROR(INDEX('Total Customers'!$F$7:$AB$91,MATCH($C862,'Total Customers'!$D$7:$D$91,0),MATCH($G862,'Total Customers'!$F$5:$AB$5,0)),"NA")</f>
        <v>830184</v>
      </c>
      <c r="AW862" s="68">
        <f t="shared" si="1551"/>
        <v>1.47703565469606E-2</v>
      </c>
      <c r="AX862" s="114"/>
      <c r="AY862" s="114"/>
      <c r="AZ862" s="116"/>
      <c r="BA862" s="116"/>
      <c r="BB862" s="166"/>
      <c r="BC862" s="166"/>
      <c r="BD862" s="166"/>
      <c r="BE862" s="166"/>
      <c r="BF862" s="166"/>
      <c r="BG862" s="166"/>
      <c r="BH862" s="166"/>
      <c r="BI862" s="113"/>
      <c r="BJ862" s="113"/>
      <c r="BK862" s="113">
        <f>INDEX('Dist. Plant Gas Additions'!$F$7:$AE$91,MATCH($C862,'Dist. Plant Gas Additions'!$D$7:$D$91,0),MATCH(Calculation!$G862,'Dist. Plant Gas Additions'!$F$5:$AE$5,0))</f>
        <v>78853</v>
      </c>
      <c r="BL862" s="113">
        <f>INDEX('Gen. Plant Additions'!$F$7:$AE$91,MATCH($C862,'Gen. Plant Additions'!$D$7:$D$91,0),MATCH(Calculation!$G862,'Gen. Plant Additions'!$F$5:$AE$5,0))</f>
        <v>9274</v>
      </c>
      <c r="BM862" s="231">
        <f t="shared" si="1563"/>
        <v>0.95231023875093979</v>
      </c>
      <c r="BN862" s="61">
        <f t="shared" si="1556"/>
        <v>8831.7251541762162</v>
      </c>
      <c r="BO862" s="113">
        <f>INDEX('Dist Plant Depreciation'!$E$7:$AD$94,MATCH($C862,'Dist Plant Depreciation'!$D$7:$D$94,0),MATCH(Calculation!$G862,'Dist Plant Depreciation'!$E$5:$AD$5,0))</f>
        <v>682590</v>
      </c>
      <c r="BP862" s="113">
        <f>INDEX('Gen. Plant Depreciation'!$E$7:$AD$94,MATCH($C862,'Gen. Plant Depreciation'!$D$7:$D$94,0),MATCH(Calculation!$G862,'Gen. Plant Depreciation'!$E$5:$AD$5,0))</f>
        <v>46375</v>
      </c>
      <c r="BQ862" s="113"/>
      <c r="BR862" s="113"/>
      <c r="BS862" s="113"/>
      <c r="BT862" s="113"/>
      <c r="BU862" s="113"/>
      <c r="BV862" s="175"/>
      <c r="BW862" s="113">
        <f>INDEX('Gross Dx Plant'!$E$7:$AD$91,MATCH($C862,'Gross Dx Plant'!$D$7:$D$91,0),MATCH(Calculation!$G862,'Gross Dx Plant'!$E$5:$AD$5,0))</f>
        <v>1891171</v>
      </c>
      <c r="BX862" s="113">
        <f>INDEX('Gross Gen Plant'!$E$7:$AD$91,MATCH($C862,'Gross Gen Plant'!$D$7:$D$91,0),MATCH(Calculation!$G862,'Gross Gen Plant'!$E$5:$AD$5,0))</f>
        <v>94706</v>
      </c>
      <c r="BY862" s="113">
        <f t="shared" si="1532"/>
        <v>1256912</v>
      </c>
      <c r="BZ862" s="113"/>
      <c r="CA862" s="116">
        <v>2007</v>
      </c>
      <c r="CB862" s="113"/>
      <c r="CC862" s="113"/>
      <c r="CD862" s="113"/>
      <c r="CE862" s="175"/>
      <c r="CF862" s="113">
        <f t="shared" si="1564"/>
        <v>88127</v>
      </c>
      <c r="CG862" s="113">
        <f t="shared" si="1565"/>
        <v>176.9539180499298</v>
      </c>
      <c r="CH862" s="178">
        <v>0.94915254237288138</v>
      </c>
      <c r="CI862" s="61">
        <f>+CI853*CH862+CG854*CH861+CG855*CH860+CG856*CH859+CG857*CH858+CG858*CH857+CG859*CH856+CG860*CH855+CG861*CH854+CG862</f>
        <v>6190.2616805407297</v>
      </c>
      <c r="CJ862" s="114">
        <f t="shared" si="1566"/>
        <v>2.2494855789117103E-2</v>
      </c>
      <c r="CK862" s="114"/>
      <c r="CL862" s="169">
        <f t="shared" si="1567"/>
        <v>6.486403012514276E-3</v>
      </c>
      <c r="CM862" s="169">
        <f t="shared" si="1575"/>
        <v>6.2795411390058056E-3</v>
      </c>
      <c r="CN862" s="114">
        <f>VLOOKUP($H862,RoR!$E:$F,2,FALSE)</f>
        <v>5.5558333333333321E-2</v>
      </c>
      <c r="CO862" s="169">
        <v>2.691120634145272E-2</v>
      </c>
      <c r="CP862" s="169">
        <f t="shared" si="1573"/>
        <v>2.86471269918806E-2</v>
      </c>
      <c r="CQ862" s="169">
        <f t="shared" si="1576"/>
        <v>2.4622400469527819E-2</v>
      </c>
      <c r="CR862" s="169">
        <f t="shared" si="1577"/>
        <v>6.4575155250632399E-2</v>
      </c>
      <c r="CS862" s="179">
        <f t="shared" si="1568"/>
        <v>0.85150049999999999</v>
      </c>
      <c r="CT862" s="180">
        <f t="shared" si="1569"/>
        <v>0.92303077153834634</v>
      </c>
      <c r="CU862" s="180">
        <f t="shared" si="1570"/>
        <v>0.52502249887505614</v>
      </c>
      <c r="CV862" s="180">
        <f t="shared" si="1571"/>
        <v>0.88499666072084604</v>
      </c>
      <c r="CW862" s="180">
        <f t="shared" si="1572"/>
        <v>0.42887993290280618</v>
      </c>
      <c r="CX862" s="181">
        <f>INDEX('State Tax Lookup'!$D$7:$Z$91,MATCH(Calculation!$C862,'State Tax Lookup'!$B$7:$B$91,0),MATCH($H862,'State Tax Lookup'!$D$6:$Z$6,0))</f>
        <v>0.40134999999999998</v>
      </c>
      <c r="CY862" s="72">
        <v>0.37</v>
      </c>
      <c r="CZ862" s="70">
        <f t="shared" si="1574"/>
        <v>17.349942824499998</v>
      </c>
      <c r="DA862" s="70">
        <v>16.108943221861779</v>
      </c>
      <c r="DB862" s="69">
        <f t="shared" si="1578"/>
        <v>7.0409207015345768E-2</v>
      </c>
      <c r="DC862" s="111">
        <f>VLOOKUP($H862,RoR!$E:$F,2,FALSE)</f>
        <v>5.5558333333333321E-2</v>
      </c>
      <c r="DD862" s="216">
        <f>HLOOKUP($H862,'GDP-PI'!$D$8:$CQ$11,3,FALSE)</f>
        <v>2.691120634145272E-2</v>
      </c>
      <c r="DE862" s="111">
        <f>VLOOKUP(H862,'HW Dx Data'!$E:$F,2,FALSE)</f>
        <v>498.0223154772637</v>
      </c>
      <c r="DF862" s="72">
        <f t="shared" si="1588"/>
        <v>104.52499999999999</v>
      </c>
      <c r="DG862" s="69">
        <f t="shared" si="1589"/>
        <v>-4.5584612745252218E-2</v>
      </c>
      <c r="DH862" s="66">
        <f>HLOOKUP(H862,'GDP-PI'!$8:$9,2,FALSE)</f>
        <v>92.498000000000005</v>
      </c>
      <c r="DI862" s="69">
        <f t="shared" si="1579"/>
        <v>2.6555467950038037E-2</v>
      </c>
      <c r="EB862"/>
    </row>
    <row r="863" spans="1:132" s="160" customFormat="1" ht="21">
      <c r="A863" s="160" t="s">
        <v>210</v>
      </c>
      <c r="B863" s="161" t="s">
        <v>211</v>
      </c>
      <c r="C863" s="161">
        <v>4057135</v>
      </c>
      <c r="D863" s="161" t="s">
        <v>192</v>
      </c>
      <c r="E863" s="161"/>
      <c r="F863" s="161"/>
      <c r="G863" s="161" t="s">
        <v>120</v>
      </c>
      <c r="H863" s="162">
        <v>2008</v>
      </c>
      <c r="I863" s="163"/>
      <c r="J863" s="159">
        <f>IFERROR(INDEX('Labor Expenditures'!$F$7:$X$91,MATCH($C863,'Labor Expenditures'!$D$7:$D$91,0),MATCH($G863,'Labor Expenditures'!$F$5:$X$5,0)),"NA")</f>
        <v>106917.00431375243</v>
      </c>
      <c r="K863" s="159">
        <f t="shared" si="1580"/>
        <v>990.88975267611147</v>
      </c>
      <c r="L863" s="165">
        <f t="shared" si="1586"/>
        <v>-7.0053606605077548E-2</v>
      </c>
      <c r="M863" s="76">
        <f t="shared" si="1590"/>
        <v>-2.9898266182880225E-3</v>
      </c>
      <c r="N863" s="62">
        <f t="shared" si="1596"/>
        <v>111.59937689611941</v>
      </c>
      <c r="O863" s="96">
        <f t="shared" si="1591"/>
        <v>-7.1269842149151358E-2</v>
      </c>
      <c r="P863" s="96"/>
      <c r="Q863" s="159">
        <f>IFERROR(INDEX('Non-Labor Expenditures'!$F$7:$AB$91,MATCH($C863,'Non-Labor Expenditures'!$D$7:$D$91,0),MATCH($G863,'Non-Labor Expenditures'!$F$5:$AB$5,0)),"NA")</f>
        <v>154835.79158815838</v>
      </c>
      <c r="R863" s="159">
        <f t="shared" si="1581"/>
        <v>1642.5760798200627</v>
      </c>
      <c r="S863" s="165">
        <f t="shared" si="1592"/>
        <v>-5.7187345331649576E-2</v>
      </c>
      <c r="T863" s="165">
        <f t="shared" si="1593"/>
        <v>-2.4407058478185814E-3</v>
      </c>
      <c r="U863" s="165"/>
      <c r="V863" s="165"/>
      <c r="W863" s="159">
        <f t="shared" si="1562"/>
        <v>121889.18297920267</v>
      </c>
      <c r="X863" s="163"/>
      <c r="Y863" s="167">
        <v>6360.1657471952876</v>
      </c>
      <c r="Z863" s="168">
        <v>2.7077077365394435E-2</v>
      </c>
      <c r="AA863" s="76">
        <f t="shared" si="1582"/>
        <v>1.1556259638262887E-3</v>
      </c>
      <c r="AB863" s="168"/>
      <c r="AC863" s="168"/>
      <c r="AD863" s="163">
        <f t="shared" si="1526"/>
        <v>383641.97888111346</v>
      </c>
      <c r="AE863" s="168">
        <f t="shared" si="1594"/>
        <v>1.7524845773927572E-2</v>
      </c>
      <c r="AF863" s="163"/>
      <c r="AG863" s="163"/>
      <c r="AH863" s="163"/>
      <c r="AI863" s="163"/>
      <c r="AJ863" s="116">
        <f t="shared" si="1595"/>
        <v>462.34402884768116</v>
      </c>
      <c r="AK863" s="114">
        <f>+AV863/$AX$13</f>
        <v>2.3618548890515182E-2</v>
      </c>
      <c r="AL863" s="115">
        <f t="shared" si="1583"/>
        <v>0.27868953399097357</v>
      </c>
      <c r="AM863" s="115">
        <f t="shared" si="1584"/>
        <v>0.40359449724384916</v>
      </c>
      <c r="AN863" s="115">
        <f t="shared" si="1585"/>
        <v>0.31771596876517733</v>
      </c>
      <c r="AO863" s="115">
        <f t="shared" si="1587"/>
        <v>-3.575339602895726E-2</v>
      </c>
      <c r="AP863" s="166">
        <f t="shared" ref="AP863:AP876" si="1598">+AP862*EXP(AO863)</f>
        <v>99.338242568022039</v>
      </c>
      <c r="AQ863" s="168">
        <f t="shared" ref="AQ863:AQ876" si="1599">LN(AP863/AP862)</f>
        <v>-3.5753396028957302E-2</v>
      </c>
      <c r="AR863" s="69">
        <f>+AD863/$AF$13</f>
        <v>4.2679124790004991E-2</v>
      </c>
      <c r="AS863" s="169">
        <f t="shared" si="1597"/>
        <v>-1.5259236507863376E-3</v>
      </c>
      <c r="AT863" s="115"/>
      <c r="AU863" s="115"/>
      <c r="AV863" s="113">
        <f>IFERROR(INDEX('Total Customers'!$F$7:$AB$91,MATCH($C863,'Total Customers'!$D$7:$D$91,0),MATCH($G863,'Total Customers'!$F$5:$AB$5,0)),"NA")</f>
        <v>829776</v>
      </c>
      <c r="AW863" s="68">
        <f t="shared" si="1551"/>
        <v>-4.9157812021505991E-4</v>
      </c>
      <c r="AX863" s="114"/>
      <c r="AY863" s="114"/>
      <c r="AZ863" s="116"/>
      <c r="BA863" s="116"/>
      <c r="BB863" s="166"/>
      <c r="BC863" s="166"/>
      <c r="BD863" s="166"/>
      <c r="BE863" s="166"/>
      <c r="BF863" s="166"/>
      <c r="BG863" s="166"/>
      <c r="BH863" s="166"/>
      <c r="BI863" s="113"/>
      <c r="BJ863" s="113"/>
      <c r="BK863" s="113">
        <f>INDEX('Dist. Plant Gas Additions'!$F$7:$AE$91,MATCH($C863,'Dist. Plant Gas Additions'!$D$7:$D$91,0),MATCH(Calculation!$G863,'Dist. Plant Gas Additions'!$F$5:$AE$5,0))</f>
        <v>117769</v>
      </c>
      <c r="BL863" s="113">
        <f>INDEX('Gen. Plant Additions'!$F$7:$AE$91,MATCH($C863,'Gen. Plant Additions'!$D$7:$D$91,0),MATCH(Calculation!$G863,'Gen. Plant Additions'!$F$5:$AE$5,0))</f>
        <v>2693</v>
      </c>
      <c r="BM863" s="231">
        <f t="shared" si="1563"/>
        <v>0.96767349242868061</v>
      </c>
      <c r="BN863" s="61">
        <f t="shared" si="1556"/>
        <v>2605.9447151104368</v>
      </c>
      <c r="BO863" s="113">
        <f>INDEX('Dist Plant Depreciation'!$E$7:$AD$94,MATCH($C863,'Dist Plant Depreciation'!$D$7:$D$94,0),MATCH(Calculation!$G863,'Dist Plant Depreciation'!$E$5:$AD$5,0))</f>
        <v>709147</v>
      </c>
      <c r="BP863" s="113">
        <f>INDEX('Gen. Plant Depreciation'!$E$7:$AD$94,MATCH($C863,'Gen. Plant Depreciation'!$D$7:$D$94,0),MATCH(Calculation!$G863,'Gen. Plant Depreciation'!$E$5:$AD$5,0))</f>
        <v>34762</v>
      </c>
      <c r="BQ863" s="113"/>
      <c r="BR863" s="113"/>
      <c r="BS863" s="113"/>
      <c r="BT863" s="113"/>
      <c r="BU863" s="113"/>
      <c r="BV863" s="175"/>
      <c r="BW863" s="113">
        <f>INDEX('Gross Dx Plant'!$E$7:$AD$91,MATCH($C863,'Gross Dx Plant'!$D$7:$D$91,0),MATCH(Calculation!$G863,'Gross Dx Plant'!$E$5:$AD$5,0))</f>
        <v>1995335</v>
      </c>
      <c r="BX863" s="113">
        <f>INDEX('Gross Gen Plant'!$E$7:$AD$91,MATCH($C863,'Gross Gen Plant'!$D$7:$D$91,0),MATCH(Calculation!$G863,'Gross Gen Plant'!$E$5:$AD$5,0))</f>
        <v>66657</v>
      </c>
      <c r="BY863" s="113">
        <f t="shared" si="1532"/>
        <v>1318083</v>
      </c>
      <c r="BZ863" s="113"/>
      <c r="CA863" s="116">
        <v>2008</v>
      </c>
      <c r="CB863" s="113"/>
      <c r="CC863" s="113"/>
      <c r="CD863" s="113"/>
      <c r="CE863" s="175"/>
      <c r="CF863" s="113">
        <f t="shared" si="1564"/>
        <v>120462</v>
      </c>
      <c r="CG863" s="113">
        <f t="shared" si="1565"/>
        <v>211.38089709752285</v>
      </c>
      <c r="CH863" s="178">
        <v>0.94252873563218387</v>
      </c>
      <c r="CI863" s="61">
        <f>+CI853*CH863+CG854*CH862+CG855*CH861+CG856*CH860+CG857*CH859+CG858*CH858+CG859*CH857+CG860*CH856+CG861*CH855+CG862*CH854+CG863</f>
        <v>6360.1657471952876</v>
      </c>
      <c r="CJ863" s="114">
        <f t="shared" si="1566"/>
        <v>2.7077077365394435E-2</v>
      </c>
      <c r="CK863" s="114"/>
      <c r="CL863" s="169">
        <f t="shared" si="1567"/>
        <v>6.700335556628979E-3</v>
      </c>
      <c r="CM863" s="169">
        <f t="shared" si="1575"/>
        <v>6.4889984619199469E-3</v>
      </c>
      <c r="CN863" s="114">
        <f>VLOOKUP($H863,RoR!$E:$F,2,FALSE)</f>
        <v>5.6316666666666668E-2</v>
      </c>
      <c r="CO863" s="169">
        <v>1.9092304698479889E-2</v>
      </c>
      <c r="CP863" s="169">
        <f t="shared" si="1573"/>
        <v>3.7224361968186778E-2</v>
      </c>
      <c r="CQ863" s="169">
        <f t="shared" si="1576"/>
        <v>2.4412943146613679E-2</v>
      </c>
      <c r="CR863" s="169">
        <f t="shared" si="1577"/>
        <v>6.9030581091053131E-2</v>
      </c>
      <c r="CS863" s="179">
        <f t="shared" si="1568"/>
        <v>0.85150049999999999</v>
      </c>
      <c r="CT863" s="180">
        <f t="shared" si="1569"/>
        <v>0.91060168006009956</v>
      </c>
      <c r="CU863" s="180">
        <f t="shared" si="1570"/>
        <v>0.53108168097070152</v>
      </c>
      <c r="CV863" s="180">
        <f t="shared" si="1571"/>
        <v>0.88825329850328805</v>
      </c>
      <c r="CW863" s="180">
        <f t="shared" si="1572"/>
        <v>0.4295627335323573</v>
      </c>
      <c r="CX863" s="181">
        <f>INDEX('State Tax Lookup'!$D$7:$Z$91,MATCH(Calculation!$C863,'State Tax Lookup'!$B$7:$B$91,0),MATCH($H863,'State Tax Lookup'!$D$6:$Z$6,0))</f>
        <v>0.40134999999999998</v>
      </c>
      <c r="CY863" s="72">
        <v>0.37</v>
      </c>
      <c r="CZ863" s="70">
        <f t="shared" si="1574"/>
        <v>19.690473403146253</v>
      </c>
      <c r="DA863" s="70">
        <v>18.300102035478151</v>
      </c>
      <c r="DB863" s="69">
        <f t="shared" si="1578"/>
        <v>0.12654572421347812</v>
      </c>
      <c r="DC863" s="111">
        <f>VLOOKUP($H863,RoR!$E:$F,2,FALSE)</f>
        <v>5.6316666666666668E-2</v>
      </c>
      <c r="DD863" s="216">
        <f>HLOOKUP($H863,'GDP-PI'!$D$8:$CQ$11,3,FALSE)</f>
        <v>1.9092304698479889E-2</v>
      </c>
      <c r="DE863" s="111">
        <f>VLOOKUP(H863,'HW Dx Data'!$E:$F,2,FALSE)</f>
        <v>569.88120333515076</v>
      </c>
      <c r="DF863" s="72">
        <f t="shared" si="1588"/>
        <v>107.9</v>
      </c>
      <c r="DG863" s="69">
        <f t="shared" si="1589"/>
        <v>3.1778595021460486E-2</v>
      </c>
      <c r="DH863" s="66">
        <f>HLOOKUP(H863,'GDP-PI'!$8:$9,2,FALSE)</f>
        <v>94.263999999999996</v>
      </c>
      <c r="DI863" s="69">
        <f t="shared" si="1579"/>
        <v>1.8912333748032254E-2</v>
      </c>
      <c r="EB863"/>
    </row>
    <row r="864" spans="1:132" s="160" customFormat="1" ht="21">
      <c r="A864" s="160" t="s">
        <v>210</v>
      </c>
      <c r="B864" s="161" t="s">
        <v>211</v>
      </c>
      <c r="C864" s="161">
        <v>4057135</v>
      </c>
      <c r="D864" s="161" t="s">
        <v>192</v>
      </c>
      <c r="E864" s="161"/>
      <c r="F864" s="161"/>
      <c r="G864" s="161" t="s">
        <v>125</v>
      </c>
      <c r="H864" s="162">
        <v>2009</v>
      </c>
      <c r="I864" s="163"/>
      <c r="J864" s="159">
        <f>IFERROR(INDEX('Labor Expenditures'!$F$7:$X$91,MATCH($C864,'Labor Expenditures'!$D$7:$D$91,0),MATCH($G864,'Labor Expenditures'!$F$5:$X$5,0)),"NA")</f>
        <v>106341.60850569638</v>
      </c>
      <c r="K864" s="159">
        <f t="shared" si="1580"/>
        <v>958.68026599681207</v>
      </c>
      <c r="L864" s="165">
        <f t="shared" si="1586"/>
        <v>-3.3045663837036408E-2</v>
      </c>
      <c r="M864" s="76">
        <f t="shared" si="1590"/>
        <v>-1.3407494566667849E-3</v>
      </c>
      <c r="N864" s="62">
        <f t="shared" si="1596"/>
        <v>117.40886563590328</v>
      </c>
      <c r="O864" s="96">
        <f t="shared" si="1591"/>
        <v>5.0746954469058206E-2</v>
      </c>
      <c r="P864" s="96"/>
      <c r="Q864" s="159">
        <f>IFERROR(INDEX('Non-Labor Expenditures'!$F$7:$AB$91,MATCH($C864,'Non-Labor Expenditures'!$D$7:$D$91,0),MATCH($G864,'Non-Labor Expenditures'!$F$5:$AB$5,0)),"NA")</f>
        <v>154002.5109889805</v>
      </c>
      <c r="R864" s="159">
        <f t="shared" si="1581"/>
        <v>1621.0961272116601</v>
      </c>
      <c r="S864" s="165">
        <f t="shared" si="1592"/>
        <v>-1.3163247654462026E-2</v>
      </c>
      <c r="T864" s="165">
        <f t="shared" si="1593"/>
        <v>-5.3406756262255341E-4</v>
      </c>
      <c r="U864" s="165"/>
      <c r="V864" s="165"/>
      <c r="W864" s="159">
        <f t="shared" si="1562"/>
        <v>120050.02580135426</v>
      </c>
      <c r="X864" s="163"/>
      <c r="Y864" s="167">
        <v>6422.6727875519937</v>
      </c>
      <c r="Z864" s="168">
        <v>9.7799152202740977E-3</v>
      </c>
      <c r="AA864" s="76">
        <f t="shared" si="1582"/>
        <v>3.9679687121714849E-4</v>
      </c>
      <c r="AB864" s="168"/>
      <c r="AC864" s="168"/>
      <c r="AD864" s="163">
        <f t="shared" si="1526"/>
        <v>380394.14529603114</v>
      </c>
      <c r="AE864" s="168">
        <f t="shared" si="1594"/>
        <v>-8.5018313804170586E-3</v>
      </c>
      <c r="AF864" s="163"/>
      <c r="AG864" s="163"/>
      <c r="AH864" s="163"/>
      <c r="AI864" s="163"/>
      <c r="AJ864" s="116">
        <f t="shared" si="1595"/>
        <v>462.82177838237544</v>
      </c>
      <c r="AK864" s="114">
        <f>+AV864/$AX$14</f>
        <v>2.3364602613679359E-2</v>
      </c>
      <c r="AL864" s="115">
        <f t="shared" si="1583"/>
        <v>0.279556375461402</v>
      </c>
      <c r="AM864" s="115">
        <f t="shared" si="1584"/>
        <v>0.40484984559668324</v>
      </c>
      <c r="AN864" s="115">
        <f t="shared" si="1585"/>
        <v>0.31559377894191476</v>
      </c>
      <c r="AO864" s="115">
        <f t="shared" si="1587"/>
        <v>-1.144782206053703E-2</v>
      </c>
      <c r="AP864" s="166">
        <f t="shared" si="1598"/>
        <v>98.207520544208748</v>
      </c>
      <c r="AQ864" s="168">
        <f t="shared" si="1599"/>
        <v>-1.1447822060536872E-2</v>
      </c>
      <c r="AR864" s="69">
        <f>+AD864/$AF$14</f>
        <v>4.0572628931851581E-2</v>
      </c>
      <c r="AS864" s="169">
        <f t="shared" si="1597"/>
        <v>-4.6446823654002709E-4</v>
      </c>
      <c r="AT864" s="115"/>
      <c r="AU864" s="115"/>
      <c r="AV864" s="113">
        <f>IFERROR(INDEX('Total Customers'!$F$7:$AB$91,MATCH($C864,'Total Customers'!$D$7:$D$91,0),MATCH($G864,'Total Customers'!$F$5:$AB$5,0)),"NA")</f>
        <v>821902</v>
      </c>
      <c r="AW864" s="68">
        <f t="shared" si="1551"/>
        <v>-9.5346183109903202E-3</v>
      </c>
      <c r="AX864" s="114"/>
      <c r="AY864" s="114"/>
      <c r="AZ864" s="116"/>
      <c r="BA864" s="116"/>
      <c r="BB864" s="166"/>
      <c r="BC864" s="166"/>
      <c r="BD864" s="166"/>
      <c r="BE864" s="166"/>
      <c r="BF864" s="166"/>
      <c r="BG864" s="166"/>
      <c r="BH864" s="166"/>
      <c r="BI864" s="113"/>
      <c r="BJ864" s="113"/>
      <c r="BK864" s="113">
        <f>INDEX('Dist. Plant Gas Additions'!$F$7:$AE$91,MATCH($C864,'Dist. Plant Gas Additions'!$D$7:$D$91,0),MATCH(Calculation!$G864,'Dist. Plant Gas Additions'!$F$5:$AE$5,0))</f>
        <v>56714</v>
      </c>
      <c r="BL864" s="113">
        <f>INDEX('Gen. Plant Additions'!$F$7:$AE$91,MATCH($C864,'Gen. Plant Additions'!$D$7:$D$91,0),MATCH(Calculation!$G864,'Gen. Plant Additions'!$F$5:$AE$5,0))</f>
        <v>1944</v>
      </c>
      <c r="BM864" s="231">
        <f t="shared" si="1563"/>
        <v>0.96841959581153725</v>
      </c>
      <c r="BN864" s="61">
        <f t="shared" si="1556"/>
        <v>1882.6076942576285</v>
      </c>
      <c r="BO864" s="113">
        <f>INDEX('Dist Plant Depreciation'!$E$7:$AD$94,MATCH($C864,'Dist Plant Depreciation'!$D$7:$D$94,0),MATCH(Calculation!$G864,'Dist Plant Depreciation'!$E$5:$AD$5,0))</f>
        <v>732535</v>
      </c>
      <c r="BP864" s="113">
        <f>INDEX('Gen. Plant Depreciation'!$E$7:$AD$94,MATCH($C864,'Gen. Plant Depreciation'!$D$7:$D$94,0),MATCH(Calculation!$G864,'Gen. Plant Depreciation'!$E$5:$AD$5,0))</f>
        <v>38654</v>
      </c>
      <c r="BQ864" s="113"/>
      <c r="BR864" s="113"/>
      <c r="BS864" s="113"/>
      <c r="BT864" s="113"/>
      <c r="BU864" s="113"/>
      <c r="BV864" s="175"/>
      <c r="BW864" s="113">
        <f>INDEX('Gross Dx Plant'!$E$7:$AD$91,MATCH($C864,'Gross Dx Plant'!$D$7:$D$91,0),MATCH(Calculation!$G864,'Gross Dx Plant'!$E$5:$AD$5,0))</f>
        <v>2036231</v>
      </c>
      <c r="BX864" s="113">
        <f>INDEX('Gross Gen Plant'!$E$7:$AD$91,MATCH($C864,'Gross Gen Plant'!$D$7:$D$91,0),MATCH(Calculation!$G864,'Gross Gen Plant'!$E$5:$AD$5,0))</f>
        <v>66402</v>
      </c>
      <c r="BY864" s="113">
        <f t="shared" si="1532"/>
        <v>1331444</v>
      </c>
      <c r="BZ864" s="113"/>
      <c r="CA864" s="116">
        <v>2009</v>
      </c>
      <c r="CB864" s="113"/>
      <c r="CC864" s="113"/>
      <c r="CD864" s="113"/>
      <c r="CE864" s="175"/>
      <c r="CF864" s="113">
        <f t="shared" si="1564"/>
        <v>58658</v>
      </c>
      <c r="CG864" s="113">
        <f t="shared" si="1565"/>
        <v>106.4688209260208</v>
      </c>
      <c r="CH864" s="178">
        <v>0.93567251461988299</v>
      </c>
      <c r="CI864" s="61">
        <f>+CI853*CH864+CG854*CH863+CG855*CH862+CG856*CH861+CG857*CH860+CG858*CH859+CG859*CH858+CG860*CH857+CG861*CH856+CG862*CH855+CG863*CH854+CG864</f>
        <v>6422.6727875519937</v>
      </c>
      <c r="CJ864" s="114">
        <f t="shared" si="1566"/>
        <v>9.7799152202740977E-3</v>
      </c>
      <c r="CK864" s="114"/>
      <c r="CL864" s="169">
        <f t="shared" si="1567"/>
        <v>6.9120495151719988E-3</v>
      </c>
      <c r="CM864" s="169">
        <f t="shared" si="1575"/>
        <v>6.6995960281050855E-3</v>
      </c>
      <c r="CN864" s="114">
        <f>VLOOKUP($H864,RoR!$E:$F,2,FALSE)</f>
        <v>5.3133333333333324E-2</v>
      </c>
      <c r="CO864" s="169">
        <v>7.7972502758210105E-3</v>
      </c>
      <c r="CP864" s="169">
        <f t="shared" si="1573"/>
        <v>4.5336083057512314E-2</v>
      </c>
      <c r="CQ864" s="169">
        <f t="shared" si="1576"/>
        <v>2.4202345580428539E-2</v>
      </c>
      <c r="CR864" s="169">
        <f t="shared" si="1577"/>
        <v>6.3720160300892073E-2</v>
      </c>
      <c r="CS864" s="179">
        <f t="shared" si="1568"/>
        <v>0.85150049999999999</v>
      </c>
      <c r="CT864" s="180">
        <f t="shared" si="1569"/>
        <v>0.96515780330083989</v>
      </c>
      <c r="CU864" s="180">
        <f t="shared" si="1570"/>
        <v>0.50448557089084056</v>
      </c>
      <c r="CV864" s="180">
        <f t="shared" si="1571"/>
        <v>0.87391435735465484</v>
      </c>
      <c r="CW864" s="180">
        <f t="shared" si="1572"/>
        <v>0.42551605393279146</v>
      </c>
      <c r="CX864" s="181">
        <f>INDEX('State Tax Lookup'!$D$7:$Z$91,MATCH(Calculation!$C864,'State Tax Lookup'!$B$7:$B$91,0),MATCH($H864,'State Tax Lookup'!$D$6:$Z$6,0))</f>
        <v>0.40134999999999998</v>
      </c>
      <c r="CY864" s="72">
        <v>0.37</v>
      </c>
      <c r="CZ864" s="70">
        <f t="shared" si="1574"/>
        <v>18.875298313458899</v>
      </c>
      <c r="DA864" s="70">
        <v>17.478615056163342</v>
      </c>
      <c r="DB864" s="69">
        <f t="shared" si="1578"/>
        <v>-4.2280835486289088E-2</v>
      </c>
      <c r="DC864" s="111">
        <f>VLOOKUP($H864,RoR!$E:$F,2,FALSE)</f>
        <v>5.3133333333333324E-2</v>
      </c>
      <c r="DD864" s="216">
        <f>HLOOKUP($H864,'GDP-PI'!$D$8:$CQ$11,3,FALSE)</f>
        <v>7.7972502758210105E-3</v>
      </c>
      <c r="DE864" s="111">
        <f>VLOOKUP(H864,'HW Dx Data'!$E:$F,2,FALSE)</f>
        <v>550.94063679692806</v>
      </c>
      <c r="DF864" s="72">
        <f t="shared" si="1588"/>
        <v>110.925</v>
      </c>
      <c r="DG864" s="69">
        <f t="shared" si="1589"/>
        <v>2.7649425000884052E-2</v>
      </c>
      <c r="DH864" s="66">
        <f>HLOOKUP(H864,'GDP-PI'!$8:$9,2,FALSE)</f>
        <v>94.998999999999995</v>
      </c>
      <c r="DI864" s="69">
        <f t="shared" si="1579"/>
        <v>7.7670088183096342E-3</v>
      </c>
      <c r="EB864"/>
    </row>
    <row r="865" spans="1:132" s="160" customFormat="1" ht="21">
      <c r="A865" s="160" t="s">
        <v>210</v>
      </c>
      <c r="B865" s="161" t="s">
        <v>211</v>
      </c>
      <c r="C865" s="161">
        <v>4057135</v>
      </c>
      <c r="D865" s="161" t="s">
        <v>192</v>
      </c>
      <c r="E865" s="161"/>
      <c r="F865" s="161"/>
      <c r="G865" s="161" t="s">
        <v>126</v>
      </c>
      <c r="H865" s="162">
        <v>2010</v>
      </c>
      <c r="I865" s="163"/>
      <c r="J865" s="159">
        <f>IFERROR(INDEX('Labor Expenditures'!$F$7:$X$91,MATCH($C865,'Labor Expenditures'!$D$7:$D$91,0),MATCH($G865,'Labor Expenditures'!$F$5:$X$5,0)),"NA")</f>
        <v>109369.67656118533</v>
      </c>
      <c r="K865" s="159">
        <f t="shared" si="1580"/>
        <v>935.38316494492483</v>
      </c>
      <c r="L865" s="165">
        <f t="shared" si="1586"/>
        <v>-2.46013683205531E-2</v>
      </c>
      <c r="M865" s="76">
        <f t="shared" si="1590"/>
        <v>-9.9220530140657235E-4</v>
      </c>
      <c r="N865" s="62">
        <f t="shared" si="1596"/>
        <v>96.438656948353938</v>
      </c>
      <c r="O865" s="96">
        <f t="shared" si="1591"/>
        <v>-0.19675529410905013</v>
      </c>
      <c r="P865" s="96"/>
      <c r="Q865" s="159">
        <f>IFERROR(INDEX('Non-Labor Expenditures'!$F$7:$AB$91,MATCH($C865,'Non-Labor Expenditures'!$D$7:$D$91,0),MATCH($G865,'Non-Labor Expenditures'!$F$5:$AB$5,0)),"NA")</f>
        <v>158387.71909842751</v>
      </c>
      <c r="R865" s="159">
        <f t="shared" si="1581"/>
        <v>1648.0009062463193</v>
      </c>
      <c r="S865" s="165">
        <f t="shared" si="1592"/>
        <v>1.6460439219273131E-2</v>
      </c>
      <c r="T865" s="165">
        <f t="shared" si="1593"/>
        <v>6.6387100278478641E-4</v>
      </c>
      <c r="U865" s="165"/>
      <c r="V865" s="165"/>
      <c r="W865" s="159">
        <f t="shared" si="1562"/>
        <v>124185.09761383419</v>
      </c>
      <c r="X865" s="163"/>
      <c r="Y865" s="167">
        <v>6678.804188187506</v>
      </c>
      <c r="Z865" s="168">
        <v>3.9104604666807895E-2</v>
      </c>
      <c r="AA865" s="76">
        <f t="shared" si="1582"/>
        <v>1.5771397571979716E-3</v>
      </c>
      <c r="AB865" s="168"/>
      <c r="AC865" s="168"/>
      <c r="AD865" s="163">
        <f t="shared" si="1526"/>
        <v>391942.49327344703</v>
      </c>
      <c r="AE865" s="168">
        <f t="shared" si="1594"/>
        <v>2.9907188557750191E-2</v>
      </c>
      <c r="AF865" s="163"/>
      <c r="AG865" s="163"/>
      <c r="AH865" s="163"/>
      <c r="AI865" s="163"/>
      <c r="AJ865" s="116">
        <f t="shared" si="1595"/>
        <v>478.47229369989896</v>
      </c>
      <c r="AK865" s="114">
        <f>+AV865/$AX$15</f>
        <v>2.3159073944640937E-2</v>
      </c>
      <c r="AL865" s="115">
        <f t="shared" si="1583"/>
        <v>0.27904521310701885</v>
      </c>
      <c r="AM865" s="115">
        <f t="shared" si="1584"/>
        <v>0.40410958703557803</v>
      </c>
      <c r="AN865" s="115">
        <f t="shared" si="1585"/>
        <v>0.31684519985740311</v>
      </c>
      <c r="AO865" s="115">
        <f t="shared" si="1587"/>
        <v>1.2152370194355128E-2</v>
      </c>
      <c r="AP865" s="166">
        <f t="shared" si="1598"/>
        <v>99.408255802390784</v>
      </c>
      <c r="AQ865" s="168">
        <f t="shared" si="1599"/>
        <v>1.2152370194355191E-2</v>
      </c>
      <c r="AR865" s="69">
        <f>+AD865/$AF$15</f>
        <v>4.0331305498062034E-2</v>
      </c>
      <c r="AS865" s="169">
        <f t="shared" si="1597"/>
        <v>4.9012095483408271E-4</v>
      </c>
      <c r="AT865" s="115"/>
      <c r="AU865" s="115"/>
      <c r="AV865" s="113">
        <f>IFERROR(INDEX('Total Customers'!$F$7:$AB$91,MATCH($C865,'Total Customers'!$D$7:$D$91,0),MATCH($G865,'Total Customers'!$F$5:$AB$5,0)),"NA")</f>
        <v>819154</v>
      </c>
      <c r="AW865" s="68">
        <f t="shared" si="1551"/>
        <v>-3.3490661726588381E-3</v>
      </c>
      <c r="AX865" s="114"/>
      <c r="AY865" s="114"/>
      <c r="AZ865" s="116"/>
      <c r="BA865" s="116"/>
      <c r="BB865" s="166"/>
      <c r="BC865" s="166"/>
      <c r="BD865" s="166"/>
      <c r="BE865" s="166"/>
      <c r="BF865" s="166"/>
      <c r="BG865" s="166"/>
      <c r="BH865" s="166"/>
      <c r="BI865" s="113"/>
      <c r="BJ865" s="113"/>
      <c r="BK865" s="113">
        <f>INDEX('Dist. Plant Gas Additions'!$F$7:$AE$91,MATCH($C865,'Dist. Plant Gas Additions'!$D$7:$D$91,0),MATCH(Calculation!$G865,'Dist. Plant Gas Additions'!$F$5:$AE$5,0))</f>
        <v>168910</v>
      </c>
      <c r="BL865" s="113">
        <f>INDEX('Gen. Plant Additions'!$F$7:$AE$91,MATCH($C865,'Gen. Plant Additions'!$D$7:$D$91,0),MATCH(Calculation!$G865,'Gen. Plant Additions'!$F$5:$AE$5,0))</f>
        <v>3018</v>
      </c>
      <c r="BM865" s="231">
        <f t="shared" si="1563"/>
        <v>0.97144079561793117</v>
      </c>
      <c r="BN865" s="61">
        <f>+BM865*BL865</f>
        <v>2931.8083211749163</v>
      </c>
      <c r="BO865" s="113">
        <f>INDEX('Dist Plant Depreciation'!$E$7:$AD$94,MATCH($C865,'Dist Plant Depreciation'!$D$7:$D$94,0),MATCH(Calculation!$G865,'Dist Plant Depreciation'!$E$5:$AD$5,0))</f>
        <v>778105</v>
      </c>
      <c r="BP865" s="113">
        <f>INDEX('Gen. Plant Depreciation'!$E$7:$AD$94,MATCH($C865,'Gen. Plant Depreciation'!$D$7:$D$94,0),MATCH(Calculation!$G865,'Gen. Plant Depreciation'!$E$5:$AD$5,0))</f>
        <v>39023</v>
      </c>
      <c r="BQ865" s="113"/>
      <c r="BR865" s="113"/>
      <c r="BS865" s="113"/>
      <c r="BT865" s="113"/>
      <c r="BU865" s="113"/>
      <c r="BV865" s="175"/>
      <c r="BW865" s="113">
        <f>INDEX('Gross Dx Plant'!$E$7:$AD$91,MATCH($C865,'Gross Dx Plant'!$D$7:$D$91,0),MATCH(Calculation!$G865,'Gross Dx Plant'!$E$5:$AD$5,0))</f>
        <v>2197878</v>
      </c>
      <c r="BX865" s="113">
        <f>INDEX('Gross Gen Plant'!$E$7:$AD$91,MATCH($C865,'Gross Gen Plant'!$D$7:$D$91,0),MATCH(Calculation!$G865,'Gross Gen Plant'!$E$5:$AD$5,0))</f>
        <v>64615</v>
      </c>
      <c r="BY865" s="113">
        <f t="shared" si="1532"/>
        <v>1445365</v>
      </c>
      <c r="BZ865" s="113"/>
      <c r="CA865" s="116">
        <v>2010</v>
      </c>
      <c r="CB865" s="113"/>
      <c r="CC865" s="113"/>
      <c r="CD865" s="113"/>
      <c r="CE865" s="175"/>
      <c r="CF865" s="113">
        <f t="shared" si="1564"/>
        <v>171928</v>
      </c>
      <c r="CG865" s="113">
        <f t="shared" si="1565"/>
        <v>302.16374679215471</v>
      </c>
      <c r="CH865" s="178">
        <v>0.9285714285714286</v>
      </c>
      <c r="CI865" s="61">
        <f>+CI853*CH865+CG854*CH864+CG855*CH863+CG856*CH862+CG857*CH861+CG858*CH860+CG859*CH859+CG860*CH858+CG861*CH857+CG862*CH856+CG863*CH855+CG864*CH854+CG865</f>
        <v>6678.804188187506</v>
      </c>
      <c r="CJ865" s="114">
        <f t="shared" si="1566"/>
        <v>3.9104604666807895E-2</v>
      </c>
      <c r="CK865" s="114"/>
      <c r="CL865" s="169">
        <f t="shared" si="1567"/>
        <v>7.1671635282213415E-3</v>
      </c>
      <c r="CM865" s="169">
        <f t="shared" si="1575"/>
        <v>6.9265162000074392E-3</v>
      </c>
      <c r="CN865" s="114">
        <f>VLOOKUP($H865,RoR!$E:$F,2,FALSE)</f>
        <v>4.9433333333333322E-2</v>
      </c>
      <c r="CO865" s="169">
        <v>1.1684333519300205E-2</v>
      </c>
      <c r="CP865" s="169">
        <f t="shared" si="1573"/>
        <v>3.7748999814033117E-2</v>
      </c>
      <c r="CQ865" s="169">
        <f t="shared" si="1576"/>
        <v>2.3975425408526187E-2</v>
      </c>
      <c r="CR865" s="169">
        <f t="shared" si="1577"/>
        <v>4.7937530248493419E-2</v>
      </c>
      <c r="CS865" s="179">
        <f t="shared" si="1568"/>
        <v>0.85150049999999999</v>
      </c>
      <c r="CT865" s="180">
        <f t="shared" si="1569"/>
        <v>1.037398205301105</v>
      </c>
      <c r="CU865" s="180">
        <f t="shared" si="1570"/>
        <v>0.46926837491571133</v>
      </c>
      <c r="CV865" s="180">
        <f t="shared" si="1571"/>
        <v>0.8548537519972772</v>
      </c>
      <c r="CW865" s="180">
        <f t="shared" si="1572"/>
        <v>0.41615833911547367</v>
      </c>
      <c r="CX865" s="181">
        <f>INDEX('State Tax Lookup'!$D$7:$Z$91,MATCH(Calculation!$C865,'State Tax Lookup'!$B$7:$B$91,0),MATCH($H865,'State Tax Lookup'!$D$6:$Z$6,0))</f>
        <v>0.40134999999999998</v>
      </c>
      <c r="CY865" s="72">
        <v>0.37</v>
      </c>
      <c r="CZ865" s="70">
        <f t="shared" si="1574"/>
        <v>19.335423385497961</v>
      </c>
      <c r="DA865" s="70">
        <v>17.956102603965455</v>
      </c>
      <c r="DB865" s="69">
        <f t="shared" si="1578"/>
        <v>2.4084722484947665E-2</v>
      </c>
      <c r="DC865" s="111">
        <f>VLOOKUP($H865,RoR!$E:$F,2,FALSE)</f>
        <v>4.9433333333333322E-2</v>
      </c>
      <c r="DD865" s="216">
        <f>HLOOKUP($H865,'GDP-PI'!$D$8:$CQ$11,3,FALSE)</f>
        <v>1.1684333519300205E-2</v>
      </c>
      <c r="DE865" s="111">
        <f>VLOOKUP(H865,'HW Dx Data'!$E:$F,2,FALSE)</f>
        <v>568.98950262971744</v>
      </c>
      <c r="DF865" s="72">
        <f t="shared" si="1588"/>
        <v>116.925</v>
      </c>
      <c r="DG865" s="69">
        <f t="shared" si="1589"/>
        <v>5.2678406346976722E-2</v>
      </c>
      <c r="DH865" s="66">
        <f>HLOOKUP(H865,'GDP-PI'!$8:$9,2,FALSE)</f>
        <v>96.108999999999995</v>
      </c>
      <c r="DI865" s="69">
        <f t="shared" si="1579"/>
        <v>1.1616598807150427E-2</v>
      </c>
      <c r="EB865"/>
    </row>
    <row r="866" spans="1:132" s="160" customFormat="1" ht="21">
      <c r="A866" s="160" t="s">
        <v>210</v>
      </c>
      <c r="B866" s="161" t="s">
        <v>211</v>
      </c>
      <c r="C866" s="161">
        <v>4057135</v>
      </c>
      <c r="D866" s="161" t="s">
        <v>192</v>
      </c>
      <c r="E866" s="161"/>
      <c r="F866" s="161"/>
      <c r="G866" s="161" t="s">
        <v>127</v>
      </c>
      <c r="H866" s="162">
        <v>2011</v>
      </c>
      <c r="I866" s="163"/>
      <c r="J866" s="159">
        <f>IFERROR(INDEX('Labor Expenditures'!$F$7:$X$91,MATCH($C866,'Labor Expenditures'!$D$7:$D$91,0),MATCH($G866,'Labor Expenditures'!$F$5:$X$5,0)),"NA")</f>
        <v>103349.14587868258</v>
      </c>
      <c r="K866" s="159">
        <f t="shared" si="1580"/>
        <v>855.00844573884251</v>
      </c>
      <c r="L866" s="165">
        <f t="shared" si="1586"/>
        <v>-8.9844900477783166E-2</v>
      </c>
      <c r="M866" s="76">
        <f t="shared" si="1590"/>
        <v>-3.4402597377704508E-3</v>
      </c>
      <c r="N866" s="62">
        <f t="shared" si="1596"/>
        <v>116.08603461736151</v>
      </c>
      <c r="O866" s="96">
        <f t="shared" si="1591"/>
        <v>0.18542446701170165</v>
      </c>
      <c r="P866" s="96"/>
      <c r="Q866" s="159">
        <f>IFERROR(INDEX('Non-Labor Expenditures'!$F$7:$AB$91,MATCH($C866,'Non-Labor Expenditures'!$D$7:$D$91,0),MATCH($G866,'Non-Labor Expenditures'!$F$5:$AB$5,0)),"NA")</f>
        <v>149668.86619014226</v>
      </c>
      <c r="R866" s="159">
        <f t="shared" si="1581"/>
        <v>1525.4899114292061</v>
      </c>
      <c r="S866" s="165">
        <f t="shared" si="1592"/>
        <v>-7.7247369529123616E-2</v>
      </c>
      <c r="T866" s="165">
        <f t="shared" si="1593"/>
        <v>-2.9578864668611303E-3</v>
      </c>
      <c r="U866" s="165"/>
      <c r="V866" s="165"/>
      <c r="W866" s="159">
        <f t="shared" si="1562"/>
        <v>137781.55076377391</v>
      </c>
      <c r="X866" s="163"/>
      <c r="Y866" s="167">
        <v>6961.7240383414246</v>
      </c>
      <c r="Z866" s="168">
        <v>4.1488192551053883E-2</v>
      </c>
      <c r="AA866" s="76">
        <f t="shared" si="1582"/>
        <v>1.5886283769834316E-3</v>
      </c>
      <c r="AB866" s="168"/>
      <c r="AC866" s="168"/>
      <c r="AD866" s="163">
        <f t="shared" si="1526"/>
        <v>390799.56283259875</v>
      </c>
      <c r="AE866" s="168">
        <f t="shared" si="1594"/>
        <v>-2.9203266751907275E-3</v>
      </c>
      <c r="AF866" s="163"/>
      <c r="AG866" s="163"/>
      <c r="AH866" s="163"/>
      <c r="AI866" s="163"/>
      <c r="AJ866" s="116">
        <f t="shared" si="1595"/>
        <v>472.22196249359422</v>
      </c>
      <c r="AK866" s="114">
        <f>+AV866/$AX$16</f>
        <v>2.328428907242195E-2</v>
      </c>
      <c r="AL866" s="115">
        <f t="shared" si="1583"/>
        <v>0.26445563329085092</v>
      </c>
      <c r="AM866" s="115">
        <f t="shared" si="1584"/>
        <v>0.3829811505041365</v>
      </c>
      <c r="AN866" s="115">
        <f t="shared" si="1585"/>
        <v>0.35256321620501258</v>
      </c>
      <c r="AO866" s="115">
        <f t="shared" si="1587"/>
        <v>-4.0929461624497399E-2</v>
      </c>
      <c r="AP866" s="166">
        <f t="shared" si="1598"/>
        <v>95.421670328662273</v>
      </c>
      <c r="AQ866" s="168">
        <f t="shared" si="1599"/>
        <v>-4.0929461624497523E-2</v>
      </c>
      <c r="AR866" s="69">
        <f>+AD866/$AF$16</f>
        <v>3.8291096316826104E-2</v>
      </c>
      <c r="AS866" s="169">
        <f t="shared" si="1597"/>
        <v>-1.5672339572594726E-3</v>
      </c>
      <c r="AT866" s="115"/>
      <c r="AU866" s="115"/>
      <c r="AV866" s="113">
        <f>IFERROR(INDEX('Total Customers'!$F$7:$AB$91,MATCH($C866,'Total Customers'!$D$7:$D$91,0),MATCH($G866,'Total Customers'!$F$5:$AB$5,0)),"NA")</f>
        <v>827576</v>
      </c>
      <c r="AW866" s="68">
        <f t="shared" si="1551"/>
        <v>1.0228845569327712E-2</v>
      </c>
      <c r="AX866" s="114"/>
      <c r="AY866" s="114"/>
      <c r="AZ866" s="116"/>
      <c r="BA866" s="116"/>
      <c r="BB866" s="166"/>
      <c r="BC866" s="166"/>
      <c r="BD866" s="166"/>
      <c r="BE866" s="166"/>
      <c r="BF866" s="166"/>
      <c r="BG866" s="166"/>
      <c r="BH866" s="166"/>
      <c r="BI866" s="113"/>
      <c r="BJ866" s="113"/>
      <c r="BK866" s="113">
        <f>INDEX('Dist. Plant Gas Additions'!$F$7:$AE$91,MATCH($C866,'Dist. Plant Gas Additions'!$D$7:$D$91,0),MATCH(Calculation!$G866,'Dist. Plant Gas Additions'!$F$5:$AE$5,0))</f>
        <v>191552</v>
      </c>
      <c r="BL866" s="113">
        <f>INDEX('Gen. Plant Additions'!$F$7:$AE$91,MATCH($C866,'Gen. Plant Additions'!$D$7:$D$91,0),MATCH(Calculation!$G866,'Gen. Plant Additions'!$F$5:$AE$5,0))</f>
        <v>11561</v>
      </c>
      <c r="BM866" s="231">
        <f t="shared" si="1563"/>
        <v>0.9733900927964555</v>
      </c>
      <c r="BN866" s="61">
        <f t="shared" ref="BN866:BN882" si="1600">+BM866*BL866</f>
        <v>11253.362862819822</v>
      </c>
      <c r="BO866" s="113">
        <f>INDEX('Dist Plant Depreciation'!$E$7:$AD$94,MATCH($C866,'Dist Plant Depreciation'!$D$7:$D$94,0),MATCH(Calculation!$G866,'Dist Plant Depreciation'!$E$5:$AD$5,0))</f>
        <v>803704</v>
      </c>
      <c r="BP866" s="113">
        <f>INDEX('Gen. Plant Depreciation'!$E$7:$AD$94,MATCH($C866,'Gen. Plant Depreciation'!$D$7:$D$94,0),MATCH(Calculation!$G866,'Gen. Plant Depreciation'!$E$5:$AD$5,0))</f>
        <v>34180</v>
      </c>
      <c r="BQ866" s="113"/>
      <c r="BR866" s="113"/>
      <c r="BS866" s="113"/>
      <c r="BT866" s="113"/>
      <c r="BU866" s="113"/>
      <c r="BV866" s="175"/>
      <c r="BW866" s="113">
        <f>INDEX('Gross Dx Plant'!$E$7:$AD$91,MATCH($C866,'Gross Dx Plant'!$D$7:$D$91,0),MATCH(Calculation!$G866,'Gross Dx Plant'!$E$5:$AD$5,0))</f>
        <v>2365701</v>
      </c>
      <c r="BX866" s="113">
        <f>INDEX('Gross Gen Plant'!$E$7:$AD$91,MATCH($C866,'Gross Gen Plant'!$D$7:$D$91,0),MATCH(Calculation!$G866,'Gross Gen Plant'!$E$5:$AD$5,0))</f>
        <v>64672</v>
      </c>
      <c r="BY866" s="113">
        <f t="shared" si="1532"/>
        <v>1592489</v>
      </c>
      <c r="BZ866" s="113"/>
      <c r="CA866" s="116">
        <v>2011</v>
      </c>
      <c r="CB866" s="113"/>
      <c r="CC866" s="113"/>
      <c r="CD866" s="113"/>
      <c r="CE866" s="175"/>
      <c r="CF866" s="113">
        <f t="shared" si="1564"/>
        <v>203113</v>
      </c>
      <c r="CG866" s="113">
        <f t="shared" si="1565"/>
        <v>332.09502130943696</v>
      </c>
      <c r="CH866" s="178">
        <v>0.92121212121212126</v>
      </c>
      <c r="CI866" s="61">
        <f>+CI853*CH866+CG854*CH865+CG855*CH864+CG856*CH863+CG857*CH862+CG858*CH861+CG859*CH860+CG860*CH859+CG861*CH858+CG862*CH857+CG863*CH856+CG864*CH855+CG865*CH854+CG866</f>
        <v>6961.7240383414246</v>
      </c>
      <c r="CJ866" s="114">
        <f t="shared" si="1566"/>
        <v>4.1488192551053883E-2</v>
      </c>
      <c r="CK866" s="114"/>
      <c r="CL866" s="169">
        <f t="shared" si="1567"/>
        <v>7.3628706232310662E-3</v>
      </c>
      <c r="CM866" s="169">
        <f t="shared" si="1575"/>
        <v>7.1473612222081352E-3</v>
      </c>
      <c r="CN866" s="114">
        <f>VLOOKUP($H866,RoR!$E:$F,2,FALSE)</f>
        <v>4.6391666666666664E-2</v>
      </c>
      <c r="CO866" s="169">
        <v>2.0840920205183799E-2</v>
      </c>
      <c r="CP866" s="169">
        <f t="shared" si="1573"/>
        <v>2.5550746461482865E-2</v>
      </c>
      <c r="CQ866" s="169">
        <f t="shared" si="1576"/>
        <v>2.375458038632549E-2</v>
      </c>
      <c r="CR866" s="169">
        <f t="shared" si="1577"/>
        <v>2.4810540821321614E-2</v>
      </c>
      <c r="CS866" s="179">
        <f t="shared" si="1568"/>
        <v>0.85150049999999999</v>
      </c>
      <c r="CT866" s="180">
        <f t="shared" si="1569"/>
        <v>1.1054151524782025</v>
      </c>
      <c r="CU866" s="180">
        <f t="shared" si="1570"/>
        <v>0.43611011316687626</v>
      </c>
      <c r="CV866" s="180">
        <f t="shared" si="1571"/>
        <v>0.83698442246886229</v>
      </c>
      <c r="CW866" s="180">
        <f t="shared" si="1572"/>
        <v>0.40349573304423936</v>
      </c>
      <c r="CX866" s="181">
        <f>INDEX('State Tax Lookup'!$D$7:$Z$91,MATCH(Calculation!$C866,'State Tax Lookup'!$B$7:$B$91,0),MATCH($H866,'State Tax Lookup'!$D$6:$Z$6,0))</f>
        <v>0.40134999999999998</v>
      </c>
      <c r="CY866" s="72">
        <v>0.37</v>
      </c>
      <c r="CZ866" s="70">
        <f t="shared" si="1574"/>
        <v>20.629673648384809</v>
      </c>
      <c r="DA866" s="70">
        <v>19.146574949201604</v>
      </c>
      <c r="DB866" s="69">
        <f t="shared" si="1578"/>
        <v>6.4791685502686894E-2</v>
      </c>
      <c r="DC866" s="111">
        <f>VLOOKUP($H866,RoR!$E:$F,2,FALSE)</f>
        <v>4.6391666666666664E-2</v>
      </c>
      <c r="DD866" s="216">
        <f>HLOOKUP($H866,'GDP-PI'!$D$8:$CQ$11,3,FALSE)</f>
        <v>2.0840920205183799E-2</v>
      </c>
      <c r="DE866" s="111">
        <f>VLOOKUP(H866,'HW Dx Data'!$E:$F,2,FALSE)</f>
        <v>611.61109612283201</v>
      </c>
      <c r="DF866" s="72">
        <f t="shared" si="1588"/>
        <v>120.875</v>
      </c>
      <c r="DG866" s="69">
        <f t="shared" si="1589"/>
        <v>3.3224250161508609E-2</v>
      </c>
      <c r="DH866" s="66">
        <f>HLOOKUP(H866,'GDP-PI'!$8:$9,2,FALSE)</f>
        <v>98.111999999999995</v>
      </c>
      <c r="DI866" s="69">
        <f t="shared" si="1579"/>
        <v>2.0626719212849295E-2</v>
      </c>
      <c r="EB866"/>
    </row>
    <row r="867" spans="1:132" s="160" customFormat="1" ht="21">
      <c r="A867" s="160" t="s">
        <v>210</v>
      </c>
      <c r="B867" s="161" t="s">
        <v>211</v>
      </c>
      <c r="C867" s="161">
        <v>4057135</v>
      </c>
      <c r="D867" s="161" t="s">
        <v>192</v>
      </c>
      <c r="E867" s="161"/>
      <c r="F867" s="161"/>
      <c r="G867" s="161" t="s">
        <v>128</v>
      </c>
      <c r="H867" s="162">
        <v>2012</v>
      </c>
      <c r="I867" s="163"/>
      <c r="J867" s="159">
        <f>IFERROR(INDEX('Labor Expenditures'!$F$7:$X$91,MATCH($C867,'Labor Expenditures'!$D$7:$D$91,0),MATCH($G867,'Labor Expenditures'!$F$5:$X$5,0)),"NA")</f>
        <v>111863.37422452439</v>
      </c>
      <c r="K867" s="159">
        <f t="shared" si="1580"/>
        <v>896.34113961958644</v>
      </c>
      <c r="L867" s="165">
        <f t="shared" si="1586"/>
        <v>4.7209729750777862E-2</v>
      </c>
      <c r="M867" s="76">
        <f t="shared" si="1590"/>
        <v>1.8943879909921878E-3</v>
      </c>
      <c r="N867" s="62">
        <f t="shared" si="1596"/>
        <v>115.39377112472965</v>
      </c>
      <c r="O867" s="96">
        <f t="shared" si="1591"/>
        <v>-5.9812177068307186E-3</v>
      </c>
      <c r="P867" s="96"/>
      <c r="Q867" s="159">
        <f>IFERROR(INDEX('Non-Labor Expenditures'!$F$7:$AB$91,MATCH($C867,'Non-Labor Expenditures'!$D$7:$D$91,0),MATCH($G867,'Non-Labor Expenditures'!$F$5:$AB$5,0)),"NA")</f>
        <v>161999.05907341951</v>
      </c>
      <c r="R867" s="159">
        <f t="shared" si="1581"/>
        <v>1619.9905907341952</v>
      </c>
      <c r="S867" s="165">
        <f t="shared" si="1592"/>
        <v>6.0104729173904539E-2</v>
      </c>
      <c r="T867" s="165">
        <f t="shared" si="1593"/>
        <v>2.411826497418289E-3</v>
      </c>
      <c r="U867" s="165"/>
      <c r="V867" s="165"/>
      <c r="W867" s="159">
        <f t="shared" si="1562"/>
        <v>155257.73307327653</v>
      </c>
      <c r="X867" s="163"/>
      <c r="Y867" s="167">
        <v>7267.5914506524741</v>
      </c>
      <c r="Z867" s="168">
        <v>4.2997786550484675E-2</v>
      </c>
      <c r="AA867" s="76">
        <f t="shared" si="1582"/>
        <v>1.725375063794799E-3</v>
      </c>
      <c r="AB867" s="168"/>
      <c r="AC867" s="168"/>
      <c r="AD867" s="163">
        <f t="shared" si="1526"/>
        <v>429120.16637122043</v>
      </c>
      <c r="AE867" s="168">
        <f t="shared" si="1594"/>
        <v>9.3542186275883926E-2</v>
      </c>
      <c r="AF867" s="163"/>
      <c r="AG867" s="163"/>
      <c r="AH867" s="163"/>
      <c r="AI867" s="163"/>
      <c r="AJ867" s="116">
        <f t="shared" si="1595"/>
        <v>516.51999885798045</v>
      </c>
      <c r="AK867" s="114">
        <f>+AV867/$AX$17</f>
        <v>2.3262725566950377E-2</v>
      </c>
      <c r="AL867" s="115">
        <f t="shared" si="1583"/>
        <v>0.26068076727895928</v>
      </c>
      <c r="AM867" s="115">
        <f t="shared" si="1584"/>
        <v>0.37751443947120034</v>
      </c>
      <c r="AN867" s="115">
        <f t="shared" si="1585"/>
        <v>0.36180479324984038</v>
      </c>
      <c r="AO867" s="115">
        <f t="shared" si="1587"/>
        <v>5.0608586107823865E-2</v>
      </c>
      <c r="AP867" s="166">
        <f t="shared" si="1598"/>
        <v>100.37511229881189</v>
      </c>
      <c r="AQ867" s="168">
        <f t="shared" si="1599"/>
        <v>5.0608586107823761E-2</v>
      </c>
      <c r="AR867" s="69">
        <f>+AD867/$AF$17</f>
        <v>4.0127067047253634E-2</v>
      </c>
      <c r="AS867" s="169">
        <f t="shared" si="1597"/>
        <v>2.0307741279153527E-3</v>
      </c>
      <c r="AT867" s="115"/>
      <c r="AU867" s="115"/>
      <c r="AV867" s="113">
        <f>IFERROR(INDEX('Total Customers'!$F$7:$AB$91,MATCH($C867,'Total Customers'!$D$7:$D$91,0),MATCH($G867,'Total Customers'!$F$5:$AB$5,0)),"NA")</f>
        <v>830791</v>
      </c>
      <c r="AW867" s="68">
        <f t="shared" si="1551"/>
        <v>3.8773130769479171E-3</v>
      </c>
      <c r="AX867" s="114"/>
      <c r="AY867" s="114"/>
      <c r="AZ867" s="116"/>
      <c r="BA867" s="116"/>
      <c r="BB867" s="166"/>
      <c r="BC867" s="166"/>
      <c r="BD867" s="166"/>
      <c r="BE867" s="166"/>
      <c r="BF867" s="166"/>
      <c r="BG867" s="166"/>
      <c r="BH867" s="166"/>
      <c r="BI867" s="113"/>
      <c r="BJ867" s="113"/>
      <c r="BK867" s="113">
        <f>INDEX('Dist. Plant Gas Additions'!$F$7:$AE$91,MATCH($C867,'Dist. Plant Gas Additions'!$D$7:$D$91,0),MATCH(Calculation!$G867,'Dist. Plant Gas Additions'!$F$5:$AE$5,0))</f>
        <v>223706</v>
      </c>
      <c r="BL867" s="113">
        <f>INDEX('Gen. Plant Additions'!$F$7:$AE$91,MATCH($C867,'Gen. Plant Additions'!$D$7:$D$91,0),MATCH(Calculation!$G867,'Gen. Plant Additions'!$F$5:$AE$5,0))</f>
        <v>16081</v>
      </c>
      <c r="BM867" s="231">
        <f t="shared" si="1563"/>
        <v>0.97033878515762195</v>
      </c>
      <c r="BN867" s="61">
        <f t="shared" si="1600"/>
        <v>15604.018004119718</v>
      </c>
      <c r="BO867" s="113">
        <f>INDEX('Dist Plant Depreciation'!$E$7:$AD$94,MATCH($C867,'Dist Plant Depreciation'!$D$7:$D$94,0),MATCH(Calculation!$G867,'Dist Plant Depreciation'!$E$5:$AD$5,0))</f>
        <v>822936</v>
      </c>
      <c r="BP867" s="113">
        <f>INDEX('Gen. Plant Depreciation'!$E$7:$AD$94,MATCH($C867,'Gen. Plant Depreciation'!$D$7:$D$94,0),MATCH(Calculation!$G867,'Gen. Plant Depreciation'!$E$5:$AD$5,0))</f>
        <v>38159</v>
      </c>
      <c r="BQ867" s="113"/>
      <c r="BR867" s="113"/>
      <c r="BS867" s="113"/>
      <c r="BT867" s="113"/>
      <c r="BU867" s="113"/>
      <c r="BV867" s="175"/>
      <c r="BW867" s="113">
        <f>INDEX('Gross Dx Plant'!$E$7:$AD$91,MATCH($C867,'Gross Dx Plant'!$D$7:$D$91,0),MATCH(Calculation!$G867,'Gross Dx Plant'!$E$5:$AD$5,0))</f>
        <v>2555557</v>
      </c>
      <c r="BX867" s="113">
        <f>INDEX('Gross Gen Plant'!$E$7:$AD$91,MATCH($C867,'Gross Gen Plant'!$D$7:$D$91,0),MATCH(Calculation!$G867,'Gross Gen Plant'!$E$5:$AD$5,0))</f>
        <v>78118</v>
      </c>
      <c r="BY867" s="113">
        <f t="shared" si="1532"/>
        <v>1772580</v>
      </c>
      <c r="BZ867" s="113"/>
      <c r="CA867" s="116">
        <v>2012</v>
      </c>
      <c r="CB867" s="113"/>
      <c r="CC867" s="113"/>
      <c r="CD867" s="113"/>
      <c r="CE867" s="175"/>
      <c r="CF867" s="113">
        <f t="shared" si="1564"/>
        <v>239787</v>
      </c>
      <c r="CG867" s="113">
        <f t="shared" si="1565"/>
        <v>358.46923847660747</v>
      </c>
      <c r="CH867" s="178">
        <v>0.9135802469135802</v>
      </c>
      <c r="CI867" s="61">
        <f>+CI853*CH867+CG854*CH866+CG855*CH865+CG856*CH864+CG857*CH863+CG858*CH862+CG859*CH861+CG860*CH860+CG861*CH859+CG862*CH858+CG863*CH857+CG864*CH856+CG865*CH855+CG866*CH854+CG867</f>
        <v>7267.5914506524741</v>
      </c>
      <c r="CJ867" s="114">
        <f t="shared" si="1566"/>
        <v>4.2997786550484675E-2</v>
      </c>
      <c r="CK867" s="114"/>
      <c r="CL867" s="169">
        <f t="shared" si="1567"/>
        <v>7.5558620071487234E-3</v>
      </c>
      <c r="CM867" s="169">
        <f t="shared" si="1575"/>
        <v>7.3619653862003779E-3</v>
      </c>
      <c r="CN867" s="114">
        <f>VLOOKUP($H867,RoR!$E:$F,2,FALSE)</f>
        <v>3.6733333333333333E-2</v>
      </c>
      <c r="CO867" s="169">
        <v>1.924331376386168E-2</v>
      </c>
      <c r="CP867" s="169">
        <f t="shared" si="1573"/>
        <v>1.7490019569471653E-2</v>
      </c>
      <c r="CQ867" s="169">
        <f t="shared" si="1576"/>
        <v>2.3539976222333246E-2</v>
      </c>
      <c r="CR867" s="169">
        <f t="shared" si="1577"/>
        <v>6.7122682943869583E-2</v>
      </c>
      <c r="CS867" s="179">
        <f t="shared" si="1568"/>
        <v>0.85150049999999999</v>
      </c>
      <c r="CT867" s="180">
        <f t="shared" si="1569"/>
        <v>1.3960631020522127</v>
      </c>
      <c r="CU867" s="180">
        <f t="shared" si="1570"/>
        <v>0.29441923774954631</v>
      </c>
      <c r="CV867" s="180">
        <f t="shared" si="1571"/>
        <v>0.76377954189366437</v>
      </c>
      <c r="CW867" s="180">
        <f t="shared" si="1572"/>
        <v>0.31393465103033691</v>
      </c>
      <c r="CX867" s="181">
        <f>INDEX('State Tax Lookup'!$D$7:$Z$91,MATCH(Calculation!$C867,'State Tax Lookup'!$B$7:$B$91,0),MATCH($H867,'State Tax Lookup'!$D$6:$Z$6,0))</f>
        <v>0.40134999999999998</v>
      </c>
      <c r="CY867" s="72">
        <v>0.37</v>
      </c>
      <c r="CZ867" s="70">
        <f t="shared" si="1574"/>
        <v>22.30162129642034</v>
      </c>
      <c r="DA867" s="70">
        <v>20.759737328210988</v>
      </c>
      <c r="DB867" s="69">
        <f t="shared" si="1578"/>
        <v>7.7928872014231473E-2</v>
      </c>
      <c r="DC867" s="111">
        <f>VLOOKUP($H867,RoR!$E:$F,2,FALSE)</f>
        <v>3.6733333333333333E-2</v>
      </c>
      <c r="DD867" s="216">
        <f>HLOOKUP($H867,'GDP-PI'!$D$8:$CQ$11,3,FALSE)</f>
        <v>1.924331376386168E-2</v>
      </c>
      <c r="DE867" s="111">
        <f>VLOOKUP(H867,'HW Dx Data'!$E:$F,2,FALSE)</f>
        <v>668.91932211262167</v>
      </c>
      <c r="DF867" s="72">
        <f t="shared" si="1588"/>
        <v>124.80000000000001</v>
      </c>
      <c r="DG867" s="69">
        <f t="shared" si="1589"/>
        <v>3.1955502161869064E-2</v>
      </c>
      <c r="DH867" s="66">
        <f>HLOOKUP(H867,'GDP-PI'!$8:$9,2,FALSE)</f>
        <v>100</v>
      </c>
      <c r="DI867" s="69">
        <f t="shared" si="1579"/>
        <v>1.9060502738742411E-2</v>
      </c>
      <c r="EB867"/>
    </row>
    <row r="868" spans="1:132" s="160" customFormat="1" ht="21">
      <c r="A868" s="160" t="s">
        <v>210</v>
      </c>
      <c r="B868" s="161" t="s">
        <v>211</v>
      </c>
      <c r="C868" s="161">
        <v>4057135</v>
      </c>
      <c r="D868" s="161" t="s">
        <v>192</v>
      </c>
      <c r="E868" s="161"/>
      <c r="F868" s="161"/>
      <c r="G868" s="161" t="s">
        <v>129</v>
      </c>
      <c r="H868" s="162">
        <v>2013</v>
      </c>
      <c r="I868" s="163"/>
      <c r="J868" s="159">
        <f>IFERROR(INDEX('Labor Expenditures'!$F$7:$X$91,MATCH($C868,'Labor Expenditures'!$D$7:$D$91,0),MATCH($G868,'Labor Expenditures'!$F$5:$X$5,0)),"NA")</f>
        <v>138974.0076375358</v>
      </c>
      <c r="K868" s="159">
        <f t="shared" si="1580"/>
        <v>1096.0095239553298</v>
      </c>
      <c r="L868" s="165">
        <f t="shared" si="1586"/>
        <v>0.20111008051459356</v>
      </c>
      <c r="M868" s="76">
        <f t="shared" si="1590"/>
        <v>9.0616139246512458E-3</v>
      </c>
      <c r="N868" s="62">
        <f t="shared" si="1596"/>
        <v>106.63356024733193</v>
      </c>
      <c r="O868" s="96">
        <f t="shared" si="1591"/>
        <v>-7.8952089959566846E-2</v>
      </c>
      <c r="P868" s="96"/>
      <c r="Q868" s="159">
        <f>IFERROR(INDEX('Non-Labor Expenditures'!$F$7:$AB$91,MATCH($C868,'Non-Labor Expenditures'!$D$7:$D$91,0),MATCH($G868,'Non-Labor Expenditures'!$F$5:$AB$5,0)),"NA")</f>
        <v>201260.3198233156</v>
      </c>
      <c r="R868" s="159">
        <f t="shared" si="1581"/>
        <v>1977.5413893991099</v>
      </c>
      <c r="S868" s="165">
        <f t="shared" si="1592"/>
        <v>0.1994340095658812</v>
      </c>
      <c r="T868" s="165">
        <f t="shared" si="1593"/>
        <v>8.9860935538737443E-3</v>
      </c>
      <c r="U868" s="165"/>
      <c r="V868" s="165"/>
      <c r="W868" s="159">
        <f t="shared" si="1562"/>
        <v>159514.24638001373</v>
      </c>
      <c r="X868" s="163"/>
      <c r="Y868" s="167">
        <v>7688.4215672581076</v>
      </c>
      <c r="Z868" s="168">
        <v>5.629056773464975E-2</v>
      </c>
      <c r="AA868" s="76">
        <f t="shared" si="1582"/>
        <v>2.5363392581099985E-3</v>
      </c>
      <c r="AB868" s="168"/>
      <c r="AC868" s="168"/>
      <c r="AD868" s="163">
        <f t="shared" si="1526"/>
        <v>499748.57384086517</v>
      </c>
      <c r="AE868" s="168">
        <f t="shared" si="1594"/>
        <v>0.15236813183480252</v>
      </c>
      <c r="AF868" s="163"/>
      <c r="AG868" s="163"/>
      <c r="AH868" s="163"/>
      <c r="AI868" s="163"/>
      <c r="AJ868" s="116">
        <f t="shared" si="1595"/>
        <v>601.50593424262422</v>
      </c>
      <c r="AK868" s="114">
        <f>+AV868/$AX$18</f>
        <v>2.3115521937389281E-2</v>
      </c>
      <c r="AL868" s="115">
        <f t="shared" si="1583"/>
        <v>0.27808785239633171</v>
      </c>
      <c r="AM868" s="115">
        <f t="shared" si="1584"/>
        <v>0.40272314991618741</v>
      </c>
      <c r="AN868" s="115">
        <f t="shared" si="1585"/>
        <v>0.31918899768748077</v>
      </c>
      <c r="AO868" s="115">
        <f t="shared" si="1587"/>
        <v>0.1511456192314059</v>
      </c>
      <c r="AP868" s="166">
        <f t="shared" si="1598"/>
        <v>116.7529203908269</v>
      </c>
      <c r="AQ868" s="168">
        <f t="shared" si="1599"/>
        <v>0.15114561923140599</v>
      </c>
      <c r="AR868" s="69">
        <f>+AD868/$AF$18</f>
        <v>4.5057979696814299E-2</v>
      </c>
      <c r="AS868" s="169">
        <f t="shared" si="1597"/>
        <v>6.8103162425911159E-3</v>
      </c>
      <c r="AT868" s="115"/>
      <c r="AU868" s="115"/>
      <c r="AV868" s="113">
        <f>IFERROR(INDEX('Total Customers'!$F$7:$AB$91,MATCH($C868,'Total Customers'!$D$7:$D$91,0),MATCH($G868,'Total Customers'!$F$5:$AB$5,0)),"NA")</f>
        <v>830829</v>
      </c>
      <c r="AW868" s="68">
        <f t="shared" si="1551"/>
        <v>4.5738496174369374E-5</v>
      </c>
      <c r="AX868" s="114"/>
      <c r="AY868" s="114"/>
      <c r="AZ868" s="116"/>
      <c r="BA868" s="116"/>
      <c r="BB868" s="166"/>
      <c r="BC868" s="166"/>
      <c r="BD868" s="166"/>
      <c r="BE868" s="166"/>
      <c r="BF868" s="166"/>
      <c r="BG868" s="166"/>
      <c r="BH868" s="166"/>
      <c r="BI868" s="113"/>
      <c r="BJ868" s="113"/>
      <c r="BK868" s="113">
        <f>INDEX('Dist. Plant Gas Additions'!$F$7:$AE$91,MATCH($C868,'Dist. Plant Gas Additions'!$D$7:$D$91,0),MATCH(Calculation!$G868,'Dist. Plant Gas Additions'!$F$5:$AE$5,0))</f>
        <v>304610</v>
      </c>
      <c r="BL868" s="113">
        <f>INDEX('Gen. Plant Additions'!$F$7:$AE$91,MATCH($C868,'Gen. Plant Additions'!$D$7:$D$91,0),MATCH(Calculation!$G868,'Gen. Plant Additions'!$F$5:$AE$5,0))</f>
        <v>11851</v>
      </c>
      <c r="BM868" s="231">
        <f t="shared" si="1563"/>
        <v>0.97094950021789328</v>
      </c>
      <c r="BN868" s="61">
        <f t="shared" si="1600"/>
        <v>11506.722527082253</v>
      </c>
      <c r="BO868" s="113">
        <f>INDEX('Dist Plant Depreciation'!$E$7:$AD$94,MATCH($C868,'Dist Plant Depreciation'!$D$7:$D$94,0),MATCH(Calculation!$G868,'Dist Plant Depreciation'!$E$5:$AD$5,0))</f>
        <v>853597</v>
      </c>
      <c r="BP868" s="113">
        <f>INDEX('Gen. Plant Depreciation'!$E$7:$AD$94,MATCH($C868,'Gen. Plant Depreciation'!$D$7:$D$94,0),MATCH(Calculation!$G868,'Gen. Plant Depreciation'!$E$5:$AD$5,0))</f>
        <v>40659</v>
      </c>
      <c r="BQ868" s="113"/>
      <c r="BR868" s="113"/>
      <c r="BS868" s="113"/>
      <c r="BT868" s="113"/>
      <c r="BU868" s="113"/>
      <c r="BV868" s="175"/>
      <c r="BW868" s="113">
        <f>INDEX('Gross Dx Plant'!$E$7:$AD$91,MATCH($C868,'Gross Dx Plant'!$D$7:$D$91,0),MATCH(Calculation!$G868,'Gross Dx Plant'!$E$5:$AD$5,0))</f>
        <v>2829609</v>
      </c>
      <c r="BX868" s="113">
        <f>INDEX('Gross Gen Plant'!$E$7:$AD$91,MATCH($C868,'Gross Gen Plant'!$D$7:$D$91,0),MATCH(Calculation!$G868,'Gross Gen Plant'!$E$5:$AD$5,0))</f>
        <v>84661</v>
      </c>
      <c r="BY868" s="113">
        <f t="shared" si="1532"/>
        <v>2020014</v>
      </c>
      <c r="BZ868" s="113"/>
      <c r="CA868" s="116">
        <v>2013</v>
      </c>
      <c r="CB868" s="113"/>
      <c r="CC868" s="113"/>
      <c r="CD868" s="113"/>
      <c r="CE868" s="175"/>
      <c r="CF868" s="113">
        <f t="shared" si="1564"/>
        <v>316461</v>
      </c>
      <c r="CG868" s="113">
        <f t="shared" si="1565"/>
        <v>477.13797331642974</v>
      </c>
      <c r="CH868" s="178">
        <v>0.90566037735849059</v>
      </c>
      <c r="CI868" s="61">
        <f>+CI853*CH868+CG854*CH867+CG855*CH866+CG856*CH865+CG857*CH864+CG858*CH863+CG859*CH862+CG860*CH861+CG861*CH860+CG862*CH859+CG863*CH858+CG864*CH857+CG865*CH856+CG866*CH855+CG867*CH854+CG868</f>
        <v>7688.4215672581076</v>
      </c>
      <c r="CJ868" s="114">
        <f t="shared" si="1566"/>
        <v>5.629056773464975E-2</v>
      </c>
      <c r="CK868" s="114"/>
      <c r="CL868" s="169">
        <f t="shared" si="1567"/>
        <v>7.7478016056806518E-3</v>
      </c>
      <c r="CM868" s="169">
        <f t="shared" si="1575"/>
        <v>7.555511412020148E-3</v>
      </c>
      <c r="CN868" s="114">
        <f>VLOOKUP($H868,RoR!$E:$F,2,FALSE)</f>
        <v>4.2350000000000006E-2</v>
      </c>
      <c r="CO868" s="169">
        <v>1.7730000000000024E-2</v>
      </c>
      <c r="CP868" s="169">
        <f t="shared" si="1573"/>
        <v>2.4619999999999982E-2</v>
      </c>
      <c r="CQ868" s="169">
        <f t="shared" si="1576"/>
        <v>2.3346430196513477E-2</v>
      </c>
      <c r="CR868" s="169">
        <f t="shared" si="1577"/>
        <v>5.3376742735721204E-2</v>
      </c>
      <c r="CS868" s="179">
        <f t="shared" si="1568"/>
        <v>0.85150049999999999</v>
      </c>
      <c r="CT868" s="180">
        <f t="shared" si="1569"/>
        <v>1.2109103018193925</v>
      </c>
      <c r="CU868" s="180">
        <f t="shared" si="1570"/>
        <v>0.38468122786304604</v>
      </c>
      <c r="CV868" s="180">
        <f t="shared" si="1571"/>
        <v>0.80969194503422559</v>
      </c>
      <c r="CW868" s="180">
        <f t="shared" si="1572"/>
        <v>0.37716621754800816</v>
      </c>
      <c r="CX868" s="181">
        <f>INDEX('State Tax Lookup'!$D$7:$Z$91,MATCH(Calculation!$C868,'State Tax Lookup'!$B$7:$B$91,0),MATCH($H868,'State Tax Lookup'!$D$6:$Z$6,0))</f>
        <v>0.40134999999999998</v>
      </c>
      <c r="CY868" s="72">
        <v>0.37</v>
      </c>
      <c r="CZ868" s="70">
        <f t="shared" si="1574"/>
        <v>21.948708518238565</v>
      </c>
      <c r="DA868" s="70">
        <v>20.339519021246105</v>
      </c>
      <c r="DB868" s="69">
        <f t="shared" si="1578"/>
        <v>-1.5951079346314147E-2</v>
      </c>
      <c r="DC868" s="111">
        <f>VLOOKUP($H868,RoR!$E:$F,2,FALSE)</f>
        <v>4.2350000000000006E-2</v>
      </c>
      <c r="DD868" s="216">
        <f>HLOOKUP($H868,'GDP-PI'!$D$8:$CQ$11,3,FALSE)</f>
        <v>1.7730000000000024E-2</v>
      </c>
      <c r="DE868" s="111">
        <f>VLOOKUP(H868,'HW Dx Data'!$E:$F,2,FALSE)</f>
        <v>663.24840548821396</v>
      </c>
      <c r="DF868" s="72">
        <f t="shared" si="1588"/>
        <v>126.8</v>
      </c>
      <c r="DG868" s="69">
        <f t="shared" si="1589"/>
        <v>1.5898586067798204E-2</v>
      </c>
      <c r="DH868" s="66">
        <f>HLOOKUP(H868,'GDP-PI'!$8:$9,2,FALSE)</f>
        <v>101.773</v>
      </c>
      <c r="DI868" s="69">
        <f t="shared" si="1579"/>
        <v>1.7574657016510519E-2</v>
      </c>
      <c r="EB868"/>
    </row>
    <row r="869" spans="1:132" s="160" customFormat="1" ht="21">
      <c r="A869" s="160" t="s">
        <v>210</v>
      </c>
      <c r="B869" s="161" t="s">
        <v>211</v>
      </c>
      <c r="C869" s="161">
        <v>4057135</v>
      </c>
      <c r="D869" s="161" t="s">
        <v>192</v>
      </c>
      <c r="E869" s="161"/>
      <c r="F869" s="161"/>
      <c r="G869" s="161" t="s">
        <v>130</v>
      </c>
      <c r="H869" s="162">
        <v>2014</v>
      </c>
      <c r="I869" s="163"/>
      <c r="J869" s="159">
        <f>IFERROR(INDEX('Labor Expenditures'!$F$7:$X$91,MATCH($C869,'Labor Expenditures'!$D$7:$D$91,0),MATCH($G869,'Labor Expenditures'!$F$5:$X$5,0)),"NA")</f>
        <v>160921.62275994557</v>
      </c>
      <c r="K869" s="159">
        <f t="shared" si="1580"/>
        <v>1243.5983211742316</v>
      </c>
      <c r="L869" s="165">
        <f t="shared" si="1586"/>
        <v>0.12633317100074412</v>
      </c>
      <c r="M869" s="76">
        <f t="shared" si="1590"/>
        <v>6.2911942243097816E-3</v>
      </c>
      <c r="N869" s="62">
        <f t="shared" si="1596"/>
        <v>120.09763581966251</v>
      </c>
      <c r="O869" s="96">
        <f t="shared" si="1591"/>
        <v>0.11890675752478992</v>
      </c>
      <c r="P869" s="96"/>
      <c r="Q869" s="159">
        <f>IFERROR(INDEX('Non-Labor Expenditures'!$F$7:$AB$91,MATCH($C869,'Non-Labor Expenditures'!$D$7:$D$91,0),MATCH($G869,'Non-Labor Expenditures'!$F$5:$AB$5,0)),"NA")</f>
        <v>233044.56576962146</v>
      </c>
      <c r="R869" s="159">
        <f t="shared" si="1581"/>
        <v>2248.4448731716448</v>
      </c>
      <c r="S869" s="165">
        <f t="shared" si="1592"/>
        <v>0.12838445916616276</v>
      </c>
      <c r="T869" s="165">
        <f t="shared" si="1593"/>
        <v>6.3933451650045317E-3</v>
      </c>
      <c r="U869" s="165"/>
      <c r="V869" s="165"/>
      <c r="W869" s="159">
        <f t="shared" si="1562"/>
        <v>172976.11568974762</v>
      </c>
      <c r="X869" s="163"/>
      <c r="Y869" s="167">
        <v>8023.9757315125216</v>
      </c>
      <c r="Z869" s="168">
        <v>4.2718521552103865E-2</v>
      </c>
      <c r="AA869" s="76">
        <f t="shared" si="1582"/>
        <v>2.1273155255326077E-3</v>
      </c>
      <c r="AB869" s="168"/>
      <c r="AC869" s="168"/>
      <c r="AD869" s="163">
        <f t="shared" si="1526"/>
        <v>566942.3042193146</v>
      </c>
      <c r="AE869" s="168">
        <f t="shared" si="1594"/>
        <v>0.1261524226919824</v>
      </c>
      <c r="AF869" s="163"/>
      <c r="AG869" s="163"/>
      <c r="AH869" s="163"/>
      <c r="AI869" s="163"/>
      <c r="AJ869" s="116">
        <f t="shared" si="1595"/>
        <v>682.18439650536186</v>
      </c>
      <c r="AK869" s="114">
        <f>+AV869/$AX$19</f>
        <v>2.2998640951284288E-2</v>
      </c>
      <c r="AL869" s="115">
        <f t="shared" si="1583"/>
        <v>0.28384126843654101</v>
      </c>
      <c r="AM869" s="115">
        <f t="shared" si="1584"/>
        <v>0.41105517093229837</v>
      </c>
      <c r="AN869" s="115">
        <f t="shared" si="1585"/>
        <v>0.30510356063116073</v>
      </c>
      <c r="AO869" s="115">
        <f t="shared" si="1587"/>
        <v>0.1010678162115555</v>
      </c>
      <c r="AP869" s="166">
        <f t="shared" si="1598"/>
        <v>129.16978819469739</v>
      </c>
      <c r="AQ869" s="168">
        <f t="shared" si="1599"/>
        <v>0.10106781621155546</v>
      </c>
      <c r="AR869" s="69">
        <f>+AD869/$AF$19</f>
        <v>4.9798435157403953E-2</v>
      </c>
      <c r="AS869" s="169">
        <f t="shared" si="1597"/>
        <v>5.0330190921115646E-3</v>
      </c>
      <c r="AT869" s="115"/>
      <c r="AU869" s="115"/>
      <c r="AV869" s="113">
        <f>IFERROR(INDEX('Total Customers'!$F$7:$AB$91,MATCH($C869,'Total Customers'!$D$7:$D$91,0),MATCH($G869,'Total Customers'!$F$5:$AB$5,0)),"NA")</f>
        <v>831069</v>
      </c>
      <c r="AW869" s="68">
        <f t="shared" si="1551"/>
        <v>2.8882639207511874E-4</v>
      </c>
      <c r="AX869" s="114"/>
      <c r="AY869" s="114"/>
      <c r="AZ869" s="116"/>
      <c r="BA869" s="116"/>
      <c r="BB869" s="166"/>
      <c r="BC869" s="166"/>
      <c r="BD869" s="166"/>
      <c r="BE869" s="166"/>
      <c r="BF869" s="166"/>
      <c r="BG869" s="166"/>
      <c r="BH869" s="166"/>
      <c r="BI869" s="113"/>
      <c r="BJ869" s="113"/>
      <c r="BK869" s="113">
        <f>INDEX('Dist. Plant Gas Additions'!$F$7:$AE$91,MATCH($C869,'Dist. Plant Gas Additions'!$D$7:$D$91,0),MATCH(Calculation!$G869,'Dist. Plant Gas Additions'!$F$5:$AE$5,0))</f>
        <v>259442</v>
      </c>
      <c r="BL869" s="113">
        <f>INDEX('Gen. Plant Additions'!$F$7:$AE$91,MATCH($C869,'Gen. Plant Additions'!$D$7:$D$91,0),MATCH(Calculation!$G869,'Gen. Plant Additions'!$F$5:$AE$5,0))</f>
        <v>11827</v>
      </c>
      <c r="BM869" s="231">
        <f t="shared" si="1563"/>
        <v>0.96978651653282277</v>
      </c>
      <c r="BN869" s="61">
        <f t="shared" si="1600"/>
        <v>11469.665131033695</v>
      </c>
      <c r="BO869" s="113">
        <f>INDEX('Dist Plant Depreciation'!$E$7:$AD$94,MATCH($C869,'Dist Plant Depreciation'!$D$7:$D$94,0),MATCH(Calculation!$G869,'Dist Plant Depreciation'!$E$5:$AD$5,0))</f>
        <v>883686</v>
      </c>
      <c r="BP869" s="113">
        <f>INDEX('Gen. Plant Depreciation'!$E$7:$AD$94,MATCH($C869,'Gen. Plant Depreciation'!$D$7:$D$94,0),MATCH(Calculation!$G869,'Gen. Plant Depreciation'!$E$5:$AD$5,0))</f>
        <v>47025</v>
      </c>
      <c r="BQ869" s="113"/>
      <c r="BR869" s="113"/>
      <c r="BS869" s="113"/>
      <c r="BT869" s="113"/>
      <c r="BU869" s="113"/>
      <c r="BV869" s="175"/>
      <c r="BW869" s="113">
        <f>INDEX('Gross Dx Plant'!$E$7:$AD$91,MATCH($C869,'Gross Dx Plant'!$D$7:$D$91,0),MATCH(Calculation!$G869,'Gross Dx Plant'!$E$5:$AD$5,0))</f>
        <v>3054042</v>
      </c>
      <c r="BX869" s="113">
        <f>INDEX('Gross Gen Plant'!$E$7:$AD$91,MATCH($C869,'Gross Gen Plant'!$D$7:$D$91,0),MATCH(Calculation!$G869,'Gross Gen Plant'!$E$5:$AD$5,0))</f>
        <v>95148</v>
      </c>
      <c r="BY869" s="113">
        <f t="shared" si="1532"/>
        <v>2218479</v>
      </c>
      <c r="BZ869" s="113"/>
      <c r="CA869" s="116">
        <v>2014</v>
      </c>
      <c r="CB869" s="113"/>
      <c r="CC869" s="113"/>
      <c r="CD869" s="113"/>
      <c r="CE869" s="175"/>
      <c r="CF869" s="113">
        <f t="shared" si="1564"/>
        <v>271269</v>
      </c>
      <c r="CG869" s="113">
        <f t="shared" si="1565"/>
        <v>396.32027657275717</v>
      </c>
      <c r="CH869" s="178">
        <v>0.89743589743589747</v>
      </c>
      <c r="CI869" s="61">
        <f>+CI853*CH869+CG854*CH868+CG855*CH867+CG856*CH866+CG857*CH865+CG858*CH864+CG859*CH863+CG860*CH862+CG861*CH861+CG862*CH860+CG863*CH859+CG864*CH858+CG865*CH857+CG866*CH856+CG867*CH855+CG868*CH854+CG869</f>
        <v>8023.9757315125216</v>
      </c>
      <c r="CJ869" s="114">
        <f t="shared" si="1566"/>
        <v>4.2718521552103865E-2</v>
      </c>
      <c r="CK869" s="114"/>
      <c r="CL869" s="169">
        <f t="shared" si="1567"/>
        <v>7.9035874641840125E-3</v>
      </c>
      <c r="CM869" s="169">
        <f t="shared" si="1575"/>
        <v>7.735750359004462E-3</v>
      </c>
      <c r="CN869" s="114">
        <f>VLOOKUP($H869,RoR!$E:$F,2,FALSE)</f>
        <v>4.1625000000000002E-2</v>
      </c>
      <c r="CO869" s="169">
        <v>1.841352814597208E-2</v>
      </c>
      <c r="CP869" s="169">
        <f t="shared" si="1573"/>
        <v>2.3211471854027922E-2</v>
      </c>
      <c r="CQ869" s="169">
        <f t="shared" si="1576"/>
        <v>2.3166191249529164E-2</v>
      </c>
      <c r="CR869" s="169">
        <f t="shared" si="1577"/>
        <v>3.9072621432650924E-2</v>
      </c>
      <c r="CS869" s="179">
        <f t="shared" si="1568"/>
        <v>0.85150049999999999</v>
      </c>
      <c r="CT869" s="180">
        <f t="shared" si="1569"/>
        <v>1.2320012320012319</v>
      </c>
      <c r="CU869" s="180">
        <f t="shared" si="1570"/>
        <v>0.37439939939939942</v>
      </c>
      <c r="CV869" s="180">
        <f t="shared" si="1571"/>
        <v>0.80432100613819935</v>
      </c>
      <c r="CW869" s="180">
        <f t="shared" si="1572"/>
        <v>0.37100152660040037</v>
      </c>
      <c r="CX869" s="181">
        <f>INDEX('State Tax Lookup'!$D$7:$Z$91,MATCH(Calculation!$C869,'State Tax Lookup'!$B$7:$B$91,0),MATCH($H869,'State Tax Lookup'!$D$6:$Z$6,0))</f>
        <v>0.40134999999999998</v>
      </c>
      <c r="CY869" s="72">
        <v>0.37</v>
      </c>
      <c r="CZ869" s="70">
        <f t="shared" si="1574"/>
        <v>22.498261076939805</v>
      </c>
      <c r="DA869" s="70">
        <v>20.763592984765573</v>
      </c>
      <c r="DB869" s="69">
        <f t="shared" si="1578"/>
        <v>2.4729720402044915E-2</v>
      </c>
      <c r="DC869" s="111">
        <f>VLOOKUP($H869,RoR!$E:$F,2,FALSE)</f>
        <v>4.1625000000000002E-2</v>
      </c>
      <c r="DD869" s="216">
        <f>HLOOKUP($H869,'GDP-PI'!$D$8:$CQ$11,3,FALSE)</f>
        <v>1.841352814597208E-2</v>
      </c>
      <c r="DE869" s="111">
        <f>VLOOKUP(H869,'HW Dx Data'!$E:$F,2,FALSE)</f>
        <v>684.46914285042885</v>
      </c>
      <c r="DF869" s="72">
        <f t="shared" si="1588"/>
        <v>129.4</v>
      </c>
      <c r="DG869" s="69">
        <f t="shared" si="1589"/>
        <v>2.0297340063674733E-2</v>
      </c>
      <c r="DH869" s="66">
        <f>HLOOKUP(H869,'GDP-PI'!$8:$9,2,FALSE)</f>
        <v>103.64700000000001</v>
      </c>
      <c r="DI869" s="69">
        <f t="shared" si="1579"/>
        <v>1.8246051898256087E-2</v>
      </c>
      <c r="EB869"/>
    </row>
    <row r="870" spans="1:132" s="160" customFormat="1" ht="21">
      <c r="A870" s="160" t="s">
        <v>210</v>
      </c>
      <c r="B870" s="161" t="s">
        <v>211</v>
      </c>
      <c r="C870" s="161">
        <v>4057135</v>
      </c>
      <c r="D870" s="161" t="s">
        <v>192</v>
      </c>
      <c r="E870" s="161"/>
      <c r="F870" s="161"/>
      <c r="G870" s="161" t="s">
        <v>132</v>
      </c>
      <c r="H870" s="162">
        <v>2015</v>
      </c>
      <c r="I870" s="163"/>
      <c r="J870" s="159">
        <f>IFERROR(INDEX('Labor Expenditures'!$F$7:$X$91,MATCH($C870,'Labor Expenditures'!$D$7:$D$91,0),MATCH($G870,'Labor Expenditures'!$F$5:$X$5,0)),"NA")</f>
        <v>133235.14975086332</v>
      </c>
      <c r="K870" s="159">
        <f t="shared" si="1580"/>
        <v>998.01610300272148</v>
      </c>
      <c r="L870" s="165">
        <f t="shared" si="1586"/>
        <v>-0.21999491675665389</v>
      </c>
      <c r="M870" s="76">
        <f t="shared" si="1590"/>
        <v>-9.6317130623559816E-3</v>
      </c>
      <c r="N870" s="62">
        <f t="shared" si="1596"/>
        <v>118.5183708936147</v>
      </c>
      <c r="O870" s="96">
        <f t="shared" si="1591"/>
        <v>-1.323706659603306E-2</v>
      </c>
      <c r="P870" s="96"/>
      <c r="Q870" s="159">
        <f>IFERROR(INDEX('Non-Labor Expenditures'!$F$7:$AB$91,MATCH($C870,'Non-Labor Expenditures'!$D$7:$D$91,0),MATCH($G870,'Non-Labor Expenditures'!$F$5:$AB$5,0)),"NA")</f>
        <v>192949.3817326139</v>
      </c>
      <c r="R870" s="159">
        <f t="shared" si="1581"/>
        <v>1843.9528448533902</v>
      </c>
      <c r="S870" s="165">
        <f t="shared" si="1592"/>
        <v>-0.19832725716859298</v>
      </c>
      <c r="T870" s="165">
        <f t="shared" si="1593"/>
        <v>-8.6830698711323501E-3</v>
      </c>
      <c r="U870" s="165"/>
      <c r="V870" s="165"/>
      <c r="W870" s="159">
        <f t="shared" si="1562"/>
        <v>177185.55647672951</v>
      </c>
      <c r="X870" s="163"/>
      <c r="Y870" s="167">
        <v>8466.6769713326721</v>
      </c>
      <c r="Z870" s="168">
        <v>5.3704076274588383E-2</v>
      </c>
      <c r="AA870" s="76">
        <f t="shared" si="1582"/>
        <v>2.3512463859693702E-3</v>
      </c>
      <c r="AB870" s="168"/>
      <c r="AC870" s="168"/>
      <c r="AD870" s="163">
        <f t="shared" si="1526"/>
        <v>503370.08796020673</v>
      </c>
      <c r="AE870" s="168">
        <f t="shared" si="1594"/>
        <v>-0.11893188141092885</v>
      </c>
      <c r="AF870" s="163"/>
      <c r="AG870" s="163"/>
      <c r="AH870" s="163"/>
      <c r="AI870" s="163"/>
      <c r="AJ870" s="116">
        <f t="shared" si="1595"/>
        <v>602.88969236929938</v>
      </c>
      <c r="AK870" s="114">
        <f>+AV870/$AX$20</f>
        <v>2.2917583447958443E-2</v>
      </c>
      <c r="AL870" s="115">
        <f t="shared" si="1583"/>
        <v>0.26468626749509211</v>
      </c>
      <c r="AM870" s="115">
        <f t="shared" si="1584"/>
        <v>0.38331515190840515</v>
      </c>
      <c r="AN870" s="115">
        <f t="shared" si="1585"/>
        <v>0.35199858059650274</v>
      </c>
      <c r="AO870" s="115">
        <f t="shared" si="1587"/>
        <v>-0.12146474669922636</v>
      </c>
      <c r="AP870" s="166">
        <f t="shared" si="1598"/>
        <v>114.39564154106625</v>
      </c>
      <c r="AQ870" s="168">
        <f t="shared" si="1599"/>
        <v>-0.12146474669922637</v>
      </c>
      <c r="AR870" s="69">
        <f>+AD870/$AF$20</f>
        <v>4.3781525520473936E-2</v>
      </c>
      <c r="AS870" s="169">
        <f t="shared" si="1597"/>
        <v>-5.3179119074500819E-3</v>
      </c>
      <c r="AT870" s="115"/>
      <c r="AU870" s="115"/>
      <c r="AV870" s="113">
        <f>IFERROR(INDEX('Total Customers'!$F$7:$AB$91,MATCH($C870,'Total Customers'!$D$7:$D$91,0),MATCH($G870,'Total Customers'!$F$5:$AB$5,0)),"NA")</f>
        <v>834929</v>
      </c>
      <c r="AW870" s="68">
        <f t="shared" si="1551"/>
        <v>4.6338673960689665E-3</v>
      </c>
      <c r="AX870" s="114"/>
      <c r="AY870" s="114"/>
      <c r="AZ870" s="116"/>
      <c r="BA870" s="116"/>
      <c r="BB870" s="166"/>
      <c r="BC870" s="166"/>
      <c r="BD870" s="166"/>
      <c r="BE870" s="166"/>
      <c r="BF870" s="166"/>
      <c r="BG870" s="166"/>
      <c r="BH870" s="166"/>
      <c r="BI870" s="113"/>
      <c r="BJ870" s="113"/>
      <c r="BK870" s="113">
        <f>INDEX('Dist. Plant Gas Additions'!$F$7:$AE$91,MATCH($C870,'Dist. Plant Gas Additions'!$D$7:$D$91,0),MATCH(Calculation!$G870,'Dist. Plant Gas Additions'!$F$5:$AE$5,0))</f>
        <v>332216</v>
      </c>
      <c r="BL870" s="113">
        <f>INDEX('Gen. Plant Additions'!$F$7:$AE$91,MATCH($C870,'Gen. Plant Additions'!$D$7:$D$91,0),MATCH(Calculation!$G870,'Gen. Plant Additions'!$F$5:$AE$5,0))</f>
        <v>10803</v>
      </c>
      <c r="BM870" s="231">
        <f t="shared" si="1563"/>
        <v>0.97214256895432671</v>
      </c>
      <c r="BN870" s="61">
        <f t="shared" si="1600"/>
        <v>10502.056172413591</v>
      </c>
      <c r="BO870" s="113">
        <f>INDEX('Dist Plant Depreciation'!$E$7:$AD$94,MATCH($C870,'Dist Plant Depreciation'!$D$7:$D$94,0),MATCH(Calculation!$G870,'Dist Plant Depreciation'!$E$5:$AD$5,0))</f>
        <v>908933</v>
      </c>
      <c r="BP870" s="113">
        <f>INDEX('Gen. Plant Depreciation'!$E$7:$AD$94,MATCH($C870,'Gen. Plant Depreciation'!$D$7:$D$94,0),MATCH(Calculation!$G870,'Gen. Plant Depreciation'!$E$5:$AD$5,0))</f>
        <v>44479</v>
      </c>
      <c r="BQ870" s="113"/>
      <c r="BR870" s="113"/>
      <c r="BS870" s="113"/>
      <c r="BT870" s="113"/>
      <c r="BU870" s="113"/>
      <c r="BV870" s="175"/>
      <c r="BW870" s="113">
        <f>INDEX('Gross Dx Plant'!$E$7:$AD$91,MATCH($C870,'Gross Dx Plant'!$D$7:$D$91,0),MATCH(Calculation!$G870,'Gross Dx Plant'!$E$5:$AD$5,0))</f>
        <v>3325097</v>
      </c>
      <c r="BX870" s="113">
        <f>INDEX('Gross Gen Plant'!$E$7:$AD$91,MATCH($C870,'Gross Gen Plant'!$D$7:$D$91,0),MATCH(Calculation!$G870,'Gross Gen Plant'!$E$5:$AD$5,0))</f>
        <v>95283</v>
      </c>
      <c r="BY870" s="113">
        <f t="shared" si="1532"/>
        <v>2466968</v>
      </c>
      <c r="BZ870" s="113"/>
      <c r="CA870" s="116">
        <v>2015</v>
      </c>
      <c r="CB870" s="113"/>
      <c r="CC870" s="113"/>
      <c r="CD870" s="113"/>
      <c r="CE870" s="175"/>
      <c r="CF870" s="113">
        <f t="shared" si="1564"/>
        <v>343019</v>
      </c>
      <c r="CG870" s="113">
        <f t="shared" si="1565"/>
        <v>507.71398842097403</v>
      </c>
      <c r="CH870" s="178">
        <v>0.88888888888888884</v>
      </c>
      <c r="CI870" s="61">
        <f>+CI853*CH870+CG854*CH869+CG855*CH868+CG856*CH867+CG857*CH866+CG858*CH865+CG859*CH864+CG860*CH863+CG861*CH862+CG862*CH861+CG863*CH860+CG864*CH859+CG865*CH858+CG866*CH857+CG867*CH856+CG868*CH855+CG869*CH854+CG870</f>
        <v>8466.6769713326721</v>
      </c>
      <c r="CJ870" s="114">
        <f t="shared" si="1566"/>
        <v>5.3704076274588383E-2</v>
      </c>
      <c r="CK870" s="114"/>
      <c r="CL870" s="169">
        <f t="shared" si="1567"/>
        <v>8.1023112202968529E-3</v>
      </c>
      <c r="CM870" s="169">
        <f t="shared" si="1575"/>
        <v>7.9179000967205052E-3</v>
      </c>
      <c r="CN870" s="114">
        <f>VLOOKUP($H870,RoR!$E:$F,2,FALSE)</f>
        <v>3.8866666666666674E-2</v>
      </c>
      <c r="CO870" s="169">
        <v>9.5709475431029478E-3</v>
      </c>
      <c r="CP870" s="169">
        <f t="shared" si="1573"/>
        <v>2.9295719123563727E-2</v>
      </c>
      <c r="CQ870" s="169">
        <f t="shared" si="1576"/>
        <v>2.298404151181312E-2</v>
      </c>
      <c r="CR870" s="169">
        <f t="shared" si="1577"/>
        <v>3.5270373279175926E-3</v>
      </c>
      <c r="CS870" s="179">
        <f t="shared" si="1568"/>
        <v>0.85150049999999999</v>
      </c>
      <c r="CT870" s="180">
        <f t="shared" si="1569"/>
        <v>1.3194352816994324</v>
      </c>
      <c r="CU870" s="180">
        <f t="shared" si="1570"/>
        <v>0.33177530017152673</v>
      </c>
      <c r="CV870" s="180">
        <f t="shared" si="1571"/>
        <v>0.78242572977668579</v>
      </c>
      <c r="CW870" s="180">
        <f t="shared" si="1572"/>
        <v>0.34251158643433932</v>
      </c>
      <c r="CX870" s="181">
        <f>INDEX('State Tax Lookup'!$D$7:$Z$91,MATCH(Calculation!$C870,'State Tax Lookup'!$B$7:$B$91,0),MATCH($H870,'State Tax Lookup'!$D$6:$Z$6,0))</f>
        <v>0.40134999999999998</v>
      </c>
      <c r="CY870" s="72">
        <v>0.37</v>
      </c>
      <c r="CZ870" s="70">
        <f t="shared" si="1574"/>
        <v>22.082015500230082</v>
      </c>
      <c r="DA870" s="70">
        <v>20.279488671080099</v>
      </c>
      <c r="DB870" s="69">
        <f t="shared" si="1578"/>
        <v>-1.8674521798065329E-2</v>
      </c>
      <c r="DC870" s="111">
        <f>VLOOKUP($H870,RoR!$E:$F,2,FALSE)</f>
        <v>3.8866666666666674E-2</v>
      </c>
      <c r="DD870" s="216">
        <f>HLOOKUP($H870,'GDP-PI'!$D$8:$CQ$11,3,FALSE)</f>
        <v>9.5709475431029478E-3</v>
      </c>
      <c r="DE870" s="111">
        <f>VLOOKUP(H870,'HW Dx Data'!$E:$F,2,FALSE)</f>
        <v>675.61463308665782</v>
      </c>
      <c r="DF870" s="72">
        <f t="shared" si="1588"/>
        <v>133.5</v>
      </c>
      <c r="DG870" s="69">
        <f t="shared" si="1589"/>
        <v>3.1193095773504077E-2</v>
      </c>
      <c r="DH870" s="66">
        <f>HLOOKUP(H870,'GDP-PI'!$8:$9,2,FALSE)</f>
        <v>104.639</v>
      </c>
      <c r="DI870" s="69">
        <f t="shared" si="1579"/>
        <v>9.5254361854427965E-3</v>
      </c>
      <c r="EB870"/>
    </row>
    <row r="871" spans="1:132" s="160" customFormat="1" ht="21">
      <c r="A871" s="160" t="s">
        <v>210</v>
      </c>
      <c r="B871" s="161" t="s">
        <v>211</v>
      </c>
      <c r="C871" s="161">
        <v>4057135</v>
      </c>
      <c r="D871" s="161" t="s">
        <v>192</v>
      </c>
      <c r="E871" s="161"/>
      <c r="F871" s="161"/>
      <c r="G871" s="161" t="s">
        <v>133</v>
      </c>
      <c r="H871" s="162">
        <v>2016</v>
      </c>
      <c r="I871" s="163"/>
      <c r="J871" s="159">
        <f>IFERROR(INDEX('Labor Expenditures'!$F$7:$X$91,MATCH($C871,'Labor Expenditures'!$D$7:$D$91,0),MATCH($G871,'Labor Expenditures'!$F$5:$X$5,0)),"NA")</f>
        <v>153902.12940365064</v>
      </c>
      <c r="K871" s="159">
        <f t="shared" si="1580"/>
        <v>1123.7833472336667</v>
      </c>
      <c r="L871" s="165">
        <f t="shared" si="1586"/>
        <v>0.11868684884863411</v>
      </c>
      <c r="M871" s="76">
        <f t="shared" si="1590"/>
        <v>5.5980883810319597E-3</v>
      </c>
      <c r="N871" s="62">
        <f t="shared" si="1596"/>
        <v>295.59009174267828</v>
      </c>
      <c r="O871" s="96">
        <f t="shared" si="1591"/>
        <v>0.91390569217624451</v>
      </c>
      <c r="P871" s="96"/>
      <c r="Q871" s="159">
        <f>IFERROR(INDEX('Non-Labor Expenditures'!$F$7:$AB$91,MATCH($C871,'Non-Labor Expenditures'!$D$7:$D$91,0),MATCH($G871,'Non-Labor Expenditures'!$F$5:$AB$5,0)),"NA")</f>
        <v>222879.02832919447</v>
      </c>
      <c r="R871" s="159">
        <f t="shared" si="1581"/>
        <v>2107.8821624536058</v>
      </c>
      <c r="S871" s="165">
        <f t="shared" si="1592"/>
        <v>0.1337721763502121</v>
      </c>
      <c r="T871" s="165">
        <f t="shared" si="1593"/>
        <v>6.309616216085924E-3</v>
      </c>
      <c r="U871" s="165"/>
      <c r="V871" s="165"/>
      <c r="W871" s="159">
        <f t="shared" si="1562"/>
        <v>184398.26572682813</v>
      </c>
      <c r="X871" s="163"/>
      <c r="Y871" s="167">
        <v>8751.8557468740819</v>
      </c>
      <c r="Z871" s="168">
        <v>3.3127660797464369E-2</v>
      </c>
      <c r="AA871" s="76">
        <f t="shared" si="1582"/>
        <v>1.5625284081605935E-3</v>
      </c>
      <c r="AB871" s="168"/>
      <c r="AC871" s="168"/>
      <c r="AD871" s="163">
        <f t="shared" si="1526"/>
        <v>561179.4234596733</v>
      </c>
      <c r="AE871" s="168">
        <f t="shared" si="1594"/>
        <v>0.108715021390159</v>
      </c>
      <c r="AF871" s="163"/>
      <c r="AG871" s="163"/>
      <c r="AH871" s="163"/>
      <c r="AI871" s="163"/>
      <c r="AJ871" s="116">
        <f t="shared" si="1595"/>
        <v>663.67704217634594</v>
      </c>
      <c r="AK871" s="114">
        <f>+AV871/$AX$21</f>
        <v>2.3008854518174922E-2</v>
      </c>
      <c r="AL871" s="115">
        <f t="shared" si="1583"/>
        <v>0.27424763448175526</v>
      </c>
      <c r="AM871" s="115">
        <f t="shared" si="1584"/>
        <v>0.39716179712211186</v>
      </c>
      <c r="AN871" s="115">
        <f t="shared" si="1585"/>
        <v>0.32859056839613277</v>
      </c>
      <c r="AO871" s="115">
        <f t="shared" si="1587"/>
        <v>9.5458396548289734E-2</v>
      </c>
      <c r="AP871" s="166">
        <f t="shared" si="1598"/>
        <v>125.85385796189215</v>
      </c>
      <c r="AQ871" s="168">
        <f t="shared" si="1599"/>
        <v>9.5458396548289762E-2</v>
      </c>
      <c r="AR871" s="69">
        <f>+AD871/$AF$21</f>
        <v>4.716688020061445E-2</v>
      </c>
      <c r="AS871" s="169">
        <f t="shared" si="1597"/>
        <v>4.502474754135931E-3</v>
      </c>
      <c r="AT871" s="115"/>
      <c r="AU871" s="115"/>
      <c r="AV871" s="113">
        <f>IFERROR(INDEX('Total Customers'!$F$7:$AB$91,MATCH($C871,'Total Customers'!$D$7:$D$91,0),MATCH($G871,'Total Customers'!$F$5:$AB$5,0)),"NA")</f>
        <v>845561</v>
      </c>
      <c r="AW871" s="68">
        <f t="shared" si="1551"/>
        <v>1.2653621099486373E-2</v>
      </c>
      <c r="AX871" s="114"/>
      <c r="AY871" s="114"/>
      <c r="AZ871" s="116"/>
      <c r="BA871" s="116"/>
      <c r="BB871" s="166"/>
      <c r="BC871" s="166"/>
      <c r="BD871" s="166"/>
      <c r="BE871" s="166"/>
      <c r="BF871" s="166"/>
      <c r="BG871" s="166"/>
      <c r="BH871" s="166"/>
      <c r="BI871" s="113"/>
      <c r="BJ871" s="113"/>
      <c r="BK871" s="113">
        <f>INDEX('Dist. Plant Gas Additions'!$F$7:$AE$91,MATCH($C871,'Dist. Plant Gas Additions'!$D$7:$D$91,0),MATCH(Calculation!$G871,'Dist. Plant Gas Additions'!$F$5:$AE$5,0))</f>
        <v>229083</v>
      </c>
      <c r="BL871" s="113">
        <f>INDEX('Gen. Plant Additions'!$F$7:$AE$91,MATCH($C871,'Gen. Plant Additions'!$D$7:$D$91,0),MATCH(Calculation!$G871,'Gen. Plant Additions'!$F$5:$AE$5,0))</f>
        <v>9407</v>
      </c>
      <c r="BM871" s="231">
        <f t="shared" si="1563"/>
        <v>0.97389601654639291</v>
      </c>
      <c r="BN871" s="61">
        <f t="shared" si="1600"/>
        <v>9161.4398276519187</v>
      </c>
      <c r="BO871" s="113">
        <f>INDEX('Dist Plant Depreciation'!$E$7:$AD$94,MATCH($C871,'Dist Plant Depreciation'!$D$7:$D$94,0),MATCH(Calculation!$G871,'Dist Plant Depreciation'!$E$5:$AD$5,0))</f>
        <v>954359</v>
      </c>
      <c r="BP871" s="113">
        <f>INDEX('Gen. Plant Depreciation'!$E$7:$AD$94,MATCH($C871,'Gen. Plant Depreciation'!$D$7:$D$94,0),MATCH(Calculation!$G871,'Gen. Plant Depreciation'!$E$5:$AD$5,0))</f>
        <v>41884</v>
      </c>
      <c r="BQ871" s="113"/>
      <c r="BR871" s="113"/>
      <c r="BS871" s="113"/>
      <c r="BT871" s="113"/>
      <c r="BU871" s="113"/>
      <c r="BV871" s="175"/>
      <c r="BW871" s="113">
        <f>INDEX('Gross Dx Plant'!$E$7:$AD$91,MATCH($C871,'Gross Dx Plant'!$D$7:$D$91,0),MATCH(Calculation!$G871,'Gross Dx Plant'!$E$5:$AD$5,0))</f>
        <v>3508438</v>
      </c>
      <c r="BX871" s="113">
        <f>INDEX('Gross Gen Plant'!$E$7:$AD$91,MATCH($C871,'Gross Gen Plant'!$D$7:$D$91,0),MATCH(Calculation!$G871,'Gross Gen Plant'!$E$5:$AD$5,0))</f>
        <v>94039</v>
      </c>
      <c r="BY871" s="113">
        <f t="shared" si="1532"/>
        <v>2606234</v>
      </c>
      <c r="BZ871" s="113"/>
      <c r="CA871" s="116">
        <v>2016</v>
      </c>
      <c r="CB871" s="113"/>
      <c r="CC871" s="113"/>
      <c r="CD871" s="113"/>
      <c r="CE871" s="175"/>
      <c r="CF871" s="113">
        <f t="shared" si="1564"/>
        <v>238490</v>
      </c>
      <c r="CG871" s="113">
        <f t="shared" si="1565"/>
        <v>355.18315438042856</v>
      </c>
      <c r="CH871" s="178">
        <v>0.88</v>
      </c>
      <c r="CI871" s="61">
        <f>+CI853*CH871+CG854*CH870+CG855*CH869+CG856*CH868+CG857*CH867+CG858*CH866+CG859*CH865+CG860*CH864+CG861*CH863+CG862*CH862+CG863*CH861+CG864*CH860+CG865*CH859+CG866*CH858+CG867*CH857+CG868*CH856+CG869*CH855+CG870*CH854+CG871</f>
        <v>8751.8557468740819</v>
      </c>
      <c r="CJ871" s="114">
        <f t="shared" si="1566"/>
        <v>3.3127660797464369E-2</v>
      </c>
      <c r="CK871" s="114"/>
      <c r="CL871" s="169">
        <f t="shared" si="1567"/>
        <v>8.2682236580002601E-3</v>
      </c>
      <c r="CM871" s="169">
        <f t="shared" si="1575"/>
        <v>8.0913741141603757E-3</v>
      </c>
      <c r="CN871" s="114">
        <f>VLOOKUP($H871,RoR!$E:$F,2,FALSE)</f>
        <v>3.6658333333333334E-2</v>
      </c>
      <c r="CO871" s="169">
        <v>1.0483662879041455E-2</v>
      </c>
      <c r="CP871" s="169">
        <f t="shared" si="1573"/>
        <v>2.6174670454291879E-2</v>
      </c>
      <c r="CQ871" s="169">
        <f t="shared" si="1576"/>
        <v>2.2810567494373248E-2</v>
      </c>
      <c r="CR871" s="169">
        <f t="shared" si="1577"/>
        <v>4.301363574220729E-3</v>
      </c>
      <c r="CS871" s="179">
        <f t="shared" si="1568"/>
        <v>0.85150049999999999</v>
      </c>
      <c r="CT871" s="180">
        <f t="shared" si="1569"/>
        <v>1.3989193348138562</v>
      </c>
      <c r="CU871" s="180">
        <f t="shared" si="1570"/>
        <v>0.29302682427824522</v>
      </c>
      <c r="CV871" s="180">
        <f t="shared" si="1571"/>
        <v>0.76309497491941802</v>
      </c>
      <c r="CW871" s="180">
        <f t="shared" si="1572"/>
        <v>0.31280857135128509</v>
      </c>
      <c r="CX871" s="181">
        <f>INDEX('State Tax Lookup'!$D$7:$Z$91,MATCH(Calculation!$C871,'State Tax Lookup'!$B$7:$B$91,0),MATCH($H871,'State Tax Lookup'!$D$6:$Z$6,0))</f>
        <v>0.40134999999999998</v>
      </c>
      <c r="CY871" s="72">
        <v>0.37</v>
      </c>
      <c r="CZ871" s="70">
        <f t="shared" si="1574"/>
        <v>21.779296216352929</v>
      </c>
      <c r="DA871" s="70">
        <v>19.909765876209278</v>
      </c>
      <c r="DB871" s="69">
        <f t="shared" si="1578"/>
        <v>-1.3803695272326473E-2</v>
      </c>
      <c r="DC871" s="111">
        <f>VLOOKUP($H871,RoR!$E:$F,2,FALSE)</f>
        <v>3.6658333333333334E-2</v>
      </c>
      <c r="DD871" s="216">
        <f>HLOOKUP($H871,'GDP-PI'!$D$8:$CQ$11,3,FALSE)</f>
        <v>1.0483662879041455E-2</v>
      </c>
      <c r="DE871" s="111">
        <f>VLOOKUP(H871,'HW Dx Data'!$E:$F,2,FALSE)</f>
        <v>671.45639385971219</v>
      </c>
      <c r="DF871" s="72">
        <f t="shared" si="1588"/>
        <v>136.94999999999999</v>
      </c>
      <c r="DG871" s="69">
        <f t="shared" si="1589"/>
        <v>2.5514417868782811E-2</v>
      </c>
      <c r="DH871" s="66">
        <f>HLOOKUP(H871,'GDP-PI'!$8:$9,2,FALSE)</f>
        <v>105.736</v>
      </c>
      <c r="DI871" s="69">
        <f t="shared" si="1579"/>
        <v>1.0429090367205095E-2</v>
      </c>
      <c r="EB871"/>
    </row>
    <row r="872" spans="1:132" s="160" customFormat="1" ht="21">
      <c r="A872" s="160" t="s">
        <v>210</v>
      </c>
      <c r="B872" s="161" t="s">
        <v>211</v>
      </c>
      <c r="C872" s="161">
        <v>4057135</v>
      </c>
      <c r="D872" s="161" t="s">
        <v>192</v>
      </c>
      <c r="E872" s="161"/>
      <c r="F872" s="161"/>
      <c r="G872" s="161" t="s">
        <v>135</v>
      </c>
      <c r="H872" s="162">
        <v>2017</v>
      </c>
      <c r="I872" s="163"/>
      <c r="J872" s="159">
        <f>IFERROR(INDEX('Labor Expenditures'!$F$7:$X$91,MATCH($C872,'Labor Expenditures'!$D$7:$D$91,0),MATCH($G872,'Labor Expenditures'!$F$5:$X$5,0)),"NA")</f>
        <v>124827.45666933454</v>
      </c>
      <c r="K872" s="159">
        <f t="shared" si="1580"/>
        <v>888.76793641391635</v>
      </c>
      <c r="L872" s="165">
        <f t="shared" si="1586"/>
        <v>-0.23462009777035547</v>
      </c>
      <c r="M872" s="76">
        <f t="shared" si="1590"/>
        <v>-9.4683005204915776E-3</v>
      </c>
      <c r="N872" s="62">
        <f t="shared" si="1596"/>
        <v>164.49675846634847</v>
      </c>
      <c r="O872" s="96">
        <f t="shared" si="1591"/>
        <v>-0.5860828047343003</v>
      </c>
      <c r="P872" s="96"/>
      <c r="Q872" s="159">
        <f>IFERROR(INDEX('Non-Labor Expenditures'!$F$7:$AB$91,MATCH($C872,'Non-Labor Expenditures'!$D$7:$D$91,0),MATCH($G872,'Non-Labor Expenditures'!$F$5:$AB$5,0)),"NA")</f>
        <v>180773.47181010456</v>
      </c>
      <c r="R872" s="159">
        <f t="shared" si="1581"/>
        <v>1677.6964650917814</v>
      </c>
      <c r="S872" s="165">
        <f t="shared" si="1592"/>
        <v>-0.22826202815693541</v>
      </c>
      <c r="T872" s="165">
        <f t="shared" si="1593"/>
        <v>-9.2117150258891924E-3</v>
      </c>
      <c r="U872" s="165"/>
      <c r="V872" s="165"/>
      <c r="W872" s="159">
        <f t="shared" si="1562"/>
        <v>172243.72931946529</v>
      </c>
      <c r="X872" s="163"/>
      <c r="Y872" s="167">
        <v>9184.8972154691073</v>
      </c>
      <c r="Z872" s="168">
        <v>4.8294764887872529E-2</v>
      </c>
      <c r="AA872" s="76">
        <f t="shared" si="1582"/>
        <v>1.9489777383540005E-3</v>
      </c>
      <c r="AB872" s="168"/>
      <c r="AC872" s="168"/>
      <c r="AD872" s="163">
        <f t="shared" si="1526"/>
        <v>477844.6577989044</v>
      </c>
      <c r="AE872" s="168">
        <f t="shared" si="1594"/>
        <v>-0.16075498631399335</v>
      </c>
      <c r="AF872" s="163"/>
      <c r="AG872" s="163"/>
      <c r="AH872" s="163"/>
      <c r="AI872" s="163"/>
      <c r="AJ872" s="116">
        <f t="shared" si="1595"/>
        <v>564.38789809239177</v>
      </c>
      <c r="AK872" s="114">
        <f>+AV872/$AX$22</f>
        <v>2.2865665927613719E-2</v>
      </c>
      <c r="AL872" s="115">
        <f t="shared" si="1583"/>
        <v>0.2612302023932363</v>
      </c>
      <c r="AM872" s="115">
        <f t="shared" si="1584"/>
        <v>0.37831012413699738</v>
      </c>
      <c r="AN872" s="115">
        <f t="shared" si="1585"/>
        <v>0.36045967346976626</v>
      </c>
      <c r="AO872" s="115">
        <f t="shared" si="1587"/>
        <v>-0.13468356826999162</v>
      </c>
      <c r="AP872" s="166">
        <f t="shared" si="1598"/>
        <v>109.99531875135428</v>
      </c>
      <c r="AQ872" s="168">
        <f t="shared" si="1599"/>
        <v>-0.13468356826999164</v>
      </c>
      <c r="AR872" s="69">
        <f>+AD872/$AF$22</f>
        <v>4.0355880039565431E-2</v>
      </c>
      <c r="AS872" s="169">
        <f t="shared" si="1597"/>
        <v>-5.4352739244044037E-3</v>
      </c>
      <c r="AT872" s="115"/>
      <c r="AU872" s="115"/>
      <c r="AV872" s="113">
        <f>IFERROR(INDEX('Total Customers'!$F$7:$AB$91,MATCH($C872,'Total Customers'!$D$7:$D$91,0),MATCH($G872,'Total Customers'!$F$5:$AB$5,0)),"NA")</f>
        <v>846660</v>
      </c>
      <c r="AW872" s="68">
        <f t="shared" si="1551"/>
        <v>1.2988849027525395E-3</v>
      </c>
      <c r="AX872" s="114"/>
      <c r="AY872" s="114"/>
      <c r="AZ872" s="116"/>
      <c r="BA872" s="116"/>
      <c r="BB872" s="166"/>
      <c r="BC872" s="166"/>
      <c r="BD872" s="166"/>
      <c r="BE872" s="166"/>
      <c r="BF872" s="166"/>
      <c r="BG872" s="166"/>
      <c r="BH872" s="166"/>
      <c r="BI872" s="113"/>
      <c r="BJ872" s="113"/>
      <c r="BK872" s="113">
        <f>INDEX('Dist. Plant Gas Additions'!$F$7:$AE$91,MATCH($C872,'Dist. Plant Gas Additions'!$D$7:$D$91,0),MATCH(Calculation!$G872,'Dist. Plant Gas Additions'!$F$5:$AE$5,0))</f>
        <v>355876</v>
      </c>
      <c r="BL872" s="113">
        <f>INDEX('Gen. Plant Additions'!$F$7:$AE$91,MATCH($C872,'Gen. Plant Additions'!$D$7:$D$91,0),MATCH(Calculation!$G872,'Gen. Plant Additions'!$F$5:$AE$5,0))</f>
        <v>5681</v>
      </c>
      <c r="BM872" s="231">
        <f t="shared" si="1563"/>
        <v>0.97543562041540244</v>
      </c>
      <c r="BN872" s="61">
        <f t="shared" si="1600"/>
        <v>5541.4497595799012</v>
      </c>
      <c r="BO872" s="113">
        <f>INDEX('Dist Plant Depreciation'!$E$7:$AD$94,MATCH($C872,'Dist Plant Depreciation'!$D$7:$D$94,0),MATCH(Calculation!$G872,'Dist Plant Depreciation'!$E$5:$AD$5,0))</f>
        <v>1015905</v>
      </c>
      <c r="BP872" s="113">
        <f>INDEX('Gen. Plant Depreciation'!$E$7:$AD$94,MATCH($C872,'Gen. Plant Depreciation'!$D$7:$D$94,0),MATCH(Calculation!$G872,'Gen. Plant Depreciation'!$E$5:$AD$5,0))</f>
        <v>44651</v>
      </c>
      <c r="BQ872" s="113"/>
      <c r="BR872" s="113"/>
      <c r="BS872" s="113"/>
      <c r="BT872" s="113"/>
      <c r="BU872" s="113"/>
      <c r="BV872" s="175"/>
      <c r="BW872" s="113">
        <f>INDEX('Gross Dx Plant'!$E$7:$AD$91,MATCH($C872,'Gross Dx Plant'!$D$7:$D$91,0),MATCH(Calculation!$G872,'Gross Dx Plant'!$E$5:$AD$5,0))</f>
        <v>3826155</v>
      </c>
      <c r="BX872" s="113">
        <f>INDEX('Gross Gen Plant'!$E$7:$AD$91,MATCH($C872,'Gross Gen Plant'!$D$7:$D$91,0),MATCH(Calculation!$G872,'Gross Gen Plant'!$E$5:$AD$5,0))</f>
        <v>96354</v>
      </c>
      <c r="BY872" s="113">
        <f t="shared" si="1532"/>
        <v>2861953</v>
      </c>
      <c r="BZ872" s="113"/>
      <c r="CA872" s="116">
        <v>2017</v>
      </c>
      <c r="CB872" s="113"/>
      <c r="CC872" s="113"/>
      <c r="CD872" s="113"/>
      <c r="CE872" s="175"/>
      <c r="CF872" s="113">
        <f t="shared" si="1564"/>
        <v>361557</v>
      </c>
      <c r="CG872" s="113">
        <f t="shared" si="1565"/>
        <v>507.49928943205333</v>
      </c>
      <c r="CH872" s="178">
        <v>0.87074829931972786</v>
      </c>
      <c r="CI872" s="61">
        <f>+CI853*CH872+CG854*CH871+CG855*CH870+CG856*CH869+CG857*CH868+CG858*CH867+CG859*CH866+CG860*CH865+CG861*CH864+CG862*CH863+CG863*CH862+CG864*CH861+CG865*CH860+CG866*CH859+CG867*CH858+CG868*CH857+CG869*CH856+CG870*CH855+CG871*CH854+CG872</f>
        <v>9184.8972154691073</v>
      </c>
      <c r="CJ872" s="114">
        <f t="shared" si="1566"/>
        <v>4.8294764887872529E-2</v>
      </c>
      <c r="CK872" s="114"/>
      <c r="CL872" s="169">
        <f t="shared" si="1567"/>
        <v>8.5076608882204384E-3</v>
      </c>
      <c r="CM872" s="169">
        <f t="shared" si="1575"/>
        <v>8.2927319221725165E-3</v>
      </c>
      <c r="CN872" s="114">
        <f>VLOOKUP($H872,RoR!$E:$F,2,FALSE)</f>
        <v>3.7433333333333339E-2</v>
      </c>
      <c r="CO872" s="169">
        <v>1.9056896421275615E-2</v>
      </c>
      <c r="CP872" s="169">
        <f t="shared" si="1573"/>
        <v>1.8376436912057724E-2</v>
      </c>
      <c r="CQ872" s="169">
        <f t="shared" si="1576"/>
        <v>2.2609209686361108E-2</v>
      </c>
      <c r="CR872" s="169">
        <f t="shared" si="1577"/>
        <v>1.3976271617800498E-2</v>
      </c>
      <c r="CS872" s="179">
        <f t="shared" si="1568"/>
        <v>0.90330050000000006</v>
      </c>
      <c r="CT872" s="180">
        <f t="shared" si="1569"/>
        <v>1.3699568463593395</v>
      </c>
      <c r="CU872" s="180">
        <f t="shared" si="1570"/>
        <v>0.30714603739982199</v>
      </c>
      <c r="CV872" s="180">
        <f t="shared" si="1571"/>
        <v>0.77007188472689425</v>
      </c>
      <c r="CW872" s="180">
        <f t="shared" si="1572"/>
        <v>0.32402839633793828</v>
      </c>
      <c r="CX872" s="181">
        <f>INDEX('State Tax Lookup'!$D$7:$Z$91,MATCH(Calculation!$C872,'State Tax Lookup'!$B$7:$B$91,0),MATCH($H872,'State Tax Lookup'!$D$6:$Z$6,0))</f>
        <v>0.26134999999999997</v>
      </c>
      <c r="CY872" s="72">
        <v>0.37</v>
      </c>
      <c r="CZ872" s="70">
        <f t="shared" si="1574"/>
        <v>19.680823622005644</v>
      </c>
      <c r="DA872" s="70">
        <v>18.231812616449311</v>
      </c>
      <c r="DB872" s="69">
        <f t="shared" si="1578"/>
        <v>-0.10131506222390525</v>
      </c>
      <c r="DC872" s="111">
        <f>VLOOKUP($H872,RoR!$E:$F,2,FALSE)</f>
        <v>3.7433333333333339E-2</v>
      </c>
      <c r="DD872" s="216">
        <f>HLOOKUP($H872,'GDP-PI'!$D$8:$CQ$11,3,FALSE)</f>
        <v>1.9056896421275615E-2</v>
      </c>
      <c r="DE872" s="111">
        <f>VLOOKUP(H872,'HW Dx Data'!$E:$F,2,FALSE)</f>
        <v>712.42858370229726</v>
      </c>
      <c r="DF872" s="72">
        <f t="shared" si="1588"/>
        <v>140.44999999999999</v>
      </c>
      <c r="DG872" s="69">
        <f t="shared" si="1589"/>
        <v>2.5235657841165486E-2</v>
      </c>
      <c r="DH872" s="66">
        <f>HLOOKUP(H872,'GDP-PI'!$8:$9,2,FALSE)</f>
        <v>107.751</v>
      </c>
      <c r="DI872" s="69">
        <f t="shared" si="1579"/>
        <v>1.8877588227745139E-2</v>
      </c>
      <c r="EB872"/>
    </row>
    <row r="873" spans="1:132" s="160" customFormat="1" ht="21">
      <c r="A873" s="160" t="s">
        <v>210</v>
      </c>
      <c r="B873" s="161" t="s">
        <v>211</v>
      </c>
      <c r="C873" s="161">
        <v>4057135</v>
      </c>
      <c r="D873" s="161" t="s">
        <v>192</v>
      </c>
      <c r="E873" s="161"/>
      <c r="F873" s="161"/>
      <c r="G873" s="161" t="s">
        <v>136</v>
      </c>
      <c r="H873" s="162">
        <v>2018</v>
      </c>
      <c r="I873" s="163"/>
      <c r="J873" s="159">
        <f>IFERROR(INDEX('Labor Expenditures'!$F$7:$X$91,MATCH($C873,'Labor Expenditures'!$D$7:$D$91,0),MATCH($G873,'Labor Expenditures'!$F$5:$X$5,0)),"NA")</f>
        <v>137354.20216691581</v>
      </c>
      <c r="K873" s="159">
        <f t="shared" si="1580"/>
        <v>950.87713511191293</v>
      </c>
      <c r="L873" s="165">
        <f t="shared" si="1586"/>
        <v>6.7548696200181835E-2</v>
      </c>
      <c r="M873" s="76">
        <f t="shared" si="1590"/>
        <v>2.7602241082860172E-3</v>
      </c>
      <c r="N873" s="62">
        <f t="shared" si="1596"/>
        <v>113.50647198510637</v>
      </c>
      <c r="O873" s="96">
        <f t="shared" si="1591"/>
        <v>-0.37103100744855017</v>
      </c>
      <c r="P873" s="96"/>
      <c r="Q873" s="159">
        <f>IFERROR(INDEX('Non-Labor Expenditures'!$F$7:$AB$91,MATCH($C873,'Non-Labor Expenditures'!$D$7:$D$91,0),MATCH($G873,'Non-Labor Expenditures'!$F$5:$AB$5,0)),"NA")</f>
        <v>198914.53896392783</v>
      </c>
      <c r="R873" s="159">
        <f t="shared" si="1581"/>
        <v>1803.0360124356685</v>
      </c>
      <c r="S873" s="165">
        <f t="shared" si="1592"/>
        <v>7.2050216845664886E-2</v>
      </c>
      <c r="T873" s="165">
        <f t="shared" si="1593"/>
        <v>2.9441685292528885E-3</v>
      </c>
      <c r="U873" s="165"/>
      <c r="V873" s="165"/>
      <c r="W873" s="159">
        <f t="shared" si="1562"/>
        <v>189657.71846197377</v>
      </c>
      <c r="X873" s="163"/>
      <c r="Y873" s="167">
        <v>9600.21183688372</v>
      </c>
      <c r="Z873" s="168">
        <v>4.4224636444873074E-2</v>
      </c>
      <c r="AA873" s="76">
        <f t="shared" si="1582"/>
        <v>1.8071393611146336E-3</v>
      </c>
      <c r="AB873" s="168"/>
      <c r="AC873" s="168"/>
      <c r="AD873" s="163">
        <f t="shared" si="1526"/>
        <v>525926.45959281735</v>
      </c>
      <c r="AE873" s="168">
        <f t="shared" si="1594"/>
        <v>9.5875696314731237E-2</v>
      </c>
      <c r="AF873" s="163"/>
      <c r="AG873" s="163"/>
      <c r="AH873" s="163"/>
      <c r="AI873" s="163"/>
      <c r="AJ873" s="116">
        <f t="shared" si="1595"/>
        <v>609.19486952929913</v>
      </c>
      <c r="AK873" s="114">
        <f>+AV873/$AX$23</f>
        <v>2.3111245177181911E-2</v>
      </c>
      <c r="AL873" s="115">
        <f t="shared" si="1583"/>
        <v>0.2611661757296983</v>
      </c>
      <c r="AM873" s="115">
        <f t="shared" si="1584"/>
        <v>0.37821740156966316</v>
      </c>
      <c r="AN873" s="115">
        <f t="shared" si="1585"/>
        <v>0.36061642270063865</v>
      </c>
      <c r="AO873" s="115">
        <f t="shared" si="1587"/>
        <v>6.084224736050256E-2</v>
      </c>
      <c r="AP873" s="166">
        <f t="shared" si="1598"/>
        <v>116.89546284407936</v>
      </c>
      <c r="AQ873" s="168">
        <f t="shared" si="1599"/>
        <v>6.0842247360502553E-2</v>
      </c>
      <c r="AR873" s="69">
        <f>+AD873/$AF$23</f>
        <v>4.0862729609259088E-2</v>
      </c>
      <c r="AS873" s="169">
        <f t="shared" si="1597"/>
        <v>2.4861803027118731E-3</v>
      </c>
      <c r="AT873" s="115"/>
      <c r="AU873" s="115"/>
      <c r="AV873" s="113">
        <f>IFERROR(INDEX('Total Customers'!$F$7:$AB$91,MATCH($C873,'Total Customers'!$D$7:$D$91,0),MATCH($G873,'Total Customers'!$F$5:$AB$5,0)),"NA")</f>
        <v>863314</v>
      </c>
      <c r="AW873" s="68">
        <f t="shared" si="1551"/>
        <v>1.9479274654610173E-2</v>
      </c>
      <c r="AX873" s="114"/>
      <c r="AY873" s="114"/>
      <c r="AZ873" s="116"/>
      <c r="BA873" s="116"/>
      <c r="BB873" s="166"/>
      <c r="BC873" s="166"/>
      <c r="BD873" s="166"/>
      <c r="BE873" s="166"/>
      <c r="BF873" s="166"/>
      <c r="BG873" s="166"/>
      <c r="BH873" s="166"/>
      <c r="BI873" s="113"/>
      <c r="BJ873" s="113"/>
      <c r="BK873" s="113">
        <f>INDEX('Dist. Plant Gas Additions'!$F$7:$AE$91,MATCH($C873,'Dist. Plant Gas Additions'!$D$7:$D$91,0),MATCH(Calculation!$G873,'Dist. Plant Gas Additions'!$F$5:$AE$5,0))</f>
        <v>352003</v>
      </c>
      <c r="BL873" s="113">
        <f>INDEX('Gen. Plant Additions'!$F$7:$AE$91,MATCH($C873,'Gen. Plant Additions'!$D$7:$D$91,0),MATCH(Calculation!$G873,'Gen. Plant Additions'!$F$5:$AE$5,0))</f>
        <v>21938</v>
      </c>
      <c r="BM873" s="231">
        <f t="shared" si="1563"/>
        <v>0.97345560289469624</v>
      </c>
      <c r="BN873" s="61">
        <f t="shared" si="1600"/>
        <v>21355.669016303847</v>
      </c>
      <c r="BO873" s="113">
        <f>INDEX('Dist Plant Depreciation'!$E$7:$AD$94,MATCH($C873,'Dist Plant Depreciation'!$D$7:$D$94,0),MATCH(Calculation!$G873,'Dist Plant Depreciation'!$E$5:$AD$5,0))</f>
        <v>1103891</v>
      </c>
      <c r="BP873" s="113">
        <f>INDEX('Gen. Plant Depreciation'!$E$7:$AD$94,MATCH($C873,'Gen. Plant Depreciation'!$D$7:$D$94,0),MATCH(Calculation!$G873,'Gen. Plant Depreciation'!$E$5:$AD$5,0))</f>
        <v>45419</v>
      </c>
      <c r="BQ873" s="113"/>
      <c r="BR873" s="113"/>
      <c r="BS873" s="113"/>
      <c r="BT873" s="113"/>
      <c r="BU873" s="113"/>
      <c r="BV873" s="175"/>
      <c r="BW873" s="113">
        <f>INDEX('Gross Dx Plant'!$E$7:$AD$91,MATCH($C873,'Gross Dx Plant'!$D$7:$D$91,0),MATCH(Calculation!$G873,'Gross Dx Plant'!$E$5:$AD$5,0))</f>
        <v>4021752</v>
      </c>
      <c r="BX873" s="113">
        <f>INDEX('Gross Gen Plant'!$E$7:$AD$91,MATCH($C873,'Gross Gen Plant'!$D$7:$D$91,0),MATCH(Calculation!$G873,'Gross Gen Plant'!$E$5:$AD$5,0))</f>
        <v>109666</v>
      </c>
      <c r="BY873" s="113">
        <f t="shared" si="1532"/>
        <v>2982108</v>
      </c>
      <c r="BZ873" s="113"/>
      <c r="CA873" s="116">
        <v>2018</v>
      </c>
      <c r="CB873" s="113"/>
      <c r="CC873" s="113"/>
      <c r="CD873" s="113"/>
      <c r="CE873" s="175"/>
      <c r="CF873" s="113">
        <f t="shared" si="1564"/>
        <v>373941</v>
      </c>
      <c r="CG873" s="113">
        <f t="shared" si="1565"/>
        <v>495.19642324100721</v>
      </c>
      <c r="CH873" s="178">
        <v>0.86111111111111116</v>
      </c>
      <c r="CI873" s="61">
        <f>+CI853*CH873++CG854*CH872+CG855*CH871+CG856*CH870+CG857*CH869+CG858*CH868+CG859*CH867+CG860*CH866+CG861*CH865+CG862*CH864+CG863*CH863+CG864*CH862+CG865*CH861+CG866*CH860+CG867*CH859+CG868*CH858+CG869*CH857+CG870*CH856+CG871*CH855+CG872*CH854+CG873</f>
        <v>9600.21183688372</v>
      </c>
      <c r="CJ873" s="114">
        <f t="shared" si="1566"/>
        <v>4.4224636444873074E-2</v>
      </c>
      <c r="CK873" s="114"/>
      <c r="CL873" s="169">
        <f t="shared" si="1567"/>
        <v>8.6970817367295547E-3</v>
      </c>
      <c r="CM873" s="169">
        <f t="shared" si="1575"/>
        <v>8.4909887609834183E-3</v>
      </c>
      <c r="CN873" s="114">
        <f>VLOOKUP($H873,RoR!$E:$F,2,FALSE)</f>
        <v>3.9299999999999995E-2</v>
      </c>
      <c r="CO873" s="169">
        <v>2.386056741932796E-2</v>
      </c>
      <c r="CP873" s="169">
        <f t="shared" si="1573"/>
        <v>1.5439432580672034E-2</v>
      </c>
      <c r="CQ873" s="169">
        <f t="shared" si="1576"/>
        <v>2.2410952847550208E-2</v>
      </c>
      <c r="CR873" s="169">
        <f t="shared" si="1577"/>
        <v>3.8270792163076606E-2</v>
      </c>
      <c r="CS873" s="179">
        <f t="shared" si="1568"/>
        <v>0.90330050000000006</v>
      </c>
      <c r="CT873" s="180">
        <f t="shared" si="1569"/>
        <v>1.3048868010700074</v>
      </c>
      <c r="CU873" s="180">
        <f t="shared" si="1570"/>
        <v>0.33886768447837151</v>
      </c>
      <c r="CV873" s="180">
        <f t="shared" si="1571"/>
        <v>0.78602506232557801</v>
      </c>
      <c r="CW873" s="180">
        <f t="shared" si="1572"/>
        <v>0.34756768162358759</v>
      </c>
      <c r="CX873" s="181">
        <f>INDEX('State Tax Lookup'!$D$7:$Z$91,MATCH(Calculation!$C873,'State Tax Lookup'!$B$7:$B$91,0),MATCH($H873,'State Tax Lookup'!$D$6:$Z$6,0))</f>
        <v>0.26134999999999997</v>
      </c>
      <c r="CY873" s="72">
        <v>0.37</v>
      </c>
      <c r="CZ873" s="70">
        <f t="shared" si="1574"/>
        <v>20.648866722488112</v>
      </c>
      <c r="DA873" s="70">
        <v>19.050901628905343</v>
      </c>
      <c r="DB873" s="69">
        <f t="shared" si="1578"/>
        <v>4.8015696174085604E-2</v>
      </c>
      <c r="DC873" s="111">
        <f>VLOOKUP($H873,RoR!$E:$F,2,FALSE)</f>
        <v>3.9299999999999995E-2</v>
      </c>
      <c r="DD873" s="216">
        <f>HLOOKUP($H873,'GDP-PI'!$D$8:$CQ$11,3,FALSE)</f>
        <v>2.386056741932796E-2</v>
      </c>
      <c r="DE873" s="111">
        <f>VLOOKUP(H873,'HW Dx Data'!$E:$F,2,FALSE)</f>
        <v>755.13671434174842</v>
      </c>
      <c r="DF873" s="72">
        <f t="shared" si="1588"/>
        <v>144.44999999999999</v>
      </c>
      <c r="DG873" s="69">
        <f t="shared" si="1589"/>
        <v>2.80818733619915E-2</v>
      </c>
      <c r="DH873" s="66">
        <f>HLOOKUP(H873,'GDP-PI'!$8:$9,2,FALSE)</f>
        <v>110.322</v>
      </c>
      <c r="DI873" s="69">
        <f t="shared" si="1579"/>
        <v>2.3580352716508712E-2</v>
      </c>
      <c r="EB873"/>
    </row>
    <row r="874" spans="1:132" s="160" customFormat="1" ht="21">
      <c r="A874" s="160" t="s">
        <v>210</v>
      </c>
      <c r="B874" s="161" t="s">
        <v>211</v>
      </c>
      <c r="C874" s="161">
        <v>4057135</v>
      </c>
      <c r="D874" s="161" t="s">
        <v>192</v>
      </c>
      <c r="E874" s="161"/>
      <c r="F874" s="161"/>
      <c r="G874" s="161" t="s">
        <v>140</v>
      </c>
      <c r="H874" s="162">
        <v>2019</v>
      </c>
      <c r="I874" s="163"/>
      <c r="J874" s="159">
        <f>IFERROR(INDEX('Labor Expenditures'!$F$7:$X$91,MATCH($C874,'Labor Expenditures'!$D$7:$D$91,0),MATCH($G874,'Labor Expenditures'!$F$5:$X$5,0)),"NA")</f>
        <v>128836.84035805496</v>
      </c>
      <c r="K874" s="159">
        <f t="shared" si="1580"/>
        <v>860.77728650779989</v>
      </c>
      <c r="L874" s="165">
        <f t="shared" si="1586"/>
        <v>-9.9549056165497987E-2</v>
      </c>
      <c r="M874" s="76">
        <f t="shared" si="1590"/>
        <v>-3.8744512580165306E-3</v>
      </c>
      <c r="N874" s="62">
        <f t="shared" si="1596"/>
        <v>112.31494359679878</v>
      </c>
      <c r="O874" s="96">
        <f t="shared" si="1591"/>
        <v>-1.0552935761582049E-2</v>
      </c>
      <c r="P874" s="96"/>
      <c r="Q874" s="159">
        <f>IFERROR(INDEX('Non-Labor Expenditures'!$F$7:$AB$91,MATCH($C874,'Non-Labor Expenditures'!$D$7:$D$91,0),MATCH($G874,'Non-Labor Expenditures'!$F$5:$AB$5,0)),"NA")</f>
        <v>186579.80824094889</v>
      </c>
      <c r="R874" s="159">
        <f t="shared" si="1581"/>
        <v>1661.1745957099386</v>
      </c>
      <c r="S874" s="165">
        <f t="shared" si="1592"/>
        <v>-8.1946977717727923E-2</v>
      </c>
      <c r="T874" s="165">
        <f t="shared" si="1593"/>
        <v>-3.1893780125978083E-3</v>
      </c>
      <c r="U874" s="165"/>
      <c r="V874" s="165"/>
      <c r="W874" s="159">
        <f t="shared" si="1562"/>
        <v>201026.45589541754</v>
      </c>
      <c r="X874" s="163"/>
      <c r="Y874" s="167">
        <v>10070.738306315803</v>
      </c>
      <c r="Z874" s="168">
        <v>4.7848856880206715E-2</v>
      </c>
      <c r="AA874" s="76">
        <f t="shared" si="1582"/>
        <v>1.8622784672711159E-3</v>
      </c>
      <c r="AB874" s="168"/>
      <c r="AC874" s="168"/>
      <c r="AD874" s="163">
        <f t="shared" si="1526"/>
        <v>516443.10449442139</v>
      </c>
      <c r="AE874" s="168">
        <f t="shared" si="1594"/>
        <v>-1.8196265678684102E-2</v>
      </c>
      <c r="AF874" s="163"/>
      <c r="AG874" s="163"/>
      <c r="AH874" s="163"/>
      <c r="AI874" s="163"/>
      <c r="AJ874" s="116">
        <f t="shared" si="1595"/>
        <v>596.29058830220481</v>
      </c>
      <c r="AK874" s="114">
        <f>+AV874/$AX$24</f>
        <v>2.2994423866880935E-2</v>
      </c>
      <c r="AL874" s="115">
        <f t="shared" si="1583"/>
        <v>0.24946957222747981</v>
      </c>
      <c r="AM874" s="115">
        <f t="shared" si="1584"/>
        <v>0.36127853507426261</v>
      </c>
      <c r="AN874" s="115">
        <f t="shared" si="1585"/>
        <v>0.38925189269825761</v>
      </c>
      <c r="AO874" s="115">
        <f t="shared" si="1587"/>
        <v>-3.7776211046743419E-2</v>
      </c>
      <c r="AP874" s="166">
        <f t="shared" si="1598"/>
        <v>112.56196211671474</v>
      </c>
      <c r="AQ874" s="168">
        <f t="shared" si="1599"/>
        <v>-3.7776211046743426E-2</v>
      </c>
      <c r="AR874" s="69">
        <f>+AD874/$AF$24</f>
        <v>3.8920020010790916E-2</v>
      </c>
      <c r="AS874" s="169">
        <f t="shared" si="1597"/>
        <v>-1.4702508898711149E-3</v>
      </c>
      <c r="AT874" s="115"/>
      <c r="AU874" s="115"/>
      <c r="AV874" s="113">
        <f>IFERROR(INDEX('Total Customers'!$F$7:$AB$91,MATCH($C874,'Total Customers'!$D$7:$D$91,0),MATCH($G874,'Total Customers'!$F$5:$AB$5,0)),"NA")</f>
        <v>866093</v>
      </c>
      <c r="AW874" s="68">
        <f t="shared" si="1551"/>
        <v>3.2138211444061081E-3</v>
      </c>
      <c r="AX874" s="114"/>
      <c r="AY874" s="114"/>
      <c r="AZ874" s="116"/>
      <c r="BA874" s="116"/>
      <c r="BB874" s="166"/>
      <c r="BC874" s="166"/>
      <c r="BD874" s="166"/>
      <c r="BE874" s="166"/>
      <c r="BF874" s="166"/>
      <c r="BG874" s="166"/>
      <c r="BH874" s="166"/>
      <c r="BI874" s="113"/>
      <c r="BJ874" s="113"/>
      <c r="BK874" s="113">
        <f>INDEX('Dist. Plant Gas Additions'!$F$7:$AE$91,MATCH($C874,'Dist. Plant Gas Additions'!$D$7:$D$91,0),MATCH(Calculation!$G874,'Dist. Plant Gas Additions'!$F$5:$AE$5,0))</f>
        <v>414285</v>
      </c>
      <c r="BL874" s="113">
        <f>INDEX('Gen. Plant Additions'!$F$7:$AE$91,MATCH($C874,'Gen. Plant Additions'!$D$7:$D$91,0),MATCH(Calculation!$G874,'Gen. Plant Additions'!$F$5:$AE$5,0))</f>
        <v>15820</v>
      </c>
      <c r="BM874" s="231">
        <f t="shared" si="1563"/>
        <v>0.97442500239561591</v>
      </c>
      <c r="BN874" s="61">
        <f t="shared" si="1600"/>
        <v>15415.403537898645</v>
      </c>
      <c r="BO874" s="113">
        <f>INDEX('Dist Plant Depreciation'!$E$7:$AD$94,MATCH($C874,'Dist Plant Depreciation'!$D$7:$D$94,0),MATCH(Calculation!$G874,'Dist Plant Depreciation'!$E$5:$AD$5,0))</f>
        <v>1175936</v>
      </c>
      <c r="BP874" s="113">
        <f>INDEX('Gen. Plant Depreciation'!$E$7:$AD$94,MATCH($C874,'Gen. Plant Depreciation'!$D$7:$D$94,0),MATCH(Calculation!$G874,'Gen. Plant Depreciation'!$E$5:$AD$5,0))</f>
        <v>44152</v>
      </c>
      <c r="BQ874" s="113"/>
      <c r="BR874" s="113"/>
      <c r="BS874" s="113"/>
      <c r="BT874" s="113"/>
      <c r="BU874" s="113"/>
      <c r="BV874" s="175"/>
      <c r="BW874" s="113">
        <f>INDEX('Gross Dx Plant'!$E$7:$AD$91,MATCH($C874,'Gross Dx Plant'!$D$7:$D$91,0),MATCH(Calculation!$G874,'Gross Dx Plant'!$E$5:$AD$5,0))</f>
        <v>4403106</v>
      </c>
      <c r="BX874" s="113">
        <f>INDEX('Gross Gen Plant'!$E$7:$AD$91,MATCH($C874,'Gross Gen Plant'!$D$7:$D$91,0),MATCH(Calculation!$G874,'Gross Gen Plant'!$E$5:$AD$5,0))</f>
        <v>115565</v>
      </c>
      <c r="BY874" s="113">
        <f t="shared" si="1532"/>
        <v>3298583</v>
      </c>
      <c r="BZ874" s="113"/>
      <c r="CA874" s="116">
        <v>2019</v>
      </c>
      <c r="CB874" s="113"/>
      <c r="CC874" s="113"/>
      <c r="CD874" s="113"/>
      <c r="CE874" s="175"/>
      <c r="CF874" s="113">
        <f t="shared" si="1564"/>
        <v>430105</v>
      </c>
      <c r="CG874" s="113">
        <f t="shared" si="1565"/>
        <v>556.02217126621281</v>
      </c>
      <c r="CH874" s="178">
        <v>0.85106382978723405</v>
      </c>
      <c r="CI874" s="61">
        <f>CI853*CH874+CG854*CH873+CG855*CH872+CG856*CH871+CG857*CH870+CG858*CH869+CG859*CH868+CG860*CH867+CG861*CH866+CG862*CH865+CG863*CH864+CG864*CH863+CG865*CH862+CG866*CH861+CG867*CH860+CG868*CH859+CG869*CH858+CG870*CH857+CG871*CH856+CG872*CH855+CG873*CH854+CG874</f>
        <v>10070.738306315803</v>
      </c>
      <c r="CJ874" s="114">
        <f t="shared" si="1566"/>
        <v>4.7848856880206715E-2</v>
      </c>
      <c r="CK874" s="114"/>
      <c r="CL874" s="169">
        <f t="shared" si="1567"/>
        <v>8.9056057602456065E-3</v>
      </c>
      <c r="CM874" s="169">
        <f t="shared" si="1575"/>
        <v>8.7034494617318665E-3</v>
      </c>
      <c r="CN874" s="114">
        <f>VLOOKUP($H874,RoR!$E:$F,2,FALSE)</f>
        <v>3.3875000000000009E-2</v>
      </c>
      <c r="CO874" s="169">
        <v>1.8092492884465461E-2</v>
      </c>
      <c r="CP874" s="169">
        <f t="shared" si="1573"/>
        <v>1.5782507115534548E-2</v>
      </c>
      <c r="CQ874" s="169">
        <f t="shared" si="1576"/>
        <v>2.2198492146801758E-2</v>
      </c>
      <c r="CR874" s="169">
        <f t="shared" si="1577"/>
        <v>4.8445665544254078E-2</v>
      </c>
      <c r="CS874" s="179">
        <f t="shared" si="1568"/>
        <v>0.90330050000000006</v>
      </c>
      <c r="CT874" s="180">
        <f t="shared" si="1569"/>
        <v>1.513861292459078</v>
      </c>
      <c r="CU874" s="180">
        <f t="shared" si="1570"/>
        <v>0.23699261992619944</v>
      </c>
      <c r="CV874" s="180">
        <f t="shared" si="1571"/>
        <v>0.73619765810468829</v>
      </c>
      <c r="CW874" s="180">
        <f t="shared" si="1572"/>
        <v>0.26412854465362851</v>
      </c>
      <c r="CX874" s="181">
        <f>INDEX('State Tax Lookup'!$D$7:$Z$91,MATCH(Calculation!$C874,'State Tax Lookup'!$B$7:$B$91,0),MATCH($H874,'State Tax Lookup'!$D$6:$Z$6,0))</f>
        <v>0.26134999999999997</v>
      </c>
      <c r="CY874" s="72">
        <v>0.37</v>
      </c>
      <c r="CZ874" s="70">
        <f t="shared" si="1574"/>
        <v>20.939793757787726</v>
      </c>
      <c r="DA874" s="70">
        <v>19.236104090735289</v>
      </c>
      <c r="DB874" s="69">
        <f t="shared" si="1578"/>
        <v>1.3990918561447829E-2</v>
      </c>
      <c r="DC874" s="111">
        <f>VLOOKUP($H874,RoR!$E:$F,2,FALSE)</f>
        <v>3.3875000000000009E-2</v>
      </c>
      <c r="DD874" s="216">
        <f>HLOOKUP($H874,'GDP-PI'!$D$8:$CQ$11,3,FALSE)</f>
        <v>1.8092492884465461E-2</v>
      </c>
      <c r="DE874" s="111">
        <f>VLOOKUP(H874,'HW Dx Data'!$E:$F,2,FALSE)</f>
        <v>773.53929793938721</v>
      </c>
      <c r="DF874" s="72">
        <f t="shared" si="1588"/>
        <v>149.67500000000001</v>
      </c>
      <c r="DG874" s="69">
        <f t="shared" si="1589"/>
        <v>3.5532849899171604E-2</v>
      </c>
      <c r="DH874" s="66">
        <f>HLOOKUP(H874,'GDP-PI'!$8:$9,2,FALSE)</f>
        <v>112.318</v>
      </c>
      <c r="DI874" s="69">
        <f t="shared" si="1579"/>
        <v>1.7930771451401852E-2</v>
      </c>
      <c r="EB874"/>
    </row>
    <row r="875" spans="1:132" s="160" customFormat="1" ht="21">
      <c r="A875" s="160" t="s">
        <v>210</v>
      </c>
      <c r="B875" s="160" t="s">
        <v>211</v>
      </c>
      <c r="C875" s="160">
        <v>4057135</v>
      </c>
      <c r="D875" s="160" t="s">
        <v>192</v>
      </c>
      <c r="G875" s="161" t="s">
        <v>141</v>
      </c>
      <c r="H875" s="162">
        <v>2020</v>
      </c>
      <c r="I875" s="163"/>
      <c r="J875" s="159">
        <f>IFERROR(INDEX('Labor Expenditures'!$F$7:$X$91,MATCH($C875,'Labor Expenditures'!$D$7:$D$91,0),MATCH($G875,'Labor Expenditures'!$F$5:$X$5,0)),"NA")</f>
        <v>108314.16272068916</v>
      </c>
      <c r="K875" s="159">
        <f t="shared" si="1580"/>
        <v>707.24232922421913</v>
      </c>
      <c r="L875" s="165">
        <f t="shared" si="1586"/>
        <v>-0.19646243836305236</v>
      </c>
      <c r="M875" s="76">
        <f t="shared" si="1590"/>
        <v>-6.9655765698637372E-3</v>
      </c>
      <c r="N875" s="62">
        <f t="shared" si="1596"/>
        <v>112.97043939805836</v>
      </c>
      <c r="O875" s="96">
        <f t="shared" si="1591"/>
        <v>5.8192648128803023E-3</v>
      </c>
      <c r="P875" s="96"/>
      <c r="Q875" s="159">
        <f>IFERROR(INDEX('Non-Labor Expenditures'!$F$7:$AB$91,MATCH($C875,'Non-Labor Expenditures'!$D$7:$D$91,0),MATCH($G875,'Non-Labor Expenditures'!$F$5:$AB$5,0)),"NA")</f>
        <v>156859.13791459746</v>
      </c>
      <c r="R875" s="159">
        <f t="shared" si="1581"/>
        <v>1380.5227631254011</v>
      </c>
      <c r="S875" s="165">
        <f t="shared" si="1592"/>
        <v>-0.18506269862707678</v>
      </c>
      <c r="T875" s="165">
        <f t="shared" si="1593"/>
        <v>-6.5613987500775526E-3</v>
      </c>
      <c r="U875" s="165"/>
      <c r="V875" s="165"/>
      <c r="W875" s="159">
        <f t="shared" si="1562"/>
        <v>219740.81655217067</v>
      </c>
      <c r="X875" s="163"/>
      <c r="Y875" s="167">
        <v>10666.852023529473</v>
      </c>
      <c r="Z875" s="168">
        <v>5.7506969733929679E-2</v>
      </c>
      <c r="AA875" s="76">
        <f t="shared" si="1582"/>
        <v>2.0389098512678164E-3</v>
      </c>
      <c r="AB875" s="168"/>
      <c r="AC875" s="168"/>
      <c r="AD875" s="163">
        <f t="shared" si="1526"/>
        <v>484914.11718745728</v>
      </c>
      <c r="AE875" s="168">
        <f t="shared" si="1594"/>
        <v>-6.299332933123751E-2</v>
      </c>
      <c r="AF875" s="163"/>
      <c r="AG875" s="163"/>
      <c r="AH875" s="163"/>
      <c r="AI875" s="163"/>
      <c r="AJ875" s="116">
        <f t="shared" si="1595"/>
        <v>556.71728584683922</v>
      </c>
      <c r="AK875" s="114">
        <f>+AV875/$AX$25</f>
        <v>2.2962038785162883E-2</v>
      </c>
      <c r="AL875" s="115">
        <f t="shared" si="1583"/>
        <v>0.22336772405992308</v>
      </c>
      <c r="AM875" s="115">
        <f t="shared" si="1584"/>
        <v>0.32347818377487891</v>
      </c>
      <c r="AN875" s="115">
        <f t="shared" si="1585"/>
        <v>0.45315409216519809</v>
      </c>
      <c r="AO875" s="115">
        <f t="shared" si="1587"/>
        <v>-8.558673949781842E-2</v>
      </c>
      <c r="AP875" s="166">
        <f t="shared" si="1598"/>
        <v>103.32890002397376</v>
      </c>
      <c r="AQ875" s="168">
        <f t="shared" si="1599"/>
        <v>-8.5586739497818462E-2</v>
      </c>
      <c r="AR875" s="69">
        <f>+AD875/$AF$25</f>
        <v>3.545500416212749E-2</v>
      </c>
      <c r="AS875" s="169">
        <f t="shared" si="1597"/>
        <v>-3.034478205118075E-3</v>
      </c>
      <c r="AT875" s="115"/>
      <c r="AU875" s="115"/>
      <c r="AV875" s="113">
        <f>IFERROR(INDEX('Total Customers'!$F$7:$AB$91,MATCH($C875,'Total Customers'!$D$7:$D$91,0),MATCH($G875,'Total Customers'!$F$5:$AB$5,0)),"NA")</f>
        <v>871024</v>
      </c>
      <c r="AW875" s="68">
        <f t="shared" si="1551"/>
        <v>5.6772379111602843E-3</v>
      </c>
      <c r="AX875" s="114"/>
      <c r="AY875" s="114"/>
      <c r="AZ875" s="116"/>
      <c r="BA875" s="116"/>
      <c r="BB875" s="166"/>
      <c r="BC875" s="166"/>
      <c r="BD875" s="166"/>
      <c r="BE875" s="166"/>
      <c r="BF875" s="166"/>
      <c r="BG875" s="166"/>
      <c r="BH875" s="166"/>
      <c r="BI875" s="113"/>
      <c r="BJ875" s="113"/>
      <c r="BK875" s="113">
        <f>INDEX('Dist. Plant Gas Additions'!$F$7:$AE$91,MATCH($C875,'Dist. Plant Gas Additions'!$D$7:$D$91,0),MATCH(Calculation!$G875,'Dist. Plant Gas Additions'!$F$5:$AE$5,0))</f>
        <v>534562</v>
      </c>
      <c r="BL875" s="113">
        <f>INDEX('Gen. Plant Additions'!$F$7:$AE$91,MATCH($C875,'Gen. Plant Additions'!$D$7:$D$91,0),MATCH(Calculation!$G875,'Gen. Plant Additions'!$F$5:$AE$5,0))</f>
        <v>24669</v>
      </c>
      <c r="BM875" s="231">
        <f t="shared" si="1563"/>
        <v>0.97355615069619306</v>
      </c>
      <c r="BN875" s="61">
        <f t="shared" si="1600"/>
        <v>24016.656681524386</v>
      </c>
      <c r="BO875" s="113">
        <f>INDEX('Dist Plant Depreciation'!$E$7:$AD$94,MATCH($C875,'Dist Plant Depreciation'!$D$7:$D$94,0),MATCH(Calculation!$G875,'Dist Plant Depreciation'!$E$5:$AD$5,0))</f>
        <v>1239365</v>
      </c>
      <c r="BP875" s="113">
        <f>INDEX('Gen. Plant Depreciation'!$E$7:$AD$94,MATCH($C875,'Gen. Plant Depreciation'!$D$7:$D$94,0),MATCH(Calculation!$G875,'Gen. Plant Depreciation'!$E$5:$AD$5,0))</f>
        <v>46257</v>
      </c>
      <c r="BQ875" s="113"/>
      <c r="BR875" s="113"/>
      <c r="BS875" s="113"/>
      <c r="BT875" s="113"/>
      <c r="BU875" s="113"/>
      <c r="BV875" s="175"/>
      <c r="BW875" s="113">
        <f>INDEX('Gross Dx Plant'!$E$7:$AD$91,MATCH($C875,'Gross Dx Plant'!$D$7:$D$91,0),MATCH(Calculation!$G875,'Gross Dx Plant'!$E$5:$AD$5,0))</f>
        <v>4889714</v>
      </c>
      <c r="BX875" s="113">
        <f>INDEX('Gross Gen Plant'!$E$7:$AD$91,MATCH($C875,'Gross Gen Plant'!$D$7:$D$91,0),MATCH(Calculation!$G875,'Gross Gen Plant'!$E$5:$AD$5,0))</f>
        <v>132815</v>
      </c>
      <c r="BY875" s="113">
        <f t="shared" si="1532"/>
        <v>3736907</v>
      </c>
      <c r="BZ875" s="113"/>
      <c r="CA875" s="116">
        <v>2020</v>
      </c>
      <c r="CB875" s="113"/>
      <c r="CC875" s="113"/>
      <c r="CD875" s="113"/>
      <c r="CE875" s="175"/>
      <c r="CF875" s="113">
        <f t="shared" si="1564"/>
        <v>559231</v>
      </c>
      <c r="CG875" s="113">
        <f t="shared" si="1565"/>
        <v>687.79319164402114</v>
      </c>
      <c r="CH875" s="178">
        <v>0.84057971014492749</v>
      </c>
      <c r="CI875" s="61">
        <f>CI853*CH875+CG854*CH874+CG855*CH873+CG856*CH872+CG857*CH871+CG858*CH870+CG859*CH869+CG860*CH868+CG861*CH867+CG862*CH866+CG863*CH865+CG864*CH864+CG865*CH863+CG866*CH862+CG867*CH861+CG868*CH860+CG869*CH859+CG870*CH858+CG871*CH857+CG872*CH856+CG873*CH855+CG874*CH854+CG875</f>
        <v>10666.852023529473</v>
      </c>
      <c r="CJ875" s="114">
        <f t="shared" si="1566"/>
        <v>5.7506969733929679E-2</v>
      </c>
      <c r="CK875" s="114"/>
      <c r="CL875" s="169">
        <f t="shared" si="1567"/>
        <v>9.1035504688723092E-3</v>
      </c>
      <c r="CM875" s="169">
        <f t="shared" si="1575"/>
        <v>8.9020793219491568E-3</v>
      </c>
      <c r="CN875" s="114">
        <f>VLOOKUP($H875,RoR!$E:$F,2,FALSE)</f>
        <v>2.4766666666666666E-2</v>
      </c>
      <c r="CO875" s="169">
        <v>1.1618796630994188E-2</v>
      </c>
      <c r="CP875" s="169">
        <f t="shared" si="1573"/>
        <v>1.3147870035672478E-2</v>
      </c>
      <c r="CQ875" s="169">
        <f t="shared" si="1576"/>
        <v>2.1999862286584466E-2</v>
      </c>
      <c r="CR875" s="169">
        <f t="shared" si="1577"/>
        <v>4.5144642961987357E-2</v>
      </c>
      <c r="CS875" s="179">
        <f t="shared" si="1568"/>
        <v>0.90330050000000006</v>
      </c>
      <c r="CT875" s="180">
        <f t="shared" si="1569"/>
        <v>2.0706077233668081</v>
      </c>
      <c r="CU875" s="180">
        <f t="shared" si="1570"/>
        <v>-3.4421265141318998E-2</v>
      </c>
      <c r="CV875" s="180">
        <f t="shared" si="1571"/>
        <v>0.62416226176410472</v>
      </c>
      <c r="CW875" s="180">
        <f t="shared" si="1572"/>
        <v>-4.4485877841158712E-2</v>
      </c>
      <c r="CX875" s="181">
        <f>INDEX('State Tax Lookup'!$D$7:$Z$91,MATCH(Calculation!$C875,'State Tax Lookup'!$B$7:$B$91,0),MATCH($H875,'State Tax Lookup'!$D$6:$Z$6,0))</f>
        <v>0.26134999999999997</v>
      </c>
      <c r="CY875" s="72">
        <v>0.37</v>
      </c>
      <c r="CZ875" s="70">
        <f t="shared" si="1574"/>
        <v>21.819732562642557</v>
      </c>
      <c r="DA875" s="70">
        <v>19.952659173050833</v>
      </c>
      <c r="DB875" s="69">
        <f t="shared" si="1578"/>
        <v>4.1163367610047324E-2</v>
      </c>
      <c r="DC875" s="111">
        <f>VLOOKUP($H875,RoR!$E:$F,2,FALSE)</f>
        <v>2.4766666666666666E-2</v>
      </c>
      <c r="DD875" s="216">
        <f>HLOOKUP($H875,'GDP-PI'!$D$8:$CQ$11,3,FALSE)</f>
        <v>1.1618796630994188E-2</v>
      </c>
      <c r="DE875" s="111">
        <f>VLOOKUP(H875,'HW Dx Data'!$E:$F,2,FALSE)</f>
        <v>813.080162458833</v>
      </c>
      <c r="DF875" s="72">
        <f t="shared" si="1588"/>
        <v>153.15</v>
      </c>
      <c r="DG875" s="69">
        <f t="shared" si="1589"/>
        <v>2.2951556467368479E-2</v>
      </c>
      <c r="DH875" s="66">
        <f>HLOOKUP(H875,'GDP-PI'!$8:$9,2,FALSE)</f>
        <v>113.623</v>
      </c>
      <c r="DI875" s="69">
        <f t="shared" si="1579"/>
        <v>1.1551816731392881E-2</v>
      </c>
      <c r="EB875"/>
    </row>
    <row r="876" spans="1:132" s="160" customFormat="1" ht="21">
      <c r="A876" s="160" t="s">
        <v>210</v>
      </c>
      <c r="B876" s="160" t="s">
        <v>211</v>
      </c>
      <c r="C876" s="160">
        <v>4057135</v>
      </c>
      <c r="D876" s="160" t="s">
        <v>192</v>
      </c>
      <c r="G876" s="161" t="s">
        <v>142</v>
      </c>
      <c r="H876" s="162">
        <v>2021</v>
      </c>
      <c r="I876" s="163"/>
      <c r="J876" s="159">
        <v>127782.05061886803</v>
      </c>
      <c r="K876" s="159">
        <f t="shared" si="1580"/>
        <v>812.60445544590164</v>
      </c>
      <c r="L876" s="164">
        <f t="shared" si="1586"/>
        <v>0.13887110228502564</v>
      </c>
      <c r="M876" s="76">
        <f t="shared" si="1590"/>
        <v>4.0226939774024462E-3</v>
      </c>
      <c r="N876" s="166">
        <f>+N875*EXP(O876)</f>
        <v>114.54395326166825</v>
      </c>
      <c r="O876" s="114">
        <f t="shared" si="1591"/>
        <v>1.383243437323018E-2</v>
      </c>
      <c r="P876" s="114"/>
      <c r="Q876" s="159">
        <v>180126.50508924772</v>
      </c>
      <c r="R876" s="159">
        <f t="shared" si="1581"/>
        <v>1520.1831807684</v>
      </c>
      <c r="S876" s="165">
        <f t="shared" si="1592"/>
        <v>9.6368599964173352E-2</v>
      </c>
      <c r="T876" s="165">
        <f t="shared" si="1593"/>
        <v>2.7915194760313134E-3</v>
      </c>
      <c r="U876" s="165"/>
      <c r="V876" s="165"/>
      <c r="W876" s="159">
        <f t="shared" si="1562"/>
        <v>135935.79164362457</v>
      </c>
      <c r="X876" s="163"/>
      <c r="Y876" s="167">
        <v>10605.881681424602</v>
      </c>
      <c r="Z876" s="168"/>
      <c r="AA876" s="76">
        <f t="shared" si="1582"/>
        <v>0</v>
      </c>
      <c r="AB876" s="168"/>
      <c r="AC876" s="168"/>
      <c r="AD876" s="163">
        <f t="shared" si="1526"/>
        <v>443844.34735174035</v>
      </c>
      <c r="AE876" s="168">
        <f t="shared" si="1594"/>
        <v>-8.8497865352397703E-2</v>
      </c>
      <c r="AF876" s="113"/>
      <c r="AG876" s="114"/>
      <c r="AH876" s="114"/>
      <c r="AI876" s="114"/>
      <c r="AJ876" s="116">
        <f t="shared" si="1595"/>
        <v>505.89315454271321</v>
      </c>
      <c r="AK876" s="114">
        <f>+AV876/$AX$26</f>
        <v>2.2725528080135938E-2</v>
      </c>
      <c r="AL876" s="115">
        <f t="shared" si="1583"/>
        <v>0.28789833954470206</v>
      </c>
      <c r="AM876" s="115">
        <f t="shared" si="1584"/>
        <v>0.40583259911723063</v>
      </c>
      <c r="AN876" s="115">
        <f t="shared" si="1585"/>
        <v>0.30626906133806719</v>
      </c>
      <c r="AO876" s="115">
        <f t="shared" si="1587"/>
        <v>7.0641370449894048E-2</v>
      </c>
      <c r="AP876" s="166">
        <f t="shared" si="1598"/>
        <v>110.89219080680671</v>
      </c>
      <c r="AQ876" s="168">
        <f t="shared" si="1599"/>
        <v>7.064137044989402E-2</v>
      </c>
      <c r="AR876" s="69">
        <f>+AD876/$AF$26</f>
        <v>2.8967106267696198E-2</v>
      </c>
      <c r="AS876" s="169">
        <f t="shared" si="1597"/>
        <v>2.0462760847177741E-3</v>
      </c>
      <c r="AT876" s="115"/>
      <c r="AU876" s="115"/>
      <c r="AV876" s="113">
        <f>INDEX('Total Customers'!$E$7:$E$91,MATCH(Calculation!$C876,'Total Customers'!$D$7:$D$91,0))</f>
        <v>877348</v>
      </c>
      <c r="AW876" s="68">
        <f t="shared" si="1551"/>
        <v>7.2341899546923627E-3</v>
      </c>
      <c r="AX876" s="113"/>
      <c r="AY876" s="113"/>
      <c r="AZ876" s="116"/>
      <c r="BA876" s="116"/>
      <c r="BB876" s="166"/>
      <c r="BC876" s="166"/>
      <c r="BD876" s="166"/>
      <c r="BE876" s="166"/>
      <c r="BF876" s="166"/>
      <c r="BG876" s="166"/>
      <c r="BH876" s="166"/>
      <c r="BI876" s="113"/>
      <c r="BJ876" s="113"/>
      <c r="BK876" s="113">
        <f>INDEX('Dist. Plant Gas Additions'!$E$7:$AE$91,MATCH($C876,'Dist. Plant Gas Additions'!$D$7:$D$91,0),MATCH(Calculation!$G876,'Dist. Plant Gas Additions'!$E$5:$AE$5,0))</f>
        <v>338834</v>
      </c>
      <c r="BL876" s="113">
        <f>INDEX('Gen. Plant Additions'!$E$7:$AE$91,MATCH($C876,'Gen. Plant Additions'!$D$7:$D$91,0),MATCH(Calculation!$G876,'Gen. Plant Additions'!$E$5:$AE$5,0))</f>
        <v>11839</v>
      </c>
      <c r="BM876" s="232">
        <v>0.97355615069619306</v>
      </c>
      <c r="BN876" s="61">
        <f t="shared" si="1600"/>
        <v>11525.93126809223</v>
      </c>
      <c r="BO876" s="113"/>
      <c r="BP876" s="113"/>
      <c r="BQ876" s="175"/>
      <c r="BR876" s="175"/>
      <c r="BS876" s="170"/>
      <c r="BT876" s="176"/>
      <c r="BU876" s="177"/>
      <c r="BV876" s="177"/>
      <c r="BW876" s="113"/>
      <c r="BX876" s="113"/>
      <c r="BY876" s="113"/>
      <c r="BZ876" s="113"/>
      <c r="CA876" s="116">
        <v>2021</v>
      </c>
      <c r="CB876" s="113"/>
      <c r="CC876" s="113"/>
      <c r="CD876" s="113"/>
      <c r="CE876" s="175"/>
      <c r="CF876" s="113">
        <f t="shared" si="1564"/>
        <v>350673</v>
      </c>
      <c r="CG876" s="113">
        <f t="shared" si="1565"/>
        <v>375.84624196568495</v>
      </c>
      <c r="CH876" s="178">
        <f>+(51-23)/(51-23*0.75)</f>
        <v>0.82962962962962961</v>
      </c>
      <c r="CI876" s="113">
        <f>CI853*CH876+CG854*CH875+CG855*CH874+CG856*CH873+CG857*CH872+CG858*CH871+CG859*CH870+CG860*CH869+CG861*CH868+CG862*CH867+CG863*CH866+CG864*CH865+CG865*CH864+CG866*CH863+CG867*CH862+CG858*CH861+CG869*CH860+CG870*CH859+CG871*CH858+CG872*CH857+CG873*CH856+CG874*CH855+CG876+CG875*CH854</f>
        <v>10605.881681424602</v>
      </c>
      <c r="CJ876" s="114"/>
      <c r="CK876" s="113"/>
      <c r="CL876" s="169">
        <f t="shared" si="1567"/>
        <v>4.0950843145381964E-2</v>
      </c>
      <c r="CM876" s="169">
        <f t="shared" si="1575"/>
        <v>1.9653333124833295E-2</v>
      </c>
      <c r="CN876" s="114">
        <f>VLOOKUP($H876,RoR!$E:$F,2,FALSE)</f>
        <v>2.7033333333333336E-2</v>
      </c>
      <c r="CO876" s="169"/>
      <c r="CP876" s="169"/>
      <c r="CQ876" s="169">
        <f t="shared" si="1576"/>
        <v>1.124860848370033E-2</v>
      </c>
      <c r="CR876" s="169">
        <f t="shared" si="1577"/>
        <v>7.433422950153494E-2</v>
      </c>
      <c r="CS876" s="179">
        <f t="shared" si="1568"/>
        <v>0.90330050000000006</v>
      </c>
      <c r="CT876" s="180">
        <f t="shared" si="1569"/>
        <v>1.8969932656739068</v>
      </c>
      <c r="CU876" s="180">
        <f t="shared" si="1570"/>
        <v>5.0215782983970621E-2</v>
      </c>
      <c r="CV876" s="180">
        <f t="shared" si="1571"/>
        <v>0.655952481704143</v>
      </c>
      <c r="CW876" s="180">
        <f t="shared" si="1572"/>
        <v>6.2485378865697057E-2</v>
      </c>
      <c r="CX876" s="181">
        <f>CX875</f>
        <v>0.26134999999999997</v>
      </c>
      <c r="CY876" s="72">
        <v>0.37</v>
      </c>
      <c r="CZ876" s="182">
        <f t="shared" si="1574"/>
        <v>12.743759015665599</v>
      </c>
      <c r="DA876" s="182"/>
      <c r="DB876" s="169">
        <f>LN(CZ877/CZ875)</f>
        <v>0.21450169374816011</v>
      </c>
      <c r="DC876" s="181">
        <f>VLOOKUP($H876,RoR!$E:$F,2,FALSE)</f>
        <v>2.7033333333333336E-2</v>
      </c>
      <c r="DD876" s="183">
        <f>HLOOKUP($H876,'GDP-PI'!$D$8:$CR$11,3,FALSE)</f>
        <v>4.2834637353352578E-2</v>
      </c>
      <c r="DE876" s="181">
        <f>VLOOKUP(H876,'HW Dx Data'!$E:$F,2,FALSE)</f>
        <v>933.02249921662576</v>
      </c>
      <c r="DF876" s="72">
        <f t="shared" si="1588"/>
        <v>157.25</v>
      </c>
      <c r="DG876" s="69">
        <f t="shared" si="1589"/>
        <v>2.6419062301765574E-2</v>
      </c>
      <c r="DH876" s="175">
        <f>HLOOKUP(H876,'GDP-PI'!$8:$9,2,FALSE)</f>
        <v>118.49</v>
      </c>
      <c r="DI876" s="169">
        <f t="shared" si="1579"/>
        <v>4.194261824609434E-2</v>
      </c>
      <c r="EB876"/>
    </row>
    <row r="877" spans="1:132" s="160" customFormat="1" ht="21">
      <c r="G877" s="161" t="s">
        <v>144</v>
      </c>
      <c r="H877" s="162"/>
      <c r="I877" s="163"/>
      <c r="J877" s="159">
        <v>128886.03191236209</v>
      </c>
      <c r="K877" s="159">
        <f t="shared" si="1580"/>
        <v>792.90084227845023</v>
      </c>
      <c r="L877" s="164">
        <f t="shared" ref="L877" si="1601">LN(K877/K876)</f>
        <v>-2.4546293935946237E-2</v>
      </c>
      <c r="M877" s="76">
        <f t="shared" si="1590"/>
        <v>-9.02591026941161E-4</v>
      </c>
      <c r="N877" s="166">
        <f>+N876*EXP(O877)</f>
        <v>113.86952710444818</v>
      </c>
      <c r="O877" s="114">
        <f t="shared" si="1591"/>
        <v>-5.9053267440258069E-3</v>
      </c>
      <c r="P877" s="114"/>
      <c r="Q877" s="163">
        <v>181682.71968369116</v>
      </c>
      <c r="R877" s="159">
        <f t="shared" si="1581"/>
        <v>1427.7620407362763</v>
      </c>
      <c r="S877" s="165">
        <f t="shared" ref="S877" si="1602">LN(R877/R876)</f>
        <v>-6.2722629368565319E-2</v>
      </c>
      <c r="T877" s="165">
        <f t="shared" si="1593"/>
        <v>-2.3063718947534399E-3</v>
      </c>
      <c r="U877" s="166"/>
      <c r="V877" s="114"/>
      <c r="W877" s="159">
        <f t="shared" si="1562"/>
        <v>286782.8015974664</v>
      </c>
      <c r="X877" s="168"/>
      <c r="Y877" s="167">
        <v>11179.338663267137</v>
      </c>
      <c r="Z877" s="168">
        <v>5.2658589585819884E-2</v>
      </c>
      <c r="AA877" s="76">
        <f t="shared" si="1582"/>
        <v>1.9363073943286947E-3</v>
      </c>
      <c r="AB877" s="166"/>
      <c r="AC877" s="114"/>
      <c r="AD877" s="163">
        <f t="shared" si="1526"/>
        <v>597351.55319351959</v>
      </c>
      <c r="AE877" s="168">
        <f t="shared" si="1594"/>
        <v>0.29703187445874313</v>
      </c>
      <c r="AF877" s="113"/>
      <c r="AG877" s="114"/>
      <c r="AH877" s="114"/>
      <c r="AI877" s="114"/>
      <c r="AJ877" s="116">
        <f t="shared" si="1595"/>
        <v>678.62658786225461</v>
      </c>
      <c r="AK877" s="114"/>
      <c r="AL877" s="115">
        <f t="shared" si="1583"/>
        <v>0.21576244545330214</v>
      </c>
      <c r="AM877" s="115">
        <f t="shared" si="1584"/>
        <v>0.30414706166308864</v>
      </c>
      <c r="AN877" s="115">
        <f t="shared" si="1585"/>
        <v>0.48009049288360933</v>
      </c>
      <c r="AO877" s="115"/>
      <c r="AP877" s="166"/>
      <c r="AQ877" s="168"/>
      <c r="AR877" s="69">
        <f>+AD877/$AF$27</f>
        <v>3.6770969552327532E-2</v>
      </c>
      <c r="AS877" s="169"/>
      <c r="AT877" s="166"/>
      <c r="AU877" s="168"/>
      <c r="AV877" s="113">
        <v>880236</v>
      </c>
      <c r="AW877" s="68">
        <f t="shared" si="1551"/>
        <v>3.2863323735251326E-3</v>
      </c>
      <c r="AX877" s="113"/>
      <c r="AY877" s="113"/>
      <c r="AZ877" s="113"/>
      <c r="BA877" s="113"/>
      <c r="BB877" s="171"/>
      <c r="BC877" s="172"/>
      <c r="BD877" s="173"/>
      <c r="BE877" s="115"/>
      <c r="BF877" s="174"/>
      <c r="BG877" s="174"/>
      <c r="BH877" s="166"/>
      <c r="BI877" s="113"/>
      <c r="BJ877" s="113"/>
      <c r="BK877" s="113"/>
      <c r="BL877" s="113"/>
      <c r="BM877" s="232">
        <v>0.97355615069619306</v>
      </c>
      <c r="BN877" s="61">
        <f t="shared" si="1600"/>
        <v>0</v>
      </c>
      <c r="BO877" s="113"/>
      <c r="BP877" s="113"/>
      <c r="BQ877" s="175"/>
      <c r="BR877" s="175"/>
      <c r="BS877" s="170"/>
      <c r="BT877" s="176"/>
      <c r="BU877" s="177"/>
      <c r="BV877" s="177"/>
      <c r="BW877" s="113"/>
      <c r="BX877" s="113"/>
      <c r="BY877" s="113"/>
      <c r="BZ877" s="113"/>
      <c r="CA877" s="116">
        <v>2022</v>
      </c>
      <c r="CB877" s="113"/>
      <c r="CC877" s="113"/>
      <c r="CD877" s="113"/>
      <c r="CE877" s="175"/>
      <c r="CF877" s="238">
        <v>334749</v>
      </c>
      <c r="CG877" s="113">
        <f>+CF877/DE877</f>
        <v>324.74364819898915</v>
      </c>
      <c r="CH877" s="178">
        <f>+(51-24)/(51-24*0.75)</f>
        <v>0.81818181818181823</v>
      </c>
      <c r="CI877" s="113">
        <f>+CI853*CH877+CG854*CH876+CG855*CH875+CG856*CH874+CG857*CH873+CG858*CH872+CG859*CH871+CG860*CH870+CG861*CH869+CG862*CH868+CG863*CH867+CG864*CH866+CG865*CH865+CG866*CH864+CG867*CH863+CG868*CH862+CG869*CH861+CG870*CH860+CG871*CH859+CG872*CH858+CG873*CH857+CG874*CH856+CG875*CH855+CG876*CH854+CG877*CH853</f>
        <v>11163.890617555513</v>
      </c>
      <c r="CJ877" s="114">
        <f t="shared" ref="CJ877" si="1603">LN(CI877/CI876)</f>
        <v>5.1275795005948879E-2</v>
      </c>
      <c r="CK877" s="113"/>
      <c r="CL877" s="169">
        <f t="shared" si="1567"/>
        <v>-2.1993955329566644E-2</v>
      </c>
      <c r="CM877" s="169">
        <f t="shared" si="1575"/>
        <v>9.3534794282292087E-3</v>
      </c>
      <c r="CN877" s="114"/>
      <c r="CO877" s="169"/>
      <c r="CP877" s="169"/>
      <c r="CQ877" s="69">
        <f t="shared" si="1576"/>
        <v>2.1548462180304415E-2</v>
      </c>
      <c r="CR877" s="169">
        <f t="shared" si="1577"/>
        <v>0.10114668178709289</v>
      </c>
      <c r="CS877" s="179">
        <f t="shared" si="1568"/>
        <v>0.90330050000000006</v>
      </c>
      <c r="CT877" s="180">
        <f t="shared" si="1569"/>
        <v>1.2820512820512819</v>
      </c>
      <c r="CU877" s="180">
        <f t="shared" si="1570"/>
        <v>0.35000000000000003</v>
      </c>
      <c r="CV877" s="180">
        <f t="shared" si="1571"/>
        <v>0.79171095533705893</v>
      </c>
      <c r="CW877" s="180">
        <f t="shared" si="1572"/>
        <v>0.35525491585637264</v>
      </c>
      <c r="CX877" s="181">
        <f>CX876</f>
        <v>0.26134999999999997</v>
      </c>
      <c r="CY877" s="72">
        <v>0.37</v>
      </c>
      <c r="CZ877" s="182">
        <f t="shared" si="1574"/>
        <v>27.039977458898562</v>
      </c>
      <c r="DA877" s="182"/>
      <c r="DB877" s="169">
        <f t="shared" ref="DB877" si="1604">LN(CZ877/CZ876)</f>
        <v>0.75227475475560224</v>
      </c>
      <c r="DC877" s="181">
        <v>0.04</v>
      </c>
      <c r="DD877" s="183">
        <v>7.0000000000000001E-3</v>
      </c>
      <c r="DE877" s="181">
        <v>1030.81</v>
      </c>
      <c r="DF877" s="72">
        <f t="shared" si="1588"/>
        <v>162.55000000000001</v>
      </c>
      <c r="DG877" s="169">
        <f t="shared" si="1589"/>
        <v>3.3148751169364422E-2</v>
      </c>
      <c r="DH877" s="175">
        <v>127.25</v>
      </c>
      <c r="DI877" s="169">
        <f t="shared" si="1579"/>
        <v>7.1325086601983473E-2</v>
      </c>
      <c r="EB877"/>
    </row>
    <row r="878" spans="1:132" s="160" customFormat="1" ht="21">
      <c r="A878" s="160" t="s">
        <v>212</v>
      </c>
      <c r="B878" s="161" t="s">
        <v>212</v>
      </c>
      <c r="C878" s="161">
        <v>4063341</v>
      </c>
      <c r="D878" s="161" t="s">
        <v>213</v>
      </c>
      <c r="E878" s="161"/>
      <c r="F878" s="161"/>
      <c r="G878" s="161" t="s">
        <v>100</v>
      </c>
      <c r="H878" s="162">
        <v>1998</v>
      </c>
      <c r="I878" s="163"/>
      <c r="J878" s="159"/>
      <c r="K878" s="159"/>
      <c r="L878" s="159"/>
      <c r="M878" s="60"/>
      <c r="N878" s="131"/>
      <c r="O878" s="76"/>
      <c r="P878" s="76"/>
      <c r="Q878" s="165"/>
      <c r="R878" s="165"/>
      <c r="S878" s="165"/>
      <c r="T878" s="159"/>
      <c r="U878" s="165"/>
      <c r="V878" s="165"/>
      <c r="W878" s="159"/>
      <c r="X878" s="163"/>
      <c r="Y878" s="167">
        <v>1528.4545803086621</v>
      </c>
      <c r="Z878" s="168"/>
      <c r="AA878" s="78"/>
      <c r="AB878" s="168"/>
      <c r="AC878" s="168"/>
      <c r="AD878" s="163">
        <f t="shared" si="1526"/>
        <v>0</v>
      </c>
      <c r="AE878" s="163"/>
      <c r="AF878" s="163"/>
      <c r="AG878" s="114"/>
      <c r="AH878" s="114"/>
      <c r="AI878" s="114"/>
      <c r="AJ878" s="166">
        <f>+(AJ875+AJ876+AJ877)/3</f>
        <v>580.41234275060231</v>
      </c>
      <c r="AK878" s="168"/>
      <c r="AL878" s="115"/>
      <c r="AM878" s="115"/>
      <c r="AN878" s="115"/>
      <c r="AO878" s="115"/>
      <c r="AP878" s="115"/>
      <c r="AQ878" s="168">
        <f>AVERAGE(AQ887:AQ901)</f>
        <v>2.4835906875001916E-2</v>
      </c>
      <c r="AR878" s="79"/>
      <c r="AS878" s="115"/>
      <c r="AT878" s="115"/>
      <c r="AU878" s="115"/>
      <c r="AV878" s="113">
        <f>IFERROR(INDEX('Total Customers'!$F$7:$AB$91,MATCH($C878,'Total Customers'!$D$7:$D$91,0),MATCH($G878,'Total Customers'!$F$5:$AB$5,0)),"NA")</f>
        <v>237335</v>
      </c>
      <c r="AW878" s="68"/>
      <c r="AX878" s="114"/>
      <c r="AY878" s="114"/>
      <c r="AZ878" s="116"/>
      <c r="BA878" s="116"/>
      <c r="BB878" s="166"/>
      <c r="BC878" s="166"/>
      <c r="BD878" s="166"/>
      <c r="BE878" s="166"/>
      <c r="BF878" s="166"/>
      <c r="BG878" s="166"/>
      <c r="BH878" s="166"/>
      <c r="BI878" s="113">
        <f>INDEX('Gross Dx Plant'!$E$7:$AD$91,MATCH($C878,'Gross Dx Plant'!$D$7:$D$91,0),MATCH(Calculation!$G878,'Gross Dx Plant'!$E$5:$AD$5,0))</f>
        <v>455488</v>
      </c>
      <c r="BJ878" s="113">
        <f>INDEX('Gross Gen Plant'!$E$7:$AD$91,MATCH($C878,'Gross Gen Plant'!$D$7:$D$91,0),MATCH(Calculation!$G878,'Gross Gen Plant'!$E$5:$AD$5,0))</f>
        <v>43886</v>
      </c>
      <c r="BK878" s="113">
        <f>INDEX('Dist. Plant Gas Additions'!$F$7:$AE$91,MATCH($C878,'Dist. Plant Gas Additions'!$D$7:$D$91,0),MATCH(Calculation!$G878,'Dist. Plant Gas Additions'!$F$5:$AE$5,0))</f>
        <v>0</v>
      </c>
      <c r="BL878" s="113">
        <f>INDEX('Gen. Plant Additions'!$F$7:$AE$91,MATCH($C878,'Gen. Plant Additions'!$D$7:$D$91,0),MATCH(Calculation!$G878,'Gen. Plant Additions'!$F$5:$AE$5,0))</f>
        <v>0</v>
      </c>
      <c r="BM878" s="231">
        <f>+(BW878/(BW878+BX878))</f>
        <v>0.91211797170056907</v>
      </c>
      <c r="BN878" s="61">
        <f t="shared" si="1600"/>
        <v>0</v>
      </c>
      <c r="BO878" s="113">
        <f>INDEX('Dist Plant Depreciation'!$E$7:$AD$94,MATCH($C878,'Dist Plant Depreciation'!$D$7:$D$94,0),MATCH(Calculation!$G878,'Dist Plant Depreciation'!$E$5:$AD$5,0))</f>
        <v>172412</v>
      </c>
      <c r="BP878" s="113">
        <f>INDEX('Gen. Plant Depreciation'!$E$7:$AD$94,MATCH($C878,'Gen. Plant Depreciation'!$D$7:$D$94,0),MATCH(Calculation!$G878,'Gen. Plant Depreciation'!$E$5:$AD$5,0))</f>
        <v>18643</v>
      </c>
      <c r="BQ878" s="113"/>
      <c r="BR878" s="113"/>
      <c r="BS878" s="113"/>
      <c r="BT878" s="113"/>
      <c r="BU878" s="113"/>
      <c r="BV878" s="175"/>
      <c r="BW878" s="113">
        <f>INDEX('Gross Dx Plant'!$E$7:$AD$91,MATCH($C878,'Gross Dx Plant'!$D$7:$D$91,0),MATCH(Calculation!$G878,'Gross Dx Plant'!$E$5:$AD$5,0))</f>
        <v>455488</v>
      </c>
      <c r="BX878" s="113">
        <f>INDEX('Gross Gen Plant'!$E$7:$AD$91,MATCH($C878,'Gross Gen Plant'!$D$7:$D$91,0),MATCH(Calculation!$G878,'Gross Gen Plant'!$E$5:$AD$5,0))</f>
        <v>43886</v>
      </c>
      <c r="BY878" s="113">
        <f t="shared" ref="BY878:BY945" si="1605">IF(OR(BO878="NA",BP878="NA"),"NA",(SUM(BW878:BX878)-SUM(BO878:BP878)))</f>
        <v>308319</v>
      </c>
      <c r="BZ878" s="113"/>
      <c r="CA878" s="116">
        <v>1998</v>
      </c>
      <c r="CB878" s="113">
        <f>BI878+BJ878</f>
        <v>499374</v>
      </c>
      <c r="CC878" s="113">
        <f>172412+18643</f>
        <v>191055</v>
      </c>
      <c r="CD878" s="113">
        <f>+CB878-CC878</f>
        <v>308319</v>
      </c>
      <c r="CE878" s="113">
        <f>CD878/$BV$3</f>
        <v>1528.4545803086621</v>
      </c>
      <c r="CF878" s="175"/>
      <c r="CG878" s="175"/>
      <c r="CH878" s="178">
        <v>1</v>
      </c>
      <c r="CI878" s="113">
        <f>+CE878</f>
        <v>1528.4545803086621</v>
      </c>
      <c r="CJ878" s="114"/>
      <c r="CK878" s="114"/>
      <c r="CL878" s="169"/>
      <c r="CM878" s="169"/>
      <c r="CN878" s="114" t="e">
        <f>VLOOKUP($H878,RoR!$E:$F,2,FALSE)</f>
        <v>#N/A</v>
      </c>
      <c r="CO878" s="169">
        <v>1.1028127770464469E-2</v>
      </c>
      <c r="CP878" s="169"/>
      <c r="CQ878" s="169"/>
      <c r="CR878" s="169"/>
      <c r="CS878" s="179"/>
      <c r="CT878" s="182" t="e">
        <f>2/(DC878*39)</f>
        <v>#N/A</v>
      </c>
      <c r="CU878" s="180" t="e">
        <f>+(DC878*40-(1+DC878))/(DC878*40)</f>
        <v>#N/A</v>
      </c>
      <c r="CV878" s="180" t="e">
        <f>+(1-(1/(1+DC878)^40))</f>
        <v>#N/A</v>
      </c>
      <c r="CW878" s="180" t="e">
        <f>+CV878*CU878*CT878</f>
        <v>#N/A</v>
      </c>
      <c r="CX878" s="181">
        <f>INDEX('State Tax Lookup'!$D$7:$Z$91,MATCH(Calculation!$C878,'State Tax Lookup'!$B$7:$B$91,0),MATCH($H878,'State Tax Lookup'!$D$6:$Z$6,0))</f>
        <v>0.38574999999999998</v>
      </c>
      <c r="CY878" s="72">
        <v>0.37</v>
      </c>
      <c r="CZ878" s="66"/>
      <c r="DA878" s="66"/>
      <c r="DB878" s="69"/>
      <c r="DC878" s="111" t="e">
        <f>VLOOKUP($H878,RoR!$E:$F,2,FALSE)</f>
        <v>#N/A</v>
      </c>
      <c r="DD878" s="216">
        <f>HLOOKUP($H878,'GDP-PI'!$D$8:$CQ$11,3,FALSE)</f>
        <v>1.1028127770464469E-2</v>
      </c>
      <c r="DE878" s="111">
        <f>VLOOKUP(H878,'HW Dx Data'!$E:$F,2,FALSE)</f>
        <v>329.24564746449528</v>
      </c>
      <c r="DF878" s="72" t="e">
        <f t="shared" si="1588"/>
        <v>#N/A</v>
      </c>
      <c r="DG878" s="169" t="e">
        <f t="shared" si="1589"/>
        <v>#N/A</v>
      </c>
      <c r="DH878" s="66">
        <f>HLOOKUP(H878,'GDP-PI'!$8:$9,2,FALSE)</f>
        <v>75.266999999999996</v>
      </c>
      <c r="DI878"/>
      <c r="EB878"/>
    </row>
    <row r="879" spans="1:132" s="160" customFormat="1" ht="21">
      <c r="A879" s="160" t="s">
        <v>212</v>
      </c>
      <c r="B879" s="161" t="s">
        <v>212</v>
      </c>
      <c r="C879" s="161">
        <v>4063341</v>
      </c>
      <c r="D879" s="161" t="s">
        <v>213</v>
      </c>
      <c r="E879" s="161"/>
      <c r="F879" s="161"/>
      <c r="G879" s="161" t="s">
        <v>106</v>
      </c>
      <c r="H879" s="162">
        <v>1999</v>
      </c>
      <c r="I879" s="163"/>
      <c r="J879" s="159"/>
      <c r="K879" s="163"/>
      <c r="L879" s="163"/>
      <c r="M879" s="60"/>
      <c r="N879" s="152"/>
      <c r="O879" s="60"/>
      <c r="P879" s="59"/>
      <c r="Q879" s="169"/>
      <c r="R879" s="169"/>
      <c r="S879" s="169"/>
      <c r="T879" s="187"/>
      <c r="U879" s="169"/>
      <c r="V879" s="169"/>
      <c r="W879" s="159">
        <f t="shared" ref="W879:W902" si="1606">+CI878*CZ879</f>
        <v>0</v>
      </c>
      <c r="X879" s="163"/>
      <c r="Y879" s="167">
        <v>1753.8899230545576</v>
      </c>
      <c r="Z879" s="168">
        <v>0.13757898761313545</v>
      </c>
      <c r="AA879" s="78"/>
      <c r="AB879" s="168"/>
      <c r="AC879" s="168"/>
      <c r="AD879" s="163">
        <f t="shared" si="1526"/>
        <v>0</v>
      </c>
      <c r="AE879" s="168"/>
      <c r="AF879" s="163"/>
      <c r="AG879" s="114"/>
      <c r="AH879" s="114"/>
      <c r="AI879" s="114"/>
      <c r="AJ879" s="167"/>
      <c r="AK879" s="168"/>
      <c r="AL879" s="115"/>
      <c r="AM879" s="115"/>
      <c r="AN879" s="115"/>
      <c r="AO879" s="115"/>
      <c r="AP879" s="115"/>
      <c r="AQ879" s="168"/>
      <c r="AR879" s="79"/>
      <c r="AS879" s="115"/>
      <c r="AT879" s="115"/>
      <c r="AU879" s="115"/>
      <c r="AV879" s="113">
        <f>IFERROR(INDEX('Total Customers'!$F$7:$AB$91,MATCH($C879,'Total Customers'!$D$7:$D$91,0),MATCH($G879,'Total Customers'!$F$5:$AB$5,0)),"NA")</f>
        <v>246789</v>
      </c>
      <c r="AW879" s="68">
        <f t="shared" si="1551"/>
        <v>3.9061075344388629E-2</v>
      </c>
      <c r="AX879" s="114"/>
      <c r="AY879" s="114"/>
      <c r="AZ879" s="116"/>
      <c r="BA879" s="116"/>
      <c r="BB879" s="166"/>
      <c r="BC879" s="166"/>
      <c r="BD879" s="166"/>
      <c r="BE879" s="166"/>
      <c r="BF879" s="166"/>
      <c r="BG879" s="166"/>
      <c r="BH879" s="166"/>
      <c r="BI879" s="113"/>
      <c r="BJ879" s="113"/>
      <c r="BK879" s="113">
        <f>INDEX('Dist. Plant Gas Additions'!$F$7:$AE$91,MATCH($C879,'Dist. Plant Gas Additions'!$D$7:$D$91,0),MATCH(Calculation!$G879,'Dist. Plant Gas Additions'!$F$5:$AE$5,0))</f>
        <v>70775</v>
      </c>
      <c r="BL879" s="113">
        <f>INDEX('Gen. Plant Additions'!$F$7:$AE$91,MATCH($C879,'Gen. Plant Additions'!$D$7:$D$91,0),MATCH(Calculation!$G879,'Gen. Plant Additions'!$F$5:$AE$5,0))</f>
        <v>7369</v>
      </c>
      <c r="BM879" s="231">
        <f t="shared" ref="BM879:BM900" si="1607">+(BW879/(BW879+BX879))</f>
        <v>0.91473890846487349</v>
      </c>
      <c r="BN879" s="61">
        <f t="shared" si="1600"/>
        <v>6740.7110164776532</v>
      </c>
      <c r="BO879" s="113">
        <f>INDEX('Dist Plant Depreciation'!$E$7:$AD$94,MATCH($C879,'Dist Plant Depreciation'!$D$7:$D$94,0),MATCH(Calculation!$G879,'Dist Plant Depreciation'!$E$5:$AD$5,0))</f>
        <v>187152</v>
      </c>
      <c r="BP879" s="113">
        <f>INDEX('Gen. Plant Depreciation'!$E$7:$AD$94,MATCH($C879,'Gen. Plant Depreciation'!$D$7:$D$94,0),MATCH(Calculation!$G879,'Gen. Plant Depreciation'!$E$5:$AD$5,0))</f>
        <v>19890</v>
      </c>
      <c r="BQ879" s="113"/>
      <c r="BR879" s="113"/>
      <c r="BS879" s="113"/>
      <c r="BT879" s="113"/>
      <c r="BU879" s="113"/>
      <c r="BV879" s="175"/>
      <c r="BW879" s="113">
        <f>INDEX('Gross Dx Plant'!$E$7:$AD$91,MATCH($C879,'Gross Dx Plant'!$D$7:$D$91,0),MATCH(Calculation!$G879,'Gross Dx Plant'!$E$5:$AD$5,0))</f>
        <v>522830</v>
      </c>
      <c r="BX879" s="113">
        <f>INDEX('Gross Gen Plant'!$E$7:$AD$91,MATCH($C879,'Gross Gen Plant'!$D$7:$D$91,0),MATCH(Calculation!$G879,'Gross Gen Plant'!$E$5:$AD$5,0))</f>
        <v>48732</v>
      </c>
      <c r="BY879" s="113">
        <f t="shared" si="1605"/>
        <v>364520</v>
      </c>
      <c r="BZ879" s="113"/>
      <c r="CA879" s="116">
        <v>1999</v>
      </c>
      <c r="CB879" s="113"/>
      <c r="CC879" s="113"/>
      <c r="CD879" s="113"/>
      <c r="CE879" s="175"/>
      <c r="CF879" s="113">
        <f t="shared" ref="CF879:CF901" si="1608">+BL879+BK879</f>
        <v>78144</v>
      </c>
      <c r="CG879" s="113">
        <f t="shared" ref="CG879:CG901" si="1609">+CF879/$DE879</f>
        <v>233.03959438922215</v>
      </c>
      <c r="CH879" s="178">
        <v>0.99502487562189057</v>
      </c>
      <c r="CI879" s="61">
        <f>+CI878*CH879+CG879</f>
        <v>1753.8899230545576</v>
      </c>
      <c r="CJ879" s="114">
        <f t="shared" ref="CJ879:CJ900" si="1610">LN(CI879/CI878)</f>
        <v>0.13757898761313545</v>
      </c>
      <c r="CK879" s="114"/>
      <c r="CL879" s="169">
        <f t="shared" ref="CL879:CL902" si="1611">+(CI878-CI879+CG879)/CI878</f>
        <v>4.9751243781094526E-3</v>
      </c>
      <c r="CM879" s="169"/>
      <c r="CN879" s="114">
        <f>VLOOKUP($H879,RoR!$E:$F,2,FALSE)</f>
        <v>7.0416666666666669E-2</v>
      </c>
      <c r="CO879" s="169">
        <v>1.4335631817396832E-2</v>
      </c>
      <c r="CP879" s="169">
        <f>+CN879-CO879</f>
        <v>5.6081034849269837E-2</v>
      </c>
      <c r="CQ879" s="169"/>
      <c r="CR879" s="169"/>
      <c r="CS879" s="179">
        <f t="shared" ref="CS879:CS902" si="1612">1-CX879*CY879</f>
        <v>0.85727249999999999</v>
      </c>
      <c r="CT879" s="180">
        <f t="shared" ref="CT879:CT902" si="1613">2/(DC879*39)</f>
        <v>0.72826581702321336</v>
      </c>
      <c r="CU879" s="180">
        <f t="shared" ref="CU879:CU902" si="1614">+(DC879*40-(1+DC879))/(DC879*40)</f>
        <v>0.61997041420118348</v>
      </c>
      <c r="CV879" s="180">
        <f t="shared" ref="CV879:CV902" si="1615">+(1-(1/(1+DC879)^40))</f>
        <v>0.93425155319585029</v>
      </c>
      <c r="CW879" s="180">
        <f t="shared" ref="CW879:CW902" si="1616">+CV879*CU879*CT879</f>
        <v>0.42181762214141483</v>
      </c>
      <c r="CX879" s="181">
        <f>INDEX('State Tax Lookup'!$D$7:$Z$91,MATCH(Calculation!$C879,'State Tax Lookup'!$B$7:$B$91,0),MATCH($H879,'State Tax Lookup'!$D$6:$Z$6,0))</f>
        <v>0.38574999999999998</v>
      </c>
      <c r="CY879" s="72">
        <v>0.37</v>
      </c>
      <c r="CZ879" s="70"/>
      <c r="DA879" s="70"/>
      <c r="DB879" s="69"/>
      <c r="DC879" s="111">
        <f>VLOOKUP($H879,RoR!$E:$F,2,FALSE)</f>
        <v>7.0416666666666669E-2</v>
      </c>
      <c r="DD879" s="216">
        <f>HLOOKUP($H879,'GDP-PI'!$D$8:$CQ$11,3,FALSE)</f>
        <v>1.4335631817396832E-2</v>
      </c>
      <c r="DE879" s="111">
        <f>VLOOKUP(H879,'HW Dx Data'!$E:$F,2,FALSE)</f>
        <v>335.32499146683239</v>
      </c>
      <c r="DF879" s="66"/>
      <c r="DG879" s="69"/>
      <c r="DH879" s="66">
        <f>HLOOKUP(H879,'GDP-PI'!$8:$9,2,FALSE)</f>
        <v>76.346000000000004</v>
      </c>
      <c r="DI879"/>
      <c r="EB879"/>
    </row>
    <row r="880" spans="1:132" s="160" customFormat="1" ht="21">
      <c r="A880" s="160" t="s">
        <v>212</v>
      </c>
      <c r="B880" s="161" t="s">
        <v>212</v>
      </c>
      <c r="C880" s="161">
        <v>4063341</v>
      </c>
      <c r="D880" s="161" t="s">
        <v>213</v>
      </c>
      <c r="E880" s="161"/>
      <c r="F880" s="161"/>
      <c r="G880" s="161" t="s">
        <v>107</v>
      </c>
      <c r="H880" s="162">
        <v>2000</v>
      </c>
      <c r="I880" s="163"/>
      <c r="J880" s="159"/>
      <c r="K880" s="159"/>
      <c r="L880" s="159"/>
      <c r="M880" s="60"/>
      <c r="N880" s="152"/>
      <c r="O880" s="60"/>
      <c r="P880" s="60"/>
      <c r="Q880" s="159"/>
      <c r="R880" s="159"/>
      <c r="S880" s="159"/>
      <c r="T880" s="159"/>
      <c r="U880" s="159"/>
      <c r="V880" s="159"/>
      <c r="W880" s="159">
        <f t="shared" si="1606"/>
        <v>0</v>
      </c>
      <c r="X880" s="163"/>
      <c r="Y880" s="167">
        <v>1744.8958385761409</v>
      </c>
      <c r="Z880" s="168">
        <v>-5.1412718026453159E-3</v>
      </c>
      <c r="AA880" s="78"/>
      <c r="AB880" s="168"/>
      <c r="AC880" s="168"/>
      <c r="AD880" s="163">
        <f t="shared" si="1526"/>
        <v>0</v>
      </c>
      <c r="AE880" s="168"/>
      <c r="AF880" s="163"/>
      <c r="AG880" s="163"/>
      <c r="AH880" s="163"/>
      <c r="AI880" s="163"/>
      <c r="AJ880" s="167"/>
      <c r="AK880" s="168"/>
      <c r="AL880" s="115"/>
      <c r="AM880" s="115"/>
      <c r="AN880" s="115"/>
      <c r="AO880" s="115"/>
      <c r="AP880" s="115"/>
      <c r="AQ880" s="168"/>
      <c r="AR880" s="79"/>
      <c r="AS880" s="115"/>
      <c r="AT880" s="115"/>
      <c r="AU880" s="115"/>
      <c r="AV880" s="113">
        <f>IFERROR(INDEX('Total Customers'!$F$7:$AB$91,MATCH($C880,'Total Customers'!$D$7:$D$91,0),MATCH($G880,'Total Customers'!$F$5:$AB$5,0)),"NA")</f>
        <v>255640</v>
      </c>
      <c r="AW880" s="68">
        <f t="shared" si="1551"/>
        <v>3.5236484246573753E-2</v>
      </c>
      <c r="AX880" s="114"/>
      <c r="AY880" s="114"/>
      <c r="AZ880" s="116"/>
      <c r="BA880" s="116"/>
      <c r="BB880" s="166"/>
      <c r="BC880" s="166"/>
      <c r="BD880" s="166"/>
      <c r="BE880" s="166"/>
      <c r="BF880" s="166"/>
      <c r="BG880" s="166"/>
      <c r="BH880" s="166"/>
      <c r="BI880" s="113"/>
      <c r="BJ880" s="113"/>
      <c r="BK880" s="113">
        <f>INDEX('Dist. Plant Gas Additions'!$F$7:$AE$91,MATCH($C880,'Dist. Plant Gas Additions'!$D$7:$D$91,0),MATCH(Calculation!$G880,'Dist. Plant Gas Additions'!$F$5:$AE$5,0))</f>
        <v>0</v>
      </c>
      <c r="BL880" s="113">
        <f>INDEX('Gen. Plant Additions'!$F$7:$AE$91,MATCH($C880,'Gen. Plant Additions'!$D$7:$D$91,0),MATCH(Calculation!$G880,'Gen. Plant Additions'!$F$5:$AE$5,0))</f>
        <v>0</v>
      </c>
      <c r="BM880" s="231">
        <f t="shared" si="1607"/>
        <v>0.93012640567198923</v>
      </c>
      <c r="BN880" s="61">
        <f t="shared" si="1600"/>
        <v>0</v>
      </c>
      <c r="BO880" s="113"/>
      <c r="BP880" s="113"/>
      <c r="BQ880" s="113"/>
      <c r="BR880" s="113"/>
      <c r="BS880" s="113"/>
      <c r="BT880" s="113"/>
      <c r="BU880" s="113"/>
      <c r="BV880" s="175"/>
      <c r="BW880" s="113">
        <f>INDEX('Gross Dx Plant'!$E$7:$AD$91,MATCH($C880,'Gross Dx Plant'!$D$7:$D$91,0),MATCH(Calculation!$G880,'Gross Dx Plant'!$E$5:$AD$5,0))</f>
        <v>554666</v>
      </c>
      <c r="BX880" s="113">
        <f>INDEX('Gross Gen Plant'!$E$7:$AD$91,MATCH($C880,'Gross Gen Plant'!$D$7:$D$91,0),MATCH(Calculation!$G880,'Gross Gen Plant'!$E$5:$AD$5,0))</f>
        <v>41668</v>
      </c>
      <c r="BY880" s="113">
        <f t="shared" si="1605"/>
        <v>596334</v>
      </c>
      <c r="BZ880" s="113"/>
      <c r="CA880" s="116">
        <v>2000</v>
      </c>
      <c r="CB880" s="113"/>
      <c r="CC880" s="113"/>
      <c r="CD880" s="113"/>
      <c r="CE880" s="175"/>
      <c r="CF880" s="113">
        <f t="shared" si="1608"/>
        <v>0</v>
      </c>
      <c r="CG880" s="113">
        <f t="shared" si="1609"/>
        <v>0</v>
      </c>
      <c r="CH880" s="178">
        <v>0.98989898989898994</v>
      </c>
      <c r="CI880" s="61">
        <f>+CI878*CH880+CG879*CH879+CG880</f>
        <v>1744.8958385761409</v>
      </c>
      <c r="CJ880" s="114">
        <f t="shared" si="1610"/>
        <v>-5.1412718026453159E-3</v>
      </c>
      <c r="CK880" s="114"/>
      <c r="CL880" s="169">
        <f t="shared" si="1611"/>
        <v>5.128078085284077E-3</v>
      </c>
      <c r="CM880" s="169"/>
      <c r="CN880" s="114">
        <f>VLOOKUP($H880,RoR!$E:$F,2,FALSE)</f>
        <v>7.6225000000000001E-2</v>
      </c>
      <c r="CO880" s="169">
        <v>2.2568307442433211E-2</v>
      </c>
      <c r="CP880" s="169">
        <f t="shared" ref="CP880:CP900" si="1617">+CN880-CO880</f>
        <v>5.365669255756679E-2</v>
      </c>
      <c r="CQ880" s="169"/>
      <c r="CR880" s="169"/>
      <c r="CS880" s="179">
        <f t="shared" si="1612"/>
        <v>0.85727249999999999</v>
      </c>
      <c r="CT880" s="180">
        <f t="shared" si="1613"/>
        <v>0.67277207323124022</v>
      </c>
      <c r="CU880" s="180">
        <f t="shared" si="1614"/>
        <v>0.6470236142997704</v>
      </c>
      <c r="CV880" s="180">
        <f t="shared" si="1615"/>
        <v>0.94704866037543145</v>
      </c>
      <c r="CW880" s="180">
        <f t="shared" si="1616"/>
        <v>0.41224973107878493</v>
      </c>
      <c r="CX880" s="181">
        <f>INDEX('State Tax Lookup'!$D$7:$Z$91,MATCH(Calculation!$C880,'State Tax Lookup'!$B$7:$B$91,0),MATCH($H880,'State Tax Lookup'!$D$6:$Z$6,0))</f>
        <v>0.38574999999999998</v>
      </c>
      <c r="CY880" s="72">
        <v>0.37</v>
      </c>
      <c r="CZ880" s="70"/>
      <c r="DA880" s="70"/>
      <c r="DB880" s="69"/>
      <c r="DC880" s="111">
        <f>VLOOKUP($H880,RoR!$E:$F,2,FALSE)</f>
        <v>7.6225000000000001E-2</v>
      </c>
      <c r="DD880" s="216">
        <f>HLOOKUP($H880,'GDP-PI'!$D$8:$CQ$11,3,FALSE)</f>
        <v>2.2568307442433211E-2</v>
      </c>
      <c r="DE880" s="111">
        <f>VLOOKUP(H880,'HW Dx Data'!$E:$F,2,FALSE)</f>
        <v>346.53371782150339</v>
      </c>
      <c r="DF880" s="66"/>
      <c r="DG880" s="69"/>
      <c r="DH880" s="66">
        <f>HLOOKUP(H880,'GDP-PI'!$8:$9,2,FALSE)</f>
        <v>78.069000000000003</v>
      </c>
      <c r="DI880"/>
      <c r="EB880"/>
    </row>
    <row r="881" spans="1:132" s="160" customFormat="1" ht="21">
      <c r="A881" s="160" t="s">
        <v>212</v>
      </c>
      <c r="B881" s="161" t="s">
        <v>212</v>
      </c>
      <c r="C881" s="161">
        <v>4063341</v>
      </c>
      <c r="D881" s="161" t="s">
        <v>213</v>
      </c>
      <c r="E881" s="161"/>
      <c r="F881" s="161"/>
      <c r="G881" s="161" t="s">
        <v>111</v>
      </c>
      <c r="H881" s="162">
        <v>2001</v>
      </c>
      <c r="I881" s="163"/>
      <c r="J881" s="159"/>
      <c r="K881" s="159"/>
      <c r="L881" s="159"/>
      <c r="M881" s="60"/>
      <c r="N881" s="152"/>
      <c r="O881" s="60"/>
      <c r="P881" s="60"/>
      <c r="Q881" s="159"/>
      <c r="R881" s="159"/>
      <c r="S881" s="159"/>
      <c r="T881" s="159"/>
      <c r="U881" s="159"/>
      <c r="V881" s="159"/>
      <c r="W881" s="159">
        <f t="shared" si="1606"/>
        <v>22116.959147120753</v>
      </c>
      <c r="X881" s="163"/>
      <c r="Y881" s="167">
        <v>1845.1156846719239</v>
      </c>
      <c r="Z881" s="168">
        <v>5.5847114733607067E-2</v>
      </c>
      <c r="AA881" s="78"/>
      <c r="AB881" s="168"/>
      <c r="AC881" s="168"/>
      <c r="AD881" s="163">
        <f t="shared" si="1526"/>
        <v>22116.959147120753</v>
      </c>
      <c r="AE881" s="168"/>
      <c r="AF881" s="163"/>
      <c r="AG881" s="163"/>
      <c r="AH881" s="163"/>
      <c r="AI881" s="163"/>
      <c r="AJ881" s="167"/>
      <c r="AK881" s="168"/>
      <c r="AL881" s="115"/>
      <c r="AM881" s="115"/>
      <c r="AN881" s="115"/>
      <c r="AO881" s="115"/>
      <c r="AP881" s="115"/>
      <c r="AQ881" s="168"/>
      <c r="AR881" s="79"/>
      <c r="AS881" s="115"/>
      <c r="AT881" s="115"/>
      <c r="AU881" s="115"/>
      <c r="AV881" s="113">
        <f>IFERROR(INDEX('Total Customers'!$F$7:$AB$91,MATCH($C881,'Total Customers'!$D$7:$D$91,0),MATCH($G881,'Total Customers'!$F$5:$AB$5,0)),"NA")</f>
        <v>266326</v>
      </c>
      <c r="AW881" s="68">
        <f t="shared" si="1551"/>
        <v>4.0950917518982478E-2</v>
      </c>
      <c r="AX881" s="114"/>
      <c r="AY881" s="114"/>
      <c r="AZ881" s="116"/>
      <c r="BA881" s="116"/>
      <c r="BB881" s="166"/>
      <c r="BC881" s="166"/>
      <c r="BD881" s="166"/>
      <c r="BE881" s="166"/>
      <c r="BF881" s="166"/>
      <c r="BG881" s="166"/>
      <c r="BH881" s="166"/>
      <c r="BI881" s="113"/>
      <c r="BJ881" s="113"/>
      <c r="BK881" s="113">
        <f>INDEX('Dist. Plant Gas Additions'!$F$7:$AE$91,MATCH($C881,'Dist. Plant Gas Additions'!$D$7:$D$91,0),MATCH(Calculation!$G881,'Dist. Plant Gas Additions'!$F$5:$AE$5,0))</f>
        <v>25807</v>
      </c>
      <c r="BL881" s="113">
        <f>INDEX('Gen. Plant Additions'!$F$7:$AE$91,MATCH($C881,'Gen. Plant Additions'!$D$7:$D$91,0),MATCH(Calculation!$G881,'Gen. Plant Additions'!$F$5:$AE$5,0))</f>
        <v>12892</v>
      </c>
      <c r="BM881" s="231">
        <f t="shared" si="1607"/>
        <v>0.92383445423967925</v>
      </c>
      <c r="BN881" s="61">
        <f t="shared" si="1600"/>
        <v>11910.073784057944</v>
      </c>
      <c r="BO881" s="113"/>
      <c r="BP881" s="113"/>
      <c r="BQ881" s="113"/>
      <c r="BR881" s="113"/>
      <c r="BS881" s="113"/>
      <c r="BT881" s="113"/>
      <c r="BU881" s="113"/>
      <c r="BV881" s="175"/>
      <c r="BW881" s="113">
        <f>INDEX('Gross Dx Plant'!$E$7:$AD$91,MATCH($C881,'Gross Dx Plant'!$D$7:$D$91,0),MATCH(Calculation!$G881,'Gross Dx Plant'!$E$5:$AD$5,0))</f>
        <v>571023</v>
      </c>
      <c r="BX881" s="113">
        <f>INDEX('Gross Gen Plant'!$E$7:$AD$91,MATCH($C881,'Gross Gen Plant'!$D$7:$D$91,0),MATCH(Calculation!$G881,'Gross Gen Plant'!$E$5:$AD$5,0))</f>
        <v>47078</v>
      </c>
      <c r="BY881" s="113">
        <f t="shared" si="1605"/>
        <v>618101</v>
      </c>
      <c r="BZ881" s="113"/>
      <c r="CA881" s="116">
        <v>2001</v>
      </c>
      <c r="CB881" s="113"/>
      <c r="CC881" s="113"/>
      <c r="CD881" s="113"/>
      <c r="CE881" s="175"/>
      <c r="CF881" s="113">
        <f t="shared" si="1608"/>
        <v>38699</v>
      </c>
      <c r="CG881" s="113">
        <f t="shared" si="1609"/>
        <v>109.49013112180288</v>
      </c>
      <c r="CH881" s="178">
        <v>0.98461538461538467</v>
      </c>
      <c r="CI881" s="61">
        <f>+CI878*CH881+CG879*CH880+CG880*CH878+CG881</f>
        <v>1845.1156846719239</v>
      </c>
      <c r="CJ881" s="114">
        <f t="shared" si="1610"/>
        <v>5.5847114733607067E-2</v>
      </c>
      <c r="CK881" s="114"/>
      <c r="CL881" s="169">
        <f t="shared" si="1611"/>
        <v>5.3128013839408399E-3</v>
      </c>
      <c r="CM881" s="169">
        <f>+(CL881+CL880+CL879)/3</f>
        <v>5.1386679491114565E-3</v>
      </c>
      <c r="CN881" s="114">
        <f>VLOOKUP($H881,RoR!$E:$F,2,FALSE)</f>
        <v>7.0824999999999999E-2</v>
      </c>
      <c r="CO881" s="169">
        <v>2.2454495382290052E-2</v>
      </c>
      <c r="CP881" s="169">
        <f t="shared" si="1617"/>
        <v>4.8370504617709947E-2</v>
      </c>
      <c r="CQ881" s="169">
        <f>+$CP$2-CM881</f>
        <v>2.5763273659422169E-2</v>
      </c>
      <c r="CR881" s="169">
        <f>+((DE879/DE878-1)+(DE880/DE879-1)+(DE881/DE880-1))/3</f>
        <v>2.3947275901631187E-2</v>
      </c>
      <c r="CS881" s="179">
        <f t="shared" si="1612"/>
        <v>0.85727249999999999</v>
      </c>
      <c r="CT881" s="180">
        <f t="shared" si="1613"/>
        <v>0.72406708481540816</v>
      </c>
      <c r="CU881" s="180">
        <f t="shared" si="1614"/>
        <v>0.62201729615248857</v>
      </c>
      <c r="CV881" s="180">
        <f t="shared" si="1615"/>
        <v>0.9352469954311422</v>
      </c>
      <c r="CW881" s="180">
        <f t="shared" si="1616"/>
        <v>0.42121864641655071</v>
      </c>
      <c r="CX881" s="181">
        <f>INDEX('State Tax Lookup'!$D$7:$Z$91,MATCH(Calculation!$C881,'State Tax Lookup'!$B$7:$B$91,0),MATCH($H881,'State Tax Lookup'!$D$6:$Z$6,0))</f>
        <v>0.38574999999999998</v>
      </c>
      <c r="CY881" s="72">
        <v>0.37</v>
      </c>
      <c r="CZ881" s="70">
        <f t="shared" ref="CZ881:CZ902" si="1618">+(DE881*CQ881-CR881)*CS881/(1-CX881)</f>
        <v>12.675231757769849</v>
      </c>
      <c r="DA881" s="70"/>
      <c r="DB881" s="69"/>
      <c r="DC881" s="111">
        <f>VLOOKUP($H881,RoR!$E:$F,2,FALSE)</f>
        <v>7.0824999999999999E-2</v>
      </c>
      <c r="DD881" s="216">
        <f>HLOOKUP($H881,'GDP-PI'!$D$8:$CQ$11,3,FALSE)</f>
        <v>2.2454495382290052E-2</v>
      </c>
      <c r="DE881" s="111">
        <f>VLOOKUP(H881,'HW Dx Data'!$E:$F,2,FALSE)</f>
        <v>353.44738017483138</v>
      </c>
      <c r="DF881" s="66"/>
      <c r="DG881" s="69"/>
      <c r="DH881" s="66">
        <f>HLOOKUP(H881,'GDP-PI'!$8:$9,2,FALSE)</f>
        <v>79.822000000000003</v>
      </c>
      <c r="DI881"/>
      <c r="EB881"/>
    </row>
    <row r="882" spans="1:132" s="160" customFormat="1" ht="21">
      <c r="A882" s="160" t="s">
        <v>212</v>
      </c>
      <c r="B882" s="161" t="s">
        <v>212</v>
      </c>
      <c r="C882" s="161">
        <v>4063341</v>
      </c>
      <c r="D882" s="161" t="s">
        <v>213</v>
      </c>
      <c r="E882" s="161"/>
      <c r="F882" s="161"/>
      <c r="G882" s="161" t="s">
        <v>113</v>
      </c>
      <c r="H882" s="162">
        <v>2002</v>
      </c>
      <c r="I882" s="163"/>
      <c r="J882" s="159"/>
      <c r="K882" s="159"/>
      <c r="L882" s="159"/>
      <c r="M882" s="60"/>
      <c r="N882" s="152"/>
      <c r="O882" s="60"/>
      <c r="P882" s="60"/>
      <c r="Q882" s="159"/>
      <c r="R882" s="159"/>
      <c r="S882" s="159"/>
      <c r="T882" s="159"/>
      <c r="U882" s="159"/>
      <c r="V882" s="159"/>
      <c r="W882" s="159">
        <f t="shared" si="1606"/>
        <v>23752.691902586583</v>
      </c>
      <c r="X882" s="163"/>
      <c r="Y882" s="167">
        <v>1988.8853079382889</v>
      </c>
      <c r="Z882" s="168">
        <v>7.5032357784893922E-2</v>
      </c>
      <c r="AA882" s="78"/>
      <c r="AB882" s="168"/>
      <c r="AC882" s="168"/>
      <c r="AD882" s="163">
        <f t="shared" si="1526"/>
        <v>23752.691902586583</v>
      </c>
      <c r="AE882" s="168"/>
      <c r="AF882" s="163"/>
      <c r="AG882" s="163"/>
      <c r="AH882" s="163"/>
      <c r="AI882" s="163"/>
      <c r="AJ882" s="167"/>
      <c r="AK882" s="168"/>
      <c r="AL882" s="115"/>
      <c r="AM882" s="115"/>
      <c r="AN882" s="115"/>
      <c r="AO882" s="115"/>
      <c r="AP882" s="115"/>
      <c r="AQ882" s="168"/>
      <c r="AR882" s="79"/>
      <c r="AS882" s="115"/>
      <c r="AT882" s="115"/>
      <c r="AU882" s="115"/>
      <c r="AV882" s="113">
        <f>IFERROR(INDEX('Total Customers'!$F$7:$AB$91,MATCH($C882,'Total Customers'!$D$7:$D$91,0),MATCH($G882,'Total Customers'!$F$5:$AB$5,0)),"NA")</f>
        <v>277160</v>
      </c>
      <c r="AW882" s="68">
        <f t="shared" si="1551"/>
        <v>3.9873834458117194E-2</v>
      </c>
      <c r="AX882" s="114"/>
      <c r="AY882" s="114"/>
      <c r="AZ882" s="116"/>
      <c r="BA882" s="116"/>
      <c r="BB882" s="166"/>
      <c r="BC882" s="166"/>
      <c r="BD882" s="166"/>
      <c r="BE882" s="166"/>
      <c r="BF882" s="166"/>
      <c r="BG882" s="166"/>
      <c r="BH882" s="166"/>
      <c r="BI882" s="113"/>
      <c r="BJ882" s="113"/>
      <c r="BK882" s="113">
        <f>INDEX('Dist. Plant Gas Additions'!$F$7:$AE$91,MATCH($C882,'Dist. Plant Gas Additions'!$D$7:$D$91,0),MATCH(Calculation!$G882,'Dist. Plant Gas Additions'!$F$5:$AE$5,0))</f>
        <v>47016</v>
      </c>
      <c r="BL882" s="113">
        <f>INDEX('Gen. Plant Additions'!$F$7:$AE$91,MATCH($C882,'Gen. Plant Additions'!$D$7:$D$91,0),MATCH(Calculation!$G882,'Gen. Plant Additions'!$F$5:$AE$5,0))</f>
        <v>8586</v>
      </c>
      <c r="BM882" s="231">
        <f t="shared" si="1607"/>
        <v>0.91812901631240729</v>
      </c>
      <c r="BN882" s="61">
        <f t="shared" si="1600"/>
        <v>7883.0557340583291</v>
      </c>
      <c r="BO882" s="113">
        <f>INDEX('Dist Plant Depreciation'!$E$7:$AD$94,MATCH($C882,'Dist Plant Depreciation'!$D$7:$D$94,0),MATCH(Calculation!$G882,'Dist Plant Depreciation'!$E$5:$AD$5,0))</f>
        <v>217568</v>
      </c>
      <c r="BP882" s="113">
        <f>INDEX('Gen. Plant Depreciation'!$E$7:$AD$94,MATCH($C882,'Gen. Plant Depreciation'!$D$7:$D$94,0),MATCH(Calculation!$G882,'Gen. Plant Depreciation'!$E$5:$AD$5,0))</f>
        <v>18714</v>
      </c>
      <c r="BQ882" s="113"/>
      <c r="BR882" s="113"/>
      <c r="BS882" s="113"/>
      <c r="BT882" s="113"/>
      <c r="BU882" s="113"/>
      <c r="BV882" s="175"/>
      <c r="BW882" s="113">
        <f>INDEX('Gross Dx Plant'!$E$7:$AD$91,MATCH($C882,'Gross Dx Plant'!$D$7:$D$91,0),MATCH(Calculation!$G882,'Gross Dx Plant'!$E$5:$AD$5,0))</f>
        <v>564642</v>
      </c>
      <c r="BX882" s="113">
        <f>INDEX('Gross Gen Plant'!$E$7:$AD$91,MATCH($C882,'Gross Gen Plant'!$D$7:$D$91,0),MATCH(Calculation!$G882,'Gross Gen Plant'!$E$5:$AD$5,0))</f>
        <v>50350</v>
      </c>
      <c r="BY882" s="113">
        <f t="shared" si="1605"/>
        <v>378710</v>
      </c>
      <c r="BZ882" s="113"/>
      <c r="CA882" s="116">
        <v>2002</v>
      </c>
      <c r="CB882" s="113"/>
      <c r="CC882" s="113"/>
      <c r="CD882" s="113"/>
      <c r="CE882" s="175"/>
      <c r="CF882" s="113">
        <f t="shared" si="1608"/>
        <v>55602</v>
      </c>
      <c r="CG882" s="113">
        <f t="shared" si="1609"/>
        <v>153.87375742460387</v>
      </c>
      <c r="CH882" s="178">
        <v>0.97916666666666663</v>
      </c>
      <c r="CI882" s="61">
        <f>+CI878*CH882+CG879*CH881+CG880*CH880+CG881*CH879+CG882</f>
        <v>1988.8853079382889</v>
      </c>
      <c r="CJ882" s="114">
        <f t="shared" si="1610"/>
        <v>7.5032357784893922E-2</v>
      </c>
      <c r="CK882" s="114"/>
      <c r="CL882" s="169">
        <f t="shared" si="1611"/>
        <v>5.4761521145680753E-3</v>
      </c>
      <c r="CM882" s="169">
        <f t="shared" ref="CM882:CM902" si="1619">+(CL882+CL881+CL880)/3</f>
        <v>5.3056771945976635E-3</v>
      </c>
      <c r="CN882" s="114">
        <f>VLOOKUP($H882,RoR!$E:$F,2,FALSE)</f>
        <v>6.4916666666666664E-2</v>
      </c>
      <c r="CO882" s="169">
        <v>1.5246423291824351E-2</v>
      </c>
      <c r="CP882" s="169">
        <f t="shared" si="1617"/>
        <v>4.9670243374842313E-2</v>
      </c>
      <c r="CQ882" s="169">
        <f t="shared" ref="CQ882:CQ902" si="1620">+$CP$2-CM882</f>
        <v>2.5596264413935962E-2</v>
      </c>
      <c r="CR882" s="169">
        <f t="shared" ref="CR882:CR902" si="1621">+((DE880/DE879-1)+(DE881/DE880-1)+(DE882/DE881-1))/3</f>
        <v>2.5243621214759093E-2</v>
      </c>
      <c r="CS882" s="179">
        <f t="shared" si="1612"/>
        <v>0.85727249999999999</v>
      </c>
      <c r="CT882" s="180">
        <f t="shared" si="1613"/>
        <v>0.78996741384417901</v>
      </c>
      <c r="CU882" s="180">
        <f t="shared" si="1614"/>
        <v>0.58989088575096271</v>
      </c>
      <c r="CV882" s="180">
        <f t="shared" si="1615"/>
        <v>0.91920675783645744</v>
      </c>
      <c r="CW882" s="180">
        <f t="shared" si="1616"/>
        <v>0.42834536472275586</v>
      </c>
      <c r="CX882" s="181">
        <f>INDEX('State Tax Lookup'!$D$7:$Z$91,MATCH(Calculation!$C882,'State Tax Lookup'!$B$7:$B$91,0),MATCH($H882,'State Tax Lookup'!$D$6:$Z$6,0))</f>
        <v>0.38574999999999998</v>
      </c>
      <c r="CY882" s="72">
        <v>0.37</v>
      </c>
      <c r="CZ882" s="70">
        <f t="shared" si="1618"/>
        <v>12.873280575255636</v>
      </c>
      <c r="DA882" s="70"/>
      <c r="DB882" s="69">
        <f>LN(CZ882/CZ881)</f>
        <v>1.5504056131811697E-2</v>
      </c>
      <c r="DC882" s="111">
        <f>VLOOKUP($H882,RoR!$E:$F,2,FALSE)</f>
        <v>6.4916666666666664E-2</v>
      </c>
      <c r="DD882" s="216">
        <f>HLOOKUP($H882,'GDP-PI'!$D$8:$CQ$11,3,FALSE)</f>
        <v>1.5246423291824351E-2</v>
      </c>
      <c r="DE882" s="111">
        <f>VLOOKUP(H882,'HW Dx Data'!$E:$F,2,FALSE)</f>
        <v>361.34816573413599</v>
      </c>
      <c r="DF882" s="66"/>
      <c r="DG882" s="69"/>
      <c r="DH882" s="66">
        <f>HLOOKUP(H882,'GDP-PI'!$8:$9,2,FALSE)</f>
        <v>81.039000000000001</v>
      </c>
      <c r="DI882" s="69">
        <f>LN(DH882/DH881)</f>
        <v>1.513136459537477E-2</v>
      </c>
      <c r="EB882"/>
    </row>
    <row r="883" spans="1:132" s="160" customFormat="1" ht="21">
      <c r="A883" s="160" t="s">
        <v>212</v>
      </c>
      <c r="B883" s="161" t="s">
        <v>212</v>
      </c>
      <c r="C883" s="161">
        <v>4063341</v>
      </c>
      <c r="D883" s="161" t="s">
        <v>213</v>
      </c>
      <c r="E883" s="161"/>
      <c r="F883" s="161"/>
      <c r="G883" s="161" t="s">
        <v>114</v>
      </c>
      <c r="H883" s="162">
        <v>2003</v>
      </c>
      <c r="I883" s="163"/>
      <c r="J883" s="159"/>
      <c r="K883" s="159"/>
      <c r="L883" s="159"/>
      <c r="M883" s="76"/>
      <c r="N883" s="152"/>
      <c r="O883" s="76"/>
      <c r="P883" s="76"/>
      <c r="Q883" s="159"/>
      <c r="R883" s="159"/>
      <c r="S883" s="159"/>
      <c r="T883" s="159"/>
      <c r="U883" s="159"/>
      <c r="V883" s="159"/>
      <c r="W883" s="159">
        <f t="shared" si="1606"/>
        <v>26004.395180070955</v>
      </c>
      <c r="X883" s="163"/>
      <c r="Y883" s="167">
        <v>2186.0227068480685</v>
      </c>
      <c r="Z883" s="168">
        <v>9.4509442065673105E-2</v>
      </c>
      <c r="AA883" s="78"/>
      <c r="AB883" s="168"/>
      <c r="AC883" s="168"/>
      <c r="AD883" s="163">
        <f t="shared" si="1526"/>
        <v>26004.395180070955</v>
      </c>
      <c r="AE883" s="168"/>
      <c r="AF883" s="163"/>
      <c r="AG883" s="163"/>
      <c r="AH883" s="163"/>
      <c r="AI883" s="163"/>
      <c r="AJ883" s="167"/>
      <c r="AK883" s="168"/>
      <c r="AL883" s="115"/>
      <c r="AM883" s="115"/>
      <c r="AN883" s="115"/>
      <c r="AO883" s="115"/>
      <c r="AP883" s="115"/>
      <c r="AQ883" s="168"/>
      <c r="AR883" s="79"/>
      <c r="AS883" s="115"/>
      <c r="AT883" s="115"/>
      <c r="AU883" s="115"/>
      <c r="AV883" s="113">
        <f>IFERROR(INDEX('Total Customers'!$F$7:$AB$91,MATCH($C883,'Total Customers'!$D$7:$D$91,0),MATCH($G883,'Total Customers'!$F$5:$AB$5,0)),"NA")</f>
        <v>291911</v>
      </c>
      <c r="AW883" s="68">
        <f t="shared" si="1551"/>
        <v>5.1854004529262705E-2</v>
      </c>
      <c r="AX883" s="114"/>
      <c r="AY883" s="114"/>
      <c r="AZ883" s="116"/>
      <c r="BA883" s="116"/>
      <c r="BB883" s="166"/>
      <c r="BC883" s="166"/>
      <c r="BD883" s="166"/>
      <c r="BE883" s="166"/>
      <c r="BF883" s="166"/>
      <c r="BG883" s="166"/>
      <c r="BH883" s="166"/>
      <c r="BI883" s="113"/>
      <c r="BJ883" s="113"/>
      <c r="BK883" s="113">
        <f>INDEX('Dist. Plant Gas Additions'!$F$7:$AE$91,MATCH($C883,'Dist. Plant Gas Additions'!$D$7:$D$91,0),MATCH(Calculation!$G883,'Dist. Plant Gas Additions'!$F$5:$AE$5,0))</f>
        <v>69653</v>
      </c>
      <c r="BL883" s="113">
        <f>INDEX('Gen. Plant Additions'!$F$7:$AE$91,MATCH($C883,'Gen. Plant Additions'!$D$7:$D$91,0),MATCH(Calculation!$G883,'Gen. Plant Additions'!$F$5:$AE$5,0))</f>
        <v>7268</v>
      </c>
      <c r="BM883" s="231">
        <f t="shared" si="1607"/>
        <v>0.94386049695944585</v>
      </c>
      <c r="BN883" s="61">
        <f>+BM883*BL883</f>
        <v>6859.9780919012528</v>
      </c>
      <c r="BO883" s="113">
        <f>INDEX('Dist Plant Depreciation'!$E$7:$AD$94,MATCH($C883,'Dist Plant Depreciation'!$D$7:$D$94,0),MATCH(Calculation!$G883,'Dist Plant Depreciation'!$E$5:$AD$5,0))</f>
        <v>253590</v>
      </c>
      <c r="BP883" s="113">
        <f>INDEX('Gen. Plant Depreciation'!$E$7:$AD$94,MATCH($C883,'Gen. Plant Depreciation'!$D$7:$D$94,0),MATCH(Calculation!$G883,'Gen. Plant Depreciation'!$E$5:$AD$5,0))</f>
        <v>25511</v>
      </c>
      <c r="BQ883" s="113"/>
      <c r="BR883" s="113"/>
      <c r="BS883" s="113"/>
      <c r="BT883" s="113"/>
      <c r="BU883" s="113"/>
      <c r="BV883" s="175"/>
      <c r="BW883" s="113">
        <f>INDEX('Gross Dx Plant'!$E$7:$AD$91,MATCH($C883,'Gross Dx Plant'!$D$7:$D$91,0),MATCH(Calculation!$G883,'Gross Dx Plant'!$E$5:$AD$5,0))</f>
        <v>679673</v>
      </c>
      <c r="BX883" s="113">
        <f>INDEX('Gross Gen Plant'!$E$7:$AD$91,MATCH($C883,'Gross Gen Plant'!$D$7:$D$91,0),MATCH(Calculation!$G883,'Gross Gen Plant'!$E$5:$AD$5,0))</f>
        <v>40426</v>
      </c>
      <c r="BY883" s="113">
        <f t="shared" si="1605"/>
        <v>440998</v>
      </c>
      <c r="BZ883" s="113"/>
      <c r="CA883" s="116">
        <v>2003</v>
      </c>
      <c r="CB883" s="113"/>
      <c r="CC883" s="113"/>
      <c r="CD883" s="113"/>
      <c r="CE883" s="175"/>
      <c r="CF883" s="113">
        <f t="shared" si="1608"/>
        <v>76921</v>
      </c>
      <c r="CG883" s="113">
        <f t="shared" si="1609"/>
        <v>208.32644351306197</v>
      </c>
      <c r="CH883" s="178">
        <v>0.97354497354497349</v>
      </c>
      <c r="CI883" s="61">
        <f>+CI878*CH883+CG879*CH882+CG880*CH881+CG881*CH880+CG882*CH879+CG883</f>
        <v>2186.0227068480685</v>
      </c>
      <c r="CJ883" s="114">
        <f t="shared" si="1610"/>
        <v>9.4509442065673105E-2</v>
      </c>
      <c r="CK883" s="114"/>
      <c r="CL883" s="169">
        <f t="shared" si="1611"/>
        <v>5.6257867452804734E-3</v>
      </c>
      <c r="CM883" s="169">
        <f t="shared" si="1619"/>
        <v>5.4715800812631292E-3</v>
      </c>
      <c r="CN883" s="114">
        <f>VLOOKUP($H883,RoR!$E:$F,2,FALSE)</f>
        <v>5.6666666666666671E-2</v>
      </c>
      <c r="CO883" s="169">
        <v>1.8855119140166909E-2</v>
      </c>
      <c r="CP883" s="169">
        <f t="shared" si="1617"/>
        <v>3.7811547526499761E-2</v>
      </c>
      <c r="CQ883" s="169">
        <f t="shared" si="1620"/>
        <v>2.5430361527270497E-2</v>
      </c>
      <c r="CR883" s="169">
        <f t="shared" si="1621"/>
        <v>2.1375012817671957E-2</v>
      </c>
      <c r="CS883" s="179">
        <f t="shared" si="1612"/>
        <v>0.85727249999999999</v>
      </c>
      <c r="CT883" s="180">
        <f t="shared" si="1613"/>
        <v>0.90497737556561086</v>
      </c>
      <c r="CU883" s="180">
        <f t="shared" si="1614"/>
        <v>0.5338235294117647</v>
      </c>
      <c r="CV883" s="180">
        <f t="shared" si="1615"/>
        <v>0.88972433127405692</v>
      </c>
      <c r="CW883" s="180">
        <f t="shared" si="1616"/>
        <v>0.42982423775949252</v>
      </c>
      <c r="CX883" s="181">
        <f>INDEX('State Tax Lookup'!$D$7:$Z$91,MATCH(Calculation!$C883,'State Tax Lookup'!$B$7:$B$91,0),MATCH($H883,'State Tax Lookup'!$D$6:$Z$6,0))</f>
        <v>0.38574999999999998</v>
      </c>
      <c r="CY883" s="72">
        <v>0.37</v>
      </c>
      <c r="CZ883" s="70">
        <f t="shared" si="1618"/>
        <v>13.074859106394394</v>
      </c>
      <c r="DA883" s="70"/>
      <c r="DB883" s="69">
        <f t="shared" ref="DB883:DB900" si="1622">LN(CZ883/CZ882)</f>
        <v>1.5537344012780225E-2</v>
      </c>
      <c r="DC883" s="111">
        <f>VLOOKUP($H883,RoR!$E:$F,2,FALSE)</f>
        <v>5.6666666666666671E-2</v>
      </c>
      <c r="DD883" s="216">
        <f>HLOOKUP($H883,'GDP-PI'!$D$8:$CQ$11,3,FALSE)</f>
        <v>1.8855119140166909E-2</v>
      </c>
      <c r="DE883" s="111">
        <f>VLOOKUP(H883,'HW Dx Data'!$E:$F,2,FALSE)</f>
        <v>369.23301095560191</v>
      </c>
      <c r="DF883" s="66"/>
      <c r="DG883" s="69"/>
      <c r="DH883" s="66">
        <f>HLOOKUP(H883,'GDP-PI'!$8:$9,2,FALSE)</f>
        <v>82.566999999999993</v>
      </c>
      <c r="DI883" s="69">
        <f t="shared" ref="DI883:DI902" si="1623">LN(DH883/DH882)</f>
        <v>1.8679564681853753E-2</v>
      </c>
      <c r="EB883"/>
    </row>
    <row r="884" spans="1:132" s="160" customFormat="1" ht="21">
      <c r="A884" s="160" t="s">
        <v>212</v>
      </c>
      <c r="B884" s="161" t="s">
        <v>212</v>
      </c>
      <c r="C884" s="161">
        <v>4063341</v>
      </c>
      <c r="D884" s="161" t="s">
        <v>213</v>
      </c>
      <c r="E884" s="161"/>
      <c r="F884" s="161"/>
      <c r="G884" s="161" t="s">
        <v>115</v>
      </c>
      <c r="H884" s="162">
        <v>2004</v>
      </c>
      <c r="I884" s="163"/>
      <c r="J884" s="159">
        <f>IFERROR(INDEX('Labor Expenditures'!$F$7:$X$91,MATCH($C884,'Labor Expenditures'!$D$7:$D$91,0),MATCH($G884,'Labor Expenditures'!$F$5:$X$5,0)),"NA")</f>
        <v>23530.377459861564</v>
      </c>
      <c r="K884" s="159">
        <f t="shared" ref="K884:K902" si="1624">+J884/DF884</f>
        <v>249.39456767208867</v>
      </c>
      <c r="L884" s="165"/>
      <c r="M884" s="76"/>
      <c r="N884" s="152"/>
      <c r="O884" s="76"/>
      <c r="P884" s="76"/>
      <c r="Q884" s="159">
        <f>IFERROR(INDEX('Non-Labor Expenditures'!$F$7:$AB$91,MATCH($C884,'Non-Labor Expenditures'!$D$7:$D$91,0),MATCH($G884,'Non-Labor Expenditures'!$F$5:$AB$5,0)),"NA")</f>
        <v>34076.381430163136</v>
      </c>
      <c r="R884" s="159">
        <f t="shared" ref="R884:R902" si="1625">+Q884/DH884</f>
        <v>401.94839970467729</v>
      </c>
      <c r="S884" s="159"/>
      <c r="T884" s="159"/>
      <c r="U884" s="159"/>
      <c r="V884" s="159"/>
      <c r="W884" s="159">
        <f t="shared" si="1606"/>
        <v>31831.45679318218</v>
      </c>
      <c r="X884" s="163"/>
      <c r="Y884" s="167">
        <v>2271.499648265813</v>
      </c>
      <c r="Z884" s="168">
        <v>3.8356474274062545E-2</v>
      </c>
      <c r="AA884" s="76">
        <f t="shared" ref="AA884:AA902" si="1626">+Z884*$AR884</f>
        <v>0</v>
      </c>
      <c r="AB884" s="168"/>
      <c r="AC884" s="168"/>
      <c r="AD884" s="163">
        <f t="shared" si="1526"/>
        <v>89438.215683206887</v>
      </c>
      <c r="AE884" s="168"/>
      <c r="AF884" s="163"/>
      <c r="AG884" s="163"/>
      <c r="AH884" s="163"/>
      <c r="AI884" s="163"/>
      <c r="AJ884" s="167"/>
      <c r="AK884" s="168"/>
      <c r="AL884" s="115">
        <f t="shared" ref="AL884:AL902" si="1627">+J884/AD884</f>
        <v>0.26309086423645722</v>
      </c>
      <c r="AM884" s="115">
        <f t="shared" ref="AM884:AM902" si="1628">+Q884/AD884</f>
        <v>0.38100471000967645</v>
      </c>
      <c r="AN884" s="115">
        <f t="shared" ref="AN884:AN902" si="1629">+W884/AD884</f>
        <v>0.35590442575386622</v>
      </c>
      <c r="AO884" s="115"/>
      <c r="AP884" s="115"/>
      <c r="AQ884" s="168"/>
      <c r="AR884" s="79"/>
      <c r="AS884" s="115"/>
      <c r="AT884" s="115"/>
      <c r="AU884" s="115"/>
      <c r="AV884" s="113">
        <f>IFERROR(INDEX('Total Customers'!$F$7:$AB$91,MATCH($C884,'Total Customers'!$D$7:$D$91,0),MATCH($G884,'Total Customers'!$F$5:$AB$5,0)),"NA")</f>
        <v>307395</v>
      </c>
      <c r="AW884" s="68">
        <f t="shared" si="1551"/>
        <v>5.1684604231588729E-2</v>
      </c>
      <c r="AX884" s="114"/>
      <c r="AY884" s="114"/>
      <c r="AZ884" s="116"/>
      <c r="BA884" s="116"/>
      <c r="BB884" s="166"/>
      <c r="BC884" s="166"/>
      <c r="BD884" s="166"/>
      <c r="BE884" s="166"/>
      <c r="BF884" s="166"/>
      <c r="BG884" s="166"/>
      <c r="BH884" s="166"/>
      <c r="BI884" s="113"/>
      <c r="BJ884" s="113"/>
      <c r="BK884" s="113">
        <f>INDEX('Dist. Plant Gas Additions'!$F$7:$AE$91,MATCH($C884,'Dist. Plant Gas Additions'!$D$7:$D$91,0),MATCH(Calculation!$G884,'Dist. Plant Gas Additions'!$F$5:$AE$5,0))</f>
        <v>37869</v>
      </c>
      <c r="BL884" s="113">
        <f>INDEX('Gen. Plant Additions'!$F$7:$AE$91,MATCH($C884,'Gen. Plant Additions'!$D$7:$D$91,0),MATCH(Calculation!$G884,'Gen. Plant Additions'!$F$5:$AE$5,0))</f>
        <v>2815</v>
      </c>
      <c r="BM884" s="231">
        <f t="shared" si="1607"/>
        <v>0.94732636336591525</v>
      </c>
      <c r="BN884" s="61">
        <f t="shared" ref="BN884:BN900" si="1630">+BM884*BL884</f>
        <v>2666.7237128750512</v>
      </c>
      <c r="BO884" s="113">
        <f>INDEX('Dist Plant Depreciation'!$E$7:$AD$94,MATCH($C884,'Dist Plant Depreciation'!$D$7:$D$94,0),MATCH(Calculation!$G884,'Dist Plant Depreciation'!$E$5:$AD$5,0))</f>
        <v>272786</v>
      </c>
      <c r="BP884" s="113">
        <f>INDEX('Gen. Plant Depreciation'!$E$7:$AD$94,MATCH($C884,'Gen. Plant Depreciation'!$D$7:$D$94,0),MATCH(Calculation!$G884,'Gen. Plant Depreciation'!$E$5:$AD$5,0))</f>
        <v>26170</v>
      </c>
      <c r="BQ884" s="113"/>
      <c r="BR884" s="113"/>
      <c r="BS884" s="113"/>
      <c r="BT884" s="113"/>
      <c r="BU884" s="113"/>
      <c r="BV884" s="175"/>
      <c r="BW884" s="113">
        <f>INDEX('Gross Dx Plant'!$E$7:$AD$91,MATCH($C884,'Gross Dx Plant'!$D$7:$D$91,0),MATCH(Calculation!$G884,'Gross Dx Plant'!$E$5:$AD$5,0))</f>
        <v>710113</v>
      </c>
      <c r="BX884" s="113">
        <f>INDEX('Gross Gen Plant'!$E$7:$AD$91,MATCH($C884,'Gross Gen Plant'!$D$7:$D$91,0),MATCH(Calculation!$G884,'Gross Gen Plant'!$E$5:$AD$5,0))</f>
        <v>39484</v>
      </c>
      <c r="BY884" s="113">
        <f t="shared" si="1605"/>
        <v>450641</v>
      </c>
      <c r="BZ884" s="113"/>
      <c r="CA884" s="116">
        <v>2004</v>
      </c>
      <c r="CB884" s="113"/>
      <c r="CC884" s="113"/>
      <c r="CD884" s="113"/>
      <c r="CE884" s="175"/>
      <c r="CF884" s="113">
        <f t="shared" si="1608"/>
        <v>40684</v>
      </c>
      <c r="CG884" s="113">
        <f t="shared" si="1609"/>
        <v>98.060390506138631</v>
      </c>
      <c r="CH884" s="178">
        <v>0.967741935483871</v>
      </c>
      <c r="CI884" s="61">
        <f>+CI878*CH884+CG879*CH883+CG880*CH882+CG881*CH881+CG882*CH880+CG883*CH879+CG884</f>
        <v>2271.499648265813</v>
      </c>
      <c r="CJ884" s="114">
        <f t="shared" si="1610"/>
        <v>3.8356474274062545E-2</v>
      </c>
      <c r="CK884" s="114"/>
      <c r="CL884" s="169">
        <f t="shared" si="1611"/>
        <v>5.7563213085456491E-3</v>
      </c>
      <c r="CM884" s="169">
        <f t="shared" si="1619"/>
        <v>5.619420056131399E-3</v>
      </c>
      <c r="CN884" s="114">
        <f>VLOOKUP($H884,RoR!$E:$F,2,FALSE)</f>
        <v>5.6283333333333331E-2</v>
      </c>
      <c r="CO884" s="169">
        <v>2.6778252812867276E-2</v>
      </c>
      <c r="CP884" s="169">
        <f t="shared" si="1617"/>
        <v>2.9505080520466055E-2</v>
      </c>
      <c r="CQ884" s="169">
        <f t="shared" si="1620"/>
        <v>2.5282521552402227E-2</v>
      </c>
      <c r="CR884" s="169">
        <f t="shared" si="1621"/>
        <v>5.5940039414565046E-2</v>
      </c>
      <c r="CS884" s="179">
        <f t="shared" si="1612"/>
        <v>0.85727249999999999</v>
      </c>
      <c r="CT884" s="180">
        <f t="shared" si="1613"/>
        <v>0.91114097628755619</v>
      </c>
      <c r="CU884" s="180">
        <f t="shared" si="1614"/>
        <v>0.53081877405981637</v>
      </c>
      <c r="CV884" s="180">
        <f t="shared" si="1615"/>
        <v>0.88811215519385678</v>
      </c>
      <c r="CW884" s="180">
        <f t="shared" si="1616"/>
        <v>0.42953609753547711</v>
      </c>
      <c r="CX884" s="181">
        <f>INDEX('State Tax Lookup'!$D$7:$Z$91,MATCH(Calculation!$C884,'State Tax Lookup'!$B$7:$B$91,0),MATCH($H884,'State Tax Lookup'!$D$6:$Z$6,0))</f>
        <v>0.38574999999999998</v>
      </c>
      <c r="CY884" s="72">
        <v>0.37</v>
      </c>
      <c r="CZ884" s="70">
        <f t="shared" si="1618"/>
        <v>14.561356885024574</v>
      </c>
      <c r="DA884" s="70"/>
      <c r="DB884" s="69">
        <f t="shared" si="1622"/>
        <v>0.1076799969878099</v>
      </c>
      <c r="DC884" s="111">
        <f>VLOOKUP($H884,RoR!$E:$F,2,FALSE)</f>
        <v>5.6283333333333331E-2</v>
      </c>
      <c r="DD884" s="216">
        <f>HLOOKUP($H884,'GDP-PI'!$D$8:$CQ$11,3,FALSE)</f>
        <v>2.6778252812867276E-2</v>
      </c>
      <c r="DE884" s="111">
        <f>VLOOKUP(H884,'HW Dx Data'!$E:$F,2,FALSE)</f>
        <v>414.88719135228365</v>
      </c>
      <c r="DF884" s="72">
        <f>VLOOKUP(G884,EG$8:EH$27,2,FALSE)</f>
        <v>94.35</v>
      </c>
      <c r="DG884" s="69"/>
      <c r="DH884" s="66">
        <f>HLOOKUP(H884,'GDP-PI'!$8:$9,2,FALSE)</f>
        <v>84.778000000000006</v>
      </c>
      <c r="DI884" s="69">
        <f t="shared" si="1623"/>
        <v>2.6425990216022755E-2</v>
      </c>
      <c r="EB884"/>
    </row>
    <row r="885" spans="1:132" s="160" customFormat="1" ht="21">
      <c r="A885" s="160" t="s">
        <v>212</v>
      </c>
      <c r="B885" s="161" t="s">
        <v>212</v>
      </c>
      <c r="C885" s="161">
        <v>4063341</v>
      </c>
      <c r="D885" s="161" t="s">
        <v>213</v>
      </c>
      <c r="E885" s="161"/>
      <c r="F885" s="161"/>
      <c r="G885" s="161" t="s">
        <v>116</v>
      </c>
      <c r="H885" s="162">
        <v>2005</v>
      </c>
      <c r="I885" s="163"/>
      <c r="J885" s="159">
        <f>IFERROR(INDEX('Labor Expenditures'!$F$7:$X$91,MATCH($C885,'Labor Expenditures'!$D$7:$D$91,0),MATCH($G885,'Labor Expenditures'!$F$5:$X$5,0)),"NA")</f>
        <v>24466.010083575813</v>
      </c>
      <c r="K885" s="159">
        <f t="shared" si="1624"/>
        <v>246.57102628950179</v>
      </c>
      <c r="L885" s="165">
        <f t="shared" ref="L885:L901" si="1631">LN(K885/K884)</f>
        <v>-1.1386160337129534E-2</v>
      </c>
      <c r="M885" s="76"/>
      <c r="N885" s="62">
        <v>100</v>
      </c>
      <c r="O885" s="77"/>
      <c r="P885" s="77"/>
      <c r="Q885" s="159">
        <f>IFERROR(INDEX('Non-Labor Expenditures'!$F$7:$AB$91,MATCH($C885,'Non-Labor Expenditures'!$D$7:$D$91,0),MATCH($G885,'Non-Labor Expenditures'!$F$5:$AB$5,0)),"NA")</f>
        <v>35431.35222137026</v>
      </c>
      <c r="R885" s="159">
        <f t="shared" si="1625"/>
        <v>405.36058006075325</v>
      </c>
      <c r="S885" s="165">
        <f>LN(R885/R884)</f>
        <v>8.4532707067066122E-3</v>
      </c>
      <c r="T885" s="165"/>
      <c r="U885" s="165"/>
      <c r="V885" s="165"/>
      <c r="W885" s="159">
        <f t="shared" si="1606"/>
        <v>37088.198859069293</v>
      </c>
      <c r="X885" s="163"/>
      <c r="Y885" s="167">
        <v>2331.5906123522304</v>
      </c>
      <c r="Z885" s="168">
        <v>2.6110449541944896E-2</v>
      </c>
      <c r="AA885" s="76">
        <f t="shared" si="1626"/>
        <v>0</v>
      </c>
      <c r="AB885" s="168"/>
      <c r="AC885" s="168"/>
      <c r="AD885" s="163">
        <f t="shared" si="1526"/>
        <v>96985.561164015366</v>
      </c>
      <c r="AE885" s="168">
        <f>LN(AD885/AD884)</f>
        <v>8.1014054111218523E-2</v>
      </c>
      <c r="AF885" s="163"/>
      <c r="AG885" s="163"/>
      <c r="AH885" s="163"/>
      <c r="AI885" s="163"/>
      <c r="AJ885" s="116"/>
      <c r="AK885" s="114"/>
      <c r="AL885" s="115">
        <f t="shared" si="1627"/>
        <v>0.25226445864658725</v>
      </c>
      <c r="AM885" s="115">
        <f t="shared" si="1628"/>
        <v>0.36532605262190704</v>
      </c>
      <c r="AN885" s="115">
        <f t="shared" si="1629"/>
        <v>0.38240948873150571</v>
      </c>
      <c r="AO885" s="115">
        <f t="shared" ref="AO885:AO901" si="1632">+(((AL885+AL884)/2)*L885+((AM884+AM885)/2)*S885+((AN884+AN885)/2)*Z885)</f>
        <v>9.8593629233070922E-3</v>
      </c>
      <c r="AP885" s="166">
        <v>100</v>
      </c>
      <c r="AQ885" s="168"/>
      <c r="AR885" s="16"/>
      <c r="AS885" s="115"/>
      <c r="AT885" s="115"/>
      <c r="AU885" s="115"/>
      <c r="AV885" s="113">
        <f>IFERROR(INDEX('Total Customers'!$F$7:$AB$91,MATCH($C885,'Total Customers'!$D$7:$D$91,0),MATCH($G885,'Total Customers'!$F$5:$AB$5,0)),"NA")</f>
        <v>318404</v>
      </c>
      <c r="AW885" s="68">
        <f t="shared" si="1551"/>
        <v>3.5187451185354823E-2</v>
      </c>
      <c r="AX885" s="114"/>
      <c r="AY885" s="114"/>
      <c r="AZ885" s="116"/>
      <c r="BA885" s="116"/>
      <c r="BB885" s="166"/>
      <c r="BC885" s="166"/>
      <c r="BD885" s="166"/>
      <c r="BE885" s="166"/>
      <c r="BF885" s="166"/>
      <c r="BG885" s="166"/>
      <c r="BH885" s="166"/>
      <c r="BI885" s="113"/>
      <c r="BJ885" s="113"/>
      <c r="BK885" s="113">
        <f>INDEX('Dist. Plant Gas Additions'!$F$7:$AE$91,MATCH($C885,'Dist. Plant Gas Additions'!$D$7:$D$91,0),MATCH(Calculation!$G885,'Dist. Plant Gas Additions'!$F$5:$AE$5,0))</f>
        <v>31836</v>
      </c>
      <c r="BL885" s="113">
        <f>INDEX('Gen. Plant Additions'!$F$7:$AE$91,MATCH($C885,'Gen. Plant Additions'!$D$7:$D$91,0),MATCH(Calculation!$G885,'Gen. Plant Additions'!$F$5:$AE$5,0))</f>
        <v>2683</v>
      </c>
      <c r="BM885" s="231">
        <f t="shared" si="1607"/>
        <v>0.94733469156179084</v>
      </c>
      <c r="BN885" s="61">
        <f t="shared" si="1630"/>
        <v>2541.6989774602848</v>
      </c>
      <c r="BO885" s="113">
        <f>INDEX('Dist Plant Depreciation'!$E$7:$AD$94,MATCH($C885,'Dist Plant Depreciation'!$D$7:$D$94,0),MATCH(Calculation!$G885,'Dist Plant Depreciation'!$E$5:$AD$5,0))</f>
        <v>292024</v>
      </c>
      <c r="BP885" s="113">
        <f>INDEX('Gen. Plant Depreciation'!$E$7:$AD$94,MATCH($C885,'Gen. Plant Depreciation'!$D$7:$D$94,0),MATCH(Calculation!$G885,'Gen. Plant Depreciation'!$E$5:$AD$5,0))</f>
        <v>30349</v>
      </c>
      <c r="BQ885" s="113"/>
      <c r="BR885" s="113"/>
      <c r="BS885" s="113"/>
      <c r="BT885" s="113"/>
      <c r="BU885" s="113"/>
      <c r="BV885" s="175"/>
      <c r="BW885" s="113">
        <f>INDEX('Gross Dx Plant'!$E$7:$AD$91,MATCH($C885,'Gross Dx Plant'!$D$7:$D$91,0),MATCH(Calculation!$G885,'Gross Dx Plant'!$E$5:$AD$5,0))</f>
        <v>734677</v>
      </c>
      <c r="BX885" s="113">
        <f>INDEX('Gross Gen Plant'!$E$7:$AD$91,MATCH($C885,'Gross Gen Plant'!$D$7:$D$91,0),MATCH(Calculation!$G885,'Gross Gen Plant'!$E$5:$AD$5,0))</f>
        <v>40843</v>
      </c>
      <c r="BY885" s="113">
        <f t="shared" si="1605"/>
        <v>453147</v>
      </c>
      <c r="BZ885" s="113"/>
      <c r="CA885" s="116">
        <v>2005</v>
      </c>
      <c r="CB885" s="113"/>
      <c r="CC885" s="113"/>
      <c r="CD885" s="113"/>
      <c r="CE885" s="175"/>
      <c r="CF885" s="113">
        <f t="shared" si="1608"/>
        <v>34519</v>
      </c>
      <c r="CG885" s="113">
        <f t="shared" si="1609"/>
        <v>73.569100232571429</v>
      </c>
      <c r="CH885" s="178">
        <v>0.96174863387978138</v>
      </c>
      <c r="CI885" s="61">
        <f>+CI878*CH885+CG879*CH884+CG880*CH883+CG881*CH882+CG882*CH881+CG883*CH880+CG884*CH879+CG885</f>
        <v>2331.5906123522304</v>
      </c>
      <c r="CJ885" s="114">
        <f t="shared" si="1610"/>
        <v>2.6110449541944896E-2</v>
      </c>
      <c r="CK885" s="114"/>
      <c r="CL885" s="169">
        <f t="shared" si="1611"/>
        <v>5.9335849584849958E-3</v>
      </c>
      <c r="CM885" s="169">
        <f t="shared" si="1619"/>
        <v>5.7718976707703722E-3</v>
      </c>
      <c r="CN885" s="114">
        <f>VLOOKUP($H885,RoR!$E:$F,2,FALSE)</f>
        <v>5.2350000000000001E-2</v>
      </c>
      <c r="CO885" s="169">
        <v>3.1010403642454332E-2</v>
      </c>
      <c r="CP885" s="169">
        <f t="shared" si="1617"/>
        <v>2.1339596357545669E-2</v>
      </c>
      <c r="CQ885" s="169">
        <f t="shared" si="1620"/>
        <v>2.5130043937763254E-2</v>
      </c>
      <c r="CR885" s="169">
        <f t="shared" si="1621"/>
        <v>9.2129610649277341E-2</v>
      </c>
      <c r="CS885" s="179">
        <f t="shared" si="1612"/>
        <v>0.85727249999999999</v>
      </c>
      <c r="CT885" s="180">
        <f t="shared" si="1613"/>
        <v>0.97959983346802826</v>
      </c>
      <c r="CU885" s="180">
        <f t="shared" si="1614"/>
        <v>0.49744508118433622</v>
      </c>
      <c r="CV885" s="180">
        <f t="shared" si="1615"/>
        <v>0.87010519444335932</v>
      </c>
      <c r="CW885" s="180">
        <f t="shared" si="1616"/>
        <v>0.42399975420741998</v>
      </c>
      <c r="CX885" s="181">
        <f>INDEX('State Tax Lookup'!$D$7:$Z$91,MATCH(Calculation!$C885,'State Tax Lookup'!$B$7:$B$91,0),MATCH($H885,'State Tax Lookup'!$D$6:$Z$6,0))</f>
        <v>0.38574999999999998</v>
      </c>
      <c r="CY885" s="72">
        <v>0.37</v>
      </c>
      <c r="CZ885" s="70">
        <f t="shared" si="1618"/>
        <v>16.327626943453172</v>
      </c>
      <c r="DA885" s="70"/>
      <c r="DB885" s="69">
        <f t="shared" si="1622"/>
        <v>0.11448734651016673</v>
      </c>
      <c r="DC885" s="111">
        <f>VLOOKUP($H885,RoR!$E:$F,2,FALSE)</f>
        <v>5.2350000000000001E-2</v>
      </c>
      <c r="DD885" s="216">
        <f>HLOOKUP($H885,'GDP-PI'!$D$8:$CQ$11,3,FALSE)</f>
        <v>3.1010403642454332E-2</v>
      </c>
      <c r="DE885" s="111">
        <f>VLOOKUP(H885,'HW Dx Data'!$E:$F,2,FALSE)</f>
        <v>469.20514034936258</v>
      </c>
      <c r="DF885" s="72">
        <f t="shared" ref="DF885:DF903" si="1633">VLOOKUP(G885,EG$8:EH$27,2,FALSE)</f>
        <v>99.224999999999994</v>
      </c>
      <c r="DG885" s="69">
        <f t="shared" ref="DG885:DG903" si="1634">LN(DF885/DF884)</f>
        <v>5.0378726854569796E-2</v>
      </c>
      <c r="DH885" s="66">
        <f>HLOOKUP(H885,'GDP-PI'!$8:$9,2,FALSE)</f>
        <v>87.406999999999996</v>
      </c>
      <c r="DI885" s="69">
        <f t="shared" si="1623"/>
        <v>3.0539295810733648E-2</v>
      </c>
      <c r="EB885"/>
    </row>
    <row r="886" spans="1:132" s="160" customFormat="1" ht="21">
      <c r="A886" s="160" t="s">
        <v>212</v>
      </c>
      <c r="B886" s="161" t="s">
        <v>212</v>
      </c>
      <c r="C886" s="161">
        <v>4063341</v>
      </c>
      <c r="D886" s="161" t="s">
        <v>213</v>
      </c>
      <c r="E886" s="161"/>
      <c r="F886" s="161"/>
      <c r="G886" s="161" t="s">
        <v>117</v>
      </c>
      <c r="H886" s="162">
        <v>2006</v>
      </c>
      <c r="I886" s="163"/>
      <c r="J886" s="159">
        <f>IFERROR(INDEX('Labor Expenditures'!$F$7:$X$91,MATCH($C886,'Labor Expenditures'!$D$7:$D$91,0),MATCH($G886,'Labor Expenditures'!$F$5:$X$5,0)),"NA")</f>
        <v>25572.637831802076</v>
      </c>
      <c r="K886" s="159">
        <f t="shared" si="1624"/>
        <v>233.75354508045771</v>
      </c>
      <c r="L886" s="165">
        <f t="shared" si="1631"/>
        <v>-5.3382756910732035E-2</v>
      </c>
      <c r="M886" s="76">
        <f t="shared" ref="M886:M902" si="1635">+L886*$AR886</f>
        <v>-6.6935261820782826E-4</v>
      </c>
      <c r="N886" s="62">
        <f>+N885*EXP(O886)</f>
        <v>112.37092620780575</v>
      </c>
      <c r="O886" s="96">
        <f t="shared" ref="O886:O902" si="1636">+M886+M911+M936+M961+M986+M1011+M1036+M1061+M1086+M1111+M1136+M1161+M1186+M1211+M1236+M1261+M1286+M1311+M1336+M1361+M1386+M1411+M1436+M1461+M1486+M1511+M1536+M1561+M1586+M1611+M1636+M1661+M1686+M1711+M1736+M1761+M1786+M1811+M1836+M1861+M1886+M1911+M1936+M1961+M1986+M2011+M2036+M2061+M2086+M2111+M2136+M2161+M2186+M2211</f>
        <v>0.11663505438067095</v>
      </c>
      <c r="P886" s="96"/>
      <c r="Q886" s="159">
        <f>IFERROR(INDEX('Non-Labor Expenditures'!$F$7:$AB$91,MATCH($C886,'Non-Labor Expenditures'!$D$7:$D$91,0),MATCH($G886,'Non-Labor Expenditures'!$F$5:$AB$5,0)),"NA")</f>
        <v>37033.955890354613</v>
      </c>
      <c r="R886" s="159">
        <f t="shared" si="1625"/>
        <v>411.15034183398774</v>
      </c>
      <c r="S886" s="165">
        <f t="shared" ref="S886:S901" si="1637">LN(R886/R885)</f>
        <v>1.4181950682565682E-2</v>
      </c>
      <c r="T886" s="165">
        <f t="shared" ref="T886:T902" si="1638">+S886*AR886</f>
        <v>1.7782382121147482E-4</v>
      </c>
      <c r="U886" s="165"/>
      <c r="V886" s="165"/>
      <c r="W886" s="159">
        <f t="shared" si="1606"/>
        <v>37197.102533324767</v>
      </c>
      <c r="X886" s="163"/>
      <c r="Y886" s="167">
        <v>2432.5957243828243</v>
      </c>
      <c r="Z886" s="168">
        <v>4.2408185655413516E-2</v>
      </c>
      <c r="AA886" s="76">
        <f t="shared" si="1626"/>
        <v>5.3174530025420987E-4</v>
      </c>
      <c r="AB886" s="168"/>
      <c r="AC886" s="168"/>
      <c r="AD886" s="163">
        <f t="shared" si="1526"/>
        <v>99803.696255481453</v>
      </c>
      <c r="AE886" s="168">
        <f t="shared" ref="AE886:AE902" si="1639">LN(AD886/AD885)</f>
        <v>2.8643105815343319E-2</v>
      </c>
      <c r="AF886" s="163"/>
      <c r="AG886" s="163"/>
      <c r="AH886" s="163"/>
      <c r="AI886" s="163"/>
      <c r="AJ886" s="116">
        <f t="shared" ref="AJ886:AJ902" si="1640">+(AD886*1000)/AV886</f>
        <v>304.2035108767974</v>
      </c>
      <c r="AK886" s="114">
        <f>+AV886/$AX$11</f>
        <v>9.4598700302285527E-3</v>
      </c>
      <c r="AL886" s="115">
        <f t="shared" si="1627"/>
        <v>0.25622936615834574</v>
      </c>
      <c r="AM886" s="115">
        <f t="shared" si="1628"/>
        <v>0.37106797924150653</v>
      </c>
      <c r="AN886" s="115">
        <f t="shared" si="1629"/>
        <v>0.37270265460014779</v>
      </c>
      <c r="AO886" s="115">
        <f t="shared" si="1632"/>
        <v>7.6608187838592551E-3</v>
      </c>
      <c r="AP886" s="166">
        <f>+AP885*EXP(AO886)</f>
        <v>100.7690237933018</v>
      </c>
      <c r="AQ886" s="168">
        <f>LN(AP886/AP885)</f>
        <v>7.6608187838592178E-3</v>
      </c>
      <c r="AR886" s="69">
        <f>+AD886/$AF$11</f>
        <v>1.253874203850386E-2</v>
      </c>
      <c r="AS886" s="169">
        <f>+AR886*AQ886</f>
        <v>9.6057030534535585E-5</v>
      </c>
      <c r="AT886" s="115"/>
      <c r="AU886" s="115"/>
      <c r="AV886" s="113">
        <f>IFERROR(INDEX('Total Customers'!$F$7:$AB$91,MATCH($C886,'Total Customers'!$D$7:$D$91,0),MATCH($G886,'Total Customers'!$F$5:$AB$5,0)),"NA")</f>
        <v>328082</v>
      </c>
      <c r="AW886" s="68">
        <f t="shared" si="1551"/>
        <v>2.9942560433964184E-2</v>
      </c>
      <c r="AX886" s="114"/>
      <c r="AY886" s="114"/>
      <c r="AZ886" s="116"/>
      <c r="BA886" s="116"/>
      <c r="BB886" s="166"/>
      <c r="BC886" s="166"/>
      <c r="BD886" s="166"/>
      <c r="BE886" s="166"/>
      <c r="BF886" s="166"/>
      <c r="BG886" s="166"/>
      <c r="BH886" s="166"/>
      <c r="BI886" s="113"/>
      <c r="BJ886" s="113"/>
      <c r="BK886" s="113">
        <f>INDEX('Dist. Plant Gas Additions'!$F$7:$AE$91,MATCH($C886,'Dist. Plant Gas Additions'!$D$7:$D$91,0),MATCH(Calculation!$G886,'Dist. Plant Gas Additions'!$F$5:$AE$5,0))</f>
        <v>49421</v>
      </c>
      <c r="BL886" s="113">
        <f>INDEX('Gen. Plant Additions'!$F$7:$AE$91,MATCH($C886,'Gen. Plant Additions'!$D$7:$D$91,0),MATCH(Calculation!$G886,'Gen. Plant Additions'!$F$5:$AE$5,0))</f>
        <v>3738</v>
      </c>
      <c r="BM886" s="231">
        <f t="shared" si="1607"/>
        <v>0.94989559301585991</v>
      </c>
      <c r="BN886" s="61">
        <f t="shared" si="1630"/>
        <v>3550.7097266932842</v>
      </c>
      <c r="BO886" s="113">
        <f>INDEX('Dist Plant Depreciation'!$E$7:$AD$94,MATCH($C886,'Dist Plant Depreciation'!$D$7:$D$94,0),MATCH(Calculation!$G886,'Dist Plant Depreciation'!$E$5:$AD$5,0))</f>
        <v>317020</v>
      </c>
      <c r="BP886" s="113">
        <f>INDEX('Gen. Plant Depreciation'!$E$7:$AD$94,MATCH($C886,'Gen. Plant Depreciation'!$D$7:$D$94,0),MATCH(Calculation!$G886,'Gen. Plant Depreciation'!$E$5:$AD$5,0))</f>
        <v>32478</v>
      </c>
      <c r="BQ886" s="113"/>
      <c r="BR886" s="113"/>
      <c r="BS886" s="113"/>
      <c r="BT886" s="113"/>
      <c r="BU886" s="113"/>
      <c r="BV886" s="175"/>
      <c r="BW886" s="113">
        <f>INDEX('Gross Dx Plant'!$E$7:$AD$91,MATCH($C886,'Gross Dx Plant'!$D$7:$D$91,0),MATCH(Calculation!$G886,'Gross Dx Plant'!$E$5:$AD$5,0))</f>
        <v>781064</v>
      </c>
      <c r="BX886" s="113">
        <f>INDEX('Gross Gen Plant'!$E$7:$AD$91,MATCH($C886,'Gross Gen Plant'!$D$7:$D$91,0),MATCH(Calculation!$G886,'Gross Gen Plant'!$E$5:$AD$5,0))</f>
        <v>41199</v>
      </c>
      <c r="BY886" s="113">
        <f t="shared" si="1605"/>
        <v>472765</v>
      </c>
      <c r="BZ886" s="114"/>
      <c r="CA886" s="116">
        <v>2006</v>
      </c>
      <c r="CB886" s="113"/>
      <c r="CC886" s="113"/>
      <c r="CD886" s="113"/>
      <c r="CE886" s="175"/>
      <c r="CF886" s="113">
        <f t="shared" si="1608"/>
        <v>53159</v>
      </c>
      <c r="CG886" s="113">
        <f t="shared" si="1609"/>
        <v>115.29093863465378</v>
      </c>
      <c r="CH886" s="178">
        <v>0.9555555555555556</v>
      </c>
      <c r="CI886" s="61">
        <f>+CI878*CH886+CG879*CH885+CG880*CH884+CG881*CH883+CG882*CH882+CG883*CH881+CG884*CH880+CG885*CH879+CG886</f>
        <v>2432.5957243828243</v>
      </c>
      <c r="CJ886" s="114">
        <f t="shared" si="1610"/>
        <v>4.2408185655413516E-2</v>
      </c>
      <c r="CK886" s="114"/>
      <c r="CL886" s="169">
        <f t="shared" si="1611"/>
        <v>6.127073307113564E-3</v>
      </c>
      <c r="CM886" s="169">
        <f t="shared" si="1619"/>
        <v>5.938993191381403E-3</v>
      </c>
      <c r="CN886" s="114">
        <f>VLOOKUP($H886,RoR!$E:$F,2,FALSE)</f>
        <v>5.5874999999999994E-2</v>
      </c>
      <c r="CO886" s="169">
        <v>3.0512430354548314E-2</v>
      </c>
      <c r="CP886" s="169">
        <f t="shared" si="1617"/>
        <v>2.536256964545168E-2</v>
      </c>
      <c r="CQ886" s="169">
        <f t="shared" si="1620"/>
        <v>2.4962948417152221E-2</v>
      </c>
      <c r="CR886" s="169">
        <f t="shared" si="1621"/>
        <v>7.9087823893859641E-2</v>
      </c>
      <c r="CS886" s="179">
        <f t="shared" si="1612"/>
        <v>0.85727249999999999</v>
      </c>
      <c r="CT886" s="180">
        <f t="shared" si="1613"/>
        <v>0.91779957551769631</v>
      </c>
      <c r="CU886" s="180">
        <f t="shared" si="1614"/>
        <v>0.52757270693512304</v>
      </c>
      <c r="CV886" s="180">
        <f t="shared" si="1615"/>
        <v>0.88636824549024895</v>
      </c>
      <c r="CW886" s="180">
        <f t="shared" si="1616"/>
        <v>0.42918482841932087</v>
      </c>
      <c r="CX886" s="181">
        <f>INDEX('State Tax Lookup'!$D$7:$Z$91,MATCH(Calculation!$C886,'State Tax Lookup'!$B$7:$B$91,0),MATCH($H886,'State Tax Lookup'!$D$6:$Z$6,0))</f>
        <v>0.38574999999999998</v>
      </c>
      <c r="CY886" s="72">
        <v>0.37</v>
      </c>
      <c r="CZ886" s="70">
        <f t="shared" si="1618"/>
        <v>15.953530751180367</v>
      </c>
      <c r="DA886" s="70">
        <v>14.788696346247992</v>
      </c>
      <c r="DB886" s="69">
        <f t="shared" si="1622"/>
        <v>-2.3178409145437451E-2</v>
      </c>
      <c r="DC886" s="111">
        <f>VLOOKUP($H886,RoR!$E:$F,2,FALSE)</f>
        <v>5.5874999999999994E-2</v>
      </c>
      <c r="DD886" s="216">
        <f>HLOOKUP($H886,'GDP-PI'!$D$8:$CQ$11,3,FALSE)</f>
        <v>3.0512430354548314E-2</v>
      </c>
      <c r="DE886" s="111">
        <f>VLOOKUP(H886,'HW Dx Data'!$E:$F,2,FALSE)</f>
        <v>461.08567272971823</v>
      </c>
      <c r="DF886" s="72">
        <f t="shared" si="1633"/>
        <v>109.4</v>
      </c>
      <c r="DG886" s="69">
        <f t="shared" si="1634"/>
        <v>9.7620891318751846E-2</v>
      </c>
      <c r="DH886" s="66">
        <f>HLOOKUP(H886,'GDP-PI'!$8:$9,2,FALSE)</f>
        <v>90.073999999999998</v>
      </c>
      <c r="DI886" s="69">
        <f t="shared" si="1623"/>
        <v>3.005618372545445E-2</v>
      </c>
      <c r="EB886"/>
    </row>
    <row r="887" spans="1:132" s="160" customFormat="1" ht="21">
      <c r="A887" s="160" t="s">
        <v>212</v>
      </c>
      <c r="B887" s="161" t="s">
        <v>212</v>
      </c>
      <c r="C887" s="161">
        <v>4063341</v>
      </c>
      <c r="D887" s="161" t="s">
        <v>213</v>
      </c>
      <c r="E887" s="161"/>
      <c r="F887" s="161"/>
      <c r="G887" s="161" t="s">
        <v>118</v>
      </c>
      <c r="H887" s="162">
        <v>2007</v>
      </c>
      <c r="I887" s="163"/>
      <c r="J887" s="159">
        <f>IFERROR(INDEX('Labor Expenditures'!$F$7:$X$91,MATCH($C887,'Labor Expenditures'!$D$7:$D$91,0),MATCH($G887,'Labor Expenditures'!$F$5:$X$5,0)),"NA")</f>
        <v>25713.725465201464</v>
      </c>
      <c r="K887" s="159">
        <f t="shared" si="1624"/>
        <v>246.00550552692147</v>
      </c>
      <c r="L887" s="165">
        <f t="shared" si="1631"/>
        <v>5.1086581699270689E-2</v>
      </c>
      <c r="M887" s="76">
        <f t="shared" si="1635"/>
        <v>6.3575584048672937E-4</v>
      </c>
      <c r="N887" s="62">
        <f t="shared" ref="N887:N900" si="1641">+N886*EXP(O887)</f>
        <v>119.60841867100243</v>
      </c>
      <c r="O887" s="96">
        <f t="shared" si="1636"/>
        <v>6.2417988896266333E-2</v>
      </c>
      <c r="P887" s="96"/>
      <c r="Q887" s="159">
        <f>IFERROR(INDEX('Non-Labor Expenditures'!$F$7:$AB$91,MATCH($C887,'Non-Labor Expenditures'!$D$7:$D$91,0),MATCH($G887,'Non-Labor Expenditures'!$F$5:$AB$5,0)),"NA")</f>
        <v>37238.277135051918</v>
      </c>
      <c r="R887" s="159">
        <f t="shared" si="1625"/>
        <v>402.5846735610707</v>
      </c>
      <c r="S887" s="165">
        <f t="shared" si="1637"/>
        <v>-2.1053498996019826E-2</v>
      </c>
      <c r="T887" s="165">
        <f t="shared" si="1638"/>
        <v>-2.6200392557469118E-4</v>
      </c>
      <c r="U887" s="165"/>
      <c r="V887" s="165"/>
      <c r="W887" s="159">
        <f t="shared" si="1606"/>
        <v>41679.65714859029</v>
      </c>
      <c r="X887" s="163"/>
      <c r="Y887" s="167">
        <v>2492.2761635294073</v>
      </c>
      <c r="Z887" s="168">
        <v>2.4237528252990047E-2</v>
      </c>
      <c r="AA887" s="76">
        <f t="shared" si="1626"/>
        <v>3.0162813077823364E-4</v>
      </c>
      <c r="AB887" s="168"/>
      <c r="AC887" s="168"/>
      <c r="AD887" s="163">
        <f t="shared" si="1526"/>
        <v>104631.65974884367</v>
      </c>
      <c r="AE887" s="168">
        <f t="shared" si="1639"/>
        <v>4.724096103763066E-2</v>
      </c>
      <c r="AF887" s="163"/>
      <c r="AG887" s="163"/>
      <c r="AH887" s="163"/>
      <c r="AI887" s="163"/>
      <c r="AJ887" s="116">
        <f t="shared" si="1640"/>
        <v>312.94706259393399</v>
      </c>
      <c r="AK887" s="114">
        <f>+AV887/$AX$12</f>
        <v>9.5678155697473729E-3</v>
      </c>
      <c r="AL887" s="115">
        <f t="shared" si="1627"/>
        <v>0.24575473166462541</v>
      </c>
      <c r="AM887" s="115">
        <f t="shared" si="1628"/>
        <v>0.35589875210273969</v>
      </c>
      <c r="AN887" s="115">
        <f t="shared" si="1629"/>
        <v>0.39834651623263495</v>
      </c>
      <c r="AO887" s="115">
        <f t="shared" si="1632"/>
        <v>1.4513892169588059E-2</v>
      </c>
      <c r="AP887" s="166">
        <f>+AP886*EXP(AO887)</f>
        <v>102.24223972590295</v>
      </c>
      <c r="AQ887" s="168">
        <f>LN(AP887/AP886)</f>
        <v>1.4513892169587973E-2</v>
      </c>
      <c r="AR887" s="69">
        <f>+AD887/$AF$12</f>
        <v>1.2444673715481837E-2</v>
      </c>
      <c r="AS887" s="169">
        <f t="shared" ref="AS887:AS901" si="1642">+AR887*AQ887</f>
        <v>1.8062065239220909E-4</v>
      </c>
      <c r="AT887" s="115"/>
      <c r="AU887" s="115"/>
      <c r="AV887" s="113">
        <f>IFERROR(INDEX('Total Customers'!$F$7:$AB$91,MATCH($C887,'Total Customers'!$D$7:$D$91,0),MATCH($G887,'Total Customers'!$F$5:$AB$5,0)),"NA")</f>
        <v>334343</v>
      </c>
      <c r="AW887" s="68">
        <f t="shared" si="1551"/>
        <v>1.8903834996713883E-2</v>
      </c>
      <c r="AX887" s="114"/>
      <c r="AY887" s="114"/>
      <c r="AZ887" s="116"/>
      <c r="BA887" s="116"/>
      <c r="BB887" s="166"/>
      <c r="BC887" s="166"/>
      <c r="BD887" s="166"/>
      <c r="BE887" s="166"/>
      <c r="BF887" s="166"/>
      <c r="BG887" s="166"/>
      <c r="BH887" s="166"/>
      <c r="BI887" s="113"/>
      <c r="BJ887" s="113"/>
      <c r="BK887" s="113">
        <f>INDEX('Dist. Plant Gas Additions'!$F$7:$AE$91,MATCH($C887,'Dist. Plant Gas Additions'!$D$7:$D$91,0),MATCH(Calculation!$G887,'Dist. Plant Gas Additions'!$F$5:$AE$5,0))</f>
        <v>33594</v>
      </c>
      <c r="BL887" s="113">
        <f>INDEX('Gen. Plant Additions'!$F$7:$AE$91,MATCH($C887,'Gen. Plant Additions'!$D$7:$D$91,0),MATCH(Calculation!$G887,'Gen. Plant Additions'!$F$5:$AE$5,0))</f>
        <v>3765</v>
      </c>
      <c r="BM887" s="231">
        <f t="shared" si="1607"/>
        <v>0.95036573728028728</v>
      </c>
      <c r="BN887" s="61">
        <f t="shared" si="1630"/>
        <v>3578.1270008602814</v>
      </c>
      <c r="BO887" s="113">
        <f>INDEX('Dist Plant Depreciation'!$E$7:$AD$94,MATCH($C887,'Dist Plant Depreciation'!$D$7:$D$94,0),MATCH(Calculation!$G887,'Dist Plant Depreciation'!$E$5:$AD$5,0))</f>
        <v>375308</v>
      </c>
      <c r="BP887" s="113">
        <f>INDEX('Gen. Plant Depreciation'!$E$7:$AD$94,MATCH($C887,'Gen. Plant Depreciation'!$D$7:$D$94,0),MATCH(Calculation!$G887,'Gen. Plant Depreciation'!$E$5:$AD$5,0))</f>
        <v>3270</v>
      </c>
      <c r="BQ887" s="113"/>
      <c r="BR887" s="113"/>
      <c r="BS887" s="113"/>
      <c r="BT887" s="113"/>
      <c r="BU887" s="113"/>
      <c r="BV887" s="175"/>
      <c r="BW887" s="113">
        <f>INDEX('Gross Dx Plant'!$E$7:$AD$91,MATCH($C887,'Gross Dx Plant'!$D$7:$D$91,0),MATCH(Calculation!$G887,'Gross Dx Plant'!$E$5:$AD$5,0))</f>
        <v>808651</v>
      </c>
      <c r="BX887" s="113">
        <f>INDEX('Gross Gen Plant'!$E$7:$AD$91,MATCH($C887,'Gross Gen Plant'!$D$7:$D$91,0),MATCH(Calculation!$G887,'Gross Gen Plant'!$E$5:$AD$5,0))</f>
        <v>42233</v>
      </c>
      <c r="BY887" s="113">
        <f t="shared" si="1605"/>
        <v>472306</v>
      </c>
      <c r="BZ887" s="113"/>
      <c r="CA887" s="116">
        <v>2007</v>
      </c>
      <c r="CB887" s="113"/>
      <c r="CC887" s="113"/>
      <c r="CD887" s="113"/>
      <c r="CE887" s="175"/>
      <c r="CF887" s="113">
        <f t="shared" si="1608"/>
        <v>37359</v>
      </c>
      <c r="CG887" s="113">
        <f t="shared" si="1609"/>
        <v>75.014710865311727</v>
      </c>
      <c r="CH887" s="178">
        <v>0.94915254237288138</v>
      </c>
      <c r="CI887" s="61">
        <f>+CI878*CH887+CG879*CH886+CG880*CH885+CG881*CH884+CG882*CH883+CG883*CH882+CG884*CH881+CG885*CH880+CG886*CH879+CG887</f>
        <v>2492.2761635294073</v>
      </c>
      <c r="CJ887" s="114">
        <f t="shared" si="1610"/>
        <v>2.4237528252990047E-2</v>
      </c>
      <c r="CK887" s="114"/>
      <c r="CL887" s="169">
        <f t="shared" si="1611"/>
        <v>6.3036663120910417E-3</v>
      </c>
      <c r="CM887" s="169">
        <f t="shared" si="1619"/>
        <v>6.1214415258965338E-3</v>
      </c>
      <c r="CN887" s="114">
        <f>VLOOKUP($H887,RoR!$E:$F,2,FALSE)</f>
        <v>5.5558333333333321E-2</v>
      </c>
      <c r="CO887" s="169">
        <v>2.691120634145272E-2</v>
      </c>
      <c r="CP887" s="169">
        <f t="shared" si="1617"/>
        <v>2.86471269918806E-2</v>
      </c>
      <c r="CQ887" s="169">
        <f t="shared" si="1620"/>
        <v>2.4780500082637092E-2</v>
      </c>
      <c r="CR887" s="169">
        <f t="shared" si="1621"/>
        <v>6.4575155250632399E-2</v>
      </c>
      <c r="CS887" s="179">
        <f t="shared" si="1612"/>
        <v>0.85727249999999999</v>
      </c>
      <c r="CT887" s="180">
        <f t="shared" si="1613"/>
        <v>0.92303077153834634</v>
      </c>
      <c r="CU887" s="180">
        <f t="shared" si="1614"/>
        <v>0.52502249887505614</v>
      </c>
      <c r="CV887" s="180">
        <f t="shared" si="1615"/>
        <v>0.88499666072084604</v>
      </c>
      <c r="CW887" s="180">
        <f t="shared" si="1616"/>
        <v>0.42887993290280618</v>
      </c>
      <c r="CX887" s="181">
        <f>INDEX('State Tax Lookup'!$D$7:$Z$91,MATCH(Calculation!$C887,'State Tax Lookup'!$B$7:$B$91,0),MATCH($H887,'State Tax Lookup'!$D$6:$Z$6,0))</f>
        <v>0.38574999999999998</v>
      </c>
      <c r="CY887" s="72">
        <v>0.37</v>
      </c>
      <c r="CZ887" s="70">
        <f t="shared" si="1618"/>
        <v>17.133819948304343</v>
      </c>
      <c r="DA887" s="70">
        <v>16.108943221861779</v>
      </c>
      <c r="DB887" s="69">
        <f t="shared" si="1622"/>
        <v>7.137411659780446E-2</v>
      </c>
      <c r="DC887" s="111">
        <f>VLOOKUP($H887,RoR!$E:$F,2,FALSE)</f>
        <v>5.5558333333333321E-2</v>
      </c>
      <c r="DD887" s="216">
        <f>HLOOKUP($H887,'GDP-PI'!$D$8:$CQ$11,3,FALSE)</f>
        <v>2.691120634145272E-2</v>
      </c>
      <c r="DE887" s="111">
        <f>VLOOKUP(H887,'HW Dx Data'!$E:$F,2,FALSE)</f>
        <v>498.0223154772637</v>
      </c>
      <c r="DF887" s="72">
        <f t="shared" si="1633"/>
        <v>104.52499999999999</v>
      </c>
      <c r="DG887" s="69">
        <f t="shared" si="1634"/>
        <v>-4.5584612745252218E-2</v>
      </c>
      <c r="DH887" s="66">
        <f>HLOOKUP(H887,'GDP-PI'!$8:$9,2,FALSE)</f>
        <v>92.498000000000005</v>
      </c>
      <c r="DI887" s="69">
        <f t="shared" si="1623"/>
        <v>2.6555467950038037E-2</v>
      </c>
      <c r="EB887"/>
    </row>
    <row r="888" spans="1:132" s="160" customFormat="1" ht="21">
      <c r="A888" s="160" t="s">
        <v>212</v>
      </c>
      <c r="B888" s="161" t="s">
        <v>212</v>
      </c>
      <c r="C888" s="161">
        <v>4063341</v>
      </c>
      <c r="D888" s="161" t="s">
        <v>213</v>
      </c>
      <c r="E888" s="161"/>
      <c r="F888" s="161"/>
      <c r="G888" s="161" t="s">
        <v>120</v>
      </c>
      <c r="H888" s="162">
        <v>2008</v>
      </c>
      <c r="I888" s="163"/>
      <c r="J888" s="159">
        <f>IFERROR(INDEX('Labor Expenditures'!$F$7:$X$91,MATCH($C888,'Labor Expenditures'!$D$7:$D$91,0),MATCH($G888,'Labor Expenditures'!$F$5:$X$5,0)),"NA")</f>
        <v>25222.138380751185</v>
      </c>
      <c r="K888" s="159">
        <f t="shared" si="1624"/>
        <v>233.75475793096555</v>
      </c>
      <c r="L888" s="165">
        <f t="shared" si="1631"/>
        <v>-5.1081393126147824E-2</v>
      </c>
      <c r="M888" s="76">
        <f t="shared" si="1635"/>
        <v>-6.2650504314167087E-4</v>
      </c>
      <c r="N888" s="62">
        <f t="shared" si="1641"/>
        <v>111.71413179938301</v>
      </c>
      <c r="O888" s="96">
        <f t="shared" si="1636"/>
        <v>-6.8280015530863325E-2</v>
      </c>
      <c r="P888" s="96"/>
      <c r="Q888" s="159">
        <f>IFERROR(INDEX('Non-Labor Expenditures'!$F$7:$AB$91,MATCH($C888,'Non-Labor Expenditures'!$D$7:$D$91,0),MATCH($G888,'Non-Labor Expenditures'!$F$5:$AB$5,0)),"NA")</f>
        <v>36526.367220965563</v>
      </c>
      <c r="R888" s="159">
        <f t="shared" si="1625"/>
        <v>387.49010461009044</v>
      </c>
      <c r="S888" s="165">
        <f t="shared" si="1637"/>
        <v>-3.8215131852719735E-2</v>
      </c>
      <c r="T888" s="165">
        <f t="shared" si="1638"/>
        <v>-4.6870242498921335E-4</v>
      </c>
      <c r="U888" s="165"/>
      <c r="V888" s="165"/>
      <c r="W888" s="159">
        <f t="shared" si="1606"/>
        <v>48499.9350989944</v>
      </c>
      <c r="X888" s="163"/>
      <c r="Y888" s="167">
        <v>2555.0512617253116</v>
      </c>
      <c r="Z888" s="168">
        <v>2.4875871930982639E-2</v>
      </c>
      <c r="AA888" s="76">
        <f t="shared" si="1626"/>
        <v>3.0509855474809464E-4</v>
      </c>
      <c r="AB888" s="168"/>
      <c r="AC888" s="168"/>
      <c r="AD888" s="163">
        <f t="shared" si="1526"/>
        <v>110248.44070071116</v>
      </c>
      <c r="AE888" s="168">
        <f t="shared" si="1639"/>
        <v>5.2290190625450129E-2</v>
      </c>
      <c r="AF888" s="163"/>
      <c r="AG888" s="163"/>
      <c r="AH888" s="163"/>
      <c r="AI888" s="163"/>
      <c r="AJ888" s="116">
        <f t="shared" si="1640"/>
        <v>328.96529091300323</v>
      </c>
      <c r="AK888" s="114">
        <f>+AV888/$AX$13</f>
        <v>9.5392607396702078E-3</v>
      </c>
      <c r="AL888" s="115">
        <f t="shared" si="1627"/>
        <v>0.22877546585190378</v>
      </c>
      <c r="AM888" s="115">
        <f t="shared" si="1628"/>
        <v>0.33130960391651099</v>
      </c>
      <c r="AN888" s="115">
        <f t="shared" si="1629"/>
        <v>0.43991493023158512</v>
      </c>
      <c r="AO888" s="115">
        <f t="shared" si="1632"/>
        <v>-1.4824468559106317E-2</v>
      </c>
      <c r="AP888" s="166">
        <f t="shared" ref="AP888:AP901" si="1643">+AP887*EXP(AO888)</f>
        <v>100.73773217318751</v>
      </c>
      <c r="AQ888" s="168">
        <f t="shared" ref="AQ888:AQ901" si="1644">LN(AP888/AP887)</f>
        <v>-1.4824468559106279E-2</v>
      </c>
      <c r="AR888" s="69">
        <f>+AD888/$AF$13</f>
        <v>1.2264838619308761E-2</v>
      </c>
      <c r="AS888" s="169">
        <f t="shared" si="1642"/>
        <v>-1.8181971449445519E-4</v>
      </c>
      <c r="AT888" s="115"/>
      <c r="AU888" s="115"/>
      <c r="AV888" s="113">
        <f>IFERROR(INDEX('Total Customers'!$F$7:$AB$91,MATCH($C888,'Total Customers'!$D$7:$D$91,0),MATCH($G888,'Total Customers'!$F$5:$AB$5,0)),"NA")</f>
        <v>335137</v>
      </c>
      <c r="AW888" s="68">
        <f t="shared" si="1551"/>
        <v>2.3719913134861294E-3</v>
      </c>
      <c r="AX888" s="114"/>
      <c r="AY888" s="114"/>
      <c r="AZ888" s="116"/>
      <c r="BA888" s="116"/>
      <c r="BB888" s="166"/>
      <c r="BC888" s="166"/>
      <c r="BD888" s="166"/>
      <c r="BE888" s="166"/>
      <c r="BF888" s="166"/>
      <c r="BG888" s="166"/>
      <c r="BH888" s="166"/>
      <c r="BI888" s="113"/>
      <c r="BJ888" s="113"/>
      <c r="BK888" s="113">
        <f>INDEX('Dist. Plant Gas Additions'!$F$7:$AE$91,MATCH($C888,'Dist. Plant Gas Additions'!$D$7:$D$91,0),MATCH(Calculation!$G888,'Dist. Plant Gas Additions'!$F$5:$AE$5,0))</f>
        <v>42244</v>
      </c>
      <c r="BL888" s="113">
        <f>INDEX('Gen. Plant Additions'!$F$7:$AE$91,MATCH($C888,'Gen. Plant Additions'!$D$7:$D$91,0),MATCH(Calculation!$G888,'Gen. Plant Additions'!$F$5:$AE$5,0))</f>
        <v>2776</v>
      </c>
      <c r="BM888" s="231">
        <f t="shared" si="1607"/>
        <v>0.95412042407802899</v>
      </c>
      <c r="BN888" s="61">
        <f t="shared" si="1630"/>
        <v>2648.6382972406086</v>
      </c>
      <c r="BO888" s="113">
        <f>INDEX('Dist Plant Depreciation'!$E$7:$AD$94,MATCH($C888,'Dist Plant Depreciation'!$D$7:$D$94,0),MATCH(Calculation!$G888,'Dist Plant Depreciation'!$E$5:$AD$5,0))</f>
        <v>372292</v>
      </c>
      <c r="BP888" s="113">
        <f>INDEX('Gen. Plant Depreciation'!$E$7:$AD$94,MATCH($C888,'Gen. Plant Depreciation'!$D$7:$D$94,0),MATCH(Calculation!$G888,'Gen. Plant Depreciation'!$E$5:$AD$5,0))</f>
        <v>35857</v>
      </c>
      <c r="BQ888" s="113"/>
      <c r="BR888" s="113"/>
      <c r="BS888" s="113"/>
      <c r="BT888" s="113"/>
      <c r="BU888" s="113"/>
      <c r="BV888" s="175"/>
      <c r="BW888" s="113">
        <f>INDEX('Gross Dx Plant'!$E$7:$AD$91,MATCH($C888,'Gross Dx Plant'!$D$7:$D$91,0),MATCH(Calculation!$G888,'Gross Dx Plant'!$E$5:$AD$5,0))</f>
        <v>899768</v>
      </c>
      <c r="BX888" s="113">
        <f>INDEX('Gross Gen Plant'!$E$7:$AD$91,MATCH($C888,'Gross Gen Plant'!$D$7:$D$91,0),MATCH(Calculation!$G888,'Gross Gen Plant'!$E$5:$AD$5,0))</f>
        <v>43266</v>
      </c>
      <c r="BY888" s="113">
        <f t="shared" si="1605"/>
        <v>534885</v>
      </c>
      <c r="BZ888" s="113"/>
      <c r="CA888" s="116">
        <v>2008</v>
      </c>
      <c r="CB888" s="113"/>
      <c r="CC888" s="113"/>
      <c r="CD888" s="113"/>
      <c r="CE888" s="175"/>
      <c r="CF888" s="113">
        <f t="shared" si="1608"/>
        <v>45020</v>
      </c>
      <c r="CG888" s="113">
        <f t="shared" si="1609"/>
        <v>78.998920716329451</v>
      </c>
      <c r="CH888" s="178">
        <v>0.94252873563218387</v>
      </c>
      <c r="CI888" s="61">
        <f>+CI878*CH888+CG879*CH887+CG880*CH886+CG881*CH885+CG882*CH884+CG883*CH883+CG884*CH882+CG885*CH881+CG886*CH880+CG887*CH879+CG888</f>
        <v>2555.0512617253116</v>
      </c>
      <c r="CJ888" s="114">
        <f t="shared" si="1610"/>
        <v>2.4875871930982639E-2</v>
      </c>
      <c r="CK888" s="114"/>
      <c r="CL888" s="169">
        <f t="shared" si="1611"/>
        <v>6.5096407684812731E-3</v>
      </c>
      <c r="CM888" s="169">
        <f t="shared" si="1619"/>
        <v>6.3134601292286268E-3</v>
      </c>
      <c r="CN888" s="114">
        <f>VLOOKUP($H888,RoR!$E:$F,2,FALSE)</f>
        <v>5.6316666666666668E-2</v>
      </c>
      <c r="CO888" s="169">
        <v>1.9092304698479889E-2</v>
      </c>
      <c r="CP888" s="169">
        <f t="shared" si="1617"/>
        <v>3.7224361968186778E-2</v>
      </c>
      <c r="CQ888" s="169">
        <f t="shared" si="1620"/>
        <v>2.4588481479304997E-2</v>
      </c>
      <c r="CR888" s="169">
        <f t="shared" si="1621"/>
        <v>6.9030581091053131E-2</v>
      </c>
      <c r="CS888" s="179">
        <f t="shared" si="1612"/>
        <v>0.85727249999999999</v>
      </c>
      <c r="CT888" s="180">
        <f t="shared" si="1613"/>
        <v>0.91060168006009956</v>
      </c>
      <c r="CU888" s="180">
        <f t="shared" si="1614"/>
        <v>0.53108168097070152</v>
      </c>
      <c r="CV888" s="180">
        <f t="shared" si="1615"/>
        <v>0.88825329850328805</v>
      </c>
      <c r="CW888" s="180">
        <f t="shared" si="1616"/>
        <v>0.4295627335323573</v>
      </c>
      <c r="CX888" s="181">
        <f>INDEX('State Tax Lookup'!$D$7:$Z$91,MATCH(Calculation!$C888,'State Tax Lookup'!$B$7:$B$91,0),MATCH($H888,'State Tax Lookup'!$D$6:$Z$6,0))</f>
        <v>0.38574999999999998</v>
      </c>
      <c r="CY888" s="72">
        <v>0.37</v>
      </c>
      <c r="CZ888" s="70">
        <f t="shared" si="1618"/>
        <v>19.460096681385338</v>
      </c>
      <c r="DA888" s="70">
        <v>18.300102035478151</v>
      </c>
      <c r="DB888" s="69">
        <f t="shared" si="1622"/>
        <v>0.12731175991478549</v>
      </c>
      <c r="DC888" s="111">
        <f>VLOOKUP($H888,RoR!$E:$F,2,FALSE)</f>
        <v>5.6316666666666668E-2</v>
      </c>
      <c r="DD888" s="216">
        <f>HLOOKUP($H888,'GDP-PI'!$D$8:$CQ$11,3,FALSE)</f>
        <v>1.9092304698479889E-2</v>
      </c>
      <c r="DE888" s="111">
        <f>VLOOKUP(H888,'HW Dx Data'!$E:$F,2,FALSE)</f>
        <v>569.88120333515076</v>
      </c>
      <c r="DF888" s="72">
        <f t="shared" si="1633"/>
        <v>107.9</v>
      </c>
      <c r="DG888" s="69">
        <f t="shared" si="1634"/>
        <v>3.1778595021460486E-2</v>
      </c>
      <c r="DH888" s="66">
        <f>HLOOKUP(H888,'GDP-PI'!$8:$9,2,FALSE)</f>
        <v>94.263999999999996</v>
      </c>
      <c r="DI888" s="69">
        <f t="shared" si="1623"/>
        <v>1.8912333748032254E-2</v>
      </c>
      <c r="EB888"/>
    </row>
    <row r="889" spans="1:132" s="160" customFormat="1" ht="21">
      <c r="A889" s="160" t="s">
        <v>212</v>
      </c>
      <c r="B889" s="161" t="s">
        <v>212</v>
      </c>
      <c r="C889" s="161">
        <v>4063341</v>
      </c>
      <c r="D889" s="161" t="s">
        <v>213</v>
      </c>
      <c r="E889" s="161"/>
      <c r="F889" s="161"/>
      <c r="G889" s="161" t="s">
        <v>125</v>
      </c>
      <c r="H889" s="162">
        <v>2009</v>
      </c>
      <c r="I889" s="163"/>
      <c r="J889" s="159">
        <f>IFERROR(INDEX('Labor Expenditures'!$F$7:$X$91,MATCH($C889,'Labor Expenditures'!$D$7:$D$91,0),MATCH($G889,'Labor Expenditures'!$F$5:$X$5,0)),"NA")</f>
        <v>29007.987022348712</v>
      </c>
      <c r="K889" s="159">
        <f t="shared" si="1624"/>
        <v>261.50991230424802</v>
      </c>
      <c r="L889" s="165">
        <f t="shared" si="1631"/>
        <v>0.11219966560123787</v>
      </c>
      <c r="M889" s="76">
        <f t="shared" si="1635"/>
        <v>1.420598675887882E-3</v>
      </c>
      <c r="N889" s="62">
        <f t="shared" si="1641"/>
        <v>117.68727771706386</v>
      </c>
      <c r="O889" s="96">
        <f t="shared" si="1636"/>
        <v>5.2087703925724982E-2</v>
      </c>
      <c r="P889" s="96"/>
      <c r="Q889" s="159">
        <f>IFERROR(INDEX('Non-Labor Expenditures'!$F$7:$AB$91,MATCH($C889,'Non-Labor Expenditures'!$D$7:$D$91,0),MATCH($G889,'Non-Labor Expenditures'!$F$5:$AB$5,0)),"NA")</f>
        <v>42008.983152988163</v>
      </c>
      <c r="R889" s="159">
        <f t="shared" si="1625"/>
        <v>442.20447744700647</v>
      </c>
      <c r="S889" s="165">
        <f t="shared" si="1637"/>
        <v>0.13208208178381259</v>
      </c>
      <c r="T889" s="165">
        <f t="shared" si="1638"/>
        <v>1.6723368067554114E-3</v>
      </c>
      <c r="U889" s="165"/>
      <c r="V889" s="165"/>
      <c r="W889" s="159">
        <f t="shared" si="1606"/>
        <v>47691.174679246906</v>
      </c>
      <c r="X889" s="163"/>
      <c r="Y889" s="167">
        <v>2650.2788695926561</v>
      </c>
      <c r="Z889" s="168">
        <v>3.6592581518010987E-2</v>
      </c>
      <c r="AA889" s="76">
        <f t="shared" si="1626"/>
        <v>4.633112993095434E-4</v>
      </c>
      <c r="AB889" s="168"/>
      <c r="AC889" s="168"/>
      <c r="AD889" s="163">
        <f t="shared" si="1526"/>
        <v>118708.14485458378</v>
      </c>
      <c r="AE889" s="168">
        <f t="shared" si="1639"/>
        <v>7.393154547939744E-2</v>
      </c>
      <c r="AF889" s="163"/>
      <c r="AG889" s="163"/>
      <c r="AH889" s="163"/>
      <c r="AI889" s="163"/>
      <c r="AJ889" s="116">
        <f t="shared" si="1640"/>
        <v>354.93858475209458</v>
      </c>
      <c r="AK889" s="114">
        <f>+AV889/$AX$14</f>
        <v>9.5074853818791303E-3</v>
      </c>
      <c r="AL889" s="115">
        <f t="shared" si="1627"/>
        <v>0.24436391502776147</v>
      </c>
      <c r="AM889" s="115">
        <f t="shared" si="1628"/>
        <v>0.35388458984384535</v>
      </c>
      <c r="AN889" s="115">
        <f t="shared" si="1629"/>
        <v>0.4017514951283932</v>
      </c>
      <c r="AO889" s="115">
        <f t="shared" si="1632"/>
        <v>8.7193351568240984E-2</v>
      </c>
      <c r="AP889" s="166">
        <f t="shared" si="1643"/>
        <v>109.91570787011283</v>
      </c>
      <c r="AQ889" s="168">
        <f t="shared" si="1644"/>
        <v>8.7193351568240998E-2</v>
      </c>
      <c r="AR889" s="69">
        <f>+AD889/$AF$14</f>
        <v>1.2661345007361671E-2</v>
      </c>
      <c r="AS889" s="169">
        <f t="shared" si="1642"/>
        <v>1.1039851065536791E-3</v>
      </c>
      <c r="AT889" s="115"/>
      <c r="AU889" s="115"/>
      <c r="AV889" s="113">
        <f>IFERROR(INDEX('Total Customers'!$F$7:$AB$91,MATCH($C889,'Total Customers'!$D$7:$D$91,0),MATCH($G889,'Total Customers'!$F$5:$AB$5,0)),"NA")</f>
        <v>334447</v>
      </c>
      <c r="AW889" s="68">
        <f t="shared" si="1551"/>
        <v>-2.0609818760294581E-3</v>
      </c>
      <c r="AX889" s="114"/>
      <c r="AY889" s="114"/>
      <c r="AZ889" s="116"/>
      <c r="BA889" s="116"/>
      <c r="BB889" s="166"/>
      <c r="BC889" s="166"/>
      <c r="BD889" s="166"/>
      <c r="BE889" s="166"/>
      <c r="BF889" s="166"/>
      <c r="BG889" s="166"/>
      <c r="BH889" s="166"/>
      <c r="BI889" s="113"/>
      <c r="BJ889" s="113"/>
      <c r="BK889" s="113">
        <f>INDEX('Dist. Plant Gas Additions'!$F$7:$AE$91,MATCH($C889,'Dist. Plant Gas Additions'!$D$7:$D$91,0),MATCH(Calculation!$G889,'Dist. Plant Gas Additions'!$F$5:$AE$5,0))</f>
        <v>59754</v>
      </c>
      <c r="BL889" s="113">
        <f>INDEX('Gen. Plant Additions'!$F$7:$AE$91,MATCH($C889,'Gen. Plant Additions'!$D$7:$D$91,0),MATCH(Calculation!$G889,'Gen. Plant Additions'!$F$5:$AE$5,0))</f>
        <v>2171</v>
      </c>
      <c r="BM889" s="231">
        <f t="shared" si="1607"/>
        <v>0.96172279616785217</v>
      </c>
      <c r="BN889" s="61">
        <f t="shared" si="1630"/>
        <v>2087.9001904804072</v>
      </c>
      <c r="BO889" s="113">
        <f>INDEX('Dist Plant Depreciation'!$E$7:$AD$94,MATCH($C889,'Dist Plant Depreciation'!$D$7:$D$94,0),MATCH(Calculation!$G889,'Dist Plant Depreciation'!$E$5:$AD$5,0))</f>
        <v>404540</v>
      </c>
      <c r="BP889" s="113">
        <f>INDEX('Gen. Plant Depreciation'!$E$7:$AD$94,MATCH($C889,'Gen. Plant Depreciation'!$D$7:$D$94,0),MATCH(Calculation!$G889,'Gen. Plant Depreciation'!$E$5:$AD$5,0))</f>
        <v>35414</v>
      </c>
      <c r="BQ889" s="113"/>
      <c r="BR889" s="113"/>
      <c r="BS889" s="113"/>
      <c r="BT889" s="113"/>
      <c r="BU889" s="113"/>
      <c r="BV889" s="175"/>
      <c r="BW889" s="113">
        <f>INDEX('Gross Dx Plant'!$E$7:$AD$91,MATCH($C889,'Gross Dx Plant'!$D$7:$D$91,0),MATCH(Calculation!$G889,'Gross Dx Plant'!$E$5:$AD$5,0))</f>
        <v>955763</v>
      </c>
      <c r="BX889" s="113">
        <f>INDEX('Gross Gen Plant'!$E$7:$AD$91,MATCH($C889,'Gross Gen Plant'!$D$7:$D$91,0),MATCH(Calculation!$G889,'Gross Gen Plant'!$E$5:$AD$5,0))</f>
        <v>38040</v>
      </c>
      <c r="BY889" s="113">
        <f t="shared" si="1605"/>
        <v>553849</v>
      </c>
      <c r="BZ889" s="113"/>
      <c r="CA889" s="116">
        <v>2009</v>
      </c>
      <c r="CB889" s="113"/>
      <c r="CC889" s="113"/>
      <c r="CD889" s="113"/>
      <c r="CE889" s="175"/>
      <c r="CF889" s="113">
        <f t="shared" si="1608"/>
        <v>61925</v>
      </c>
      <c r="CG889" s="113">
        <f t="shared" si="1609"/>
        <v>112.39867939315759</v>
      </c>
      <c r="CH889" s="178">
        <v>0.93567251461988299</v>
      </c>
      <c r="CI889" s="61">
        <f>+CI878*CH889+CG879*CH888+CG880*CH887+CG881*CH886+CG882*CH885+CG883*CH884+CG884*CH883+CG885*CH882+CG886*CH881+CG887*CH880+CG888*CH879+CG889</f>
        <v>2650.2788695926561</v>
      </c>
      <c r="CJ889" s="114">
        <f t="shared" si="1610"/>
        <v>3.6592581518010987E-2</v>
      </c>
      <c r="CK889" s="114"/>
      <c r="CL889" s="169">
        <f t="shared" si="1611"/>
        <v>6.720441105443147E-3</v>
      </c>
      <c r="CM889" s="169">
        <f t="shared" si="1619"/>
        <v>6.5112493953384878E-3</v>
      </c>
      <c r="CN889" s="114">
        <f>VLOOKUP($H889,RoR!$E:$F,2,FALSE)</f>
        <v>5.3133333333333324E-2</v>
      </c>
      <c r="CO889" s="169">
        <v>7.7972502758210105E-3</v>
      </c>
      <c r="CP889" s="169">
        <f t="shared" si="1617"/>
        <v>4.5336083057512314E-2</v>
      </c>
      <c r="CQ889" s="169">
        <f t="shared" si="1620"/>
        <v>2.4390692213195137E-2</v>
      </c>
      <c r="CR889" s="169">
        <f t="shared" si="1621"/>
        <v>6.3720160300892073E-2</v>
      </c>
      <c r="CS889" s="179">
        <f t="shared" si="1612"/>
        <v>0.85727249999999999</v>
      </c>
      <c r="CT889" s="180">
        <f t="shared" si="1613"/>
        <v>0.96515780330083989</v>
      </c>
      <c r="CU889" s="180">
        <f t="shared" si="1614"/>
        <v>0.50448557089084056</v>
      </c>
      <c r="CV889" s="180">
        <f t="shared" si="1615"/>
        <v>0.87391435735465484</v>
      </c>
      <c r="CW889" s="180">
        <f t="shared" si="1616"/>
        <v>0.42551605393279146</v>
      </c>
      <c r="CX889" s="181">
        <f>INDEX('State Tax Lookup'!$D$7:$Z$91,MATCH(Calculation!$C889,'State Tax Lookup'!$B$7:$B$91,0),MATCH($H889,'State Tax Lookup'!$D$6:$Z$6,0))</f>
        <v>0.38574999999999998</v>
      </c>
      <c r="CY889" s="72">
        <v>0.37</v>
      </c>
      <c r="CZ889" s="70">
        <f t="shared" si="1618"/>
        <v>18.665447301845205</v>
      </c>
      <c r="DA889" s="70">
        <v>17.478615056163342</v>
      </c>
      <c r="DB889" s="69">
        <f t="shared" si="1622"/>
        <v>-4.1691968138523876E-2</v>
      </c>
      <c r="DC889" s="111">
        <f>VLOOKUP($H889,RoR!$E:$F,2,FALSE)</f>
        <v>5.3133333333333324E-2</v>
      </c>
      <c r="DD889" s="216">
        <f>HLOOKUP($H889,'GDP-PI'!$D$8:$CQ$11,3,FALSE)</f>
        <v>7.7972502758210105E-3</v>
      </c>
      <c r="DE889" s="111">
        <f>VLOOKUP(H889,'HW Dx Data'!$E:$F,2,FALSE)</f>
        <v>550.94063679692806</v>
      </c>
      <c r="DF889" s="72">
        <f t="shared" si="1633"/>
        <v>110.925</v>
      </c>
      <c r="DG889" s="69">
        <f t="shared" si="1634"/>
        <v>2.7649425000884052E-2</v>
      </c>
      <c r="DH889" s="66">
        <f>HLOOKUP(H889,'GDP-PI'!$8:$9,2,FALSE)</f>
        <v>94.998999999999995</v>
      </c>
      <c r="DI889" s="69">
        <f t="shared" si="1623"/>
        <v>7.7670088183096342E-3</v>
      </c>
      <c r="EB889"/>
    </row>
    <row r="890" spans="1:132" s="160" customFormat="1" ht="21">
      <c r="A890" s="160" t="s">
        <v>212</v>
      </c>
      <c r="B890" s="161" t="s">
        <v>212</v>
      </c>
      <c r="C890" s="161">
        <v>4063341</v>
      </c>
      <c r="D890" s="161" t="s">
        <v>213</v>
      </c>
      <c r="E890" s="161"/>
      <c r="F890" s="161"/>
      <c r="G890" s="161" t="s">
        <v>126</v>
      </c>
      <c r="H890" s="162">
        <v>2010</v>
      </c>
      <c r="I890" s="163"/>
      <c r="J890" s="159">
        <f>IFERROR(INDEX('Labor Expenditures'!$F$7:$X$91,MATCH($C890,'Labor Expenditures'!$D$7:$D$91,0),MATCH($G890,'Labor Expenditures'!$F$5:$X$5,0)),"NA")</f>
        <v>30317.849999375052</v>
      </c>
      <c r="K890" s="159">
        <f t="shared" si="1624"/>
        <v>259.29313662069745</v>
      </c>
      <c r="L890" s="165">
        <f t="shared" si="1631"/>
        <v>-8.5129650285040125E-3</v>
      </c>
      <c r="M890" s="76">
        <f t="shared" si="1635"/>
        <v>-1.0945586756176226E-4</v>
      </c>
      <c r="N890" s="62">
        <f t="shared" si="1641"/>
        <v>96.76330374376397</v>
      </c>
      <c r="O890" s="96">
        <f t="shared" si="1636"/>
        <v>-0.19576308880764354</v>
      </c>
      <c r="P890" s="96"/>
      <c r="Q890" s="159">
        <f>IFERROR(INDEX('Non-Labor Expenditures'!$F$7:$AB$91,MATCH($C890,'Non-Labor Expenditures'!$D$7:$D$91,0),MATCH($G890,'Non-Labor Expenditures'!$F$5:$AB$5,0)),"NA")</f>
        <v>43905.909392379697</v>
      </c>
      <c r="R890" s="159">
        <f t="shared" si="1625"/>
        <v>456.83452530335035</v>
      </c>
      <c r="S890" s="165">
        <f t="shared" si="1637"/>
        <v>3.2548842511322208E-2</v>
      </c>
      <c r="T890" s="165">
        <f t="shared" si="1638"/>
        <v>4.184983473183619E-4</v>
      </c>
      <c r="U890" s="165"/>
      <c r="V890" s="165"/>
      <c r="W890" s="159">
        <f t="shared" si="1606"/>
        <v>50726.818543952948</v>
      </c>
      <c r="X890" s="163"/>
      <c r="Y890" s="167">
        <v>2719.0307027253712</v>
      </c>
      <c r="Z890" s="168">
        <v>2.5610589234710001E-2</v>
      </c>
      <c r="AA890" s="76">
        <f t="shared" si="1626"/>
        <v>3.2928941374327778E-4</v>
      </c>
      <c r="AB890" s="168"/>
      <c r="AC890" s="168"/>
      <c r="AD890" s="163">
        <f t="shared" si="1526"/>
        <v>124950.5779357077</v>
      </c>
      <c r="AE890" s="168">
        <f t="shared" si="1639"/>
        <v>5.1250366203932356E-2</v>
      </c>
      <c r="AF890" s="163"/>
      <c r="AG890" s="163"/>
      <c r="AH890" s="163"/>
      <c r="AI890" s="163"/>
      <c r="AJ890" s="116">
        <f t="shared" si="1640"/>
        <v>371.85569249270935</v>
      </c>
      <c r="AK890" s="114">
        <f>+AV890/$AX$15</f>
        <v>9.4999095015153474E-3</v>
      </c>
      <c r="AL890" s="115">
        <f t="shared" si="1627"/>
        <v>0.24263873365175515</v>
      </c>
      <c r="AM890" s="115">
        <f t="shared" si="1628"/>
        <v>0.35138620499195389</v>
      </c>
      <c r="AN890" s="115">
        <f t="shared" si="1629"/>
        <v>0.40597506135629097</v>
      </c>
      <c r="AO890" s="115">
        <f t="shared" si="1632"/>
        <v>1.9748132282021973E-2</v>
      </c>
      <c r="AP890" s="166">
        <f t="shared" si="1643"/>
        <v>112.10791253876727</v>
      </c>
      <c r="AQ890" s="168">
        <f t="shared" si="1644"/>
        <v>1.9748132282021977E-2</v>
      </c>
      <c r="AR890" s="69">
        <f>+AD890/$AF$15</f>
        <v>1.2857549302184435E-2</v>
      </c>
      <c r="AS890" s="169">
        <f t="shared" si="1642"/>
        <v>2.5391258444215756E-4</v>
      </c>
      <c r="AT890" s="115"/>
      <c r="AU890" s="115"/>
      <c r="AV890" s="113">
        <f>IFERROR(INDEX('Total Customers'!$F$7:$AB$91,MATCH($C890,'Total Customers'!$D$7:$D$91,0),MATCH($G890,'Total Customers'!$F$5:$AB$5,0)),"NA")</f>
        <v>336019</v>
      </c>
      <c r="AW890" s="68">
        <f t="shared" si="1551"/>
        <v>4.6892844099740063E-3</v>
      </c>
      <c r="AX890" s="114"/>
      <c r="AY890" s="114"/>
      <c r="AZ890" s="116"/>
      <c r="BA890" s="116"/>
      <c r="BB890" s="166"/>
      <c r="BC890" s="166"/>
      <c r="BD890" s="166"/>
      <c r="BE890" s="166"/>
      <c r="BF890" s="166"/>
      <c r="BG890" s="166"/>
      <c r="BH890" s="166"/>
      <c r="BI890" s="113"/>
      <c r="BJ890" s="113"/>
      <c r="BK890" s="113">
        <f>INDEX('Dist. Plant Gas Additions'!$F$7:$AE$91,MATCH($C890,'Dist. Plant Gas Additions'!$D$7:$D$91,0),MATCH(Calculation!$G890,'Dist. Plant Gas Additions'!$F$5:$AE$5,0))</f>
        <v>48022</v>
      </c>
      <c r="BL890" s="113">
        <f>INDEX('Gen. Plant Additions'!$F$7:$AE$91,MATCH($C890,'Gen. Plant Additions'!$D$7:$D$91,0),MATCH(Calculation!$G890,'Gen. Plant Additions'!$F$5:$AE$5,0))</f>
        <v>1524</v>
      </c>
      <c r="BM890" s="231">
        <f t="shared" si="1607"/>
        <v>0.96465606162221096</v>
      </c>
      <c r="BN890" s="61">
        <f t="shared" si="1630"/>
        <v>1470.1358379122496</v>
      </c>
      <c r="BO890" s="113">
        <f>INDEX('Dist Plant Depreciation'!$E$7:$AD$94,MATCH($C890,'Dist Plant Depreciation'!$D$7:$D$94,0),MATCH(Calculation!$G890,'Dist Plant Depreciation'!$E$5:$AD$5,0))</f>
        <v>439314</v>
      </c>
      <c r="BP890" s="113">
        <f>INDEX('Gen. Plant Depreciation'!$E$7:$AD$94,MATCH($C890,'Gen. Plant Depreciation'!$D$7:$D$94,0),MATCH(Calculation!$G890,'Gen. Plant Depreciation'!$E$5:$AD$5,0))</f>
        <v>35432</v>
      </c>
      <c r="BQ890" s="113"/>
      <c r="BR890" s="113"/>
      <c r="BS890" s="113"/>
      <c r="BT890" s="113"/>
      <c r="BU890" s="113"/>
      <c r="BV890" s="175"/>
      <c r="BW890" s="113">
        <f>INDEX('Gross Dx Plant'!$E$7:$AD$91,MATCH($C890,'Gross Dx Plant'!$D$7:$D$91,0),MATCH(Calculation!$G890,'Gross Dx Plant'!$E$5:$AD$5,0))</f>
        <v>983845</v>
      </c>
      <c r="BX890" s="113">
        <f>INDEX('Gross Gen Plant'!$E$7:$AD$91,MATCH($C890,'Gross Gen Plant'!$D$7:$D$91,0),MATCH(Calculation!$G890,'Gross Gen Plant'!$E$5:$AD$5,0))</f>
        <v>36047</v>
      </c>
      <c r="BY890" s="113">
        <f t="shared" si="1605"/>
        <v>545146</v>
      </c>
      <c r="BZ890" s="113"/>
      <c r="CA890" s="116">
        <v>2010</v>
      </c>
      <c r="CB890" s="113"/>
      <c r="CC890" s="113"/>
      <c r="CD890" s="113"/>
      <c r="CE890" s="175"/>
      <c r="CF890" s="113">
        <f t="shared" si="1608"/>
        <v>49546</v>
      </c>
      <c r="CG890" s="113">
        <f t="shared" si="1609"/>
        <v>87.077177647411119</v>
      </c>
      <c r="CH890" s="178">
        <v>0.9285714285714286</v>
      </c>
      <c r="CI890" s="61">
        <f>+CI878*CH890+CG879*CH889+CG880*CH888+CG881*CH887+CG882*CH886+CG883*CH885+CG884*CH884+CG885*CH883+CG886*CH882+CG887*CH881+CG888*CH880+CG889*CH879+CG890</f>
        <v>2719.0307027253712</v>
      </c>
      <c r="CJ890" s="114">
        <f t="shared" si="1610"/>
        <v>2.5610589234710001E-2</v>
      </c>
      <c r="CK890" s="114"/>
      <c r="CL890" s="169">
        <f t="shared" si="1611"/>
        <v>6.9144967063457007E-3</v>
      </c>
      <c r="CM890" s="169">
        <f t="shared" si="1619"/>
        <v>6.7148595267567069E-3</v>
      </c>
      <c r="CN890" s="114">
        <f>VLOOKUP($H890,RoR!$E:$F,2,FALSE)</f>
        <v>4.9433333333333322E-2</v>
      </c>
      <c r="CO890" s="169">
        <v>1.1684333519300205E-2</v>
      </c>
      <c r="CP890" s="169">
        <f t="shared" si="1617"/>
        <v>3.7748999814033117E-2</v>
      </c>
      <c r="CQ890" s="169">
        <f t="shared" si="1620"/>
        <v>2.4187082081776917E-2</v>
      </c>
      <c r="CR890" s="169">
        <f t="shared" si="1621"/>
        <v>4.7937530248493419E-2</v>
      </c>
      <c r="CS890" s="179">
        <f t="shared" si="1612"/>
        <v>0.85727249999999999</v>
      </c>
      <c r="CT890" s="180">
        <f t="shared" si="1613"/>
        <v>1.037398205301105</v>
      </c>
      <c r="CU890" s="180">
        <f t="shared" si="1614"/>
        <v>0.46926837491571133</v>
      </c>
      <c r="CV890" s="180">
        <f t="shared" si="1615"/>
        <v>0.8548537519972772</v>
      </c>
      <c r="CW890" s="180">
        <f t="shared" si="1616"/>
        <v>0.41615833911547367</v>
      </c>
      <c r="CX890" s="181">
        <f>INDEX('State Tax Lookup'!$D$7:$Z$91,MATCH(Calculation!$C890,'State Tax Lookup'!$B$7:$B$91,0),MATCH($H890,'State Tax Lookup'!$D$6:$Z$6,0))</f>
        <v>0.38574999999999998</v>
      </c>
      <c r="CY890" s="72">
        <v>0.37</v>
      </c>
      <c r="CZ890" s="70">
        <f t="shared" si="1618"/>
        <v>19.140181482769616</v>
      </c>
      <c r="DA890" s="70">
        <v>17.956102603965455</v>
      </c>
      <c r="DB890" s="69">
        <f t="shared" si="1622"/>
        <v>2.5115791020290844E-2</v>
      </c>
      <c r="DC890" s="111">
        <f>VLOOKUP($H890,RoR!$E:$F,2,FALSE)</f>
        <v>4.9433333333333322E-2</v>
      </c>
      <c r="DD890" s="216">
        <f>HLOOKUP($H890,'GDP-PI'!$D$8:$CQ$11,3,FALSE)</f>
        <v>1.1684333519300205E-2</v>
      </c>
      <c r="DE890" s="111">
        <f>VLOOKUP(H890,'HW Dx Data'!$E:$F,2,FALSE)</f>
        <v>568.98950262971744</v>
      </c>
      <c r="DF890" s="72">
        <f t="shared" si="1633"/>
        <v>116.925</v>
      </c>
      <c r="DG890" s="69">
        <f t="shared" si="1634"/>
        <v>5.2678406346976722E-2</v>
      </c>
      <c r="DH890" s="66">
        <f>HLOOKUP(H890,'GDP-PI'!$8:$9,2,FALSE)</f>
        <v>96.108999999999995</v>
      </c>
      <c r="DI890" s="69">
        <f t="shared" si="1623"/>
        <v>1.1616598807150427E-2</v>
      </c>
      <c r="EB890"/>
    </row>
    <row r="891" spans="1:132" s="160" customFormat="1" ht="21">
      <c r="A891" s="160" t="s">
        <v>212</v>
      </c>
      <c r="B891" s="161" t="s">
        <v>212</v>
      </c>
      <c r="C891" s="161">
        <v>4063341</v>
      </c>
      <c r="D891" s="161" t="s">
        <v>213</v>
      </c>
      <c r="E891" s="161"/>
      <c r="F891" s="161"/>
      <c r="G891" s="161" t="s">
        <v>127</v>
      </c>
      <c r="H891" s="162">
        <v>2011</v>
      </c>
      <c r="I891" s="163"/>
      <c r="J891" s="159">
        <f>IFERROR(INDEX('Labor Expenditures'!$F$7:$X$91,MATCH($C891,'Labor Expenditures'!$D$7:$D$91,0),MATCH($G891,'Labor Expenditures'!$F$5:$X$5,0)),"NA")</f>
        <v>30267.994801800101</v>
      </c>
      <c r="K891" s="159">
        <f t="shared" si="1624"/>
        <v>250.40740270362028</v>
      </c>
      <c r="L891" s="165">
        <f t="shared" si="1631"/>
        <v>-3.4870021017441813E-2</v>
      </c>
      <c r="M891" s="76">
        <f t="shared" si="1635"/>
        <v>-4.4299783385363798E-4</v>
      </c>
      <c r="N891" s="62">
        <f t="shared" si="1641"/>
        <v>116.87822205357897</v>
      </c>
      <c r="O891" s="96">
        <f t="shared" si="1636"/>
        <v>0.18886472674947211</v>
      </c>
      <c r="P891" s="96"/>
      <c r="Q891" s="159">
        <f>IFERROR(INDEX('Non-Labor Expenditures'!$F$7:$AB$91,MATCH($C891,'Non-Labor Expenditures'!$D$7:$D$91,0),MATCH($G891,'Non-Labor Expenditures'!$F$5:$AB$5,0)),"NA")</f>
        <v>43833.70975462471</v>
      </c>
      <c r="R891" s="159">
        <f t="shared" si="1625"/>
        <v>446.77215584867002</v>
      </c>
      <c r="S891" s="165">
        <f t="shared" si="1637"/>
        <v>-2.227249006878251E-2</v>
      </c>
      <c r="T891" s="165">
        <f t="shared" si="1638"/>
        <v>-2.8295551786625134E-4</v>
      </c>
      <c r="U891" s="165"/>
      <c r="V891" s="165"/>
      <c r="W891" s="159">
        <f t="shared" si="1606"/>
        <v>55558.189335884264</v>
      </c>
      <c r="X891" s="163"/>
      <c r="Y891" s="167">
        <v>2802.5027629337633</v>
      </c>
      <c r="Z891" s="168">
        <v>3.0237404340797077E-2</v>
      </c>
      <c r="AA891" s="76">
        <f t="shared" si="1626"/>
        <v>3.8414386437075931E-4</v>
      </c>
      <c r="AB891" s="168"/>
      <c r="AC891" s="168"/>
      <c r="AD891" s="163">
        <f t="shared" si="1526"/>
        <v>129659.89389230908</v>
      </c>
      <c r="AE891" s="168">
        <f t="shared" si="1639"/>
        <v>3.6996538787138489E-2</v>
      </c>
      <c r="AF891" s="163"/>
      <c r="AG891" s="163"/>
      <c r="AH891" s="163"/>
      <c r="AI891" s="163"/>
      <c r="AJ891" s="116">
        <f t="shared" si="1640"/>
        <v>382.65816872951564</v>
      </c>
      <c r="AK891" s="114">
        <f>+AV891/$AX$16</f>
        <v>9.5334428611987942E-3</v>
      </c>
      <c r="AL891" s="115">
        <f t="shared" si="1627"/>
        <v>0.23344145898298843</v>
      </c>
      <c r="AM891" s="115">
        <f t="shared" si="1628"/>
        <v>0.338066833457626</v>
      </c>
      <c r="AN891" s="115">
        <f t="shared" si="1629"/>
        <v>0.42849170755938559</v>
      </c>
      <c r="AO891" s="115">
        <f t="shared" si="1632"/>
        <v>-3.3623265871298279E-3</v>
      </c>
      <c r="AP891" s="166">
        <f t="shared" si="1643"/>
        <v>111.73160211760083</v>
      </c>
      <c r="AQ891" s="168">
        <f t="shared" si="1644"/>
        <v>-3.3623265871298405E-3</v>
      </c>
      <c r="AR891" s="69">
        <f>+AD891/$AF$16</f>
        <v>1.2704260591986814E-2</v>
      </c>
      <c r="AS891" s="169">
        <f t="shared" si="1642"/>
        <v>-4.2715873158263154E-5</v>
      </c>
      <c r="AT891" s="115"/>
      <c r="AU891" s="115"/>
      <c r="AV891" s="113">
        <f>IFERROR(INDEX('Total Customers'!$F$7:$AB$91,MATCH($C891,'Total Customers'!$D$7:$D$91,0),MATCH($G891,'Total Customers'!$F$5:$AB$5,0)),"NA")</f>
        <v>338840</v>
      </c>
      <c r="AW891" s="68">
        <f t="shared" si="1551"/>
        <v>8.3603135798546342E-3</v>
      </c>
      <c r="AX891" s="114"/>
      <c r="AY891" s="114"/>
      <c r="AZ891" s="116"/>
      <c r="BA891" s="116"/>
      <c r="BB891" s="166"/>
      <c r="BC891" s="166"/>
      <c r="BD891" s="166"/>
      <c r="BE891" s="166"/>
      <c r="BF891" s="166"/>
      <c r="BG891" s="166"/>
      <c r="BH891" s="166"/>
      <c r="BI891" s="113"/>
      <c r="BJ891" s="113"/>
      <c r="BK891" s="113">
        <f>INDEX('Dist. Plant Gas Additions'!$F$7:$AE$91,MATCH($C891,'Dist. Plant Gas Additions'!$D$7:$D$91,0),MATCH(Calculation!$G891,'Dist. Plant Gas Additions'!$F$5:$AE$5,0))</f>
        <v>58176</v>
      </c>
      <c r="BL891" s="113">
        <f>INDEX('Gen. Plant Additions'!$F$7:$AE$91,MATCH($C891,'Gen. Plant Additions'!$D$7:$D$91,0),MATCH(Calculation!$G891,'Gen. Plant Additions'!$F$5:$AE$5,0))</f>
        <v>4743</v>
      </c>
      <c r="BM891" s="231">
        <f t="shared" si="1607"/>
        <v>0.96531425508610846</v>
      </c>
      <c r="BN891" s="61">
        <f t="shared" si="1630"/>
        <v>4578.4855118734122</v>
      </c>
      <c r="BO891" s="113">
        <f>INDEX('Dist Plant Depreciation'!$E$7:$AD$94,MATCH($C891,'Dist Plant Depreciation'!$D$7:$D$94,0),MATCH(Calculation!$G891,'Dist Plant Depreciation'!$E$5:$AD$5,0))</f>
        <v>473465</v>
      </c>
      <c r="BP891" s="113">
        <f>INDEX('Gen. Plant Depreciation'!$E$7:$AD$94,MATCH($C891,'Gen. Plant Depreciation'!$D$7:$D$94,0),MATCH(Calculation!$G891,'Gen. Plant Depreciation'!$E$5:$AD$5,0))</f>
        <v>40714</v>
      </c>
      <c r="BQ891" s="113"/>
      <c r="BR891" s="113"/>
      <c r="BS891" s="113"/>
      <c r="BT891" s="113"/>
      <c r="BU891" s="113"/>
      <c r="BV891" s="175"/>
      <c r="BW891" s="113">
        <f>INDEX('Gross Dx Plant'!$E$7:$AD$91,MATCH($C891,'Gross Dx Plant'!$D$7:$D$91,0),MATCH(Calculation!$G891,'Gross Dx Plant'!$E$5:$AD$5,0))</f>
        <v>1035565</v>
      </c>
      <c r="BX891" s="113">
        <f>INDEX('Gross Gen Plant'!$E$7:$AD$91,MATCH($C891,'Gross Gen Plant'!$D$7:$D$91,0),MATCH(Calculation!$G891,'Gross Gen Plant'!$E$5:$AD$5,0))</f>
        <v>37210</v>
      </c>
      <c r="BY891" s="113">
        <f t="shared" si="1605"/>
        <v>558596</v>
      </c>
      <c r="BZ891" s="113"/>
      <c r="CA891" s="116">
        <v>2011</v>
      </c>
      <c r="CB891" s="113"/>
      <c r="CC891" s="113"/>
      <c r="CD891" s="113"/>
      <c r="CE891" s="175"/>
      <c r="CF891" s="113">
        <f t="shared" si="1608"/>
        <v>62919</v>
      </c>
      <c r="CG891" s="113">
        <f t="shared" si="1609"/>
        <v>102.87419636246062</v>
      </c>
      <c r="CH891" s="178">
        <v>0.92121212121212126</v>
      </c>
      <c r="CI891" s="61">
        <f>+CI878*CH891+CG879*CH890+CG880*CH889+CG881*CH888+CG882*CH887+CG883*CH886+CG884*CH885+CG885*CH884+CG886*CH883+CG887*CH882+CG888*CH881+CG889*CH880+CG890*CH879+CG891</f>
        <v>2802.5027629337633</v>
      </c>
      <c r="CJ891" s="114">
        <f t="shared" si="1610"/>
        <v>3.0237404340797077E-2</v>
      </c>
      <c r="CK891" s="114"/>
      <c r="CL891" s="169">
        <f t="shared" si="1611"/>
        <v>7.1356811582234513E-3</v>
      </c>
      <c r="CM891" s="169">
        <f t="shared" si="1619"/>
        <v>6.9235396566707666E-3</v>
      </c>
      <c r="CN891" s="114">
        <f>VLOOKUP($H891,RoR!$E:$F,2,FALSE)</f>
        <v>4.6391666666666664E-2</v>
      </c>
      <c r="CO891" s="169">
        <v>2.0840920205183799E-2</v>
      </c>
      <c r="CP891" s="169">
        <f t="shared" si="1617"/>
        <v>2.5550746461482865E-2</v>
      </c>
      <c r="CQ891" s="169">
        <f t="shared" si="1620"/>
        <v>2.3978401951862859E-2</v>
      </c>
      <c r="CR891" s="169">
        <f t="shared" si="1621"/>
        <v>2.4810540821321614E-2</v>
      </c>
      <c r="CS891" s="179">
        <f t="shared" si="1612"/>
        <v>0.85727249999999999</v>
      </c>
      <c r="CT891" s="180">
        <f t="shared" si="1613"/>
        <v>1.1054151524782025</v>
      </c>
      <c r="CU891" s="180">
        <f t="shared" si="1614"/>
        <v>0.43611011316687626</v>
      </c>
      <c r="CV891" s="180">
        <f t="shared" si="1615"/>
        <v>0.83698442246886229</v>
      </c>
      <c r="CW891" s="180">
        <f t="shared" si="1616"/>
        <v>0.40349573304423936</v>
      </c>
      <c r="CX891" s="181">
        <f>INDEX('State Tax Lookup'!$D$7:$Z$91,MATCH(Calculation!$C891,'State Tax Lookup'!$B$7:$B$91,0),MATCH($H891,'State Tax Lookup'!$D$6:$Z$6,0))</f>
        <v>0.38574999999999998</v>
      </c>
      <c r="CY891" s="72">
        <v>0.37</v>
      </c>
      <c r="CZ891" s="70">
        <f t="shared" si="1618"/>
        <v>20.433086423112663</v>
      </c>
      <c r="DA891" s="70">
        <v>19.146574949201604</v>
      </c>
      <c r="DB891" s="69">
        <f t="shared" si="1622"/>
        <v>6.5365602665214378E-2</v>
      </c>
      <c r="DC891" s="111">
        <f>VLOOKUP($H891,RoR!$E:$F,2,FALSE)</f>
        <v>4.6391666666666664E-2</v>
      </c>
      <c r="DD891" s="216">
        <f>HLOOKUP($H891,'GDP-PI'!$D$8:$CQ$11,3,FALSE)</f>
        <v>2.0840920205183799E-2</v>
      </c>
      <c r="DE891" s="111">
        <f>VLOOKUP(H891,'HW Dx Data'!$E:$F,2,FALSE)</f>
        <v>611.61109612283201</v>
      </c>
      <c r="DF891" s="72">
        <f t="shared" si="1633"/>
        <v>120.875</v>
      </c>
      <c r="DG891" s="69">
        <f t="shared" si="1634"/>
        <v>3.3224250161508609E-2</v>
      </c>
      <c r="DH891" s="66">
        <f>HLOOKUP(H891,'GDP-PI'!$8:$9,2,FALSE)</f>
        <v>98.111999999999995</v>
      </c>
      <c r="DI891" s="69">
        <f t="shared" si="1623"/>
        <v>2.0626719212849295E-2</v>
      </c>
      <c r="EB891"/>
    </row>
    <row r="892" spans="1:132" s="160" customFormat="1" ht="21">
      <c r="A892" s="160" t="s">
        <v>212</v>
      </c>
      <c r="B892" s="161" t="s">
        <v>212</v>
      </c>
      <c r="C892" s="161">
        <v>4063341</v>
      </c>
      <c r="D892" s="161" t="s">
        <v>213</v>
      </c>
      <c r="E892" s="161"/>
      <c r="F892" s="161"/>
      <c r="G892" s="161" t="s">
        <v>128</v>
      </c>
      <c r="H892" s="162">
        <v>2012</v>
      </c>
      <c r="I892" s="163"/>
      <c r="J892" s="159">
        <f>IFERROR(INDEX('Labor Expenditures'!$F$7:$X$91,MATCH($C892,'Labor Expenditures'!$D$7:$D$91,0),MATCH($G892,'Labor Expenditures'!$F$5:$X$5,0)),"NA")</f>
        <v>28996.13897955589</v>
      </c>
      <c r="K892" s="159">
        <f t="shared" si="1624"/>
        <v>232.34085720797987</v>
      </c>
      <c r="L892" s="165">
        <f t="shared" si="1631"/>
        <v>-7.4883696768267033E-2</v>
      </c>
      <c r="M892" s="76">
        <f t="shared" si="1635"/>
        <v>-9.306851493170482E-4</v>
      </c>
      <c r="N892" s="62">
        <f t="shared" si="1641"/>
        <v>115.96135046068075</v>
      </c>
      <c r="O892" s="96">
        <f t="shared" si="1636"/>
        <v>-7.8756056978229079E-3</v>
      </c>
      <c r="P892" s="96"/>
      <c r="Q892" s="159">
        <f>IFERROR(INDEX('Non-Labor Expenditures'!$F$7:$AB$91,MATCH($C892,'Non-Labor Expenditures'!$D$7:$D$91,0),MATCH($G892,'Non-Labor Expenditures'!$F$5:$AB$5,0)),"NA")</f>
        <v>41991.824974115007</v>
      </c>
      <c r="R892" s="159">
        <f t="shared" si="1625"/>
        <v>419.91824974115008</v>
      </c>
      <c r="S892" s="165">
        <f t="shared" si="1637"/>
        <v>-6.1988697345140627E-2</v>
      </c>
      <c r="T892" s="165">
        <f t="shared" si="1638"/>
        <v>-7.7042083303076531E-4</v>
      </c>
      <c r="U892" s="165"/>
      <c r="V892" s="165"/>
      <c r="W892" s="159">
        <f t="shared" si="1606"/>
        <v>61921.839267483345</v>
      </c>
      <c r="X892" s="163"/>
      <c r="Y892" s="167">
        <v>2862.6905084252708</v>
      </c>
      <c r="Z892" s="168">
        <v>2.1249057981962687E-2</v>
      </c>
      <c r="AA892" s="76">
        <f t="shared" si="1626"/>
        <v>2.6409196599879912E-4</v>
      </c>
      <c r="AB892" s="168"/>
      <c r="AC892" s="168"/>
      <c r="AD892" s="163">
        <f t="shared" si="1526"/>
        <v>132909.80322115426</v>
      </c>
      <c r="AE892" s="168">
        <f t="shared" si="1639"/>
        <v>2.4755905496882405E-2</v>
      </c>
      <c r="AF892" s="163"/>
      <c r="AG892" s="163"/>
      <c r="AH892" s="163"/>
      <c r="AI892" s="163"/>
      <c r="AJ892" s="116">
        <f t="shared" si="1640"/>
        <v>387.59496898930695</v>
      </c>
      <c r="AK892" s="114">
        <f>+AV892/$AX$17</f>
        <v>9.6016903907690226E-3</v>
      </c>
      <c r="AL892" s="115">
        <f t="shared" si="1627"/>
        <v>0.21816403513372135</v>
      </c>
      <c r="AM892" s="115">
        <f t="shared" si="1628"/>
        <v>0.31594227029471278</v>
      </c>
      <c r="AN892" s="115">
        <f t="shared" si="1629"/>
        <v>0.46589369457156571</v>
      </c>
      <c r="AO892" s="115">
        <f t="shared" si="1632"/>
        <v>-2.7677107002843947E-2</v>
      </c>
      <c r="AP892" s="166">
        <f t="shared" si="1643"/>
        <v>108.6815969648445</v>
      </c>
      <c r="AQ892" s="168">
        <f t="shared" si="1644"/>
        <v>-2.7677107002843902E-2</v>
      </c>
      <c r="AR892" s="69">
        <f>+AD892/$AF$17</f>
        <v>1.2428408178046019E-2</v>
      </c>
      <c r="AS892" s="169">
        <f t="shared" si="1642"/>
        <v>-3.4398238301879989E-4</v>
      </c>
      <c r="AT892" s="115"/>
      <c r="AU892" s="115"/>
      <c r="AV892" s="113">
        <f>IFERROR(INDEX('Total Customers'!$F$7:$AB$91,MATCH($C892,'Total Customers'!$D$7:$D$91,0),MATCH($G892,'Total Customers'!$F$5:$AB$5,0)),"NA")</f>
        <v>342909</v>
      </c>
      <c r="AW892" s="68">
        <f t="shared" si="1551"/>
        <v>1.1937086280245554E-2</v>
      </c>
      <c r="AX892" s="114"/>
      <c r="AY892" s="114"/>
      <c r="AZ892" s="116"/>
      <c r="BA892" s="116"/>
      <c r="BB892" s="166"/>
      <c r="BC892" s="166"/>
      <c r="BD892" s="166"/>
      <c r="BE892" s="166"/>
      <c r="BF892" s="166"/>
      <c r="BG892" s="166"/>
      <c r="BH892" s="166"/>
      <c r="BI892" s="113"/>
      <c r="BJ892" s="113"/>
      <c r="BK892" s="113">
        <f>INDEX('Dist. Plant Gas Additions'!$F$7:$AE$91,MATCH($C892,'Dist. Plant Gas Additions'!$D$7:$D$91,0),MATCH(Calculation!$G892,'Dist. Plant Gas Additions'!$F$5:$AE$5,0))</f>
        <v>53089</v>
      </c>
      <c r="BL892" s="113">
        <f>INDEX('Gen. Plant Additions'!$F$7:$AE$91,MATCH($C892,'Gen. Plant Additions'!$D$7:$D$91,0),MATCH(Calculation!$G892,'Gen. Plant Additions'!$F$5:$AE$5,0))</f>
        <v>955</v>
      </c>
      <c r="BM892" s="231">
        <f t="shared" si="1607"/>
        <v>0.96594476148520747</v>
      </c>
      <c r="BN892" s="61">
        <f t="shared" si="1630"/>
        <v>922.47724721837312</v>
      </c>
      <c r="BO892" s="113">
        <f>INDEX('Dist Plant Depreciation'!$E$7:$AD$94,MATCH($C892,'Dist Plant Depreciation'!$D$7:$D$94,0),MATCH(Calculation!$G892,'Dist Plant Depreciation'!$E$5:$AD$5,0))</f>
        <v>536373</v>
      </c>
      <c r="BP892" s="113">
        <f>INDEX('Gen. Plant Depreciation'!$E$7:$AD$94,MATCH($C892,'Gen. Plant Depreciation'!$D$7:$D$94,0),MATCH(Calculation!$G892,'Gen. Plant Depreciation'!$E$5:$AD$5,0))</f>
        <v>20578</v>
      </c>
      <c r="BQ892" s="113"/>
      <c r="BR892" s="113"/>
      <c r="BS892" s="113"/>
      <c r="BT892" s="113"/>
      <c r="BU892" s="113"/>
      <c r="BV892" s="175"/>
      <c r="BW892" s="113">
        <f>INDEX('Gross Dx Plant'!$E$7:$AD$91,MATCH($C892,'Gross Dx Plant'!$D$7:$D$91,0),MATCH(Calculation!$G892,'Gross Dx Plant'!$E$5:$AD$5,0))</f>
        <v>1100724</v>
      </c>
      <c r="BX892" s="113">
        <f>INDEX('Gross Gen Plant'!$E$7:$AD$91,MATCH($C892,'Gross Gen Plant'!$D$7:$D$91,0),MATCH(Calculation!$G892,'Gross Gen Plant'!$E$5:$AD$5,0))</f>
        <v>38807</v>
      </c>
      <c r="BY892" s="113">
        <f t="shared" si="1605"/>
        <v>582580</v>
      </c>
      <c r="BZ892" s="113"/>
      <c r="CA892" s="116">
        <v>2012</v>
      </c>
      <c r="CB892" s="113"/>
      <c r="CC892" s="113"/>
      <c r="CD892" s="113"/>
      <c r="CE892" s="175"/>
      <c r="CF892" s="113">
        <f t="shared" si="1608"/>
        <v>54044</v>
      </c>
      <c r="CG892" s="113">
        <f t="shared" si="1609"/>
        <v>80.793001806727531</v>
      </c>
      <c r="CH892" s="178">
        <v>0.9135802469135802</v>
      </c>
      <c r="CI892" s="61">
        <f>+CI878*CH892+CG879*CH891+CG880*CH890+CG881*CH889+CG882*CH888+CG883*CH887+CG884*CH886+CG885*CH885+CG886*CH884+CG887*CH883+CG888*CH882+CG889*CH881+CG890*CH880+CG891*CH879+CG892</f>
        <v>2862.6905084252708</v>
      </c>
      <c r="CJ892" s="114">
        <f t="shared" si="1610"/>
        <v>2.1249057981962687E-2</v>
      </c>
      <c r="CK892" s="114"/>
      <c r="CL892" s="169">
        <f t="shared" si="1611"/>
        <v>7.3524481715942017E-3</v>
      </c>
      <c r="CM892" s="169">
        <f t="shared" si="1619"/>
        <v>7.1342086787211179E-3</v>
      </c>
      <c r="CN892" s="114">
        <f>VLOOKUP($H892,RoR!$E:$F,2,FALSE)</f>
        <v>3.6733333333333333E-2</v>
      </c>
      <c r="CO892" s="169">
        <v>1.924331376386168E-2</v>
      </c>
      <c r="CP892" s="169">
        <f t="shared" si="1617"/>
        <v>1.7490019569471653E-2</v>
      </c>
      <c r="CQ892" s="169">
        <f t="shared" si="1620"/>
        <v>2.3767732929812508E-2</v>
      </c>
      <c r="CR892" s="169">
        <f t="shared" si="1621"/>
        <v>6.7122682943869583E-2</v>
      </c>
      <c r="CS892" s="179">
        <f t="shared" si="1612"/>
        <v>0.85727249999999999</v>
      </c>
      <c r="CT892" s="180">
        <f t="shared" si="1613"/>
        <v>1.3960631020522127</v>
      </c>
      <c r="CU892" s="180">
        <f t="shared" si="1614"/>
        <v>0.29441923774954631</v>
      </c>
      <c r="CV892" s="180">
        <f t="shared" si="1615"/>
        <v>0.76377954189366437</v>
      </c>
      <c r="CW892" s="180">
        <f t="shared" si="1616"/>
        <v>0.31393465103033691</v>
      </c>
      <c r="CX892" s="181">
        <f>INDEX('State Tax Lookup'!$D$7:$Z$91,MATCH(Calculation!$C892,'State Tax Lookup'!$B$7:$B$91,0),MATCH($H892,'State Tax Lookup'!$D$6:$Z$6,0))</f>
        <v>0.38574999999999998</v>
      </c>
      <c r="CY892" s="72">
        <v>0.37</v>
      </c>
      <c r="CZ892" s="70">
        <f t="shared" si="1618"/>
        <v>22.095192941990636</v>
      </c>
      <c r="DA892" s="70">
        <v>20.759737328210988</v>
      </c>
      <c r="DB892" s="69">
        <f t="shared" si="1622"/>
        <v>7.8204600423582696E-2</v>
      </c>
      <c r="DC892" s="111">
        <f>VLOOKUP($H892,RoR!$E:$F,2,FALSE)</f>
        <v>3.6733333333333333E-2</v>
      </c>
      <c r="DD892" s="216">
        <f>HLOOKUP($H892,'GDP-PI'!$D$8:$CQ$11,3,FALSE)</f>
        <v>1.924331376386168E-2</v>
      </c>
      <c r="DE892" s="111">
        <f>VLOOKUP(H892,'HW Dx Data'!$E:$F,2,FALSE)</f>
        <v>668.91932211262167</v>
      </c>
      <c r="DF892" s="72">
        <f t="shared" si="1633"/>
        <v>124.80000000000001</v>
      </c>
      <c r="DG892" s="69">
        <f t="shared" si="1634"/>
        <v>3.1955502161869064E-2</v>
      </c>
      <c r="DH892" s="66">
        <f>HLOOKUP(H892,'GDP-PI'!$8:$9,2,FALSE)</f>
        <v>100</v>
      </c>
      <c r="DI892" s="69">
        <f t="shared" si="1623"/>
        <v>1.9060502738742411E-2</v>
      </c>
      <c r="EB892"/>
    </row>
    <row r="893" spans="1:132" s="160" customFormat="1" ht="21">
      <c r="A893" s="160" t="s">
        <v>212</v>
      </c>
      <c r="B893" s="161" t="s">
        <v>212</v>
      </c>
      <c r="C893" s="161">
        <v>4063341</v>
      </c>
      <c r="D893" s="161" t="s">
        <v>213</v>
      </c>
      <c r="E893" s="161"/>
      <c r="F893" s="161"/>
      <c r="G893" s="161" t="s">
        <v>129</v>
      </c>
      <c r="H893" s="162">
        <v>2013</v>
      </c>
      <c r="I893" s="163"/>
      <c r="J893" s="159">
        <f>IFERROR(INDEX('Labor Expenditures'!$F$7:$X$91,MATCH($C893,'Labor Expenditures'!$D$7:$D$91,0),MATCH($G893,'Labor Expenditures'!$F$5:$X$5,0)),"NA")</f>
        <v>31498.845400426508</v>
      </c>
      <c r="K893" s="159">
        <f t="shared" si="1624"/>
        <v>248.41360725888413</v>
      </c>
      <c r="L893" s="165">
        <f t="shared" si="1631"/>
        <v>6.6889622650567346E-2</v>
      </c>
      <c r="M893" s="76">
        <f t="shared" si="1635"/>
        <v>8.3997216019463525E-4</v>
      </c>
      <c r="N893" s="62">
        <f t="shared" si="1641"/>
        <v>106.19141271909774</v>
      </c>
      <c r="O893" s="96">
        <f t="shared" si="1636"/>
        <v>-8.80137038842181E-2</v>
      </c>
      <c r="P893" s="96"/>
      <c r="Q893" s="159">
        <f>IFERROR(INDEX('Non-Labor Expenditures'!$F$7:$AB$91,MATCH($C893,'Non-Labor Expenditures'!$D$7:$D$91,0),MATCH($G893,'Non-Labor Expenditures'!$F$5:$AB$5,0)),"NA")</f>
        <v>45616.211312616491</v>
      </c>
      <c r="R893" s="159">
        <f t="shared" si="1625"/>
        <v>448.21525662618274</v>
      </c>
      <c r="S893" s="165">
        <f t="shared" si="1637"/>
        <v>6.5213551701854916E-2</v>
      </c>
      <c r="T893" s="165">
        <f t="shared" si="1638"/>
        <v>8.189247558344088E-4</v>
      </c>
      <c r="U893" s="165"/>
      <c r="V893" s="165"/>
      <c r="W893" s="159">
        <f t="shared" si="1606"/>
        <v>62164.057038451647</v>
      </c>
      <c r="X893" s="163"/>
      <c r="Y893" s="167">
        <v>2971.4237789688141</v>
      </c>
      <c r="Z893" s="168">
        <v>3.7279304976163372E-2</v>
      </c>
      <c r="AA893" s="76">
        <f t="shared" si="1626"/>
        <v>4.6813806223672825E-4</v>
      </c>
      <c r="AB893" s="168"/>
      <c r="AC893" s="168"/>
      <c r="AD893" s="163">
        <f t="shared" si="1526"/>
        <v>139279.11375149465</v>
      </c>
      <c r="AE893" s="168">
        <f t="shared" si="1639"/>
        <v>4.6809205478776823E-2</v>
      </c>
      <c r="AF893" s="163"/>
      <c r="AG893" s="163"/>
      <c r="AH893" s="163"/>
      <c r="AI893" s="163"/>
      <c r="AJ893" s="116">
        <f t="shared" si="1640"/>
        <v>400.95666471338569</v>
      </c>
      <c r="AK893" s="114">
        <f>+AV893/$AX$18</f>
        <v>9.6645272478754381E-3</v>
      </c>
      <c r="AL893" s="115">
        <f t="shared" si="1627"/>
        <v>0.22615627391647217</v>
      </c>
      <c r="AM893" s="115">
        <f t="shared" si="1628"/>
        <v>0.32751652479643217</v>
      </c>
      <c r="AN893" s="115">
        <f t="shared" si="1629"/>
        <v>0.44632720128709569</v>
      </c>
      <c r="AO893" s="115">
        <f t="shared" si="1632"/>
        <v>5.2844806096192284E-2</v>
      </c>
      <c r="AP893" s="166">
        <f t="shared" si="1643"/>
        <v>114.57931432765849</v>
      </c>
      <c r="AQ893" s="168">
        <f t="shared" si="1644"/>
        <v>5.284480609619234E-2</v>
      </c>
      <c r="AR893" s="69">
        <f>+AD893/$AF$18</f>
        <v>1.2557585570226128E-2</v>
      </c>
      <c r="AS893" s="169">
        <f t="shared" si="1642"/>
        <v>6.6360317449494261E-4</v>
      </c>
      <c r="AT893" s="115"/>
      <c r="AU893" s="115"/>
      <c r="AV893" s="113">
        <f>IFERROR(INDEX('Total Customers'!$F$7:$AB$91,MATCH($C893,'Total Customers'!$D$7:$D$91,0),MATCH($G893,'Total Customers'!$F$5:$AB$5,0)),"NA")</f>
        <v>347367</v>
      </c>
      <c r="AW893" s="68">
        <f t="shared" si="1551"/>
        <v>1.2916752087022015E-2</v>
      </c>
      <c r="AX893" s="114"/>
      <c r="AY893" s="114"/>
      <c r="AZ893" s="116"/>
      <c r="BA893" s="116"/>
      <c r="BB893" s="166"/>
      <c r="BC893" s="166"/>
      <c r="BD893" s="166"/>
      <c r="BE893" s="166"/>
      <c r="BF893" s="166"/>
      <c r="BG893" s="166"/>
      <c r="BH893" s="166"/>
      <c r="BI893" s="113"/>
      <c r="BJ893" s="113"/>
      <c r="BK893" s="113">
        <f>INDEX('Dist. Plant Gas Additions'!$F$7:$AE$91,MATCH($C893,'Dist. Plant Gas Additions'!$D$7:$D$91,0),MATCH(Calculation!$G893,'Dist. Plant Gas Additions'!$F$5:$AE$5,0))</f>
        <v>82623</v>
      </c>
      <c r="BL893" s="113">
        <f>INDEX('Gen. Plant Additions'!$F$7:$AE$91,MATCH($C893,'Gen. Plant Additions'!$D$7:$D$91,0),MATCH(Calculation!$G893,'Gen. Plant Additions'!$F$5:$AE$5,0))</f>
        <v>3921</v>
      </c>
      <c r="BM893" s="231">
        <f t="shared" si="1607"/>
        <v>0.96499030245501438</v>
      </c>
      <c r="BN893" s="61">
        <f t="shared" si="1630"/>
        <v>3783.7269759261112</v>
      </c>
      <c r="BO893" s="113">
        <f>INDEX('Dist Plant Depreciation'!$E$7:$AD$94,MATCH($C893,'Dist Plant Depreciation'!$D$7:$D$94,0),MATCH(Calculation!$G893,'Dist Plant Depreciation'!$E$5:$AD$5,0))</f>
        <v>553400</v>
      </c>
      <c r="BP893" s="113">
        <f>INDEX('Gen. Plant Depreciation'!$E$7:$AD$94,MATCH($C893,'Gen. Plant Depreciation'!$D$7:$D$94,0),MATCH(Calculation!$G893,'Gen. Plant Depreciation'!$E$5:$AD$5,0))</f>
        <v>42296</v>
      </c>
      <c r="BQ893" s="113"/>
      <c r="BR893" s="113"/>
      <c r="BS893" s="113"/>
      <c r="BT893" s="113"/>
      <c r="BU893" s="113"/>
      <c r="BV893" s="175"/>
      <c r="BW893" s="113">
        <f>INDEX('Gross Dx Plant'!$E$7:$AD$91,MATCH($C893,'Gross Dx Plant'!$D$7:$D$91,0),MATCH(Calculation!$G893,'Gross Dx Plant'!$E$5:$AD$5,0))</f>
        <v>1175198</v>
      </c>
      <c r="BX893" s="113">
        <f>INDEX('Gross Gen Plant'!$E$7:$AD$91,MATCH($C893,'Gross Gen Plant'!$D$7:$D$91,0),MATCH(Calculation!$G893,'Gross Gen Plant'!$E$5:$AD$5,0))</f>
        <v>42636</v>
      </c>
      <c r="BY893" s="113">
        <f t="shared" si="1605"/>
        <v>622138</v>
      </c>
      <c r="BZ893" s="113"/>
      <c r="CA893" s="116">
        <v>2013</v>
      </c>
      <c r="CB893" s="113"/>
      <c r="CC893" s="113"/>
      <c r="CD893" s="113"/>
      <c r="CE893" s="175"/>
      <c r="CF893" s="113">
        <f t="shared" si="1608"/>
        <v>86544</v>
      </c>
      <c r="CG893" s="113">
        <f t="shared" si="1609"/>
        <v>130.48504796071899</v>
      </c>
      <c r="CH893" s="178">
        <v>0.90566037735849059</v>
      </c>
      <c r="CI893" s="61">
        <f>+CI878*CH893+CG879*CH892+CG880*CH891+CG881*CH890+CG882*CH889+CG883*CH888+CG884*CH887+CG885*CH886+CG886*CH885+CG887*CH884+CG888*CH883+CG889*CH882+CG890*CH881+CG891*CH880+CG892*CH879+CG893</f>
        <v>2971.4237789688141</v>
      </c>
      <c r="CJ893" s="114">
        <f t="shared" si="1610"/>
        <v>3.7279304976163372E-2</v>
      </c>
      <c r="CK893" s="114"/>
      <c r="CL893" s="169">
        <f t="shared" si="1611"/>
        <v>7.5983685114256547E-3</v>
      </c>
      <c r="CM893" s="169">
        <f t="shared" si="1619"/>
        <v>7.3621659470811023E-3</v>
      </c>
      <c r="CN893" s="114">
        <f>VLOOKUP($H893,RoR!$E:$F,2,FALSE)</f>
        <v>4.2350000000000006E-2</v>
      </c>
      <c r="CO893" s="169">
        <v>1.7730000000000024E-2</v>
      </c>
      <c r="CP893" s="169">
        <f t="shared" si="1617"/>
        <v>2.4619999999999982E-2</v>
      </c>
      <c r="CQ893" s="169">
        <f t="shared" si="1620"/>
        <v>2.3539775661452524E-2</v>
      </c>
      <c r="CR893" s="169">
        <f t="shared" si="1621"/>
        <v>5.3376742735721204E-2</v>
      </c>
      <c r="CS893" s="179">
        <f t="shared" si="1612"/>
        <v>0.85727249999999999</v>
      </c>
      <c r="CT893" s="180">
        <f t="shared" si="1613"/>
        <v>1.2109103018193925</v>
      </c>
      <c r="CU893" s="180">
        <f t="shared" si="1614"/>
        <v>0.38468122786304604</v>
      </c>
      <c r="CV893" s="180">
        <f t="shared" si="1615"/>
        <v>0.80969194503422559</v>
      </c>
      <c r="CW893" s="180">
        <f t="shared" si="1616"/>
        <v>0.37716621754800816</v>
      </c>
      <c r="CX893" s="181">
        <f>INDEX('State Tax Lookup'!$D$7:$Z$91,MATCH(Calculation!$C893,'State Tax Lookup'!$B$7:$B$91,0),MATCH($H893,'State Tax Lookup'!$D$6:$Z$6,0))</f>
        <v>0.38574999999999998</v>
      </c>
      <c r="CY893" s="72">
        <v>0.37</v>
      </c>
      <c r="CZ893" s="70">
        <f t="shared" si="1618"/>
        <v>21.715255929865535</v>
      </c>
      <c r="DA893" s="70">
        <v>20.339519021246105</v>
      </c>
      <c r="DB893" s="69">
        <f t="shared" si="1622"/>
        <v>-1.7345019153597045E-2</v>
      </c>
      <c r="DC893" s="111">
        <f>VLOOKUP($H893,RoR!$E:$F,2,FALSE)</f>
        <v>4.2350000000000006E-2</v>
      </c>
      <c r="DD893" s="216">
        <f>HLOOKUP($H893,'GDP-PI'!$D$8:$CQ$11,3,FALSE)</f>
        <v>1.7730000000000024E-2</v>
      </c>
      <c r="DE893" s="111">
        <f>VLOOKUP(H893,'HW Dx Data'!$E:$F,2,FALSE)</f>
        <v>663.24840548821396</v>
      </c>
      <c r="DF893" s="72">
        <f t="shared" si="1633"/>
        <v>126.8</v>
      </c>
      <c r="DG893" s="69">
        <f t="shared" si="1634"/>
        <v>1.5898586067798204E-2</v>
      </c>
      <c r="DH893" s="66">
        <f>HLOOKUP(H893,'GDP-PI'!$8:$9,2,FALSE)</f>
        <v>101.773</v>
      </c>
      <c r="DI893" s="69">
        <f t="shared" si="1623"/>
        <v>1.7574657016510519E-2</v>
      </c>
      <c r="EB893"/>
    </row>
    <row r="894" spans="1:132" s="160" customFormat="1" ht="21">
      <c r="A894" s="160" t="s">
        <v>212</v>
      </c>
      <c r="B894" s="161" t="s">
        <v>212</v>
      </c>
      <c r="C894" s="161">
        <v>4063341</v>
      </c>
      <c r="D894" s="161" t="s">
        <v>213</v>
      </c>
      <c r="E894" s="161"/>
      <c r="F894" s="161"/>
      <c r="G894" s="161" t="s">
        <v>130</v>
      </c>
      <c r="H894" s="162">
        <v>2014</v>
      </c>
      <c r="I894" s="163"/>
      <c r="J894" s="159">
        <f>IFERROR(INDEX('Labor Expenditures'!$F$7:$X$91,MATCH($C894,'Labor Expenditures'!$D$7:$D$91,0),MATCH($G894,'Labor Expenditures'!$F$5:$X$5,0)),"NA")</f>
        <v>31734.670799491338</v>
      </c>
      <c r="K894" s="159">
        <f t="shared" si="1624"/>
        <v>245.24475115526536</v>
      </c>
      <c r="L894" s="165">
        <f t="shared" si="1631"/>
        <v>-1.2838431984932862E-2</v>
      </c>
      <c r="M894" s="76">
        <f t="shared" si="1635"/>
        <v>-1.6206337334950317E-4</v>
      </c>
      <c r="N894" s="62">
        <f t="shared" si="1641"/>
        <v>118.84959775451424</v>
      </c>
      <c r="O894" s="96">
        <f t="shared" si="1636"/>
        <v>0.11261556330048014</v>
      </c>
      <c r="P894" s="96"/>
      <c r="Q894" s="159">
        <f>IFERROR(INDEX('Non-Labor Expenditures'!$F$7:$AB$91,MATCH($C894,'Non-Labor Expenditures'!$D$7:$D$91,0),MATCH($G894,'Non-Labor Expenditures'!$F$5:$AB$5,0)),"NA")</f>
        <v>45957.730536571216</v>
      </c>
      <c r="R894" s="159">
        <f t="shared" si="1625"/>
        <v>443.40627839272929</v>
      </c>
      <c r="S894" s="165">
        <f t="shared" si="1637"/>
        <v>-1.0787143819514249E-2</v>
      </c>
      <c r="T894" s="165">
        <f t="shared" si="1638"/>
        <v>-1.3616934826997609E-4</v>
      </c>
      <c r="U894" s="165"/>
      <c r="V894" s="165"/>
      <c r="W894" s="159">
        <f t="shared" si="1606"/>
        <v>66020.599682384753</v>
      </c>
      <c r="X894" s="163"/>
      <c r="Y894" s="167">
        <v>3054.9761460733321</v>
      </c>
      <c r="Z894" s="168">
        <v>2.7730559630148002E-2</v>
      </c>
      <c r="AA894" s="76">
        <f t="shared" si="1626"/>
        <v>3.5005116230748466E-4</v>
      </c>
      <c r="AB894" s="168"/>
      <c r="AC894" s="168"/>
      <c r="AD894" s="163">
        <f t="shared" si="1526"/>
        <v>143713.00101844731</v>
      </c>
      <c r="AE894" s="168">
        <f t="shared" si="1639"/>
        <v>3.1338329960101746E-2</v>
      </c>
      <c r="AF894" s="163"/>
      <c r="AG894" s="163"/>
      <c r="AH894" s="163"/>
      <c r="AI894" s="163"/>
      <c r="AJ894" s="116">
        <f t="shared" si="1640"/>
        <v>406.08019999391729</v>
      </c>
      <c r="AK894" s="114">
        <f>+AV894/$AX$19</f>
        <v>9.7937572314481264E-3</v>
      </c>
      <c r="AL894" s="115">
        <f t="shared" si="1627"/>
        <v>0.22081976282311305</v>
      </c>
      <c r="AM894" s="115">
        <f t="shared" si="1628"/>
        <v>0.3197882600104634</v>
      </c>
      <c r="AN894" s="115">
        <f t="shared" si="1629"/>
        <v>0.45939197716642355</v>
      </c>
      <c r="AO894" s="115">
        <f t="shared" si="1632"/>
        <v>6.1975292154631267E-3</v>
      </c>
      <c r="AP894" s="166">
        <f t="shared" si="1643"/>
        <v>115.29162798809409</v>
      </c>
      <c r="AQ894" s="168">
        <f t="shared" si="1644"/>
        <v>6.1975292154630565E-3</v>
      </c>
      <c r="AR894" s="69">
        <f>+AD894/$AF$19</f>
        <v>1.262329960073786E-2</v>
      </c>
      <c r="AS894" s="169">
        <f t="shared" si="1642"/>
        <v>7.8233268071116027E-5</v>
      </c>
      <c r="AT894" s="115"/>
      <c r="AU894" s="115"/>
      <c r="AV894" s="113">
        <f>IFERROR(INDEX('Total Customers'!$F$7:$AB$91,MATCH($C894,'Total Customers'!$D$7:$D$91,0),MATCH($G894,'Total Customers'!$F$5:$AB$5,0)),"NA")</f>
        <v>353903</v>
      </c>
      <c r="AW894" s="68">
        <f t="shared" si="1551"/>
        <v>1.8641006355766276E-2</v>
      </c>
      <c r="AX894" s="114"/>
      <c r="AY894" s="114"/>
      <c r="AZ894" s="116"/>
      <c r="BA894" s="116"/>
      <c r="BB894" s="166"/>
      <c r="BC894" s="166"/>
      <c r="BD894" s="166"/>
      <c r="BE894" s="166"/>
      <c r="BF894" s="166"/>
      <c r="BG894" s="166"/>
      <c r="BH894" s="166"/>
      <c r="BI894" s="113"/>
      <c r="BJ894" s="113"/>
      <c r="BK894" s="113">
        <f>INDEX('Dist. Plant Gas Additions'!$F$7:$AE$91,MATCH($C894,'Dist. Plant Gas Additions'!$D$7:$D$91,0),MATCH(Calculation!$G894,'Dist. Plant Gas Additions'!$F$5:$AE$5,0))</f>
        <v>68179</v>
      </c>
      <c r="BL894" s="113">
        <f>INDEX('Gen. Plant Additions'!$F$7:$AE$91,MATCH($C894,'Gen. Plant Additions'!$D$7:$D$91,0),MATCH(Calculation!$G894,'Gen. Plant Additions'!$F$5:$AE$5,0))</f>
        <v>4889</v>
      </c>
      <c r="BM894" s="231">
        <f t="shared" si="1607"/>
        <v>0.97132746083673271</v>
      </c>
      <c r="BN894" s="61">
        <f t="shared" si="1630"/>
        <v>4748.8199560307867</v>
      </c>
      <c r="BO894" s="113">
        <f>INDEX('Dist Plant Depreciation'!$E$7:$AD$94,MATCH($C894,'Dist Plant Depreciation'!$D$7:$D$94,0),MATCH(Calculation!$G894,'Dist Plant Depreciation'!$E$5:$AD$5,0))</f>
        <v>591363</v>
      </c>
      <c r="BP894" s="113">
        <f>INDEX('Gen. Plant Depreciation'!$E$7:$AD$94,MATCH($C894,'Gen. Plant Depreciation'!$D$7:$D$94,0),MATCH(Calculation!$G894,'Gen. Plant Depreciation'!$E$5:$AD$5,0))</f>
        <v>39163</v>
      </c>
      <c r="BQ894" s="113"/>
      <c r="BR894" s="113"/>
      <c r="BS894" s="113"/>
      <c r="BT894" s="113"/>
      <c r="BU894" s="113"/>
      <c r="BV894" s="175"/>
      <c r="BW894" s="113">
        <f>INDEX('Gross Dx Plant'!$E$7:$AD$91,MATCH($C894,'Gross Dx Plant'!$D$7:$D$91,0),MATCH(Calculation!$G894,'Gross Dx Plant'!$E$5:$AD$5,0))</f>
        <v>1238426</v>
      </c>
      <c r="BX894" s="113">
        <f>INDEX('Gross Gen Plant'!$E$7:$AD$91,MATCH($C894,'Gross Gen Plant'!$D$7:$D$91,0),MATCH(Calculation!$G894,'Gross Gen Plant'!$E$5:$AD$5,0))</f>
        <v>36557</v>
      </c>
      <c r="BY894" s="113">
        <f t="shared" si="1605"/>
        <v>644457</v>
      </c>
      <c r="BZ894" s="113"/>
      <c r="CA894" s="116">
        <v>2014</v>
      </c>
      <c r="CB894" s="113"/>
      <c r="CC894" s="113"/>
      <c r="CD894" s="113"/>
      <c r="CE894" s="175"/>
      <c r="CF894" s="113">
        <f t="shared" si="1608"/>
        <v>73068</v>
      </c>
      <c r="CG894" s="113">
        <f t="shared" si="1609"/>
        <v>106.75134264740247</v>
      </c>
      <c r="CH894" s="178">
        <v>0.89743589743589747</v>
      </c>
      <c r="CI894" s="61">
        <f>+CI878*CH894+CG879*CH893+CG880*CH892+CG881*CH891+CG882*CH890+CG883*CH889+CG884*CH888+CG885*CH887+CG886*CH886+CG887*CH885+CG888*CH884+CG889*CH883+CG890*CH882+CG891*CH881+CG892*CH880+CG893*CH879+CG894</f>
        <v>3054.9761460733321</v>
      </c>
      <c r="CJ894" s="114">
        <f t="shared" si="1610"/>
        <v>2.7730559630148002E-2</v>
      </c>
      <c r="CK894" s="114"/>
      <c r="CL894" s="169">
        <f t="shared" si="1611"/>
        <v>7.8073601305483622E-3</v>
      </c>
      <c r="CM894" s="169">
        <f t="shared" si="1619"/>
        <v>7.5860589378560729E-3</v>
      </c>
      <c r="CN894" s="114">
        <f>VLOOKUP($H894,RoR!$E:$F,2,FALSE)</f>
        <v>4.1625000000000002E-2</v>
      </c>
      <c r="CO894" s="169">
        <v>1.841352814597208E-2</v>
      </c>
      <c r="CP894" s="169">
        <f t="shared" si="1617"/>
        <v>2.3211471854027922E-2</v>
      </c>
      <c r="CQ894" s="169">
        <f t="shared" si="1620"/>
        <v>2.3315882670677551E-2</v>
      </c>
      <c r="CR894" s="169">
        <f t="shared" si="1621"/>
        <v>3.9072621432650924E-2</v>
      </c>
      <c r="CS894" s="179">
        <f t="shared" si="1612"/>
        <v>0.85727249999999999</v>
      </c>
      <c r="CT894" s="180">
        <f t="shared" si="1613"/>
        <v>1.2320012320012319</v>
      </c>
      <c r="CU894" s="180">
        <f t="shared" si="1614"/>
        <v>0.37439939939939942</v>
      </c>
      <c r="CV894" s="180">
        <f t="shared" si="1615"/>
        <v>0.80432100613819935</v>
      </c>
      <c r="CW894" s="180">
        <f t="shared" si="1616"/>
        <v>0.37100152660040037</v>
      </c>
      <c r="CX894" s="181">
        <f>INDEX('State Tax Lookup'!$D$7:$Z$91,MATCH(Calculation!$C894,'State Tax Lookup'!$B$7:$B$91,0),MATCH($H894,'State Tax Lookup'!$D$6:$Z$6,0))</f>
        <v>0.38574999999999998</v>
      </c>
      <c r="CY894" s="72">
        <v>0.37</v>
      </c>
      <c r="CZ894" s="70">
        <f t="shared" si="1618"/>
        <v>22.218506882009326</v>
      </c>
      <c r="DA894" s="70">
        <v>20.763592984765573</v>
      </c>
      <c r="DB894" s="69">
        <f t="shared" si="1622"/>
        <v>2.2910533150931618E-2</v>
      </c>
      <c r="DC894" s="111">
        <f>VLOOKUP($H894,RoR!$E:$F,2,FALSE)</f>
        <v>4.1625000000000002E-2</v>
      </c>
      <c r="DD894" s="216">
        <f>HLOOKUP($H894,'GDP-PI'!$D$8:$CQ$11,3,FALSE)</f>
        <v>1.841352814597208E-2</v>
      </c>
      <c r="DE894" s="111">
        <f>VLOOKUP(H894,'HW Dx Data'!$E:$F,2,FALSE)</f>
        <v>684.46914285042885</v>
      </c>
      <c r="DF894" s="72">
        <f t="shared" si="1633"/>
        <v>129.4</v>
      </c>
      <c r="DG894" s="69">
        <f t="shared" si="1634"/>
        <v>2.0297340063674733E-2</v>
      </c>
      <c r="DH894" s="66">
        <f>HLOOKUP(H894,'GDP-PI'!$8:$9,2,FALSE)</f>
        <v>103.64700000000001</v>
      </c>
      <c r="DI894" s="69">
        <f t="shared" si="1623"/>
        <v>1.8246051898256087E-2</v>
      </c>
      <c r="EB894"/>
    </row>
    <row r="895" spans="1:132" s="160" customFormat="1" ht="21">
      <c r="A895" s="160" t="s">
        <v>212</v>
      </c>
      <c r="B895" s="161" t="s">
        <v>212</v>
      </c>
      <c r="C895" s="161">
        <v>4063341</v>
      </c>
      <c r="D895" s="161" t="s">
        <v>213</v>
      </c>
      <c r="E895" s="161"/>
      <c r="F895" s="161"/>
      <c r="G895" s="161" t="s">
        <v>132</v>
      </c>
      <c r="H895" s="162">
        <v>2015</v>
      </c>
      <c r="I895" s="163"/>
      <c r="J895" s="159">
        <f>IFERROR(INDEX('Labor Expenditures'!$F$7:$X$91,MATCH($C895,'Labor Expenditures'!$D$7:$D$91,0),MATCH($G895,'Labor Expenditures'!$F$5:$X$5,0)),"NA")</f>
        <v>32988.470061060958</v>
      </c>
      <c r="K895" s="159">
        <f t="shared" si="1624"/>
        <v>247.10464465214201</v>
      </c>
      <c r="L895" s="165">
        <f t="shared" si="1631"/>
        <v>7.5552132684347968E-3</v>
      </c>
      <c r="M895" s="76">
        <f t="shared" si="1635"/>
        <v>9.675586138751739E-5</v>
      </c>
      <c r="N895" s="62">
        <f t="shared" si="1641"/>
        <v>118.42187444745817</v>
      </c>
      <c r="O895" s="96">
        <f t="shared" si="1636"/>
        <v>-3.6053535336770825E-3</v>
      </c>
      <c r="P895" s="96"/>
      <c r="Q895" s="159">
        <f>IFERROR(INDEX('Non-Labor Expenditures'!$F$7:$AB$91,MATCH($C895,'Non-Labor Expenditures'!$D$7:$D$91,0),MATCH($G895,'Non-Labor Expenditures'!$F$5:$AB$5,0)),"NA")</f>
        <v>47773.466044723769</v>
      </c>
      <c r="R895" s="159">
        <f t="shared" si="1625"/>
        <v>456.55507071669047</v>
      </c>
      <c r="S895" s="165">
        <f t="shared" si="1637"/>
        <v>2.9222872856496059E-2</v>
      </c>
      <c r="T895" s="165">
        <f t="shared" si="1638"/>
        <v>3.7424280890404872E-4</v>
      </c>
      <c r="U895" s="165"/>
      <c r="V895" s="165"/>
      <c r="W895" s="159">
        <f t="shared" si="1606"/>
        <v>66478.491561266259</v>
      </c>
      <c r="X895" s="163"/>
      <c r="Y895" s="167">
        <v>3174.4063551220484</v>
      </c>
      <c r="Z895" s="168">
        <v>3.8348855664212658E-2</v>
      </c>
      <c r="AA895" s="76">
        <f t="shared" si="1626"/>
        <v>4.9111473510861793E-4</v>
      </c>
      <c r="AB895" s="168"/>
      <c r="AC895" s="168"/>
      <c r="AD895" s="163">
        <f t="shared" si="1526"/>
        <v>147240.42766705097</v>
      </c>
      <c r="AE895" s="168">
        <f t="shared" si="1639"/>
        <v>2.4248550735173912E-2</v>
      </c>
      <c r="AF895" s="163"/>
      <c r="AG895" s="163"/>
      <c r="AH895" s="163"/>
      <c r="AI895" s="163"/>
      <c r="AJ895" s="116">
        <f t="shared" si="1640"/>
        <v>407.66721025934845</v>
      </c>
      <c r="AK895" s="114">
        <f>+AV895/$AX$20</f>
        <v>9.9138093832729906E-3</v>
      </c>
      <c r="AL895" s="115">
        <f t="shared" si="1627"/>
        <v>0.22404492151881342</v>
      </c>
      <c r="AM895" s="115">
        <f t="shared" si="1628"/>
        <v>0.3244588921783903</v>
      </c>
      <c r="AN895" s="115">
        <f t="shared" si="1629"/>
        <v>0.45149618630279637</v>
      </c>
      <c r="AO895" s="115">
        <f t="shared" si="1632"/>
        <v>2.8559659444746789E-2</v>
      </c>
      <c r="AP895" s="166">
        <f t="shared" si="1643"/>
        <v>118.63178749781537</v>
      </c>
      <c r="AQ895" s="168">
        <f t="shared" si="1644"/>
        <v>2.8559659444746741E-2</v>
      </c>
      <c r="AR895" s="69">
        <f>+AD895/$AF$20</f>
        <v>1.2806502999955971E-2</v>
      </c>
      <c r="AS895" s="169">
        <f t="shared" si="1642"/>
        <v>3.6574936435687004E-4</v>
      </c>
      <c r="AT895" s="115"/>
      <c r="AU895" s="115"/>
      <c r="AV895" s="113">
        <f>IFERROR(INDEX('Total Customers'!$F$7:$AB$91,MATCH($C895,'Total Customers'!$D$7:$D$91,0),MATCH($G895,'Total Customers'!$F$5:$AB$5,0)),"NA")</f>
        <v>361178</v>
      </c>
      <c r="AW895" s="68">
        <f t="shared" si="1551"/>
        <v>2.0348047317309555E-2</v>
      </c>
      <c r="AX895" s="114"/>
      <c r="AY895" s="114"/>
      <c r="AZ895" s="116"/>
      <c r="BA895" s="116"/>
      <c r="BB895" s="166"/>
      <c r="BC895" s="166"/>
      <c r="BD895" s="166"/>
      <c r="BE895" s="166"/>
      <c r="BF895" s="166"/>
      <c r="BG895" s="166"/>
      <c r="BH895" s="166"/>
      <c r="BI895" s="113"/>
      <c r="BJ895" s="113"/>
      <c r="BK895" s="113">
        <f>INDEX('Dist. Plant Gas Additions'!$F$7:$AE$91,MATCH($C895,'Dist. Plant Gas Additions'!$D$7:$D$91,0),MATCH(Calculation!$G895,'Dist. Plant Gas Additions'!$F$5:$AE$5,0))</f>
        <v>92874</v>
      </c>
      <c r="BL895" s="113">
        <f>INDEX('Gen. Plant Additions'!$F$7:$AE$91,MATCH($C895,'Gen. Plant Additions'!$D$7:$D$91,0),MATCH(Calculation!$G895,'Gen. Plant Additions'!$F$5:$AE$5,0))</f>
        <v>4430</v>
      </c>
      <c r="BM895" s="231">
        <f t="shared" si="1607"/>
        <v>0.96552171019772814</v>
      </c>
      <c r="BN895" s="61">
        <f t="shared" si="1630"/>
        <v>4277.2611761759354</v>
      </c>
      <c r="BO895" s="113">
        <f>INDEX('Dist Plant Depreciation'!$E$7:$AD$94,MATCH($C895,'Dist Plant Depreciation'!$D$7:$D$94,0),MATCH(Calculation!$G895,'Dist Plant Depreciation'!$E$5:$AD$5,0))</f>
        <v>632212</v>
      </c>
      <c r="BP895" s="113">
        <f>INDEX('Gen. Plant Depreciation'!$E$7:$AD$94,MATCH($C895,'Gen. Plant Depreciation'!$D$7:$D$94,0),MATCH(Calculation!$G895,'Gen. Plant Depreciation'!$E$5:$AD$5,0))</f>
        <v>36385</v>
      </c>
      <c r="BQ895" s="113"/>
      <c r="BR895" s="113"/>
      <c r="BS895" s="113"/>
      <c r="BT895" s="113"/>
      <c r="BU895" s="113"/>
      <c r="BV895" s="175"/>
      <c r="BW895" s="113">
        <f>INDEX('Gross Dx Plant'!$E$7:$AD$91,MATCH($C895,'Gross Dx Plant'!$D$7:$D$91,0),MATCH(Calculation!$G895,'Gross Dx Plant'!$E$5:$AD$5,0))</f>
        <v>1326146</v>
      </c>
      <c r="BX895" s="113">
        <f>INDEX('Gross Gen Plant'!$E$7:$AD$91,MATCH($C895,'Gross Gen Plant'!$D$7:$D$91,0),MATCH(Calculation!$G895,'Gross Gen Plant'!$E$5:$AD$5,0))</f>
        <v>47356</v>
      </c>
      <c r="BY895" s="113">
        <f t="shared" si="1605"/>
        <v>704905</v>
      </c>
      <c r="BZ895" s="113"/>
      <c r="CA895" s="116">
        <v>2015</v>
      </c>
      <c r="CB895" s="113"/>
      <c r="CC895" s="113"/>
      <c r="CD895" s="113"/>
      <c r="CE895" s="175"/>
      <c r="CF895" s="113">
        <f t="shared" si="1608"/>
        <v>97304</v>
      </c>
      <c r="CG895" s="113">
        <f t="shared" si="1609"/>
        <v>144.02293146826986</v>
      </c>
      <c r="CH895" s="178">
        <v>0.88888888888888884</v>
      </c>
      <c r="CI895" s="61">
        <f>+CI878*CH895+CG879*CH894+CG880*CH893+CG881*CH892+CG882*CH891+CG883*CH890+CG884*CH889+CG885*CH888+CG886*CH887+CG887*CH886+CG888*CH885+CG889*CH884+CG890*CH883+CG891*CH882+CG892*CH881+CG893*CH880+CG894*CH879+CG895</f>
        <v>3174.4063551220484</v>
      </c>
      <c r="CJ895" s="114">
        <f t="shared" si="1610"/>
        <v>3.8348855664212658E-2</v>
      </c>
      <c r="CK895" s="114"/>
      <c r="CL895" s="169">
        <f t="shared" si="1611"/>
        <v>8.0500538281333134E-3</v>
      </c>
      <c r="CM895" s="169">
        <f t="shared" si="1619"/>
        <v>7.8185941567024426E-3</v>
      </c>
      <c r="CN895" s="114">
        <f>VLOOKUP($H895,RoR!$E:$F,2,FALSE)</f>
        <v>3.8866666666666674E-2</v>
      </c>
      <c r="CO895" s="169">
        <v>9.5709475431029478E-3</v>
      </c>
      <c r="CP895" s="169">
        <f t="shared" si="1617"/>
        <v>2.9295719123563727E-2</v>
      </c>
      <c r="CQ895" s="169">
        <f t="shared" si="1620"/>
        <v>2.3083347451831181E-2</v>
      </c>
      <c r="CR895" s="169">
        <f t="shared" si="1621"/>
        <v>3.5270373279175926E-3</v>
      </c>
      <c r="CS895" s="179">
        <f t="shared" si="1612"/>
        <v>0.85727249999999999</v>
      </c>
      <c r="CT895" s="180">
        <f t="shared" si="1613"/>
        <v>1.3194352816994324</v>
      </c>
      <c r="CU895" s="180">
        <f t="shared" si="1614"/>
        <v>0.33177530017152673</v>
      </c>
      <c r="CV895" s="180">
        <f t="shared" si="1615"/>
        <v>0.78242572977668579</v>
      </c>
      <c r="CW895" s="180">
        <f t="shared" si="1616"/>
        <v>0.34251158643433932</v>
      </c>
      <c r="CX895" s="181">
        <f>INDEX('State Tax Lookup'!$D$7:$Z$91,MATCH(Calculation!$C895,'State Tax Lookup'!$B$7:$B$91,0),MATCH($H895,'State Tax Lookup'!$D$6:$Z$6,0))</f>
        <v>0.38574999999999998</v>
      </c>
      <c r="CY895" s="72">
        <v>0.37</v>
      </c>
      <c r="CZ895" s="70">
        <f t="shared" si="1618"/>
        <v>21.760723613738651</v>
      </c>
      <c r="DA895" s="70">
        <v>20.279488671080099</v>
      </c>
      <c r="DB895" s="69">
        <f t="shared" si="1622"/>
        <v>-2.0818909181707038E-2</v>
      </c>
      <c r="DC895" s="111">
        <f>VLOOKUP($H895,RoR!$E:$F,2,FALSE)</f>
        <v>3.8866666666666674E-2</v>
      </c>
      <c r="DD895" s="216">
        <f>HLOOKUP($H895,'GDP-PI'!$D$8:$CQ$11,3,FALSE)</f>
        <v>9.5709475431029478E-3</v>
      </c>
      <c r="DE895" s="111">
        <f>VLOOKUP(H895,'HW Dx Data'!$E:$F,2,FALSE)</f>
        <v>675.61463308665782</v>
      </c>
      <c r="DF895" s="72">
        <f t="shared" si="1633"/>
        <v>133.5</v>
      </c>
      <c r="DG895" s="69">
        <f t="shared" si="1634"/>
        <v>3.1193095773504077E-2</v>
      </c>
      <c r="DH895" s="66">
        <f>HLOOKUP(H895,'GDP-PI'!$8:$9,2,FALSE)</f>
        <v>104.639</v>
      </c>
      <c r="DI895" s="69">
        <f t="shared" si="1623"/>
        <v>9.5254361854427965E-3</v>
      </c>
      <c r="EB895"/>
    </row>
    <row r="896" spans="1:132" s="160" customFormat="1" ht="21">
      <c r="A896" s="160" t="s">
        <v>212</v>
      </c>
      <c r="B896" s="161" t="s">
        <v>212</v>
      </c>
      <c r="C896" s="161">
        <v>4063341</v>
      </c>
      <c r="D896" s="161" t="s">
        <v>213</v>
      </c>
      <c r="E896" s="161"/>
      <c r="F896" s="161"/>
      <c r="G896" s="161" t="s">
        <v>133</v>
      </c>
      <c r="H896" s="162">
        <v>2016</v>
      </c>
      <c r="I896" s="163"/>
      <c r="J896" s="159">
        <f>IFERROR(INDEX('Labor Expenditures'!$F$7:$X$91,MATCH($C896,'Labor Expenditures'!$D$7:$D$91,0),MATCH($G896,'Labor Expenditures'!$F$5:$X$5,0)),"NA")</f>
        <v>35605.765951955444</v>
      </c>
      <c r="K896" s="159">
        <f t="shared" si="1624"/>
        <v>259.99098906137601</v>
      </c>
      <c r="L896" s="165">
        <f t="shared" si="1631"/>
        <v>5.0835063491083833E-2</v>
      </c>
      <c r="M896" s="76">
        <f t="shared" si="1635"/>
        <v>6.6293367961248694E-4</v>
      </c>
      <c r="N896" s="62">
        <f t="shared" si="1641"/>
        <v>293.70065241918445</v>
      </c>
      <c r="O896" s="96">
        <f t="shared" si="1636"/>
        <v>0.90830760379521247</v>
      </c>
      <c r="P896" s="96"/>
      <c r="Q896" s="159">
        <f>IFERROR(INDEX('Non-Labor Expenditures'!$F$7:$AB$91,MATCH($C896,'Non-Labor Expenditures'!$D$7:$D$91,0),MATCH($G896,'Non-Labor Expenditures'!$F$5:$AB$5,0)),"NA")</f>
        <v>51563.799338180586</v>
      </c>
      <c r="R896" s="159">
        <f t="shared" si="1625"/>
        <v>487.66550028543338</v>
      </c>
      <c r="S896" s="165">
        <f t="shared" si="1637"/>
        <v>6.592039099266174E-2</v>
      </c>
      <c r="T896" s="165">
        <f t="shared" si="1638"/>
        <v>8.5965954129129697E-4</v>
      </c>
      <c r="U896" s="165"/>
      <c r="V896" s="165"/>
      <c r="W896" s="159">
        <f t="shared" si="1606"/>
        <v>67987.408474846539</v>
      </c>
      <c r="X896" s="163"/>
      <c r="Y896" s="167">
        <v>3321.3850552074337</v>
      </c>
      <c r="Z896" s="168">
        <v>4.5261241136262217E-2</v>
      </c>
      <c r="AA896" s="76">
        <f t="shared" si="1626"/>
        <v>5.9024616218986527E-4</v>
      </c>
      <c r="AB896" s="168"/>
      <c r="AC896" s="168"/>
      <c r="AD896" s="163">
        <f t="shared" ref="AD896:AD962" si="1645">+J896+Q896+W896</f>
        <v>155156.97376498257</v>
      </c>
      <c r="AE896" s="168">
        <f t="shared" si="1639"/>
        <v>5.2370525353664904E-2</v>
      </c>
      <c r="AF896" s="163"/>
      <c r="AG896" s="163"/>
      <c r="AH896" s="163"/>
      <c r="AI896" s="163"/>
      <c r="AJ896" s="116">
        <f t="shared" si="1640"/>
        <v>419.03399320226583</v>
      </c>
      <c r="AK896" s="114">
        <f>+AV896/$AX$21</f>
        <v>1.0075627410687323E-2</v>
      </c>
      <c r="AL896" s="115">
        <f t="shared" si="1627"/>
        <v>0.22948221461117027</v>
      </c>
      <c r="AM896" s="115">
        <f t="shared" si="1628"/>
        <v>0.33233310812238875</v>
      </c>
      <c r="AN896" s="115">
        <f t="shared" si="1629"/>
        <v>0.438184677266441</v>
      </c>
      <c r="AO896" s="115">
        <f t="shared" si="1632"/>
        <v>5.3309563160551077E-2</v>
      </c>
      <c r="AP896" s="166">
        <f t="shared" si="1643"/>
        <v>125.12760249246622</v>
      </c>
      <c r="AQ896" s="168">
        <f t="shared" si="1644"/>
        <v>5.3309563160551098E-2</v>
      </c>
      <c r="AR896" s="69">
        <f>+AD896/$AF$21</f>
        <v>1.30408744296889E-2</v>
      </c>
      <c r="AS896" s="169">
        <f t="shared" si="1642"/>
        <v>6.9520331907831621E-4</v>
      </c>
      <c r="AT896" s="115"/>
      <c r="AU896" s="115"/>
      <c r="AV896" s="113">
        <f>IFERROR(INDEX('Total Customers'!$F$7:$AB$91,MATCH($C896,'Total Customers'!$D$7:$D$91,0),MATCH($G896,'Total Customers'!$F$5:$AB$5,0)),"NA")</f>
        <v>370273</v>
      </c>
      <c r="AW896" s="68">
        <f t="shared" si="1551"/>
        <v>2.486965980389674E-2</v>
      </c>
      <c r="AX896" s="114"/>
      <c r="AY896" s="114"/>
      <c r="AZ896" s="116"/>
      <c r="BA896" s="116"/>
      <c r="BB896" s="166"/>
      <c r="BC896" s="166"/>
      <c r="BD896" s="166"/>
      <c r="BE896" s="166"/>
      <c r="BF896" s="166"/>
      <c r="BG896" s="166"/>
      <c r="BH896" s="166"/>
      <c r="BI896" s="113"/>
      <c r="BJ896" s="113"/>
      <c r="BK896" s="113">
        <f>INDEX('Dist. Plant Gas Additions'!$F$7:$AE$91,MATCH($C896,'Dist. Plant Gas Additions'!$D$7:$D$91,0),MATCH(Calculation!$G896,'Dist. Plant Gas Additions'!$F$5:$AE$5,0))</f>
        <v>111742</v>
      </c>
      <c r="BL896" s="113">
        <f>INDEX('Gen. Plant Additions'!$F$7:$AE$91,MATCH($C896,'Gen. Plant Additions'!$D$7:$D$91,0),MATCH(Calculation!$G896,'Gen. Plant Additions'!$F$5:$AE$5,0))</f>
        <v>4565</v>
      </c>
      <c r="BM896" s="231">
        <f t="shared" si="1607"/>
        <v>0.9735420827894784</v>
      </c>
      <c r="BN896" s="61">
        <f t="shared" si="1630"/>
        <v>4444.2196079339692</v>
      </c>
      <c r="BO896" s="113">
        <f>INDEX('Dist Plant Depreciation'!$E$7:$AD$94,MATCH($C896,'Dist Plant Depreciation'!$D$7:$D$94,0),MATCH(Calculation!$G896,'Dist Plant Depreciation'!$E$5:$AD$5,0))</f>
        <v>659288</v>
      </c>
      <c r="BP896" s="113">
        <f>INDEX('Gen. Plant Depreciation'!$E$7:$AD$94,MATCH($C896,'Gen. Plant Depreciation'!$D$7:$D$94,0),MATCH(Calculation!$G896,'Gen. Plant Depreciation'!$E$5:$AD$5,0))</f>
        <v>27669</v>
      </c>
      <c r="BQ896" s="113"/>
      <c r="BR896" s="113"/>
      <c r="BS896" s="113"/>
      <c r="BT896" s="113"/>
      <c r="BU896" s="113"/>
      <c r="BV896" s="175"/>
      <c r="BW896" s="113">
        <f>INDEX('Gross Dx Plant'!$E$7:$AD$91,MATCH($C896,'Gross Dx Plant'!$D$7:$D$91,0),MATCH(Calculation!$G896,'Gross Dx Plant'!$E$5:$AD$5,0))</f>
        <v>1429078</v>
      </c>
      <c r="BX896" s="113">
        <f>INDEX('Gross Gen Plant'!$E$7:$AD$91,MATCH($C896,'Gross Gen Plant'!$D$7:$D$91,0),MATCH(Calculation!$G896,'Gross Gen Plant'!$E$5:$AD$5,0))</f>
        <v>38838</v>
      </c>
      <c r="BY896" s="113">
        <f t="shared" si="1605"/>
        <v>780959</v>
      </c>
      <c r="BZ896" s="113"/>
      <c r="CA896" s="116">
        <v>2016</v>
      </c>
      <c r="CB896" s="113"/>
      <c r="CC896" s="113"/>
      <c r="CD896" s="113"/>
      <c r="CE896" s="175"/>
      <c r="CF896" s="113">
        <f t="shared" si="1608"/>
        <v>116307</v>
      </c>
      <c r="CG896" s="113">
        <f t="shared" si="1609"/>
        <v>173.21601382248525</v>
      </c>
      <c r="CH896" s="178">
        <v>0.88</v>
      </c>
      <c r="CI896" s="61">
        <f>+CI878*CH896+CG879*CH895+CG880*CH894+CG881*CH893+CG882*CH892+CG883*CH891+CG884*CH890+CG885*CH889+CG886*CH888+CG887*CH887+CG888*CH886+CG889*CH885+CG890*CH884+CG891*CH883+CG892*CH882+CG893*CH881+CG894*CH880+CG895*CH879+CG896</f>
        <v>3321.3850552074337</v>
      </c>
      <c r="CJ896" s="114">
        <f t="shared" si="1610"/>
        <v>4.5261241136262217E-2</v>
      </c>
      <c r="CK896" s="114"/>
      <c r="CL896" s="169">
        <f t="shared" si="1611"/>
        <v>8.2652662582926289E-3</v>
      </c>
      <c r="CM896" s="169">
        <f t="shared" si="1619"/>
        <v>8.0408934056581029E-3</v>
      </c>
      <c r="CN896" s="114">
        <f>VLOOKUP($H896,RoR!$E:$F,2,FALSE)</f>
        <v>3.6658333333333334E-2</v>
      </c>
      <c r="CO896" s="169">
        <v>1.0483662879041455E-2</v>
      </c>
      <c r="CP896" s="169">
        <f t="shared" si="1617"/>
        <v>2.6174670454291879E-2</v>
      </c>
      <c r="CQ896" s="169">
        <f t="shared" si="1620"/>
        <v>2.2861048202875524E-2</v>
      </c>
      <c r="CR896" s="169">
        <f t="shared" si="1621"/>
        <v>4.301363574220729E-3</v>
      </c>
      <c r="CS896" s="179">
        <f t="shared" si="1612"/>
        <v>0.85727249999999999</v>
      </c>
      <c r="CT896" s="180">
        <f t="shared" si="1613"/>
        <v>1.3989193348138562</v>
      </c>
      <c r="CU896" s="180">
        <f t="shared" si="1614"/>
        <v>0.29302682427824522</v>
      </c>
      <c r="CV896" s="180">
        <f t="shared" si="1615"/>
        <v>0.76309497491941802</v>
      </c>
      <c r="CW896" s="180">
        <f t="shared" si="1616"/>
        <v>0.31280857135128509</v>
      </c>
      <c r="CX896" s="181">
        <f>INDEX('State Tax Lookup'!$D$7:$Z$91,MATCH(Calculation!$C896,'State Tax Lookup'!$B$7:$B$91,0),MATCH($H896,'State Tax Lookup'!$D$6:$Z$6,0))</f>
        <v>0.38574999999999998</v>
      </c>
      <c r="CY896" s="72">
        <v>0.37</v>
      </c>
      <c r="CZ896" s="70">
        <f t="shared" si="1618"/>
        <v>21.417361506079956</v>
      </c>
      <c r="DA896" s="70">
        <v>19.909765876209278</v>
      </c>
      <c r="DB896" s="69">
        <f t="shared" si="1622"/>
        <v>-1.5904797298087778E-2</v>
      </c>
      <c r="DC896" s="111">
        <f>VLOOKUP($H896,RoR!$E:$F,2,FALSE)</f>
        <v>3.6658333333333334E-2</v>
      </c>
      <c r="DD896" s="216">
        <f>HLOOKUP($H896,'GDP-PI'!$D$8:$CQ$11,3,FALSE)</f>
        <v>1.0483662879041455E-2</v>
      </c>
      <c r="DE896" s="111">
        <f>VLOOKUP(H896,'HW Dx Data'!$E:$F,2,FALSE)</f>
        <v>671.45639385971219</v>
      </c>
      <c r="DF896" s="72">
        <f t="shared" si="1633"/>
        <v>136.94999999999999</v>
      </c>
      <c r="DG896" s="69">
        <f t="shared" si="1634"/>
        <v>2.5514417868782811E-2</v>
      </c>
      <c r="DH896" s="66">
        <f>HLOOKUP(H896,'GDP-PI'!$8:$9,2,FALSE)</f>
        <v>105.736</v>
      </c>
      <c r="DI896" s="69">
        <f t="shared" si="1623"/>
        <v>1.0429090367205095E-2</v>
      </c>
      <c r="EB896"/>
    </row>
    <row r="897" spans="1:132" s="160" customFormat="1" ht="21">
      <c r="A897" s="160" t="s">
        <v>212</v>
      </c>
      <c r="B897" s="161" t="s">
        <v>212</v>
      </c>
      <c r="C897" s="161">
        <v>4063341</v>
      </c>
      <c r="D897" s="161" t="s">
        <v>213</v>
      </c>
      <c r="E897" s="161"/>
      <c r="F897" s="161"/>
      <c r="G897" s="161" t="s">
        <v>135</v>
      </c>
      <c r="H897" s="162">
        <v>2017</v>
      </c>
      <c r="I897" s="163"/>
      <c r="J897" s="159">
        <f>IFERROR(INDEX('Labor Expenditures'!$F$7:$X$91,MATCH($C897,'Labor Expenditures'!$D$7:$D$91,0),MATCH($G897,'Labor Expenditures'!$F$5:$X$5,0)),"NA")</f>
        <v>35069.038711156834</v>
      </c>
      <c r="K897" s="159">
        <f t="shared" si="1624"/>
        <v>249.69055686120925</v>
      </c>
      <c r="L897" s="165">
        <f t="shared" si="1631"/>
        <v>-4.0424594324773799E-2</v>
      </c>
      <c r="M897" s="76">
        <f t="shared" si="1635"/>
        <v>-5.1338943443009113E-4</v>
      </c>
      <c r="N897" s="62">
        <f t="shared" si="1641"/>
        <v>165.00017844220162</v>
      </c>
      <c r="O897" s="96">
        <f t="shared" si="1636"/>
        <v>-0.57661450421380878</v>
      </c>
      <c r="P897" s="96"/>
      <c r="Q897" s="159">
        <f>IFERROR(INDEX('Non-Labor Expenditures'!$F$7:$AB$91,MATCH($C897,'Non-Labor Expenditures'!$D$7:$D$91,0),MATCH($G897,'Non-Labor Expenditures'!$F$5:$AB$5,0)),"NA")</f>
        <v>50786.518046683625</v>
      </c>
      <c r="R897" s="159">
        <f t="shared" si="1625"/>
        <v>471.3322200878286</v>
      </c>
      <c r="S897" s="165">
        <f t="shared" si="1637"/>
        <v>-3.4066524711353394E-2</v>
      </c>
      <c r="T897" s="165">
        <f t="shared" si="1638"/>
        <v>-4.3264240858051719E-4</v>
      </c>
      <c r="U897" s="165"/>
      <c r="V897" s="165"/>
      <c r="W897" s="159">
        <f t="shared" si="1606"/>
        <v>64521.357553542606</v>
      </c>
      <c r="X897" s="163"/>
      <c r="Y897" s="167">
        <v>3462.138504708807</v>
      </c>
      <c r="Z897" s="168">
        <v>4.1504581856654003E-2</v>
      </c>
      <c r="AA897" s="76">
        <f t="shared" si="1626"/>
        <v>5.2710519824775636E-4</v>
      </c>
      <c r="AB897" s="168"/>
      <c r="AC897" s="168"/>
      <c r="AD897" s="163">
        <f t="shared" si="1645"/>
        <v>150376.91431138307</v>
      </c>
      <c r="AE897" s="168">
        <f t="shared" si="1639"/>
        <v>-3.1292433953723477E-2</v>
      </c>
      <c r="AF897" s="163"/>
      <c r="AG897" s="163"/>
      <c r="AH897" s="163"/>
      <c r="AI897" s="163"/>
      <c r="AJ897" s="116">
        <f t="shared" si="1640"/>
        <v>402.49164062305601</v>
      </c>
      <c r="AK897" s="114">
        <f>+AV897/$AX$22</f>
        <v>1.009018469698037E-2</v>
      </c>
      <c r="AL897" s="115">
        <f t="shared" si="1627"/>
        <v>0.23320759620416162</v>
      </c>
      <c r="AM897" s="115">
        <f t="shared" si="1628"/>
        <v>0.33772815647434284</v>
      </c>
      <c r="AN897" s="115">
        <f t="shared" si="1629"/>
        <v>0.42906424732149556</v>
      </c>
      <c r="AO897" s="115">
        <f t="shared" si="1632"/>
        <v>-2.7679512741331132E-3</v>
      </c>
      <c r="AP897" s="166">
        <f t="shared" si="1643"/>
        <v>124.78173427972203</v>
      </c>
      <c r="AQ897" s="168">
        <f t="shared" si="1644"/>
        <v>-2.7679512741331127E-3</v>
      </c>
      <c r="AR897" s="69">
        <f>+AD897/$AF$22</f>
        <v>1.2699927927674111E-2</v>
      </c>
      <c r="AS897" s="169">
        <f t="shared" si="1642"/>
        <v>-3.515278168880426E-5</v>
      </c>
      <c r="AT897" s="115"/>
      <c r="AU897" s="115"/>
      <c r="AV897" s="113">
        <f>IFERROR(INDEX('Total Customers'!$F$7:$AB$91,MATCH($C897,'Total Customers'!$D$7:$D$91,0),MATCH($G897,'Total Customers'!$F$5:$AB$5,0)),"NA")</f>
        <v>373615</v>
      </c>
      <c r="AW897" s="68">
        <f t="shared" si="1551"/>
        <v>8.9852840340452766E-3</v>
      </c>
      <c r="AX897" s="114"/>
      <c r="AY897" s="114"/>
      <c r="AZ897" s="116"/>
      <c r="BA897" s="116"/>
      <c r="BB897" s="166"/>
      <c r="BC897" s="166"/>
      <c r="BD897" s="166"/>
      <c r="BE897" s="166"/>
      <c r="BF897" s="166"/>
      <c r="BG897" s="166"/>
      <c r="BH897" s="166"/>
      <c r="BI897" s="113"/>
      <c r="BJ897" s="113"/>
      <c r="BK897" s="113">
        <f>INDEX('Dist. Plant Gas Additions'!$F$7:$AE$91,MATCH($C897,'Dist. Plant Gas Additions'!$D$7:$D$91,0),MATCH(Calculation!$G897,'Dist. Plant Gas Additions'!$F$5:$AE$5,0))</f>
        <v>117169</v>
      </c>
      <c r="BL897" s="113">
        <f>INDEX('Gen. Plant Additions'!$F$7:$AE$91,MATCH($C897,'Gen. Plant Additions'!$D$7:$D$91,0),MATCH(Calculation!$G897,'Gen. Plant Additions'!$F$5:$AE$5,0))</f>
        <v>3129</v>
      </c>
      <c r="BM897" s="231">
        <f t="shared" si="1607"/>
        <v>0.97508750453650717</v>
      </c>
      <c r="BN897" s="61">
        <f t="shared" si="1630"/>
        <v>3051.0488016947311</v>
      </c>
      <c r="BO897" s="113">
        <f>INDEX('Dist Plant Depreciation'!$E$7:$AD$94,MATCH($C897,'Dist Plant Depreciation'!$D$7:$D$94,0),MATCH(Calculation!$G897,'Dist Plant Depreciation'!$E$5:$AD$5,0))</f>
        <v>683169</v>
      </c>
      <c r="BP897" s="113">
        <f>INDEX('Gen. Plant Depreciation'!$E$7:$AD$94,MATCH($C897,'Gen. Plant Depreciation'!$D$7:$D$94,0),MATCH(Calculation!$G897,'Gen. Plant Depreciation'!$E$5:$AD$5,0))</f>
        <v>30446</v>
      </c>
      <c r="BQ897" s="113"/>
      <c r="BR897" s="113"/>
      <c r="BS897" s="113"/>
      <c r="BT897" s="113"/>
      <c r="BU897" s="113"/>
      <c r="BV897" s="175"/>
      <c r="BW897" s="113">
        <f>INDEX('Gross Dx Plant'!$E$7:$AD$91,MATCH($C897,'Gross Dx Plant'!$D$7:$D$91,0),MATCH(Calculation!$G897,'Gross Dx Plant'!$E$5:$AD$5,0))</f>
        <v>1534151</v>
      </c>
      <c r="BX897" s="113">
        <f>INDEX('Gross Gen Plant'!$E$7:$AD$91,MATCH($C897,'Gross Gen Plant'!$D$7:$D$91,0),MATCH(Calculation!$G897,'Gross Gen Plant'!$E$5:$AD$5,0))</f>
        <v>39196</v>
      </c>
      <c r="BY897" s="113">
        <f t="shared" si="1605"/>
        <v>859732</v>
      </c>
      <c r="BZ897" s="113"/>
      <c r="CA897" s="116">
        <v>2017</v>
      </c>
      <c r="CB897" s="113"/>
      <c r="CC897" s="113"/>
      <c r="CD897" s="113"/>
      <c r="CE897" s="175"/>
      <c r="CF897" s="113">
        <f t="shared" si="1608"/>
        <v>120298</v>
      </c>
      <c r="CG897" s="113">
        <f t="shared" si="1609"/>
        <v>168.85622327903249</v>
      </c>
      <c r="CH897" s="178">
        <v>0.87074829931972786</v>
      </c>
      <c r="CI897" s="61">
        <f>+CI878*CH897+CG879*CH896+CG880*CH895+CG881*CH894+CG882*CH893+CG883*CH892+CG884*CH891+CG885*CH890+CG886*CH889+CG887*CH888+CG888*CH887+CG889*CH886+CG890*CH885+CG891*CH884+CG892*CH883+CG893*CH882+CG894*CH881+CG895*CH880+CG896*CH879+CG897</f>
        <v>3462.138504708807</v>
      </c>
      <c r="CJ897" s="114">
        <f t="shared" si="1610"/>
        <v>4.1504581856654003E-2</v>
      </c>
      <c r="CK897" s="114"/>
      <c r="CL897" s="169">
        <f t="shared" si="1611"/>
        <v>8.4611610248556488E-3</v>
      </c>
      <c r="CM897" s="169">
        <f t="shared" si="1619"/>
        <v>8.2588270370938643E-3</v>
      </c>
      <c r="CN897" s="114">
        <f>VLOOKUP($H897,RoR!$E:$F,2,FALSE)</f>
        <v>3.7433333333333339E-2</v>
      </c>
      <c r="CO897" s="169">
        <v>1.9056896421275615E-2</v>
      </c>
      <c r="CP897" s="169">
        <f t="shared" si="1617"/>
        <v>1.8376436912057724E-2</v>
      </c>
      <c r="CQ897" s="169">
        <f t="shared" si="1620"/>
        <v>2.2643114571439762E-2</v>
      </c>
      <c r="CR897" s="169">
        <f t="shared" si="1621"/>
        <v>1.3976271617800498E-2</v>
      </c>
      <c r="CS897" s="179">
        <f t="shared" si="1612"/>
        <v>0.90907250000000006</v>
      </c>
      <c r="CT897" s="180">
        <f t="shared" si="1613"/>
        <v>1.3699568463593395</v>
      </c>
      <c r="CU897" s="180">
        <f t="shared" si="1614"/>
        <v>0.30714603739982199</v>
      </c>
      <c r="CV897" s="180">
        <f t="shared" si="1615"/>
        <v>0.77007188472689425</v>
      </c>
      <c r="CW897" s="180">
        <f t="shared" si="1616"/>
        <v>0.32402839633793828</v>
      </c>
      <c r="CX897" s="181">
        <f>INDEX('State Tax Lookup'!$D$7:$Z$91,MATCH(Calculation!$C897,'State Tax Lookup'!$B$7:$B$91,0),MATCH($H897,'State Tax Lookup'!$D$6:$Z$6,0))</f>
        <v>0.24574999999999997</v>
      </c>
      <c r="CY897" s="72">
        <v>0.37</v>
      </c>
      <c r="CZ897" s="70">
        <f t="shared" si="1618"/>
        <v>19.426039583210262</v>
      </c>
      <c r="DA897" s="70">
        <v>18.231812616449311</v>
      </c>
      <c r="DB897" s="69">
        <f t="shared" si="1622"/>
        <v>-9.758746582571734E-2</v>
      </c>
      <c r="DC897" s="111">
        <f>VLOOKUP($H897,RoR!$E:$F,2,FALSE)</f>
        <v>3.7433333333333339E-2</v>
      </c>
      <c r="DD897" s="216">
        <f>HLOOKUP($H897,'GDP-PI'!$D$8:$CQ$11,3,FALSE)</f>
        <v>1.9056896421275615E-2</v>
      </c>
      <c r="DE897" s="111">
        <f>VLOOKUP(H897,'HW Dx Data'!$E:$F,2,FALSE)</f>
        <v>712.42858370229726</v>
      </c>
      <c r="DF897" s="72">
        <f t="shared" si="1633"/>
        <v>140.44999999999999</v>
      </c>
      <c r="DG897" s="69">
        <f t="shared" si="1634"/>
        <v>2.5235657841165486E-2</v>
      </c>
      <c r="DH897" s="66">
        <f>HLOOKUP(H897,'GDP-PI'!$8:$9,2,FALSE)</f>
        <v>107.751</v>
      </c>
      <c r="DI897" s="69">
        <f t="shared" si="1623"/>
        <v>1.8877588227745139E-2</v>
      </c>
      <c r="EB897"/>
    </row>
    <row r="898" spans="1:132" s="160" customFormat="1" ht="21">
      <c r="A898" s="160" t="s">
        <v>212</v>
      </c>
      <c r="B898" s="161" t="s">
        <v>212</v>
      </c>
      <c r="C898" s="161">
        <v>4063341</v>
      </c>
      <c r="D898" s="161" t="s">
        <v>213</v>
      </c>
      <c r="E898" s="161"/>
      <c r="F898" s="161"/>
      <c r="G898" s="161" t="s">
        <v>136</v>
      </c>
      <c r="H898" s="162">
        <v>2018</v>
      </c>
      <c r="I898" s="163"/>
      <c r="J898" s="159">
        <f>IFERROR(INDEX('Labor Expenditures'!$F$7:$X$91,MATCH($C898,'Labor Expenditures'!$D$7:$D$91,0),MATCH($G898,'Labor Expenditures'!$F$5:$X$5,0)),"NA")</f>
        <v>39082.779872590072</v>
      </c>
      <c r="K898" s="159">
        <f t="shared" si="1624"/>
        <v>270.56268516850173</v>
      </c>
      <c r="L898" s="165">
        <f t="shared" si="1631"/>
        <v>8.0281430951507624E-2</v>
      </c>
      <c r="M898" s="76">
        <f t="shared" si="1635"/>
        <v>1.0367872089854218E-3</v>
      </c>
      <c r="N898" s="62">
        <f t="shared" si="1641"/>
        <v>113.54001431381477</v>
      </c>
      <c r="O898" s="96">
        <f t="shared" si="1636"/>
        <v>-0.37379123155683619</v>
      </c>
      <c r="P898" s="96"/>
      <c r="Q898" s="159">
        <f>IFERROR(INDEX('Non-Labor Expenditures'!$F$7:$AB$91,MATCH($C898,'Non-Labor Expenditures'!$D$7:$D$91,0),MATCH($G898,'Non-Labor Expenditures'!$F$5:$AB$5,0)),"NA")</f>
        <v>56599.164911879714</v>
      </c>
      <c r="R898" s="159">
        <f t="shared" si="1625"/>
        <v>513.03606635013602</v>
      </c>
      <c r="S898" s="165">
        <f t="shared" si="1637"/>
        <v>8.4782951596990494E-2</v>
      </c>
      <c r="T898" s="165">
        <f t="shared" si="1638"/>
        <v>1.094921686297361E-3</v>
      </c>
      <c r="U898" s="165"/>
      <c r="V898" s="165"/>
      <c r="W898" s="159">
        <f t="shared" si="1606"/>
        <v>70533.804909047263</v>
      </c>
      <c r="X898" s="163"/>
      <c r="Y898" s="167">
        <v>3631.4175711984253</v>
      </c>
      <c r="Z898" s="168">
        <v>4.7736624436192782E-2</v>
      </c>
      <c r="AA898" s="76">
        <f t="shared" si="1626"/>
        <v>6.1649027712872581E-4</v>
      </c>
      <c r="AB898" s="168"/>
      <c r="AC898" s="168"/>
      <c r="AD898" s="163">
        <f t="shared" si="1645"/>
        <v>166215.74969351705</v>
      </c>
      <c r="AE898" s="168">
        <f t="shared" si="1639"/>
        <v>0.10014173696639493</v>
      </c>
      <c r="AF898" s="163"/>
      <c r="AG898" s="163"/>
      <c r="AH898" s="163"/>
      <c r="AI898" s="163"/>
      <c r="AJ898" s="116">
        <f t="shared" si="1640"/>
        <v>430.21842696172678</v>
      </c>
      <c r="AK898" s="114">
        <f>+AV898/$AX$23</f>
        <v>1.0342790452482627E-2</v>
      </c>
      <c r="AL898" s="115">
        <f t="shared" si="1627"/>
        <v>0.23513283154366704</v>
      </c>
      <c r="AM898" s="115">
        <f t="shared" si="1628"/>
        <v>0.34051625683030723</v>
      </c>
      <c r="AN898" s="115">
        <f t="shared" si="1629"/>
        <v>0.42435091162602573</v>
      </c>
      <c r="AO898" s="115">
        <f t="shared" si="1632"/>
        <v>6.7920880953502905E-2</v>
      </c>
      <c r="AP898" s="166">
        <f t="shared" si="1643"/>
        <v>133.55147262164365</v>
      </c>
      <c r="AQ898" s="168">
        <f t="shared" si="1644"/>
        <v>6.7920880953502835E-2</v>
      </c>
      <c r="AR898" s="69">
        <f>+AD898/$AF$23</f>
        <v>1.2914408683269138E-2</v>
      </c>
      <c r="AS898" s="169">
        <f t="shared" si="1642"/>
        <v>8.7715801476120642E-4</v>
      </c>
      <c r="AT898" s="115"/>
      <c r="AU898" s="115"/>
      <c r="AV898" s="113">
        <f>IFERROR(INDEX('Total Customers'!$F$7:$AB$91,MATCH($C898,'Total Customers'!$D$7:$D$91,0),MATCH($G898,'Total Customers'!$F$5:$AB$5,0)),"NA")</f>
        <v>386352</v>
      </c>
      <c r="AW898" s="68">
        <f t="shared" si="1551"/>
        <v>3.3523015577851846E-2</v>
      </c>
      <c r="AX898" s="114"/>
      <c r="AY898" s="114"/>
      <c r="AZ898" s="116"/>
      <c r="BA898" s="116"/>
      <c r="BB898" s="166"/>
      <c r="BC898" s="166"/>
      <c r="BD898" s="166"/>
      <c r="BE898" s="166"/>
      <c r="BF898" s="166"/>
      <c r="BG898" s="166"/>
      <c r="BH898" s="166"/>
      <c r="BI898" s="113"/>
      <c r="BJ898" s="113"/>
      <c r="BK898" s="113">
        <f>INDEX('Dist. Plant Gas Additions'!$F$7:$AE$91,MATCH($C898,'Dist. Plant Gas Additions'!$D$7:$D$91,0),MATCH(Calculation!$G898,'Dist. Plant Gas Additions'!$F$5:$AE$5,0))</f>
        <v>146440</v>
      </c>
      <c r="BL898" s="113">
        <f>INDEX('Gen. Plant Additions'!$F$7:$AE$91,MATCH($C898,'Gen. Plant Additions'!$D$7:$D$91,0),MATCH(Calculation!$G898,'Gen. Plant Additions'!$F$5:$AE$5,0))</f>
        <v>4067</v>
      </c>
      <c r="BM898" s="231">
        <f t="shared" si="1607"/>
        <v>0.97554244324357009</v>
      </c>
      <c r="BN898" s="61">
        <f t="shared" si="1630"/>
        <v>3967.5311166715996</v>
      </c>
      <c r="BO898" s="113">
        <f>INDEX('Dist Plant Depreciation'!$E$7:$AD$94,MATCH($C898,'Dist Plant Depreciation'!$D$7:$D$94,0),MATCH(Calculation!$G898,'Dist Plant Depreciation'!$E$5:$AD$5,0))</f>
        <v>716667</v>
      </c>
      <c r="BP898" s="113">
        <f>INDEX('Gen. Plant Depreciation'!$E$7:$AD$94,MATCH($C898,'Gen. Plant Depreciation'!$D$7:$D$94,0),MATCH(Calculation!$G898,'Gen. Plant Depreciation'!$E$5:$AD$5,0))</f>
        <v>35263</v>
      </c>
      <c r="BQ898" s="113"/>
      <c r="BR898" s="113"/>
      <c r="BS898" s="113"/>
      <c r="BT898" s="113"/>
      <c r="BU898" s="113"/>
      <c r="BV898" s="175"/>
      <c r="BW898" s="113">
        <f>INDEX('Gross Dx Plant'!$E$7:$AD$91,MATCH($C898,'Gross Dx Plant'!$D$7:$D$91,0),MATCH(Calculation!$G898,'Gross Dx Plant'!$E$5:$AD$5,0))</f>
        <v>1677614</v>
      </c>
      <c r="BX898" s="113">
        <f>INDEX('Gross Gen Plant'!$E$7:$AD$91,MATCH($C898,'Gross Gen Plant'!$D$7:$D$91,0),MATCH(Calculation!$G898,'Gross Gen Plant'!$E$5:$AD$5,0))</f>
        <v>42059</v>
      </c>
      <c r="BY898" s="113">
        <f t="shared" si="1605"/>
        <v>967743</v>
      </c>
      <c r="BZ898" s="113"/>
      <c r="CA898" s="116">
        <v>2018</v>
      </c>
      <c r="CB898" s="113"/>
      <c r="CC898" s="113"/>
      <c r="CD898" s="113"/>
      <c r="CE898" s="175"/>
      <c r="CF898" s="113">
        <f t="shared" si="1608"/>
        <v>150507</v>
      </c>
      <c r="CG898" s="113">
        <f t="shared" si="1609"/>
        <v>199.31092892390583</v>
      </c>
      <c r="CH898" s="178">
        <v>0.86111111111111116</v>
      </c>
      <c r="CI898" s="61">
        <f>+CI878*CH898++CG879*CH897+CG880*CH896+CG881*CH895+CG882*CH894+CG883*CH893+CG884*CH892+CG885*CH891+CG886*CH890+CG887*CH889+CG888*CH888+CG889*CH887+CG890*CH886+CG891*CH885+CG892*CH884+CG893*CH883+CG894*CH882+CG895*CH881+CG896*CH880+CG897*CH879+CG898</f>
        <v>3631.4175711984253</v>
      </c>
      <c r="CJ898" s="114">
        <f t="shared" si="1610"/>
        <v>4.7736624436192782E-2</v>
      </c>
      <c r="CK898" s="114"/>
      <c r="CL898" s="169">
        <f t="shared" si="1611"/>
        <v>8.674367704654672E-3</v>
      </c>
      <c r="CM898" s="169">
        <f t="shared" si="1619"/>
        <v>8.4669316626009832E-3</v>
      </c>
      <c r="CN898" s="114">
        <f>VLOOKUP($H898,RoR!$E:$F,2,FALSE)</f>
        <v>3.9299999999999995E-2</v>
      </c>
      <c r="CO898" s="169">
        <v>2.386056741932796E-2</v>
      </c>
      <c r="CP898" s="169">
        <f t="shared" si="1617"/>
        <v>1.5439432580672034E-2</v>
      </c>
      <c r="CQ898" s="169">
        <f t="shared" si="1620"/>
        <v>2.2435009945932644E-2</v>
      </c>
      <c r="CR898" s="169">
        <f t="shared" si="1621"/>
        <v>3.8270792163076606E-2</v>
      </c>
      <c r="CS898" s="179">
        <f t="shared" si="1612"/>
        <v>0.90907250000000006</v>
      </c>
      <c r="CT898" s="180">
        <f t="shared" si="1613"/>
        <v>1.3048868010700074</v>
      </c>
      <c r="CU898" s="180">
        <f t="shared" si="1614"/>
        <v>0.33886768447837151</v>
      </c>
      <c r="CV898" s="180">
        <f t="shared" si="1615"/>
        <v>0.78602506232557801</v>
      </c>
      <c r="CW898" s="180">
        <f t="shared" si="1616"/>
        <v>0.34756768162358759</v>
      </c>
      <c r="CX898" s="181">
        <f>INDEX('State Tax Lookup'!$D$7:$Z$91,MATCH(Calculation!$C898,'State Tax Lookup'!$B$7:$B$91,0),MATCH($H898,'State Tax Lookup'!$D$6:$Z$6,0))</f>
        <v>0.24574999999999997</v>
      </c>
      <c r="CY898" s="72">
        <v>0.37</v>
      </c>
      <c r="CZ898" s="70">
        <f t="shared" si="1618"/>
        <v>20.372900972365837</v>
      </c>
      <c r="DA898" s="70">
        <v>19.050901628905343</v>
      </c>
      <c r="DB898" s="69">
        <f t="shared" si="1622"/>
        <v>4.759122143997338E-2</v>
      </c>
      <c r="DC898" s="111">
        <f>VLOOKUP($H898,RoR!$E:$F,2,FALSE)</f>
        <v>3.9299999999999995E-2</v>
      </c>
      <c r="DD898" s="216">
        <f>HLOOKUP($H898,'GDP-PI'!$D$8:$CQ$11,3,FALSE)</f>
        <v>2.386056741932796E-2</v>
      </c>
      <c r="DE898" s="111">
        <f>VLOOKUP(H898,'HW Dx Data'!$E:$F,2,FALSE)</f>
        <v>755.13671434174842</v>
      </c>
      <c r="DF898" s="72">
        <f t="shared" si="1633"/>
        <v>144.44999999999999</v>
      </c>
      <c r="DG898" s="69">
        <f t="shared" si="1634"/>
        <v>2.80818733619915E-2</v>
      </c>
      <c r="DH898" s="66">
        <f>HLOOKUP(H898,'GDP-PI'!$8:$9,2,FALSE)</f>
        <v>110.322</v>
      </c>
      <c r="DI898" s="69">
        <f t="shared" si="1623"/>
        <v>2.3580352716508712E-2</v>
      </c>
      <c r="EB898"/>
    </row>
    <row r="899" spans="1:132" s="160" customFormat="1" ht="21">
      <c r="A899" s="160" t="s">
        <v>212</v>
      </c>
      <c r="B899" s="161" t="s">
        <v>212</v>
      </c>
      <c r="C899" s="161">
        <v>4063341</v>
      </c>
      <c r="D899" s="161" t="s">
        <v>213</v>
      </c>
      <c r="E899" s="161"/>
      <c r="F899" s="161"/>
      <c r="G899" s="161" t="s">
        <v>140</v>
      </c>
      <c r="H899" s="162">
        <v>2019</v>
      </c>
      <c r="I899" s="163"/>
      <c r="J899" s="159">
        <f>IFERROR(INDEX('Labor Expenditures'!$F$7:$X$91,MATCH($C899,'Labor Expenditures'!$D$7:$D$91,0),MATCH($G899,'Labor Expenditures'!$F$5:$X$5,0)),"NA")</f>
        <v>42221.048351104422</v>
      </c>
      <c r="K899" s="159">
        <f t="shared" si="1624"/>
        <v>282.08483949293083</v>
      </c>
      <c r="L899" s="165">
        <f t="shared" si="1631"/>
        <v>4.1704065372328E-2</v>
      </c>
      <c r="M899" s="76">
        <f t="shared" si="1635"/>
        <v>5.6078524023837071E-4</v>
      </c>
      <c r="N899" s="62">
        <f t="shared" si="1641"/>
        <v>112.78426552497277</v>
      </c>
      <c r="O899" s="96">
        <f t="shared" si="1636"/>
        <v>-6.6784845035655245E-3</v>
      </c>
      <c r="P899" s="96"/>
      <c r="Q899" s="159">
        <f>IFERROR(INDEX('Non-Labor Expenditures'!$F$7:$AB$91,MATCH($C899,'Non-Labor Expenditures'!$D$7:$D$91,0),MATCH($G899,'Non-Labor Expenditures'!$F$5:$AB$5,0)),"NA")</f>
        <v>61143.96381646736</v>
      </c>
      <c r="R899" s="159">
        <f t="shared" si="1625"/>
        <v>544.38259064858141</v>
      </c>
      <c r="S899" s="165">
        <f t="shared" si="1637"/>
        <v>5.9306143820098092E-2</v>
      </c>
      <c r="T899" s="165">
        <f t="shared" si="1638"/>
        <v>7.9747645254346926E-4</v>
      </c>
      <c r="U899" s="165"/>
      <c r="V899" s="165"/>
      <c r="W899" s="159">
        <f t="shared" si="1606"/>
        <v>75064.878806612338</v>
      </c>
      <c r="X899" s="163"/>
      <c r="Y899" s="167">
        <v>3833.8903110245369</v>
      </c>
      <c r="Z899" s="168">
        <v>5.4256947147331681E-2</v>
      </c>
      <c r="AA899" s="76">
        <f t="shared" si="1626"/>
        <v>7.295810341023958E-4</v>
      </c>
      <c r="AB899" s="168"/>
      <c r="AC899" s="168"/>
      <c r="AD899" s="163">
        <f t="shared" si="1645"/>
        <v>178429.89097418412</v>
      </c>
      <c r="AE899" s="168">
        <f t="shared" si="1639"/>
        <v>7.0909114984176985E-2</v>
      </c>
      <c r="AF899" s="163"/>
      <c r="AG899" s="163"/>
      <c r="AH899" s="163"/>
      <c r="AI899" s="163"/>
      <c r="AJ899" s="116">
        <f t="shared" si="1640"/>
        <v>447.76279316569497</v>
      </c>
      <c r="AK899" s="114">
        <f>+AV899/$AX$24</f>
        <v>1.0579803734196118E-2</v>
      </c>
      <c r="AL899" s="115">
        <f t="shared" si="1627"/>
        <v>0.23662542257122779</v>
      </c>
      <c r="AM899" s="115">
        <f t="shared" si="1628"/>
        <v>0.3426778074157647</v>
      </c>
      <c r="AN899" s="115">
        <f t="shared" si="1629"/>
        <v>0.42069677001300748</v>
      </c>
      <c r="AO899" s="115">
        <f t="shared" si="1632"/>
        <v>5.3020774950210986E-2</v>
      </c>
      <c r="AP899" s="166">
        <f t="shared" si="1643"/>
        <v>140.82355745361232</v>
      </c>
      <c r="AQ899" s="168">
        <f t="shared" si="1644"/>
        <v>5.3020774950210993E-2</v>
      </c>
      <c r="AR899" s="69">
        <f>+AD899/$AF$24</f>
        <v>1.3446776356975257E-2</v>
      </c>
      <c r="AS899" s="169">
        <f t="shared" si="1642"/>
        <v>7.1295850302900319E-4</v>
      </c>
      <c r="AT899" s="115"/>
      <c r="AU899" s="115"/>
      <c r="AV899" s="113">
        <f>IFERROR(INDEX('Total Customers'!$F$7:$AB$91,MATCH($C899,'Total Customers'!$D$7:$D$91,0),MATCH($G899,'Total Customers'!$F$5:$AB$5,0)),"NA")</f>
        <v>398492</v>
      </c>
      <c r="AW899" s="68">
        <f t="shared" si="1551"/>
        <v>3.0938551726962131E-2</v>
      </c>
      <c r="AX899" s="114"/>
      <c r="AY899" s="114"/>
      <c r="AZ899" s="116"/>
      <c r="BA899" s="116"/>
      <c r="BB899" s="166"/>
      <c r="BC899" s="166"/>
      <c r="BD899" s="166"/>
      <c r="BE899" s="166"/>
      <c r="BF899" s="166"/>
      <c r="BG899" s="166"/>
      <c r="BH899" s="166"/>
      <c r="BI899" s="113"/>
      <c r="BJ899" s="113"/>
      <c r="BK899" s="113">
        <f>INDEX('Dist. Plant Gas Additions'!$F$7:$AE$91,MATCH($C899,'Dist. Plant Gas Additions'!$D$7:$D$91,0),MATCH(Calculation!$G899,'Dist. Plant Gas Additions'!$F$5:$AE$5,0))</f>
        <v>174542</v>
      </c>
      <c r="BL899" s="113">
        <f>INDEX('Gen. Plant Additions'!$F$7:$AE$91,MATCH($C899,'Gen. Plant Additions'!$D$7:$D$91,0),MATCH(Calculation!$G899,'Gen. Plant Additions'!$F$5:$AE$5,0))</f>
        <v>6989</v>
      </c>
      <c r="BM899" s="231">
        <f t="shared" si="1607"/>
        <v>0.9752130103064055</v>
      </c>
      <c r="BN899" s="61">
        <f t="shared" si="1630"/>
        <v>6815.7637290314678</v>
      </c>
      <c r="BO899" s="113">
        <f>INDEX('Dist Plant Depreciation'!$E$7:$AD$94,MATCH($C899,'Dist Plant Depreciation'!$D$7:$D$94,0),MATCH(Calculation!$G899,'Dist Plant Depreciation'!$E$5:$AD$5,0))</f>
        <v>737863</v>
      </c>
      <c r="BP899" s="113">
        <f>INDEX('Gen. Plant Depreciation'!$E$7:$AD$94,MATCH($C899,'Gen. Plant Depreciation'!$D$7:$D$94,0),MATCH(Calculation!$G899,'Gen. Plant Depreciation'!$E$5:$AD$5,0))</f>
        <v>39601</v>
      </c>
      <c r="BQ899" s="113"/>
      <c r="BR899" s="113"/>
      <c r="BS899" s="113"/>
      <c r="BT899" s="113"/>
      <c r="BU899" s="113"/>
      <c r="BV899" s="175"/>
      <c r="BW899" s="113">
        <f>INDEX('Gross Dx Plant'!$E$7:$AD$91,MATCH($C899,'Gross Dx Plant'!$D$7:$D$91,0),MATCH(Calculation!$G899,'Gross Dx Plant'!$E$5:$AD$5,0))</f>
        <v>1847779</v>
      </c>
      <c r="BX899" s="113">
        <f>INDEX('Gross Gen Plant'!$E$7:$AD$91,MATCH($C899,'Gross Gen Plant'!$D$7:$D$91,0),MATCH(Calculation!$G899,'Gross Gen Plant'!$E$5:$AD$5,0))</f>
        <v>46965</v>
      </c>
      <c r="BY899" s="113">
        <f t="shared" si="1605"/>
        <v>1117280</v>
      </c>
      <c r="BZ899" s="113"/>
      <c r="CA899" s="116">
        <v>2019</v>
      </c>
      <c r="CB899" s="113"/>
      <c r="CC899" s="113"/>
      <c r="CD899" s="113"/>
      <c r="CE899" s="175"/>
      <c r="CF899" s="113">
        <f t="shared" si="1608"/>
        <v>181531</v>
      </c>
      <c r="CG899" s="113">
        <f t="shared" si="1609"/>
        <v>234.67586001587259</v>
      </c>
      <c r="CH899" s="178">
        <v>0.85106382978723405</v>
      </c>
      <c r="CI899" s="61">
        <f>CI878*CH899+CG879*CH898+CG880*CH897+CG881*CH896+CG882*CH895+CG883*CH894+CG884*CH893+CG885*CH892+CG886*CH891+CG887*CH890+CG888*CH889+CG889*CH888+CG890*CH887+CG891*CH886+CG892*CH885+CG893*CH884+CG894*CH883+CG895*CH882+CG896*CH881+CG897*CH880+CG898*CH879+CG899</f>
        <v>3833.8903110245369</v>
      </c>
      <c r="CJ899" s="114">
        <f t="shared" si="1610"/>
        <v>5.4256947147331681E-2</v>
      </c>
      <c r="CK899" s="114"/>
      <c r="CL899" s="169">
        <f t="shared" si="1611"/>
        <v>8.8679199123700495E-3</v>
      </c>
      <c r="CM899" s="169">
        <f t="shared" si="1619"/>
        <v>8.6678162139601223E-3</v>
      </c>
      <c r="CN899" s="114">
        <f>VLOOKUP($H899,RoR!$E:$F,2,FALSE)</f>
        <v>3.3875000000000009E-2</v>
      </c>
      <c r="CO899" s="169">
        <v>1.8092492884465461E-2</v>
      </c>
      <c r="CP899" s="169">
        <f t="shared" si="1617"/>
        <v>1.5782507115534548E-2</v>
      </c>
      <c r="CQ899" s="169">
        <f t="shared" si="1620"/>
        <v>2.2234125394573503E-2</v>
      </c>
      <c r="CR899" s="169">
        <f t="shared" si="1621"/>
        <v>4.8445665544254078E-2</v>
      </c>
      <c r="CS899" s="179">
        <f t="shared" si="1612"/>
        <v>0.90907250000000006</v>
      </c>
      <c r="CT899" s="180">
        <f t="shared" si="1613"/>
        <v>1.513861292459078</v>
      </c>
      <c r="CU899" s="180">
        <f t="shared" si="1614"/>
        <v>0.23699261992619944</v>
      </c>
      <c r="CV899" s="180">
        <f t="shared" si="1615"/>
        <v>0.73619765810468829</v>
      </c>
      <c r="CW899" s="180">
        <f t="shared" si="1616"/>
        <v>0.26412854465362851</v>
      </c>
      <c r="CX899" s="181">
        <f>INDEX('State Tax Lookup'!$D$7:$Z$91,MATCH(Calculation!$C899,'State Tax Lookup'!$B$7:$B$91,0),MATCH($H899,'State Tax Lookup'!$D$6:$Z$6,0))</f>
        <v>0.24574999999999997</v>
      </c>
      <c r="CY899" s="72">
        <v>0.37</v>
      </c>
      <c r="CZ899" s="70">
        <f t="shared" si="1618"/>
        <v>20.670957645292148</v>
      </c>
      <c r="DA899" s="70">
        <v>19.236104090735289</v>
      </c>
      <c r="DB899" s="69">
        <f t="shared" si="1622"/>
        <v>1.4524068764438998E-2</v>
      </c>
      <c r="DC899" s="111">
        <f>VLOOKUP($H899,RoR!$E:$F,2,FALSE)</f>
        <v>3.3875000000000009E-2</v>
      </c>
      <c r="DD899" s="216">
        <f>HLOOKUP($H899,'GDP-PI'!$D$8:$CQ$11,3,FALSE)</f>
        <v>1.8092492884465461E-2</v>
      </c>
      <c r="DE899" s="111">
        <f>VLOOKUP(H899,'HW Dx Data'!$E:$F,2,FALSE)</f>
        <v>773.53929793938721</v>
      </c>
      <c r="DF899" s="72">
        <f t="shared" si="1633"/>
        <v>149.67500000000001</v>
      </c>
      <c r="DG899" s="69">
        <f t="shared" si="1634"/>
        <v>3.5532849899171604E-2</v>
      </c>
      <c r="DH899" s="66">
        <f>HLOOKUP(H899,'GDP-PI'!$8:$9,2,FALSE)</f>
        <v>112.318</v>
      </c>
      <c r="DI899" s="69">
        <f t="shared" si="1623"/>
        <v>1.7930771451401852E-2</v>
      </c>
      <c r="EB899"/>
    </row>
    <row r="900" spans="1:132" s="160" customFormat="1" ht="21">
      <c r="A900" s="160" t="s">
        <v>212</v>
      </c>
      <c r="B900" s="160" t="s">
        <v>212</v>
      </c>
      <c r="C900" s="160">
        <v>4063341</v>
      </c>
      <c r="D900" s="160" t="s">
        <v>213</v>
      </c>
      <c r="G900" s="161" t="s">
        <v>141</v>
      </c>
      <c r="H900" s="162">
        <v>2020</v>
      </c>
      <c r="I900" s="163"/>
      <c r="J900" s="159">
        <f>IFERROR(INDEX('Labor Expenditures'!$F$7:$X$91,MATCH($C900,'Labor Expenditures'!$D$7:$D$91,0),MATCH($G900,'Labor Expenditures'!$F$5:$X$5,0)),"NA")</f>
        <v>42445.656639748879</v>
      </c>
      <c r="K900" s="159">
        <f t="shared" si="1624"/>
        <v>277.15087587168711</v>
      </c>
      <c r="L900" s="165">
        <f t="shared" si="1631"/>
        <v>-1.7645838816632942E-2</v>
      </c>
      <c r="M900" s="76">
        <f t="shared" si="1635"/>
        <v>-2.406468779994193E-4</v>
      </c>
      <c r="N900" s="62">
        <f t="shared" si="1641"/>
        <v>114.23545129354491</v>
      </c>
      <c r="O900" s="96">
        <f t="shared" si="1636"/>
        <v>1.2784841382744043E-2</v>
      </c>
      <c r="P900" s="96"/>
      <c r="Q900" s="159">
        <f>IFERROR(INDEX('Non-Labor Expenditures'!$F$7:$AB$91,MATCH($C900,'Non-Labor Expenditures'!$D$7:$D$91,0),MATCH($G900,'Non-Labor Expenditures'!$F$5:$AB$5,0)),"NA")</f>
        <v>61469.23856946615</v>
      </c>
      <c r="R900" s="159">
        <f t="shared" si="1625"/>
        <v>540.99292017871517</v>
      </c>
      <c r="S900" s="165">
        <f t="shared" si="1637"/>
        <v>-6.2460990806573078E-3</v>
      </c>
      <c r="T900" s="165">
        <f t="shared" si="1638"/>
        <v>-8.5181796062786216E-5</v>
      </c>
      <c r="U900" s="165"/>
      <c r="V900" s="165"/>
      <c r="W900" s="159">
        <f t="shared" si="1606"/>
        <v>82605.020704673239</v>
      </c>
      <c r="X900" s="163"/>
      <c r="Y900" s="167">
        <v>4103.7260227137576</v>
      </c>
      <c r="Z900" s="168">
        <v>6.8015312367575825E-2</v>
      </c>
      <c r="AA900" s="76">
        <f t="shared" si="1626"/>
        <v>9.2756557211574832E-4</v>
      </c>
      <c r="AB900" s="168"/>
      <c r="AC900" s="168"/>
      <c r="AD900" s="163">
        <f t="shared" si="1645"/>
        <v>186519.91591388825</v>
      </c>
      <c r="AE900" s="168">
        <f t="shared" si="1639"/>
        <v>4.4342264709846202E-2</v>
      </c>
      <c r="AF900" s="163"/>
      <c r="AG900" s="163"/>
      <c r="AH900" s="163"/>
      <c r="AI900" s="163"/>
      <c r="AJ900" s="116">
        <f t="shared" si="1640"/>
        <v>447.99257327772631</v>
      </c>
      <c r="AK900" s="114">
        <f>+AV900/$AX$25</f>
        <v>1.0975763010028915E-2</v>
      </c>
      <c r="AL900" s="115">
        <f t="shared" si="1627"/>
        <v>0.2275663509270775</v>
      </c>
      <c r="AM900" s="115">
        <f t="shared" si="1628"/>
        <v>0.32955857967384572</v>
      </c>
      <c r="AN900" s="115">
        <f t="shared" si="1629"/>
        <v>0.44287506939907684</v>
      </c>
      <c r="AO900" s="115">
        <f t="shared" si="1632"/>
        <v>2.3173100057456028E-2</v>
      </c>
      <c r="AP900" s="166">
        <f t="shared" si="1643"/>
        <v>144.12498020551186</v>
      </c>
      <c r="AQ900" s="168">
        <f t="shared" si="1644"/>
        <v>2.3173100057455948E-2</v>
      </c>
      <c r="AR900" s="69">
        <f>+AD900/$AF$25</f>
        <v>1.3637599237990653E-2</v>
      </c>
      <c r="AS900" s="169">
        <f t="shared" si="1642"/>
        <v>3.1602545168544241E-4</v>
      </c>
      <c r="AT900" s="115"/>
      <c r="AU900" s="115"/>
      <c r="AV900" s="113">
        <f>IFERROR(INDEX('Total Customers'!$F$7:$AB$91,MATCH($C900,'Total Customers'!$D$7:$D$91,0),MATCH($G900,'Total Customers'!$F$5:$AB$5,0)),"NA")</f>
        <v>416346</v>
      </c>
      <c r="AW900" s="68">
        <f t="shared" ref="AW900:AW963" si="1646">LN(AV900/AV899)</f>
        <v>4.3829222587678816E-2</v>
      </c>
      <c r="AX900" s="114"/>
      <c r="AY900" s="114"/>
      <c r="AZ900" s="116"/>
      <c r="BA900" s="116"/>
      <c r="BB900" s="166"/>
      <c r="BC900" s="166"/>
      <c r="BD900" s="166"/>
      <c r="BE900" s="166"/>
      <c r="BF900" s="166"/>
      <c r="BG900" s="166"/>
      <c r="BH900" s="166"/>
      <c r="BI900" s="113"/>
      <c r="BJ900" s="113"/>
      <c r="BK900" s="113">
        <f>INDEX('Dist. Plant Gas Additions'!$F$7:$AE$91,MATCH($C900,'Dist. Plant Gas Additions'!$D$7:$D$91,0),MATCH(Calculation!$G900,'Dist. Plant Gas Additions'!$F$5:$AE$5,0))</f>
        <v>241689</v>
      </c>
      <c r="BL900" s="113">
        <f>INDEX('Gen. Plant Additions'!$F$7:$AE$91,MATCH($C900,'Gen. Plant Additions'!$D$7:$D$91,0),MATCH(Calculation!$G900,'Gen. Plant Additions'!$F$5:$AE$5,0))</f>
        <v>5884</v>
      </c>
      <c r="BM900" s="231">
        <f t="shared" si="1607"/>
        <v>0.96625297485891748</v>
      </c>
      <c r="BN900" s="61">
        <f t="shared" si="1630"/>
        <v>5685.4325040698704</v>
      </c>
      <c r="BO900" s="113">
        <f>INDEX('Dist Plant Depreciation'!$E$7:$AD$94,MATCH($C900,'Dist Plant Depreciation'!$D$7:$D$94,0),MATCH(Calculation!$G900,'Dist Plant Depreciation'!$E$5:$AD$5,0))</f>
        <v>761968</v>
      </c>
      <c r="BP900" s="113">
        <f>INDEX('Gen. Plant Depreciation'!$E$7:$AD$94,MATCH($C900,'Gen. Plant Depreciation'!$D$7:$D$94,0),MATCH(Calculation!$G900,'Gen. Plant Depreciation'!$E$5:$AD$5,0))</f>
        <v>45131</v>
      </c>
      <c r="BQ900" s="113"/>
      <c r="BR900" s="113"/>
      <c r="BS900" s="113"/>
      <c r="BT900" s="113"/>
      <c r="BU900" s="113"/>
      <c r="BV900" s="175"/>
      <c r="BW900" s="113">
        <f>INDEX('Gross Dx Plant'!$E$7:$AD$91,MATCH($C900,'Gross Dx Plant'!$D$7:$D$91,0),MATCH(Calculation!$G900,'Gross Dx Plant'!$E$5:$AD$5,0))</f>
        <v>2056024</v>
      </c>
      <c r="BX900" s="113">
        <f>INDEX('Gross Gen Plant'!$E$7:$AD$91,MATCH($C900,'Gross Gen Plant'!$D$7:$D$91,0),MATCH(Calculation!$G900,'Gross Gen Plant'!$E$5:$AD$5,0))</f>
        <v>71808</v>
      </c>
      <c r="BY900" s="113">
        <f t="shared" si="1605"/>
        <v>1320733</v>
      </c>
      <c r="BZ900" s="113"/>
      <c r="CA900" s="116">
        <v>2020</v>
      </c>
      <c r="CB900" s="113"/>
      <c r="CC900" s="113"/>
      <c r="CD900" s="113"/>
      <c r="CE900" s="175"/>
      <c r="CF900" s="113">
        <f t="shared" si="1608"/>
        <v>247573</v>
      </c>
      <c r="CG900" s="113">
        <f t="shared" si="1609"/>
        <v>304.48781243329728</v>
      </c>
      <c r="CH900" s="178">
        <v>0.84057971014492749</v>
      </c>
      <c r="CI900" s="61">
        <f>CI878*CH900+CG879*CH899+CG880*CH898+CG881*CH897+CG882*CH896+CG883*CH895+CG884*CH894+CG885*CH893+CG886*CH892+CG887*CH891+CG888*CH890+CG889*CH889+CG890*CH888+CG891*CH887+CG892*CH886+CG893*CH885+CG894*CH884+CG895*CH883+CG896*CH882+CG897*CH881+CG898*CH880+CG899*CH879+CG900</f>
        <v>4103.7260227137576</v>
      </c>
      <c r="CJ900" s="114">
        <f t="shared" si="1610"/>
        <v>6.8015312367575825E-2</v>
      </c>
      <c r="CK900" s="114"/>
      <c r="CL900" s="169">
        <f t="shared" si="1611"/>
        <v>9.0383651938170401E-3</v>
      </c>
      <c r="CM900" s="169">
        <f t="shared" si="1619"/>
        <v>8.8602176036139194E-3</v>
      </c>
      <c r="CN900" s="114">
        <f>VLOOKUP($H900,RoR!$E:$F,2,FALSE)</f>
        <v>2.4766666666666666E-2</v>
      </c>
      <c r="CO900" s="169">
        <v>1.1618796630994188E-2</v>
      </c>
      <c r="CP900" s="169">
        <f t="shared" si="1617"/>
        <v>1.3147870035672478E-2</v>
      </c>
      <c r="CQ900" s="169">
        <f t="shared" si="1620"/>
        <v>2.2041724004919706E-2</v>
      </c>
      <c r="CR900" s="169">
        <f t="shared" si="1621"/>
        <v>4.5144642961987357E-2</v>
      </c>
      <c r="CS900" s="179">
        <f t="shared" si="1612"/>
        <v>0.90907250000000006</v>
      </c>
      <c r="CT900" s="180">
        <f t="shared" si="1613"/>
        <v>2.0706077233668081</v>
      </c>
      <c r="CU900" s="180">
        <f t="shared" si="1614"/>
        <v>-3.4421265141318998E-2</v>
      </c>
      <c r="CV900" s="180">
        <f t="shared" si="1615"/>
        <v>0.62416226176410472</v>
      </c>
      <c r="CW900" s="180">
        <f t="shared" si="1616"/>
        <v>-4.4485877841158712E-2</v>
      </c>
      <c r="CX900" s="181">
        <f>INDEX('State Tax Lookup'!$D$7:$Z$91,MATCH(Calculation!$C900,'State Tax Lookup'!$B$7:$B$91,0),MATCH($H900,'State Tax Lookup'!$D$6:$Z$6,0))</f>
        <v>0.24574999999999997</v>
      </c>
      <c r="CY900" s="72">
        <v>0.37</v>
      </c>
      <c r="CZ900" s="70">
        <f t="shared" si="1618"/>
        <v>21.546005233154041</v>
      </c>
      <c r="DA900" s="70">
        <v>19.952659173050833</v>
      </c>
      <c r="DB900" s="69">
        <f t="shared" si="1622"/>
        <v>4.1460724531549031E-2</v>
      </c>
      <c r="DC900" s="111">
        <f>VLOOKUP($H900,RoR!$E:$F,2,FALSE)</f>
        <v>2.4766666666666666E-2</v>
      </c>
      <c r="DD900" s="216">
        <f>HLOOKUP($H900,'GDP-PI'!$D$8:$CQ$11,3,FALSE)</f>
        <v>1.1618796630994188E-2</v>
      </c>
      <c r="DE900" s="111">
        <f>VLOOKUP(H900,'HW Dx Data'!$E:$F,2,FALSE)</f>
        <v>813.080162458833</v>
      </c>
      <c r="DF900" s="72">
        <f t="shared" si="1633"/>
        <v>153.15</v>
      </c>
      <c r="DG900" s="69">
        <f t="shared" si="1634"/>
        <v>2.2951556467368479E-2</v>
      </c>
      <c r="DH900" s="66">
        <f>HLOOKUP(H900,'GDP-PI'!$8:$9,2,FALSE)</f>
        <v>113.623</v>
      </c>
      <c r="DI900" s="69">
        <f t="shared" si="1623"/>
        <v>1.1551816731392881E-2</v>
      </c>
      <c r="EB900"/>
    </row>
    <row r="901" spans="1:132" s="160" customFormat="1" ht="21">
      <c r="A901" s="160" t="s">
        <v>212</v>
      </c>
      <c r="B901" s="160" t="s">
        <v>212</v>
      </c>
      <c r="C901" s="160">
        <v>4063341</v>
      </c>
      <c r="D901" s="160" t="s">
        <v>213</v>
      </c>
      <c r="G901" s="160" t="s">
        <v>142</v>
      </c>
      <c r="H901" s="162">
        <v>2021</v>
      </c>
      <c r="I901" s="163"/>
      <c r="J901" s="159">
        <v>45991.431038048526</v>
      </c>
      <c r="K901" s="159">
        <f t="shared" si="1624"/>
        <v>292.47332933576172</v>
      </c>
      <c r="L901" s="164">
        <f t="shared" si="1631"/>
        <v>5.3811444615395249E-2</v>
      </c>
      <c r="M901" s="76">
        <f t="shared" si="1635"/>
        <v>8.4047555014968636E-4</v>
      </c>
      <c r="N901" s="166">
        <f>+N900*EXP(O901)</f>
        <v>115.36158592820186</v>
      </c>
      <c r="O901" s="114">
        <f t="shared" si="1636"/>
        <v>9.809740395827736E-3</v>
      </c>
      <c r="P901" s="114"/>
      <c r="Q901" s="159">
        <v>64831.294354839498</v>
      </c>
      <c r="R901" s="159">
        <f t="shared" si="1625"/>
        <v>547.1457030537556</v>
      </c>
      <c r="S901" s="165">
        <f t="shared" si="1637"/>
        <v>1.1308942294542991E-2</v>
      </c>
      <c r="T901" s="165">
        <f t="shared" si="1638"/>
        <v>1.7663323414844292E-4</v>
      </c>
      <c r="U901" s="165"/>
      <c r="V901" s="165"/>
      <c r="W901" s="159">
        <f t="shared" si="1606"/>
        <v>128495.6321282454</v>
      </c>
      <c r="X901" s="163"/>
      <c r="Y901" s="167">
        <v>4451.5995654113831</v>
      </c>
      <c r="Z901" s="168"/>
      <c r="AA901" s="76">
        <f t="shared" si="1626"/>
        <v>0</v>
      </c>
      <c r="AB901" s="168"/>
      <c r="AC901" s="168"/>
      <c r="AD901" s="163">
        <f t="shared" si="1645"/>
        <v>239318.35752113344</v>
      </c>
      <c r="AE901" s="168">
        <f t="shared" si="1639"/>
        <v>0.2492566842663714</v>
      </c>
      <c r="AF901" s="113"/>
      <c r="AG901" s="114"/>
      <c r="AH901" s="114"/>
      <c r="AI901" s="114"/>
      <c r="AJ901" s="116">
        <f t="shared" si="1640"/>
        <v>548.18619382526606</v>
      </c>
      <c r="AK901" s="114">
        <f>+AV901/$AX$26</f>
        <v>1.130810971333663E-2</v>
      </c>
      <c r="AL901" s="115">
        <f t="shared" si="1627"/>
        <v>0.19217677872449535</v>
      </c>
      <c r="AM901" s="115">
        <f t="shared" si="1628"/>
        <v>0.27089979651525253</v>
      </c>
      <c r="AN901" s="115">
        <f t="shared" si="1629"/>
        <v>0.53692342476025212</v>
      </c>
      <c r="AO901" s="115">
        <f t="shared" si="1632"/>
        <v>1.4688766650267889E-2</v>
      </c>
      <c r="AP901" s="166">
        <f t="shared" si="1643"/>
        <v>146.25762300971891</v>
      </c>
      <c r="AQ901" s="168">
        <f t="shared" si="1644"/>
        <v>1.4688766650267901E-2</v>
      </c>
      <c r="AR901" s="69">
        <f>+AD901/$AF$26</f>
        <v>1.5618899588308572E-2</v>
      </c>
      <c r="AS901" s="169">
        <f t="shared" si="1642"/>
        <v>2.2942237138663001E-4</v>
      </c>
      <c r="AT901" s="115"/>
      <c r="AU901" s="115"/>
      <c r="AV901" s="113">
        <f>INDEX('Total Customers'!$E$7:$E$91,MATCH(Calculation!$C901,'Total Customers'!$D$7:$D$91,0))</f>
        <v>436564</v>
      </c>
      <c r="AW901" s="68">
        <f t="shared" si="1646"/>
        <v>4.7418340045394053E-2</v>
      </c>
      <c r="AX901" s="113"/>
      <c r="AY901" s="113"/>
      <c r="AZ901" s="116"/>
      <c r="BA901" s="116"/>
      <c r="BB901" s="166"/>
      <c r="BC901" s="166"/>
      <c r="BD901" s="166"/>
      <c r="BE901" s="166"/>
      <c r="BF901" s="166"/>
      <c r="BG901" s="166"/>
      <c r="BH901" s="166"/>
      <c r="BI901" s="113"/>
      <c r="BJ901" s="113"/>
      <c r="BK901" s="113">
        <f>INDEX('Dist. Plant Gas Additions'!$E$7:$AE$91,MATCH($C901,'Dist. Plant Gas Additions'!$D$7:$D$91,0),MATCH(Calculation!$G901,'Dist. Plant Gas Additions'!$E$5:$AE$5,0))</f>
        <v>287153</v>
      </c>
      <c r="BL901" s="113">
        <f>INDEX('Gen. Plant Additions'!$E$7:$AE$91,MATCH($C901,'Gen. Plant Additions'!$D$7:$D$91,0),MATCH(Calculation!$G901,'Gen. Plant Additions'!$E$5:$AE$5,0))</f>
        <v>3068</v>
      </c>
      <c r="BM901" s="232">
        <v>0.96625297485891748</v>
      </c>
      <c r="BN901" s="61">
        <f>+BM901*BL901</f>
        <v>2964.4641268671589</v>
      </c>
      <c r="BO901" s="113"/>
      <c r="BP901" s="113"/>
      <c r="BQ901" s="175"/>
      <c r="BR901" s="175"/>
      <c r="BS901" s="170"/>
      <c r="BT901" s="176"/>
      <c r="BU901" s="177"/>
      <c r="BV901" s="177"/>
      <c r="BW901" s="113"/>
      <c r="BX901" s="113"/>
      <c r="BY901" s="113"/>
      <c r="BZ901" s="113"/>
      <c r="CA901" s="116">
        <v>2021</v>
      </c>
      <c r="CB901" s="113"/>
      <c r="CC901" s="113"/>
      <c r="CD901" s="113"/>
      <c r="CE901" s="175"/>
      <c r="CF901" s="113">
        <f t="shared" si="1608"/>
        <v>290221</v>
      </c>
      <c r="CG901" s="113">
        <f t="shared" si="1609"/>
        <v>311.05466400185657</v>
      </c>
      <c r="CH901" s="178">
        <f>+(51-23)/(51-23*0.75)</f>
        <v>0.82962962962962961</v>
      </c>
      <c r="CI901" s="113">
        <f>CI878*CH901+CG879*CH900+CG880*CH899+CG881*CH898+CG882*CH897+CG883*CH896+CG884*CH895+CG885*CH894+CG886*CH893+CG887*CH892+CG888*CH891+CG889*CH890+CG890*CH889+CG891*CH888+CG892*CH887+CG883*CH886+CG894*CH885+CG895*CH884+CG896*CH883+CG897*CH882+CG898*CH881+CG899*CH880+CG901+CG900*CH879</f>
        <v>4451.5995654113831</v>
      </c>
      <c r="CJ901" s="114"/>
      <c r="CK901" s="113"/>
      <c r="CL901" s="169">
        <f t="shared" si="1611"/>
        <v>-8.9720606326981079E-3</v>
      </c>
      <c r="CM901" s="169">
        <f t="shared" si="1619"/>
        <v>2.9780748244963274E-3</v>
      </c>
      <c r="CN901" s="114">
        <f>VLOOKUP($H901,RoR!$E:$F,2,FALSE)</f>
        <v>2.7033333333333336E-2</v>
      </c>
      <c r="CO901" s="169"/>
      <c r="CP901" s="169"/>
      <c r="CQ901" s="169">
        <f t="shared" si="1620"/>
        <v>2.7923866784037299E-2</v>
      </c>
      <c r="CR901" s="169">
        <f t="shared" si="1621"/>
        <v>7.433422950153494E-2</v>
      </c>
      <c r="CS901" s="179">
        <f t="shared" si="1612"/>
        <v>0.90907250000000006</v>
      </c>
      <c r="CT901" s="180">
        <f t="shared" si="1613"/>
        <v>1.8969932656739068</v>
      </c>
      <c r="CU901" s="180">
        <f t="shared" si="1614"/>
        <v>5.0215782983970621E-2</v>
      </c>
      <c r="CV901" s="180">
        <f t="shared" si="1615"/>
        <v>0.655952481704143</v>
      </c>
      <c r="CW901" s="180">
        <f t="shared" si="1616"/>
        <v>6.2485378865697057E-2</v>
      </c>
      <c r="CX901" s="181">
        <f>CX900</f>
        <v>0.24574999999999997</v>
      </c>
      <c r="CY901" s="72">
        <v>0.37</v>
      </c>
      <c r="CZ901" s="182">
        <f t="shared" si="1618"/>
        <v>31.311942224464676</v>
      </c>
      <c r="DA901" s="182"/>
      <c r="DB901" s="169">
        <f>LN(CZ902/CZ900)</f>
        <v>0.24554889302125543</v>
      </c>
      <c r="DC901" s="181">
        <f>VLOOKUP($H901,RoR!$E:$F,2,FALSE)</f>
        <v>2.7033333333333336E-2</v>
      </c>
      <c r="DD901" s="183">
        <f>HLOOKUP($H901,'GDP-PI'!$D$8:$CR$11,3,FALSE)</f>
        <v>4.2834637353352578E-2</v>
      </c>
      <c r="DE901" s="181">
        <f>VLOOKUP(H901,'HW Dx Data'!$E:$F,2,FALSE)</f>
        <v>933.02249921662576</v>
      </c>
      <c r="DF901" s="72">
        <f t="shared" si="1633"/>
        <v>157.25</v>
      </c>
      <c r="DG901" s="69">
        <f t="shared" si="1634"/>
        <v>2.6419062301765574E-2</v>
      </c>
      <c r="DH901" s="175">
        <f>HLOOKUP(H901,'GDP-PI'!$8:$9,2,FALSE)</f>
        <v>118.49</v>
      </c>
      <c r="DI901" s="169">
        <f t="shared" si="1623"/>
        <v>4.194261824609434E-2</v>
      </c>
      <c r="EB901"/>
    </row>
    <row r="902" spans="1:132" s="160" customFormat="1" ht="21">
      <c r="G902" s="161" t="s">
        <v>144</v>
      </c>
      <c r="H902" s="162"/>
      <c r="I902" s="163"/>
      <c r="J902" s="159">
        <v>49911.791762950561</v>
      </c>
      <c r="K902" s="159">
        <f t="shared" si="1624"/>
        <v>307.0550093076011</v>
      </c>
      <c r="L902" s="164">
        <f t="shared" ref="L902" si="1647">LN(K902/K901)</f>
        <v>4.8653434191625877E-2</v>
      </c>
      <c r="M902" s="76">
        <f t="shared" si="1635"/>
        <v>7.2740780766321019E-4</v>
      </c>
      <c r="N902" s="166">
        <f>+N901*EXP(O902)</f>
        <v>114.78590359583271</v>
      </c>
      <c r="O902" s="114">
        <f t="shared" si="1636"/>
        <v>-5.0027357170846463E-3</v>
      </c>
      <c r="P902" s="114"/>
      <c r="Q902" s="163">
        <v>70357.585979098978</v>
      </c>
      <c r="R902" s="159">
        <f t="shared" si="1625"/>
        <v>552.90833775323358</v>
      </c>
      <c r="S902" s="165">
        <f t="shared" ref="S902" si="1648">LN(R902/R901)</f>
        <v>1.047709875900675E-2</v>
      </c>
      <c r="T902" s="165">
        <f t="shared" si="1638"/>
        <v>1.5664101754757061E-4</v>
      </c>
      <c r="U902" s="166"/>
      <c r="V902" s="114"/>
      <c r="W902" s="159">
        <f t="shared" si="1606"/>
        <v>122609.29114749534</v>
      </c>
      <c r="X902" s="168"/>
      <c r="Y902" s="167">
        <v>4618.1245852220627</v>
      </c>
      <c r="Z902" s="168">
        <v>3.6725204253679547E-2</v>
      </c>
      <c r="AA902" s="76">
        <f t="shared" si="1626"/>
        <v>5.4907121678063645E-4</v>
      </c>
      <c r="AB902" s="166"/>
      <c r="AC902" s="114"/>
      <c r="AD902" s="163">
        <f t="shared" si="1645"/>
        <v>242878.6688895449</v>
      </c>
      <c r="AE902" s="168">
        <f t="shared" si="1639"/>
        <v>1.4767308274146032E-2</v>
      </c>
      <c r="AF902" s="113"/>
      <c r="AG902" s="114"/>
      <c r="AH902" s="114"/>
      <c r="AI902" s="114"/>
      <c r="AJ902" s="116">
        <f t="shared" si="1640"/>
        <v>531.05645324050488</v>
      </c>
      <c r="AK902" s="114"/>
      <c r="AL902" s="115">
        <f t="shared" si="1627"/>
        <v>0.20550092764897845</v>
      </c>
      <c r="AM902" s="115">
        <f t="shared" si="1628"/>
        <v>0.28968203054133107</v>
      </c>
      <c r="AN902" s="115">
        <f t="shared" si="1629"/>
        <v>0.50481704180969045</v>
      </c>
      <c r="AO902" s="115"/>
      <c r="AP902" s="166"/>
      <c r="AQ902" s="168"/>
      <c r="AR902" s="69">
        <f>+AD902/$AF$27</f>
        <v>1.4950800899238682E-2</v>
      </c>
      <c r="AS902" s="169"/>
      <c r="AT902" s="166"/>
      <c r="AU902" s="168"/>
      <c r="AV902" s="113">
        <v>457350</v>
      </c>
      <c r="AW902" s="68">
        <f t="shared" si="1646"/>
        <v>4.6513976722850792E-2</v>
      </c>
      <c r="AX902" s="113"/>
      <c r="AY902" s="113"/>
      <c r="AZ902" s="113"/>
      <c r="BA902" s="113"/>
      <c r="BB902" s="171"/>
      <c r="BC902" s="172"/>
      <c r="BD902" s="173"/>
      <c r="BE902" s="115"/>
      <c r="BF902" s="174"/>
      <c r="BG902" s="174"/>
      <c r="BH902" s="166"/>
      <c r="BI902" s="113"/>
      <c r="BJ902" s="113"/>
      <c r="BK902" s="113"/>
      <c r="BL902" s="113"/>
      <c r="BM902" s="232">
        <v>0.96625297485891748</v>
      </c>
      <c r="BN902" s="61">
        <f t="shared" ref="BN902:BN918" si="1649">+BM902*BL902</f>
        <v>0</v>
      </c>
      <c r="BO902" s="113"/>
      <c r="BP902" s="113"/>
      <c r="BQ902" s="175"/>
      <c r="BR902" s="175"/>
      <c r="BS902" s="170"/>
      <c r="BT902" s="176"/>
      <c r="BU902" s="177"/>
      <c r="BV902" s="177"/>
      <c r="BW902" s="113"/>
      <c r="BX902" s="113"/>
      <c r="BY902" s="113"/>
      <c r="BZ902" s="113"/>
      <c r="CA902" s="116">
        <v>2022</v>
      </c>
      <c r="CB902" s="113"/>
      <c r="CC902" s="113"/>
      <c r="CD902" s="113"/>
      <c r="CE902" s="175"/>
      <c r="CF902" s="238">
        <v>211320</v>
      </c>
      <c r="CG902" s="113">
        <f>+CF902/DE902</f>
        <v>205.00383193799053</v>
      </c>
      <c r="CH902" s="178">
        <f>+(51-24)/(51-24*0.75)</f>
        <v>0.81818181818181823</v>
      </c>
      <c r="CI902" s="113">
        <f>+CI878*CH902+CG879*CH901+CG880*CH900+CG881*CH899+CG882*CH898+CG883*CH897+CG884*CH896+CG885*CH895+CG886*CH894+CG887*CH893+CG888*CH892+CG889*CH891+CG890*CH890+CG891*CH889+CG892*CH888+CG893*CH887+CG894*CH886+CG895*CH885+CG896*CH884+CG897*CH883+CG898*CH882+CG899*CH881+CG900*CH880+CG901*CH879+CG902*CH878</f>
        <v>4541.5818663893006</v>
      </c>
      <c r="CJ902" s="114">
        <f t="shared" ref="CJ902" si="1650">LN(CI902/CI901)</f>
        <v>2.001189559431072E-2</v>
      </c>
      <c r="CK902" s="113"/>
      <c r="CL902" s="169">
        <f t="shared" si="1611"/>
        <v>2.583824741420641E-2</v>
      </c>
      <c r="CM902" s="169">
        <f t="shared" si="1619"/>
        <v>8.6348506584417797E-3</v>
      </c>
      <c r="CN902" s="114"/>
      <c r="CO902" s="169"/>
      <c r="CP902" s="169"/>
      <c r="CQ902" s="69">
        <f t="shared" si="1620"/>
        <v>2.2267090950091845E-2</v>
      </c>
      <c r="CR902" s="169">
        <f t="shared" si="1621"/>
        <v>0.10114668178709289</v>
      </c>
      <c r="CS902" s="179">
        <f t="shared" si="1612"/>
        <v>0.90907250000000006</v>
      </c>
      <c r="CT902" s="180">
        <f t="shared" si="1613"/>
        <v>1.2820512820512819</v>
      </c>
      <c r="CU902" s="180">
        <f t="shared" si="1614"/>
        <v>0.35000000000000003</v>
      </c>
      <c r="CV902" s="180">
        <f t="shared" si="1615"/>
        <v>0.79171095533705893</v>
      </c>
      <c r="CW902" s="180">
        <f t="shared" si="1616"/>
        <v>0.35525491585637264</v>
      </c>
      <c r="CX902" s="181">
        <f>CX901</f>
        <v>0.24574999999999997</v>
      </c>
      <c r="CY902" s="72">
        <v>0.37</v>
      </c>
      <c r="CZ902" s="182">
        <f t="shared" si="1618"/>
        <v>27.542749374890086</v>
      </c>
      <c r="DA902" s="182"/>
      <c r="DB902" s="169">
        <f t="shared" ref="DB902" si="1651">LN(CZ902/CZ901)</f>
        <v>-0.12826024511959397</v>
      </c>
      <c r="DC902" s="181">
        <v>0.04</v>
      </c>
      <c r="DD902" s="183">
        <v>7.0000000000000001E-3</v>
      </c>
      <c r="DE902" s="181">
        <v>1030.81</v>
      </c>
      <c r="DF902" s="72">
        <f t="shared" si="1633"/>
        <v>162.55000000000001</v>
      </c>
      <c r="DG902" s="169">
        <f t="shared" si="1634"/>
        <v>3.3148751169364422E-2</v>
      </c>
      <c r="DH902" s="175">
        <v>127.25</v>
      </c>
      <c r="DI902" s="169">
        <f t="shared" si="1623"/>
        <v>7.1325086601983473E-2</v>
      </c>
      <c r="EB902"/>
    </row>
    <row r="903" spans="1:132" s="160" customFormat="1" ht="21">
      <c r="A903" s="160" t="s">
        <v>214</v>
      </c>
      <c r="B903" s="160" t="s">
        <v>214</v>
      </c>
      <c r="C903" s="160">
        <v>4057139</v>
      </c>
      <c r="D903" s="161" t="s">
        <v>215</v>
      </c>
      <c r="E903" s="161"/>
      <c r="F903" s="189"/>
      <c r="G903" s="160" t="s">
        <v>100</v>
      </c>
      <c r="H903" s="162">
        <v>1998</v>
      </c>
      <c r="I903" s="163"/>
      <c r="J903" s="159"/>
      <c r="K903" s="159"/>
      <c r="L903" s="159"/>
      <c r="M903" s="60"/>
      <c r="N903" s="131"/>
      <c r="O903" s="76"/>
      <c r="P903" s="76"/>
      <c r="Q903" s="165"/>
      <c r="R903" s="165"/>
      <c r="S903" s="165"/>
      <c r="T903" s="159"/>
      <c r="U903" s="165"/>
      <c r="V903" s="165"/>
      <c r="W903" s="159"/>
      <c r="X903" s="163"/>
      <c r="Y903" s="167">
        <v>2363.3914663887476</v>
      </c>
      <c r="Z903" s="168"/>
      <c r="AA903" s="78"/>
      <c r="AB903" s="168"/>
      <c r="AC903" s="168"/>
      <c r="AD903" s="163">
        <f t="shared" si="1645"/>
        <v>0</v>
      </c>
      <c r="AE903" s="163"/>
      <c r="AF903" s="163"/>
      <c r="AG903" s="114"/>
      <c r="AH903" s="114"/>
      <c r="AI903" s="114"/>
      <c r="AJ903" s="166">
        <f>+(AJ900+AJ901+AJ902)/3</f>
        <v>509.07840678116577</v>
      </c>
      <c r="AK903" s="168"/>
      <c r="AL903" s="115"/>
      <c r="AM903" s="115"/>
      <c r="AN903" s="115"/>
      <c r="AO903" s="115"/>
      <c r="AP903" s="115"/>
      <c r="AQ903" s="168">
        <f>AVERAGE(AQ912:AQ926)</f>
        <v>1.1649237412765058E-2</v>
      </c>
      <c r="AR903" s="79"/>
      <c r="AS903" s="115"/>
      <c r="AT903" s="115"/>
      <c r="AU903" s="115"/>
      <c r="AV903" s="113">
        <f>IFERROR(INDEX('Total Customers'!$F$7:$AB$91,MATCH($C903,'Total Customers'!$D$7:$D$91,0),MATCH($G903,'Total Customers'!$F$5:$AB$5,0)),"NA")</f>
        <v>325844</v>
      </c>
      <c r="AW903" s="68"/>
      <c r="AX903" s="114"/>
      <c r="AY903" s="114"/>
      <c r="AZ903" s="116"/>
      <c r="BA903" s="116"/>
      <c r="BB903" s="166"/>
      <c r="BC903" s="166"/>
      <c r="BD903" s="166"/>
      <c r="BE903" s="166"/>
      <c r="BF903" s="166"/>
      <c r="BG903" s="166"/>
      <c r="BH903" s="166"/>
      <c r="BI903" s="113">
        <f>INDEX('Gross Dx Plant'!$E$7:$AD$91,MATCH($C903,'Gross Dx Plant'!$D$7:$D$91,0),MATCH(Calculation!$G903,'Gross Dx Plant'!$E$5:$AD$5,0))</f>
        <v>542232</v>
      </c>
      <c r="BJ903" s="113">
        <f>INDEX('Gross Gen Plant'!$E$7:$AD$91,MATCH($C903,'Gross Gen Plant'!$D$7:$D$91,0),MATCH(Calculation!$G903,'Gross Gen Plant'!$E$5:$AD$5,0))</f>
        <v>81543</v>
      </c>
      <c r="BK903" s="113">
        <f>INDEX('Dist. Plant Gas Additions'!$F$7:$AE$91,MATCH($C903,'Dist. Plant Gas Additions'!$D$7:$D$91,0),MATCH(Calculation!$G903,'Dist. Plant Gas Additions'!$F$5:$AE$5,0))</f>
        <v>40284</v>
      </c>
      <c r="BL903" s="113">
        <f>INDEX('Gen. Plant Additions'!$F$7:$AE$91,MATCH($C903,'Gen. Plant Additions'!$D$7:$D$91,0),MATCH(Calculation!$G903,'Gen. Plant Additions'!$F$5:$AE$5,0))</f>
        <v>9065</v>
      </c>
      <c r="BM903" s="231">
        <f>+(BW903/(BW903+BX903))</f>
        <v>0.86927497895875916</v>
      </c>
      <c r="BN903" s="61">
        <f t="shared" si="1649"/>
        <v>7879.9776842611518</v>
      </c>
      <c r="BO903" s="113">
        <f>INDEX('Dist Plant Depreciation'!$E$7:$AD$94,MATCH($C903,'Dist Plant Depreciation'!$D$7:$D$94,0),MATCH(Calculation!$G903,'Dist Plant Depreciation'!$E$5:$AD$5,0))</f>
        <v>147033</v>
      </c>
      <c r="BP903" s="113">
        <f>INDEX('Gen. Plant Depreciation'!$E$7:$AD$94,MATCH($C903,'Gen. Plant Depreciation'!$D$7:$D$94,0),MATCH(Calculation!$G903,'Gen. Plant Depreciation'!$E$5:$AD$5,0))</f>
        <v>0</v>
      </c>
      <c r="BQ903" s="113"/>
      <c r="BR903" s="113"/>
      <c r="BS903" s="113"/>
      <c r="BT903" s="113"/>
      <c r="BU903" s="113"/>
      <c r="BV903" s="175"/>
      <c r="BW903" s="113">
        <f>INDEX('Gross Dx Plant'!$E$7:$AD$91,MATCH($C903,'Gross Dx Plant'!$D$7:$D$91,0),MATCH(Calculation!$G903,'Gross Dx Plant'!$E$5:$AD$5,0))</f>
        <v>542232</v>
      </c>
      <c r="BX903" s="113">
        <f>INDEX('Gross Gen Plant'!$E$7:$AD$91,MATCH($C903,'Gross Gen Plant'!$D$7:$D$91,0),MATCH(Calculation!$G903,'Gross Gen Plant'!$E$5:$AD$5,0))</f>
        <v>81543</v>
      </c>
      <c r="BY903" s="113">
        <f t="shared" si="1605"/>
        <v>476742</v>
      </c>
      <c r="BZ903" s="113"/>
      <c r="CA903" s="116">
        <v>1998</v>
      </c>
      <c r="CB903" s="113">
        <f>BI903+BJ903</f>
        <v>623775</v>
      </c>
      <c r="CC903" s="113">
        <f>147033+0</f>
        <v>147033</v>
      </c>
      <c r="CD903" s="113">
        <f>+CB903-CC903</f>
        <v>476742</v>
      </c>
      <c r="CE903" s="113">
        <f>CD903/$BV$3</f>
        <v>2363.3914663887476</v>
      </c>
      <c r="CF903" s="175"/>
      <c r="CG903" s="175"/>
      <c r="CH903" s="178">
        <v>1</v>
      </c>
      <c r="CI903" s="113">
        <f>+CE903</f>
        <v>2363.3914663887476</v>
      </c>
      <c r="CJ903" s="114"/>
      <c r="CK903" s="114"/>
      <c r="CL903" s="169"/>
      <c r="CM903" s="169"/>
      <c r="CN903" s="114" t="e">
        <f>VLOOKUP($H903,RoR!$E:$F,2,FALSE)</f>
        <v>#N/A</v>
      </c>
      <c r="CO903" s="169">
        <v>1.1028127770464469E-2</v>
      </c>
      <c r="CP903" s="169"/>
      <c r="CQ903" s="169"/>
      <c r="CR903" s="169"/>
      <c r="CS903" s="179"/>
      <c r="CT903" s="182" t="e">
        <f>2/(DC903*39)</f>
        <v>#N/A</v>
      </c>
      <c r="CU903" s="180" t="e">
        <f>+(DC903*40-(1+DC903))/(DC903*40)</f>
        <v>#N/A</v>
      </c>
      <c r="CV903" s="180" t="e">
        <f>+(1-(1/(1+DC903)^40))</f>
        <v>#N/A</v>
      </c>
      <c r="CW903" s="180" t="e">
        <f>+CV903*CU903*CT903</f>
        <v>#N/A</v>
      </c>
      <c r="CX903" s="181">
        <f>INDEX('State Tax Lookup'!$D$7:$Z$91,MATCH(Calculation!$C903,'State Tax Lookup'!$B$7:$B$91,0),MATCH($H903,'State Tax Lookup'!$D$6:$Z$6,0))</f>
        <v>0.35</v>
      </c>
      <c r="CY903" s="72">
        <v>0.37</v>
      </c>
      <c r="CZ903" s="66"/>
      <c r="DA903" s="66"/>
      <c r="DB903" s="69"/>
      <c r="DC903" s="111" t="e">
        <f>VLOOKUP($H903,RoR!$E:$F,2,FALSE)</f>
        <v>#N/A</v>
      </c>
      <c r="DD903" s="216">
        <f>HLOOKUP($H903,'GDP-PI'!$D$8:$CQ$11,3,FALSE)</f>
        <v>1.1028127770464469E-2</v>
      </c>
      <c r="DE903" s="111">
        <f>VLOOKUP(H903,'HW Dx Data'!$E:$F,2,FALSE)</f>
        <v>329.24564746449528</v>
      </c>
      <c r="DF903" s="72" t="e">
        <f t="shared" si="1633"/>
        <v>#N/A</v>
      </c>
      <c r="DG903" s="169" t="e">
        <f t="shared" si="1634"/>
        <v>#N/A</v>
      </c>
      <c r="DH903" s="66">
        <f>HLOOKUP(H903,'GDP-PI'!$8:$9,2,FALSE)</f>
        <v>75.266999999999996</v>
      </c>
      <c r="DI903"/>
      <c r="EB903"/>
    </row>
    <row r="904" spans="1:132" s="160" customFormat="1" ht="21">
      <c r="A904" s="160" t="s">
        <v>214</v>
      </c>
      <c r="B904" s="160" t="s">
        <v>214</v>
      </c>
      <c r="C904" s="160">
        <v>4057139</v>
      </c>
      <c r="D904" s="161" t="s">
        <v>215</v>
      </c>
      <c r="E904" s="161"/>
      <c r="F904" s="189"/>
      <c r="G904" s="160" t="s">
        <v>106</v>
      </c>
      <c r="H904" s="162">
        <v>1999</v>
      </c>
      <c r="I904" s="163"/>
      <c r="J904" s="159"/>
      <c r="K904" s="163"/>
      <c r="L904" s="163"/>
      <c r="M904" s="60"/>
      <c r="N904" s="152"/>
      <c r="O904" s="60"/>
      <c r="P904" s="59"/>
      <c r="Q904" s="169"/>
      <c r="R904" s="169"/>
      <c r="S904" s="169"/>
      <c r="T904" s="187"/>
      <c r="U904" s="169"/>
      <c r="V904" s="169"/>
      <c r="W904" s="159">
        <f t="shared" ref="W904:W927" si="1652">+CI903*CZ904</f>
        <v>0</v>
      </c>
      <c r="X904" s="163"/>
      <c r="Y904" s="167">
        <v>2490.5671735508117</v>
      </c>
      <c r="Z904" s="168">
        <v>5.2412815599867255E-2</v>
      </c>
      <c r="AA904" s="78"/>
      <c r="AB904" s="168"/>
      <c r="AC904" s="168"/>
      <c r="AD904" s="163">
        <f t="shared" si="1645"/>
        <v>0</v>
      </c>
      <c r="AE904" s="168"/>
      <c r="AF904" s="163"/>
      <c r="AG904" s="114"/>
      <c r="AH904" s="114"/>
      <c r="AI904" s="114"/>
      <c r="AJ904" s="167"/>
      <c r="AK904" s="168"/>
      <c r="AL904" s="115"/>
      <c r="AM904" s="115"/>
      <c r="AN904" s="115"/>
      <c r="AO904" s="115"/>
      <c r="AP904" s="115"/>
      <c r="AQ904" s="168"/>
      <c r="AR904" s="79"/>
      <c r="AS904" s="115"/>
      <c r="AT904" s="115"/>
      <c r="AU904" s="115"/>
      <c r="AV904" s="113">
        <f>IFERROR(INDEX('Total Customers'!$F$7:$AB$91,MATCH($C904,'Total Customers'!$D$7:$D$91,0),MATCH($G904,'Total Customers'!$F$5:$AB$5,0)),"NA")</f>
        <v>342398</v>
      </c>
      <c r="AW904" s="68">
        <f t="shared" si="1646"/>
        <v>4.9555063900561094E-2</v>
      </c>
      <c r="AX904" s="114"/>
      <c r="AY904" s="114"/>
      <c r="AZ904" s="116"/>
      <c r="BA904" s="116"/>
      <c r="BB904" s="166"/>
      <c r="BC904" s="166"/>
      <c r="BD904" s="166"/>
      <c r="BE904" s="166"/>
      <c r="BF904" s="166"/>
      <c r="BG904" s="166"/>
      <c r="BH904" s="166"/>
      <c r="BI904" s="113"/>
      <c r="BJ904" s="113"/>
      <c r="BK904" s="113">
        <f>INDEX('Dist. Plant Gas Additions'!$F$7:$AE$91,MATCH($C904,'Dist. Plant Gas Additions'!$D$7:$D$91,0),MATCH(Calculation!$G904,'Dist. Plant Gas Additions'!$F$5:$AE$5,0))</f>
        <v>27352</v>
      </c>
      <c r="BL904" s="113">
        <f>INDEX('Gen. Plant Additions'!$F$7:$AE$91,MATCH($C904,'Gen. Plant Additions'!$D$7:$D$91,0),MATCH(Calculation!$G904,'Gen. Plant Additions'!$F$5:$AE$5,0))</f>
        <v>19236</v>
      </c>
      <c r="BM904" s="231">
        <f t="shared" ref="BM904:BM925" si="1653">+(BW904/(BW904+BX904))</f>
        <v>0.86219879518072284</v>
      </c>
      <c r="BN904" s="61">
        <f t="shared" si="1649"/>
        <v>16585.256024096383</v>
      </c>
      <c r="BO904" s="113">
        <f>INDEX('Dist Plant Depreciation'!$E$7:$AD$94,MATCH($C904,'Dist Plant Depreciation'!$D$7:$D$94,0),MATCH(Calculation!$G904,'Dist Plant Depreciation'!$E$5:$AD$5,0))</f>
        <v>161949</v>
      </c>
      <c r="BP904" s="113">
        <f>INDEX('Gen. Plant Depreciation'!$E$7:$AD$94,MATCH($C904,'Gen. Plant Depreciation'!$D$7:$D$94,0),MATCH(Calculation!$G904,'Gen. Plant Depreciation'!$E$5:$AD$5,0))</f>
        <v>37540</v>
      </c>
      <c r="BQ904" s="113"/>
      <c r="BR904" s="113"/>
      <c r="BS904" s="113"/>
      <c r="BT904" s="113"/>
      <c r="BU904" s="113"/>
      <c r="BV904" s="175"/>
      <c r="BW904" s="113">
        <f>INDEX('Gross Dx Plant'!$E$7:$AD$91,MATCH($C904,'Gross Dx Plant'!$D$7:$D$91,0),MATCH(Calculation!$G904,'Gross Dx Plant'!$E$5:$AD$5,0))</f>
        <v>564485</v>
      </c>
      <c r="BX904" s="113">
        <f>INDEX('Gross Gen Plant'!$E$7:$AD$91,MATCH($C904,'Gross Gen Plant'!$D$7:$D$91,0),MATCH(Calculation!$G904,'Gross Gen Plant'!$E$5:$AD$5,0))</f>
        <v>90219</v>
      </c>
      <c r="BY904" s="113">
        <f t="shared" si="1605"/>
        <v>455215</v>
      </c>
      <c r="BZ904" s="113"/>
      <c r="CA904" s="116">
        <v>1999</v>
      </c>
      <c r="CB904" s="113"/>
      <c r="CC904" s="113"/>
      <c r="CD904" s="113"/>
      <c r="CE904" s="175"/>
      <c r="CF904" s="113">
        <f t="shared" ref="CF904:CF926" si="1654">+BL904+BK904</f>
        <v>46588</v>
      </c>
      <c r="CG904" s="113">
        <f t="shared" ref="CG904:CG926" si="1655">+CF904/$DE904</f>
        <v>138.93387366151057</v>
      </c>
      <c r="CH904" s="178">
        <v>0.99502487562189057</v>
      </c>
      <c r="CI904" s="61">
        <f>+CI903*CH904+CG904</f>
        <v>2490.5671735508117</v>
      </c>
      <c r="CJ904" s="114">
        <f t="shared" ref="CJ904:CJ925" si="1656">LN(CI904/CI903)</f>
        <v>5.2412815599867255E-2</v>
      </c>
      <c r="CK904" s="114"/>
      <c r="CL904" s="169">
        <f t="shared" ref="CL904:CL927" si="1657">+(CI903-CI904+CG904)/CI903</f>
        <v>4.9751243781094396E-3</v>
      </c>
      <c r="CM904" s="169"/>
      <c r="CN904" s="114">
        <f>VLOOKUP($H904,RoR!$E:$F,2,FALSE)</f>
        <v>7.0416666666666669E-2</v>
      </c>
      <c r="CO904" s="169">
        <v>1.4335631817396832E-2</v>
      </c>
      <c r="CP904" s="169">
        <f>+CN904-CO904</f>
        <v>5.6081034849269837E-2</v>
      </c>
      <c r="CQ904" s="169"/>
      <c r="CR904" s="169"/>
      <c r="CS904" s="179">
        <f t="shared" ref="CS904:CS927" si="1658">1-CX904*CY904</f>
        <v>0.87050000000000005</v>
      </c>
      <c r="CT904" s="180">
        <f t="shared" ref="CT904:CT927" si="1659">2/(DC904*39)</f>
        <v>0.72826581702321336</v>
      </c>
      <c r="CU904" s="180">
        <f t="shared" ref="CU904:CU927" si="1660">+(DC904*40-(1+DC904))/(DC904*40)</f>
        <v>0.61997041420118348</v>
      </c>
      <c r="CV904" s="180">
        <f t="shared" ref="CV904:CV927" si="1661">+(1-(1/(1+DC904)^40))</f>
        <v>0.93425155319585029</v>
      </c>
      <c r="CW904" s="180">
        <f t="shared" ref="CW904:CW927" si="1662">+CV904*CU904*CT904</f>
        <v>0.42181762214141483</v>
      </c>
      <c r="CX904" s="181">
        <f>INDEX('State Tax Lookup'!$D$7:$Z$91,MATCH(Calculation!$C904,'State Tax Lookup'!$B$7:$B$91,0),MATCH($H904,'State Tax Lookup'!$D$6:$Z$6,0))</f>
        <v>0.35</v>
      </c>
      <c r="CY904" s="72">
        <v>0.37</v>
      </c>
      <c r="CZ904" s="70"/>
      <c r="DA904" s="70"/>
      <c r="DB904" s="69"/>
      <c r="DC904" s="111">
        <f>VLOOKUP($H904,RoR!$E:$F,2,FALSE)</f>
        <v>7.0416666666666669E-2</v>
      </c>
      <c r="DD904" s="216">
        <f>HLOOKUP($H904,'GDP-PI'!$D$8:$CQ$11,3,FALSE)</f>
        <v>1.4335631817396832E-2</v>
      </c>
      <c r="DE904" s="111">
        <f>VLOOKUP(H904,'HW Dx Data'!$E:$F,2,FALSE)</f>
        <v>335.32499146683239</v>
      </c>
      <c r="DF904" s="66"/>
      <c r="DG904" s="69"/>
      <c r="DH904" s="66">
        <f>HLOOKUP(H904,'GDP-PI'!$8:$9,2,FALSE)</f>
        <v>76.346000000000004</v>
      </c>
      <c r="DI904"/>
      <c r="EB904"/>
    </row>
    <row r="905" spans="1:132" s="160" customFormat="1" ht="21">
      <c r="A905" s="160" t="s">
        <v>214</v>
      </c>
      <c r="B905" s="160" t="s">
        <v>214</v>
      </c>
      <c r="C905" s="160">
        <v>4057139</v>
      </c>
      <c r="D905" s="161" t="s">
        <v>215</v>
      </c>
      <c r="E905" s="161"/>
      <c r="F905" s="189"/>
      <c r="G905" s="160" t="s">
        <v>107</v>
      </c>
      <c r="H905" s="162">
        <v>2000</v>
      </c>
      <c r="I905" s="163"/>
      <c r="J905" s="159"/>
      <c r="K905" s="159"/>
      <c r="L905" s="159"/>
      <c r="M905" s="60"/>
      <c r="N905" s="152"/>
      <c r="O905" s="60"/>
      <c r="P905" s="60"/>
      <c r="Q905" s="159"/>
      <c r="R905" s="159"/>
      <c r="S905" s="159"/>
      <c r="T905" s="159"/>
      <c r="U905" s="159"/>
      <c r="V905" s="159"/>
      <c r="W905" s="159">
        <f t="shared" si="1652"/>
        <v>0</v>
      </c>
      <c r="X905" s="163"/>
      <c r="Y905" s="167">
        <v>2558.9426191486659</v>
      </c>
      <c r="Z905" s="168">
        <v>2.7083668691090371E-2</v>
      </c>
      <c r="AA905" s="78"/>
      <c r="AB905" s="168"/>
      <c r="AC905" s="168"/>
      <c r="AD905" s="163">
        <f t="shared" si="1645"/>
        <v>0</v>
      </c>
      <c r="AE905" s="168"/>
      <c r="AF905" s="163"/>
      <c r="AG905" s="163"/>
      <c r="AH905" s="163"/>
      <c r="AI905" s="163"/>
      <c r="AJ905" s="167"/>
      <c r="AK905" s="168"/>
      <c r="AL905" s="115"/>
      <c r="AM905" s="115"/>
      <c r="AN905" s="115"/>
      <c r="AO905" s="115"/>
      <c r="AP905" s="115"/>
      <c r="AQ905" s="168"/>
      <c r="AR905" s="79"/>
      <c r="AS905" s="115"/>
      <c r="AT905" s="115"/>
      <c r="AU905" s="115"/>
      <c r="AV905" s="113">
        <f>IFERROR(INDEX('Total Customers'!$F$7:$AB$91,MATCH($C905,'Total Customers'!$D$7:$D$91,0),MATCH($G905,'Total Customers'!$F$5:$AB$5,0)),"NA")</f>
        <v>357736</v>
      </c>
      <c r="AW905" s="68">
        <f t="shared" si="1646"/>
        <v>4.3821481068697946E-2</v>
      </c>
      <c r="AX905" s="114"/>
      <c r="AY905" s="114"/>
      <c r="AZ905" s="116"/>
      <c r="BA905" s="116"/>
      <c r="BB905" s="166"/>
      <c r="BC905" s="166"/>
      <c r="BD905" s="166"/>
      <c r="BE905" s="166"/>
      <c r="BF905" s="166"/>
      <c r="BG905" s="166"/>
      <c r="BH905" s="166"/>
      <c r="BI905" s="113"/>
      <c r="BJ905" s="113"/>
      <c r="BK905" s="113">
        <f>INDEX('Dist. Plant Gas Additions'!$F$7:$AE$91,MATCH($C905,'Dist. Plant Gas Additions'!$D$7:$D$91,0),MATCH(Calculation!$G905,'Dist. Plant Gas Additions'!$F$5:$AE$5,0))</f>
        <v>21130</v>
      </c>
      <c r="BL905" s="113">
        <f>INDEX('Gen. Plant Additions'!$F$7:$AE$91,MATCH($C905,'Gen. Plant Additions'!$D$7:$D$91,0),MATCH(Calculation!$G905,'Gen. Plant Additions'!$F$5:$AE$5,0))</f>
        <v>7002</v>
      </c>
      <c r="BM905" s="231">
        <f t="shared" si="1653"/>
        <v>0.87804429490542257</v>
      </c>
      <c r="BN905" s="61">
        <f t="shared" si="1649"/>
        <v>6148.0661529277686</v>
      </c>
      <c r="BO905" s="113">
        <f>INDEX('Dist Plant Depreciation'!$E$7:$AD$94,MATCH($C905,'Dist Plant Depreciation'!$D$7:$D$94,0),MATCH(Calculation!$G905,'Dist Plant Depreciation'!$E$5:$AD$5,0))</f>
        <v>177315</v>
      </c>
      <c r="BP905" s="113">
        <f>INDEX('Gen. Plant Depreciation'!$E$7:$AD$94,MATCH($C905,'Gen. Plant Depreciation'!$D$7:$D$94,0),MATCH(Calculation!$G905,'Gen. Plant Depreciation'!$E$5:$AD$5,0))</f>
        <v>31121</v>
      </c>
      <c r="BQ905" s="113"/>
      <c r="BR905" s="113"/>
      <c r="BS905" s="113"/>
      <c r="BT905" s="113"/>
      <c r="BU905" s="113"/>
      <c r="BV905" s="175"/>
      <c r="BW905" s="113">
        <f>INDEX('Gross Dx Plant'!$E$7:$AD$91,MATCH($C905,'Gross Dx Plant'!$D$7:$D$91,0),MATCH(Calculation!$G905,'Gross Dx Plant'!$E$5:$AD$5,0))</f>
        <v>582470</v>
      </c>
      <c r="BX905" s="113">
        <f>INDEX('Gross Gen Plant'!$E$7:$AD$91,MATCH($C905,'Gross Gen Plant'!$D$7:$D$91,0),MATCH(Calculation!$G905,'Gross Gen Plant'!$E$5:$AD$5,0))</f>
        <v>80902</v>
      </c>
      <c r="BY905" s="113">
        <f t="shared" si="1605"/>
        <v>454936</v>
      </c>
      <c r="BZ905" s="113"/>
      <c r="CA905" s="116">
        <v>2000</v>
      </c>
      <c r="CB905" s="113"/>
      <c r="CC905" s="113"/>
      <c r="CD905" s="113"/>
      <c r="CE905" s="175"/>
      <c r="CF905" s="113">
        <f t="shared" si="1654"/>
        <v>28132</v>
      </c>
      <c r="CG905" s="113">
        <f t="shared" si="1655"/>
        <v>81.181133474839982</v>
      </c>
      <c r="CH905" s="178">
        <v>0.98989898989898994</v>
      </c>
      <c r="CI905" s="61">
        <f>+CI903*CH905+CG904*CH904+CG905</f>
        <v>2558.9426191486659</v>
      </c>
      <c r="CJ905" s="114">
        <f t="shared" si="1656"/>
        <v>2.7083668691090371E-2</v>
      </c>
      <c r="CK905" s="114"/>
      <c r="CL905" s="169">
        <f t="shared" si="1657"/>
        <v>5.1416753633384904E-3</v>
      </c>
      <c r="CM905" s="169"/>
      <c r="CN905" s="114">
        <f>VLOOKUP($H905,RoR!$E:$F,2,FALSE)</f>
        <v>7.6225000000000001E-2</v>
      </c>
      <c r="CO905" s="169">
        <v>2.2568307442433211E-2</v>
      </c>
      <c r="CP905" s="169">
        <f t="shared" ref="CP905:CP925" si="1663">+CN905-CO905</f>
        <v>5.365669255756679E-2</v>
      </c>
      <c r="CQ905" s="169"/>
      <c r="CR905" s="169"/>
      <c r="CS905" s="179">
        <f t="shared" si="1658"/>
        <v>0.87050000000000005</v>
      </c>
      <c r="CT905" s="180">
        <f t="shared" si="1659"/>
        <v>0.67277207323124022</v>
      </c>
      <c r="CU905" s="180">
        <f t="shared" si="1660"/>
        <v>0.6470236142997704</v>
      </c>
      <c r="CV905" s="180">
        <f t="shared" si="1661"/>
        <v>0.94704866037543145</v>
      </c>
      <c r="CW905" s="180">
        <f t="shared" si="1662"/>
        <v>0.41224973107878493</v>
      </c>
      <c r="CX905" s="181">
        <f>INDEX('State Tax Lookup'!$D$7:$Z$91,MATCH(Calculation!$C905,'State Tax Lookup'!$B$7:$B$91,0),MATCH($H905,'State Tax Lookup'!$D$6:$Z$6,0))</f>
        <v>0.35</v>
      </c>
      <c r="CY905" s="72">
        <v>0.37</v>
      </c>
      <c r="CZ905" s="70"/>
      <c r="DA905" s="70"/>
      <c r="DB905" s="69"/>
      <c r="DC905" s="111">
        <f>VLOOKUP($H905,RoR!$E:$F,2,FALSE)</f>
        <v>7.6225000000000001E-2</v>
      </c>
      <c r="DD905" s="216">
        <f>HLOOKUP($H905,'GDP-PI'!$D$8:$CQ$11,3,FALSE)</f>
        <v>2.2568307442433211E-2</v>
      </c>
      <c r="DE905" s="111">
        <f>VLOOKUP(H905,'HW Dx Data'!$E:$F,2,FALSE)</f>
        <v>346.53371782150339</v>
      </c>
      <c r="DF905" s="66"/>
      <c r="DG905" s="69"/>
      <c r="DH905" s="66">
        <f>HLOOKUP(H905,'GDP-PI'!$8:$9,2,FALSE)</f>
        <v>78.069000000000003</v>
      </c>
      <c r="DI905"/>
      <c r="EB905"/>
    </row>
    <row r="906" spans="1:132" s="160" customFormat="1" ht="21">
      <c r="A906" s="160" t="s">
        <v>214</v>
      </c>
      <c r="B906" s="160" t="s">
        <v>214</v>
      </c>
      <c r="C906" s="160">
        <v>4057139</v>
      </c>
      <c r="D906" s="161" t="s">
        <v>215</v>
      </c>
      <c r="E906" s="161"/>
      <c r="F906" s="189"/>
      <c r="G906" s="160" t="s">
        <v>111</v>
      </c>
      <c r="H906" s="162">
        <v>2001</v>
      </c>
      <c r="I906" s="163"/>
      <c r="J906" s="159"/>
      <c r="K906" s="159"/>
      <c r="L906" s="159"/>
      <c r="M906" s="60"/>
      <c r="N906" s="152"/>
      <c r="O906" s="60"/>
      <c r="P906" s="60"/>
      <c r="Q906" s="159"/>
      <c r="R906" s="159"/>
      <c r="S906" s="159"/>
      <c r="T906" s="159"/>
      <c r="U906" s="159"/>
      <c r="V906" s="159"/>
      <c r="W906" s="159">
        <f t="shared" si="1652"/>
        <v>31181.151600443038</v>
      </c>
      <c r="X906" s="163"/>
      <c r="Y906" s="167">
        <v>2757.6814279677369</v>
      </c>
      <c r="Z906" s="168">
        <v>7.4796130576280179E-2</v>
      </c>
      <c r="AA906" s="78"/>
      <c r="AB906" s="168"/>
      <c r="AC906" s="168"/>
      <c r="AD906" s="163">
        <f t="shared" si="1645"/>
        <v>31181.151600443038</v>
      </c>
      <c r="AE906" s="168"/>
      <c r="AF906" s="163"/>
      <c r="AG906" s="163"/>
      <c r="AH906" s="163"/>
      <c r="AI906" s="163"/>
      <c r="AJ906" s="167"/>
      <c r="AK906" s="168"/>
      <c r="AL906" s="115"/>
      <c r="AM906" s="115"/>
      <c r="AN906" s="115"/>
      <c r="AO906" s="115"/>
      <c r="AP906" s="115"/>
      <c r="AQ906" s="168"/>
      <c r="AR906" s="79"/>
      <c r="AS906" s="115"/>
      <c r="AT906" s="115"/>
      <c r="AU906" s="115"/>
      <c r="AV906" s="113">
        <f>IFERROR(INDEX('Total Customers'!$F$7:$AB$91,MATCH($C906,'Total Customers'!$D$7:$D$91,0),MATCH($G906,'Total Customers'!$F$5:$AB$5,0)),"NA")</f>
        <v>365478</v>
      </c>
      <c r="AW906" s="68">
        <f t="shared" si="1646"/>
        <v>2.1410801662053055E-2</v>
      </c>
      <c r="AX906" s="114"/>
      <c r="AY906" s="114"/>
      <c r="AZ906" s="116"/>
      <c r="BA906" s="116"/>
      <c r="BB906" s="166"/>
      <c r="BC906" s="166"/>
      <c r="BD906" s="166"/>
      <c r="BE906" s="166"/>
      <c r="BF906" s="166"/>
      <c r="BG906" s="166"/>
      <c r="BH906" s="166"/>
      <c r="BI906" s="113"/>
      <c r="BJ906" s="113"/>
      <c r="BK906" s="113">
        <f>INDEX('Dist. Plant Gas Additions'!$F$7:$AE$91,MATCH($C906,'Dist. Plant Gas Additions'!$D$7:$D$91,0),MATCH(Calculation!$G906,'Dist. Plant Gas Additions'!$F$5:$AE$5,0))</f>
        <v>57307</v>
      </c>
      <c r="BL906" s="113">
        <f>INDEX('Gen. Plant Additions'!$F$7:$AE$91,MATCH($C906,'Gen. Plant Additions'!$D$7:$D$91,0),MATCH(Calculation!$G906,'Gen. Plant Additions'!$F$5:$AE$5,0))</f>
        <v>17602</v>
      </c>
      <c r="BM906" s="231">
        <f t="shared" si="1653"/>
        <v>0.86870023983441569</v>
      </c>
      <c r="BN906" s="61">
        <f t="shared" si="1649"/>
        <v>15290.861621565386</v>
      </c>
      <c r="BO906" s="113">
        <f>INDEX('Dist Plant Depreciation'!$E$7:$AD$94,MATCH($C906,'Dist Plant Depreciation'!$D$7:$D$94,0),MATCH(Calculation!$G906,'Dist Plant Depreciation'!$E$5:$AD$5,0))</f>
        <v>194158</v>
      </c>
      <c r="BP906" s="113">
        <f>INDEX('Gen. Plant Depreciation'!$E$7:$AD$94,MATCH($C906,'Gen. Plant Depreciation'!$D$7:$D$94,0),MATCH(Calculation!$G906,'Gen. Plant Depreciation'!$E$5:$AD$5,0))</f>
        <v>44288</v>
      </c>
      <c r="BQ906" s="113"/>
      <c r="BR906" s="113"/>
      <c r="BS906" s="113"/>
      <c r="BT906" s="113"/>
      <c r="BU906" s="113"/>
      <c r="BV906" s="175"/>
      <c r="BW906" s="113">
        <f>INDEX('Gross Dx Plant'!$E$7:$AD$91,MATCH($C906,'Gross Dx Plant'!$D$7:$D$91,0),MATCH(Calculation!$G906,'Gross Dx Plant'!$E$5:$AD$5,0))</f>
        <v>634589</v>
      </c>
      <c r="BX906" s="113">
        <f>INDEX('Gross Gen Plant'!$E$7:$AD$91,MATCH($C906,'Gross Gen Plant'!$D$7:$D$91,0),MATCH(Calculation!$G906,'Gross Gen Plant'!$E$5:$AD$5,0))</f>
        <v>95915</v>
      </c>
      <c r="BY906" s="113">
        <f t="shared" si="1605"/>
        <v>492058</v>
      </c>
      <c r="BZ906" s="113"/>
      <c r="CA906" s="116">
        <v>2001</v>
      </c>
      <c r="CB906" s="113"/>
      <c r="CC906" s="113"/>
      <c r="CD906" s="113"/>
      <c r="CE906" s="175"/>
      <c r="CF906" s="113">
        <f t="shared" si="1654"/>
        <v>74909</v>
      </c>
      <c r="CG906" s="113">
        <f t="shared" si="1655"/>
        <v>211.93819561753875</v>
      </c>
      <c r="CH906" s="178">
        <v>0.98461538461538467</v>
      </c>
      <c r="CI906" s="61">
        <f>+CI903*CH906+CG904*CH905+CG905*CH903+CG906</f>
        <v>2757.6814279677369</v>
      </c>
      <c r="CJ906" s="114">
        <f t="shared" si="1656"/>
        <v>7.4796130576280179E-2</v>
      </c>
      <c r="CK906" s="114"/>
      <c r="CL906" s="169">
        <f t="shared" si="1657"/>
        <v>5.1581409835829272E-3</v>
      </c>
      <c r="CM906" s="169">
        <f>+(CL906+CL905+CL904)/3</f>
        <v>5.09164690834362E-3</v>
      </c>
      <c r="CN906" s="114">
        <f>VLOOKUP($H906,RoR!$E:$F,2,FALSE)</f>
        <v>7.0824999999999999E-2</v>
      </c>
      <c r="CO906" s="169">
        <v>2.2454495382290052E-2</v>
      </c>
      <c r="CP906" s="169">
        <f t="shared" si="1663"/>
        <v>4.8370504617709947E-2</v>
      </c>
      <c r="CQ906" s="169">
        <f>+$CP$2-CM906</f>
        <v>2.5810294700190004E-2</v>
      </c>
      <c r="CR906" s="169">
        <f>+((DE904/DE903-1)+(DE905/DE904-1)+(DE906/DE905-1))/3</f>
        <v>2.3947275901631187E-2</v>
      </c>
      <c r="CS906" s="179">
        <f t="shared" si="1658"/>
        <v>0.87050000000000005</v>
      </c>
      <c r="CT906" s="180">
        <f t="shared" si="1659"/>
        <v>0.72406708481540816</v>
      </c>
      <c r="CU906" s="180">
        <f t="shared" si="1660"/>
        <v>0.62201729615248857</v>
      </c>
      <c r="CV906" s="180">
        <f t="shared" si="1661"/>
        <v>0.9352469954311422</v>
      </c>
      <c r="CW906" s="180">
        <f t="shared" si="1662"/>
        <v>0.42121864641655071</v>
      </c>
      <c r="CX906" s="181">
        <f>INDEX('State Tax Lookup'!$D$7:$Z$91,MATCH(Calculation!$C906,'State Tax Lookup'!$B$7:$B$91,0),MATCH($H906,'State Tax Lookup'!$D$6:$Z$6,0))</f>
        <v>0.35</v>
      </c>
      <c r="CY906" s="72">
        <v>0.37</v>
      </c>
      <c r="CZ906" s="70">
        <f t="shared" ref="CZ906:CZ927" si="1664">+(DE906*CQ906-CR906)*CS906/(1-CX906)</f>
        <v>12.185170299292091</v>
      </c>
      <c r="DA906" s="70"/>
      <c r="DB906" s="69"/>
      <c r="DC906" s="111">
        <f>VLOOKUP($H906,RoR!$E:$F,2,FALSE)</f>
        <v>7.0824999999999999E-2</v>
      </c>
      <c r="DD906" s="216">
        <f>HLOOKUP($H906,'GDP-PI'!$D$8:$CQ$11,3,FALSE)</f>
        <v>2.2454495382290052E-2</v>
      </c>
      <c r="DE906" s="111">
        <f>VLOOKUP(H906,'HW Dx Data'!$E:$F,2,FALSE)</f>
        <v>353.44738017483138</v>
      </c>
      <c r="DF906" s="66"/>
      <c r="DG906" s="69"/>
      <c r="DH906" s="66">
        <f>HLOOKUP(H906,'GDP-PI'!$8:$9,2,FALSE)</f>
        <v>79.822000000000003</v>
      </c>
      <c r="DI906"/>
      <c r="EB906"/>
    </row>
    <row r="907" spans="1:132" s="160" customFormat="1" ht="21">
      <c r="A907" s="160" t="s">
        <v>214</v>
      </c>
      <c r="B907" s="160" t="s">
        <v>214</v>
      </c>
      <c r="C907" s="160">
        <v>4057139</v>
      </c>
      <c r="D907" s="161" t="s">
        <v>215</v>
      </c>
      <c r="E907" s="161"/>
      <c r="F907" s="189"/>
      <c r="G907" s="160" t="s">
        <v>113</v>
      </c>
      <c r="H907" s="162">
        <v>2002</v>
      </c>
      <c r="I907" s="163"/>
      <c r="J907" s="159"/>
      <c r="K907" s="159"/>
      <c r="L907" s="159"/>
      <c r="M907" s="60"/>
      <c r="N907" s="152"/>
      <c r="O907" s="60"/>
      <c r="P907" s="60"/>
      <c r="Q907" s="159"/>
      <c r="R907" s="159"/>
      <c r="S907" s="159"/>
      <c r="T907" s="159"/>
      <c r="U907" s="159"/>
      <c r="V907" s="159"/>
      <c r="W907" s="159">
        <f t="shared" si="1652"/>
        <v>34066.25130907588</v>
      </c>
      <c r="X907" s="163"/>
      <c r="Y907" s="167">
        <v>2868.879386516172</v>
      </c>
      <c r="Z907" s="168">
        <v>3.953123151478638E-2</v>
      </c>
      <c r="AA907" s="78"/>
      <c r="AB907" s="168"/>
      <c r="AC907" s="168"/>
      <c r="AD907" s="163">
        <f t="shared" si="1645"/>
        <v>34066.25130907588</v>
      </c>
      <c r="AE907" s="168"/>
      <c r="AF907" s="163"/>
      <c r="AG907" s="163"/>
      <c r="AH907" s="163"/>
      <c r="AI907" s="163"/>
      <c r="AJ907" s="167"/>
      <c r="AK907" s="168"/>
      <c r="AL907" s="115"/>
      <c r="AM907" s="115"/>
      <c r="AN907" s="115"/>
      <c r="AO907" s="115"/>
      <c r="AP907" s="115"/>
      <c r="AQ907" s="168"/>
      <c r="AR907" s="79"/>
      <c r="AS907" s="115"/>
      <c r="AT907" s="115"/>
      <c r="AU907" s="115"/>
      <c r="AV907" s="113">
        <f>IFERROR(INDEX('Total Customers'!$F$7:$AB$91,MATCH($C907,'Total Customers'!$D$7:$D$91,0),MATCH($G907,'Total Customers'!$F$5:$AB$5,0)),"NA")</f>
        <v>367177</v>
      </c>
      <c r="AW907" s="68">
        <f t="shared" si="1646"/>
        <v>4.6379347592483949E-3</v>
      </c>
      <c r="AX907" s="114"/>
      <c r="AY907" s="114"/>
      <c r="AZ907" s="116"/>
      <c r="BA907" s="116"/>
      <c r="BB907" s="166"/>
      <c r="BC907" s="166"/>
      <c r="BD907" s="166"/>
      <c r="BE907" s="166"/>
      <c r="BF907" s="166"/>
      <c r="BG907" s="166"/>
      <c r="BH907" s="166"/>
      <c r="BI907" s="113"/>
      <c r="BJ907" s="113"/>
      <c r="BK907" s="113">
        <f>INDEX('Dist. Plant Gas Additions'!$F$7:$AE$91,MATCH($C907,'Dist. Plant Gas Additions'!$D$7:$D$91,0),MATCH(Calculation!$G907,'Dist. Plant Gas Additions'!$F$5:$AE$5,0))</f>
        <v>37114</v>
      </c>
      <c r="BL907" s="113">
        <f>INDEX('Gen. Plant Additions'!$F$7:$AE$91,MATCH($C907,'Gen. Plant Additions'!$D$7:$D$91,0),MATCH(Calculation!$G907,'Gen. Plant Additions'!$F$5:$AE$5,0))</f>
        <v>8663</v>
      </c>
      <c r="BM907" s="231">
        <f t="shared" si="1653"/>
        <v>0.87132283683483669</v>
      </c>
      <c r="BN907" s="61">
        <f t="shared" si="1649"/>
        <v>7548.2697355001901</v>
      </c>
      <c r="BO907" s="113">
        <f>INDEX('Dist Plant Depreciation'!$E$7:$AD$94,MATCH($C907,'Dist Plant Depreciation'!$D$7:$D$94,0),MATCH(Calculation!$G907,'Dist Plant Depreciation'!$E$5:$AD$5,0))</f>
        <v>213211</v>
      </c>
      <c r="BP907" s="113">
        <f>INDEX('Gen. Plant Depreciation'!$E$7:$AD$94,MATCH($C907,'Gen. Plant Depreciation'!$D$7:$D$94,0),MATCH(Calculation!$G907,'Gen. Plant Depreciation'!$E$5:$AD$5,0))</f>
        <v>51880</v>
      </c>
      <c r="BQ907" s="113"/>
      <c r="BR907" s="113"/>
      <c r="BS907" s="113"/>
      <c r="BT907" s="113"/>
      <c r="BU907" s="113"/>
      <c r="BV907" s="175"/>
      <c r="BW907" s="113">
        <f>INDEX('Gross Dx Plant'!$E$7:$AD$91,MATCH($C907,'Gross Dx Plant'!$D$7:$D$91,0),MATCH(Calculation!$G907,'Gross Dx Plant'!$E$5:$AD$5,0))</f>
        <v>670672</v>
      </c>
      <c r="BX907" s="113">
        <f>INDEX('Gross Gen Plant'!$E$7:$AD$91,MATCH($C907,'Gross Gen Plant'!$D$7:$D$91,0),MATCH(Calculation!$G907,'Gross Gen Plant'!$E$5:$AD$5,0))</f>
        <v>99045</v>
      </c>
      <c r="BY907" s="113">
        <f t="shared" si="1605"/>
        <v>504626</v>
      </c>
      <c r="BZ907" s="113"/>
      <c r="CA907" s="116">
        <v>2002</v>
      </c>
      <c r="CB907" s="113"/>
      <c r="CC907" s="113"/>
      <c r="CD907" s="113"/>
      <c r="CE907" s="175"/>
      <c r="CF907" s="113">
        <f t="shared" si="1654"/>
        <v>45777</v>
      </c>
      <c r="CG907" s="113">
        <f t="shared" si="1655"/>
        <v>126.68391413305442</v>
      </c>
      <c r="CH907" s="178">
        <v>0.97916666666666663</v>
      </c>
      <c r="CI907" s="61">
        <f>+CI903*CH907+CG904*CH906+CG905*CH905+CG906*CH904+CG907</f>
        <v>2868.879386516172</v>
      </c>
      <c r="CJ907" s="114">
        <f t="shared" si="1656"/>
        <v>3.953123151478638E-2</v>
      </c>
      <c r="CK907" s="114"/>
      <c r="CL907" s="169">
        <f t="shared" si="1657"/>
        <v>5.6155709022675908E-3</v>
      </c>
      <c r="CM907" s="169">
        <f t="shared" ref="CM907:CM927" si="1665">+(CL907+CL906+CL905)/3</f>
        <v>5.3051290830630031E-3</v>
      </c>
      <c r="CN907" s="114">
        <f>VLOOKUP($H907,RoR!$E:$F,2,FALSE)</f>
        <v>6.4916666666666664E-2</v>
      </c>
      <c r="CO907" s="169">
        <v>1.5246423291824351E-2</v>
      </c>
      <c r="CP907" s="169">
        <f t="shared" si="1663"/>
        <v>4.9670243374842313E-2</v>
      </c>
      <c r="CQ907" s="169">
        <f t="shared" ref="CQ907:CQ927" si="1666">+$CP$2-CM907</f>
        <v>2.5596812525470622E-2</v>
      </c>
      <c r="CR907" s="169">
        <f t="shared" ref="CR907:CR927" si="1667">+((DE905/DE904-1)+(DE906/DE905-1)+(DE907/DE906-1))/3</f>
        <v>2.5243621214759093E-2</v>
      </c>
      <c r="CS907" s="179">
        <f t="shared" si="1658"/>
        <v>0.87050000000000005</v>
      </c>
      <c r="CT907" s="180">
        <f t="shared" si="1659"/>
        <v>0.78996741384417901</v>
      </c>
      <c r="CU907" s="180">
        <f t="shared" si="1660"/>
        <v>0.58989088575096271</v>
      </c>
      <c r="CV907" s="180">
        <f t="shared" si="1661"/>
        <v>0.91920675783645744</v>
      </c>
      <c r="CW907" s="180">
        <f t="shared" si="1662"/>
        <v>0.42834536472275586</v>
      </c>
      <c r="CX907" s="181">
        <f>INDEX('State Tax Lookup'!$D$7:$Z$91,MATCH(Calculation!$C907,'State Tax Lookup'!$B$7:$B$91,0),MATCH($H907,'State Tax Lookup'!$D$6:$Z$6,0))</f>
        <v>0.35</v>
      </c>
      <c r="CY907" s="72">
        <v>0.37</v>
      </c>
      <c r="CZ907" s="70">
        <f t="shared" si="1664"/>
        <v>12.353222153793478</v>
      </c>
      <c r="DA907" s="70"/>
      <c r="DB907" s="69">
        <f>LN(CZ907/CZ906)</f>
        <v>1.3697269064199102E-2</v>
      </c>
      <c r="DC907" s="111">
        <f>VLOOKUP($H907,RoR!$E:$F,2,FALSE)</f>
        <v>6.4916666666666664E-2</v>
      </c>
      <c r="DD907" s="216">
        <f>HLOOKUP($H907,'GDP-PI'!$D$8:$CQ$11,3,FALSE)</f>
        <v>1.5246423291824351E-2</v>
      </c>
      <c r="DE907" s="111">
        <f>VLOOKUP(H907,'HW Dx Data'!$E:$F,2,FALSE)</f>
        <v>361.34816573413599</v>
      </c>
      <c r="DF907" s="66"/>
      <c r="DG907" s="69"/>
      <c r="DH907" s="66">
        <f>HLOOKUP(H907,'GDP-PI'!$8:$9,2,FALSE)</f>
        <v>81.039000000000001</v>
      </c>
      <c r="DI907" s="69">
        <f>LN(DH907/DH906)</f>
        <v>1.513136459537477E-2</v>
      </c>
      <c r="EB907"/>
    </row>
    <row r="908" spans="1:132" s="160" customFormat="1" ht="21">
      <c r="A908" s="160" t="s">
        <v>214</v>
      </c>
      <c r="B908" s="160" t="s">
        <v>214</v>
      </c>
      <c r="C908" s="160">
        <v>4057139</v>
      </c>
      <c r="D908" s="161" t="s">
        <v>215</v>
      </c>
      <c r="E908" s="161"/>
      <c r="F908" s="189"/>
      <c r="G908" s="160" t="s">
        <v>114</v>
      </c>
      <c r="H908" s="162">
        <v>2003</v>
      </c>
      <c r="I908" s="163"/>
      <c r="J908" s="159"/>
      <c r="K908" s="159"/>
      <c r="L908" s="159"/>
      <c r="M908" s="76"/>
      <c r="N908" s="152"/>
      <c r="O908" s="76"/>
      <c r="P908" s="76"/>
      <c r="Q908" s="159"/>
      <c r="R908" s="159"/>
      <c r="S908" s="159"/>
      <c r="T908" s="159"/>
      <c r="U908" s="159"/>
      <c r="V908" s="159"/>
      <c r="W908" s="159">
        <f t="shared" si="1652"/>
        <v>35993.181555101037</v>
      </c>
      <c r="X908" s="163"/>
      <c r="Y908" s="167">
        <v>2975.401675187516</v>
      </c>
      <c r="Z908" s="168">
        <v>3.6457550890170463E-2</v>
      </c>
      <c r="AA908" s="78"/>
      <c r="AB908" s="168"/>
      <c r="AC908" s="168"/>
      <c r="AD908" s="163">
        <f t="shared" si="1645"/>
        <v>35993.181555101037</v>
      </c>
      <c r="AE908" s="168"/>
      <c r="AF908" s="163"/>
      <c r="AG908" s="163"/>
      <c r="AH908" s="163"/>
      <c r="AI908" s="163"/>
      <c r="AJ908" s="167"/>
      <c r="AK908" s="168"/>
      <c r="AL908" s="115"/>
      <c r="AM908" s="115"/>
      <c r="AN908" s="115"/>
      <c r="AO908" s="115"/>
      <c r="AP908" s="115"/>
      <c r="AQ908" s="168"/>
      <c r="AR908" s="79"/>
      <c r="AS908" s="115"/>
      <c r="AT908" s="115"/>
      <c r="AU908" s="115"/>
      <c r="AV908" s="113">
        <f>IFERROR(INDEX('Total Customers'!$F$7:$AB$91,MATCH($C908,'Total Customers'!$D$7:$D$91,0),MATCH($G908,'Total Customers'!$F$5:$AB$5,0)),"NA")</f>
        <v>378511</v>
      </c>
      <c r="AW908" s="68">
        <f t="shared" si="1646"/>
        <v>3.0401113923363914E-2</v>
      </c>
      <c r="AX908" s="114"/>
      <c r="AY908" s="114"/>
      <c r="AZ908" s="116"/>
      <c r="BA908" s="116"/>
      <c r="BB908" s="166"/>
      <c r="BC908" s="166"/>
      <c r="BD908" s="166"/>
      <c r="BE908" s="166"/>
      <c r="BF908" s="166"/>
      <c r="BG908" s="166"/>
      <c r="BH908" s="166"/>
      <c r="BI908" s="113"/>
      <c r="BJ908" s="113"/>
      <c r="BK908" s="113">
        <f>INDEX('Dist. Plant Gas Additions'!$F$7:$AE$91,MATCH($C908,'Dist. Plant Gas Additions'!$D$7:$D$91,0),MATCH(Calculation!$G908,'Dist. Plant Gas Additions'!$F$5:$AE$5,0))</f>
        <v>38931</v>
      </c>
      <c r="BL908" s="113">
        <f>INDEX('Gen. Plant Additions'!$F$7:$AE$91,MATCH($C908,'Gen. Plant Additions'!$D$7:$D$91,0),MATCH(Calculation!$G908,'Gen. Plant Additions'!$F$5:$AE$5,0))</f>
        <v>6378</v>
      </c>
      <c r="BM908" s="231">
        <f t="shared" si="1653"/>
        <v>0.89081588008861212</v>
      </c>
      <c r="BN908" s="61">
        <f t="shared" si="1649"/>
        <v>5681.6236832051682</v>
      </c>
      <c r="BO908" s="113">
        <f>INDEX('Dist Plant Depreciation'!$E$7:$AD$94,MATCH($C908,'Dist Plant Depreciation'!$D$7:$D$94,0),MATCH(Calculation!$G908,'Dist Plant Depreciation'!$E$5:$AD$5,0))</f>
        <v>234508</v>
      </c>
      <c r="BP908" s="113">
        <f>INDEX('Gen. Plant Depreciation'!$E$7:$AD$94,MATCH($C908,'Gen. Plant Depreciation'!$D$7:$D$94,0),MATCH(Calculation!$G908,'Gen. Plant Depreciation'!$E$5:$AD$5,0))</f>
        <v>43843</v>
      </c>
      <c r="BQ908" s="113"/>
      <c r="BR908" s="113"/>
      <c r="BS908" s="113"/>
      <c r="BT908" s="113"/>
      <c r="BU908" s="113"/>
      <c r="BV908" s="175"/>
      <c r="BW908" s="113">
        <f>INDEX('Gross Dx Plant'!$E$7:$AD$91,MATCH($C908,'Gross Dx Plant'!$D$7:$D$91,0),MATCH(Calculation!$G908,'Gross Dx Plant'!$E$5:$AD$5,0))</f>
        <v>706523</v>
      </c>
      <c r="BX908" s="113">
        <f>INDEX('Gross Gen Plant'!$E$7:$AD$91,MATCH($C908,'Gross Gen Plant'!$D$7:$D$91,0),MATCH(Calculation!$G908,'Gross Gen Plant'!$E$5:$AD$5,0))</f>
        <v>86596</v>
      </c>
      <c r="BY908" s="113">
        <f t="shared" si="1605"/>
        <v>514768</v>
      </c>
      <c r="BZ908" s="113"/>
      <c r="CA908" s="116">
        <v>2003</v>
      </c>
      <c r="CB908" s="113"/>
      <c r="CC908" s="113"/>
      <c r="CD908" s="113"/>
      <c r="CE908" s="175"/>
      <c r="CF908" s="113">
        <f t="shared" si="1654"/>
        <v>45309</v>
      </c>
      <c r="CG908" s="113">
        <f t="shared" si="1655"/>
        <v>122.71112997924267</v>
      </c>
      <c r="CH908" s="178">
        <v>0.97354497354497349</v>
      </c>
      <c r="CI908" s="61">
        <f>+CI903*CH908+CG904*CH907+CG905*CH906+CG906*CH905+CG907*CH904+CG908</f>
        <v>2975.401675187516</v>
      </c>
      <c r="CJ908" s="114">
        <f t="shared" si="1656"/>
        <v>3.6457550890170463E-2</v>
      </c>
      <c r="CK908" s="114"/>
      <c r="CL908" s="169">
        <f t="shared" si="1657"/>
        <v>5.642914576327842E-3</v>
      </c>
      <c r="CM908" s="169">
        <f t="shared" si="1665"/>
        <v>5.4722088207261209E-3</v>
      </c>
      <c r="CN908" s="114">
        <f>VLOOKUP($H908,RoR!$E:$F,2,FALSE)</f>
        <v>5.6666666666666671E-2</v>
      </c>
      <c r="CO908" s="169">
        <v>1.8855119140166909E-2</v>
      </c>
      <c r="CP908" s="169">
        <f t="shared" si="1663"/>
        <v>3.7811547526499761E-2</v>
      </c>
      <c r="CQ908" s="169">
        <f t="shared" si="1666"/>
        <v>2.5429732787807503E-2</v>
      </c>
      <c r="CR908" s="169">
        <f t="shared" si="1667"/>
        <v>2.1375012817671957E-2</v>
      </c>
      <c r="CS908" s="179">
        <f t="shared" si="1658"/>
        <v>0.87050000000000005</v>
      </c>
      <c r="CT908" s="180">
        <f t="shared" si="1659"/>
        <v>0.90497737556561086</v>
      </c>
      <c r="CU908" s="180">
        <f t="shared" si="1660"/>
        <v>0.5338235294117647</v>
      </c>
      <c r="CV908" s="180">
        <f t="shared" si="1661"/>
        <v>0.88972433127405692</v>
      </c>
      <c r="CW908" s="180">
        <f t="shared" si="1662"/>
        <v>0.42982423775949252</v>
      </c>
      <c r="CX908" s="181">
        <f>INDEX('State Tax Lookup'!$D$7:$Z$91,MATCH(Calculation!$C908,'State Tax Lookup'!$B$7:$B$91,0),MATCH($H908,'State Tax Lookup'!$D$6:$Z$6,0))</f>
        <v>0.35</v>
      </c>
      <c r="CY908" s="72">
        <v>0.37</v>
      </c>
      <c r="CZ908" s="70">
        <f t="shared" si="1664"/>
        <v>12.546076954043512</v>
      </c>
      <c r="DA908" s="70"/>
      <c r="DB908" s="69">
        <f t="shared" ref="DB908:DB925" si="1668">LN(CZ908/CZ907)</f>
        <v>1.5491091221163659E-2</v>
      </c>
      <c r="DC908" s="111">
        <f>VLOOKUP($H908,RoR!$E:$F,2,FALSE)</f>
        <v>5.6666666666666671E-2</v>
      </c>
      <c r="DD908" s="216">
        <f>HLOOKUP($H908,'GDP-PI'!$D$8:$CQ$11,3,FALSE)</f>
        <v>1.8855119140166909E-2</v>
      </c>
      <c r="DE908" s="111">
        <f>VLOOKUP(H908,'HW Dx Data'!$E:$F,2,FALSE)</f>
        <v>369.23301095560191</v>
      </c>
      <c r="DF908" s="66"/>
      <c r="DG908" s="69"/>
      <c r="DH908" s="66">
        <f>HLOOKUP(H908,'GDP-PI'!$8:$9,2,FALSE)</f>
        <v>82.566999999999993</v>
      </c>
      <c r="DI908" s="69">
        <f t="shared" ref="DI908:DI927" si="1669">LN(DH908/DH907)</f>
        <v>1.8679564681853753E-2</v>
      </c>
      <c r="EB908"/>
    </row>
    <row r="909" spans="1:132" s="160" customFormat="1" ht="21">
      <c r="A909" s="160" t="s">
        <v>214</v>
      </c>
      <c r="B909" s="160" t="s">
        <v>214</v>
      </c>
      <c r="C909" s="160">
        <v>4057139</v>
      </c>
      <c r="D909" s="161" t="s">
        <v>215</v>
      </c>
      <c r="E909" s="161"/>
      <c r="F909" s="189"/>
      <c r="G909" s="160" t="s">
        <v>115</v>
      </c>
      <c r="H909" s="162">
        <v>2004</v>
      </c>
      <c r="I909" s="163"/>
      <c r="J909" s="159">
        <f>IFERROR(INDEX('Labor Expenditures'!$F$7:$X$91,MATCH($C909,'Labor Expenditures'!$D$7:$D$91,0),MATCH($G909,'Labor Expenditures'!$F$5:$X$5,0)),"NA")</f>
        <v>26675.655261990243</v>
      </c>
      <c r="K909" s="159">
        <f t="shared" ref="K909:K927" si="1670">+J909/DF909</f>
        <v>282.73084538410433</v>
      </c>
      <c r="L909" s="165"/>
      <c r="M909" s="76"/>
      <c r="N909" s="152"/>
      <c r="O909" s="76"/>
      <c r="P909" s="76"/>
      <c r="Q909" s="159">
        <f>IFERROR(INDEX('Non-Labor Expenditures'!$F$7:$AB$91,MATCH($C909,'Non-Labor Expenditures'!$D$7:$D$91,0),MATCH($G909,'Non-Labor Expenditures'!$F$5:$AB$5,0)),"NA")</f>
        <v>38631.331144505391</v>
      </c>
      <c r="R909" s="159">
        <f t="shared" ref="R909:R927" si="1671">+Q909/DH909</f>
        <v>455.67636821469472</v>
      </c>
      <c r="S909" s="159"/>
      <c r="T909" s="159"/>
      <c r="U909" s="159"/>
      <c r="V909" s="159"/>
      <c r="W909" s="159">
        <f t="shared" si="1652"/>
        <v>41453.145293203488</v>
      </c>
      <c r="X909" s="163"/>
      <c r="Y909" s="167">
        <v>3068.1377918375274</v>
      </c>
      <c r="Z909" s="168">
        <v>3.069174833679849E-2</v>
      </c>
      <c r="AA909" s="76">
        <f t="shared" ref="AA909:AA927" si="1672">+Z909*$AR909</f>
        <v>0</v>
      </c>
      <c r="AB909" s="168"/>
      <c r="AC909" s="168"/>
      <c r="AD909" s="163">
        <f t="shared" si="1645"/>
        <v>106760.13169969912</v>
      </c>
      <c r="AE909" s="168"/>
      <c r="AF909" s="163"/>
      <c r="AG909" s="163"/>
      <c r="AH909" s="163"/>
      <c r="AI909" s="163"/>
      <c r="AJ909" s="167"/>
      <c r="AK909" s="168"/>
      <c r="AL909" s="115">
        <f t="shared" ref="AL909:AL927" si="1673">+J909/AD909</f>
        <v>0.24986532741477896</v>
      </c>
      <c r="AM909" s="115">
        <f t="shared" ref="AM909:AM927" si="1674">+Q909/AD909</f>
        <v>0.36185166250234463</v>
      </c>
      <c r="AN909" s="115">
        <f t="shared" ref="AN909:AN927" si="1675">+W909/AD909</f>
        <v>0.38828301008287641</v>
      </c>
      <c r="AO909" s="115"/>
      <c r="AP909" s="115"/>
      <c r="AQ909" s="168"/>
      <c r="AR909" s="79"/>
      <c r="AS909" s="115"/>
      <c r="AT909" s="115"/>
      <c r="AU909" s="115"/>
      <c r="AV909" s="113">
        <f>IFERROR(INDEX('Total Customers'!$F$7:$AB$91,MATCH($C909,'Total Customers'!$D$7:$D$91,0),MATCH($G909,'Total Customers'!$F$5:$AB$5,0)),"NA")</f>
        <v>390824</v>
      </c>
      <c r="AW909" s="68">
        <f t="shared" si="1646"/>
        <v>3.2012196227768394E-2</v>
      </c>
      <c r="AX909" s="114"/>
      <c r="AY909" s="114"/>
      <c r="AZ909" s="116"/>
      <c r="BA909" s="116"/>
      <c r="BB909" s="166"/>
      <c r="BC909" s="166"/>
      <c r="BD909" s="166"/>
      <c r="BE909" s="166"/>
      <c r="BF909" s="166"/>
      <c r="BG909" s="166"/>
      <c r="BH909" s="166"/>
      <c r="BI909" s="113"/>
      <c r="BJ909" s="113"/>
      <c r="BK909" s="113">
        <f>INDEX('Dist. Plant Gas Additions'!$F$7:$AE$91,MATCH($C909,'Dist. Plant Gas Additions'!$D$7:$D$91,0),MATCH(Calculation!$G909,'Dist. Plant Gas Additions'!$F$5:$AE$5,0))</f>
        <v>41557</v>
      </c>
      <c r="BL909" s="113">
        <f>INDEX('Gen. Plant Additions'!$F$7:$AE$91,MATCH($C909,'Gen. Plant Additions'!$D$7:$D$91,0),MATCH(Calculation!$G909,'Gen. Plant Additions'!$F$5:$AE$5,0))</f>
        <v>4103</v>
      </c>
      <c r="BM909" s="231">
        <f t="shared" si="1653"/>
        <v>0.91594785118918598</v>
      </c>
      <c r="BN909" s="61">
        <f t="shared" si="1649"/>
        <v>3758.1340334292299</v>
      </c>
      <c r="BO909" s="113">
        <f>INDEX('Dist Plant Depreciation'!$E$7:$AD$94,MATCH($C909,'Dist Plant Depreciation'!$D$7:$D$94,0),MATCH(Calculation!$G909,'Dist Plant Depreciation'!$E$5:$AD$5,0))</f>
        <v>253508</v>
      </c>
      <c r="BP909" s="113">
        <f>INDEX('Gen. Plant Depreciation'!$E$7:$AD$94,MATCH($C909,'Gen. Plant Depreciation'!$D$7:$D$94,0),MATCH(Calculation!$G909,'Gen. Plant Depreciation'!$E$5:$AD$5,0))</f>
        <v>33531</v>
      </c>
      <c r="BQ909" s="113"/>
      <c r="BR909" s="113"/>
      <c r="BS909" s="113"/>
      <c r="BT909" s="113"/>
      <c r="BU909" s="113"/>
      <c r="BV909" s="175"/>
      <c r="BW909" s="113">
        <f>INDEX('Gross Dx Plant'!$E$7:$AD$91,MATCH($C909,'Gross Dx Plant'!$D$7:$D$91,0),MATCH(Calculation!$G909,'Gross Dx Plant'!$E$5:$AD$5,0))</f>
        <v>743735</v>
      </c>
      <c r="BX909" s="113">
        <f>INDEX('Gross Gen Plant'!$E$7:$AD$91,MATCH($C909,'Gross Gen Plant'!$D$7:$D$91,0),MATCH(Calculation!$G909,'Gross Gen Plant'!$E$5:$AD$5,0))</f>
        <v>68249</v>
      </c>
      <c r="BY909" s="113">
        <f t="shared" si="1605"/>
        <v>524945</v>
      </c>
      <c r="BZ909" s="113"/>
      <c r="CA909" s="116">
        <v>2004</v>
      </c>
      <c r="CB909" s="113"/>
      <c r="CC909" s="113"/>
      <c r="CD909" s="113"/>
      <c r="CE909" s="175"/>
      <c r="CF909" s="113">
        <f t="shared" si="1654"/>
        <v>45660</v>
      </c>
      <c r="CG909" s="113">
        <f t="shared" si="1655"/>
        <v>110.05401215490832</v>
      </c>
      <c r="CH909" s="178">
        <v>0.967741935483871</v>
      </c>
      <c r="CI909" s="61">
        <f>+CI903*CH909+CG904*CH908+CG905*CH907+CG906*CH906+CG907*CH905+CG908*CH904+CG909</f>
        <v>3068.1377918375274</v>
      </c>
      <c r="CJ909" s="114">
        <f t="shared" si="1656"/>
        <v>3.069174833679849E-2</v>
      </c>
      <c r="CK909" s="114"/>
      <c r="CL909" s="169">
        <f t="shared" si="1657"/>
        <v>5.820355500003393E-3</v>
      </c>
      <c r="CM909" s="169">
        <f t="shared" si="1665"/>
        <v>5.6929469928662753E-3</v>
      </c>
      <c r="CN909" s="114">
        <f>VLOOKUP($H909,RoR!$E:$F,2,FALSE)</f>
        <v>5.6283333333333331E-2</v>
      </c>
      <c r="CO909" s="169">
        <v>2.6778252812867276E-2</v>
      </c>
      <c r="CP909" s="169">
        <f t="shared" si="1663"/>
        <v>2.9505080520466055E-2</v>
      </c>
      <c r="CQ909" s="169">
        <f t="shared" si="1666"/>
        <v>2.5208994615667349E-2</v>
      </c>
      <c r="CR909" s="169">
        <f t="shared" si="1667"/>
        <v>5.5940039414565046E-2</v>
      </c>
      <c r="CS909" s="179">
        <f t="shared" si="1658"/>
        <v>0.87050000000000005</v>
      </c>
      <c r="CT909" s="180">
        <f t="shared" si="1659"/>
        <v>0.91114097628755619</v>
      </c>
      <c r="CU909" s="180">
        <f t="shared" si="1660"/>
        <v>0.53081877405981637</v>
      </c>
      <c r="CV909" s="180">
        <f t="shared" si="1661"/>
        <v>0.88811215519385678</v>
      </c>
      <c r="CW909" s="180">
        <f t="shared" si="1662"/>
        <v>0.42953609753547711</v>
      </c>
      <c r="CX909" s="181">
        <f>INDEX('State Tax Lookup'!$D$7:$Z$91,MATCH(Calculation!$C909,'State Tax Lookup'!$B$7:$B$91,0),MATCH($H909,'State Tax Lookup'!$D$6:$Z$6,0))</f>
        <v>0.35</v>
      </c>
      <c r="CY909" s="72">
        <v>0.37</v>
      </c>
      <c r="CZ909" s="70">
        <f t="shared" si="1664"/>
        <v>13.931949302472253</v>
      </c>
      <c r="DA909" s="70"/>
      <c r="DB909" s="69">
        <f t="shared" si="1668"/>
        <v>0.10477669016334844</v>
      </c>
      <c r="DC909" s="111">
        <f>VLOOKUP($H909,RoR!$E:$F,2,FALSE)</f>
        <v>5.6283333333333331E-2</v>
      </c>
      <c r="DD909" s="216">
        <f>HLOOKUP($H909,'GDP-PI'!$D$8:$CQ$11,3,FALSE)</f>
        <v>2.6778252812867276E-2</v>
      </c>
      <c r="DE909" s="111">
        <f>VLOOKUP(H909,'HW Dx Data'!$E:$F,2,FALSE)</f>
        <v>414.88719135228365</v>
      </c>
      <c r="DF909" s="72">
        <f>VLOOKUP(G909,EG$8:EH$27,2,FALSE)</f>
        <v>94.35</v>
      </c>
      <c r="DG909" s="69"/>
      <c r="DH909" s="66">
        <f>HLOOKUP(H909,'GDP-PI'!$8:$9,2,FALSE)</f>
        <v>84.778000000000006</v>
      </c>
      <c r="DI909" s="69">
        <f t="shared" si="1669"/>
        <v>2.6425990216022755E-2</v>
      </c>
      <c r="EB909"/>
    </row>
    <row r="910" spans="1:132" s="160" customFormat="1" ht="21">
      <c r="A910" s="160" t="s">
        <v>214</v>
      </c>
      <c r="B910" s="160" t="s">
        <v>214</v>
      </c>
      <c r="C910" s="160">
        <v>4057139</v>
      </c>
      <c r="D910" s="161" t="s">
        <v>215</v>
      </c>
      <c r="E910" s="161"/>
      <c r="F910" s="189"/>
      <c r="G910" s="160" t="s">
        <v>116</v>
      </c>
      <c r="H910" s="162">
        <v>2005</v>
      </c>
      <c r="I910" s="163"/>
      <c r="J910" s="159">
        <f>IFERROR(INDEX('Labor Expenditures'!$F$7:$X$91,MATCH($C910,'Labor Expenditures'!$D$7:$D$91,0),MATCH($G910,'Labor Expenditures'!$F$5:$X$5,0)),"NA")</f>
        <v>27097.323287755265</v>
      </c>
      <c r="K910" s="159">
        <f t="shared" si="1670"/>
        <v>273.08967788113142</v>
      </c>
      <c r="L910" s="165">
        <f t="shared" ref="L910:L926" si="1676">LN(K910/K909)</f>
        <v>-3.4695137050997207E-2</v>
      </c>
      <c r="M910" s="76"/>
      <c r="N910" s="62">
        <v>100</v>
      </c>
      <c r="O910" s="77"/>
      <c r="P910" s="77"/>
      <c r="Q910" s="159">
        <f>IFERROR(INDEX('Non-Labor Expenditures'!$F$7:$AB$91,MATCH($C910,'Non-Labor Expenditures'!$D$7:$D$91,0),MATCH($G910,'Non-Labor Expenditures'!$F$5:$AB$5,0)),"NA")</f>
        <v>39241.9852025367</v>
      </c>
      <c r="R910" s="159">
        <f t="shared" si="1671"/>
        <v>448.95700804897433</v>
      </c>
      <c r="S910" s="165">
        <f>LN(R910/R909)</f>
        <v>-1.4855706007160888E-2</v>
      </c>
      <c r="T910" s="165"/>
      <c r="U910" s="165"/>
      <c r="V910" s="165"/>
      <c r="W910" s="159">
        <f t="shared" si="1652"/>
        <v>47971.793296496158</v>
      </c>
      <c r="X910" s="163"/>
      <c r="Y910" s="167">
        <v>3172.1489676857941</v>
      </c>
      <c r="Z910" s="168">
        <v>3.333847091062779E-2</v>
      </c>
      <c r="AA910" s="76">
        <f t="shared" si="1672"/>
        <v>0</v>
      </c>
      <c r="AB910" s="168"/>
      <c r="AC910" s="168"/>
      <c r="AD910" s="163">
        <f t="shared" si="1645"/>
        <v>114311.10178678812</v>
      </c>
      <c r="AE910" s="168">
        <f>LN(AD910/AD909)</f>
        <v>6.8339136436595518E-2</v>
      </c>
      <c r="AF910" s="163"/>
      <c r="AG910" s="163"/>
      <c r="AH910" s="163"/>
      <c r="AI910" s="163"/>
      <c r="AJ910" s="116"/>
      <c r="AK910" s="114"/>
      <c r="AL910" s="115">
        <f t="shared" si="1673"/>
        <v>0.2370489205702602</v>
      </c>
      <c r="AM910" s="115">
        <f t="shared" si="1674"/>
        <v>0.34329111161687903</v>
      </c>
      <c r="AN910" s="115">
        <f t="shared" si="1675"/>
        <v>0.4196599678128608</v>
      </c>
      <c r="AO910" s="115">
        <f t="shared" ref="AO910:AO926" si="1677">+(((AL910+AL909)/2)*L910+((AM909+AM910)/2)*S910+((AN909+AN910)/2)*Z910)</f>
        <v>-2.1668342264509304E-4</v>
      </c>
      <c r="AP910" s="166">
        <v>100</v>
      </c>
      <c r="AQ910" s="168"/>
      <c r="AR910" s="16"/>
      <c r="AS910" s="115"/>
      <c r="AT910" s="115"/>
      <c r="AU910" s="115"/>
      <c r="AV910" s="113">
        <f>IFERROR(INDEX('Total Customers'!$F$7:$AB$91,MATCH($C910,'Total Customers'!$D$7:$D$91,0),MATCH($G910,'Total Customers'!$F$5:$AB$5,0)),"NA")</f>
        <v>407973</v>
      </c>
      <c r="AW910" s="68">
        <f t="shared" si="1646"/>
        <v>4.2943664973650375E-2</v>
      </c>
      <c r="AX910" s="114"/>
      <c r="AY910" s="114"/>
      <c r="AZ910" s="116"/>
      <c r="BA910" s="116"/>
      <c r="BB910" s="166"/>
      <c r="BC910" s="166"/>
      <c r="BD910" s="166"/>
      <c r="BE910" s="166"/>
      <c r="BF910" s="166"/>
      <c r="BG910" s="166"/>
      <c r="BH910" s="166"/>
      <c r="BI910" s="113"/>
      <c r="BJ910" s="113"/>
      <c r="BK910" s="113">
        <f>INDEX('Dist. Plant Gas Additions'!$F$7:$AE$91,MATCH($C910,'Dist. Plant Gas Additions'!$D$7:$D$91,0),MATCH(Calculation!$G910,'Dist. Plant Gas Additions'!$F$5:$AE$5,0))</f>
        <v>51666</v>
      </c>
      <c r="BL910" s="113">
        <f>INDEX('Gen. Plant Additions'!$F$7:$AE$91,MATCH($C910,'Gen. Plant Additions'!$D$7:$D$91,0),MATCH(Calculation!$G910,'Gen. Plant Additions'!$F$5:$AE$5,0))</f>
        <v>5783</v>
      </c>
      <c r="BM910" s="231">
        <f t="shared" si="1653"/>
        <v>0.92097140405763134</v>
      </c>
      <c r="BN910" s="61">
        <f t="shared" si="1649"/>
        <v>5325.9776296652817</v>
      </c>
      <c r="BO910" s="113">
        <f>INDEX('Dist Plant Depreciation'!$E$7:$AD$94,MATCH($C910,'Dist Plant Depreciation'!$D$7:$D$94,0),MATCH(Calculation!$G910,'Dist Plant Depreciation'!$E$5:$AD$5,0))</f>
        <v>138825</v>
      </c>
      <c r="BP910" s="113">
        <f>INDEX('Gen. Plant Depreciation'!$E$7:$AD$94,MATCH($C910,'Gen. Plant Depreciation'!$D$7:$D$94,0),MATCH(Calculation!$G910,'Gen. Plant Depreciation'!$E$5:$AD$5,0))</f>
        <v>34896</v>
      </c>
      <c r="BQ910" s="113"/>
      <c r="BR910" s="113"/>
      <c r="BS910" s="113"/>
      <c r="BT910" s="113"/>
      <c r="BU910" s="113"/>
      <c r="BV910" s="175"/>
      <c r="BW910" s="113">
        <f>INDEX('Gross Dx Plant'!$E$7:$AD$91,MATCH($C910,'Gross Dx Plant'!$D$7:$D$91,0),MATCH(Calculation!$G910,'Gross Dx Plant'!$E$5:$AD$5,0))</f>
        <v>792180</v>
      </c>
      <c r="BX910" s="113">
        <f>INDEX('Gross Gen Plant'!$E$7:$AD$91,MATCH($C910,'Gross Gen Plant'!$D$7:$D$91,0),MATCH(Calculation!$G910,'Gross Gen Plant'!$E$5:$AD$5,0))</f>
        <v>67977</v>
      </c>
      <c r="BY910" s="113">
        <f t="shared" si="1605"/>
        <v>686436</v>
      </c>
      <c r="BZ910" s="113"/>
      <c r="CA910" s="116">
        <v>2005</v>
      </c>
      <c r="CB910" s="113"/>
      <c r="CC910" s="113"/>
      <c r="CD910" s="113"/>
      <c r="CE910" s="175"/>
      <c r="CF910" s="113">
        <f t="shared" si="1654"/>
        <v>57449</v>
      </c>
      <c r="CG910" s="113">
        <f t="shared" si="1655"/>
        <v>122.43898256789004</v>
      </c>
      <c r="CH910" s="178">
        <v>0.96174863387978138</v>
      </c>
      <c r="CI910" s="61">
        <f>+CI903*CH910+CG904*CH909+CG905*CH908+CG906*CH907+CG907*CH906+CG908*CH905+CG909*CH904+CG910</f>
        <v>3172.1489676857941</v>
      </c>
      <c r="CJ910" s="114">
        <f t="shared" si="1656"/>
        <v>3.333847091062779E-2</v>
      </c>
      <c r="CK910" s="114"/>
      <c r="CL910" s="169">
        <f t="shared" si="1657"/>
        <v>6.00618615260653E-3</v>
      </c>
      <c r="CM910" s="169">
        <f t="shared" si="1665"/>
        <v>5.8231520763125889E-3</v>
      </c>
      <c r="CN910" s="114">
        <f>VLOOKUP($H910,RoR!$E:$F,2,FALSE)</f>
        <v>5.2350000000000001E-2</v>
      </c>
      <c r="CO910" s="169">
        <v>3.1010403642454332E-2</v>
      </c>
      <c r="CP910" s="169">
        <f t="shared" si="1663"/>
        <v>2.1339596357545669E-2</v>
      </c>
      <c r="CQ910" s="169">
        <f t="shared" si="1666"/>
        <v>2.5078789532221035E-2</v>
      </c>
      <c r="CR910" s="169">
        <f t="shared" si="1667"/>
        <v>9.2129610649277341E-2</v>
      </c>
      <c r="CS910" s="179">
        <f t="shared" si="1658"/>
        <v>0.87050000000000005</v>
      </c>
      <c r="CT910" s="180">
        <f t="shared" si="1659"/>
        <v>0.97959983346802826</v>
      </c>
      <c r="CU910" s="180">
        <f t="shared" si="1660"/>
        <v>0.49744508118433622</v>
      </c>
      <c r="CV910" s="180">
        <f t="shared" si="1661"/>
        <v>0.87010519444335932</v>
      </c>
      <c r="CW910" s="180">
        <f t="shared" si="1662"/>
        <v>0.42399975420741998</v>
      </c>
      <c r="CX910" s="181">
        <f>INDEX('State Tax Lookup'!$D$7:$Z$91,MATCH(Calculation!$C910,'State Tax Lookup'!$B$7:$B$91,0),MATCH($H910,'State Tax Lookup'!$D$6:$Z$6,0))</f>
        <v>0.35</v>
      </c>
      <c r="CY910" s="72">
        <v>0.37</v>
      </c>
      <c r="CZ910" s="70">
        <f t="shared" si="1664"/>
        <v>15.635475507038928</v>
      </c>
      <c r="DA910" s="70"/>
      <c r="DB910" s="69">
        <f t="shared" si="1668"/>
        <v>0.11535768986315453</v>
      </c>
      <c r="DC910" s="111">
        <f>VLOOKUP($H910,RoR!$E:$F,2,FALSE)</f>
        <v>5.2350000000000001E-2</v>
      </c>
      <c r="DD910" s="216">
        <f>HLOOKUP($H910,'GDP-PI'!$D$8:$CQ$11,3,FALSE)</f>
        <v>3.1010403642454332E-2</v>
      </c>
      <c r="DE910" s="111">
        <f>VLOOKUP(H910,'HW Dx Data'!$E:$F,2,FALSE)</f>
        <v>469.20514034936258</v>
      </c>
      <c r="DF910" s="72">
        <f t="shared" ref="DF910:DF928" si="1678">VLOOKUP(G910,EG$8:EH$27,2,FALSE)</f>
        <v>99.224999999999994</v>
      </c>
      <c r="DG910" s="69">
        <f t="shared" ref="DG910:DG928" si="1679">LN(DF910/DF909)</f>
        <v>5.0378726854569796E-2</v>
      </c>
      <c r="DH910" s="66">
        <f>HLOOKUP(H910,'GDP-PI'!$8:$9,2,FALSE)</f>
        <v>87.406999999999996</v>
      </c>
      <c r="DI910" s="69">
        <f t="shared" si="1669"/>
        <v>3.0539295810733648E-2</v>
      </c>
      <c r="EB910"/>
    </row>
    <row r="911" spans="1:132" s="160" customFormat="1" ht="21">
      <c r="A911" s="160" t="s">
        <v>214</v>
      </c>
      <c r="B911" s="160" t="s">
        <v>214</v>
      </c>
      <c r="C911" s="160">
        <v>4057139</v>
      </c>
      <c r="D911" s="161" t="s">
        <v>215</v>
      </c>
      <c r="E911" s="161"/>
      <c r="F911" s="189"/>
      <c r="G911" s="160" t="s">
        <v>117</v>
      </c>
      <c r="H911" s="162">
        <v>2006</v>
      </c>
      <c r="I911" s="163"/>
      <c r="J911" s="159">
        <f>IFERROR(INDEX('Labor Expenditures'!$F$7:$X$91,MATCH($C911,'Labor Expenditures'!$D$7:$D$91,0),MATCH($G911,'Labor Expenditures'!$F$5:$X$5,0)),"NA")</f>
        <v>26900.303399489418</v>
      </c>
      <c r="K911" s="159">
        <f t="shared" si="1670"/>
        <v>245.88942778326705</v>
      </c>
      <c r="L911" s="165">
        <f t="shared" si="1676"/>
        <v>-0.10491827732100055</v>
      </c>
      <c r="M911" s="76">
        <f t="shared" ref="M911:M927" si="1680">+L911*$AR911</f>
        <v>-1.5064452438561231E-3</v>
      </c>
      <c r="N911" s="62">
        <f>+N910*EXP(O911)</f>
        <v>112.44616716002838</v>
      </c>
      <c r="O911" s="96">
        <f t="shared" ref="O911:O927" si="1681">+M911+M936+M961+M986+M1011+M1036+M1061+M1086+M1111+M1136+M1161+M1186+M1211+M1236+M1261+M1286+M1311+M1336+M1361+M1386+M1411+M1436+M1461+M1486+M1511+M1536+M1561+M1586+M1611+M1636+M1661+M1686+M1711+M1736+M1761+M1786+M1811+M1836+M1861+M1886+M1911+M1936+M1961+M1986+M2011+M2036+M2061+M2086+M2111+M2136+M2161+M2186+M2211+M2236</f>
        <v>0.11730440699887879</v>
      </c>
      <c r="P911" s="96"/>
      <c r="Q911" s="159">
        <f>IFERROR(INDEX('Non-Labor Expenditures'!$F$7:$AB$91,MATCH($C911,'Non-Labor Expenditures'!$D$7:$D$91,0),MATCH($G911,'Non-Labor Expenditures'!$F$5:$AB$5,0)),"NA")</f>
        <v>38956.66360608855</v>
      </c>
      <c r="R911" s="159">
        <f t="shared" si="1671"/>
        <v>432.49620985066224</v>
      </c>
      <c r="S911" s="165">
        <f t="shared" ref="S911:S926" si="1682">LN(R911/R910)</f>
        <v>-3.7353569727703241E-2</v>
      </c>
      <c r="T911" s="165">
        <f t="shared" ref="T911:T927" si="1683">+S911*AR911</f>
        <v>-5.3633274291364406E-4</v>
      </c>
      <c r="U911" s="165"/>
      <c r="V911" s="165"/>
      <c r="W911" s="159">
        <f t="shared" si="1652"/>
        <v>48429.51320399328</v>
      </c>
      <c r="X911" s="163"/>
      <c r="Y911" s="167">
        <v>3328.8303314811924</v>
      </c>
      <c r="Z911" s="168">
        <v>4.8211724480721863E-2</v>
      </c>
      <c r="AA911" s="76">
        <f t="shared" si="1672"/>
        <v>6.9223709058696019E-4</v>
      </c>
      <c r="AB911" s="168"/>
      <c r="AC911" s="168"/>
      <c r="AD911" s="163">
        <f t="shared" si="1645"/>
        <v>114286.48020957125</v>
      </c>
      <c r="AE911" s="168">
        <f t="shared" ref="AE911:AE927" si="1684">LN(AD911/AD910)</f>
        <v>-2.1541415352736037E-4</v>
      </c>
      <c r="AF911" s="163"/>
      <c r="AG911" s="163"/>
      <c r="AH911" s="163"/>
      <c r="AI911" s="163"/>
      <c r="AJ911" s="116">
        <f t="shared" ref="AJ911:AJ927" si="1685">+(AD911*1000)/AV911</f>
        <v>267.38307966658851</v>
      </c>
      <c r="AK911" s="114">
        <f>+AV911/$AX$11</f>
        <v>1.23243408889865E-2</v>
      </c>
      <c r="AL911" s="115">
        <f t="shared" si="1673"/>
        <v>0.23537607729419402</v>
      </c>
      <c r="AM911" s="115">
        <f t="shared" si="1674"/>
        <v>0.34086852210910956</v>
      </c>
      <c r="AN911" s="115">
        <f t="shared" si="1675"/>
        <v>0.42375540059669636</v>
      </c>
      <c r="AO911" s="115">
        <f t="shared" si="1677"/>
        <v>-1.7229656079005718E-2</v>
      </c>
      <c r="AP911" s="166">
        <f>+AP910*EXP(AO911)</f>
        <v>98.291792563565267</v>
      </c>
      <c r="AQ911" s="168">
        <f>LN(AP911/AP910)</f>
        <v>-1.7229656079005787E-2</v>
      </c>
      <c r="AR911" s="69">
        <f>+AD911/$AF$11</f>
        <v>1.4358272765450672E-2</v>
      </c>
      <c r="AS911" s="169">
        <f>+AR911*AQ911</f>
        <v>-2.473881016372704E-4</v>
      </c>
      <c r="AT911" s="115"/>
      <c r="AU911" s="115"/>
      <c r="AV911" s="113">
        <f>IFERROR(INDEX('Total Customers'!$F$7:$AB$91,MATCH($C911,'Total Customers'!$D$7:$D$91,0),MATCH($G911,'Total Customers'!$F$5:$AB$5,0)),"NA")</f>
        <v>427426</v>
      </c>
      <c r="AW911" s="68">
        <f t="shared" si="1646"/>
        <v>4.6580178234363043E-2</v>
      </c>
      <c r="AX911" s="114"/>
      <c r="AY911" s="114"/>
      <c r="AZ911" s="116"/>
      <c r="BA911" s="116"/>
      <c r="BB911" s="166"/>
      <c r="BC911" s="166"/>
      <c r="BD911" s="166"/>
      <c r="BE911" s="166"/>
      <c r="BF911" s="166"/>
      <c r="BG911" s="166"/>
      <c r="BH911" s="166"/>
      <c r="BI911" s="113"/>
      <c r="BJ911" s="113"/>
      <c r="BK911" s="113">
        <f>INDEX('Dist. Plant Gas Additions'!$F$7:$AE$91,MATCH($C911,'Dist. Plant Gas Additions'!$D$7:$D$91,0),MATCH(Calculation!$G911,'Dist. Plant Gas Additions'!$F$5:$AE$5,0))</f>
        <v>73730</v>
      </c>
      <c r="BL911" s="113">
        <f>INDEX('Gen. Plant Additions'!$F$7:$AE$91,MATCH($C911,'Gen. Plant Additions'!$D$7:$D$91,0),MATCH(Calculation!$G911,'Gen. Plant Additions'!$F$5:$AE$5,0))</f>
        <v>7571</v>
      </c>
      <c r="BM911" s="231">
        <f t="shared" si="1653"/>
        <v>0.92386070005493437</v>
      </c>
      <c r="BN911" s="61">
        <f t="shared" si="1649"/>
        <v>6994.5493601159078</v>
      </c>
      <c r="BO911" s="113">
        <f>INDEX('Dist Plant Depreciation'!$E$7:$AD$94,MATCH($C911,'Dist Plant Depreciation'!$D$7:$D$94,0),MATCH(Calculation!$G911,'Dist Plant Depreciation'!$E$5:$AD$5,0))</f>
        <v>152479</v>
      </c>
      <c r="BP911" s="113">
        <f>INDEX('Gen. Plant Depreciation'!$E$7:$AD$94,MATCH($C911,'Gen. Plant Depreciation'!$D$7:$D$94,0),MATCH(Calculation!$G911,'Gen. Plant Depreciation'!$E$5:$AD$5,0))</f>
        <v>38301</v>
      </c>
      <c r="BQ911" s="113"/>
      <c r="BR911" s="113"/>
      <c r="BS911" s="113"/>
      <c r="BT911" s="113"/>
      <c r="BU911" s="113"/>
      <c r="BV911" s="175"/>
      <c r="BW911" s="113">
        <f>INDEX('Gross Dx Plant'!$E$7:$AD$91,MATCH($C911,'Gross Dx Plant'!$D$7:$D$91,0),MATCH(Calculation!$G911,'Gross Dx Plant'!$E$5:$AD$5,0))</f>
        <v>862739</v>
      </c>
      <c r="BX911" s="113">
        <f>INDEX('Gross Gen Plant'!$E$7:$AD$91,MATCH($C911,'Gross Gen Plant'!$D$7:$D$91,0),MATCH(Calculation!$G911,'Gross Gen Plant'!$E$5:$AD$5,0))</f>
        <v>71102</v>
      </c>
      <c r="BY911" s="113">
        <f t="shared" si="1605"/>
        <v>743061</v>
      </c>
      <c r="BZ911" s="114"/>
      <c r="CA911" s="116">
        <v>2006</v>
      </c>
      <c r="CB911" s="113"/>
      <c r="CC911" s="113"/>
      <c r="CD911" s="113"/>
      <c r="CE911" s="175"/>
      <c r="CF911" s="113">
        <f t="shared" si="1654"/>
        <v>81301</v>
      </c>
      <c r="CG911" s="113">
        <f t="shared" si="1655"/>
        <v>176.32514911747751</v>
      </c>
      <c r="CH911" s="178">
        <v>0.9555555555555556</v>
      </c>
      <c r="CI911" s="61">
        <f>+CI903*CH911+CG904*CH910+CG905*CH909+CG906*CH908+CG907*CH907+CG908*CH906+CG909*CH905+CG910*CH904+CG911</f>
        <v>3328.8303314811924</v>
      </c>
      <c r="CJ911" s="114">
        <f t="shared" si="1656"/>
        <v>4.8211724480721863E-2</v>
      </c>
      <c r="CK911" s="114"/>
      <c r="CL911" s="169">
        <f t="shared" si="1657"/>
        <v>6.1925797061195805E-3</v>
      </c>
      <c r="CM911" s="169">
        <f t="shared" si="1665"/>
        <v>6.0063737862431675E-3</v>
      </c>
      <c r="CN911" s="114">
        <f>VLOOKUP($H911,RoR!$E:$F,2,FALSE)</f>
        <v>5.5874999999999994E-2</v>
      </c>
      <c r="CO911" s="169">
        <v>3.0512430354548314E-2</v>
      </c>
      <c r="CP911" s="169">
        <f t="shared" si="1663"/>
        <v>2.536256964545168E-2</v>
      </c>
      <c r="CQ911" s="169">
        <f t="shared" si="1666"/>
        <v>2.4895567822290458E-2</v>
      </c>
      <c r="CR911" s="169">
        <f t="shared" si="1667"/>
        <v>7.9087823893859641E-2</v>
      </c>
      <c r="CS911" s="179">
        <f t="shared" si="1658"/>
        <v>0.87050000000000005</v>
      </c>
      <c r="CT911" s="180">
        <f t="shared" si="1659"/>
        <v>0.91779957551769631</v>
      </c>
      <c r="CU911" s="180">
        <f t="shared" si="1660"/>
        <v>0.52757270693512304</v>
      </c>
      <c r="CV911" s="180">
        <f t="shared" si="1661"/>
        <v>0.88636824549024895</v>
      </c>
      <c r="CW911" s="180">
        <f t="shared" si="1662"/>
        <v>0.42918482841932087</v>
      </c>
      <c r="CX911" s="181">
        <f>INDEX('State Tax Lookup'!$D$7:$Z$91,MATCH(Calculation!$C911,'State Tax Lookup'!$B$7:$B$91,0),MATCH($H911,'State Tax Lookup'!$D$6:$Z$6,0))</f>
        <v>0.35</v>
      </c>
      <c r="CY911" s="72">
        <v>0.37</v>
      </c>
      <c r="CZ911" s="70">
        <f t="shared" si="1664"/>
        <v>15.267099274762147</v>
      </c>
      <c r="DA911" s="70">
        <v>14.788696346247992</v>
      </c>
      <c r="DB911" s="69">
        <f t="shared" si="1668"/>
        <v>-2.384226460815549E-2</v>
      </c>
      <c r="DC911" s="111">
        <f>VLOOKUP($H911,RoR!$E:$F,2,FALSE)</f>
        <v>5.5874999999999994E-2</v>
      </c>
      <c r="DD911" s="216">
        <f>HLOOKUP($H911,'GDP-PI'!$D$8:$CQ$11,3,FALSE)</f>
        <v>3.0512430354548314E-2</v>
      </c>
      <c r="DE911" s="111">
        <f>VLOOKUP(H911,'HW Dx Data'!$E:$F,2,FALSE)</f>
        <v>461.08567272971823</v>
      </c>
      <c r="DF911" s="72">
        <f t="shared" si="1678"/>
        <v>109.4</v>
      </c>
      <c r="DG911" s="69">
        <f t="shared" si="1679"/>
        <v>9.7620891318751846E-2</v>
      </c>
      <c r="DH911" s="66">
        <f>HLOOKUP(H911,'GDP-PI'!$8:$9,2,FALSE)</f>
        <v>90.073999999999998</v>
      </c>
      <c r="DI911" s="69">
        <f t="shared" si="1669"/>
        <v>3.005618372545445E-2</v>
      </c>
      <c r="EB911"/>
    </row>
    <row r="912" spans="1:132" s="160" customFormat="1" ht="21">
      <c r="A912" s="160" t="s">
        <v>214</v>
      </c>
      <c r="B912" s="160" t="s">
        <v>214</v>
      </c>
      <c r="C912" s="160">
        <v>4057139</v>
      </c>
      <c r="D912" s="161" t="s">
        <v>215</v>
      </c>
      <c r="E912" s="161"/>
      <c r="F912" s="189"/>
      <c r="G912" s="160" t="s">
        <v>118</v>
      </c>
      <c r="H912" s="162">
        <v>2007</v>
      </c>
      <c r="I912" s="163"/>
      <c r="J912" s="159">
        <f>IFERROR(INDEX('Labor Expenditures'!$F$7:$X$91,MATCH($C912,'Labor Expenditures'!$D$7:$D$91,0),MATCH($G912,'Labor Expenditures'!$F$5:$X$5,0)),"NA")</f>
        <v>28293.976870594048</v>
      </c>
      <c r="K912" s="159">
        <f t="shared" si="1670"/>
        <v>270.69100091455681</v>
      </c>
      <c r="L912" s="165">
        <f t="shared" si="1676"/>
        <v>9.6095997979233197E-2</v>
      </c>
      <c r="M912" s="76">
        <f t="shared" si="1680"/>
        <v>1.4155853636631005E-3</v>
      </c>
      <c r="N912" s="62">
        <f t="shared" ref="N912:N925" si="1686">+N911*EXP(O912)</f>
        <v>119.61243719596247</v>
      </c>
      <c r="O912" s="96">
        <f t="shared" si="1681"/>
        <v>6.1782233055779602E-2</v>
      </c>
      <c r="P912" s="96"/>
      <c r="Q912" s="159">
        <f>IFERROR(INDEX('Non-Labor Expenditures'!$F$7:$AB$91,MATCH($C912,'Non-Labor Expenditures'!$D$7:$D$91,0),MATCH($G912,'Non-Labor Expenditures'!$F$5:$AB$5,0)),"NA")</f>
        <v>40974.963094546489</v>
      </c>
      <c r="R912" s="159">
        <f t="shared" si="1671"/>
        <v>442.98215198757254</v>
      </c>
      <c r="S912" s="165">
        <f t="shared" si="1682"/>
        <v>2.3955917283942751E-2</v>
      </c>
      <c r="T912" s="165">
        <f t="shared" si="1683"/>
        <v>3.5289342525587512E-4</v>
      </c>
      <c r="U912" s="165"/>
      <c r="V912" s="165"/>
      <c r="W912" s="159">
        <f t="shared" si="1652"/>
        <v>54585.152767343148</v>
      </c>
      <c r="X912" s="163"/>
      <c r="Y912" s="167">
        <v>3471.8790945525247</v>
      </c>
      <c r="Z912" s="168">
        <v>4.2074982712687142E-2</v>
      </c>
      <c r="AA912" s="76">
        <f t="shared" si="1672"/>
        <v>6.198044763251145E-4</v>
      </c>
      <c r="AB912" s="168"/>
      <c r="AC912" s="168"/>
      <c r="AD912" s="163">
        <f t="shared" si="1645"/>
        <v>123854.0927324837</v>
      </c>
      <c r="AE912" s="168">
        <f t="shared" si="1684"/>
        <v>8.0395920847443986E-2</v>
      </c>
      <c r="AF912" s="163"/>
      <c r="AG912" s="163"/>
      <c r="AH912" s="163"/>
      <c r="AI912" s="163"/>
      <c r="AJ912" s="116">
        <f t="shared" si="1685"/>
        <v>278.71964842761787</v>
      </c>
      <c r="AK912" s="114">
        <f>+AV912/$AX$12</f>
        <v>1.2716375306489147E-2</v>
      </c>
      <c r="AL912" s="115">
        <f t="shared" si="1673"/>
        <v>0.22844603877327727</v>
      </c>
      <c r="AM912" s="115">
        <f t="shared" si="1674"/>
        <v>0.33083253197816875</v>
      </c>
      <c r="AN912" s="115">
        <f t="shared" si="1675"/>
        <v>0.4407214292485539</v>
      </c>
      <c r="AO912" s="115">
        <f t="shared" si="1677"/>
        <v>4.8517755845426433E-2</v>
      </c>
      <c r="AP912" s="166">
        <f>+AP911*EXP(AO912)</f>
        <v>103.17827174307793</v>
      </c>
      <c r="AQ912" s="168">
        <f>LN(AP912/AP911)</f>
        <v>4.8517755845426377E-2</v>
      </c>
      <c r="AR912" s="69">
        <f>+AD912/$AF$12</f>
        <v>1.4730950231340698E-2</v>
      </c>
      <c r="AS912" s="169">
        <f t="shared" ref="AS912:AS926" si="1687">+AR912*AQ912</f>
        <v>7.1471264669531519E-4</v>
      </c>
      <c r="AT912" s="115"/>
      <c r="AU912" s="115"/>
      <c r="AV912" s="113">
        <f>IFERROR(INDEX('Total Customers'!$F$7:$AB$91,MATCH($C912,'Total Customers'!$D$7:$D$91,0),MATCH($G912,'Total Customers'!$F$5:$AB$5,0)),"NA")</f>
        <v>444368</v>
      </c>
      <c r="AW912" s="68">
        <f t="shared" si="1646"/>
        <v>3.8871873993934471E-2</v>
      </c>
      <c r="AX912" s="114"/>
      <c r="AY912" s="114"/>
      <c r="AZ912" s="116"/>
      <c r="BA912" s="116"/>
      <c r="BB912" s="166"/>
      <c r="BC912" s="166"/>
      <c r="BD912" s="166"/>
      <c r="BE912" s="166"/>
      <c r="BF912" s="166"/>
      <c r="BG912" s="166"/>
      <c r="BH912" s="166"/>
      <c r="BI912" s="113"/>
      <c r="BJ912" s="113"/>
      <c r="BK912" s="113">
        <f>INDEX('Dist. Plant Gas Additions'!$F$7:$AE$91,MATCH($C912,'Dist. Plant Gas Additions'!$D$7:$D$91,0),MATCH(Calculation!$G912,'Dist. Plant Gas Additions'!$F$5:$AE$5,0))</f>
        <v>74266</v>
      </c>
      <c r="BL912" s="113">
        <f>INDEX('Gen. Plant Additions'!$F$7:$AE$91,MATCH($C912,'Gen. Plant Additions'!$D$7:$D$91,0),MATCH(Calculation!$G912,'Gen. Plant Additions'!$F$5:$AE$5,0))</f>
        <v>7522</v>
      </c>
      <c r="BM912" s="231">
        <f t="shared" si="1653"/>
        <v>0.93768522686420175</v>
      </c>
      <c r="BN912" s="61">
        <f t="shared" si="1649"/>
        <v>7053.2682764725259</v>
      </c>
      <c r="BO912" s="113">
        <f>INDEX('Dist Plant Depreciation'!$E$7:$AD$94,MATCH($C912,'Dist Plant Depreciation'!$D$7:$D$94,0),MATCH(Calculation!$G912,'Dist Plant Depreciation'!$E$5:$AD$5,0))</f>
        <v>163342</v>
      </c>
      <c r="BP912" s="113">
        <f>INDEX('Gen. Plant Depreciation'!$E$7:$AD$94,MATCH($C912,'Gen. Plant Depreciation'!$D$7:$D$94,0),MATCH(Calculation!$G912,'Gen. Plant Depreciation'!$E$5:$AD$5,0))</f>
        <v>28555</v>
      </c>
      <c r="BQ912" s="113"/>
      <c r="BR912" s="113"/>
      <c r="BS912" s="113"/>
      <c r="BT912" s="113"/>
      <c r="BU912" s="113"/>
      <c r="BV912" s="175"/>
      <c r="BW912" s="113">
        <f>INDEX('Gross Dx Plant'!$E$7:$AD$91,MATCH($C912,'Gross Dx Plant'!$D$7:$D$91,0),MATCH(Calculation!$G912,'Gross Dx Plant'!$E$5:$AD$5,0))</f>
        <v>931158</v>
      </c>
      <c r="BX912" s="113">
        <f>INDEX('Gross Gen Plant'!$E$7:$AD$91,MATCH($C912,'Gross Gen Plant'!$D$7:$D$91,0),MATCH(Calculation!$G912,'Gross Gen Plant'!$E$5:$AD$5,0))</f>
        <v>61881</v>
      </c>
      <c r="BY912" s="113">
        <f t="shared" si="1605"/>
        <v>801142</v>
      </c>
      <c r="BZ912" s="113"/>
      <c r="CA912" s="116">
        <v>2007</v>
      </c>
      <c r="CB912" s="113"/>
      <c r="CC912" s="113"/>
      <c r="CD912" s="113"/>
      <c r="CE912" s="175"/>
      <c r="CF912" s="113">
        <f t="shared" si="1654"/>
        <v>81788</v>
      </c>
      <c r="CG912" s="113">
        <f t="shared" si="1655"/>
        <v>164.22557274691817</v>
      </c>
      <c r="CH912" s="178">
        <v>0.94915254237288138</v>
      </c>
      <c r="CI912" s="61">
        <f>+CI903*CH912+CG904*CH911+CG905*CH910+CG906*CH909+CG907*CH908+CG908*CH907+CG909*CH906+CG910*CH905+CG911*CH904+CG912</f>
        <v>3471.8790945525247</v>
      </c>
      <c r="CJ912" s="114">
        <f t="shared" si="1656"/>
        <v>4.2074982712687142E-2</v>
      </c>
      <c r="CK912" s="114"/>
      <c r="CL912" s="169">
        <f t="shared" si="1657"/>
        <v>6.3616368414196132E-3</v>
      </c>
      <c r="CM912" s="169">
        <f t="shared" si="1665"/>
        <v>6.186800900048574E-3</v>
      </c>
      <c r="CN912" s="114">
        <f>VLOOKUP($H912,RoR!$E:$F,2,FALSE)</f>
        <v>5.5558333333333321E-2</v>
      </c>
      <c r="CO912" s="169">
        <v>2.691120634145272E-2</v>
      </c>
      <c r="CP912" s="169">
        <f t="shared" si="1663"/>
        <v>2.86471269918806E-2</v>
      </c>
      <c r="CQ912" s="169">
        <f t="shared" si="1666"/>
        <v>2.4715140708485052E-2</v>
      </c>
      <c r="CR912" s="169">
        <f t="shared" si="1667"/>
        <v>6.4575155250632399E-2</v>
      </c>
      <c r="CS912" s="179">
        <f t="shared" si="1658"/>
        <v>0.87050000000000005</v>
      </c>
      <c r="CT912" s="180">
        <f t="shared" si="1659"/>
        <v>0.92303077153834634</v>
      </c>
      <c r="CU912" s="180">
        <f t="shared" si="1660"/>
        <v>0.52502249887505614</v>
      </c>
      <c r="CV912" s="180">
        <f t="shared" si="1661"/>
        <v>0.88499666072084604</v>
      </c>
      <c r="CW912" s="180">
        <f t="shared" si="1662"/>
        <v>0.42887993290280618</v>
      </c>
      <c r="CX912" s="181">
        <f>INDEX('State Tax Lookup'!$D$7:$Z$91,MATCH(Calculation!$C912,'State Tax Lookup'!$B$7:$B$91,0),MATCH($H912,'State Tax Lookup'!$D$6:$Z$6,0))</f>
        <v>0.35</v>
      </c>
      <c r="CY912" s="72">
        <v>0.37</v>
      </c>
      <c r="CZ912" s="70">
        <f t="shared" si="1664"/>
        <v>16.39769748885189</v>
      </c>
      <c r="DA912" s="70">
        <v>16.108943221861779</v>
      </c>
      <c r="DB912" s="69">
        <f t="shared" si="1668"/>
        <v>7.1440789126978183E-2</v>
      </c>
      <c r="DC912" s="111">
        <f>VLOOKUP($H912,RoR!$E:$F,2,FALSE)</f>
        <v>5.5558333333333321E-2</v>
      </c>
      <c r="DD912" s="216">
        <f>HLOOKUP($H912,'GDP-PI'!$D$8:$CQ$11,3,FALSE)</f>
        <v>2.691120634145272E-2</v>
      </c>
      <c r="DE912" s="111">
        <f>VLOOKUP(H912,'HW Dx Data'!$E:$F,2,FALSE)</f>
        <v>498.0223154772637</v>
      </c>
      <c r="DF912" s="72">
        <f t="shared" si="1678"/>
        <v>104.52499999999999</v>
      </c>
      <c r="DG912" s="69">
        <f t="shared" si="1679"/>
        <v>-4.5584612745252218E-2</v>
      </c>
      <c r="DH912" s="66">
        <f>HLOOKUP(H912,'GDP-PI'!$8:$9,2,FALSE)</f>
        <v>92.498000000000005</v>
      </c>
      <c r="DI912" s="69">
        <f t="shared" si="1669"/>
        <v>2.6555467950038037E-2</v>
      </c>
      <c r="EB912"/>
    </row>
    <row r="913" spans="1:132" s="160" customFormat="1" ht="21">
      <c r="A913" s="160" t="s">
        <v>214</v>
      </c>
      <c r="B913" s="160" t="s">
        <v>214</v>
      </c>
      <c r="C913" s="160">
        <v>4057139</v>
      </c>
      <c r="D913" s="161" t="s">
        <v>215</v>
      </c>
      <c r="E913" s="161"/>
      <c r="F913" s="189"/>
      <c r="G913" s="160" t="s">
        <v>120</v>
      </c>
      <c r="H913" s="162">
        <v>2008</v>
      </c>
      <c r="I913" s="163"/>
      <c r="J913" s="159">
        <f>IFERROR(INDEX('Labor Expenditures'!$F$7:$X$91,MATCH($C913,'Labor Expenditures'!$D$7:$D$91,0),MATCH($G913,'Labor Expenditures'!$F$5:$X$5,0)),"NA")</f>
        <v>29738.445051089788</v>
      </c>
      <c r="K913" s="159">
        <f t="shared" si="1670"/>
        <v>275.61116822140673</v>
      </c>
      <c r="L913" s="165">
        <f t="shared" si="1676"/>
        <v>1.8013109309084993E-2</v>
      </c>
      <c r="M913" s="76">
        <f t="shared" si="1680"/>
        <v>2.7553906427248365E-4</v>
      </c>
      <c r="N913" s="62">
        <f t="shared" si="1686"/>
        <v>111.78789884540204</v>
      </c>
      <c r="O913" s="96">
        <f t="shared" si="1681"/>
        <v>-6.7653510487721655E-2</v>
      </c>
      <c r="P913" s="96"/>
      <c r="Q913" s="159">
        <f>IFERROR(INDEX('Non-Labor Expenditures'!$F$7:$AB$91,MATCH($C913,'Non-Labor Expenditures'!$D$7:$D$91,0),MATCH($G913,'Non-Labor Expenditures'!$F$5:$AB$5,0)),"NA")</f>
        <v>43066.822809345816</v>
      </c>
      <c r="R913" s="159">
        <f t="shared" si="1671"/>
        <v>456.8745524202858</v>
      </c>
      <c r="S913" s="165">
        <f t="shared" si="1682"/>
        <v>3.0879370582513367E-2</v>
      </c>
      <c r="T913" s="165">
        <f t="shared" si="1683"/>
        <v>4.7234892819629444E-4</v>
      </c>
      <c r="U913" s="165"/>
      <c r="V913" s="165"/>
      <c r="W913" s="159">
        <f t="shared" si="1652"/>
        <v>64695.496487819888</v>
      </c>
      <c r="X913" s="163"/>
      <c r="Y913" s="167">
        <v>3567.7415271689802</v>
      </c>
      <c r="Z913" s="168">
        <v>2.7236796962549773E-2</v>
      </c>
      <c r="AA913" s="76">
        <f t="shared" si="1672"/>
        <v>4.1662998986274446E-4</v>
      </c>
      <c r="AB913" s="168"/>
      <c r="AC913" s="168"/>
      <c r="AD913" s="163">
        <f t="shared" si="1645"/>
        <v>137500.7643482555</v>
      </c>
      <c r="AE913" s="168">
        <f t="shared" si="1684"/>
        <v>0.10452527471622974</v>
      </c>
      <c r="AF913" s="163"/>
      <c r="AG913" s="163"/>
      <c r="AH913" s="163"/>
      <c r="AI913" s="163"/>
      <c r="AJ913" s="116">
        <f t="shared" si="1685"/>
        <v>299.9534569678375</v>
      </c>
      <c r="AK913" s="114">
        <f>+AV913/$AX$13</f>
        <v>1.3047989025055428E-2</v>
      </c>
      <c r="AL913" s="115">
        <f t="shared" si="1673"/>
        <v>0.21627839810235269</v>
      </c>
      <c r="AM913" s="115">
        <f t="shared" si="1674"/>
        <v>0.31321151568487421</v>
      </c>
      <c r="AN913" s="115">
        <f t="shared" si="1675"/>
        <v>0.47051008621277307</v>
      </c>
      <c r="AO913" s="115">
        <f t="shared" si="1677"/>
        <v>2.6358786242803845E-2</v>
      </c>
      <c r="AP913" s="166">
        <f t="shared" ref="AP913:AP926" si="1688">+AP912*EXP(AO913)</f>
        <v>105.93408615789532</v>
      </c>
      <c r="AQ913" s="168">
        <f t="shared" ref="AQ913:AQ926" si="1689">LN(AP913/AP912)</f>
        <v>2.6358786242803748E-2</v>
      </c>
      <c r="AR913" s="69">
        <f>+AD913/$AF$13</f>
        <v>1.5296585367053441E-2</v>
      </c>
      <c r="AS913" s="169">
        <f t="shared" si="1687"/>
        <v>4.0319942393496138E-4</v>
      </c>
      <c r="AT913" s="115"/>
      <c r="AU913" s="115"/>
      <c r="AV913" s="113">
        <f>IFERROR(INDEX('Total Customers'!$F$7:$AB$91,MATCH($C913,'Total Customers'!$D$7:$D$91,0),MATCH($G913,'Total Customers'!$F$5:$AB$5,0)),"NA")</f>
        <v>458407</v>
      </c>
      <c r="AW913" s="68">
        <f t="shared" si="1646"/>
        <v>3.1104387817933E-2</v>
      </c>
      <c r="AX913" s="114"/>
      <c r="AY913" s="114"/>
      <c r="AZ913" s="116"/>
      <c r="BA913" s="116"/>
      <c r="BB913" s="166"/>
      <c r="BC913" s="166"/>
      <c r="BD913" s="166"/>
      <c r="BE913" s="166"/>
      <c r="BF913" s="166"/>
      <c r="BG913" s="166"/>
      <c r="BH913" s="166"/>
      <c r="BI913" s="113"/>
      <c r="BJ913" s="113"/>
      <c r="BK913" s="113">
        <f>INDEX('Dist. Plant Gas Additions'!$F$7:$AE$91,MATCH($C913,'Dist. Plant Gas Additions'!$D$7:$D$91,0),MATCH(Calculation!$G913,'Dist. Plant Gas Additions'!$F$5:$AE$5,0))</f>
        <v>57881</v>
      </c>
      <c r="BL913" s="113">
        <f>INDEX('Gen. Plant Additions'!$F$7:$AE$91,MATCH($C913,'Gen. Plant Additions'!$D$7:$D$91,0),MATCH(Calculation!$G913,'Gen. Plant Additions'!$F$5:$AE$5,0))</f>
        <v>9691</v>
      </c>
      <c r="BM913" s="231">
        <f t="shared" si="1653"/>
        <v>0.93839557348872693</v>
      </c>
      <c r="BN913" s="61">
        <f t="shared" si="1649"/>
        <v>9093.9915026792532</v>
      </c>
      <c r="BO913" s="113">
        <f>INDEX('Dist Plant Depreciation'!$E$7:$AD$94,MATCH($C913,'Dist Plant Depreciation'!$D$7:$D$94,0),MATCH(Calculation!$G913,'Dist Plant Depreciation'!$E$5:$AD$5,0))</f>
        <v>183712</v>
      </c>
      <c r="BP913" s="113">
        <f>INDEX('Gen. Plant Depreciation'!$E$7:$AD$94,MATCH($C913,'Gen. Plant Depreciation'!$D$7:$D$94,0),MATCH(Calculation!$G913,'Gen. Plant Depreciation'!$E$5:$AD$5,0))</f>
        <v>28188</v>
      </c>
      <c r="BQ913" s="113"/>
      <c r="BR913" s="113"/>
      <c r="BS913" s="113"/>
      <c r="BT913" s="113"/>
      <c r="BU913" s="113"/>
      <c r="BV913" s="175"/>
      <c r="BW913" s="113">
        <f>INDEX('Gross Dx Plant'!$E$7:$AD$91,MATCH($C913,'Gross Dx Plant'!$D$7:$D$91,0),MATCH(Calculation!$G913,'Gross Dx Plant'!$E$5:$AD$5,0))</f>
        <v>1020965</v>
      </c>
      <c r="BX913" s="113">
        <f>INDEX('Gross Gen Plant'!$E$7:$AD$91,MATCH($C913,'Gross Gen Plant'!$D$7:$D$91,0),MATCH(Calculation!$G913,'Gross Gen Plant'!$E$5:$AD$5,0))</f>
        <v>67025</v>
      </c>
      <c r="BY913" s="113">
        <f t="shared" si="1605"/>
        <v>876090</v>
      </c>
      <c r="BZ913" s="113"/>
      <c r="CA913" s="116">
        <v>2008</v>
      </c>
      <c r="CB913" s="113"/>
      <c r="CC913" s="113"/>
      <c r="CD913" s="113"/>
      <c r="CE913" s="175"/>
      <c r="CF913" s="113">
        <f t="shared" si="1654"/>
        <v>67572</v>
      </c>
      <c r="CG913" s="113">
        <f t="shared" si="1655"/>
        <v>118.57208064513136</v>
      </c>
      <c r="CH913" s="178">
        <v>0.94252873563218387</v>
      </c>
      <c r="CI913" s="61">
        <f>+CI903*CH913+CG904*CH912+CG905*CH911+CG906*CH910+CG907*CH909+CG908*CH908+CG909*CH907+CG910*CH906+CG911*CH905+CG912*CH904+CG913</f>
        <v>3567.7415271689802</v>
      </c>
      <c r="CJ913" s="114">
        <f t="shared" si="1656"/>
        <v>2.7236796962549773E-2</v>
      </c>
      <c r="CK913" s="114"/>
      <c r="CL913" s="169">
        <f t="shared" si="1657"/>
        <v>6.5410250213805048E-3</v>
      </c>
      <c r="CM913" s="169">
        <f t="shared" si="1665"/>
        <v>6.3650805229732328E-3</v>
      </c>
      <c r="CN913" s="114">
        <f>VLOOKUP($H913,RoR!$E:$F,2,FALSE)</f>
        <v>5.6316666666666668E-2</v>
      </c>
      <c r="CO913" s="169">
        <v>1.9092304698479889E-2</v>
      </c>
      <c r="CP913" s="169">
        <f t="shared" si="1663"/>
        <v>3.7224361968186778E-2</v>
      </c>
      <c r="CQ913" s="169">
        <f t="shared" si="1666"/>
        <v>2.4536861085560392E-2</v>
      </c>
      <c r="CR913" s="169">
        <f t="shared" si="1667"/>
        <v>6.9030581091053131E-2</v>
      </c>
      <c r="CS913" s="179">
        <f t="shared" si="1658"/>
        <v>0.87050000000000005</v>
      </c>
      <c r="CT913" s="180">
        <f t="shared" si="1659"/>
        <v>0.91060168006009956</v>
      </c>
      <c r="CU913" s="180">
        <f t="shared" si="1660"/>
        <v>0.53108168097070152</v>
      </c>
      <c r="CV913" s="180">
        <f t="shared" si="1661"/>
        <v>0.88825329850328805</v>
      </c>
      <c r="CW913" s="180">
        <f t="shared" si="1662"/>
        <v>0.4295627335323573</v>
      </c>
      <c r="CX913" s="181">
        <f>INDEX('State Tax Lookup'!$D$7:$Z$91,MATCH(Calculation!$C913,'State Tax Lookup'!$B$7:$B$91,0),MATCH($H913,'State Tax Lookup'!$D$6:$Z$6,0))</f>
        <v>0.35</v>
      </c>
      <c r="CY913" s="72">
        <v>0.37</v>
      </c>
      <c r="CZ913" s="70">
        <f t="shared" si="1664"/>
        <v>18.634144428971886</v>
      </c>
      <c r="DA913" s="70">
        <v>18.300102035478151</v>
      </c>
      <c r="DB913" s="69">
        <f t="shared" si="1668"/>
        <v>0.12785469187615758</v>
      </c>
      <c r="DC913" s="111">
        <f>VLOOKUP($H913,RoR!$E:$F,2,FALSE)</f>
        <v>5.6316666666666668E-2</v>
      </c>
      <c r="DD913" s="216">
        <f>HLOOKUP($H913,'GDP-PI'!$D$8:$CQ$11,3,FALSE)</f>
        <v>1.9092304698479889E-2</v>
      </c>
      <c r="DE913" s="111">
        <f>VLOOKUP(H913,'HW Dx Data'!$E:$F,2,FALSE)</f>
        <v>569.88120333515076</v>
      </c>
      <c r="DF913" s="72">
        <f t="shared" si="1678"/>
        <v>107.9</v>
      </c>
      <c r="DG913" s="69">
        <f t="shared" si="1679"/>
        <v>3.1778595021460486E-2</v>
      </c>
      <c r="DH913" s="66">
        <f>HLOOKUP(H913,'GDP-PI'!$8:$9,2,FALSE)</f>
        <v>94.263999999999996</v>
      </c>
      <c r="DI913" s="69">
        <f t="shared" si="1669"/>
        <v>1.8912333748032254E-2</v>
      </c>
      <c r="EB913"/>
    </row>
    <row r="914" spans="1:132" s="160" customFormat="1" ht="21">
      <c r="A914" s="160" t="s">
        <v>214</v>
      </c>
      <c r="B914" s="160" t="s">
        <v>214</v>
      </c>
      <c r="C914" s="160">
        <v>4057139</v>
      </c>
      <c r="D914" s="161" t="s">
        <v>215</v>
      </c>
      <c r="E914" s="161"/>
      <c r="F914" s="189"/>
      <c r="G914" s="160" t="s">
        <v>125</v>
      </c>
      <c r="H914" s="162">
        <v>2009</v>
      </c>
      <c r="I914" s="163"/>
      <c r="J914" s="159">
        <f>IFERROR(INDEX('Labor Expenditures'!$F$7:$X$91,MATCH($C914,'Labor Expenditures'!$D$7:$D$91,0),MATCH($G914,'Labor Expenditures'!$F$5:$X$5,0)),"NA")</f>
        <v>27946.350497040828</v>
      </c>
      <c r="K914" s="159">
        <f t="shared" si="1670"/>
        <v>251.93915255389524</v>
      </c>
      <c r="L914" s="165">
        <f t="shared" si="1676"/>
        <v>-8.9803461381935998E-2</v>
      </c>
      <c r="M914" s="76">
        <f t="shared" si="1680"/>
        <v>-1.266422510863783E-3</v>
      </c>
      <c r="N914" s="62">
        <f t="shared" si="1686"/>
        <v>117.59781093639823</v>
      </c>
      <c r="O914" s="96">
        <f t="shared" si="1681"/>
        <v>5.0667105249837099E-2</v>
      </c>
      <c r="P914" s="96"/>
      <c r="Q914" s="159">
        <f>IFERROR(INDEX('Non-Labor Expenditures'!$F$7:$AB$91,MATCH($C914,'Non-Labor Expenditures'!$D$7:$D$91,0),MATCH($G914,'Non-Labor Expenditures'!$F$5:$AB$5,0)),"NA")</f>
        <v>40471.53517799094</v>
      </c>
      <c r="R914" s="159">
        <f t="shared" si="1671"/>
        <v>426.02064419615937</v>
      </c>
      <c r="S914" s="165">
        <f t="shared" si="1682"/>
        <v>-6.9921045199361501E-2</v>
      </c>
      <c r="T914" s="165">
        <f t="shared" si="1683"/>
        <v>-9.8603755647003644E-4</v>
      </c>
      <c r="U914" s="165"/>
      <c r="V914" s="165"/>
      <c r="W914" s="159">
        <f t="shared" si="1652"/>
        <v>63798.785937318993</v>
      </c>
      <c r="X914" s="163"/>
      <c r="Y914" s="167">
        <v>3599.8211309823059</v>
      </c>
      <c r="Z914" s="168">
        <v>8.9513882326597728E-3</v>
      </c>
      <c r="AA914" s="76">
        <f t="shared" si="1672"/>
        <v>1.2623388215637086E-4</v>
      </c>
      <c r="AB914" s="168"/>
      <c r="AC914" s="168"/>
      <c r="AD914" s="163">
        <f t="shared" si="1645"/>
        <v>132216.67161235076</v>
      </c>
      <c r="AE914" s="168">
        <f t="shared" si="1684"/>
        <v>-3.9187447501772318E-2</v>
      </c>
      <c r="AF914" s="163"/>
      <c r="AG914" s="163"/>
      <c r="AH914" s="163"/>
      <c r="AI914" s="163"/>
      <c r="AJ914" s="116">
        <f t="shared" si="1685"/>
        <v>283.85102407996368</v>
      </c>
      <c r="AK914" s="114">
        <f>+AV914/$AX$14</f>
        <v>1.3241406443884296E-2</v>
      </c>
      <c r="AL914" s="115">
        <f t="shared" si="1673"/>
        <v>0.21136782643400226</v>
      </c>
      <c r="AM914" s="115">
        <f t="shared" si="1674"/>
        <v>0.30610009074082883</v>
      </c>
      <c r="AN914" s="115">
        <f t="shared" si="1675"/>
        <v>0.48253208282516885</v>
      </c>
      <c r="AO914" s="115">
        <f t="shared" si="1677"/>
        <v>-3.658798778925363E-2</v>
      </c>
      <c r="AP914" s="166">
        <f t="shared" si="1688"/>
        <v>102.12822015699096</v>
      </c>
      <c r="AQ914" s="168">
        <f t="shared" si="1689"/>
        <v>-3.6587987789253568E-2</v>
      </c>
      <c r="AR914" s="69">
        <f>+AD914/$AF$14</f>
        <v>1.4102156992341994E-2</v>
      </c>
      <c r="AS914" s="169">
        <f t="shared" si="1687"/>
        <v>-5.1596954783794571E-4</v>
      </c>
      <c r="AT914" s="115"/>
      <c r="AU914" s="115"/>
      <c r="AV914" s="113">
        <f>IFERROR(INDEX('Total Customers'!$F$7:$AB$91,MATCH($C914,'Total Customers'!$D$7:$D$91,0),MATCH($G914,'Total Customers'!$F$5:$AB$5,0)),"NA")</f>
        <v>465796</v>
      </c>
      <c r="AW914" s="68">
        <f t="shared" si="1646"/>
        <v>1.5990334246767449E-2</v>
      </c>
      <c r="AX914" s="114"/>
      <c r="AY914" s="114"/>
      <c r="AZ914" s="116"/>
      <c r="BA914" s="116"/>
      <c r="BB914" s="166"/>
      <c r="BC914" s="166"/>
      <c r="BD914" s="166"/>
      <c r="BE914" s="166"/>
      <c r="BF914" s="166"/>
      <c r="BG914" s="166"/>
      <c r="BH914" s="166"/>
      <c r="BI914" s="113"/>
      <c r="BJ914" s="113"/>
      <c r="BK914" s="113">
        <f>INDEX('Dist. Plant Gas Additions'!$F$7:$AE$91,MATCH($C914,'Dist. Plant Gas Additions'!$D$7:$D$91,0),MATCH(Calculation!$G914,'Dist. Plant Gas Additions'!$F$5:$AE$5,0))</f>
        <v>26503</v>
      </c>
      <c r="BL914" s="113">
        <f>INDEX('Gen. Plant Additions'!$F$7:$AE$91,MATCH($C914,'Gen. Plant Additions'!$D$7:$D$91,0),MATCH(Calculation!$G914,'Gen. Plant Additions'!$F$5:$AE$5,0))</f>
        <v>4436</v>
      </c>
      <c r="BM914" s="231">
        <f t="shared" si="1653"/>
        <v>0.93788684047787629</v>
      </c>
      <c r="BN914" s="61">
        <f t="shared" si="1649"/>
        <v>4160.4660243598591</v>
      </c>
      <c r="BO914" s="113">
        <f>INDEX('Dist Plant Depreciation'!$E$7:$AD$94,MATCH($C914,'Dist Plant Depreciation'!$D$7:$D$94,0),MATCH(Calculation!$G914,'Dist Plant Depreciation'!$E$5:$AD$5,0))</f>
        <v>199152</v>
      </c>
      <c r="BP914" s="113">
        <f>INDEX('Gen. Plant Depreciation'!$E$7:$AD$94,MATCH($C914,'Gen. Plant Depreciation'!$D$7:$D$94,0),MATCH(Calculation!$G914,'Gen. Plant Depreciation'!$E$5:$AD$5,0))</f>
        <v>30020</v>
      </c>
      <c r="BQ914" s="113"/>
      <c r="BR914" s="113"/>
      <c r="BS914" s="113"/>
      <c r="BT914" s="113"/>
      <c r="BU914" s="113"/>
      <c r="BV914" s="175"/>
      <c r="BW914" s="113">
        <f>INDEX('Gross Dx Plant'!$E$7:$AD$91,MATCH($C914,'Gross Dx Plant'!$D$7:$D$91,0),MATCH(Calculation!$G914,'Gross Dx Plant'!$E$5:$AD$5,0))</f>
        <v>1046466</v>
      </c>
      <c r="BX914" s="113">
        <f>INDEX('Gross Gen Plant'!$E$7:$AD$91,MATCH($C914,'Gross Gen Plant'!$D$7:$D$91,0),MATCH(Calculation!$G914,'Gross Gen Plant'!$E$5:$AD$5,0))</f>
        <v>69304</v>
      </c>
      <c r="BY914" s="113">
        <f t="shared" si="1605"/>
        <v>886598</v>
      </c>
      <c r="BZ914" s="113"/>
      <c r="CA914" s="116">
        <v>2009</v>
      </c>
      <c r="CB914" s="113"/>
      <c r="CC914" s="113"/>
      <c r="CD914" s="113"/>
      <c r="CE914" s="175"/>
      <c r="CF914" s="113">
        <f t="shared" si="1654"/>
        <v>30939</v>
      </c>
      <c r="CG914" s="113">
        <f t="shared" si="1655"/>
        <v>56.156685373353298</v>
      </c>
      <c r="CH914" s="178">
        <v>0.93567251461988299</v>
      </c>
      <c r="CI914" s="61">
        <f>+CI903*CH914+CG904*CH913+CG905*CH912+CG906*CH911+CG907*CH910+CG908*CH909+CG909*CH908+CG910*CH907+CG911*CH906+CG912*CH905+CG913*CH904+CG914</f>
        <v>3599.8211309823059</v>
      </c>
      <c r="CJ914" s="114">
        <f t="shared" si="1656"/>
        <v>8.9513882326597728E-3</v>
      </c>
      <c r="CK914" s="114"/>
      <c r="CL914" s="169">
        <f t="shared" si="1657"/>
        <v>6.7485498533669842E-3</v>
      </c>
      <c r="CM914" s="169">
        <f t="shared" si="1665"/>
        <v>6.5504039053890335E-3</v>
      </c>
      <c r="CN914" s="114">
        <f>VLOOKUP($H914,RoR!$E:$F,2,FALSE)</f>
        <v>5.3133333333333324E-2</v>
      </c>
      <c r="CO914" s="169">
        <v>7.7972502758210105E-3</v>
      </c>
      <c r="CP914" s="169">
        <f t="shared" si="1663"/>
        <v>4.5336083057512314E-2</v>
      </c>
      <c r="CQ914" s="169">
        <f t="shared" si="1666"/>
        <v>2.4351537703144591E-2</v>
      </c>
      <c r="CR914" s="169">
        <f t="shared" si="1667"/>
        <v>6.3720160300892073E-2</v>
      </c>
      <c r="CS914" s="179">
        <f t="shared" si="1658"/>
        <v>0.87050000000000005</v>
      </c>
      <c r="CT914" s="180">
        <f t="shared" si="1659"/>
        <v>0.96515780330083989</v>
      </c>
      <c r="CU914" s="180">
        <f t="shared" si="1660"/>
        <v>0.50448557089084056</v>
      </c>
      <c r="CV914" s="180">
        <f t="shared" si="1661"/>
        <v>0.87391435735465484</v>
      </c>
      <c r="CW914" s="180">
        <f t="shared" si="1662"/>
        <v>0.42551605393279146</v>
      </c>
      <c r="CX914" s="181">
        <f>INDEX('State Tax Lookup'!$D$7:$Z$91,MATCH(Calculation!$C914,'State Tax Lookup'!$B$7:$B$91,0),MATCH($H914,'State Tax Lookup'!$D$6:$Z$6,0))</f>
        <v>0.35</v>
      </c>
      <c r="CY914" s="72">
        <v>0.37</v>
      </c>
      <c r="CZ914" s="70">
        <f t="shared" si="1664"/>
        <v>17.88212107056523</v>
      </c>
      <c r="DA914" s="70">
        <v>17.478615056163342</v>
      </c>
      <c r="DB914" s="69">
        <f t="shared" si="1668"/>
        <v>-4.1194229011214167E-2</v>
      </c>
      <c r="DC914" s="111">
        <f>VLOOKUP($H914,RoR!$E:$F,2,FALSE)</f>
        <v>5.3133333333333324E-2</v>
      </c>
      <c r="DD914" s="216">
        <f>HLOOKUP($H914,'GDP-PI'!$D$8:$CQ$11,3,FALSE)</f>
        <v>7.7972502758210105E-3</v>
      </c>
      <c r="DE914" s="111">
        <f>VLOOKUP(H914,'HW Dx Data'!$E:$F,2,FALSE)</f>
        <v>550.94063679692806</v>
      </c>
      <c r="DF914" s="72">
        <f t="shared" si="1678"/>
        <v>110.925</v>
      </c>
      <c r="DG914" s="69">
        <f t="shared" si="1679"/>
        <v>2.7649425000884052E-2</v>
      </c>
      <c r="DH914" s="66">
        <f>HLOOKUP(H914,'GDP-PI'!$8:$9,2,FALSE)</f>
        <v>94.998999999999995</v>
      </c>
      <c r="DI914" s="69">
        <f t="shared" si="1669"/>
        <v>7.7670088183096342E-3</v>
      </c>
      <c r="EB914"/>
    </row>
    <row r="915" spans="1:132" s="160" customFormat="1" ht="21">
      <c r="A915" s="160" t="s">
        <v>214</v>
      </c>
      <c r="B915" s="160" t="s">
        <v>214</v>
      </c>
      <c r="C915" s="160">
        <v>4057139</v>
      </c>
      <c r="D915" s="161" t="s">
        <v>215</v>
      </c>
      <c r="E915" s="161"/>
      <c r="F915" s="189"/>
      <c r="G915" s="160" t="s">
        <v>126</v>
      </c>
      <c r="H915" s="162">
        <v>2010</v>
      </c>
      <c r="I915" s="163"/>
      <c r="J915" s="159">
        <f>IFERROR(INDEX('Labor Expenditures'!$F$7:$X$91,MATCH($C915,'Labor Expenditures'!$D$7:$D$91,0),MATCH($G915,'Labor Expenditures'!$F$5:$X$5,0)),"NA")</f>
        <v>28207.661375676704</v>
      </c>
      <c r="K915" s="159">
        <f t="shared" si="1670"/>
        <v>241.24576759184694</v>
      </c>
      <c r="L915" s="165">
        <f t="shared" si="1676"/>
        <v>-4.3371403831789501E-2</v>
      </c>
      <c r="M915" s="76">
        <f t="shared" si="1680"/>
        <v>-6.0269177692930033E-4</v>
      </c>
      <c r="N915" s="62">
        <f t="shared" si="1686"/>
        <v>96.70032736926936</v>
      </c>
      <c r="O915" s="96">
        <f t="shared" si="1681"/>
        <v>-0.19565363294008178</v>
      </c>
      <c r="P915" s="96"/>
      <c r="Q915" s="159">
        <f>IFERROR(INDEX('Non-Labor Expenditures'!$F$7:$AB$91,MATCH($C915,'Non-Labor Expenditures'!$D$7:$D$91,0),MATCH($G915,'Non-Labor Expenditures'!$F$5:$AB$5,0)),"NA")</f>
        <v>40849.962136395523</v>
      </c>
      <c r="R915" s="159">
        <f t="shared" si="1671"/>
        <v>425.0378438688939</v>
      </c>
      <c r="S915" s="165">
        <f t="shared" si="1682"/>
        <v>-2.3095962919631521E-3</v>
      </c>
      <c r="T915" s="165">
        <f t="shared" si="1683"/>
        <v>-3.2094296476802846E-5</v>
      </c>
      <c r="U915" s="165"/>
      <c r="V915" s="165"/>
      <c r="W915" s="159">
        <f t="shared" si="1652"/>
        <v>65985.308131889338</v>
      </c>
      <c r="X915" s="163"/>
      <c r="Y915" s="167">
        <v>3647.1096858030705</v>
      </c>
      <c r="Z915" s="168">
        <v>1.3050828609489225E-2</v>
      </c>
      <c r="AA915" s="76">
        <f t="shared" si="1672"/>
        <v>1.8135514164029944E-4</v>
      </c>
      <c r="AB915" s="168"/>
      <c r="AC915" s="168"/>
      <c r="AD915" s="163">
        <f t="shared" si="1645"/>
        <v>135042.93164396158</v>
      </c>
      <c r="AE915" s="168">
        <f t="shared" si="1684"/>
        <v>2.1150711574961251E-2</v>
      </c>
      <c r="AF915" s="163"/>
      <c r="AG915" s="163"/>
      <c r="AH915" s="163"/>
      <c r="AI915" s="163"/>
      <c r="AJ915" s="116">
        <f t="shared" si="1685"/>
        <v>285.74164819238388</v>
      </c>
      <c r="AK915" s="114">
        <f>+AV915/$AX$15</f>
        <v>1.3361460899424322E-2</v>
      </c>
      <c r="AL915" s="115">
        <f t="shared" si="1673"/>
        <v>0.20887921368625001</v>
      </c>
      <c r="AM915" s="115">
        <f t="shared" si="1674"/>
        <v>0.30249611467333781</v>
      </c>
      <c r="AN915" s="115">
        <f t="shared" si="1675"/>
        <v>0.48862467164041207</v>
      </c>
      <c r="AO915" s="115">
        <f t="shared" si="1677"/>
        <v>-3.478957635009502E-3</v>
      </c>
      <c r="AP915" s="166">
        <f t="shared" si="1688"/>
        <v>101.7735377260325</v>
      </c>
      <c r="AQ915" s="168">
        <f t="shared" si="1689"/>
        <v>-3.4789576350094356E-3</v>
      </c>
      <c r="AR915" s="69">
        <f>+AD915/$AF$15</f>
        <v>1.3896063389295953E-2</v>
      </c>
      <c r="AS915" s="169">
        <f t="shared" si="1687"/>
        <v>-4.8343815824766251E-5</v>
      </c>
      <c r="AT915" s="115"/>
      <c r="AU915" s="115"/>
      <c r="AV915" s="113">
        <f>IFERROR(INDEX('Total Customers'!$F$7:$AB$91,MATCH($C915,'Total Customers'!$D$7:$D$91,0),MATCH($G915,'Total Customers'!$F$5:$AB$5,0)),"NA")</f>
        <v>472605</v>
      </c>
      <c r="AW915" s="68">
        <f t="shared" si="1646"/>
        <v>1.4512174431506618E-2</v>
      </c>
      <c r="AX915" s="114"/>
      <c r="AY915" s="114"/>
      <c r="AZ915" s="116"/>
      <c r="BA915" s="116"/>
      <c r="BB915" s="166"/>
      <c r="BC915" s="166"/>
      <c r="BD915" s="166"/>
      <c r="BE915" s="166"/>
      <c r="BF915" s="166"/>
      <c r="BG915" s="166"/>
      <c r="BH915" s="166"/>
      <c r="BI915" s="113"/>
      <c r="BJ915" s="113"/>
      <c r="BK915" s="113">
        <f>INDEX('Dist. Plant Gas Additions'!$F$7:$AE$91,MATCH($C915,'Dist. Plant Gas Additions'!$D$7:$D$91,0),MATCH(Calculation!$G915,'Dist. Plant Gas Additions'!$F$5:$AE$5,0))</f>
        <v>34391</v>
      </c>
      <c r="BL915" s="113">
        <f>INDEX('Gen. Plant Additions'!$F$7:$AE$91,MATCH($C915,'Gen. Plant Additions'!$D$7:$D$91,0),MATCH(Calculation!$G915,'Gen. Plant Additions'!$F$5:$AE$5,0))</f>
        <v>6850</v>
      </c>
      <c r="BM915" s="231">
        <f t="shared" si="1653"/>
        <v>0.93921463714744335</v>
      </c>
      <c r="BN915" s="61">
        <f t="shared" si="1649"/>
        <v>6433.6202644599871</v>
      </c>
      <c r="BO915" s="113">
        <f>INDEX('Dist Plant Depreciation'!$E$7:$AD$94,MATCH($C915,'Dist Plant Depreciation'!$D$7:$D$94,0),MATCH(Calculation!$G915,'Dist Plant Depreciation'!$E$5:$AD$5,0))</f>
        <v>214896</v>
      </c>
      <c r="BP915" s="113">
        <f>INDEX('Gen. Plant Depreciation'!$E$7:$AD$94,MATCH($C915,'Gen. Plant Depreciation'!$D$7:$D$94,0),MATCH(Calculation!$G915,'Gen. Plant Depreciation'!$E$5:$AD$5,0))</f>
        <v>28237</v>
      </c>
      <c r="BQ915" s="113"/>
      <c r="BR915" s="113"/>
      <c r="BS915" s="113"/>
      <c r="BT915" s="113"/>
      <c r="BU915" s="113"/>
      <c r="BV915" s="175"/>
      <c r="BW915" s="113">
        <f>INDEX('Gross Dx Plant'!$E$7:$AD$91,MATCH($C915,'Gross Dx Plant'!$D$7:$D$91,0),MATCH(Calculation!$G915,'Gross Dx Plant'!$E$5:$AD$5,0))</f>
        <v>1077792</v>
      </c>
      <c r="BX915" s="113">
        <f>INDEX('Gross Gen Plant'!$E$7:$AD$91,MATCH($C915,'Gross Gen Plant'!$D$7:$D$91,0),MATCH(Calculation!$G915,'Gross Gen Plant'!$E$5:$AD$5,0))</f>
        <v>69754</v>
      </c>
      <c r="BY915" s="113">
        <f t="shared" si="1605"/>
        <v>904413</v>
      </c>
      <c r="BZ915" s="113"/>
      <c r="CA915" s="116">
        <v>2010</v>
      </c>
      <c r="CB915" s="113"/>
      <c r="CC915" s="113"/>
      <c r="CD915" s="113"/>
      <c r="CE915" s="175"/>
      <c r="CF915" s="113">
        <f t="shared" si="1654"/>
        <v>41241</v>
      </c>
      <c r="CG915" s="113">
        <f t="shared" si="1655"/>
        <v>72.48112629388612</v>
      </c>
      <c r="CH915" s="178">
        <v>0.9285714285714286</v>
      </c>
      <c r="CI915" s="61">
        <f>+CI903*CH915+CG904*CH914+CG905*CH913+CG906*CH912+CG907*CH911+CG908*CH910+CG909*CH909+CG910*CH908+CG911*CH907+CG912*CH906+CG913*CH905+CG914*CH904+CG915</f>
        <v>3647.1096858030705</v>
      </c>
      <c r="CJ915" s="114">
        <f t="shared" si="1656"/>
        <v>1.3050828609489225E-2</v>
      </c>
      <c r="CK915" s="114"/>
      <c r="CL915" s="169">
        <f t="shared" si="1657"/>
        <v>6.9982842359300954E-3</v>
      </c>
      <c r="CM915" s="169">
        <f t="shared" si="1665"/>
        <v>6.7626197035591945E-3</v>
      </c>
      <c r="CN915" s="114">
        <f>VLOOKUP($H915,RoR!$E:$F,2,FALSE)</f>
        <v>4.9433333333333322E-2</v>
      </c>
      <c r="CO915" s="169">
        <v>1.1684333519300205E-2</v>
      </c>
      <c r="CP915" s="169">
        <f t="shared" si="1663"/>
        <v>3.7748999814033117E-2</v>
      </c>
      <c r="CQ915" s="169">
        <f t="shared" si="1666"/>
        <v>2.4139321904974431E-2</v>
      </c>
      <c r="CR915" s="169">
        <f t="shared" si="1667"/>
        <v>4.7937530248493419E-2</v>
      </c>
      <c r="CS915" s="179">
        <f t="shared" si="1658"/>
        <v>0.87050000000000005</v>
      </c>
      <c r="CT915" s="180">
        <f t="shared" si="1659"/>
        <v>1.037398205301105</v>
      </c>
      <c r="CU915" s="180">
        <f t="shared" si="1660"/>
        <v>0.46926837491571133</v>
      </c>
      <c r="CV915" s="180">
        <f t="shared" si="1661"/>
        <v>0.8548537519972772</v>
      </c>
      <c r="CW915" s="180">
        <f t="shared" si="1662"/>
        <v>0.41615833911547367</v>
      </c>
      <c r="CX915" s="181">
        <f>INDEX('State Tax Lookup'!$D$7:$Z$91,MATCH(Calculation!$C915,'State Tax Lookup'!$B$7:$B$91,0),MATCH($H915,'State Tax Lookup'!$D$6:$Z$6,0))</f>
        <v>0.35</v>
      </c>
      <c r="CY915" s="72">
        <v>0.37</v>
      </c>
      <c r="CZ915" s="70">
        <f t="shared" si="1664"/>
        <v>18.330163008372448</v>
      </c>
      <c r="DA915" s="70">
        <v>17.956102603965455</v>
      </c>
      <c r="DB915" s="69">
        <f t="shared" si="1668"/>
        <v>2.4746563977461566E-2</v>
      </c>
      <c r="DC915" s="111">
        <f>VLOOKUP($H915,RoR!$E:$F,2,FALSE)</f>
        <v>4.9433333333333322E-2</v>
      </c>
      <c r="DD915" s="216">
        <f>HLOOKUP($H915,'GDP-PI'!$D$8:$CQ$11,3,FALSE)</f>
        <v>1.1684333519300205E-2</v>
      </c>
      <c r="DE915" s="111">
        <f>VLOOKUP(H915,'HW Dx Data'!$E:$F,2,FALSE)</f>
        <v>568.98950262971744</v>
      </c>
      <c r="DF915" s="72">
        <f t="shared" si="1678"/>
        <v>116.925</v>
      </c>
      <c r="DG915" s="69">
        <f t="shared" si="1679"/>
        <v>5.2678406346976722E-2</v>
      </c>
      <c r="DH915" s="66">
        <f>HLOOKUP(H915,'GDP-PI'!$8:$9,2,FALSE)</f>
        <v>96.108999999999995</v>
      </c>
      <c r="DI915" s="69">
        <f t="shared" si="1669"/>
        <v>1.1616598807150427E-2</v>
      </c>
      <c r="EB915"/>
    </row>
    <row r="916" spans="1:132" s="160" customFormat="1" ht="21">
      <c r="A916" s="160" t="s">
        <v>214</v>
      </c>
      <c r="B916" s="160" t="s">
        <v>214</v>
      </c>
      <c r="C916" s="160">
        <v>4057139</v>
      </c>
      <c r="D916" s="161" t="s">
        <v>215</v>
      </c>
      <c r="E916" s="161"/>
      <c r="F916" s="189"/>
      <c r="G916" s="160" t="s">
        <v>127</v>
      </c>
      <c r="H916" s="162">
        <v>2011</v>
      </c>
      <c r="I916" s="163"/>
      <c r="J916" s="159">
        <f>IFERROR(INDEX('Labor Expenditures'!$F$7:$X$91,MATCH($C916,'Labor Expenditures'!$D$7:$D$91,0),MATCH($G916,'Labor Expenditures'!$F$5:$X$5,0)),"NA")</f>
        <v>27594.905154207478</v>
      </c>
      <c r="K916" s="159">
        <f t="shared" si="1670"/>
        <v>228.29290717027902</v>
      </c>
      <c r="L916" s="165">
        <f t="shared" si="1676"/>
        <v>-5.5186711374643531E-2</v>
      </c>
      <c r="M916" s="76">
        <f t="shared" si="1680"/>
        <v>-7.5075476028903362E-4</v>
      </c>
      <c r="N916" s="62">
        <f t="shared" si="1686"/>
        <v>116.8539088688582</v>
      </c>
      <c r="O916" s="96">
        <f t="shared" si="1681"/>
        <v>0.18930772458332573</v>
      </c>
      <c r="P916" s="96"/>
      <c r="Q916" s="159">
        <f>IFERROR(INDEX('Non-Labor Expenditures'!$F$7:$AB$91,MATCH($C916,'Non-Labor Expenditures'!$D$7:$D$91,0),MATCH($G916,'Non-Labor Expenditures'!$F$5:$AB$5,0)),"NA")</f>
        <v>39962.576680632686</v>
      </c>
      <c r="R916" s="159">
        <f t="shared" si="1671"/>
        <v>407.31589082510487</v>
      </c>
      <c r="S916" s="165">
        <f t="shared" si="1682"/>
        <v>-4.2589180425984134E-2</v>
      </c>
      <c r="T916" s="165">
        <f t="shared" si="1683"/>
        <v>-5.7937915025513059E-4</v>
      </c>
      <c r="U916" s="165"/>
      <c r="V916" s="165"/>
      <c r="W916" s="159">
        <f t="shared" si="1652"/>
        <v>71284.194353329294</v>
      </c>
      <c r="X916" s="163"/>
      <c r="Y916" s="167">
        <v>3717.9172224071417</v>
      </c>
      <c r="Z916" s="168">
        <v>1.9228638041493131E-2</v>
      </c>
      <c r="AA916" s="76">
        <f t="shared" si="1672"/>
        <v>2.6158455874503568E-4</v>
      </c>
      <c r="AB916" s="168"/>
      <c r="AC916" s="168"/>
      <c r="AD916" s="163">
        <f t="shared" si="1645"/>
        <v>138841.67618816945</v>
      </c>
      <c r="AE916" s="168">
        <f t="shared" si="1684"/>
        <v>2.7741523664389041E-2</v>
      </c>
      <c r="AF916" s="163"/>
      <c r="AG916" s="163"/>
      <c r="AH916" s="163"/>
      <c r="AI916" s="163"/>
      <c r="AJ916" s="116">
        <f t="shared" si="1685"/>
        <v>289.08485922413894</v>
      </c>
      <c r="AK916" s="114">
        <f>+AV916/$AX$16</f>
        <v>1.3512932172637696E-2</v>
      </c>
      <c r="AL916" s="115">
        <f t="shared" si="1673"/>
        <v>0.19875087878374958</v>
      </c>
      <c r="AM916" s="115">
        <f t="shared" si="1674"/>
        <v>0.28782839402249921</v>
      </c>
      <c r="AN916" s="115">
        <f t="shared" si="1675"/>
        <v>0.5134207271937512</v>
      </c>
      <c r="AO916" s="115">
        <f t="shared" si="1677"/>
        <v>-1.4184616498081412E-2</v>
      </c>
      <c r="AP916" s="166">
        <f t="shared" si="1688"/>
        <v>100.34010947289256</v>
      </c>
      <c r="AQ916" s="168">
        <f t="shared" si="1689"/>
        <v>-1.4184616498081457E-2</v>
      </c>
      <c r="AR916" s="69">
        <f>+AD916/$AF$16</f>
        <v>1.3603904664520028E-2</v>
      </c>
      <c r="AS916" s="169">
        <f t="shared" si="1687"/>
        <v>-1.9296617054267808E-4</v>
      </c>
      <c r="AT916" s="115"/>
      <c r="AU916" s="115"/>
      <c r="AV916" s="113">
        <f>IFERROR(INDEX('Total Customers'!$F$7:$AB$91,MATCH($C916,'Total Customers'!$D$7:$D$91,0),MATCH($G916,'Total Customers'!$F$5:$AB$5,0)),"NA")</f>
        <v>480280</v>
      </c>
      <c r="AW916" s="68">
        <f t="shared" si="1646"/>
        <v>1.6109322694198191E-2</v>
      </c>
      <c r="AX916" s="114"/>
      <c r="AY916" s="114"/>
      <c r="AZ916" s="116"/>
      <c r="BA916" s="116"/>
      <c r="BB916" s="166"/>
      <c r="BC916" s="166"/>
      <c r="BD916" s="166"/>
      <c r="BE916" s="166"/>
      <c r="BF916" s="166"/>
      <c r="BG916" s="166"/>
      <c r="BH916" s="166"/>
      <c r="BI916" s="113"/>
      <c r="BJ916" s="113"/>
      <c r="BK916" s="113">
        <f>INDEX('Dist. Plant Gas Additions'!$F$7:$AE$91,MATCH($C916,'Dist. Plant Gas Additions'!$D$7:$D$91,0),MATCH(Calculation!$G916,'Dist. Plant Gas Additions'!$F$5:$AE$5,0))</f>
        <v>51184</v>
      </c>
      <c r="BL916" s="113">
        <f>INDEX('Gen. Plant Additions'!$F$7:$AE$91,MATCH($C916,'Gen. Plant Additions'!$D$7:$D$91,0),MATCH(Calculation!$G916,'Gen. Plant Additions'!$F$5:$AE$5,0))</f>
        <v>8295</v>
      </c>
      <c r="BM916" s="231">
        <f t="shared" si="1653"/>
        <v>0.94063331552602858</v>
      </c>
      <c r="BN916" s="61">
        <f t="shared" si="1649"/>
        <v>7802.553352288407</v>
      </c>
      <c r="BO916" s="113">
        <f>INDEX('Dist Plant Depreciation'!$E$7:$AD$94,MATCH($C916,'Dist Plant Depreciation'!$D$7:$D$94,0),MATCH(Calculation!$G916,'Dist Plant Depreciation'!$E$5:$AD$5,0))</f>
        <v>228187</v>
      </c>
      <c r="BP916" s="113">
        <f>INDEX('Gen. Plant Depreciation'!$E$7:$AD$94,MATCH($C916,'Gen. Plant Depreciation'!$D$7:$D$94,0),MATCH(Calculation!$G916,'Gen. Plant Depreciation'!$E$5:$AD$5,0))</f>
        <v>25005</v>
      </c>
      <c r="BQ916" s="113"/>
      <c r="BR916" s="113"/>
      <c r="BS916" s="113"/>
      <c r="BT916" s="113"/>
      <c r="BU916" s="113"/>
      <c r="BV916" s="175"/>
      <c r="BW916" s="113">
        <f>INDEX('Gross Dx Plant'!$E$7:$AD$91,MATCH($C916,'Gross Dx Plant'!$D$7:$D$91,0),MATCH(Calculation!$G916,'Gross Dx Plant'!$E$5:$AD$5,0))</f>
        <v>1114563</v>
      </c>
      <c r="BX916" s="113">
        <f>INDEX('Gross Gen Plant'!$E$7:$AD$91,MATCH($C916,'Gross Gen Plant'!$D$7:$D$91,0),MATCH(Calculation!$G916,'Gross Gen Plant'!$E$5:$AD$5,0))</f>
        <v>70344</v>
      </c>
      <c r="BY916" s="113">
        <f t="shared" si="1605"/>
        <v>931715</v>
      </c>
      <c r="BZ916" s="113"/>
      <c r="CA916" s="116">
        <v>2011</v>
      </c>
      <c r="CB916" s="113"/>
      <c r="CC916" s="113"/>
      <c r="CD916" s="113"/>
      <c r="CE916" s="175"/>
      <c r="CF916" s="113">
        <f t="shared" si="1654"/>
        <v>59479</v>
      </c>
      <c r="CG916" s="113">
        <f t="shared" si="1655"/>
        <v>97.249707170215601</v>
      </c>
      <c r="CH916" s="178">
        <v>0.92121212121212126</v>
      </c>
      <c r="CI916" s="61">
        <f>+CI903*CH916+CG904*CH915+CG905*CH914+CG906*CH913+CG907*CH912+CG908*CH911+CG909*CH910+CG910*CH909+CG911*CH908+CG912*CH907+CG913*CH906+CG914*CH905+CG915*CH904+CG916</f>
        <v>3717.9172224071417</v>
      </c>
      <c r="CJ916" s="114">
        <f t="shared" si="1656"/>
        <v>1.9228638041493131E-2</v>
      </c>
      <c r="CK916" s="114"/>
      <c r="CL916" s="169">
        <f t="shared" si="1657"/>
        <v>7.2501714629188696E-3</v>
      </c>
      <c r="CM916" s="169">
        <f t="shared" si="1665"/>
        <v>6.99900185073865E-3</v>
      </c>
      <c r="CN916" s="114">
        <f>VLOOKUP($H916,RoR!$E:$F,2,FALSE)</f>
        <v>4.6391666666666664E-2</v>
      </c>
      <c r="CO916" s="169">
        <v>2.0840920205183799E-2</v>
      </c>
      <c r="CP916" s="169">
        <f t="shared" si="1663"/>
        <v>2.5550746461482865E-2</v>
      </c>
      <c r="CQ916" s="169">
        <f t="shared" si="1666"/>
        <v>2.3902939757794974E-2</v>
      </c>
      <c r="CR916" s="169">
        <f t="shared" si="1667"/>
        <v>2.4810540821321614E-2</v>
      </c>
      <c r="CS916" s="179">
        <f t="shared" si="1658"/>
        <v>0.87050000000000005</v>
      </c>
      <c r="CT916" s="180">
        <f t="shared" si="1659"/>
        <v>1.1054151524782025</v>
      </c>
      <c r="CU916" s="180">
        <f t="shared" si="1660"/>
        <v>0.43611011316687626</v>
      </c>
      <c r="CV916" s="180">
        <f t="shared" si="1661"/>
        <v>0.83698442246886229</v>
      </c>
      <c r="CW916" s="180">
        <f t="shared" si="1662"/>
        <v>0.40349573304423936</v>
      </c>
      <c r="CX916" s="181">
        <f>INDEX('State Tax Lookup'!$D$7:$Z$91,MATCH(Calculation!$C916,'State Tax Lookup'!$B$7:$B$91,0),MATCH($H916,'State Tax Lookup'!$D$6:$Z$6,0))</f>
        <v>0.35</v>
      </c>
      <c r="CY916" s="72">
        <v>0.37</v>
      </c>
      <c r="CZ916" s="70">
        <f t="shared" si="1664"/>
        <v>19.545393611498408</v>
      </c>
      <c r="DA916" s="70">
        <v>19.146574949201604</v>
      </c>
      <c r="DB916" s="69">
        <f t="shared" si="1668"/>
        <v>6.4191682978441342E-2</v>
      </c>
      <c r="DC916" s="111">
        <f>VLOOKUP($H916,RoR!$E:$F,2,FALSE)</f>
        <v>4.6391666666666664E-2</v>
      </c>
      <c r="DD916" s="216">
        <f>HLOOKUP($H916,'GDP-PI'!$D$8:$CQ$11,3,FALSE)</f>
        <v>2.0840920205183799E-2</v>
      </c>
      <c r="DE916" s="111">
        <f>VLOOKUP(H916,'HW Dx Data'!$E:$F,2,FALSE)</f>
        <v>611.61109612283201</v>
      </c>
      <c r="DF916" s="72">
        <f t="shared" si="1678"/>
        <v>120.875</v>
      </c>
      <c r="DG916" s="69">
        <f t="shared" si="1679"/>
        <v>3.3224250161508609E-2</v>
      </c>
      <c r="DH916" s="66">
        <f>HLOOKUP(H916,'GDP-PI'!$8:$9,2,FALSE)</f>
        <v>98.111999999999995</v>
      </c>
      <c r="DI916" s="69">
        <f t="shared" si="1669"/>
        <v>2.0626719212849295E-2</v>
      </c>
      <c r="EB916"/>
    </row>
    <row r="917" spans="1:132" s="160" customFormat="1" ht="21">
      <c r="A917" s="160" t="s">
        <v>214</v>
      </c>
      <c r="B917" s="160" t="s">
        <v>214</v>
      </c>
      <c r="C917" s="160">
        <v>4057139</v>
      </c>
      <c r="D917" s="161" t="s">
        <v>215</v>
      </c>
      <c r="E917" s="161"/>
      <c r="F917" s="189"/>
      <c r="G917" s="160" t="s">
        <v>128</v>
      </c>
      <c r="H917" s="162">
        <v>2012</v>
      </c>
      <c r="I917" s="163"/>
      <c r="J917" s="159">
        <f>IFERROR(INDEX('Labor Expenditures'!$F$7:$X$91,MATCH($C917,'Labor Expenditures'!$D$7:$D$91,0),MATCH($G917,'Labor Expenditures'!$F$5:$X$5,0)),"NA")</f>
        <v>28991.516246552466</v>
      </c>
      <c r="K917" s="159">
        <f t="shared" si="1670"/>
        <v>232.30381607814473</v>
      </c>
      <c r="L917" s="165">
        <f t="shared" si="1676"/>
        <v>1.7416581982017346E-2</v>
      </c>
      <c r="M917" s="76">
        <f t="shared" si="1680"/>
        <v>2.4335515648820169E-4</v>
      </c>
      <c r="N917" s="62">
        <f t="shared" si="1686"/>
        <v>116.04517928787008</v>
      </c>
      <c r="O917" s="96">
        <f t="shared" si="1681"/>
        <v>-6.9449205485058582E-3</v>
      </c>
      <c r="P917" s="96"/>
      <c r="Q917" s="159">
        <f>IFERROR(INDEX('Non-Labor Expenditures'!$F$7:$AB$91,MATCH($C917,'Non-Labor Expenditures'!$D$7:$D$91,0),MATCH($G917,'Non-Labor Expenditures'!$F$5:$AB$5,0)),"NA")</f>
        <v>41985.130393318628</v>
      </c>
      <c r="R917" s="159">
        <f t="shared" si="1671"/>
        <v>419.85130393318627</v>
      </c>
      <c r="S917" s="165">
        <f t="shared" si="1682"/>
        <v>3.0311581405143825E-2</v>
      </c>
      <c r="T917" s="165">
        <f t="shared" si="1683"/>
        <v>4.2353199059780322E-4</v>
      </c>
      <c r="U917" s="165"/>
      <c r="V917" s="165"/>
      <c r="W917" s="159">
        <f t="shared" si="1652"/>
        <v>78446.931368224861</v>
      </c>
      <c r="X917" s="163"/>
      <c r="Y917" s="167">
        <v>3772.0920281574822</v>
      </c>
      <c r="Z917" s="168">
        <v>1.4466137141946098E-2</v>
      </c>
      <c r="AA917" s="76">
        <f t="shared" si="1672"/>
        <v>2.0212973312403709E-4</v>
      </c>
      <c r="AB917" s="168"/>
      <c r="AC917" s="168"/>
      <c r="AD917" s="163">
        <f t="shared" si="1645"/>
        <v>149423.57800809597</v>
      </c>
      <c r="AE917" s="168">
        <f t="shared" si="1684"/>
        <v>7.3450814514220794E-2</v>
      </c>
      <c r="AF917" s="163"/>
      <c r="AG917" s="163"/>
      <c r="AH917" s="163"/>
      <c r="AI917" s="163"/>
      <c r="AJ917" s="116">
        <f t="shared" si="1685"/>
        <v>305.67658221606325</v>
      </c>
      <c r="AK917" s="114">
        <f>+AV917/$AX$17</f>
        <v>1.3687551834536947E-2</v>
      </c>
      <c r="AL917" s="115">
        <f t="shared" si="1673"/>
        <v>0.19402236670428055</v>
      </c>
      <c r="AM917" s="115">
        <f t="shared" si="1674"/>
        <v>0.28098062536719487</v>
      </c>
      <c r="AN917" s="115">
        <f t="shared" si="1675"/>
        <v>0.52499700792852455</v>
      </c>
      <c r="AO917" s="115">
        <f t="shared" si="1677"/>
        <v>1.9552080846251974E-2</v>
      </c>
      <c r="AP917" s="166">
        <f t="shared" si="1688"/>
        <v>102.32127221904221</v>
      </c>
      <c r="AQ917" s="168">
        <f t="shared" si="1689"/>
        <v>1.9552080846251978E-2</v>
      </c>
      <c r="AR917" s="69">
        <f>+AD917/$AF$17</f>
        <v>1.3972612808843109E-2</v>
      </c>
      <c r="AS917" s="169">
        <f t="shared" si="1687"/>
        <v>2.7319365527187639E-4</v>
      </c>
      <c r="AT917" s="115"/>
      <c r="AU917" s="115"/>
      <c r="AV917" s="113">
        <f>IFERROR(INDEX('Total Customers'!$F$7:$AB$91,MATCH($C917,'Total Customers'!$D$7:$D$91,0),MATCH($G917,'Total Customers'!$F$5:$AB$5,0)),"NA")</f>
        <v>488829</v>
      </c>
      <c r="AW917" s="68">
        <f t="shared" si="1646"/>
        <v>1.7643467903877986E-2</v>
      </c>
      <c r="AX917" s="114"/>
      <c r="AY917" s="114"/>
      <c r="AZ917" s="116"/>
      <c r="BA917" s="116"/>
      <c r="BB917" s="166"/>
      <c r="BC917" s="166"/>
      <c r="BD917" s="166"/>
      <c r="BE917" s="166"/>
      <c r="BF917" s="166"/>
      <c r="BG917" s="166"/>
      <c r="BH917" s="166"/>
      <c r="BI917" s="113"/>
      <c r="BJ917" s="113"/>
      <c r="BK917" s="113">
        <f>INDEX('Dist. Plant Gas Additions'!$F$7:$AE$91,MATCH($C917,'Dist. Plant Gas Additions'!$D$7:$D$91,0),MATCH(Calculation!$G917,'Dist. Plant Gas Additions'!$F$5:$AE$5,0))</f>
        <v>44813</v>
      </c>
      <c r="BL917" s="113">
        <f>INDEX('Gen. Plant Additions'!$F$7:$AE$91,MATCH($C917,'Gen. Plant Additions'!$D$7:$D$91,0),MATCH(Calculation!$G917,'Gen. Plant Additions'!$F$5:$AE$5,0))</f>
        <v>10071</v>
      </c>
      <c r="BM917" s="231">
        <f t="shared" si="1653"/>
        <v>0.94107227563828744</v>
      </c>
      <c r="BN917" s="61">
        <f t="shared" si="1649"/>
        <v>9477.5388879531929</v>
      </c>
      <c r="BO917" s="113">
        <f>INDEX('Dist Plant Depreciation'!$E$7:$AD$94,MATCH($C917,'Dist Plant Depreciation'!$D$7:$D$94,0),MATCH(Calculation!$G917,'Dist Plant Depreciation'!$E$5:$AD$5,0))</f>
        <v>244495</v>
      </c>
      <c r="BP917" s="113">
        <f>INDEX('Gen. Plant Depreciation'!$E$7:$AD$94,MATCH($C917,'Gen. Plant Depreciation'!$D$7:$D$94,0),MATCH(Calculation!$G917,'Gen. Plant Depreciation'!$E$5:$AD$5,0))</f>
        <v>21439</v>
      </c>
      <c r="BQ917" s="113"/>
      <c r="BR917" s="113"/>
      <c r="BS917" s="113"/>
      <c r="BT917" s="113"/>
      <c r="BU917" s="113"/>
      <c r="BV917" s="175"/>
      <c r="BW917" s="113">
        <f>INDEX('Gross Dx Plant'!$E$7:$AD$91,MATCH($C917,'Gross Dx Plant'!$D$7:$D$91,0),MATCH(Calculation!$G917,'Gross Dx Plant'!$E$5:$AD$5,0))</f>
        <v>1156607</v>
      </c>
      <c r="BX917" s="113">
        <f>INDEX('Gross Gen Plant'!$E$7:$AD$91,MATCH($C917,'Gross Gen Plant'!$D$7:$D$91,0),MATCH(Calculation!$G917,'Gross Gen Plant'!$E$5:$AD$5,0))</f>
        <v>72424</v>
      </c>
      <c r="BY917" s="113">
        <f t="shared" si="1605"/>
        <v>963097</v>
      </c>
      <c r="BZ917" s="113"/>
      <c r="CA917" s="116">
        <v>2012</v>
      </c>
      <c r="CB917" s="113"/>
      <c r="CC917" s="113"/>
      <c r="CD917" s="113"/>
      <c r="CE917" s="175"/>
      <c r="CF917" s="113">
        <f t="shared" si="1654"/>
        <v>54884</v>
      </c>
      <c r="CG917" s="113">
        <f t="shared" si="1655"/>
        <v>82.04875862557239</v>
      </c>
      <c r="CH917" s="178">
        <v>0.9135802469135802</v>
      </c>
      <c r="CI917" s="61">
        <f>+CI903*CH917+CG904*CH916+CG905*CH915+CG906*CH914+CG907*CH913+CG908*CH912+CG909*CH911+CG910*CH910+CG911*CH909+CG912*CH908+CG913*CH907+CG914*CH906+CG915*CH905+CG916*CH904+CG917</f>
        <v>3772.0920281574822</v>
      </c>
      <c r="CJ917" s="114">
        <f t="shared" si="1656"/>
        <v>1.4466137141946098E-2</v>
      </c>
      <c r="CK917" s="114"/>
      <c r="CL917" s="169">
        <f t="shared" si="1657"/>
        <v>7.4971956630021652E-3</v>
      </c>
      <c r="CM917" s="169">
        <f t="shared" si="1665"/>
        <v>7.2485504539503767E-3</v>
      </c>
      <c r="CN917" s="114">
        <f>VLOOKUP($H917,RoR!$E:$F,2,FALSE)</f>
        <v>3.6733333333333333E-2</v>
      </c>
      <c r="CO917" s="169">
        <v>1.924331376386168E-2</v>
      </c>
      <c r="CP917" s="169">
        <f t="shared" si="1663"/>
        <v>1.7490019569471653E-2</v>
      </c>
      <c r="CQ917" s="169">
        <f t="shared" si="1666"/>
        <v>2.3653391154583248E-2</v>
      </c>
      <c r="CR917" s="169">
        <f t="shared" si="1667"/>
        <v>6.7122682943869583E-2</v>
      </c>
      <c r="CS917" s="179">
        <f t="shared" si="1658"/>
        <v>0.87050000000000005</v>
      </c>
      <c r="CT917" s="180">
        <f t="shared" si="1659"/>
        <v>1.3960631020522127</v>
      </c>
      <c r="CU917" s="180">
        <f t="shared" si="1660"/>
        <v>0.29441923774954631</v>
      </c>
      <c r="CV917" s="180">
        <f t="shared" si="1661"/>
        <v>0.76377954189366437</v>
      </c>
      <c r="CW917" s="180">
        <f t="shared" si="1662"/>
        <v>0.31393465103033691</v>
      </c>
      <c r="CX917" s="181">
        <f>INDEX('State Tax Lookup'!$D$7:$Z$91,MATCH(Calculation!$C917,'State Tax Lookup'!$B$7:$B$91,0),MATCH($H917,'State Tax Lookup'!$D$6:$Z$6,0))</f>
        <v>0.35</v>
      </c>
      <c r="CY917" s="72">
        <v>0.37</v>
      </c>
      <c r="CZ917" s="70">
        <f t="shared" si="1664"/>
        <v>21.09969821152578</v>
      </c>
      <c r="DA917" s="70">
        <v>20.759737328210988</v>
      </c>
      <c r="DB917" s="69">
        <f t="shared" si="1668"/>
        <v>7.6519099835256676E-2</v>
      </c>
      <c r="DC917" s="111">
        <f>VLOOKUP($H917,RoR!$E:$F,2,FALSE)</f>
        <v>3.6733333333333333E-2</v>
      </c>
      <c r="DD917" s="216">
        <f>HLOOKUP($H917,'GDP-PI'!$D$8:$CQ$11,3,FALSE)</f>
        <v>1.924331376386168E-2</v>
      </c>
      <c r="DE917" s="111">
        <f>VLOOKUP(H917,'HW Dx Data'!$E:$F,2,FALSE)</f>
        <v>668.91932211262167</v>
      </c>
      <c r="DF917" s="72">
        <f t="shared" si="1678"/>
        <v>124.80000000000001</v>
      </c>
      <c r="DG917" s="69">
        <f t="shared" si="1679"/>
        <v>3.1955502161869064E-2</v>
      </c>
      <c r="DH917" s="66">
        <f>HLOOKUP(H917,'GDP-PI'!$8:$9,2,FALSE)</f>
        <v>100</v>
      </c>
      <c r="DI917" s="69">
        <f t="shared" si="1669"/>
        <v>1.9060502738742411E-2</v>
      </c>
      <c r="EB917"/>
    </row>
    <row r="918" spans="1:132" s="160" customFormat="1" ht="21">
      <c r="A918" s="160" t="s">
        <v>214</v>
      </c>
      <c r="B918" s="160" t="s">
        <v>214</v>
      </c>
      <c r="C918" s="160">
        <v>4057139</v>
      </c>
      <c r="D918" s="161" t="s">
        <v>215</v>
      </c>
      <c r="E918" s="161"/>
      <c r="F918" s="189"/>
      <c r="G918" s="160" t="s">
        <v>129</v>
      </c>
      <c r="H918" s="162">
        <v>2013</v>
      </c>
      <c r="I918" s="163"/>
      <c r="J918" s="159">
        <f>IFERROR(INDEX('Labor Expenditures'!$F$7:$X$91,MATCH($C918,'Labor Expenditures'!$D$7:$D$91,0),MATCH($G918,'Labor Expenditures'!$F$5:$X$5,0)),"NA")</f>
        <v>29259.49249169325</v>
      </c>
      <c r="K918" s="159">
        <f t="shared" si="1670"/>
        <v>230.75309536035687</v>
      </c>
      <c r="L918" s="165">
        <f t="shared" si="1676"/>
        <v>-6.6977793727738743E-3</v>
      </c>
      <c r="M918" s="76">
        <f t="shared" si="1680"/>
        <v>-9.0434900008623179E-5</v>
      </c>
      <c r="N918" s="62">
        <f t="shared" si="1686"/>
        <v>106.17895399408273</v>
      </c>
      <c r="O918" s="96">
        <f t="shared" si="1681"/>
        <v>-8.885367604441273E-2</v>
      </c>
      <c r="P918" s="96"/>
      <c r="Q918" s="159">
        <f>IFERROR(INDEX('Non-Labor Expenditures'!$F$7:$AB$91,MATCH($C918,'Non-Labor Expenditures'!$D$7:$D$91,0),MATCH($G918,'Non-Labor Expenditures'!$F$5:$AB$5,0)),"NA")</f>
        <v>42373.210047341054</v>
      </c>
      <c r="R918" s="159">
        <f t="shared" si="1671"/>
        <v>416.35021122833223</v>
      </c>
      <c r="S918" s="165">
        <f t="shared" si="1682"/>
        <v>-8.3738503214863796E-3</v>
      </c>
      <c r="T918" s="165">
        <f t="shared" si="1683"/>
        <v>-1.1306558104752383E-4</v>
      </c>
      <c r="U918" s="165"/>
      <c r="V918" s="165"/>
      <c r="W918" s="159">
        <f t="shared" si="1652"/>
        <v>78123.587820789704</v>
      </c>
      <c r="X918" s="163"/>
      <c r="Y918" s="167">
        <v>3823.6502681605089</v>
      </c>
      <c r="Z918" s="168">
        <v>1.3575771753342928E-2</v>
      </c>
      <c r="AA918" s="76">
        <f t="shared" si="1672"/>
        <v>1.8330307594843916E-4</v>
      </c>
      <c r="AB918" s="168"/>
      <c r="AC918" s="168"/>
      <c r="AD918" s="163">
        <f t="shared" si="1645"/>
        <v>149756.29035982402</v>
      </c>
      <c r="AE918" s="168">
        <f t="shared" si="1684"/>
        <v>2.224163615694121E-3</v>
      </c>
      <c r="AF918" s="163"/>
      <c r="AG918" s="163"/>
      <c r="AH918" s="163"/>
      <c r="AI918" s="163"/>
      <c r="AJ918" s="116">
        <f t="shared" si="1685"/>
        <v>299.96973459517108</v>
      </c>
      <c r="AK918" s="114">
        <f>+AV918/$AX$18</f>
        <v>1.3889918311684294E-2</v>
      </c>
      <c r="AL918" s="115">
        <f t="shared" si="1673"/>
        <v>0.19538072438486939</v>
      </c>
      <c r="AM918" s="115">
        <f t="shared" si="1674"/>
        <v>0.28294778099490608</v>
      </c>
      <c r="AN918" s="115">
        <f t="shared" si="1675"/>
        <v>0.52167149462022444</v>
      </c>
      <c r="AO918" s="115">
        <f t="shared" si="1677"/>
        <v>3.4394723169565858E-3</v>
      </c>
      <c r="AP918" s="166">
        <f t="shared" si="1688"/>
        <v>102.67380932554278</v>
      </c>
      <c r="AQ918" s="168">
        <f t="shared" si="1689"/>
        <v>3.4394723169566292E-3</v>
      </c>
      <c r="AR918" s="69">
        <f>+AD918/$AF$18</f>
        <v>1.3502221404341319E-2</v>
      </c>
      <c r="AS918" s="169">
        <f t="shared" si="1687"/>
        <v>4.6440516737651226E-5</v>
      </c>
      <c r="AT918" s="115"/>
      <c r="AU918" s="115"/>
      <c r="AV918" s="113">
        <f>IFERROR(INDEX('Total Customers'!$F$7:$AB$91,MATCH($C918,'Total Customers'!$D$7:$D$91,0),MATCH($G918,'Total Customers'!$F$5:$AB$5,0)),"NA")</f>
        <v>499238</v>
      </c>
      <c r="AW918" s="68">
        <f t="shared" si="1646"/>
        <v>2.1070200886577618E-2</v>
      </c>
      <c r="AX918" s="114"/>
      <c r="AY918" s="114"/>
      <c r="AZ918" s="116"/>
      <c r="BA918" s="116"/>
      <c r="BB918" s="166"/>
      <c r="BC918" s="166"/>
      <c r="BD918" s="166"/>
      <c r="BE918" s="166"/>
      <c r="BF918" s="166"/>
      <c r="BG918" s="166"/>
      <c r="BH918" s="166"/>
      <c r="BI918" s="113"/>
      <c r="BJ918" s="113"/>
      <c r="BK918" s="113">
        <f>INDEX('Dist. Plant Gas Additions'!$F$7:$AE$91,MATCH($C918,'Dist. Plant Gas Additions'!$D$7:$D$91,0),MATCH(Calculation!$G918,'Dist. Plant Gas Additions'!$F$5:$AE$5,0))</f>
        <v>45046</v>
      </c>
      <c r="BL918" s="113">
        <f>INDEX('Gen. Plant Additions'!$F$7:$AE$91,MATCH($C918,'Gen. Plant Additions'!$D$7:$D$91,0),MATCH(Calculation!$G918,'Gen. Plant Additions'!$F$5:$AE$5,0))</f>
        <v>8581</v>
      </c>
      <c r="BM918" s="231">
        <f t="shared" si="1653"/>
        <v>0.94139819721825546</v>
      </c>
      <c r="BN918" s="61">
        <f t="shared" si="1649"/>
        <v>8078.13793032985</v>
      </c>
      <c r="BO918" s="113">
        <f>INDEX('Dist Plant Depreciation'!$E$7:$AD$94,MATCH($C918,'Dist Plant Depreciation'!$D$7:$D$94,0),MATCH(Calculation!$G918,'Dist Plant Depreciation'!$E$5:$AD$5,0))</f>
        <v>261740</v>
      </c>
      <c r="BP918" s="113">
        <f>INDEX('Gen. Plant Depreciation'!$E$7:$AD$94,MATCH($C918,'Gen. Plant Depreciation'!$D$7:$D$94,0),MATCH(Calculation!$G918,'Gen. Plant Depreciation'!$E$5:$AD$5,0))</f>
        <v>19384</v>
      </c>
      <c r="BQ918" s="113"/>
      <c r="BR918" s="113"/>
      <c r="BS918" s="113"/>
      <c r="BT918" s="113"/>
      <c r="BU918" s="113"/>
      <c r="BV918" s="175"/>
      <c r="BW918" s="113">
        <f>INDEX('Gross Dx Plant'!$E$7:$AD$91,MATCH($C918,'Gross Dx Plant'!$D$7:$D$91,0),MATCH(Calculation!$G918,'Gross Dx Plant'!$E$5:$AD$5,0))</f>
        <v>1197804</v>
      </c>
      <c r="BX918" s="113">
        <f>INDEX('Gross Gen Plant'!$E$7:$AD$91,MATCH($C918,'Gross Gen Plant'!$D$7:$D$91,0),MATCH(Calculation!$G918,'Gross Gen Plant'!$E$5:$AD$5,0))</f>
        <v>74563</v>
      </c>
      <c r="BY918" s="113">
        <f t="shared" si="1605"/>
        <v>991243</v>
      </c>
      <c r="BZ918" s="113"/>
      <c r="CA918" s="116">
        <v>2013</v>
      </c>
      <c r="CB918" s="113"/>
      <c r="CC918" s="113"/>
      <c r="CD918" s="113"/>
      <c r="CE918" s="175"/>
      <c r="CF918" s="113">
        <f t="shared" si="1654"/>
        <v>53627</v>
      </c>
      <c r="CG918" s="113">
        <f t="shared" si="1655"/>
        <v>80.855075649259078</v>
      </c>
      <c r="CH918" s="178">
        <v>0.90566037735849059</v>
      </c>
      <c r="CI918" s="61">
        <f>+CI903*CH918+CG904*CH917+CG905*CH916+CG906*CH915+CG907*CH914+CG908*CH913+CG909*CH912+CG910*CH911+CG911*CH910+CG912*CH909+CG913*CH908+CG914*CH907+CG915*CH906+CG916*CH905+CG917*CH904+CG918</f>
        <v>3823.6502681605089</v>
      </c>
      <c r="CJ918" s="114">
        <f t="shared" si="1656"/>
        <v>1.3575771753342928E-2</v>
      </c>
      <c r="CK918" s="114"/>
      <c r="CL918" s="169">
        <f t="shared" si="1657"/>
        <v>7.7667340636285546E-3</v>
      </c>
      <c r="CM918" s="169">
        <f t="shared" si="1665"/>
        <v>7.5047003965165301E-3</v>
      </c>
      <c r="CN918" s="114">
        <f>VLOOKUP($H918,RoR!$E:$F,2,FALSE)</f>
        <v>4.2350000000000006E-2</v>
      </c>
      <c r="CO918" s="169">
        <v>1.7730000000000024E-2</v>
      </c>
      <c r="CP918" s="169">
        <f t="shared" si="1663"/>
        <v>2.4619999999999982E-2</v>
      </c>
      <c r="CQ918" s="169">
        <f t="shared" si="1666"/>
        <v>2.3397241212017094E-2</v>
      </c>
      <c r="CR918" s="169">
        <f t="shared" si="1667"/>
        <v>5.3376742735721204E-2</v>
      </c>
      <c r="CS918" s="179">
        <f t="shared" si="1658"/>
        <v>0.87050000000000005</v>
      </c>
      <c r="CT918" s="180">
        <f t="shared" si="1659"/>
        <v>1.2109103018193925</v>
      </c>
      <c r="CU918" s="180">
        <f t="shared" si="1660"/>
        <v>0.38468122786304604</v>
      </c>
      <c r="CV918" s="180">
        <f t="shared" si="1661"/>
        <v>0.80969194503422559</v>
      </c>
      <c r="CW918" s="180">
        <f t="shared" si="1662"/>
        <v>0.37716621754800816</v>
      </c>
      <c r="CX918" s="181">
        <f>INDEX('State Tax Lookup'!$D$7:$Z$91,MATCH(Calculation!$C918,'State Tax Lookup'!$B$7:$B$91,0),MATCH($H918,'State Tax Lookup'!$D$6:$Z$6,0))</f>
        <v>0.35</v>
      </c>
      <c r="CY918" s="72">
        <v>0.37</v>
      </c>
      <c r="CZ918" s="70">
        <f t="shared" si="1664"/>
        <v>20.710944281746485</v>
      </c>
      <c r="DA918" s="70">
        <v>20.339519021246105</v>
      </c>
      <c r="DB918" s="69">
        <f t="shared" si="1668"/>
        <v>-1.8596467791504492E-2</v>
      </c>
      <c r="DC918" s="111">
        <f>VLOOKUP($H918,RoR!$E:$F,2,FALSE)</f>
        <v>4.2350000000000006E-2</v>
      </c>
      <c r="DD918" s="216">
        <f>HLOOKUP($H918,'GDP-PI'!$D$8:$CQ$11,3,FALSE)</f>
        <v>1.7730000000000024E-2</v>
      </c>
      <c r="DE918" s="111">
        <f>VLOOKUP(H918,'HW Dx Data'!$E:$F,2,FALSE)</f>
        <v>663.24840548821396</v>
      </c>
      <c r="DF918" s="72">
        <f t="shared" si="1678"/>
        <v>126.8</v>
      </c>
      <c r="DG918" s="69">
        <f t="shared" si="1679"/>
        <v>1.5898586067798204E-2</v>
      </c>
      <c r="DH918" s="66">
        <f>HLOOKUP(H918,'GDP-PI'!$8:$9,2,FALSE)</f>
        <v>101.773</v>
      </c>
      <c r="DI918" s="69">
        <f t="shared" si="1669"/>
        <v>1.7574657016510519E-2</v>
      </c>
      <c r="EB918"/>
    </row>
    <row r="919" spans="1:132" s="160" customFormat="1" ht="21">
      <c r="A919" s="160" t="s">
        <v>214</v>
      </c>
      <c r="B919" s="160" t="s">
        <v>214</v>
      </c>
      <c r="C919" s="160">
        <v>4057139</v>
      </c>
      <c r="D919" s="161" t="s">
        <v>215</v>
      </c>
      <c r="E919" s="161"/>
      <c r="F919" s="189"/>
      <c r="G919" s="160" t="s">
        <v>130</v>
      </c>
      <c r="H919" s="162">
        <v>2014</v>
      </c>
      <c r="I919" s="163"/>
      <c r="J919" s="159">
        <f>IFERROR(INDEX('Labor Expenditures'!$F$7:$X$91,MATCH($C919,'Labor Expenditures'!$D$7:$D$91,0),MATCH($G919,'Labor Expenditures'!$F$5:$X$5,0)),"NA")</f>
        <v>29456.292253012794</v>
      </c>
      <c r="K919" s="159">
        <f t="shared" si="1670"/>
        <v>227.63749809128896</v>
      </c>
      <c r="L919" s="165">
        <f t="shared" si="1676"/>
        <v>-1.35938446019981E-2</v>
      </c>
      <c r="M919" s="76">
        <f t="shared" si="1680"/>
        <v>-1.8267204658183479E-4</v>
      </c>
      <c r="N919" s="62">
        <f t="shared" si="1686"/>
        <v>118.85491439730819</v>
      </c>
      <c r="O919" s="96">
        <f t="shared" si="1681"/>
        <v>0.11277762667382964</v>
      </c>
      <c r="P919" s="96"/>
      <c r="Q919" s="159">
        <f>IFERROR(INDEX('Non-Labor Expenditures'!$F$7:$AB$91,MATCH($C919,'Non-Labor Expenditures'!$D$7:$D$91,0),MATCH($G919,'Non-Labor Expenditures'!$F$5:$AB$5,0)),"NA")</f>
        <v>42658.212858856903</v>
      </c>
      <c r="R919" s="159">
        <f t="shared" si="1671"/>
        <v>411.57209430911558</v>
      </c>
      <c r="S919" s="165">
        <f t="shared" si="1682"/>
        <v>-1.1542556436579426E-2</v>
      </c>
      <c r="T919" s="165">
        <f t="shared" si="1683"/>
        <v>-1.5510714362192829E-4</v>
      </c>
      <c r="U919" s="165"/>
      <c r="V919" s="165"/>
      <c r="W919" s="159">
        <f t="shared" si="1652"/>
        <v>80871.943112528068</v>
      </c>
      <c r="X919" s="163"/>
      <c r="Y919" s="167">
        <v>3939.6074782317564</v>
      </c>
      <c r="Z919" s="168">
        <v>2.9875559596980742E-2</v>
      </c>
      <c r="AA919" s="76">
        <f t="shared" si="1672"/>
        <v>4.0146329269910027E-4</v>
      </c>
      <c r="AB919" s="168"/>
      <c r="AC919" s="168"/>
      <c r="AD919" s="163">
        <f t="shared" si="1645"/>
        <v>152986.44822439778</v>
      </c>
      <c r="AE919" s="168">
        <f t="shared" si="1684"/>
        <v>2.1340101917735367E-2</v>
      </c>
      <c r="AF919" s="163"/>
      <c r="AG919" s="163"/>
      <c r="AH919" s="163"/>
      <c r="AI919" s="163"/>
      <c r="AJ919" s="116">
        <f t="shared" si="1685"/>
        <v>299.23121712692591</v>
      </c>
      <c r="AK919" s="114">
        <f>+AV919/$AX$19</f>
        <v>1.4148524570111943E-2</v>
      </c>
      <c r="AL919" s="115">
        <f t="shared" si="1673"/>
        <v>0.19254184010996081</v>
      </c>
      <c r="AM919" s="115">
        <f t="shared" si="1674"/>
        <v>0.27883654633439559</v>
      </c>
      <c r="AN919" s="115">
        <f t="shared" si="1675"/>
        <v>0.52862161355564352</v>
      </c>
      <c r="AO919" s="115">
        <f t="shared" si="1677"/>
        <v>9.8101539924353529E-3</v>
      </c>
      <c r="AP919" s="166">
        <f t="shared" si="1688"/>
        <v>103.68601202039183</v>
      </c>
      <c r="AQ919" s="168">
        <f t="shared" si="1689"/>
        <v>9.8101539924353217E-3</v>
      </c>
      <c r="AR919" s="69">
        <f>+AD919/$AF$19</f>
        <v>1.343785013953923E-2</v>
      </c>
      <c r="AS919" s="169">
        <f t="shared" si="1687"/>
        <v>1.3182737919614833E-4</v>
      </c>
      <c r="AT919" s="115"/>
      <c r="AU919" s="115"/>
      <c r="AV919" s="113">
        <f>IFERROR(INDEX('Total Customers'!$F$7:$AB$91,MATCH($C919,'Total Customers'!$D$7:$D$91,0),MATCH($G919,'Total Customers'!$F$5:$AB$5,0)),"NA")</f>
        <v>511265</v>
      </c>
      <c r="AW919" s="68">
        <f t="shared" si="1646"/>
        <v>2.3805110826934244E-2</v>
      </c>
      <c r="AX919" s="114"/>
      <c r="AY919" s="114"/>
      <c r="AZ919" s="116"/>
      <c r="BA919" s="116"/>
      <c r="BB919" s="166"/>
      <c r="BC919" s="166"/>
      <c r="BD919" s="166"/>
      <c r="BE919" s="166"/>
      <c r="BF919" s="166"/>
      <c r="BG919" s="166"/>
      <c r="BH919" s="166"/>
      <c r="BI919" s="113"/>
      <c r="BJ919" s="113"/>
      <c r="BK919" s="113">
        <f>INDEX('Dist. Plant Gas Additions'!$F$7:$AE$91,MATCH($C919,'Dist. Plant Gas Additions'!$D$7:$D$91,0),MATCH(Calculation!$G919,'Dist. Plant Gas Additions'!$F$5:$AE$5,0))</f>
        <v>93556</v>
      </c>
      <c r="BL919" s="113">
        <f>INDEX('Gen. Plant Additions'!$F$7:$AE$91,MATCH($C919,'Gen. Plant Additions'!$D$7:$D$91,0),MATCH(Calculation!$G919,'Gen. Plant Additions'!$F$5:$AE$5,0))</f>
        <v>6883</v>
      </c>
      <c r="BM919" s="231">
        <f t="shared" si="1653"/>
        <v>0.94190896265900215</v>
      </c>
      <c r="BN919" s="61">
        <f>+BM919*BL919</f>
        <v>6483.1593899819118</v>
      </c>
      <c r="BO919" s="113">
        <f>INDEX('Dist Plant Depreciation'!$E$7:$AD$94,MATCH($C919,'Dist Plant Depreciation'!$D$7:$D$94,0),MATCH(Calculation!$G919,'Dist Plant Depreciation'!$E$5:$AD$5,0))</f>
        <v>531482</v>
      </c>
      <c r="BP919" s="113">
        <f>INDEX('Gen. Plant Depreciation'!$E$7:$AD$94,MATCH($C919,'Gen. Plant Depreciation'!$D$7:$D$94,0),MATCH(Calculation!$G919,'Gen. Plant Depreciation'!$E$5:$AD$5,0))</f>
        <v>20688</v>
      </c>
      <c r="BQ919" s="113"/>
      <c r="BR919" s="113"/>
      <c r="BS919" s="113"/>
      <c r="BT919" s="113"/>
      <c r="BU919" s="113"/>
      <c r="BV919" s="175"/>
      <c r="BW919" s="113">
        <f>INDEX('Gross Dx Plant'!$E$7:$AD$91,MATCH($C919,'Gross Dx Plant'!$D$7:$D$91,0),MATCH(Calculation!$G919,'Gross Dx Plant'!$E$5:$AD$5,0))</f>
        <v>1287258</v>
      </c>
      <c r="BX919" s="113">
        <f>INDEX('Gross Gen Plant'!$E$7:$AD$91,MATCH($C919,'Gross Gen Plant'!$D$7:$D$91,0),MATCH(Calculation!$G919,'Gross Gen Plant'!$E$5:$AD$5,0))</f>
        <v>79390</v>
      </c>
      <c r="BY919" s="113">
        <f t="shared" si="1605"/>
        <v>814478</v>
      </c>
      <c r="BZ919" s="113"/>
      <c r="CA919" s="116">
        <v>2014</v>
      </c>
      <c r="CB919" s="113"/>
      <c r="CC919" s="113"/>
      <c r="CD919" s="113"/>
      <c r="CE919" s="175"/>
      <c r="CF919" s="113">
        <f t="shared" si="1654"/>
        <v>100439</v>
      </c>
      <c r="CG919" s="113">
        <f t="shared" si="1655"/>
        <v>146.73999704607294</v>
      </c>
      <c r="CH919" s="178">
        <v>0.89743589743589747</v>
      </c>
      <c r="CI919" s="61">
        <f>+CI903*CH919+CG904*CH918+CG905*CH917+CG906*CH916+CG907*CH915+CG908*CH914+CG909*CH913+CG910*CH912+CG911*CH911+CG912*CH910+CG913*CH909+CG914*CH908+CG915*CH907+CG916*CH906+CG917*CH905+CG918*CH904+CG919</f>
        <v>3939.6074782317564</v>
      </c>
      <c r="CJ919" s="114">
        <f t="shared" si="1656"/>
        <v>2.9875559596980742E-2</v>
      </c>
      <c r="CK919" s="114"/>
      <c r="CL919" s="169">
        <f t="shared" si="1657"/>
        <v>8.0506282782066337E-3</v>
      </c>
      <c r="CM919" s="169">
        <f t="shared" si="1665"/>
        <v>7.771519334945784E-3</v>
      </c>
      <c r="CN919" s="114">
        <f>VLOOKUP($H919,RoR!$E:$F,2,FALSE)</f>
        <v>4.1625000000000002E-2</v>
      </c>
      <c r="CO919" s="169">
        <v>1.841352814597208E-2</v>
      </c>
      <c r="CP919" s="169">
        <f t="shared" si="1663"/>
        <v>2.3211471854027922E-2</v>
      </c>
      <c r="CQ919" s="169">
        <f t="shared" si="1666"/>
        <v>2.3130422273587841E-2</v>
      </c>
      <c r="CR919" s="169">
        <f t="shared" si="1667"/>
        <v>3.9072621432650924E-2</v>
      </c>
      <c r="CS919" s="179">
        <f t="shared" si="1658"/>
        <v>0.87050000000000005</v>
      </c>
      <c r="CT919" s="180">
        <f t="shared" si="1659"/>
        <v>1.2320012320012319</v>
      </c>
      <c r="CU919" s="180">
        <f t="shared" si="1660"/>
        <v>0.37439939939939942</v>
      </c>
      <c r="CV919" s="180">
        <f t="shared" si="1661"/>
        <v>0.80432100613819935</v>
      </c>
      <c r="CW919" s="180">
        <f t="shared" si="1662"/>
        <v>0.37100152660040037</v>
      </c>
      <c r="CX919" s="181">
        <f>INDEX('State Tax Lookup'!$D$7:$Z$91,MATCH(Calculation!$C919,'State Tax Lookup'!$B$7:$B$91,0),MATCH($H919,'State Tax Lookup'!$D$6:$Z$6,0))</f>
        <v>0.35</v>
      </c>
      <c r="CY919" s="72">
        <v>0.37</v>
      </c>
      <c r="CZ919" s="70">
        <f t="shared" si="1664"/>
        <v>21.150455047091466</v>
      </c>
      <c r="DA919" s="70">
        <v>20.763592984765573</v>
      </c>
      <c r="DB919" s="69">
        <f t="shared" si="1668"/>
        <v>2.0999150672808074E-2</v>
      </c>
      <c r="DC919" s="111">
        <f>VLOOKUP($H919,RoR!$E:$F,2,FALSE)</f>
        <v>4.1625000000000002E-2</v>
      </c>
      <c r="DD919" s="216">
        <f>HLOOKUP($H919,'GDP-PI'!$D$8:$CQ$11,3,FALSE)</f>
        <v>1.841352814597208E-2</v>
      </c>
      <c r="DE919" s="111">
        <f>VLOOKUP(H919,'HW Dx Data'!$E:$F,2,FALSE)</f>
        <v>684.46914285042885</v>
      </c>
      <c r="DF919" s="72">
        <f t="shared" si="1678"/>
        <v>129.4</v>
      </c>
      <c r="DG919" s="69">
        <f t="shared" si="1679"/>
        <v>2.0297340063674733E-2</v>
      </c>
      <c r="DH919" s="66">
        <f>HLOOKUP(H919,'GDP-PI'!$8:$9,2,FALSE)</f>
        <v>103.64700000000001</v>
      </c>
      <c r="DI919" s="69">
        <f t="shared" si="1669"/>
        <v>1.8246051898256087E-2</v>
      </c>
      <c r="EB919"/>
    </row>
    <row r="920" spans="1:132" s="160" customFormat="1" ht="21">
      <c r="A920" s="160" t="s">
        <v>214</v>
      </c>
      <c r="B920" s="160" t="s">
        <v>214</v>
      </c>
      <c r="C920" s="160">
        <v>4057139</v>
      </c>
      <c r="D920" s="161" t="s">
        <v>215</v>
      </c>
      <c r="E920" s="161"/>
      <c r="F920" s="189"/>
      <c r="G920" s="160" t="s">
        <v>132</v>
      </c>
      <c r="H920" s="162">
        <v>2015</v>
      </c>
      <c r="I920" s="163"/>
      <c r="J920" s="159">
        <f>IFERROR(INDEX('Labor Expenditures'!$F$7:$X$91,MATCH($C920,'Labor Expenditures'!$D$7:$D$91,0),MATCH($G920,'Labor Expenditures'!$F$5:$X$5,0)),"NA")</f>
        <v>30986.344948207829</v>
      </c>
      <c r="K920" s="159">
        <f t="shared" si="1670"/>
        <v>232.10745279556426</v>
      </c>
      <c r="L920" s="165">
        <f t="shared" si="1676"/>
        <v>1.9445980005974552E-2</v>
      </c>
      <c r="M920" s="76">
        <f t="shared" si="1680"/>
        <v>2.6612794406722344E-4</v>
      </c>
      <c r="N920" s="62">
        <f t="shared" si="1686"/>
        <v>118.41571398767555</v>
      </c>
      <c r="O920" s="96">
        <f t="shared" si="1681"/>
        <v>-3.7021093950645998E-3</v>
      </c>
      <c r="P920" s="96"/>
      <c r="Q920" s="159">
        <f>IFERROR(INDEX('Non-Labor Expenditures'!$F$7:$AB$91,MATCH($C920,'Non-Labor Expenditures'!$D$7:$D$91,0),MATCH($G920,'Non-Labor Expenditures'!$F$5:$AB$5,0)),"NA")</f>
        <v>44874.014935923202</v>
      </c>
      <c r="R920" s="159">
        <f t="shared" si="1671"/>
        <v>428.84598415431344</v>
      </c>
      <c r="S920" s="165">
        <f t="shared" si="1682"/>
        <v>4.1113639594035689E-2</v>
      </c>
      <c r="T920" s="165">
        <f t="shared" si="1683"/>
        <v>5.6266068230656757E-4</v>
      </c>
      <c r="U920" s="165"/>
      <c r="V920" s="165"/>
      <c r="W920" s="159">
        <f t="shared" si="1652"/>
        <v>81486.166092705491</v>
      </c>
      <c r="X920" s="163"/>
      <c r="Y920" s="167">
        <v>4038.3864417781606</v>
      </c>
      <c r="Z920" s="168">
        <v>2.4764123061241938E-2</v>
      </c>
      <c r="AA920" s="76">
        <f t="shared" si="1672"/>
        <v>3.3890938666455484E-4</v>
      </c>
      <c r="AB920" s="168"/>
      <c r="AC920" s="168"/>
      <c r="AD920" s="163">
        <f t="shared" si="1645"/>
        <v>157346.52597683651</v>
      </c>
      <c r="AE920" s="168">
        <f t="shared" si="1684"/>
        <v>2.8101201176983458E-2</v>
      </c>
      <c r="AF920" s="163"/>
      <c r="AG920" s="163"/>
      <c r="AH920" s="163"/>
      <c r="AI920" s="163"/>
      <c r="AJ920" s="116">
        <f t="shared" si="1685"/>
        <v>299.80189197907248</v>
      </c>
      <c r="AK920" s="114">
        <f>+AV920/$AX$20</f>
        <v>1.4405955367353715E-2</v>
      </c>
      <c r="AL920" s="115">
        <f t="shared" si="1673"/>
        <v>0.19693059478649963</v>
      </c>
      <c r="AM920" s="115">
        <f t="shared" si="1674"/>
        <v>0.28519228281232756</v>
      </c>
      <c r="AN920" s="115">
        <f t="shared" si="1675"/>
        <v>0.5178771224011729</v>
      </c>
      <c r="AO920" s="115">
        <f t="shared" si="1677"/>
        <v>2.8339287332363919E-2</v>
      </c>
      <c r="AP920" s="166">
        <f t="shared" si="1688"/>
        <v>106.66643172690583</v>
      </c>
      <c r="AQ920" s="168">
        <f t="shared" si="1689"/>
        <v>2.8339287332363856E-2</v>
      </c>
      <c r="AR920" s="69">
        <f>+AD920/$AF$20</f>
        <v>1.3685499212971457E-2</v>
      </c>
      <c r="AS920" s="169">
        <f t="shared" si="1687"/>
        <v>3.8783729448323753E-4</v>
      </c>
      <c r="AT920" s="115"/>
      <c r="AU920" s="115"/>
      <c r="AV920" s="113">
        <f>IFERROR(INDEX('Total Customers'!$F$7:$AB$91,MATCH($C920,'Total Customers'!$D$7:$D$91,0),MATCH($G920,'Total Customers'!$F$5:$AB$5,0)),"NA")</f>
        <v>524835</v>
      </c>
      <c r="AW920" s="68">
        <f t="shared" si="1646"/>
        <v>2.6195880699325332E-2</v>
      </c>
      <c r="AX920" s="114"/>
      <c r="AY920" s="114"/>
      <c r="AZ920" s="116"/>
      <c r="BA920" s="116"/>
      <c r="BB920" s="166"/>
      <c r="BC920" s="166"/>
      <c r="BD920" s="166"/>
      <c r="BE920" s="166"/>
      <c r="BF920" s="166"/>
      <c r="BG920" s="166"/>
      <c r="BH920" s="166"/>
      <c r="BI920" s="113"/>
      <c r="BJ920" s="113"/>
      <c r="BK920" s="113">
        <f>INDEX('Dist. Plant Gas Additions'!$F$7:$AE$91,MATCH($C920,'Dist. Plant Gas Additions'!$D$7:$D$91,0),MATCH(Calculation!$G920,'Dist. Plant Gas Additions'!$F$5:$AE$5,0))</f>
        <v>75856</v>
      </c>
      <c r="BL920" s="113">
        <f>INDEX('Gen. Plant Additions'!$F$7:$AE$91,MATCH($C920,'Gen. Plant Additions'!$D$7:$D$91,0),MATCH(Calculation!$G920,'Gen. Plant Additions'!$F$5:$AE$5,0))</f>
        <v>12953</v>
      </c>
      <c r="BM920" s="231">
        <f t="shared" si="1653"/>
        <v>0.94165335681682394</v>
      </c>
      <c r="BN920" s="61">
        <f t="shared" ref="BN920:BN936" si="1690">+BM920*BL920</f>
        <v>12197.235930848321</v>
      </c>
      <c r="BO920" s="113">
        <f>INDEX('Dist Plant Depreciation'!$E$7:$AD$94,MATCH($C920,'Dist Plant Depreciation'!$D$7:$D$94,0),MATCH(Calculation!$G920,'Dist Plant Depreciation'!$E$5:$AD$5,0))</f>
        <v>565253</v>
      </c>
      <c r="BP920" s="113">
        <f>INDEX('Gen. Plant Depreciation'!$E$7:$AD$94,MATCH($C920,'Gen. Plant Depreciation'!$D$7:$D$94,0),MATCH(Calculation!$G920,'Gen. Plant Depreciation'!$E$5:$AD$5,0))</f>
        <v>17547</v>
      </c>
      <c r="BQ920" s="113"/>
      <c r="BR920" s="113"/>
      <c r="BS920" s="113"/>
      <c r="BT920" s="113"/>
      <c r="BU920" s="113"/>
      <c r="BV920" s="175"/>
      <c r="BW920" s="113">
        <f>INDEX('Gross Dx Plant'!$E$7:$AD$91,MATCH($C920,'Gross Dx Plant'!$D$7:$D$91,0),MATCH(Calculation!$G920,'Gross Dx Plant'!$E$5:$AD$5,0))</f>
        <v>1360142</v>
      </c>
      <c r="BX920" s="113">
        <f>INDEX('Gross Gen Plant'!$E$7:$AD$91,MATCH($C920,'Gross Gen Plant'!$D$7:$D$91,0),MATCH(Calculation!$G920,'Gross Gen Plant'!$E$5:$AD$5,0))</f>
        <v>84277</v>
      </c>
      <c r="BY920" s="113">
        <f t="shared" si="1605"/>
        <v>861619</v>
      </c>
      <c r="BZ920" s="113"/>
      <c r="CA920" s="116">
        <v>2015</v>
      </c>
      <c r="CB920" s="113"/>
      <c r="CC920" s="113"/>
      <c r="CD920" s="113"/>
      <c r="CE920" s="175"/>
      <c r="CF920" s="113">
        <f t="shared" si="1654"/>
        <v>88809</v>
      </c>
      <c r="CG920" s="113">
        <f t="shared" si="1655"/>
        <v>131.44919551884379</v>
      </c>
      <c r="CH920" s="178">
        <v>0.88888888888888884</v>
      </c>
      <c r="CI920" s="61">
        <f>+CI903*CH920+CG904*CH919+CG905*CH918+CG906*CH917+CG907*CH916+CG908*CH915+CG909*CH914+CG910*CH913+CG911*CH912+CG912*CH911+CG913*CH910+CG914*CH909+CG915*CH908+CG916*CH907+CG917*CH906+CG918*CH905+CG919*CH904+CG920</f>
        <v>4038.3864417781606</v>
      </c>
      <c r="CJ920" s="114">
        <f t="shared" si="1656"/>
        <v>2.4764123061241938E-2</v>
      </c>
      <c r="CK920" s="114"/>
      <c r="CL920" s="169">
        <f t="shared" si="1657"/>
        <v>8.2927632138375534E-3</v>
      </c>
      <c r="CM920" s="169">
        <f t="shared" si="1665"/>
        <v>8.0367085185575806E-3</v>
      </c>
      <c r="CN920" s="114">
        <f>VLOOKUP($H920,RoR!$E:$F,2,FALSE)</f>
        <v>3.8866666666666674E-2</v>
      </c>
      <c r="CO920" s="169">
        <v>9.5709475431029478E-3</v>
      </c>
      <c r="CP920" s="169">
        <f t="shared" si="1663"/>
        <v>2.9295719123563727E-2</v>
      </c>
      <c r="CQ920" s="169">
        <f t="shared" si="1666"/>
        <v>2.2865233089976046E-2</v>
      </c>
      <c r="CR920" s="169">
        <f t="shared" si="1667"/>
        <v>3.5270373279175926E-3</v>
      </c>
      <c r="CS920" s="179">
        <f t="shared" si="1658"/>
        <v>0.87050000000000005</v>
      </c>
      <c r="CT920" s="180">
        <f t="shared" si="1659"/>
        <v>1.3194352816994324</v>
      </c>
      <c r="CU920" s="180">
        <f t="shared" si="1660"/>
        <v>0.33177530017152673</v>
      </c>
      <c r="CV920" s="180">
        <f t="shared" si="1661"/>
        <v>0.78242572977668579</v>
      </c>
      <c r="CW920" s="180">
        <f t="shared" si="1662"/>
        <v>0.34251158643433932</v>
      </c>
      <c r="CX920" s="181">
        <f>INDEX('State Tax Lookup'!$D$7:$Z$91,MATCH(Calculation!$C920,'State Tax Lookup'!$B$7:$B$91,0),MATCH($H920,'State Tax Lookup'!$D$6:$Z$6,0))</f>
        <v>0.35</v>
      </c>
      <c r="CY920" s="72">
        <v>0.37</v>
      </c>
      <c r="CZ920" s="70">
        <f t="shared" si="1664"/>
        <v>20.68382866642327</v>
      </c>
      <c r="DA920" s="70">
        <v>20.279488671080099</v>
      </c>
      <c r="DB920" s="69">
        <f t="shared" si="1668"/>
        <v>-2.2309249377082143E-2</v>
      </c>
      <c r="DC920" s="111">
        <f>VLOOKUP($H920,RoR!$E:$F,2,FALSE)</f>
        <v>3.8866666666666674E-2</v>
      </c>
      <c r="DD920" s="216">
        <f>HLOOKUP($H920,'GDP-PI'!$D$8:$CQ$11,3,FALSE)</f>
        <v>9.5709475431029478E-3</v>
      </c>
      <c r="DE920" s="111">
        <f>VLOOKUP(H920,'HW Dx Data'!$E:$F,2,FALSE)</f>
        <v>675.61463308665782</v>
      </c>
      <c r="DF920" s="72">
        <f t="shared" si="1678"/>
        <v>133.5</v>
      </c>
      <c r="DG920" s="69">
        <f t="shared" si="1679"/>
        <v>3.1193095773504077E-2</v>
      </c>
      <c r="DH920" s="66">
        <f>HLOOKUP(H920,'GDP-PI'!$8:$9,2,FALSE)</f>
        <v>104.639</v>
      </c>
      <c r="DI920" s="69">
        <f t="shared" si="1669"/>
        <v>9.5254361854427965E-3</v>
      </c>
      <c r="EB920"/>
    </row>
    <row r="921" spans="1:132" s="160" customFormat="1" ht="21">
      <c r="A921" s="160" t="s">
        <v>214</v>
      </c>
      <c r="B921" s="160" t="s">
        <v>214</v>
      </c>
      <c r="C921" s="160">
        <v>4057139</v>
      </c>
      <c r="D921" s="161" t="s">
        <v>215</v>
      </c>
      <c r="E921" s="161"/>
      <c r="F921" s="189"/>
      <c r="G921" s="160" t="s">
        <v>133</v>
      </c>
      <c r="H921" s="162">
        <v>2016</v>
      </c>
      <c r="I921" s="163"/>
      <c r="J921" s="159">
        <f>IFERROR(INDEX('Labor Expenditures'!$F$7:$X$91,MATCH($C921,'Labor Expenditures'!$D$7:$D$91,0),MATCH($G921,'Labor Expenditures'!$F$5:$X$5,0)),"NA")</f>
        <v>32440.106448677569</v>
      </c>
      <c r="K921" s="159">
        <f t="shared" si="1670"/>
        <v>236.87554909585668</v>
      </c>
      <c r="L921" s="165">
        <f t="shared" si="1676"/>
        <v>2.0334470873734509E-2</v>
      </c>
      <c r="M921" s="76">
        <f t="shared" si="1680"/>
        <v>2.7596802918327615E-4</v>
      </c>
      <c r="N921" s="62">
        <f t="shared" si="1686"/>
        <v>293.49074432448663</v>
      </c>
      <c r="O921" s="96">
        <f t="shared" si="1681"/>
        <v>0.90764467011560002</v>
      </c>
      <c r="P921" s="96"/>
      <c r="Q921" s="159">
        <f>IFERROR(INDEX('Non-Labor Expenditures'!$F$7:$AB$91,MATCH($C921,'Non-Labor Expenditures'!$D$7:$D$91,0),MATCH($G921,'Non-Labor Expenditures'!$F$5:$AB$5,0)),"NA")</f>
        <v>46979.33311379762</v>
      </c>
      <c r="R921" s="159">
        <f t="shared" si="1671"/>
        <v>444.30783379168514</v>
      </c>
      <c r="S921" s="165">
        <f t="shared" si="1682"/>
        <v>3.5419798375312249E-2</v>
      </c>
      <c r="T921" s="165">
        <f t="shared" si="1683"/>
        <v>4.8069762977357268E-4</v>
      </c>
      <c r="U921" s="165"/>
      <c r="V921" s="165"/>
      <c r="W921" s="159">
        <f t="shared" si="1652"/>
        <v>82050.054059907459</v>
      </c>
      <c r="X921" s="163"/>
      <c r="Y921" s="167">
        <v>4164.2045433133326</v>
      </c>
      <c r="Z921" s="168">
        <v>3.0680054785529761E-2</v>
      </c>
      <c r="AA921" s="76">
        <f t="shared" si="1672"/>
        <v>4.1637248920668084E-4</v>
      </c>
      <c r="AB921" s="168"/>
      <c r="AC921" s="168"/>
      <c r="AD921" s="163">
        <f t="shared" si="1645"/>
        <v>161469.49362238264</v>
      </c>
      <c r="AE921" s="168">
        <f t="shared" si="1684"/>
        <v>2.5865685891150961E-2</v>
      </c>
      <c r="AF921" s="163"/>
      <c r="AG921" s="163"/>
      <c r="AH921" s="163"/>
      <c r="AI921" s="163"/>
      <c r="AJ921" s="116">
        <f t="shared" si="1685"/>
        <v>299.5184421771641</v>
      </c>
      <c r="AK921" s="114">
        <f>+AV921/$AX$21</f>
        <v>1.4669556003865535E-2</v>
      </c>
      <c r="AL921" s="115">
        <f t="shared" si="1673"/>
        <v>0.20090548202586778</v>
      </c>
      <c r="AM921" s="115">
        <f t="shared" si="1674"/>
        <v>0.29094866194146174</v>
      </c>
      <c r="AN921" s="115">
        <f t="shared" si="1675"/>
        <v>0.50814585603267048</v>
      </c>
      <c r="AO921" s="115">
        <f t="shared" si="1677"/>
        <v>2.9987511702482879E-2</v>
      </c>
      <c r="AP921" s="166">
        <f t="shared" si="1688"/>
        <v>109.91353555212928</v>
      </c>
      <c r="AQ921" s="168">
        <f t="shared" si="1689"/>
        <v>2.9987511702482827E-2</v>
      </c>
      <c r="AR921" s="69">
        <f>+AD921/$AF$21</f>
        <v>1.3571438907699174E-2</v>
      </c>
      <c r="AS921" s="169">
        <f t="shared" si="1687"/>
        <v>4.0697368306415974E-4</v>
      </c>
      <c r="AT921" s="115"/>
      <c r="AU921" s="115"/>
      <c r="AV921" s="113">
        <f>IFERROR(INDEX('Total Customers'!$F$7:$AB$91,MATCH($C921,'Total Customers'!$D$7:$D$91,0),MATCH($G921,'Total Customers'!$F$5:$AB$5,0)),"NA")</f>
        <v>539097</v>
      </c>
      <c r="AW921" s="68">
        <f t="shared" si="1646"/>
        <v>2.6811590132634143E-2</v>
      </c>
      <c r="AX921" s="114"/>
      <c r="AY921" s="114"/>
      <c r="AZ921" s="116"/>
      <c r="BA921" s="116"/>
      <c r="BB921" s="166"/>
      <c r="BC921" s="166"/>
      <c r="BD921" s="166"/>
      <c r="BE921" s="166"/>
      <c r="BF921" s="166"/>
      <c r="BG921" s="166"/>
      <c r="BH921" s="166"/>
      <c r="BI921" s="113"/>
      <c r="BJ921" s="113"/>
      <c r="BK921" s="113">
        <f>INDEX('Dist. Plant Gas Additions'!$F$7:$AE$91,MATCH($C921,'Dist. Plant Gas Additions'!$D$7:$D$91,0),MATCH(Calculation!$G921,'Dist. Plant Gas Additions'!$F$5:$AE$5,0))</f>
        <v>98653</v>
      </c>
      <c r="BL921" s="113">
        <f>INDEX('Gen. Plant Additions'!$F$7:$AE$91,MATCH($C921,'Gen. Plant Additions'!$D$7:$D$91,0),MATCH(Calculation!$G921,'Gen. Plant Additions'!$F$5:$AE$5,0))</f>
        <v>9041</v>
      </c>
      <c r="BM921" s="231">
        <f t="shared" si="1653"/>
        <v>0.94299627576706102</v>
      </c>
      <c r="BN921" s="61">
        <f t="shared" si="1690"/>
        <v>8525.6293292099981</v>
      </c>
      <c r="BO921" s="113">
        <f>INDEX('Dist Plant Depreciation'!$E$7:$AD$94,MATCH($C921,'Dist Plant Depreciation'!$D$7:$D$94,0),MATCH(Calculation!$G921,'Dist Plant Depreciation'!$E$5:$AD$5,0))</f>
        <v>594714</v>
      </c>
      <c r="BP921" s="113">
        <f>INDEX('Gen. Plant Depreciation'!$E$7:$AD$94,MATCH($C921,'Gen. Plant Depreciation'!$D$7:$D$94,0),MATCH(Calculation!$G921,'Gen. Plant Depreciation'!$E$5:$AD$5,0))</f>
        <v>16813</v>
      </c>
      <c r="BQ921" s="113"/>
      <c r="BR921" s="113"/>
      <c r="BS921" s="113"/>
      <c r="BT921" s="113"/>
      <c r="BU921" s="113"/>
      <c r="BV921" s="175"/>
      <c r="BW921" s="113">
        <f>INDEX('Gross Dx Plant'!$E$7:$AD$91,MATCH($C921,'Gross Dx Plant'!$D$7:$D$91,0),MATCH(Calculation!$G921,'Gross Dx Plant'!$E$5:$AD$5,0))</f>
        <v>1453906</v>
      </c>
      <c r="BX921" s="113">
        <f>INDEX('Gross Gen Plant'!$E$7:$AD$91,MATCH($C921,'Gross Gen Plant'!$D$7:$D$91,0),MATCH(Calculation!$G921,'Gross Gen Plant'!$E$5:$AD$5,0))</f>
        <v>87888</v>
      </c>
      <c r="BY921" s="113">
        <f t="shared" si="1605"/>
        <v>930267</v>
      </c>
      <c r="BZ921" s="113"/>
      <c r="CA921" s="116">
        <v>2016</v>
      </c>
      <c r="CB921" s="113"/>
      <c r="CC921" s="113"/>
      <c r="CD921" s="113"/>
      <c r="CE921" s="175"/>
      <c r="CF921" s="113">
        <f t="shared" si="1654"/>
        <v>107694</v>
      </c>
      <c r="CG921" s="113">
        <f t="shared" si="1655"/>
        <v>160.38867301709033</v>
      </c>
      <c r="CH921" s="178">
        <v>0.88</v>
      </c>
      <c r="CI921" s="61">
        <f>+CI903*CH921+CG904*CH920+CG905*CH919+CG906*CH918+CG907*CH917+CG908*CH916+CG909*CH915+CG910*CH914+CG911*CH913+CG912*CH912+CG913*CH911+CG914*CH910+CG915*CH909+CG916*CH908+CG917*CH907+CG918*CH906+CG919*CH905+CG920*CH904+CG921</f>
        <v>4164.2045433133326</v>
      </c>
      <c r="CJ921" s="114">
        <f t="shared" si="1656"/>
        <v>3.0680054785529761E-2</v>
      </c>
      <c r="CK921" s="114"/>
      <c r="CL921" s="169">
        <f t="shared" si="1657"/>
        <v>8.5604911714928424E-3</v>
      </c>
      <c r="CM921" s="169">
        <f t="shared" si="1665"/>
        <v>8.3012942211790116E-3</v>
      </c>
      <c r="CN921" s="114">
        <f>VLOOKUP($H921,RoR!$E:$F,2,FALSE)</f>
        <v>3.6658333333333334E-2</v>
      </c>
      <c r="CO921" s="169">
        <v>1.0483662879041455E-2</v>
      </c>
      <c r="CP921" s="169">
        <f t="shared" si="1663"/>
        <v>2.6174670454291879E-2</v>
      </c>
      <c r="CQ921" s="169">
        <f t="shared" si="1666"/>
        <v>2.2600647387354615E-2</v>
      </c>
      <c r="CR921" s="169">
        <f t="shared" si="1667"/>
        <v>4.301363574220729E-3</v>
      </c>
      <c r="CS921" s="179">
        <f t="shared" si="1658"/>
        <v>0.87050000000000005</v>
      </c>
      <c r="CT921" s="180">
        <f t="shared" si="1659"/>
        <v>1.3989193348138562</v>
      </c>
      <c r="CU921" s="180">
        <f t="shared" si="1660"/>
        <v>0.29302682427824522</v>
      </c>
      <c r="CV921" s="180">
        <f t="shared" si="1661"/>
        <v>0.76309497491941802</v>
      </c>
      <c r="CW921" s="180">
        <f t="shared" si="1662"/>
        <v>0.31280857135128509</v>
      </c>
      <c r="CX921" s="181">
        <f>INDEX('State Tax Lookup'!$D$7:$Z$91,MATCH(Calculation!$C921,'State Tax Lookup'!$B$7:$B$91,0),MATCH($H921,'State Tax Lookup'!$D$6:$Z$6,0))</f>
        <v>0.35</v>
      </c>
      <c r="CY921" s="72">
        <v>0.37</v>
      </c>
      <c r="CZ921" s="70">
        <f t="shared" si="1664"/>
        <v>20.317534055453006</v>
      </c>
      <c r="DA921" s="70">
        <v>19.909765876209278</v>
      </c>
      <c r="DB921" s="69">
        <f t="shared" si="1668"/>
        <v>-1.786791130529464E-2</v>
      </c>
      <c r="DC921" s="111">
        <f>VLOOKUP($H921,RoR!$E:$F,2,FALSE)</f>
        <v>3.6658333333333334E-2</v>
      </c>
      <c r="DD921" s="216">
        <f>HLOOKUP($H921,'GDP-PI'!$D$8:$CQ$11,3,FALSE)</f>
        <v>1.0483662879041455E-2</v>
      </c>
      <c r="DE921" s="111">
        <f>VLOOKUP(H921,'HW Dx Data'!$E:$F,2,FALSE)</f>
        <v>671.45639385971219</v>
      </c>
      <c r="DF921" s="72">
        <f t="shared" si="1678"/>
        <v>136.94999999999999</v>
      </c>
      <c r="DG921" s="69">
        <f t="shared" si="1679"/>
        <v>2.5514417868782811E-2</v>
      </c>
      <c r="DH921" s="66">
        <f>HLOOKUP(H921,'GDP-PI'!$8:$9,2,FALSE)</f>
        <v>105.736</v>
      </c>
      <c r="DI921" s="69">
        <f t="shared" si="1669"/>
        <v>1.0429090367205095E-2</v>
      </c>
      <c r="EB921"/>
    </row>
    <row r="922" spans="1:132" s="160" customFormat="1" ht="21">
      <c r="A922" s="160" t="s">
        <v>214</v>
      </c>
      <c r="B922" s="160" t="s">
        <v>214</v>
      </c>
      <c r="C922" s="160">
        <v>4057139</v>
      </c>
      <c r="D922" s="161" t="s">
        <v>215</v>
      </c>
      <c r="E922" s="161"/>
      <c r="F922" s="189"/>
      <c r="G922" s="160" t="s">
        <v>135</v>
      </c>
      <c r="H922" s="162">
        <v>2017</v>
      </c>
      <c r="I922" s="163"/>
      <c r="J922" s="159">
        <f>IFERROR(INDEX('Labor Expenditures'!$F$7:$X$91,MATCH($C922,'Labor Expenditures'!$D$7:$D$91,0),MATCH($G922,'Labor Expenditures'!$F$5:$X$5,0)),"NA")</f>
        <v>29703.456950388951</v>
      </c>
      <c r="K922" s="159">
        <f t="shared" si="1670"/>
        <v>211.48776753569919</v>
      </c>
      <c r="L922" s="165">
        <f t="shared" si="1676"/>
        <v>-0.11336773381369285</v>
      </c>
      <c r="M922" s="76">
        <f t="shared" si="1680"/>
        <v>-1.4531304046191374E-3</v>
      </c>
      <c r="N922" s="62">
        <f t="shared" si="1686"/>
        <v>164.96692321980046</v>
      </c>
      <c r="O922" s="96">
        <f t="shared" si="1681"/>
        <v>-0.57610111477937864</v>
      </c>
      <c r="P922" s="96"/>
      <c r="Q922" s="159">
        <f>IFERROR(INDEX('Non-Labor Expenditures'!$F$7:$AB$91,MATCH($C922,'Non-Labor Expenditures'!$D$7:$D$91,0),MATCH($G922,'Non-Labor Expenditures'!$F$5:$AB$5,0)),"NA")</f>
        <v>43016.153504655216</v>
      </c>
      <c r="R922" s="159">
        <f t="shared" si="1671"/>
        <v>399.21813722986531</v>
      </c>
      <c r="S922" s="165">
        <f t="shared" si="1682"/>
        <v>-0.10700966420027229</v>
      </c>
      <c r="T922" s="165">
        <f t="shared" si="1683"/>
        <v>-1.3716336333673641E-3</v>
      </c>
      <c r="U922" s="165"/>
      <c r="V922" s="165"/>
      <c r="W922" s="159">
        <f t="shared" si="1652"/>
        <v>79053.570764195494</v>
      </c>
      <c r="X922" s="163"/>
      <c r="Y922" s="167">
        <v>4246.8546275343861</v>
      </c>
      <c r="Z922" s="168">
        <v>1.9653349917845345E-2</v>
      </c>
      <c r="AA922" s="76">
        <f t="shared" si="1672"/>
        <v>2.5191365618345527E-4</v>
      </c>
      <c r="AB922" s="168"/>
      <c r="AC922" s="168"/>
      <c r="AD922" s="163">
        <f t="shared" si="1645"/>
        <v>151773.18121923966</v>
      </c>
      <c r="AE922" s="168">
        <f t="shared" si="1684"/>
        <v>-6.1929053297730248E-2</v>
      </c>
      <c r="AF922" s="163"/>
      <c r="AG922" s="163"/>
      <c r="AH922" s="163"/>
      <c r="AI922" s="163"/>
      <c r="AJ922" s="116">
        <f t="shared" si="1685"/>
        <v>274.45768973429978</v>
      </c>
      <c r="AK922" s="114">
        <f>+AV922/$AX$22</f>
        <v>1.4934629247051818E-2</v>
      </c>
      <c r="AL922" s="115">
        <f t="shared" si="1673"/>
        <v>0.19570952332798283</v>
      </c>
      <c r="AM922" s="115">
        <f t="shared" si="1674"/>
        <v>0.28342394327570591</v>
      </c>
      <c r="AN922" s="115">
        <f t="shared" si="1675"/>
        <v>0.52086653339631128</v>
      </c>
      <c r="AO922" s="115">
        <f t="shared" si="1677"/>
        <v>-4.3101611702175226E-2</v>
      </c>
      <c r="AP922" s="166">
        <f t="shared" si="1688"/>
        <v>105.27672973670791</v>
      </c>
      <c r="AQ922" s="168">
        <f t="shared" si="1689"/>
        <v>-4.3101611702175191E-2</v>
      </c>
      <c r="AR922" s="69">
        <f>+AD922/$AF$22</f>
        <v>1.2817848216029389E-2</v>
      </c>
      <c r="AS922" s="169">
        <f t="shared" si="1687"/>
        <v>-5.5246991666471764E-4</v>
      </c>
      <c r="AT922" s="115"/>
      <c r="AU922" s="115"/>
      <c r="AV922" s="113">
        <f>IFERROR(INDEX('Total Customers'!$F$7:$AB$91,MATCH($C922,'Total Customers'!$D$7:$D$91,0),MATCH($G922,'Total Customers'!$F$5:$AB$5,0)),"NA")</f>
        <v>552993</v>
      </c>
      <c r="AW922" s="68">
        <f t="shared" si="1646"/>
        <v>2.5449825602504025E-2</v>
      </c>
      <c r="AX922" s="114"/>
      <c r="AY922" s="114"/>
      <c r="AZ922" s="116"/>
      <c r="BA922" s="116"/>
      <c r="BB922" s="166"/>
      <c r="BC922" s="166"/>
      <c r="BD922" s="166"/>
      <c r="BE922" s="166"/>
      <c r="BF922" s="166"/>
      <c r="BG922" s="166"/>
      <c r="BH922" s="166"/>
      <c r="BI922" s="113"/>
      <c r="BJ922" s="113"/>
      <c r="BK922" s="113">
        <f>INDEX('Dist. Plant Gas Additions'!$F$7:$AE$91,MATCH($C922,'Dist. Plant Gas Additions'!$D$7:$D$91,0),MATCH(Calculation!$G922,'Dist. Plant Gas Additions'!$F$5:$AE$5,0))</f>
        <v>70861</v>
      </c>
      <c r="BL922" s="113">
        <f>INDEX('Gen. Plant Additions'!$F$7:$AE$91,MATCH($C922,'Gen. Plant Additions'!$D$7:$D$91,0),MATCH(Calculation!$G922,'Gen. Plant Additions'!$F$5:$AE$5,0))</f>
        <v>14173</v>
      </c>
      <c r="BM922" s="231">
        <f t="shared" si="1653"/>
        <v>0.94093720923605662</v>
      </c>
      <c r="BN922" s="61">
        <f t="shared" si="1690"/>
        <v>13335.903066502631</v>
      </c>
      <c r="BO922" s="113">
        <f>INDEX('Dist Plant Depreciation'!$E$7:$AD$94,MATCH($C922,'Dist Plant Depreciation'!$D$7:$D$94,0),MATCH(Calculation!$G922,'Dist Plant Depreciation'!$E$5:$AD$5,0))</f>
        <v>620171</v>
      </c>
      <c r="BP922" s="113">
        <f>INDEX('Gen. Plant Depreciation'!$E$7:$AD$94,MATCH($C922,'Gen. Plant Depreciation'!$D$7:$D$94,0),MATCH(Calculation!$G922,'Gen. Plant Depreciation'!$E$5:$AD$5,0))</f>
        <v>23274</v>
      </c>
      <c r="BQ922" s="113"/>
      <c r="BR922" s="113"/>
      <c r="BS922" s="113"/>
      <c r="BT922" s="113"/>
      <c r="BU922" s="113"/>
      <c r="BV922" s="175"/>
      <c r="BW922" s="113">
        <f>INDEX('Gross Dx Plant'!$E$7:$AD$91,MATCH($C922,'Gross Dx Plant'!$D$7:$D$91,0),MATCH(Calculation!$G922,'Gross Dx Plant'!$E$5:$AD$5,0))</f>
        <v>1518938</v>
      </c>
      <c r="BX922" s="113">
        <f>INDEX('Gross Gen Plant'!$E$7:$AD$91,MATCH($C922,'Gross Gen Plant'!$D$7:$D$91,0),MATCH(Calculation!$G922,'Gross Gen Plant'!$E$5:$AD$5,0))</f>
        <v>95344</v>
      </c>
      <c r="BY922" s="113">
        <f t="shared" si="1605"/>
        <v>970837</v>
      </c>
      <c r="BZ922" s="113"/>
      <c r="CA922" s="116">
        <v>2017</v>
      </c>
      <c r="CB922" s="113"/>
      <c r="CC922" s="113"/>
      <c r="CD922" s="113"/>
      <c r="CE922" s="175"/>
      <c r="CF922" s="113">
        <f t="shared" si="1654"/>
        <v>85034</v>
      </c>
      <c r="CG922" s="113">
        <f t="shared" si="1655"/>
        <v>119.35792856331152</v>
      </c>
      <c r="CH922" s="178">
        <v>0.87074829931972786</v>
      </c>
      <c r="CI922" s="61">
        <f>+CI903*CH922+CG904*CH921+CG905*CH920+CG906*CH919+CG907*CH918+CG908*CH917+CG909*CH916+CG910*CH915+CG911*CH914+CG912*CH913+CG913*CH912+CG914*CH911+CG915*CH910+CG916*CH909+CG917*CH908+CG918*CH907+CG919*CH906+CG920*CH905+CG921*CH904+CG922</f>
        <v>4246.8546275343861</v>
      </c>
      <c r="CJ922" s="114">
        <f t="shared" si="1656"/>
        <v>1.9653349917845345E-2</v>
      </c>
      <c r="CK922" s="114"/>
      <c r="CL922" s="169">
        <f t="shared" si="1657"/>
        <v>8.8150915644145365E-3</v>
      </c>
      <c r="CM922" s="169">
        <f t="shared" si="1665"/>
        <v>8.5561153165816441E-3</v>
      </c>
      <c r="CN922" s="114">
        <f>VLOOKUP($H922,RoR!$E:$F,2,FALSE)</f>
        <v>3.7433333333333339E-2</v>
      </c>
      <c r="CO922" s="169">
        <v>1.9056896421275615E-2</v>
      </c>
      <c r="CP922" s="169">
        <f t="shared" si="1663"/>
        <v>1.8376436912057724E-2</v>
      </c>
      <c r="CQ922" s="169">
        <f t="shared" si="1666"/>
        <v>2.2345826291951983E-2</v>
      </c>
      <c r="CR922" s="169">
        <f t="shared" si="1667"/>
        <v>1.3976271617800498E-2</v>
      </c>
      <c r="CS922" s="179">
        <f t="shared" si="1658"/>
        <v>0.91305000000000003</v>
      </c>
      <c r="CT922" s="180">
        <f t="shared" si="1659"/>
        <v>1.3699568463593395</v>
      </c>
      <c r="CU922" s="180">
        <f t="shared" si="1660"/>
        <v>0.30714603739982199</v>
      </c>
      <c r="CV922" s="180">
        <f t="shared" si="1661"/>
        <v>0.77007188472689425</v>
      </c>
      <c r="CW922" s="180">
        <f t="shared" si="1662"/>
        <v>0.32402839633793828</v>
      </c>
      <c r="CX922" s="181">
        <f>INDEX('State Tax Lookup'!$D$7:$Z$91,MATCH(Calculation!$C922,'State Tax Lookup'!$B$7:$B$91,0),MATCH($H922,'State Tax Lookup'!$D$6:$Z$6,0))</f>
        <v>0.23499999999999999</v>
      </c>
      <c r="CY922" s="72">
        <v>0.37</v>
      </c>
      <c r="CZ922" s="70">
        <f t="shared" si="1664"/>
        <v>18.984074855577326</v>
      </c>
      <c r="DA922" s="70">
        <v>18.231812616449311</v>
      </c>
      <c r="DB922" s="69">
        <f t="shared" si="1668"/>
        <v>-6.7883797593960848E-2</v>
      </c>
      <c r="DC922" s="111">
        <f>VLOOKUP($H922,RoR!$E:$F,2,FALSE)</f>
        <v>3.7433333333333339E-2</v>
      </c>
      <c r="DD922" s="216">
        <f>HLOOKUP($H922,'GDP-PI'!$D$8:$CQ$11,3,FALSE)</f>
        <v>1.9056896421275615E-2</v>
      </c>
      <c r="DE922" s="111">
        <f>VLOOKUP(H922,'HW Dx Data'!$E:$F,2,FALSE)</f>
        <v>712.42858370229726</v>
      </c>
      <c r="DF922" s="72">
        <f t="shared" si="1678"/>
        <v>140.44999999999999</v>
      </c>
      <c r="DG922" s="69">
        <f t="shared" si="1679"/>
        <v>2.5235657841165486E-2</v>
      </c>
      <c r="DH922" s="66">
        <f>HLOOKUP(H922,'GDP-PI'!$8:$9,2,FALSE)</f>
        <v>107.751</v>
      </c>
      <c r="DI922" s="69">
        <f t="shared" si="1669"/>
        <v>1.8877588227745139E-2</v>
      </c>
      <c r="EB922"/>
    </row>
    <row r="923" spans="1:132" s="160" customFormat="1" ht="21">
      <c r="A923" s="160" t="s">
        <v>214</v>
      </c>
      <c r="B923" s="160" t="s">
        <v>214</v>
      </c>
      <c r="C923" s="160">
        <v>4057139</v>
      </c>
      <c r="D923" s="161" t="s">
        <v>215</v>
      </c>
      <c r="E923" s="161"/>
      <c r="F923" s="189"/>
      <c r="G923" s="160" t="s">
        <v>136</v>
      </c>
      <c r="H923" s="162">
        <v>2018</v>
      </c>
      <c r="I923" s="163"/>
      <c r="J923" s="159">
        <f>IFERROR(INDEX('Labor Expenditures'!$F$7:$X$91,MATCH($C923,'Labor Expenditures'!$D$7:$D$91,0),MATCH($G923,'Labor Expenditures'!$F$5:$X$5,0)),"NA")</f>
        <v>30775.87661577035</v>
      </c>
      <c r="K923" s="159">
        <f t="shared" si="1670"/>
        <v>213.05556674122778</v>
      </c>
      <c r="L923" s="165">
        <f t="shared" si="1676"/>
        <v>7.3858483033064012E-3</v>
      </c>
      <c r="M923" s="76">
        <f t="shared" si="1680"/>
        <v>9.1600190121624895E-5</v>
      </c>
      <c r="N923" s="62">
        <f t="shared" si="1686"/>
        <v>113.39949859288231</v>
      </c>
      <c r="O923" s="96">
        <f t="shared" si="1681"/>
        <v>-0.37482801876582161</v>
      </c>
      <c r="P923" s="96"/>
      <c r="Q923" s="159">
        <f>IFERROR(INDEX('Non-Labor Expenditures'!$F$7:$AB$91,MATCH($C923,'Non-Labor Expenditures'!$D$7:$D$91,0),MATCH($G923,'Non-Labor Expenditures'!$F$5:$AB$5,0)),"NA")</f>
        <v>44569.217480491643</v>
      </c>
      <c r="R923" s="159">
        <f t="shared" si="1671"/>
        <v>403.99210928456375</v>
      </c>
      <c r="S923" s="165">
        <f t="shared" si="1682"/>
        <v>1.1887368948789291E-2</v>
      </c>
      <c r="T923" s="165">
        <f t="shared" si="1683"/>
        <v>1.4742859737148153E-4</v>
      </c>
      <c r="U923" s="165"/>
      <c r="V923" s="165"/>
      <c r="W923" s="159">
        <f t="shared" si="1652"/>
        <v>84277.233209398415</v>
      </c>
      <c r="X923" s="163"/>
      <c r="Y923" s="167">
        <v>4312.9104322106705</v>
      </c>
      <c r="Z923" s="168">
        <v>1.5434329218074487E-2</v>
      </c>
      <c r="AA923" s="76">
        <f t="shared" si="1672"/>
        <v>1.914184305873798E-4</v>
      </c>
      <c r="AB923" s="168"/>
      <c r="AC923" s="168"/>
      <c r="AD923" s="163">
        <f t="shared" si="1645"/>
        <v>159622.32730566041</v>
      </c>
      <c r="AE923" s="168">
        <f t="shared" si="1684"/>
        <v>5.0423393086922792E-2</v>
      </c>
      <c r="AF923" s="163"/>
      <c r="AG923" s="163"/>
      <c r="AH923" s="163"/>
      <c r="AI923" s="163"/>
      <c r="AJ923" s="116">
        <f t="shared" si="1685"/>
        <v>281.19602100864154</v>
      </c>
      <c r="AK923" s="114">
        <f>+AV923/$AX$23</f>
        <v>1.5196340938584569E-2</v>
      </c>
      <c r="AL923" s="115">
        <f t="shared" si="1673"/>
        <v>0.19280433467705116</v>
      </c>
      <c r="AM923" s="115">
        <f t="shared" si="1674"/>
        <v>0.2792166874947648</v>
      </c>
      <c r="AN923" s="115">
        <f t="shared" si="1675"/>
        <v>0.52797897782818404</v>
      </c>
      <c r="AO923" s="115">
        <f t="shared" si="1677"/>
        <v>1.2873024050822059E-2</v>
      </c>
      <c r="AP923" s="166">
        <f t="shared" si="1688"/>
        <v>106.64072011501482</v>
      </c>
      <c r="AQ923" s="168">
        <f t="shared" si="1689"/>
        <v>1.2873024050822158E-2</v>
      </c>
      <c r="AR923" s="69">
        <f>+AD923/$AF$23</f>
        <v>1.2402121782086765E-2</v>
      </c>
      <c r="AS923" s="169">
        <f t="shared" si="1687"/>
        <v>1.5965281198202828E-4</v>
      </c>
      <c r="AT923" s="115"/>
      <c r="AU923" s="115"/>
      <c r="AV923" s="113">
        <f>IFERROR(INDEX('Total Customers'!$F$7:$AB$91,MATCH($C923,'Total Customers'!$D$7:$D$91,0),MATCH($G923,'Total Customers'!$F$5:$AB$5,0)),"NA")</f>
        <v>567655</v>
      </c>
      <c r="AW923" s="68">
        <f t="shared" si="1646"/>
        <v>2.6168496601896581E-2</v>
      </c>
      <c r="AX923" s="114"/>
      <c r="AY923" s="114"/>
      <c r="AZ923" s="116"/>
      <c r="BA923" s="116"/>
      <c r="BB923" s="166"/>
      <c r="BC923" s="166"/>
      <c r="BD923" s="166"/>
      <c r="BE923" s="166"/>
      <c r="BF923" s="166"/>
      <c r="BG923" s="166"/>
      <c r="BH923" s="166"/>
      <c r="BI923" s="113"/>
      <c r="BJ923" s="113"/>
      <c r="BK923" s="113">
        <f>INDEX('Dist. Plant Gas Additions'!$F$7:$AE$91,MATCH($C923,'Dist. Plant Gas Additions'!$D$7:$D$91,0),MATCH(Calculation!$G923,'Dist. Plant Gas Additions'!$F$5:$AE$5,0))</f>
        <v>72919</v>
      </c>
      <c r="BL923" s="113">
        <f>INDEX('Gen. Plant Additions'!$F$7:$AE$91,MATCH($C923,'Gen. Plant Additions'!$D$7:$D$91,0),MATCH(Calculation!$G923,'Gen. Plant Additions'!$F$5:$AE$5,0))</f>
        <v>6220</v>
      </c>
      <c r="BM923" s="231">
        <f t="shared" si="1653"/>
        <v>0.94275175128879063</v>
      </c>
      <c r="BN923" s="61">
        <f t="shared" si="1690"/>
        <v>5863.9158930162776</v>
      </c>
      <c r="BO923" s="113">
        <f>INDEX('Dist Plant Depreciation'!$E$7:$AD$94,MATCH($C923,'Dist Plant Depreciation'!$D$7:$D$94,0),MATCH(Calculation!$G923,'Dist Plant Depreciation'!$E$5:$AD$5,0))</f>
        <v>648858</v>
      </c>
      <c r="BP923" s="113">
        <f>INDEX('Gen. Plant Depreciation'!$E$7:$AD$94,MATCH($C923,'Gen. Plant Depreciation'!$D$7:$D$94,0),MATCH(Calculation!$G923,'Gen. Plant Depreciation'!$E$5:$AD$5,0))</f>
        <v>32522</v>
      </c>
      <c r="BQ923" s="113"/>
      <c r="BR923" s="113"/>
      <c r="BS923" s="113"/>
      <c r="BT923" s="113"/>
      <c r="BU923" s="113"/>
      <c r="BV923" s="175"/>
      <c r="BW923" s="113">
        <f>INDEX('Gross Dx Plant'!$E$7:$AD$91,MATCH($C923,'Gross Dx Plant'!$D$7:$D$91,0),MATCH(Calculation!$G923,'Gross Dx Plant'!$E$5:$AD$5,0))</f>
        <v>1587906</v>
      </c>
      <c r="BX923" s="113">
        <f>INDEX('Gross Gen Plant'!$E$7:$AD$91,MATCH($C923,'Gross Gen Plant'!$D$7:$D$91,0),MATCH(Calculation!$G923,'Gross Gen Plant'!$E$5:$AD$5,0))</f>
        <v>96425</v>
      </c>
      <c r="BY923" s="113">
        <f t="shared" si="1605"/>
        <v>1002951</v>
      </c>
      <c r="BZ923" s="113"/>
      <c r="CA923" s="116">
        <v>2018</v>
      </c>
      <c r="CB923" s="113"/>
      <c r="CC923" s="113"/>
      <c r="CD923" s="113"/>
      <c r="CE923" s="175"/>
      <c r="CF923" s="113">
        <f t="shared" si="1654"/>
        <v>79139</v>
      </c>
      <c r="CG923" s="113">
        <f t="shared" si="1655"/>
        <v>104.80089035133904</v>
      </c>
      <c r="CH923" s="178">
        <v>0.86111111111111116</v>
      </c>
      <c r="CI923" s="61">
        <f>+CI903*CH923++CG904*CH922+CG905*CH921+CG906*CH920+CG907*CH919+CG908*CH918+CG909*CH917+CG910*CH916+CG911*CH915+CG912*CH914+CG913*CH913+CG914*CH912+CG915*CH911+CG916*CH910+CG917*CH909+CG918*CH908+CG919*CH907+CG920*CH906+CG921*CH905+CG922*CH904+CG923</f>
        <v>4312.9104322106705</v>
      </c>
      <c r="CJ923" s="114">
        <f t="shared" si="1656"/>
        <v>1.5434329218074487E-2</v>
      </c>
      <c r="CK923" s="114"/>
      <c r="CL923" s="169">
        <f t="shared" si="1657"/>
        <v>9.1232427462554812E-3</v>
      </c>
      <c r="CM923" s="169">
        <f t="shared" si="1665"/>
        <v>8.8329418273876206E-3</v>
      </c>
      <c r="CN923" s="114">
        <f>VLOOKUP($H923,RoR!$E:$F,2,FALSE)</f>
        <v>3.9299999999999995E-2</v>
      </c>
      <c r="CO923" s="169">
        <v>2.386056741932796E-2</v>
      </c>
      <c r="CP923" s="169">
        <f t="shared" si="1663"/>
        <v>1.5439432580672034E-2</v>
      </c>
      <c r="CQ923" s="169">
        <f t="shared" si="1666"/>
        <v>2.2068999781146004E-2</v>
      </c>
      <c r="CR923" s="169">
        <f t="shared" si="1667"/>
        <v>3.8270792163076606E-2</v>
      </c>
      <c r="CS923" s="179">
        <f t="shared" si="1658"/>
        <v>0.91305000000000003</v>
      </c>
      <c r="CT923" s="180">
        <f t="shared" si="1659"/>
        <v>1.3048868010700074</v>
      </c>
      <c r="CU923" s="180">
        <f t="shared" si="1660"/>
        <v>0.33886768447837151</v>
      </c>
      <c r="CV923" s="180">
        <f t="shared" si="1661"/>
        <v>0.78602506232557801</v>
      </c>
      <c r="CW923" s="180">
        <f t="shared" si="1662"/>
        <v>0.34756768162358759</v>
      </c>
      <c r="CX923" s="181">
        <f>INDEX('State Tax Lookup'!$D$7:$Z$91,MATCH(Calculation!$C923,'State Tax Lookup'!$B$7:$B$91,0),MATCH($H923,'State Tax Lookup'!$D$6:$Z$6,0))</f>
        <v>0.23499999999999999</v>
      </c>
      <c r="CY923" s="72">
        <v>0.37</v>
      </c>
      <c r="CZ923" s="70">
        <f t="shared" si="1664"/>
        <v>19.844623986653293</v>
      </c>
      <c r="DA923" s="70">
        <v>19.050901628905343</v>
      </c>
      <c r="DB923" s="69">
        <f t="shared" si="1668"/>
        <v>4.4332676331569128E-2</v>
      </c>
      <c r="DC923" s="111">
        <f>VLOOKUP($H923,RoR!$E:$F,2,FALSE)</f>
        <v>3.9299999999999995E-2</v>
      </c>
      <c r="DD923" s="216">
        <f>HLOOKUP($H923,'GDP-PI'!$D$8:$CQ$11,3,FALSE)</f>
        <v>2.386056741932796E-2</v>
      </c>
      <c r="DE923" s="111">
        <f>VLOOKUP(H923,'HW Dx Data'!$E:$F,2,FALSE)</f>
        <v>755.13671434174842</v>
      </c>
      <c r="DF923" s="72">
        <f t="shared" si="1678"/>
        <v>144.44999999999999</v>
      </c>
      <c r="DG923" s="69">
        <f t="shared" si="1679"/>
        <v>2.80818733619915E-2</v>
      </c>
      <c r="DH923" s="66">
        <f>HLOOKUP(H923,'GDP-PI'!$8:$9,2,FALSE)</f>
        <v>110.322</v>
      </c>
      <c r="DI923" s="69">
        <f t="shared" si="1669"/>
        <v>2.3580352716508712E-2</v>
      </c>
      <c r="EB923"/>
    </row>
    <row r="924" spans="1:132" s="160" customFormat="1" ht="21">
      <c r="A924" s="160" t="s">
        <v>214</v>
      </c>
      <c r="B924" s="160" t="s">
        <v>214</v>
      </c>
      <c r="C924" s="160">
        <v>4057139</v>
      </c>
      <c r="D924" s="161" t="s">
        <v>215</v>
      </c>
      <c r="E924" s="161"/>
      <c r="F924" s="189"/>
      <c r="G924" s="160" t="s">
        <v>140</v>
      </c>
      <c r="H924" s="162">
        <v>2019</v>
      </c>
      <c r="I924" s="163"/>
      <c r="J924" s="159">
        <f>IFERROR(INDEX('Labor Expenditures'!$F$7:$X$91,MATCH($C924,'Labor Expenditures'!$D$7:$D$91,0),MATCH($G924,'Labor Expenditures'!$F$5:$X$5,0)),"NA")</f>
        <v>31776.752368060166</v>
      </c>
      <c r="K924" s="159">
        <f t="shared" si="1670"/>
        <v>212.30500997534767</v>
      </c>
      <c r="L924" s="165">
        <f t="shared" si="1676"/>
        <v>-3.5290414106298996E-3</v>
      </c>
      <c r="M924" s="76">
        <f t="shared" si="1680"/>
        <v>-4.3675865935397949E-5</v>
      </c>
      <c r="N924" s="62">
        <f t="shared" si="1686"/>
        <v>112.58153334156142</v>
      </c>
      <c r="O924" s="96">
        <f t="shared" si="1681"/>
        <v>-7.239269743803893E-3</v>
      </c>
      <c r="P924" s="96"/>
      <c r="Q924" s="159">
        <f>IFERROR(INDEX('Non-Labor Expenditures'!$F$7:$AB$91,MATCH($C924,'Non-Labor Expenditures'!$D$7:$D$91,0),MATCH($G924,'Non-Labor Expenditures'!$F$5:$AB$5,0)),"NA")</f>
        <v>46018.672507611722</v>
      </c>
      <c r="R924" s="159">
        <f t="shared" si="1671"/>
        <v>409.71769892280599</v>
      </c>
      <c r="S924" s="165">
        <f t="shared" si="1682"/>
        <v>1.4073037037140069E-2</v>
      </c>
      <c r="T924" s="165">
        <f t="shared" si="1683"/>
        <v>1.7416969862881553E-4</v>
      </c>
      <c r="U924" s="165"/>
      <c r="V924" s="165"/>
      <c r="W924" s="159">
        <f t="shared" si="1652"/>
        <v>86427.656986354486</v>
      </c>
      <c r="X924" s="163"/>
      <c r="Y924" s="167">
        <v>4459.0421603036857</v>
      </c>
      <c r="Z924" s="168">
        <v>3.3321030188130228E-2</v>
      </c>
      <c r="AA924" s="76">
        <f t="shared" si="1672"/>
        <v>4.123853131738577E-4</v>
      </c>
      <c r="AB924" s="168"/>
      <c r="AC924" s="168"/>
      <c r="AD924" s="163">
        <f t="shared" si="1645"/>
        <v>164223.08186202636</v>
      </c>
      <c r="AE924" s="168">
        <f t="shared" si="1684"/>
        <v>2.8415188141243948E-2</v>
      </c>
      <c r="AF924" s="163"/>
      <c r="AG924" s="163"/>
      <c r="AH924" s="163"/>
      <c r="AI924" s="163"/>
      <c r="AJ924" s="116">
        <f t="shared" si="1685"/>
        <v>282.00937242333646</v>
      </c>
      <c r="AK924" s="114">
        <f>+AV924/$AX$24</f>
        <v>1.5460682443165468E-2</v>
      </c>
      <c r="AL924" s="115">
        <f t="shared" si="1673"/>
        <v>0.19349747920793325</v>
      </c>
      <c r="AM924" s="115">
        <f t="shared" si="1674"/>
        <v>0.28022049023702261</v>
      </c>
      <c r="AN924" s="115">
        <f t="shared" si="1675"/>
        <v>0.52628203055504419</v>
      </c>
      <c r="AO924" s="115">
        <f t="shared" si="1677"/>
        <v>2.0819383955238583E-2</v>
      </c>
      <c r="AP924" s="166">
        <f t="shared" si="1688"/>
        <v>108.88418697664474</v>
      </c>
      <c r="AQ924" s="168">
        <f t="shared" si="1689"/>
        <v>2.0819383955238552E-2</v>
      </c>
      <c r="AR924" s="69">
        <f>+AD924/$AF$24</f>
        <v>1.2376127353972373E-2</v>
      </c>
      <c r="AS924" s="169">
        <f t="shared" si="1687"/>
        <v>2.5766334726128135E-4</v>
      </c>
      <c r="AT924" s="115"/>
      <c r="AU924" s="115"/>
      <c r="AV924" s="113">
        <f>IFERROR(INDEX('Total Customers'!$F$7:$AB$91,MATCH($C924,'Total Customers'!$D$7:$D$91,0),MATCH($G924,'Total Customers'!$F$5:$AB$5,0)),"NA")</f>
        <v>582332</v>
      </c>
      <c r="AW924" s="68">
        <f t="shared" si="1646"/>
        <v>2.5526892007676574E-2</v>
      </c>
      <c r="AX924" s="114"/>
      <c r="AY924" s="114"/>
      <c r="AZ924" s="116"/>
      <c r="BA924" s="116"/>
      <c r="BB924" s="166"/>
      <c r="BC924" s="166"/>
      <c r="BD924" s="166"/>
      <c r="BE924" s="166"/>
      <c r="BF924" s="166"/>
      <c r="BG924" s="166"/>
      <c r="BH924" s="166"/>
      <c r="BI924" s="113"/>
      <c r="BJ924" s="113"/>
      <c r="BK924" s="113">
        <f>INDEX('Dist. Plant Gas Additions'!$F$7:$AE$91,MATCH($C924,'Dist. Plant Gas Additions'!$D$7:$D$91,0),MATCH(Calculation!$G924,'Dist. Plant Gas Additions'!$F$5:$AE$5,0))</f>
        <v>142060</v>
      </c>
      <c r="BL924" s="113">
        <f>INDEX('Gen. Plant Additions'!$F$7:$AE$91,MATCH($C924,'Gen. Plant Additions'!$D$7:$D$91,0),MATCH(Calculation!$G924,'Gen. Plant Additions'!$F$5:$AE$5,0))</f>
        <v>2551</v>
      </c>
      <c r="BM924" s="231">
        <f t="shared" si="1653"/>
        <v>0.95537880163925792</v>
      </c>
      <c r="BN924" s="61">
        <f t="shared" si="1690"/>
        <v>2437.1713229817469</v>
      </c>
      <c r="BO924" s="113">
        <f>INDEX('Dist Plant Depreciation'!$E$7:$AD$94,MATCH($C924,'Dist Plant Depreciation'!$D$7:$D$94,0),MATCH(Calculation!$G924,'Dist Plant Depreciation'!$E$5:$AD$5,0))</f>
        <v>679096</v>
      </c>
      <c r="BP924" s="113">
        <f>INDEX('Gen. Plant Depreciation'!$E$7:$AD$94,MATCH($C924,'Gen. Plant Depreciation'!$D$7:$D$94,0),MATCH(Calculation!$G924,'Gen. Plant Depreciation'!$E$5:$AD$5,0))</f>
        <v>35874</v>
      </c>
      <c r="BQ924" s="113"/>
      <c r="BR924" s="113"/>
      <c r="BS924" s="113"/>
      <c r="BT924" s="113"/>
      <c r="BU924" s="113"/>
      <c r="BV924" s="175"/>
      <c r="BW924" s="113">
        <f>INDEX('Gross Dx Plant'!$E$7:$AD$91,MATCH($C924,'Gross Dx Plant'!$D$7:$D$91,0),MATCH(Calculation!$G924,'Gross Dx Plant'!$E$5:$AD$5,0))</f>
        <v>1777809</v>
      </c>
      <c r="BX924" s="113">
        <f>INDEX('Gross Gen Plant'!$E$7:$AD$91,MATCH($C924,'Gross Gen Plant'!$D$7:$D$91,0),MATCH(Calculation!$G924,'Gross Gen Plant'!$E$5:$AD$5,0))</f>
        <v>83033</v>
      </c>
      <c r="BY924" s="113">
        <f t="shared" si="1605"/>
        <v>1145872</v>
      </c>
      <c r="BZ924" s="113"/>
      <c r="CA924" s="116">
        <v>2019</v>
      </c>
      <c r="CB924" s="113"/>
      <c r="CC924" s="113"/>
      <c r="CD924" s="113"/>
      <c r="CE924" s="175"/>
      <c r="CF924" s="113">
        <f t="shared" si="1654"/>
        <v>144611</v>
      </c>
      <c r="CG924" s="113">
        <f t="shared" si="1655"/>
        <v>186.94719245063021</v>
      </c>
      <c r="CH924" s="178">
        <v>0.85106382978723405</v>
      </c>
      <c r="CI924" s="61">
        <f>CI903*CH924+CG904*CH923+CG905*CH922+CG906*CH921+CG907*CH920+CG908*CH919+CG909*CH918+CG910*CH917+CG911*CH916+CG912*CH915+CG913*CH914+CG914*CH913+CG915*CH912+CG916*CH911+CG917*CH910+CG918*CH909+CG919*CH908+CG920*CH907+CG921*CH906+CG922*CH905+CG923*CH904+CG924</f>
        <v>4459.0421603036857</v>
      </c>
      <c r="CJ924" s="114">
        <f t="shared" si="1656"/>
        <v>3.3321030188130228E-2</v>
      </c>
      <c r="CK924" s="114"/>
      <c r="CL924" s="169">
        <f t="shared" si="1657"/>
        <v>9.4635548312776308E-3</v>
      </c>
      <c r="CM924" s="169">
        <f t="shared" si="1665"/>
        <v>9.133963047315884E-3</v>
      </c>
      <c r="CN924" s="114">
        <f>VLOOKUP($H924,RoR!$E:$F,2,FALSE)</f>
        <v>3.3875000000000009E-2</v>
      </c>
      <c r="CO924" s="169">
        <v>1.8092492884465461E-2</v>
      </c>
      <c r="CP924" s="169">
        <f t="shared" si="1663"/>
        <v>1.5782507115534548E-2</v>
      </c>
      <c r="CQ924" s="169">
        <f t="shared" si="1666"/>
        <v>2.1767978561217739E-2</v>
      </c>
      <c r="CR924" s="169">
        <f t="shared" si="1667"/>
        <v>4.8445665544254078E-2</v>
      </c>
      <c r="CS924" s="179">
        <f t="shared" si="1658"/>
        <v>0.91305000000000003</v>
      </c>
      <c r="CT924" s="180">
        <f t="shared" si="1659"/>
        <v>1.513861292459078</v>
      </c>
      <c r="CU924" s="180">
        <f t="shared" si="1660"/>
        <v>0.23699261992619944</v>
      </c>
      <c r="CV924" s="180">
        <f t="shared" si="1661"/>
        <v>0.73619765810468829</v>
      </c>
      <c r="CW924" s="180">
        <f t="shared" si="1662"/>
        <v>0.26412854465362851</v>
      </c>
      <c r="CX924" s="181">
        <f>INDEX('State Tax Lookup'!$D$7:$Z$91,MATCH(Calculation!$C924,'State Tax Lookup'!$B$7:$B$91,0),MATCH($H924,'State Tax Lookup'!$D$6:$Z$6,0))</f>
        <v>0.23499999999999999</v>
      </c>
      <c r="CY924" s="72">
        <v>0.37</v>
      </c>
      <c r="CZ924" s="70">
        <f t="shared" si="1664"/>
        <v>20.039288629987666</v>
      </c>
      <c r="DA924" s="70">
        <v>19.236104090735289</v>
      </c>
      <c r="DB924" s="69">
        <f t="shared" si="1668"/>
        <v>9.7616395360270395E-3</v>
      </c>
      <c r="DC924" s="111">
        <f>VLOOKUP($H924,RoR!$E:$F,2,FALSE)</f>
        <v>3.3875000000000009E-2</v>
      </c>
      <c r="DD924" s="216">
        <f>HLOOKUP($H924,'GDP-PI'!$D$8:$CQ$11,3,FALSE)</f>
        <v>1.8092492884465461E-2</v>
      </c>
      <c r="DE924" s="111">
        <f>VLOOKUP(H924,'HW Dx Data'!$E:$F,2,FALSE)</f>
        <v>773.53929793938721</v>
      </c>
      <c r="DF924" s="72">
        <f t="shared" si="1678"/>
        <v>149.67500000000001</v>
      </c>
      <c r="DG924" s="69">
        <f t="shared" si="1679"/>
        <v>3.5532849899171604E-2</v>
      </c>
      <c r="DH924" s="66">
        <f>HLOOKUP(H924,'GDP-PI'!$8:$9,2,FALSE)</f>
        <v>112.318</v>
      </c>
      <c r="DI924" s="69">
        <f t="shared" si="1669"/>
        <v>1.7930771451401852E-2</v>
      </c>
      <c r="EB924"/>
    </row>
    <row r="925" spans="1:132" s="160" customFormat="1" ht="21">
      <c r="A925" s="160" t="s">
        <v>214</v>
      </c>
      <c r="B925" s="160" t="s">
        <v>214</v>
      </c>
      <c r="C925" s="160">
        <v>4057139</v>
      </c>
      <c r="D925" s="160" t="s">
        <v>215</v>
      </c>
      <c r="G925" s="161" t="s">
        <v>141</v>
      </c>
      <c r="H925" s="162">
        <v>2020</v>
      </c>
      <c r="I925" s="163"/>
      <c r="J925" s="159">
        <f>IFERROR(INDEX('Labor Expenditures'!$F$7:$X$91,MATCH($C925,'Labor Expenditures'!$D$7:$D$91,0),MATCH($G925,'Labor Expenditures'!$F$5:$X$5,0)),"NA")</f>
        <v>32569.617479102817</v>
      </c>
      <c r="K925" s="159">
        <f t="shared" si="1670"/>
        <v>212.66482193341702</v>
      </c>
      <c r="L925" s="165">
        <f t="shared" si="1676"/>
        <v>1.6933533490209637E-3</v>
      </c>
      <c r="M925" s="76">
        <f t="shared" si="1680"/>
        <v>2.1340723076092639E-5</v>
      </c>
      <c r="N925" s="62">
        <f t="shared" si="1686"/>
        <v>114.05755486414931</v>
      </c>
      <c r="O925" s="96">
        <f t="shared" si="1681"/>
        <v>1.3025488260743463E-2</v>
      </c>
      <c r="P925" s="96"/>
      <c r="Q925" s="159">
        <f>IFERROR(INDEX('Non-Labor Expenditures'!$F$7:$AB$91,MATCH($C925,'Non-Labor Expenditures'!$D$7:$D$91,0),MATCH($G925,'Non-Labor Expenditures'!$F$5:$AB$5,0)),"NA")</f>
        <v>47166.889275177207</v>
      </c>
      <c r="R925" s="159">
        <f t="shared" si="1671"/>
        <v>415.11744343290712</v>
      </c>
      <c r="S925" s="165">
        <f t="shared" si="1682"/>
        <v>1.3093093084996295E-2</v>
      </c>
      <c r="T925" s="165">
        <f t="shared" si="1683"/>
        <v>1.6500754192735838E-4</v>
      </c>
      <c r="U925" s="165"/>
      <c r="V925" s="165"/>
      <c r="W925" s="159">
        <f t="shared" si="1652"/>
        <v>92628.391124697358</v>
      </c>
      <c r="X925" s="163"/>
      <c r="Y925" s="167">
        <v>4722.8161939096799</v>
      </c>
      <c r="Z925" s="168">
        <v>5.7471292220418309E-2</v>
      </c>
      <c r="AA925" s="76">
        <f t="shared" si="1672"/>
        <v>7.2429002063287653E-4</v>
      </c>
      <c r="AB925" s="168"/>
      <c r="AC925" s="168"/>
      <c r="AD925" s="163">
        <f t="shared" si="1645"/>
        <v>172364.89787897738</v>
      </c>
      <c r="AE925" s="168">
        <f t="shared" si="1684"/>
        <v>4.8387970136553028E-2</v>
      </c>
      <c r="AF925" s="163"/>
      <c r="AG925" s="163"/>
      <c r="AH925" s="163"/>
      <c r="AI925" s="163"/>
      <c r="AJ925" s="116">
        <f t="shared" si="1685"/>
        <v>295.99077137951787</v>
      </c>
      <c r="AK925" s="114">
        <f>+AV925/$AX$25</f>
        <v>1.5351505779222469E-2</v>
      </c>
      <c r="AL925" s="115">
        <f t="shared" si="1673"/>
        <v>0.18895736823382062</v>
      </c>
      <c r="AM925" s="115">
        <f t="shared" si="1674"/>
        <v>0.27364556157074688</v>
      </c>
      <c r="AN925" s="115">
        <f t="shared" si="1675"/>
        <v>0.53739707019543248</v>
      </c>
      <c r="AO925" s="115">
        <f t="shared" si="1677"/>
        <v>3.4515231698842859E-2</v>
      </c>
      <c r="AP925" s="166">
        <f t="shared" si="1688"/>
        <v>112.70795951823132</v>
      </c>
      <c r="AQ925" s="168">
        <f t="shared" si="1689"/>
        <v>3.4515231698842852E-2</v>
      </c>
      <c r="AR925" s="69">
        <f>+AD925/$AF$25</f>
        <v>1.2602640251327983E-2</v>
      </c>
      <c r="AS925" s="169">
        <f t="shared" si="1687"/>
        <v>4.3498304829174843E-4</v>
      </c>
      <c r="AT925" s="115"/>
      <c r="AU925" s="115"/>
      <c r="AV925" s="113">
        <v>582332</v>
      </c>
      <c r="AW925" s="68">
        <f t="shared" si="1646"/>
        <v>0</v>
      </c>
      <c r="AX925" s="114"/>
      <c r="AY925" s="114"/>
      <c r="AZ925" s="116"/>
      <c r="BA925" s="116"/>
      <c r="BB925" s="166"/>
      <c r="BC925" s="166"/>
      <c r="BD925" s="166"/>
      <c r="BE925" s="166"/>
      <c r="BF925" s="166"/>
      <c r="BG925" s="166"/>
      <c r="BH925" s="166"/>
      <c r="BI925" s="113"/>
      <c r="BJ925" s="113"/>
      <c r="BK925" s="113">
        <f>INDEX('Dist. Plant Gas Additions'!$F$7:$AE$91,MATCH($C925,'Dist. Plant Gas Additions'!$D$7:$D$91,0),MATCH(Calculation!$G925,'Dist. Plant Gas Additions'!$F$5:$AE$5,0))</f>
        <v>115197</v>
      </c>
      <c r="BL925" s="113">
        <f>INDEX('Gen. Plant Additions'!$F$7:$AE$91,MATCH($C925,'Gen. Plant Additions'!$D$7:$D$91,0),MATCH(Calculation!$G925,'Gen. Plant Additions'!$F$5:$AE$5,0))</f>
        <v>134565</v>
      </c>
      <c r="BM925" s="231">
        <f t="shared" si="1653"/>
        <v>0.95616371794514898</v>
      </c>
      <c r="BN925" s="61">
        <f t="shared" si="1690"/>
        <v>128666.17070528897</v>
      </c>
      <c r="BO925" s="113">
        <f>INDEX('Dist Plant Depreciation'!$E$7:$AD$94,MATCH($C925,'Dist Plant Depreciation'!$D$7:$D$94,0),MATCH(Calculation!$G925,'Dist Plant Depreciation'!$E$5:$AD$5,0))</f>
        <v>717734</v>
      </c>
      <c r="BP925" s="113">
        <f>INDEX('Gen. Plant Depreciation'!$E$7:$AD$94,MATCH($C925,'Gen. Plant Depreciation'!$D$7:$D$94,0),MATCH(Calculation!$G925,'Gen. Plant Depreciation'!$E$5:$AD$5,0))</f>
        <v>42983</v>
      </c>
      <c r="BQ925" s="113"/>
      <c r="BR925" s="113"/>
      <c r="BS925" s="113"/>
      <c r="BT925" s="113"/>
      <c r="BU925" s="113"/>
      <c r="BV925" s="175"/>
      <c r="BW925" s="113">
        <f>INDEX('Gross Dx Plant'!$E$7:$AD$91,MATCH($C925,'Gross Dx Plant'!$D$7:$D$91,0),MATCH(Calculation!$G925,'Gross Dx Plant'!$E$5:$AD$5,0))</f>
        <v>1889107</v>
      </c>
      <c r="BX925" s="113">
        <f>INDEX('Gross Gen Plant'!$E$7:$AD$91,MATCH($C925,'Gross Gen Plant'!$D$7:$D$91,0),MATCH(Calculation!$G925,'Gross Gen Plant'!$E$5:$AD$5,0))</f>
        <v>86608</v>
      </c>
      <c r="BY925" s="113">
        <f t="shared" si="1605"/>
        <v>1214998</v>
      </c>
      <c r="BZ925" s="113"/>
      <c r="CA925" s="116">
        <v>2020</v>
      </c>
      <c r="CB925" s="113"/>
      <c r="CC925" s="113"/>
      <c r="CD925" s="113"/>
      <c r="CE925" s="175"/>
      <c r="CF925" s="113">
        <f t="shared" si="1654"/>
        <v>249762</v>
      </c>
      <c r="CG925" s="113">
        <f t="shared" si="1655"/>
        <v>307.18004390206198</v>
      </c>
      <c r="CH925" s="178">
        <v>0.84057971014492749</v>
      </c>
      <c r="CI925" s="61">
        <f>CI903*CH925+CG904*CH924+CG905*CH923+CG906*CH922+CG907*CH921+CG908*CH920+CG909*CH919+CG910*CH918+CG911*CH917+CG912*CH916+CG913*CH915+CG914*CH914+CG915*CH913+CG916*CH912+CG917*CH911+CG918*CH910+CG919*CH909+CG920*CH908+CG921*CH907+CG922*CH906+CG923*CH905+CG924*CH904+CG925</f>
        <v>4722.8161939096799</v>
      </c>
      <c r="CJ925" s="114">
        <f t="shared" si="1656"/>
        <v>5.7471292220418309E-2</v>
      </c>
      <c r="CK925" s="114"/>
      <c r="CL925" s="169">
        <f t="shared" si="1657"/>
        <v>9.7343798815106072E-3</v>
      </c>
      <c r="CM925" s="169">
        <f t="shared" si="1665"/>
        <v>9.440392486347907E-3</v>
      </c>
      <c r="CN925" s="114">
        <f>VLOOKUP($H925,RoR!$E:$F,2,FALSE)</f>
        <v>2.4766666666666666E-2</v>
      </c>
      <c r="CO925" s="169">
        <v>1.1618796630994188E-2</v>
      </c>
      <c r="CP925" s="169">
        <f t="shared" si="1663"/>
        <v>1.3147870035672478E-2</v>
      </c>
      <c r="CQ925" s="169">
        <f t="shared" si="1666"/>
        <v>2.1461549122185716E-2</v>
      </c>
      <c r="CR925" s="169">
        <f t="shared" si="1667"/>
        <v>4.5144642961987357E-2</v>
      </c>
      <c r="CS925" s="179">
        <f t="shared" si="1658"/>
        <v>0.91305000000000003</v>
      </c>
      <c r="CT925" s="180">
        <f t="shared" si="1659"/>
        <v>2.0706077233668081</v>
      </c>
      <c r="CU925" s="180">
        <f t="shared" si="1660"/>
        <v>-3.4421265141318998E-2</v>
      </c>
      <c r="CV925" s="180">
        <f t="shared" si="1661"/>
        <v>0.62416226176410472</v>
      </c>
      <c r="CW925" s="180">
        <f t="shared" si="1662"/>
        <v>-4.4485877841158712E-2</v>
      </c>
      <c r="CX925" s="181">
        <f>INDEX('State Tax Lookup'!$D$7:$Z$91,MATCH(Calculation!$C925,'State Tax Lookup'!$B$7:$B$91,0),MATCH($H925,'State Tax Lookup'!$D$6:$Z$6,0))</f>
        <v>0.23499999999999999</v>
      </c>
      <c r="CY925" s="72">
        <v>0.37</v>
      </c>
      <c r="CZ925" s="70">
        <f t="shared" si="1664"/>
        <v>20.773158852211626</v>
      </c>
      <c r="DA925" s="70">
        <v>19.952659173050833</v>
      </c>
      <c r="DB925" s="69">
        <f t="shared" si="1668"/>
        <v>3.5966935494322422E-2</v>
      </c>
      <c r="DC925" s="111">
        <f>VLOOKUP($H925,RoR!$E:$F,2,FALSE)</f>
        <v>2.4766666666666666E-2</v>
      </c>
      <c r="DD925" s="216">
        <f>HLOOKUP($H925,'GDP-PI'!$D$8:$CQ$11,3,FALSE)</f>
        <v>1.1618796630994188E-2</v>
      </c>
      <c r="DE925" s="111">
        <f>VLOOKUP(H925,'HW Dx Data'!$E:$F,2,FALSE)</f>
        <v>813.080162458833</v>
      </c>
      <c r="DF925" s="72">
        <f t="shared" si="1678"/>
        <v>153.15</v>
      </c>
      <c r="DG925" s="69">
        <f t="shared" si="1679"/>
        <v>2.2951556467368479E-2</v>
      </c>
      <c r="DH925" s="66">
        <f>HLOOKUP(H925,'GDP-PI'!$8:$9,2,FALSE)</f>
        <v>113.623</v>
      </c>
      <c r="DI925" s="69">
        <f t="shared" si="1669"/>
        <v>1.1551816731392881E-2</v>
      </c>
      <c r="EB925"/>
    </row>
    <row r="926" spans="1:132" s="160" customFormat="1" ht="21">
      <c r="A926" s="160" t="s">
        <v>214</v>
      </c>
      <c r="B926" s="160" t="s">
        <v>214</v>
      </c>
      <c r="C926" s="160">
        <v>4057139</v>
      </c>
      <c r="D926" s="160" t="s">
        <v>215</v>
      </c>
      <c r="G926" s="161" t="s">
        <v>142</v>
      </c>
      <c r="H926" s="162">
        <v>2021</v>
      </c>
      <c r="I926" s="163"/>
      <c r="J926" s="159">
        <f>IFERROR(INDEX('Labor Expenditures'!$E$7:$X$91,MATCH($C926,'Labor Expenditures'!$D$7:$D$91,0),MATCH($G926,'Labor Expenditures'!$E$5:$X$5,0)),"NA")</f>
        <v>37372.865186583505</v>
      </c>
      <c r="K926" s="159">
        <f t="shared" si="1670"/>
        <v>237.66527940593645</v>
      </c>
      <c r="L926" s="164">
        <f t="shared" si="1676"/>
        <v>0.1111459743827001</v>
      </c>
      <c r="M926" s="76">
        <f t="shared" si="1680"/>
        <v>1.5668555859341315E-3</v>
      </c>
      <c r="N926" s="166">
        <f>+N925*EXP(O926)</f>
        <v>115.08516886334495</v>
      </c>
      <c r="O926" s="114">
        <f t="shared" si="1681"/>
        <v>8.9692648456780495E-3</v>
      </c>
      <c r="P926" s="114"/>
      <c r="Q926" s="159">
        <f>IFERROR(INDEX('Non-Labor Expenditures'!$E$7:$AB$91,MATCH($C926,'Non-Labor Expenditures'!$D$7:$D$91,0),MATCH($G926,'Non-Labor Expenditures'!$E$5:$AB$5,0)),"NA")</f>
        <v>52682.231648557477</v>
      </c>
      <c r="R926" s="159">
        <f t="shared" si="1671"/>
        <v>444.61331461353262</v>
      </c>
      <c r="S926" s="165">
        <f t="shared" si="1682"/>
        <v>6.8643472061847885E-2</v>
      </c>
      <c r="T926" s="165">
        <f t="shared" si="1683"/>
        <v>9.6768603843164225E-4</v>
      </c>
      <c r="U926" s="165"/>
      <c r="V926" s="165"/>
      <c r="W926" s="159">
        <f t="shared" si="1652"/>
        <v>125948.41563860745</v>
      </c>
      <c r="X926" s="163"/>
      <c r="Y926" s="167">
        <v>4867.2081532128914</v>
      </c>
      <c r="Z926" s="168"/>
      <c r="AA926" s="76">
        <f t="shared" si="1672"/>
        <v>0</v>
      </c>
      <c r="AB926" s="168"/>
      <c r="AC926" s="168"/>
      <c r="AD926" s="163">
        <f t="shared" si="1645"/>
        <v>216003.51247374841</v>
      </c>
      <c r="AE926" s="168">
        <f t="shared" si="1684"/>
        <v>0.22568094009655676</v>
      </c>
      <c r="AF926" s="113"/>
      <c r="AG926" s="114"/>
      <c r="AH926" s="114"/>
      <c r="AI926" s="114"/>
      <c r="AJ926" s="116">
        <f t="shared" si="1685"/>
        <v>350.73191766661267</v>
      </c>
      <c r="AK926" s="114">
        <f>+AV926/$AX$26</f>
        <v>1.5952458261799102E-2</v>
      </c>
      <c r="AL926" s="115">
        <f t="shared" si="1673"/>
        <v>0.17301971046015072</v>
      </c>
      <c r="AM926" s="115">
        <f t="shared" si="1674"/>
        <v>0.2438952545040679</v>
      </c>
      <c r="AN926" s="115">
        <f t="shared" si="1675"/>
        <v>0.58308503503578146</v>
      </c>
      <c r="AO926" s="115">
        <f t="shared" si="1677"/>
        <v>3.787904683237113E-2</v>
      </c>
      <c r="AP926" s="166">
        <f t="shared" si="1688"/>
        <v>117.05911821814134</v>
      </c>
      <c r="AQ926" s="168">
        <f t="shared" si="1689"/>
        <v>3.787904683237122E-2</v>
      </c>
      <c r="AR926" s="69">
        <f>+AD926/$AF$26</f>
        <v>1.4097276978643439E-2</v>
      </c>
      <c r="AS926" s="169">
        <f t="shared" si="1687"/>
        <v>5.3399141488294347E-4</v>
      </c>
      <c r="AT926" s="115"/>
      <c r="AU926" s="115"/>
      <c r="AV926" s="113">
        <v>615865</v>
      </c>
      <c r="AW926" s="68">
        <f t="shared" si="1646"/>
        <v>5.5987051847268952E-2</v>
      </c>
      <c r="AX926" s="113"/>
      <c r="AY926" s="113"/>
      <c r="AZ926" s="116"/>
      <c r="BA926" s="116"/>
      <c r="BB926" s="166"/>
      <c r="BC926" s="166"/>
      <c r="BD926" s="166"/>
      <c r="BE926" s="166"/>
      <c r="BF926" s="166"/>
      <c r="BG926" s="166"/>
      <c r="BH926" s="166"/>
      <c r="BI926" s="113"/>
      <c r="BJ926" s="113"/>
      <c r="BK926" s="113">
        <f>INDEX('Dist. Plant Gas Additions'!$E$7:$AE$91,MATCH($C926,'Dist. Plant Gas Additions'!$D$7:$D$91,0),MATCH(Calculation!$G926,'Dist. Plant Gas Additions'!$E$5:$AE$5,0))</f>
        <v>135423.149</v>
      </c>
      <c r="BL926" s="113">
        <f>INDEX('Gen. Plant Additions'!$E$7:$AE$91,MATCH($C926,'Gen. Plant Additions'!$D$7:$D$91,0),MATCH(Calculation!$G926,'Gen. Plant Additions'!$E$5:$AE$5,0))</f>
        <v>5578.5789999999997</v>
      </c>
      <c r="BM926" s="232">
        <v>0.95616371794514898</v>
      </c>
      <c r="BN926" s="61">
        <f t="shared" si="1690"/>
        <v>5334.0348374907308</v>
      </c>
      <c r="BO926" s="113"/>
      <c r="BP926" s="113"/>
      <c r="BQ926" s="175"/>
      <c r="BR926" s="175"/>
      <c r="BS926" s="170"/>
      <c r="BT926" s="176"/>
      <c r="BU926" s="177"/>
      <c r="BV926" s="177"/>
      <c r="BW926" s="113"/>
      <c r="BX926" s="113"/>
      <c r="BY926" s="113"/>
      <c r="BZ926" s="113"/>
      <c r="CA926" s="116">
        <v>2021</v>
      </c>
      <c r="CB926" s="113"/>
      <c r="CC926" s="113"/>
      <c r="CD926" s="113"/>
      <c r="CE926" s="175"/>
      <c r="CF926" s="113">
        <f t="shared" si="1654"/>
        <v>141001.728</v>
      </c>
      <c r="CG926" s="113">
        <f t="shared" si="1655"/>
        <v>151.12360968613976</v>
      </c>
      <c r="CH926" s="178">
        <f>+(51-23)/(51-23*0.75)</f>
        <v>0.82962962962962961</v>
      </c>
      <c r="CI926" s="113">
        <f>CI903*CH926+CG904*CH925+CG905*CH924+CG906*CH923+CG907*CH922+CG908*CH921+CG909*CH920+CG910*CH919+CG911*CH918+CG912*CH917+CG913*CH916+CG914*CH915+CG915*CH914+CG916*CH913+CG917*CH912+CG908*CH911+CG919*CH910+CG920*CH909+CG921*CH908+CG922*CH907+CG923*CH906+CG924*CH905+CG926+CG925*CH904</f>
        <v>4867.2081532128914</v>
      </c>
      <c r="CJ926" s="114"/>
      <c r="CK926" s="113"/>
      <c r="CL926" s="169">
        <f t="shared" si="1657"/>
        <v>1.4253466801458622E-3</v>
      </c>
      <c r="CM926" s="169">
        <f t="shared" si="1665"/>
        <v>6.8744271309780338E-3</v>
      </c>
      <c r="CN926" s="114">
        <f>VLOOKUP($H926,RoR!$E:$F,2,FALSE)</f>
        <v>2.7033333333333336E-2</v>
      </c>
      <c r="CO926" s="169"/>
      <c r="CP926" s="169"/>
      <c r="CQ926" s="169">
        <f t="shared" si="1666"/>
        <v>2.4027514477555592E-2</v>
      </c>
      <c r="CR926" s="169">
        <f t="shared" si="1667"/>
        <v>7.433422950153494E-2</v>
      </c>
      <c r="CS926" s="179">
        <f t="shared" si="1658"/>
        <v>0.91305000000000003</v>
      </c>
      <c r="CT926" s="180">
        <f t="shared" si="1659"/>
        <v>1.8969932656739068</v>
      </c>
      <c r="CU926" s="180">
        <f t="shared" si="1660"/>
        <v>5.0215782983970621E-2</v>
      </c>
      <c r="CV926" s="180">
        <f t="shared" si="1661"/>
        <v>0.655952481704143</v>
      </c>
      <c r="CW926" s="180">
        <f t="shared" si="1662"/>
        <v>6.2485378865697057E-2</v>
      </c>
      <c r="CX926" s="181">
        <f>CX925</f>
        <v>0.23499999999999999</v>
      </c>
      <c r="CY926" s="72">
        <v>0.37</v>
      </c>
      <c r="CZ926" s="182">
        <f t="shared" si="1664"/>
        <v>26.668074823878296</v>
      </c>
      <c r="DA926" s="182"/>
      <c r="DB926" s="169">
        <f>LN(CZ927/CZ925)</f>
        <v>0.21617987519565235</v>
      </c>
      <c r="DC926" s="181">
        <f>VLOOKUP($H926,RoR!$E:$F,2,FALSE)</f>
        <v>2.7033333333333336E-2</v>
      </c>
      <c r="DD926" s="183">
        <f>HLOOKUP($H926,'GDP-PI'!$D$8:$CR$11,3,FALSE)</f>
        <v>4.2834637353352578E-2</v>
      </c>
      <c r="DE926" s="181">
        <f>VLOOKUP(H926,'HW Dx Data'!$E:$F,2,FALSE)</f>
        <v>933.02249921662576</v>
      </c>
      <c r="DF926" s="72">
        <f t="shared" si="1678"/>
        <v>157.25</v>
      </c>
      <c r="DG926" s="69">
        <f t="shared" si="1679"/>
        <v>2.6419062301765574E-2</v>
      </c>
      <c r="DH926" s="175">
        <f>HLOOKUP(H926,'GDP-PI'!$8:$9,2,FALSE)</f>
        <v>118.49</v>
      </c>
      <c r="DI926" s="169">
        <f t="shared" si="1669"/>
        <v>4.194261824609434E-2</v>
      </c>
      <c r="EB926"/>
    </row>
    <row r="927" spans="1:132" s="160" customFormat="1" ht="21">
      <c r="G927" s="161" t="s">
        <v>144</v>
      </c>
      <c r="H927" s="162"/>
      <c r="I927" s="163"/>
      <c r="J927" s="159">
        <v>37373</v>
      </c>
      <c r="K927" s="159">
        <f t="shared" si="1670"/>
        <v>229.91694863119039</v>
      </c>
      <c r="L927" s="164">
        <f t="shared" ref="L927" si="1691">LN(K927/K926)</f>
        <v>-3.3145143921895805E-2</v>
      </c>
      <c r="M927" s="76">
        <f t="shared" si="1680"/>
        <v>-4.3981226599361546E-4</v>
      </c>
      <c r="N927" s="166">
        <f>+N926*EXP(O927)</f>
        <v>114.42760010910432</v>
      </c>
      <c r="O927" s="114">
        <f t="shared" si="1681"/>
        <v>-5.7301435247478563E-3</v>
      </c>
      <c r="P927" s="114"/>
      <c r="Q927" s="163">
        <v>52682</v>
      </c>
      <c r="R927" s="159">
        <f t="shared" si="1671"/>
        <v>414.00392927308445</v>
      </c>
      <c r="S927" s="165">
        <f t="shared" ref="S927" si="1692">LN(R927/R926)</f>
        <v>-7.1329483702476867E-2</v>
      </c>
      <c r="T927" s="165">
        <f t="shared" si="1683"/>
        <v>-9.4649104355274294E-4</v>
      </c>
      <c r="U927" s="166"/>
      <c r="V927" s="114"/>
      <c r="W927" s="159">
        <f t="shared" si="1652"/>
        <v>125507.06941514974</v>
      </c>
      <c r="X927" s="168"/>
      <c r="Y927" s="167">
        <v>4914.5663049882933</v>
      </c>
      <c r="Z927" s="168">
        <v>9.6830124237883321E-3</v>
      </c>
      <c r="AA927" s="76">
        <f t="shared" si="1672"/>
        <v>1.2848662373547151E-4</v>
      </c>
      <c r="AB927" s="166"/>
      <c r="AC927" s="114"/>
      <c r="AD927" s="163">
        <f t="shared" si="1645"/>
        <v>215562.06941514974</v>
      </c>
      <c r="AE927" s="168">
        <f t="shared" si="1684"/>
        <v>-2.0457758036547045E-3</v>
      </c>
      <c r="AF927" s="113"/>
      <c r="AG927" s="114"/>
      <c r="AH927" s="114"/>
      <c r="AI927" s="114"/>
      <c r="AJ927" s="116">
        <f t="shared" si="1685"/>
        <v>350.01513223701585</v>
      </c>
      <c r="AK927" s="114"/>
      <c r="AL927" s="115">
        <f t="shared" si="1673"/>
        <v>0.17337465770948579</v>
      </c>
      <c r="AM927" s="115">
        <f t="shared" si="1674"/>
        <v>0.24439364561183555</v>
      </c>
      <c r="AN927" s="115">
        <f t="shared" si="1675"/>
        <v>0.58223169667867869</v>
      </c>
      <c r="AO927" s="115"/>
      <c r="AP927" s="166"/>
      <c r="AQ927" s="168"/>
      <c r="AR927" s="69">
        <f>+AD927/$AF$27</f>
        <v>1.3269282131645048E-2</v>
      </c>
      <c r="AS927" s="169"/>
      <c r="AT927" s="166"/>
      <c r="AU927" s="168"/>
      <c r="AV927" s="113">
        <v>615865</v>
      </c>
      <c r="AW927" s="68">
        <f t="shared" si="1646"/>
        <v>0</v>
      </c>
      <c r="AX927" s="113"/>
      <c r="AY927" s="113"/>
      <c r="AZ927" s="113"/>
      <c r="BA927" s="113"/>
      <c r="BB927" s="171"/>
      <c r="BC927" s="172"/>
      <c r="BD927" s="173"/>
      <c r="BE927" s="115"/>
      <c r="BF927" s="174"/>
      <c r="BG927" s="174"/>
      <c r="BH927" s="166"/>
      <c r="BI927" s="113"/>
      <c r="BJ927" s="113"/>
      <c r="BK927" s="113"/>
      <c r="BL927" s="113"/>
      <c r="BM927" s="232">
        <v>0.95616371794514898</v>
      </c>
      <c r="BN927" s="61">
        <f t="shared" si="1690"/>
        <v>0</v>
      </c>
      <c r="BO927" s="113"/>
      <c r="BP927" s="113"/>
      <c r="BQ927" s="175"/>
      <c r="BR927" s="175"/>
      <c r="BS927" s="170"/>
      <c r="BT927" s="176"/>
      <c r="BU927" s="177"/>
      <c r="BV927" s="177"/>
      <c r="BW927" s="113"/>
      <c r="BX927" s="113"/>
      <c r="BY927" s="113"/>
      <c r="BZ927" s="113"/>
      <c r="CA927" s="116">
        <v>2022</v>
      </c>
      <c r="CB927" s="113"/>
      <c r="CC927" s="113"/>
      <c r="CD927" s="113"/>
      <c r="CE927" s="175"/>
      <c r="CF927" s="238">
        <v>141002</v>
      </c>
      <c r="CG927" s="113">
        <f>+CF927/DE927</f>
        <v>136.7875748198019</v>
      </c>
      <c r="CH927" s="178">
        <f>+(51-24)/(51-24*0.75)</f>
        <v>0.81818181818181823</v>
      </c>
      <c r="CI927" s="113">
        <f>+CI903*CH927+CG904*CH926+CG905*CH925+CG906*CH924+CG907*CH923+CG908*CH922+CG909*CH921+CG910*CH920+CG911*CH919+CG912*CH918+CG913*CH917+CG914*CH916+CG915*CH915+CG916*CH914+CG917*CH913+CG918*CH912+CG919*CH911+CG920*CH910+CG921*CH909+CG922*CH908+CG923*CH907+CG924*CH906+CG925*CH905+CG926*CH904+CG927*CH903</f>
        <v>4914.5663049882933</v>
      </c>
      <c r="CJ927" s="114">
        <f t="shared" ref="CJ927" si="1693">LN(CI927/CI926)</f>
        <v>9.6830124237883321E-3</v>
      </c>
      <c r="CK927" s="113"/>
      <c r="CL927" s="169">
        <f t="shared" si="1657"/>
        <v>1.8373864488488493E-2</v>
      </c>
      <c r="CM927" s="169">
        <f t="shared" si="1665"/>
        <v>9.8445303500483208E-3</v>
      </c>
      <c r="CN927" s="114"/>
      <c r="CO927" s="169"/>
      <c r="CP927" s="169"/>
      <c r="CQ927" s="69">
        <f t="shared" si="1666"/>
        <v>2.1057411258485304E-2</v>
      </c>
      <c r="CR927" s="169">
        <f t="shared" si="1667"/>
        <v>0.10114668178709289</v>
      </c>
      <c r="CS927" s="179">
        <f t="shared" si="1658"/>
        <v>0.91305000000000003</v>
      </c>
      <c r="CT927" s="180">
        <f t="shared" si="1659"/>
        <v>1.2820512820512819</v>
      </c>
      <c r="CU927" s="180">
        <f t="shared" si="1660"/>
        <v>0.35000000000000003</v>
      </c>
      <c r="CV927" s="180">
        <f t="shared" si="1661"/>
        <v>0.79171095533705893</v>
      </c>
      <c r="CW927" s="180">
        <f t="shared" si="1662"/>
        <v>0.35525491585637264</v>
      </c>
      <c r="CX927" s="181">
        <f>CX926</f>
        <v>0.23499999999999999</v>
      </c>
      <c r="CY927" s="72">
        <v>0.37</v>
      </c>
      <c r="CZ927" s="182">
        <f t="shared" si="1664"/>
        <v>25.786254761325814</v>
      </c>
      <c r="DA927" s="182"/>
      <c r="DB927" s="169">
        <f t="shared" ref="DB927" si="1694">LN(CZ927/CZ926)</f>
        <v>-3.3625561736043641E-2</v>
      </c>
      <c r="DC927" s="181">
        <v>0.04</v>
      </c>
      <c r="DD927" s="183">
        <v>7.0000000000000001E-3</v>
      </c>
      <c r="DE927" s="181">
        <v>1030.81</v>
      </c>
      <c r="DF927" s="72">
        <f t="shared" si="1678"/>
        <v>162.55000000000001</v>
      </c>
      <c r="DG927" s="169">
        <f t="shared" si="1679"/>
        <v>3.3148751169364422E-2</v>
      </c>
      <c r="DH927" s="175">
        <v>127.25</v>
      </c>
      <c r="DI927" s="169">
        <f t="shared" si="1669"/>
        <v>7.1325086601983473E-2</v>
      </c>
      <c r="EB927"/>
    </row>
    <row r="928" spans="1:132" s="160" customFormat="1" ht="21">
      <c r="A928" s="160" t="s">
        <v>216</v>
      </c>
      <c r="B928" s="160" t="s">
        <v>216</v>
      </c>
      <c r="C928" s="160">
        <v>4057095</v>
      </c>
      <c r="D928" s="161" t="s">
        <v>196</v>
      </c>
      <c r="E928" s="161" t="s">
        <v>3</v>
      </c>
      <c r="F928" s="189"/>
      <c r="G928" s="160" t="s">
        <v>100</v>
      </c>
      <c r="H928" s="162">
        <v>1998</v>
      </c>
      <c r="I928" s="163"/>
      <c r="J928" s="159"/>
      <c r="K928" s="159"/>
      <c r="L928" s="159"/>
      <c r="M928" s="60"/>
      <c r="N928" s="131"/>
      <c r="O928" s="76"/>
      <c r="P928" s="76"/>
      <c r="Q928" s="165"/>
      <c r="R928" s="165"/>
      <c r="S928" s="165"/>
      <c r="T928" s="159"/>
      <c r="U928" s="165"/>
      <c r="V928" s="165"/>
      <c r="W928" s="159"/>
      <c r="X928" s="163"/>
      <c r="Y928" s="167">
        <v>7739.7002993579317</v>
      </c>
      <c r="Z928" s="168"/>
      <c r="AA928" s="78"/>
      <c r="AB928" s="168"/>
      <c r="AC928" s="168"/>
      <c r="AD928" s="163">
        <f t="shared" si="1645"/>
        <v>0</v>
      </c>
      <c r="AE928" s="163"/>
      <c r="AF928" s="163"/>
      <c r="AG928" s="114"/>
      <c r="AH928" s="114"/>
      <c r="AI928" s="114"/>
      <c r="AJ928" s="166">
        <f>+(AJ925+AJ926+AJ927)/3</f>
        <v>332.24594042771542</v>
      </c>
      <c r="AK928" s="168"/>
      <c r="AL928" s="115"/>
      <c r="AM928" s="115"/>
      <c r="AN928" s="115"/>
      <c r="AO928" s="115"/>
      <c r="AP928" s="115"/>
      <c r="AQ928" s="168">
        <f>AVERAGE(AQ937:AQ951)</f>
        <v>-5.9253383238514943E-4</v>
      </c>
      <c r="AR928" s="79"/>
      <c r="AS928" s="115"/>
      <c r="AT928" s="115"/>
      <c r="AU928" s="115"/>
      <c r="AV928" s="113">
        <f>IFERROR(INDEX('Total Customers'!$F$7:$AB$91,MATCH($C928,'Total Customers'!$D$7:$D$91,0),MATCH($G928,'Total Customers'!$F$5:$AB$5,0)),"NA")</f>
        <v>1593570</v>
      </c>
      <c r="AW928" s="68"/>
      <c r="AX928" s="114"/>
      <c r="AY928" s="114"/>
      <c r="AZ928" s="116"/>
      <c r="BA928" s="116"/>
      <c r="BB928" s="166"/>
      <c r="BC928" s="166"/>
      <c r="BD928" s="166"/>
      <c r="BE928" s="166"/>
      <c r="BF928" s="166"/>
      <c r="BG928" s="166"/>
      <c r="BH928" s="166"/>
      <c r="BI928" s="113">
        <f>INDEX('Gross Dx Plant'!$E$7:$AD$91,MATCH($C928,'Gross Dx Plant'!$D$7:$D$91,0),MATCH(Calculation!$G928,'Gross Dx Plant'!$E$5:$AD$5,0))</f>
        <v>2607571</v>
      </c>
      <c r="BJ928" s="113">
        <f>INDEX('Gross Gen Plant'!$E$7:$AD$91,MATCH($C928,'Gross Gen Plant'!$D$7:$D$91,0),MATCH(Calculation!$G928,'Gross Gen Plant'!$E$5:$AD$5,0))</f>
        <v>52355</v>
      </c>
      <c r="BK928" s="113">
        <f>INDEX('Dist. Plant Gas Additions'!$F$7:$AE$91,MATCH($C928,'Dist. Plant Gas Additions'!$D$7:$D$91,0),MATCH(Calculation!$G928,'Dist. Plant Gas Additions'!$F$5:$AE$5,0))</f>
        <v>140541</v>
      </c>
      <c r="BL928" s="113">
        <f>INDEX('Gen. Plant Additions'!$F$7:$AE$91,MATCH($C928,'Gen. Plant Additions'!$D$7:$D$91,0),MATCH(Calculation!$G928,'Gen. Plant Additions'!$F$5:$AE$5,0))</f>
        <v>1113</v>
      </c>
      <c r="BM928" s="231">
        <f>+(BW928/(BW928+BX928))</f>
        <v>0.98031712160413487</v>
      </c>
      <c r="BN928" s="61">
        <f t="shared" si="1690"/>
        <v>1091.0929563454022</v>
      </c>
      <c r="BO928" s="113">
        <f>INDEX('Dist Plant Depreciation'!$E$7:$AD$94,MATCH($C928,'Dist Plant Depreciation'!$D$7:$D$94,0),MATCH(Calculation!$G928,'Dist Plant Depreciation'!$E$5:$AD$5,0))</f>
        <v>1068486.1034284404</v>
      </c>
      <c r="BP928" s="113">
        <f>INDEX('Gen. Plant Depreciation'!$E$7:$AD$94,MATCH($C928,'Gen. Plant Depreciation'!$D$7:$D$94,0),MATCH(Calculation!$G928,'Gen. Plant Depreciation'!$E$5:$AD$5,0))</f>
        <v>30191.851569170041</v>
      </c>
      <c r="BQ928" s="113"/>
      <c r="BR928" s="113"/>
      <c r="BS928" s="113"/>
      <c r="BT928" s="113"/>
      <c r="BU928" s="113"/>
      <c r="BV928" s="175"/>
      <c r="BW928" s="113">
        <f>INDEX('Gross Dx Plant'!$E$7:$AD$91,MATCH($C928,'Gross Dx Plant'!$D$7:$D$91,0),MATCH(Calculation!$G928,'Gross Dx Plant'!$E$5:$AD$5,0))</f>
        <v>2607571</v>
      </c>
      <c r="BX928" s="113">
        <f>INDEX('Gross Gen Plant'!$E$7:$AD$91,MATCH($C928,'Gross Gen Plant'!$D$7:$D$91,0),MATCH(Calculation!$G928,'Gross Gen Plant'!$E$5:$AD$5,0))</f>
        <v>52355</v>
      </c>
      <c r="BY928" s="113">
        <f t="shared" si="1605"/>
        <v>1561248.0450023895</v>
      </c>
      <c r="BZ928" s="113"/>
      <c r="CA928" s="116">
        <v>1998</v>
      </c>
      <c r="CB928" s="113">
        <f>BI928+BJ928</f>
        <v>2659926</v>
      </c>
      <c r="CC928" s="113">
        <f>1068486+30192</f>
        <v>1098678</v>
      </c>
      <c r="CD928" s="113">
        <f>+CB928-CC928</f>
        <v>1561248</v>
      </c>
      <c r="CE928" s="113">
        <f>CD928/$BV$3</f>
        <v>7739.7002993579317</v>
      </c>
      <c r="CF928" s="175"/>
      <c r="CG928" s="175"/>
      <c r="CH928" s="178">
        <v>1</v>
      </c>
      <c r="CI928" s="113">
        <f>+CE928</f>
        <v>7739.7002993579317</v>
      </c>
      <c r="CJ928" s="114"/>
      <c r="CK928" s="114"/>
      <c r="CL928" s="169"/>
      <c r="CM928" s="169"/>
      <c r="CN928" s="114" t="e">
        <f>VLOOKUP($H928,RoR!$E:$F,2,FALSE)</f>
        <v>#N/A</v>
      </c>
      <c r="CO928" s="169">
        <v>1.1028127770464469E-2</v>
      </c>
      <c r="CP928" s="169"/>
      <c r="CQ928" s="169"/>
      <c r="CR928" s="169"/>
      <c r="CS928" s="179"/>
      <c r="CT928" s="182" t="e">
        <f>2/(DC928*39)</f>
        <v>#N/A</v>
      </c>
      <c r="CU928" s="180" t="e">
        <f>+(DC928*40-(1+DC928))/(DC928*40)</f>
        <v>#N/A</v>
      </c>
      <c r="CV928" s="180" t="e">
        <f>+(1-(1/(1+DC928)^40))</f>
        <v>#N/A</v>
      </c>
      <c r="CW928" s="180" t="e">
        <f>+CV928*CU928*CT928</f>
        <v>#N/A</v>
      </c>
      <c r="CX928" s="181">
        <f>INDEX('State Tax Lookup'!$D$7:$Z$91,MATCH(Calculation!$C928,'State Tax Lookup'!$B$7:$B$91,0),MATCH($H928,'State Tax Lookup'!$D$6:$Z$6,0))</f>
        <v>0.40849999999999997</v>
      </c>
      <c r="CY928" s="72">
        <v>0.37</v>
      </c>
      <c r="CZ928" s="66"/>
      <c r="DA928" s="66"/>
      <c r="DB928" s="69"/>
      <c r="DC928" s="111" t="e">
        <f>VLOOKUP($H928,RoR!$E:$F,2,FALSE)</f>
        <v>#N/A</v>
      </c>
      <c r="DD928" s="216">
        <f>HLOOKUP($H928,'GDP-PI'!$D$8:$CQ$11,3,FALSE)</f>
        <v>1.1028127770464469E-2</v>
      </c>
      <c r="DE928" s="111">
        <f>VLOOKUP(H928,'HW Dx Data'!$E:$F,2,FALSE)</f>
        <v>329.24564746449528</v>
      </c>
      <c r="DF928" s="72" t="e">
        <f t="shared" si="1678"/>
        <v>#N/A</v>
      </c>
      <c r="DG928" s="169" t="e">
        <f t="shared" si="1679"/>
        <v>#N/A</v>
      </c>
      <c r="DH928" s="66">
        <f>HLOOKUP(H928,'GDP-PI'!$8:$9,2,FALSE)</f>
        <v>75.266999999999996</v>
      </c>
      <c r="DI928"/>
      <c r="EB928"/>
    </row>
    <row r="929" spans="1:132" s="160" customFormat="1" ht="21">
      <c r="A929" s="160" t="s">
        <v>216</v>
      </c>
      <c r="B929" s="160" t="s">
        <v>216</v>
      </c>
      <c r="C929" s="160">
        <v>4057095</v>
      </c>
      <c r="D929" s="161" t="s">
        <v>196</v>
      </c>
      <c r="E929" s="161" t="s">
        <v>3</v>
      </c>
      <c r="F929" s="189"/>
      <c r="G929" s="160" t="s">
        <v>106</v>
      </c>
      <c r="H929" s="162">
        <v>1999</v>
      </c>
      <c r="I929" s="163"/>
      <c r="J929" s="159"/>
      <c r="K929" s="163"/>
      <c r="L929" s="163"/>
      <c r="M929" s="60"/>
      <c r="N929" s="152"/>
      <c r="O929" s="60"/>
      <c r="P929" s="59"/>
      <c r="Q929" s="169"/>
      <c r="R929" s="169"/>
      <c r="S929" s="169"/>
      <c r="T929" s="187"/>
      <c r="U929" s="169"/>
      <c r="V929" s="169"/>
      <c r="W929" s="159">
        <f t="shared" ref="W929:W952" si="1695">+CI928*CZ929</f>
        <v>0</v>
      </c>
      <c r="X929" s="163"/>
      <c r="Y929" s="167">
        <v>8120.4950168357536</v>
      </c>
      <c r="Z929" s="168">
        <v>4.8028149141169624E-2</v>
      </c>
      <c r="AA929" s="78"/>
      <c r="AB929" s="168"/>
      <c r="AC929" s="168"/>
      <c r="AD929" s="163">
        <f t="shared" si="1645"/>
        <v>0</v>
      </c>
      <c r="AE929" s="168"/>
      <c r="AF929" s="163"/>
      <c r="AG929" s="114"/>
      <c r="AH929" s="114"/>
      <c r="AI929" s="114"/>
      <c r="AJ929" s="167"/>
      <c r="AK929" s="168"/>
      <c r="AL929" s="115"/>
      <c r="AM929" s="115"/>
      <c r="AN929" s="115"/>
      <c r="AO929" s="115"/>
      <c r="AP929" s="115"/>
      <c r="AQ929" s="168"/>
      <c r="AR929" s="79"/>
      <c r="AS929" s="115"/>
      <c r="AT929" s="115"/>
      <c r="AU929" s="115"/>
      <c r="AV929" s="113">
        <f>IFERROR(INDEX('Total Customers'!$F$7:$AB$91,MATCH($C929,'Total Customers'!$D$7:$D$91,0),MATCH($G929,'Total Customers'!$F$5:$AB$5,0)),"NA")</f>
        <v>1569893</v>
      </c>
      <c r="AW929" s="68">
        <f t="shared" si="1646"/>
        <v>-1.4969318198331137E-2</v>
      </c>
      <c r="AX929" s="114"/>
      <c r="AY929" s="114"/>
      <c r="AZ929" s="116"/>
      <c r="BA929" s="116"/>
      <c r="BB929" s="166"/>
      <c r="BC929" s="166"/>
      <c r="BD929" s="166"/>
      <c r="BE929" s="166"/>
      <c r="BF929" s="166"/>
      <c r="BG929" s="166"/>
      <c r="BH929" s="166"/>
      <c r="BI929" s="113"/>
      <c r="BJ929" s="113"/>
      <c r="BK929" s="113">
        <f>INDEX('Dist. Plant Gas Additions'!$F$7:$AE$91,MATCH($C929,'Dist. Plant Gas Additions'!$D$7:$D$91,0),MATCH(Calculation!$G929,'Dist. Plant Gas Additions'!$F$5:$AE$5,0))</f>
        <v>127298</v>
      </c>
      <c r="BL929" s="113">
        <f>INDEX('Gen. Plant Additions'!$F$7:$AE$91,MATCH($C929,'Gen. Plant Additions'!$D$7:$D$91,0),MATCH(Calculation!$G929,'Gen. Plant Additions'!$F$5:$AE$5,0))</f>
        <v>13304</v>
      </c>
      <c r="BM929" s="231">
        <f t="shared" ref="BM929:BM949" si="1696">+(BW929/(BW929+BX929))</f>
        <v>0.96267675448751899</v>
      </c>
      <c r="BN929" s="61">
        <f t="shared" si="1690"/>
        <v>12807.451541701952</v>
      </c>
      <c r="BO929" s="113">
        <f>INDEX('Dist Plant Depreciation'!$E$7:$AD$94,MATCH($C929,'Dist Plant Depreciation'!$D$7:$D$94,0),MATCH(Calculation!$G929,'Dist Plant Depreciation'!$E$5:$AD$5,0))</f>
        <v>1128002</v>
      </c>
      <c r="BP929" s="113">
        <f>INDEX('Gen. Plant Depreciation'!$E$7:$AD$94,MATCH($C929,'Gen. Plant Depreciation'!$D$7:$D$94,0),MATCH(Calculation!$G929,'Gen. Plant Depreciation'!$E$5:$AD$5,0))</f>
        <v>31961</v>
      </c>
      <c r="BQ929" s="113"/>
      <c r="BR929" s="113"/>
      <c r="BS929" s="113"/>
      <c r="BT929" s="113"/>
      <c r="BU929" s="113"/>
      <c r="BV929" s="175"/>
      <c r="BW929" s="113">
        <f>INDEX('Gross Dx Plant'!$E$7:$AD$91,MATCH($C929,'Gross Dx Plant'!$D$7:$D$91,0),MATCH(Calculation!$G929,'Gross Dx Plant'!$E$5:$AD$5,0))</f>
        <v>2731577</v>
      </c>
      <c r="BX929" s="113">
        <f>INDEX('Gross Gen Plant'!$E$7:$AD$91,MATCH($C929,'Gross Gen Plant'!$D$7:$D$91,0),MATCH(Calculation!$G929,'Gross Gen Plant'!$E$5:$AD$5,0))</f>
        <v>105904</v>
      </c>
      <c r="BY929" s="113">
        <f t="shared" si="1605"/>
        <v>1677518</v>
      </c>
      <c r="BZ929" s="113"/>
      <c r="CA929" s="116">
        <v>1999</v>
      </c>
      <c r="CB929" s="113"/>
      <c r="CC929" s="113"/>
      <c r="CD929" s="113"/>
      <c r="CE929" s="175"/>
      <c r="CF929" s="113">
        <f t="shared" ref="CF929:CF949" si="1697">+BL929+BK929</f>
        <v>140602</v>
      </c>
      <c r="CG929" s="113">
        <f t="shared" ref="CG929:CG951" si="1698">+CF929/$DE929</f>
        <v>419.3006891164186</v>
      </c>
      <c r="CH929" s="178">
        <v>0.99502487562189057</v>
      </c>
      <c r="CI929" s="61">
        <f>+CI928*CH929+CG929</f>
        <v>8120.4950168357536</v>
      </c>
      <c r="CJ929" s="114">
        <f t="shared" ref="CJ929:CJ950" si="1699">LN(CI929/CI928)</f>
        <v>4.8028149141169624E-2</v>
      </c>
      <c r="CK929" s="114"/>
      <c r="CL929" s="169">
        <f t="shared" ref="CL929:CL952" si="1700">+(CI928-CI929+CG929)/CI928</f>
        <v>4.9751243781094544E-3</v>
      </c>
      <c r="CM929" s="169"/>
      <c r="CN929" s="114">
        <f>VLOOKUP($H929,RoR!$E:$F,2,FALSE)</f>
        <v>7.0416666666666669E-2</v>
      </c>
      <c r="CO929" s="169">
        <v>1.4335631817396832E-2</v>
      </c>
      <c r="CP929" s="169">
        <f>+CN929-CO929</f>
        <v>5.6081034849269837E-2</v>
      </c>
      <c r="CQ929" s="169"/>
      <c r="CR929" s="169"/>
      <c r="CS929" s="179">
        <f t="shared" ref="CS929:CS952" si="1701">1-CX929*CY929</f>
        <v>0.84885500000000003</v>
      </c>
      <c r="CT929" s="180">
        <f t="shared" ref="CT929:CT952" si="1702">2/(DC929*39)</f>
        <v>0.72826581702321336</v>
      </c>
      <c r="CU929" s="180">
        <f t="shared" ref="CU929:CU952" si="1703">+(DC929*40-(1+DC929))/(DC929*40)</f>
        <v>0.61997041420118348</v>
      </c>
      <c r="CV929" s="180">
        <f t="shared" ref="CV929:CV952" si="1704">+(1-(1/(1+DC929)^40))</f>
        <v>0.93425155319585029</v>
      </c>
      <c r="CW929" s="180">
        <f t="shared" ref="CW929:CW952" si="1705">+CV929*CU929*CT929</f>
        <v>0.42181762214141483</v>
      </c>
      <c r="CX929" s="181">
        <f>INDEX('State Tax Lookup'!$D$7:$Z$91,MATCH(Calculation!$C929,'State Tax Lookup'!$B$7:$B$91,0),MATCH($H929,'State Tax Lookup'!$D$6:$Z$6,0))</f>
        <v>0.40849999999999997</v>
      </c>
      <c r="CY929" s="72">
        <v>0.37</v>
      </c>
      <c r="CZ929" s="70"/>
      <c r="DA929" s="70"/>
      <c r="DB929" s="69"/>
      <c r="DC929" s="111">
        <f>VLOOKUP($H929,RoR!$E:$F,2,FALSE)</f>
        <v>7.0416666666666669E-2</v>
      </c>
      <c r="DD929" s="216">
        <f>HLOOKUP($H929,'GDP-PI'!$D$8:$CQ$11,3,FALSE)</f>
        <v>1.4335631817396832E-2</v>
      </c>
      <c r="DE929" s="111">
        <f>VLOOKUP(H929,'HW Dx Data'!$E:$F,2,FALSE)</f>
        <v>335.32499146683239</v>
      </c>
      <c r="DF929" s="66"/>
      <c r="DG929" s="69"/>
      <c r="DH929" s="66">
        <f>HLOOKUP(H929,'GDP-PI'!$8:$9,2,FALSE)</f>
        <v>76.346000000000004</v>
      </c>
      <c r="DI929"/>
      <c r="EB929"/>
    </row>
    <row r="930" spans="1:132" s="160" customFormat="1" ht="21">
      <c r="A930" s="160" t="s">
        <v>216</v>
      </c>
      <c r="B930" s="160" t="s">
        <v>216</v>
      </c>
      <c r="C930" s="160">
        <v>4057095</v>
      </c>
      <c r="D930" s="161" t="s">
        <v>196</v>
      </c>
      <c r="E930" s="161" t="s">
        <v>3</v>
      </c>
      <c r="F930" s="189"/>
      <c r="G930" s="160" t="s">
        <v>107</v>
      </c>
      <c r="H930" s="162">
        <v>2000</v>
      </c>
      <c r="I930" s="163"/>
      <c r="J930" s="159"/>
      <c r="K930" s="159"/>
      <c r="L930" s="159"/>
      <c r="M930" s="60"/>
      <c r="N930" s="152"/>
      <c r="O930" s="60"/>
      <c r="P930" s="60"/>
      <c r="Q930" s="159"/>
      <c r="R930" s="159"/>
      <c r="S930" s="159"/>
      <c r="T930" s="159"/>
      <c r="U930" s="159"/>
      <c r="V930" s="159"/>
      <c r="W930" s="159">
        <f t="shared" si="1695"/>
        <v>0</v>
      </c>
      <c r="X930" s="163"/>
      <c r="Y930" s="167">
        <v>8506.3193361094363</v>
      </c>
      <c r="Z930" s="168">
        <v>4.6418223600297001E-2</v>
      </c>
      <c r="AA930" s="78"/>
      <c r="AB930" s="168"/>
      <c r="AC930" s="168"/>
      <c r="AD930" s="163">
        <f t="shared" si="1645"/>
        <v>0</v>
      </c>
      <c r="AE930" s="168"/>
      <c r="AF930" s="163"/>
      <c r="AG930" s="163"/>
      <c r="AH930" s="163"/>
      <c r="AI930" s="163"/>
      <c r="AJ930" s="167"/>
      <c r="AK930" s="168"/>
      <c r="AL930" s="115"/>
      <c r="AM930" s="115"/>
      <c r="AN930" s="115"/>
      <c r="AO930" s="115"/>
      <c r="AP930" s="115"/>
      <c r="AQ930" s="168"/>
      <c r="AR930" s="79"/>
      <c r="AS930" s="115"/>
      <c r="AT930" s="115"/>
      <c r="AU930" s="115"/>
      <c r="AV930" s="113">
        <f>IFERROR(INDEX('Total Customers'!$F$7:$AB$91,MATCH($C930,'Total Customers'!$D$7:$D$91,0),MATCH($G930,'Total Customers'!$F$5:$AB$5,0)),"NA")</f>
        <v>1621128</v>
      </c>
      <c r="AW930" s="68">
        <f t="shared" si="1646"/>
        <v>3.2114739067329742E-2</v>
      </c>
      <c r="AX930" s="114"/>
      <c r="AY930" s="114"/>
      <c r="AZ930" s="116"/>
      <c r="BA930" s="116"/>
      <c r="BB930" s="166"/>
      <c r="BC930" s="166"/>
      <c r="BD930" s="166"/>
      <c r="BE930" s="166"/>
      <c r="BF930" s="166"/>
      <c r="BG930" s="166"/>
      <c r="BH930" s="166"/>
      <c r="BI930" s="113"/>
      <c r="BJ930" s="113"/>
      <c r="BK930" s="113">
        <f>INDEX('Dist. Plant Gas Additions'!$F$7:$AE$91,MATCH($C930,'Dist. Plant Gas Additions'!$D$7:$D$91,0),MATCH(Calculation!$G930,'Dist. Plant Gas Additions'!$F$5:$AE$5,0))</f>
        <v>135607</v>
      </c>
      <c r="BL930" s="113">
        <f>INDEX('Gen. Plant Additions'!$F$7:$AE$91,MATCH($C930,'Gen. Plant Additions'!$D$7:$D$91,0),MATCH(Calculation!$G930,'Gen. Plant Additions'!$F$5:$AE$5,0))</f>
        <v>12565</v>
      </c>
      <c r="BM930" s="231">
        <f t="shared" si="1696"/>
        <v>0.96041962165414829</v>
      </c>
      <c r="BN930" s="61">
        <f t="shared" si="1690"/>
        <v>12067.672546084374</v>
      </c>
      <c r="BO930" s="113">
        <f>INDEX('Dist Plant Depreciation'!$E$7:$AD$94,MATCH($C930,'Dist Plant Depreciation'!$D$7:$D$94,0),MATCH(Calculation!$G930,'Dist Plant Depreciation'!$E$5:$AD$5,0))</f>
        <v>1190833</v>
      </c>
      <c r="BP930" s="113">
        <f>INDEX('Gen. Plant Depreciation'!$E$7:$AD$94,MATCH($C930,'Gen. Plant Depreciation'!$D$7:$D$94,0),MATCH(Calculation!$G930,'Gen. Plant Depreciation'!$E$5:$AD$5,0))</f>
        <v>38646</v>
      </c>
      <c r="BQ930" s="113"/>
      <c r="BR930" s="113"/>
      <c r="BS930" s="113"/>
      <c r="BT930" s="113"/>
      <c r="BU930" s="113"/>
      <c r="BV930" s="175"/>
      <c r="BW930" s="113">
        <f>INDEX('Gross Dx Plant'!$E$7:$AD$91,MATCH($C930,'Gross Dx Plant'!$D$7:$D$91,0),MATCH(Calculation!$G930,'Gross Dx Plant'!$E$5:$AD$5,0))</f>
        <v>2860145</v>
      </c>
      <c r="BX930" s="113">
        <f>INDEX('Gross Gen Plant'!$E$7:$AD$91,MATCH($C930,'Gross Gen Plant'!$D$7:$D$91,0),MATCH(Calculation!$G930,'Gross Gen Plant'!$E$5:$AD$5,0))</f>
        <v>117871</v>
      </c>
      <c r="BY930" s="113">
        <f t="shared" si="1605"/>
        <v>1748537</v>
      </c>
      <c r="BZ930" s="113"/>
      <c r="CA930" s="116">
        <v>2000</v>
      </c>
      <c r="CB930" s="113"/>
      <c r="CC930" s="113"/>
      <c r="CD930" s="113"/>
      <c r="CE930" s="175"/>
      <c r="CF930" s="113">
        <f t="shared" si="1697"/>
        <v>148172</v>
      </c>
      <c r="CG930" s="113">
        <f t="shared" si="1698"/>
        <v>427.58321161787251</v>
      </c>
      <c r="CH930" s="178">
        <v>0.98989898989898994</v>
      </c>
      <c r="CI930" s="61">
        <f>+CI928*CH930+CG929*CH929+CG930</f>
        <v>8506.3193361094363</v>
      </c>
      <c r="CJ930" s="114">
        <f t="shared" si="1699"/>
        <v>4.6418223600297001E-2</v>
      </c>
      <c r="CK930" s="114"/>
      <c r="CL930" s="169">
        <f t="shared" si="1700"/>
        <v>5.1424072371959468E-3</v>
      </c>
      <c r="CM930" s="169"/>
      <c r="CN930" s="114">
        <f>VLOOKUP($H930,RoR!$E:$F,2,FALSE)</f>
        <v>7.6225000000000001E-2</v>
      </c>
      <c r="CO930" s="169">
        <v>2.2568307442433211E-2</v>
      </c>
      <c r="CP930" s="169">
        <f t="shared" ref="CP930:CP950" si="1706">+CN930-CO930</f>
        <v>5.365669255756679E-2</v>
      </c>
      <c r="CQ930" s="169"/>
      <c r="CR930" s="169"/>
      <c r="CS930" s="179">
        <f t="shared" si="1701"/>
        <v>0.84885500000000003</v>
      </c>
      <c r="CT930" s="180">
        <f t="shared" si="1702"/>
        <v>0.67277207323124022</v>
      </c>
      <c r="CU930" s="180">
        <f t="shared" si="1703"/>
        <v>0.6470236142997704</v>
      </c>
      <c r="CV930" s="180">
        <f t="shared" si="1704"/>
        <v>0.94704866037543145</v>
      </c>
      <c r="CW930" s="180">
        <f t="shared" si="1705"/>
        <v>0.41224973107878493</v>
      </c>
      <c r="CX930" s="181">
        <f>INDEX('State Tax Lookup'!$D$7:$Z$91,MATCH(Calculation!$C930,'State Tax Lookup'!$B$7:$B$91,0),MATCH($H930,'State Tax Lookup'!$D$6:$Z$6,0))</f>
        <v>0.40849999999999997</v>
      </c>
      <c r="CY930" s="72">
        <v>0.37</v>
      </c>
      <c r="CZ930" s="70"/>
      <c r="DA930" s="70"/>
      <c r="DB930" s="69"/>
      <c r="DC930" s="111">
        <f>VLOOKUP($H930,RoR!$E:$F,2,FALSE)</f>
        <v>7.6225000000000001E-2</v>
      </c>
      <c r="DD930" s="216">
        <f>HLOOKUP($H930,'GDP-PI'!$D$8:$CQ$11,3,FALSE)</f>
        <v>2.2568307442433211E-2</v>
      </c>
      <c r="DE930" s="111">
        <f>VLOOKUP(H930,'HW Dx Data'!$E:$F,2,FALSE)</f>
        <v>346.53371782150339</v>
      </c>
      <c r="DF930" s="66"/>
      <c r="DG930" s="69"/>
      <c r="DH930" s="66">
        <f>HLOOKUP(H930,'GDP-PI'!$8:$9,2,FALSE)</f>
        <v>78.069000000000003</v>
      </c>
      <c r="DI930"/>
      <c r="EB930"/>
    </row>
    <row r="931" spans="1:132" s="160" customFormat="1" ht="21">
      <c r="A931" s="160" t="s">
        <v>216</v>
      </c>
      <c r="B931" s="160" t="s">
        <v>216</v>
      </c>
      <c r="C931" s="160">
        <v>4057095</v>
      </c>
      <c r="D931" s="161" t="s">
        <v>196</v>
      </c>
      <c r="E931" s="161" t="s">
        <v>3</v>
      </c>
      <c r="F931" s="189"/>
      <c r="G931" s="160" t="s">
        <v>111</v>
      </c>
      <c r="H931" s="162">
        <v>2001</v>
      </c>
      <c r="I931" s="163"/>
      <c r="J931" s="159"/>
      <c r="K931" s="159"/>
      <c r="L931" s="159"/>
      <c r="M931" s="60"/>
      <c r="N931" s="152"/>
      <c r="O931" s="60"/>
      <c r="P931" s="60"/>
      <c r="Q931" s="159"/>
      <c r="R931" s="159"/>
      <c r="S931" s="159"/>
      <c r="T931" s="159"/>
      <c r="U931" s="159"/>
      <c r="V931" s="159"/>
      <c r="W931" s="159">
        <f t="shared" si="1695"/>
        <v>111209.917950006</v>
      </c>
      <c r="X931" s="163"/>
      <c r="Y931" s="167">
        <v>8885.7439393530549</v>
      </c>
      <c r="Z931" s="168">
        <v>4.3638849330242577E-2</v>
      </c>
      <c r="AA931" s="78"/>
      <c r="AB931" s="168"/>
      <c r="AC931" s="168"/>
      <c r="AD931" s="163">
        <f t="shared" si="1645"/>
        <v>111209.917950006</v>
      </c>
      <c r="AE931" s="168"/>
      <c r="AF931" s="163"/>
      <c r="AG931" s="163"/>
      <c r="AH931" s="163"/>
      <c r="AI931" s="163"/>
      <c r="AJ931" s="167"/>
      <c r="AK931" s="168"/>
      <c r="AL931" s="115"/>
      <c r="AM931" s="115"/>
      <c r="AN931" s="115"/>
      <c r="AO931" s="115"/>
      <c r="AP931" s="115"/>
      <c r="AQ931" s="168"/>
      <c r="AR931" s="79"/>
      <c r="AS931" s="115"/>
      <c r="AT931" s="115"/>
      <c r="AU931" s="115"/>
      <c r="AV931" s="113">
        <f>IFERROR(INDEX('Total Customers'!$F$7:$AB$91,MATCH($C931,'Total Customers'!$D$7:$D$91,0),MATCH($G931,'Total Customers'!$F$5:$AB$5,0)),"NA")</f>
        <v>1679196</v>
      </c>
      <c r="AW931" s="68">
        <f t="shared" si="1646"/>
        <v>3.5192904195948782E-2</v>
      </c>
      <c r="AX931" s="114"/>
      <c r="AY931" s="114"/>
      <c r="AZ931" s="116"/>
      <c r="BA931" s="116"/>
      <c r="BB931" s="166"/>
      <c r="BC931" s="166"/>
      <c r="BD931" s="166"/>
      <c r="BE931" s="166"/>
      <c r="BF931" s="166"/>
      <c r="BG931" s="166"/>
      <c r="BH931" s="166"/>
      <c r="BI931" s="113"/>
      <c r="BJ931" s="113"/>
      <c r="BK931" s="113">
        <f>INDEX('Dist. Plant Gas Additions'!$F$7:$AE$91,MATCH($C931,'Dist. Plant Gas Additions'!$D$7:$D$91,0),MATCH(Calculation!$G931,'Dist. Plant Gas Additions'!$F$5:$AE$5,0))</f>
        <v>135898</v>
      </c>
      <c r="BL931" s="113">
        <f>INDEX('Gen. Plant Additions'!$F$7:$AE$91,MATCH($C931,'Gen. Plant Additions'!$D$7:$D$91,0),MATCH(Calculation!$G931,'Gen. Plant Additions'!$F$5:$AE$5,0))</f>
        <v>13422</v>
      </c>
      <c r="BM931" s="231">
        <f t="shared" si="1696"/>
        <v>0.95869198990880888</v>
      </c>
      <c r="BN931" s="61">
        <f t="shared" si="1690"/>
        <v>12867.563888556033</v>
      </c>
      <c r="BO931" s="113">
        <f>INDEX('Dist Plant Depreciation'!$E$7:$AD$94,MATCH($C931,'Dist Plant Depreciation'!$D$7:$D$94,0),MATCH(Calculation!$G931,'Dist Plant Depreciation'!$E$5:$AD$5,0))</f>
        <v>1240309</v>
      </c>
      <c r="BP931" s="113">
        <f>INDEX('Gen. Plant Depreciation'!$E$7:$AD$94,MATCH($C931,'Gen. Plant Depreciation'!$D$7:$D$94,0),MATCH(Calculation!$G931,'Gen. Plant Depreciation'!$E$5:$AD$5,0))</f>
        <v>40967</v>
      </c>
      <c r="BQ931" s="113"/>
      <c r="BR931" s="113"/>
      <c r="BS931" s="113"/>
      <c r="BT931" s="113"/>
      <c r="BU931" s="113"/>
      <c r="BV931" s="175"/>
      <c r="BW931" s="113">
        <f>INDEX('Gross Dx Plant'!$E$7:$AD$91,MATCH($C931,'Gross Dx Plant'!$D$7:$D$91,0),MATCH(Calculation!$G931,'Gross Dx Plant'!$E$5:$AD$5,0))</f>
        <v>2992210</v>
      </c>
      <c r="BX931" s="113">
        <f>INDEX('Gross Gen Plant'!$E$7:$AD$91,MATCH($C931,'Gross Gen Plant'!$D$7:$D$91,0),MATCH(Calculation!$G931,'Gross Gen Plant'!$E$5:$AD$5,0))</f>
        <v>128928</v>
      </c>
      <c r="BY931" s="113">
        <f t="shared" si="1605"/>
        <v>1839862</v>
      </c>
      <c r="BZ931" s="113"/>
      <c r="CA931" s="116">
        <v>2001</v>
      </c>
      <c r="CB931" s="113"/>
      <c r="CC931" s="113"/>
      <c r="CD931" s="113"/>
      <c r="CE931" s="175"/>
      <c r="CF931" s="113">
        <f t="shared" si="1697"/>
        <v>149320</v>
      </c>
      <c r="CG931" s="113">
        <f t="shared" si="1698"/>
        <v>422.46741205477161</v>
      </c>
      <c r="CH931" s="178">
        <v>0.98461538461538467</v>
      </c>
      <c r="CI931" s="61">
        <f>+CI928*CH931+CG929*CH930+CG930*CH928+CG931</f>
        <v>8885.7439393530549</v>
      </c>
      <c r="CJ931" s="114">
        <f t="shared" si="1699"/>
        <v>4.3638849330242577E-2</v>
      </c>
      <c r="CK931" s="114"/>
      <c r="CL931" s="169">
        <f t="shared" si="1700"/>
        <v>5.0600979237207548E-3</v>
      </c>
      <c r="CM931" s="169">
        <f>+(CL931+CL930+CL929)/3</f>
        <v>5.0592098463420514E-3</v>
      </c>
      <c r="CN931" s="114">
        <f>VLOOKUP($H931,RoR!$E:$F,2,FALSE)</f>
        <v>7.0824999999999999E-2</v>
      </c>
      <c r="CO931" s="169">
        <v>2.2454495382290052E-2</v>
      </c>
      <c r="CP931" s="169">
        <f t="shared" si="1706"/>
        <v>4.8370504617709947E-2</v>
      </c>
      <c r="CQ931" s="169">
        <f>+$CP$2-CM931</f>
        <v>2.5842731762191574E-2</v>
      </c>
      <c r="CR931" s="169">
        <f>+((DE929/DE928-1)+(DE930/DE929-1)+(DE931/DE930-1))/3</f>
        <v>2.3947275901631187E-2</v>
      </c>
      <c r="CS931" s="179">
        <f t="shared" si="1701"/>
        <v>0.84885500000000003</v>
      </c>
      <c r="CT931" s="180">
        <f t="shared" si="1702"/>
        <v>0.72406708481540816</v>
      </c>
      <c r="CU931" s="180">
        <f t="shared" si="1703"/>
        <v>0.62201729615248857</v>
      </c>
      <c r="CV931" s="180">
        <f t="shared" si="1704"/>
        <v>0.9352469954311422</v>
      </c>
      <c r="CW931" s="180">
        <f t="shared" si="1705"/>
        <v>0.42121864641655071</v>
      </c>
      <c r="CX931" s="181">
        <f>INDEX('State Tax Lookup'!$D$7:$Z$91,MATCH(Calculation!$C931,'State Tax Lookup'!$B$7:$B$91,0),MATCH($H931,'State Tax Lookup'!$D$6:$Z$6,0))</f>
        <v>0.40849999999999997</v>
      </c>
      <c r="CY931" s="72">
        <v>0.37</v>
      </c>
      <c r="CZ931" s="70">
        <f t="shared" ref="CZ931:CZ952" si="1707">+(DE931*CQ931-CR931)*CS931/(1-CX931)</f>
        <v>13.073800025108209</v>
      </c>
      <c r="DA931" s="70"/>
      <c r="DB931" s="69"/>
      <c r="DC931" s="111">
        <f>VLOOKUP($H931,RoR!$E:$F,2,FALSE)</f>
        <v>7.0824999999999999E-2</v>
      </c>
      <c r="DD931" s="216">
        <f>HLOOKUP($H931,'GDP-PI'!$D$8:$CQ$11,3,FALSE)</f>
        <v>2.2454495382290052E-2</v>
      </c>
      <c r="DE931" s="111">
        <f>VLOOKUP(H931,'HW Dx Data'!$E:$F,2,FALSE)</f>
        <v>353.44738017483138</v>
      </c>
      <c r="DF931" s="66"/>
      <c r="DG931" s="69"/>
      <c r="DH931" s="66">
        <f>HLOOKUP(H931,'GDP-PI'!$8:$9,2,FALSE)</f>
        <v>79.822000000000003</v>
      </c>
      <c r="DI931"/>
      <c r="EB931"/>
    </row>
    <row r="932" spans="1:132" s="160" customFormat="1" ht="21">
      <c r="A932" s="160" t="s">
        <v>216</v>
      </c>
      <c r="B932" s="160" t="s">
        <v>216</v>
      </c>
      <c r="C932" s="160">
        <v>4057095</v>
      </c>
      <c r="D932" s="161" t="s">
        <v>196</v>
      </c>
      <c r="E932" s="161" t="s">
        <v>3</v>
      </c>
      <c r="F932" s="189"/>
      <c r="G932" s="160" t="s">
        <v>113</v>
      </c>
      <c r="H932" s="162">
        <v>2002</v>
      </c>
      <c r="I932" s="163"/>
      <c r="J932" s="159"/>
      <c r="K932" s="159"/>
      <c r="L932" s="159"/>
      <c r="M932" s="60"/>
      <c r="N932" s="152"/>
      <c r="O932" s="60"/>
      <c r="P932" s="60"/>
      <c r="Q932" s="159"/>
      <c r="R932" s="159"/>
      <c r="S932" s="159"/>
      <c r="T932" s="159"/>
      <c r="U932" s="159"/>
      <c r="V932" s="159"/>
      <c r="W932" s="159">
        <f t="shared" si="1695"/>
        <v>117616.69815950838</v>
      </c>
      <c r="X932" s="163"/>
      <c r="Y932" s="167">
        <v>9276.3775146530061</v>
      </c>
      <c r="Z932" s="168">
        <v>4.3022928655203796E-2</v>
      </c>
      <c r="AA932" s="78"/>
      <c r="AB932" s="168"/>
      <c r="AC932" s="168"/>
      <c r="AD932" s="163">
        <f t="shared" si="1645"/>
        <v>117616.69815950838</v>
      </c>
      <c r="AE932" s="168"/>
      <c r="AF932" s="163"/>
      <c r="AG932" s="163"/>
      <c r="AH932" s="163"/>
      <c r="AI932" s="163"/>
      <c r="AJ932" s="167"/>
      <c r="AK932" s="168"/>
      <c r="AL932" s="115"/>
      <c r="AM932" s="115"/>
      <c r="AN932" s="115"/>
      <c r="AO932" s="115"/>
      <c r="AP932" s="115"/>
      <c r="AQ932" s="168"/>
      <c r="AR932" s="79"/>
      <c r="AS932" s="115"/>
      <c r="AT932" s="115"/>
      <c r="AU932" s="115"/>
      <c r="AV932" s="113">
        <f>IFERROR(INDEX('Total Customers'!$F$7:$AB$91,MATCH($C932,'Total Customers'!$D$7:$D$91,0),MATCH($G932,'Total Customers'!$F$5:$AB$5,0)),"NA")</f>
        <v>1665668</v>
      </c>
      <c r="AW932" s="68">
        <f t="shared" si="1646"/>
        <v>-8.0888632608150136E-3</v>
      </c>
      <c r="AX932" s="114"/>
      <c r="AY932" s="114"/>
      <c r="AZ932" s="116"/>
      <c r="BA932" s="116"/>
      <c r="BB932" s="166"/>
      <c r="BC932" s="166"/>
      <c r="BD932" s="166"/>
      <c r="BE932" s="166"/>
      <c r="BF932" s="166"/>
      <c r="BG932" s="166"/>
      <c r="BH932" s="166"/>
      <c r="BI932" s="113"/>
      <c r="BJ932" s="113"/>
      <c r="BK932" s="113">
        <f>INDEX('Dist. Plant Gas Additions'!$F$7:$AE$91,MATCH($C932,'Dist. Plant Gas Additions'!$D$7:$D$91,0),MATCH(Calculation!$G932,'Dist. Plant Gas Additions'!$F$5:$AE$5,0))</f>
        <v>150814</v>
      </c>
      <c r="BL932" s="113">
        <f>INDEX('Gen. Plant Additions'!$F$7:$AE$91,MATCH($C932,'Gen. Plant Additions'!$D$7:$D$91,0),MATCH(Calculation!$G932,'Gen. Plant Additions'!$F$5:$AE$5,0))</f>
        <v>8700</v>
      </c>
      <c r="BM932" s="231">
        <f t="shared" si="1696"/>
        <v>0.95983210386815321</v>
      </c>
      <c r="BN932" s="61">
        <f t="shared" si="1690"/>
        <v>8350.5393036529331</v>
      </c>
      <c r="BO932" s="113">
        <f>INDEX('Dist Plant Depreciation'!$E$7:$AD$94,MATCH($C932,'Dist Plant Depreciation'!$D$7:$D$94,0),MATCH(Calculation!$G932,'Dist Plant Depreciation'!$E$5:$AD$5,0))</f>
        <v>1330164</v>
      </c>
      <c r="BP932" s="113">
        <f>INDEX('Gen. Plant Depreciation'!$E$7:$AD$94,MATCH($C932,'Gen. Plant Depreciation'!$D$7:$D$94,0),MATCH(Calculation!$G932,'Gen. Plant Depreciation'!$E$5:$AD$5,0))</f>
        <v>55396</v>
      </c>
      <c r="BQ932" s="113"/>
      <c r="BR932" s="113"/>
      <c r="BS932" s="113"/>
      <c r="BT932" s="113"/>
      <c r="BU932" s="113"/>
      <c r="BV932" s="175"/>
      <c r="BW932" s="113">
        <f>INDEX('Gross Dx Plant'!$E$7:$AD$91,MATCH($C932,'Gross Dx Plant'!$D$7:$D$91,0),MATCH(Calculation!$G932,'Gross Dx Plant'!$E$5:$AD$5,0))</f>
        <v>3139678</v>
      </c>
      <c r="BX932" s="113">
        <f>INDEX('Gross Gen Plant'!$E$7:$AD$91,MATCH($C932,'Gross Gen Plant'!$D$7:$D$91,0),MATCH(Calculation!$G932,'Gross Gen Plant'!$E$5:$AD$5,0))</f>
        <v>131392</v>
      </c>
      <c r="BY932" s="113">
        <f t="shared" si="1605"/>
        <v>1885510</v>
      </c>
      <c r="BZ932" s="113"/>
      <c r="CA932" s="116">
        <v>2002</v>
      </c>
      <c r="CB932" s="113"/>
      <c r="CC932" s="113"/>
      <c r="CD932" s="113"/>
      <c r="CE932" s="175"/>
      <c r="CF932" s="113">
        <f t="shared" si="1697"/>
        <v>159514</v>
      </c>
      <c r="CG932" s="113">
        <f t="shared" si="1698"/>
        <v>441.44128883544232</v>
      </c>
      <c r="CH932" s="178">
        <v>0.97916666666666663</v>
      </c>
      <c r="CI932" s="61">
        <f>+CI928*CH932+CG929*CH931+CG930*CH930+CG931*CH929+CG932</f>
        <v>9276.3775146530061</v>
      </c>
      <c r="CJ932" s="114">
        <f t="shared" si="1699"/>
        <v>4.3022928655203796E-2</v>
      </c>
      <c r="CK932" s="114"/>
      <c r="CL932" s="169">
        <f t="shared" si="1700"/>
        <v>5.7178908015202484E-3</v>
      </c>
      <c r="CM932" s="169">
        <f t="shared" ref="CM932:CM952" si="1708">+(CL932+CL931+CL930)/3</f>
        <v>5.3067986541456497E-3</v>
      </c>
      <c r="CN932" s="114">
        <f>VLOOKUP($H932,RoR!$E:$F,2,FALSE)</f>
        <v>6.4916666666666664E-2</v>
      </c>
      <c r="CO932" s="169">
        <v>1.5246423291824351E-2</v>
      </c>
      <c r="CP932" s="169">
        <f t="shared" si="1706"/>
        <v>4.9670243374842313E-2</v>
      </c>
      <c r="CQ932" s="169">
        <f t="shared" ref="CQ932:CQ952" si="1709">+$CP$2-CM932</f>
        <v>2.5595142954387976E-2</v>
      </c>
      <c r="CR932" s="169">
        <f t="shared" ref="CR932:CR952" si="1710">+((DE930/DE929-1)+(DE931/DE930-1)+(DE932/DE931-1))/3</f>
        <v>2.5243621214759093E-2</v>
      </c>
      <c r="CS932" s="179">
        <f t="shared" si="1701"/>
        <v>0.84885500000000003</v>
      </c>
      <c r="CT932" s="180">
        <f t="shared" si="1702"/>
        <v>0.78996741384417901</v>
      </c>
      <c r="CU932" s="180">
        <f t="shared" si="1703"/>
        <v>0.58989088575096271</v>
      </c>
      <c r="CV932" s="180">
        <f t="shared" si="1704"/>
        <v>0.91920675783645744</v>
      </c>
      <c r="CW932" s="180">
        <f t="shared" si="1705"/>
        <v>0.42834536472275586</v>
      </c>
      <c r="CX932" s="181">
        <f>INDEX('State Tax Lookup'!$D$7:$Z$91,MATCH(Calculation!$C932,'State Tax Lookup'!$B$7:$B$91,0),MATCH($H932,'State Tax Lookup'!$D$6:$Z$6,0))</f>
        <v>0.40849999999999997</v>
      </c>
      <c r="CY932" s="72">
        <v>0.37</v>
      </c>
      <c r="CZ932" s="70">
        <f t="shared" si="1707"/>
        <v>13.236561728794506</v>
      </c>
      <c r="DA932" s="70"/>
      <c r="DB932" s="69">
        <f>LN(CZ932/CZ931)</f>
        <v>1.2372599169608211E-2</v>
      </c>
      <c r="DC932" s="111">
        <f>VLOOKUP($H932,RoR!$E:$F,2,FALSE)</f>
        <v>6.4916666666666664E-2</v>
      </c>
      <c r="DD932" s="216">
        <f>HLOOKUP($H932,'GDP-PI'!$D$8:$CQ$11,3,FALSE)</f>
        <v>1.5246423291824351E-2</v>
      </c>
      <c r="DE932" s="111">
        <f>VLOOKUP(H932,'HW Dx Data'!$E:$F,2,FALSE)</f>
        <v>361.34816573413599</v>
      </c>
      <c r="DF932" s="66"/>
      <c r="DG932" s="69"/>
      <c r="DH932" s="66">
        <f>HLOOKUP(H932,'GDP-PI'!$8:$9,2,FALSE)</f>
        <v>81.039000000000001</v>
      </c>
      <c r="DI932" s="69">
        <f>LN(DH932/DH931)</f>
        <v>1.513136459537477E-2</v>
      </c>
      <c r="EB932"/>
    </row>
    <row r="933" spans="1:132" s="160" customFormat="1" ht="21">
      <c r="A933" s="160" t="s">
        <v>216</v>
      </c>
      <c r="B933" s="160" t="s">
        <v>216</v>
      </c>
      <c r="C933" s="160">
        <v>4057095</v>
      </c>
      <c r="D933" s="161" t="s">
        <v>196</v>
      </c>
      <c r="E933" s="161" t="s">
        <v>3</v>
      </c>
      <c r="F933" s="189"/>
      <c r="G933" s="160" t="s">
        <v>114</v>
      </c>
      <c r="H933" s="162">
        <v>2003</v>
      </c>
      <c r="I933" s="163"/>
      <c r="J933" s="159"/>
      <c r="K933" s="159"/>
      <c r="L933" s="159"/>
      <c r="M933" s="76"/>
      <c r="N933" s="152"/>
      <c r="O933" s="76"/>
      <c r="P933" s="76"/>
      <c r="Q933" s="159"/>
      <c r="R933" s="159"/>
      <c r="S933" s="159"/>
      <c r="T933" s="159"/>
      <c r="U933" s="159"/>
      <c r="V933" s="159"/>
      <c r="W933" s="159">
        <f t="shared" si="1695"/>
        <v>124693.0497128538</v>
      </c>
      <c r="X933" s="163"/>
      <c r="Y933" s="167">
        <v>9671.3187932265409</v>
      </c>
      <c r="Z933" s="168">
        <v>4.1693563458598884E-2</v>
      </c>
      <c r="AA933" s="78"/>
      <c r="AB933" s="168"/>
      <c r="AC933" s="168"/>
      <c r="AD933" s="163">
        <f t="shared" si="1645"/>
        <v>124693.0497128538</v>
      </c>
      <c r="AE933" s="168"/>
      <c r="AF933" s="163"/>
      <c r="AG933" s="163"/>
      <c r="AH933" s="163"/>
      <c r="AI933" s="163"/>
      <c r="AJ933" s="167"/>
      <c r="AK933" s="168"/>
      <c r="AL933" s="115"/>
      <c r="AM933" s="115"/>
      <c r="AN933" s="115"/>
      <c r="AO933" s="115"/>
      <c r="AP933" s="115"/>
      <c r="AQ933" s="168"/>
      <c r="AR933" s="79"/>
      <c r="AS933" s="115"/>
      <c r="AT933" s="115"/>
      <c r="AU933" s="115"/>
      <c r="AV933" s="113">
        <f>IFERROR(INDEX('Total Customers'!$F$7:$AB$91,MATCH($C933,'Total Customers'!$D$7:$D$91,0),MATCH($G933,'Total Customers'!$F$5:$AB$5,0)),"NA")</f>
        <v>1673702</v>
      </c>
      <c r="AW933" s="68">
        <f t="shared" si="1646"/>
        <v>4.8116953200956405E-3</v>
      </c>
      <c r="AX933" s="114"/>
      <c r="AY933" s="114"/>
      <c r="AZ933" s="116"/>
      <c r="BA933" s="116"/>
      <c r="BB933" s="166"/>
      <c r="BC933" s="166"/>
      <c r="BD933" s="166"/>
      <c r="BE933" s="166"/>
      <c r="BF933" s="166"/>
      <c r="BG933" s="166"/>
      <c r="BH933" s="166"/>
      <c r="BI933" s="113"/>
      <c r="BJ933" s="113"/>
      <c r="BK933" s="113">
        <f>INDEX('Dist. Plant Gas Additions'!$F$7:$AE$91,MATCH($C933,'Dist. Plant Gas Additions'!$D$7:$D$91,0),MATCH(Calculation!$G933,'Dist. Plant Gas Additions'!$F$5:$AE$5,0))</f>
        <v>153387</v>
      </c>
      <c r="BL933" s="113">
        <f>INDEX('Gen. Plant Additions'!$F$7:$AE$91,MATCH($C933,'Gen. Plant Additions'!$D$7:$D$91,0),MATCH(Calculation!$G933,'Gen. Plant Additions'!$F$5:$AE$5,0))</f>
        <v>11792</v>
      </c>
      <c r="BM933" s="231">
        <f t="shared" si="1696"/>
        <v>0.95911404235520747</v>
      </c>
      <c r="BN933" s="61">
        <f t="shared" si="1690"/>
        <v>11309.872787452607</v>
      </c>
      <c r="BO933" s="113">
        <f>INDEX('Dist Plant Depreciation'!$E$7:$AD$94,MATCH($C933,'Dist Plant Depreciation'!$D$7:$D$94,0),MATCH(Calculation!$G933,'Dist Plant Depreciation'!$E$5:$AD$5,0))</f>
        <v>1402820</v>
      </c>
      <c r="BP933" s="113">
        <f>INDEX('Gen. Plant Depreciation'!$E$7:$AD$94,MATCH($C933,'Gen. Plant Depreciation'!$D$7:$D$94,0),MATCH(Calculation!$G933,'Gen. Plant Depreciation'!$E$5:$AD$5,0))</f>
        <v>68552</v>
      </c>
      <c r="BQ933" s="113"/>
      <c r="BR933" s="113"/>
      <c r="BS933" s="113"/>
      <c r="BT933" s="113"/>
      <c r="BU933" s="113"/>
      <c r="BV933" s="175"/>
      <c r="BW933" s="113">
        <f>INDEX('Gross Dx Plant'!$E$7:$AD$91,MATCH($C933,'Gross Dx Plant'!$D$7:$D$91,0),MATCH(Calculation!$G933,'Gross Dx Plant'!$E$5:$AD$5,0))</f>
        <v>3290070</v>
      </c>
      <c r="BX933" s="113">
        <f>INDEX('Gross Gen Plant'!$E$7:$AD$91,MATCH($C933,'Gross Gen Plant'!$D$7:$D$91,0),MATCH(Calculation!$G933,'Gross Gen Plant'!$E$5:$AD$5,0))</f>
        <v>140252</v>
      </c>
      <c r="BY933" s="113">
        <f t="shared" si="1605"/>
        <v>1958950</v>
      </c>
      <c r="BZ933" s="113"/>
      <c r="CA933" s="116">
        <v>2003</v>
      </c>
      <c r="CB933" s="113"/>
      <c r="CC933" s="113"/>
      <c r="CD933" s="113"/>
      <c r="CE933" s="175"/>
      <c r="CF933" s="113">
        <f t="shared" si="1697"/>
        <v>165179</v>
      </c>
      <c r="CG933" s="113">
        <f t="shared" si="1698"/>
        <v>447.35707561061434</v>
      </c>
      <c r="CH933" s="178">
        <v>0.97354497354497349</v>
      </c>
      <c r="CI933" s="61">
        <f>+CI928*CH933+CG929*CH932+CG930*CH931+CG931*CH930+CG932*CH929+CG933</f>
        <v>9671.3187932265409</v>
      </c>
      <c r="CJ933" s="114">
        <f t="shared" si="1699"/>
        <v>4.1693563458598884E-2</v>
      </c>
      <c r="CK933" s="114"/>
      <c r="CL933" s="169">
        <f t="shared" si="1700"/>
        <v>5.6504596707371221E-3</v>
      </c>
      <c r="CM933" s="169">
        <f t="shared" si="1708"/>
        <v>5.4761494653260421E-3</v>
      </c>
      <c r="CN933" s="114">
        <f>VLOOKUP($H933,RoR!$E:$F,2,FALSE)</f>
        <v>5.6666666666666671E-2</v>
      </c>
      <c r="CO933" s="169">
        <v>1.8855119140166909E-2</v>
      </c>
      <c r="CP933" s="169">
        <f t="shared" si="1706"/>
        <v>3.7811547526499761E-2</v>
      </c>
      <c r="CQ933" s="169">
        <f t="shared" si="1709"/>
        <v>2.5425792143207584E-2</v>
      </c>
      <c r="CR933" s="169">
        <f t="shared" si="1710"/>
        <v>2.1375012817671957E-2</v>
      </c>
      <c r="CS933" s="179">
        <f t="shared" si="1701"/>
        <v>0.84885500000000003</v>
      </c>
      <c r="CT933" s="180">
        <f t="shared" si="1702"/>
        <v>0.90497737556561086</v>
      </c>
      <c r="CU933" s="180">
        <f t="shared" si="1703"/>
        <v>0.5338235294117647</v>
      </c>
      <c r="CV933" s="180">
        <f t="shared" si="1704"/>
        <v>0.88972433127405692</v>
      </c>
      <c r="CW933" s="180">
        <f t="shared" si="1705"/>
        <v>0.42982423775949252</v>
      </c>
      <c r="CX933" s="181">
        <f>INDEX('State Tax Lookup'!$D$7:$Z$91,MATCH(Calculation!$C933,'State Tax Lookup'!$B$7:$B$91,0),MATCH($H933,'State Tax Lookup'!$D$6:$Z$6,0))</f>
        <v>0.40849999999999997</v>
      </c>
      <c r="CY933" s="72">
        <v>0.37</v>
      </c>
      <c r="CZ933" s="70">
        <f t="shared" si="1707"/>
        <v>13.441998184731929</v>
      </c>
      <c r="DA933" s="70"/>
      <c r="DB933" s="69">
        <f t="shared" ref="DB933:DB950" si="1711">LN(CZ933/CZ932)</f>
        <v>1.5401169876733206E-2</v>
      </c>
      <c r="DC933" s="111">
        <f>VLOOKUP($H933,RoR!$E:$F,2,FALSE)</f>
        <v>5.6666666666666671E-2</v>
      </c>
      <c r="DD933" s="216">
        <f>HLOOKUP($H933,'GDP-PI'!$D$8:$CQ$11,3,FALSE)</f>
        <v>1.8855119140166909E-2</v>
      </c>
      <c r="DE933" s="111">
        <f>VLOOKUP(H933,'HW Dx Data'!$E:$F,2,FALSE)</f>
        <v>369.23301095560191</v>
      </c>
      <c r="DF933" s="66"/>
      <c r="DG933" s="69"/>
      <c r="DH933" s="66">
        <f>HLOOKUP(H933,'GDP-PI'!$8:$9,2,FALSE)</f>
        <v>82.566999999999993</v>
      </c>
      <c r="DI933" s="69">
        <f t="shared" ref="DI933:DI952" si="1712">LN(DH933/DH932)</f>
        <v>1.8679564681853753E-2</v>
      </c>
      <c r="EB933"/>
    </row>
    <row r="934" spans="1:132" s="160" customFormat="1" ht="21">
      <c r="A934" s="160" t="s">
        <v>216</v>
      </c>
      <c r="B934" s="160" t="s">
        <v>216</v>
      </c>
      <c r="C934" s="160">
        <v>4057095</v>
      </c>
      <c r="D934" s="161" t="s">
        <v>196</v>
      </c>
      <c r="E934" s="161" t="s">
        <v>3</v>
      </c>
      <c r="F934" s="189"/>
      <c r="G934" s="160" t="s">
        <v>115</v>
      </c>
      <c r="H934" s="162">
        <v>2004</v>
      </c>
      <c r="I934" s="163"/>
      <c r="J934" s="159">
        <f>IFERROR(INDEX('Labor Expenditures'!$F$7:$X$91,MATCH($C934,'Labor Expenditures'!$D$7:$D$91,0),MATCH($G934,'Labor Expenditures'!$F$5:$X$5,0)),"NA")</f>
        <v>115582.20476454418</v>
      </c>
      <c r="K934" s="159">
        <f t="shared" ref="K934:K952" si="1713">+J934/DF934</f>
        <v>1225.0366164763559</v>
      </c>
      <c r="L934" s="165"/>
      <c r="M934" s="76"/>
      <c r="N934" s="152"/>
      <c r="O934" s="76"/>
      <c r="P934" s="76"/>
      <c r="Q934" s="159">
        <f>IFERROR(INDEX('Non-Labor Expenditures'!$F$7:$AB$91,MATCH($C934,'Non-Labor Expenditures'!$D$7:$D$91,0),MATCH($G934,'Non-Labor Expenditures'!$F$5:$AB$5,0)),"NA")</f>
        <v>167384.62027710277</v>
      </c>
      <c r="R934" s="159">
        <f t="shared" ref="R934:R952" si="1714">+Q934/DH934</f>
        <v>1974.3874622791616</v>
      </c>
      <c r="S934" s="159"/>
      <c r="T934" s="159"/>
      <c r="U934" s="159"/>
      <c r="V934" s="159"/>
      <c r="W934" s="159">
        <f t="shared" si="1695"/>
        <v>144167.62494190459</v>
      </c>
      <c r="X934" s="163"/>
      <c r="Y934" s="167">
        <v>10021.705616995447</v>
      </c>
      <c r="Z934" s="168">
        <v>3.5588622403472547E-2</v>
      </c>
      <c r="AA934" s="76">
        <f t="shared" ref="AA934:AA952" si="1715">+Z934*$AR934</f>
        <v>0</v>
      </c>
      <c r="AB934" s="168"/>
      <c r="AC934" s="168"/>
      <c r="AD934" s="163">
        <f t="shared" si="1645"/>
        <v>427134.44998355152</v>
      </c>
      <c r="AE934" s="168"/>
      <c r="AF934" s="163"/>
      <c r="AG934" s="163"/>
      <c r="AH934" s="163"/>
      <c r="AI934" s="163"/>
      <c r="AJ934" s="167"/>
      <c r="AK934" s="168"/>
      <c r="AL934" s="115">
        <f t="shared" ref="AL934:AL952" si="1716">+J934/AD934</f>
        <v>0.27059911643510637</v>
      </c>
      <c r="AM934" s="115">
        <f t="shared" ref="AM934:AM952" si="1717">+Q934/AD934</f>
        <v>0.39187806154139188</v>
      </c>
      <c r="AN934" s="115">
        <f t="shared" ref="AN934:AN952" si="1718">+W934/AD934</f>
        <v>0.33752282202350181</v>
      </c>
      <c r="AO934" s="115"/>
      <c r="AP934" s="115"/>
      <c r="AQ934" s="168"/>
      <c r="AR934" s="79"/>
      <c r="AS934" s="115"/>
      <c r="AT934" s="115"/>
      <c r="AU934" s="115"/>
      <c r="AV934" s="113">
        <f>IFERROR(INDEX('Total Customers'!$F$7:$AB$91,MATCH($C934,'Total Customers'!$D$7:$D$91,0),MATCH($G934,'Total Customers'!$F$5:$AB$5,0)),"NA")</f>
        <v>1693048</v>
      </c>
      <c r="AW934" s="68">
        <f t="shared" si="1646"/>
        <v>1.1492515292867893E-2</v>
      </c>
      <c r="AX934" s="114"/>
      <c r="AY934" s="114"/>
      <c r="AZ934" s="116"/>
      <c r="BA934" s="116"/>
      <c r="BB934" s="166"/>
      <c r="BC934" s="166"/>
      <c r="BD934" s="166"/>
      <c r="BE934" s="166"/>
      <c r="BF934" s="166"/>
      <c r="BG934" s="166"/>
      <c r="BH934" s="166"/>
      <c r="BI934" s="113"/>
      <c r="BJ934" s="113"/>
      <c r="BK934" s="113">
        <f>INDEX('Dist. Plant Gas Additions'!$F$7:$AE$91,MATCH($C934,'Dist. Plant Gas Additions'!$D$7:$D$91,0),MATCH(Calculation!$G934,'Dist. Plant Gas Additions'!$F$5:$AE$5,0))</f>
        <v>155225</v>
      </c>
      <c r="BL934" s="113">
        <f>INDEX('Gen. Plant Additions'!$F$7:$AE$91,MATCH($C934,'Gen. Plant Additions'!$D$7:$D$91,0),MATCH(Calculation!$G934,'Gen. Plant Additions'!$F$5:$AE$5,0))</f>
        <v>13513</v>
      </c>
      <c r="BM934" s="231">
        <f t="shared" si="1696"/>
        <v>0.95956707426308485</v>
      </c>
      <c r="BN934" s="61">
        <f t="shared" si="1690"/>
        <v>12966.629874517066</v>
      </c>
      <c r="BO934" s="113">
        <f>INDEX('Dist Plant Depreciation'!$E$7:$AD$94,MATCH($C934,'Dist Plant Depreciation'!$D$7:$D$94,0),MATCH(Calculation!$G934,'Dist Plant Depreciation'!$E$5:$AD$5,0))</f>
        <v>1480514</v>
      </c>
      <c r="BP934" s="113">
        <f>INDEX('Gen. Plant Depreciation'!$E$7:$AD$94,MATCH($C934,'Gen. Plant Depreciation'!$D$7:$D$94,0),MATCH(Calculation!$G934,'Gen. Plant Depreciation'!$E$5:$AD$5,0))</f>
        <v>78156</v>
      </c>
      <c r="BQ934" s="113"/>
      <c r="BR934" s="113"/>
      <c r="BS934" s="113"/>
      <c r="BT934" s="113"/>
      <c r="BU934" s="113"/>
      <c r="BV934" s="175"/>
      <c r="BW934" s="113">
        <f>INDEX('Gross Dx Plant'!$E$7:$AD$91,MATCH($C934,'Gross Dx Plant'!$D$7:$D$91,0),MATCH(Calculation!$G934,'Gross Dx Plant'!$E$5:$AD$5,0))</f>
        <v>3444129</v>
      </c>
      <c r="BX934" s="113">
        <f>INDEX('Gross Gen Plant'!$E$7:$AD$91,MATCH($C934,'Gross Gen Plant'!$D$7:$D$91,0),MATCH(Calculation!$G934,'Gross Gen Plant'!$E$5:$AD$5,0))</f>
        <v>145124</v>
      </c>
      <c r="BY934" s="113">
        <f t="shared" si="1605"/>
        <v>2030583</v>
      </c>
      <c r="BZ934" s="113"/>
      <c r="CA934" s="116">
        <v>2004</v>
      </c>
      <c r="CB934" s="113"/>
      <c r="CC934" s="113"/>
      <c r="CD934" s="113"/>
      <c r="CE934" s="175"/>
      <c r="CF934" s="113">
        <f t="shared" si="1697"/>
        <v>168738</v>
      </c>
      <c r="CG934" s="113">
        <f t="shared" si="1698"/>
        <v>406.70814505026107</v>
      </c>
      <c r="CH934" s="178">
        <v>0.967741935483871</v>
      </c>
      <c r="CI934" s="61">
        <f>+CI928*CH934+CG929*CH933+CG930*CH932+CG931*CH931+CG932*CH930+CG933*CH929+CG934</f>
        <v>10021.705616995447</v>
      </c>
      <c r="CJ934" s="114">
        <f t="shared" si="1699"/>
        <v>3.5588622403472547E-2</v>
      </c>
      <c r="CK934" s="114"/>
      <c r="CL934" s="169">
        <f t="shared" si="1700"/>
        <v>5.8235409756941152E-3</v>
      </c>
      <c r="CM934" s="169">
        <f t="shared" si="1708"/>
        <v>5.7306304826504955E-3</v>
      </c>
      <c r="CN934" s="114">
        <f>VLOOKUP($H934,RoR!$E:$F,2,FALSE)</f>
        <v>5.6283333333333331E-2</v>
      </c>
      <c r="CO934" s="169">
        <v>2.6778252812867276E-2</v>
      </c>
      <c r="CP934" s="169">
        <f t="shared" si="1706"/>
        <v>2.9505080520466055E-2</v>
      </c>
      <c r="CQ934" s="169">
        <f t="shared" si="1709"/>
        <v>2.5171311125883129E-2</v>
      </c>
      <c r="CR934" s="169">
        <f t="shared" si="1710"/>
        <v>5.5940039414565046E-2</v>
      </c>
      <c r="CS934" s="179">
        <f t="shared" si="1701"/>
        <v>0.84885500000000003</v>
      </c>
      <c r="CT934" s="180">
        <f t="shared" si="1702"/>
        <v>0.91114097628755619</v>
      </c>
      <c r="CU934" s="180">
        <f t="shared" si="1703"/>
        <v>0.53081877405981637</v>
      </c>
      <c r="CV934" s="180">
        <f t="shared" si="1704"/>
        <v>0.88811215519385678</v>
      </c>
      <c r="CW934" s="180">
        <f t="shared" si="1705"/>
        <v>0.42953609753547711</v>
      </c>
      <c r="CX934" s="181">
        <f>INDEX('State Tax Lookup'!$D$7:$Z$91,MATCH(Calculation!$C934,'State Tax Lookup'!$B$7:$B$91,0),MATCH($H934,'State Tax Lookup'!$D$6:$Z$6,0))</f>
        <v>0.40849999999999997</v>
      </c>
      <c r="CY934" s="72">
        <v>0.37</v>
      </c>
      <c r="CZ934" s="70">
        <f t="shared" si="1707"/>
        <v>14.906718310523964</v>
      </c>
      <c r="DA934" s="70"/>
      <c r="DB934" s="69">
        <f t="shared" si="1711"/>
        <v>0.10342800615004841</v>
      </c>
      <c r="DC934" s="111">
        <f>VLOOKUP($H934,RoR!$E:$F,2,FALSE)</f>
        <v>5.6283333333333331E-2</v>
      </c>
      <c r="DD934" s="216">
        <f>HLOOKUP($H934,'GDP-PI'!$D$8:$CQ$11,3,FALSE)</f>
        <v>2.6778252812867276E-2</v>
      </c>
      <c r="DE934" s="111">
        <f>VLOOKUP(H934,'HW Dx Data'!$E:$F,2,FALSE)</f>
        <v>414.88719135228365</v>
      </c>
      <c r="DF934" s="72">
        <f>VLOOKUP(G934,EG$8:EH$27,2,FALSE)</f>
        <v>94.35</v>
      </c>
      <c r="DG934" s="69"/>
      <c r="DH934" s="66">
        <f>HLOOKUP(H934,'GDP-PI'!$8:$9,2,FALSE)</f>
        <v>84.778000000000006</v>
      </c>
      <c r="DI934" s="69">
        <f t="shared" si="1712"/>
        <v>2.6425990216022755E-2</v>
      </c>
      <c r="EB934"/>
    </row>
    <row r="935" spans="1:132" s="160" customFormat="1" ht="21">
      <c r="A935" s="160" t="s">
        <v>216</v>
      </c>
      <c r="B935" s="160" t="s">
        <v>216</v>
      </c>
      <c r="C935" s="160">
        <v>4057095</v>
      </c>
      <c r="D935" s="161" t="s">
        <v>196</v>
      </c>
      <c r="E935" s="161" t="s">
        <v>3</v>
      </c>
      <c r="F935" s="189"/>
      <c r="G935" s="160" t="s">
        <v>116</v>
      </c>
      <c r="H935" s="162">
        <v>2005</v>
      </c>
      <c r="I935" s="163"/>
      <c r="J935" s="159">
        <f>IFERROR(INDEX('Labor Expenditures'!$F$7:$X$91,MATCH($C935,'Labor Expenditures'!$D$7:$D$91,0),MATCH($G935,'Labor Expenditures'!$F$5:$X$5,0)),"NA")</f>
        <v>118419.82794573229</v>
      </c>
      <c r="K935" s="159">
        <f t="shared" si="1713"/>
        <v>1193.4474975634396</v>
      </c>
      <c r="L935" s="165">
        <f t="shared" ref="L935:L951" si="1719">LN(K935/K934)</f>
        <v>-2.6124559033244527E-2</v>
      </c>
      <c r="M935" s="76"/>
      <c r="N935" s="62">
        <v>100</v>
      </c>
      <c r="O935" s="77"/>
      <c r="P935" s="77"/>
      <c r="Q935" s="159">
        <f>IFERROR(INDEX('Non-Labor Expenditures'!$F$7:$AB$91,MATCH($C935,'Non-Labor Expenditures'!$D$7:$D$91,0),MATCH($G935,'Non-Labor Expenditures'!$F$5:$AB$5,0)),"NA")</f>
        <v>171494.0286383662</v>
      </c>
      <c r="R935" s="159">
        <f t="shared" si="1714"/>
        <v>1962.0170997559258</v>
      </c>
      <c r="S935" s="165">
        <f>LN(R935/R934)</f>
        <v>-6.2851279894080925E-3</v>
      </c>
      <c r="T935" s="165"/>
      <c r="U935" s="165"/>
      <c r="V935" s="165"/>
      <c r="W935" s="159">
        <f t="shared" si="1695"/>
        <v>167889.73404584083</v>
      </c>
      <c r="X935" s="163"/>
      <c r="Y935" s="167">
        <v>10404.955850466116</v>
      </c>
      <c r="Z935" s="168">
        <v>3.7528914301307517E-2</v>
      </c>
      <c r="AA935" s="76">
        <f t="shared" si="1715"/>
        <v>0</v>
      </c>
      <c r="AB935" s="168"/>
      <c r="AC935" s="168"/>
      <c r="AD935" s="163">
        <f t="shared" si="1645"/>
        <v>457803.59062993934</v>
      </c>
      <c r="AE935" s="168">
        <f>LN(AD935/AD934)</f>
        <v>6.9341415893096045E-2</v>
      </c>
      <c r="AF935" s="163"/>
      <c r="AG935" s="163"/>
      <c r="AH935" s="163"/>
      <c r="AI935" s="163"/>
      <c r="AJ935" s="116"/>
      <c r="AK935" s="114"/>
      <c r="AL935" s="115">
        <f t="shared" si="1716"/>
        <v>0.25866950449817616</v>
      </c>
      <c r="AM935" s="115">
        <f t="shared" si="1717"/>
        <v>0.37460175531255624</v>
      </c>
      <c r="AN935" s="115">
        <f t="shared" si="1718"/>
        <v>0.36672874018926754</v>
      </c>
      <c r="AO935" s="115">
        <f t="shared" ref="AO935:AO951" si="1720">+(((AL935+AL934)/2)*L935+((AM934+AM935)/2)*S935+((AN934+AN935)/2)*Z935)</f>
        <v>3.8927317213021811E-3</v>
      </c>
      <c r="AP935" s="166">
        <v>100</v>
      </c>
      <c r="AQ935" s="168"/>
      <c r="AR935" s="16"/>
      <c r="AS935" s="115"/>
      <c r="AT935" s="115"/>
      <c r="AU935" s="115"/>
      <c r="AV935" s="113">
        <f>IFERROR(INDEX('Total Customers'!$F$7:$AB$91,MATCH($C935,'Total Customers'!$D$7:$D$91,0),MATCH($G935,'Total Customers'!$F$5:$AB$5,0)),"NA")</f>
        <v>1709399</v>
      </c>
      <c r="AW935" s="68">
        <f t="shared" si="1646"/>
        <v>9.6113919621347993E-3</v>
      </c>
      <c r="AX935" s="114"/>
      <c r="AY935" s="114"/>
      <c r="AZ935" s="116"/>
      <c r="BA935" s="116"/>
      <c r="BB935" s="166"/>
      <c r="BC935" s="166"/>
      <c r="BD935" s="166"/>
      <c r="BE935" s="166"/>
      <c r="BF935" s="166"/>
      <c r="BG935" s="166"/>
      <c r="BH935" s="166"/>
      <c r="BI935" s="113"/>
      <c r="BJ935" s="113"/>
      <c r="BK935" s="113">
        <f>INDEX('Dist. Plant Gas Additions'!$F$7:$AE$91,MATCH($C935,'Dist. Plant Gas Additions'!$D$7:$D$91,0),MATCH(Calculation!$G935,'Dist. Plant Gas Additions'!$F$5:$AE$5,0))</f>
        <v>187512</v>
      </c>
      <c r="BL935" s="113">
        <f>INDEX('Gen. Plant Additions'!$F$7:$AE$91,MATCH($C935,'Gen. Plant Additions'!$D$7:$D$91,0),MATCH(Calculation!$G935,'Gen. Plant Additions'!$F$5:$AE$5,0))</f>
        <v>20545</v>
      </c>
      <c r="BM935" s="231">
        <f t="shared" si="1696"/>
        <v>0.96022029815767207</v>
      </c>
      <c r="BN935" s="61">
        <f t="shared" si="1690"/>
        <v>19727.726025649372</v>
      </c>
      <c r="BO935" s="113">
        <f>INDEX('Dist Plant Depreciation'!$E$7:$AD$94,MATCH($C935,'Dist Plant Depreciation'!$D$7:$D$94,0),MATCH(Calculation!$G935,'Dist Plant Depreciation'!$E$5:$AD$5,0))</f>
        <v>1561891</v>
      </c>
      <c r="BP935" s="113">
        <f>INDEX('Gen. Plant Depreciation'!$E$7:$AD$94,MATCH($C935,'Gen. Plant Depreciation'!$D$7:$D$94,0),MATCH(Calculation!$G935,'Gen. Plant Depreciation'!$E$5:$AD$5,0))</f>
        <v>83431</v>
      </c>
      <c r="BQ935" s="113"/>
      <c r="BR935" s="113"/>
      <c r="BS935" s="113"/>
      <c r="BT935" s="113"/>
      <c r="BU935" s="113"/>
      <c r="BV935" s="175"/>
      <c r="BW935" s="113">
        <f>INDEX('Gross Dx Plant'!$E$7:$AD$91,MATCH($C935,'Gross Dx Plant'!$D$7:$D$91,0),MATCH(Calculation!$G935,'Gross Dx Plant'!$E$5:$AD$5,0))</f>
        <v>3687486</v>
      </c>
      <c r="BX935" s="113">
        <f>INDEX('Gross Gen Plant'!$E$7:$AD$91,MATCH($C935,'Gross Gen Plant'!$D$7:$D$91,0),MATCH(Calculation!$G935,'Gross Gen Plant'!$E$5:$AD$5,0))</f>
        <v>152764</v>
      </c>
      <c r="BY935" s="113">
        <f t="shared" si="1605"/>
        <v>2194928</v>
      </c>
      <c r="BZ935" s="113"/>
      <c r="CA935" s="116">
        <v>2005</v>
      </c>
      <c r="CB935" s="113"/>
      <c r="CC935" s="113"/>
      <c r="CD935" s="113"/>
      <c r="CE935" s="175"/>
      <c r="CF935" s="113">
        <f t="shared" si="1697"/>
        <v>208057</v>
      </c>
      <c r="CG935" s="113">
        <f t="shared" si="1698"/>
        <v>443.42438329870834</v>
      </c>
      <c r="CH935" s="178">
        <v>0.96174863387978138</v>
      </c>
      <c r="CI935" s="61">
        <f>+CI928*CH935+CG929*CH934+CG930*CH933+CG931*CH932+CG932*CH931+CG933*CH930+CG934*CH929+CG935</f>
        <v>10404.955850466116</v>
      </c>
      <c r="CJ935" s="114">
        <f t="shared" si="1699"/>
        <v>3.7528914301307517E-2</v>
      </c>
      <c r="CK935" s="114"/>
      <c r="CL935" s="169">
        <f t="shared" si="1700"/>
        <v>6.0043821009860389E-3</v>
      </c>
      <c r="CM935" s="169">
        <f t="shared" si="1708"/>
        <v>5.8261275824724248E-3</v>
      </c>
      <c r="CN935" s="114">
        <f>VLOOKUP($H935,RoR!$E:$F,2,FALSE)</f>
        <v>5.2350000000000001E-2</v>
      </c>
      <c r="CO935" s="169">
        <v>3.1010403642454332E-2</v>
      </c>
      <c r="CP935" s="169">
        <f t="shared" si="1706"/>
        <v>2.1339596357545669E-2</v>
      </c>
      <c r="CQ935" s="169">
        <f t="shared" si="1709"/>
        <v>2.50758140260612E-2</v>
      </c>
      <c r="CR935" s="169">
        <f t="shared" si="1710"/>
        <v>9.2129610649277341E-2</v>
      </c>
      <c r="CS935" s="179">
        <f t="shared" si="1701"/>
        <v>0.84885500000000003</v>
      </c>
      <c r="CT935" s="180">
        <f t="shared" si="1702"/>
        <v>0.97959983346802826</v>
      </c>
      <c r="CU935" s="180">
        <f t="shared" si="1703"/>
        <v>0.49744508118433622</v>
      </c>
      <c r="CV935" s="180">
        <f t="shared" si="1704"/>
        <v>0.87010519444335932</v>
      </c>
      <c r="CW935" s="180">
        <f t="shared" si="1705"/>
        <v>0.42399975420741998</v>
      </c>
      <c r="CX935" s="181">
        <f>INDEX('State Tax Lookup'!$D$7:$Z$91,MATCH(Calculation!$C935,'State Tax Lookup'!$B$7:$B$91,0),MATCH($H935,'State Tax Lookup'!$D$6:$Z$6,0))</f>
        <v>0.40849999999999997</v>
      </c>
      <c r="CY935" s="72">
        <v>0.37</v>
      </c>
      <c r="CZ935" s="70">
        <f t="shared" si="1707"/>
        <v>16.752610829150949</v>
      </c>
      <c r="DA935" s="70"/>
      <c r="DB935" s="69">
        <f t="shared" si="1711"/>
        <v>0.11674211186829828</v>
      </c>
      <c r="DC935" s="111">
        <f>VLOOKUP($H935,RoR!$E:$F,2,FALSE)</f>
        <v>5.2350000000000001E-2</v>
      </c>
      <c r="DD935" s="216">
        <f>HLOOKUP($H935,'GDP-PI'!$D$8:$CQ$11,3,FALSE)</f>
        <v>3.1010403642454332E-2</v>
      </c>
      <c r="DE935" s="111">
        <f>VLOOKUP(H935,'HW Dx Data'!$E:$F,2,FALSE)</f>
        <v>469.20514034936258</v>
      </c>
      <c r="DF935" s="72">
        <f t="shared" ref="DF935:DF953" si="1721">VLOOKUP(G935,EG$8:EH$27,2,FALSE)</f>
        <v>99.224999999999994</v>
      </c>
      <c r="DG935" s="69">
        <f t="shared" ref="DG935:DG953" si="1722">LN(DF935/DF934)</f>
        <v>5.0378726854569796E-2</v>
      </c>
      <c r="DH935" s="66">
        <f>HLOOKUP(H935,'GDP-PI'!$8:$9,2,FALSE)</f>
        <v>87.406999999999996</v>
      </c>
      <c r="DI935" s="69">
        <f t="shared" si="1712"/>
        <v>3.0539295810733648E-2</v>
      </c>
      <c r="EB935"/>
    </row>
    <row r="936" spans="1:132" s="160" customFormat="1" ht="21">
      <c r="A936" s="160" t="s">
        <v>216</v>
      </c>
      <c r="B936" s="160" t="s">
        <v>216</v>
      </c>
      <c r="C936" s="160">
        <v>4057095</v>
      </c>
      <c r="D936" s="161" t="s">
        <v>196</v>
      </c>
      <c r="E936" s="161" t="s">
        <v>3</v>
      </c>
      <c r="F936" s="189"/>
      <c r="G936" s="160" t="s">
        <v>117</v>
      </c>
      <c r="H936" s="162">
        <v>2006</v>
      </c>
      <c r="I936" s="163"/>
      <c r="J936" s="159">
        <f>IFERROR(INDEX('Labor Expenditures'!$F$7:$X$91,MATCH($C936,'Labor Expenditures'!$D$7:$D$91,0),MATCH($G936,'Labor Expenditures'!$F$5:$X$5,0)),"NA")</f>
        <v>106786.7688979649</v>
      </c>
      <c r="K936" s="159">
        <f t="shared" si="1713"/>
        <v>976.11306122454198</v>
      </c>
      <c r="L936" s="165">
        <f t="shared" si="1719"/>
        <v>-0.20102303337738106</v>
      </c>
      <c r="M936" s="76">
        <f t="shared" ref="M936:M952" si="1723">+L936*$AR936</f>
        <v>-1.0901980837358723E-2</v>
      </c>
      <c r="N936" s="62">
        <f>+N935*EXP(O936)</f>
        <v>112.61568880921848</v>
      </c>
      <c r="O936" s="96">
        <f t="shared" ref="O936:O952" si="1724">+M936+M961+M986+M1011+M1036+M1061+M1086+M1111+M1136+M1161+M1186+M1211+M1236+M1261+M1286+M1311+M1336+M1361+M1386+M1411+M1436+M1461+M1486+M1511+M1536+M1561+M1586+M1611+M1636+M1661+M1686+M1711+M1736+M1761+M1786+M1811+M1836+M1861+M1886+M1911+M1936+M1961+M1986+M2011+M2036+M2061+M2086+M2111+M2136+M2161+M2186+M2211+M2236+M2261</f>
        <v>0.11881085224273491</v>
      </c>
      <c r="P936" s="96"/>
      <c r="Q936" s="159">
        <f>IFERROR(INDEX('Non-Labor Expenditures'!$F$7:$AB$91,MATCH($C936,'Non-Labor Expenditures'!$D$7:$D$91,0),MATCH($G936,'Non-Labor Expenditures'!$F$5:$AB$5,0)),"NA")</f>
        <v>154647.18638147769</v>
      </c>
      <c r="R936" s="159">
        <f t="shared" si="1714"/>
        <v>1716.8904054608176</v>
      </c>
      <c r="S936" s="165">
        <f t="shared" ref="S936:S951" si="1725">LN(R936/R935)</f>
        <v>-0.13345832578408384</v>
      </c>
      <c r="T936" s="165">
        <f t="shared" ref="T936:T952" si="1726">+S936*AR936</f>
        <v>-7.237778108504905E-3</v>
      </c>
      <c r="U936" s="165"/>
      <c r="V936" s="165"/>
      <c r="W936" s="159">
        <f t="shared" si="1695"/>
        <v>170236.42547347947</v>
      </c>
      <c r="X936" s="163"/>
      <c r="Y936" s="167">
        <v>10792.247834134017</v>
      </c>
      <c r="Z936" s="168">
        <v>3.6545866528537724E-2</v>
      </c>
      <c r="AA936" s="76">
        <f t="shared" si="1715"/>
        <v>1.981973557382494E-3</v>
      </c>
      <c r="AB936" s="168"/>
      <c r="AC936" s="168"/>
      <c r="AD936" s="163">
        <f t="shared" si="1645"/>
        <v>431670.38075292204</v>
      </c>
      <c r="AE936" s="168">
        <f t="shared" ref="AE936:AE952" si="1727">LN(AD936/AD935)</f>
        <v>-5.8777961226722943E-2</v>
      </c>
      <c r="AF936" s="163"/>
      <c r="AG936" s="163"/>
      <c r="AH936" s="163"/>
      <c r="AI936" s="163"/>
      <c r="AJ936" s="116">
        <f t="shared" ref="AJ936:AJ951" si="1728">+(AD936*1000)/AV936</f>
        <v>250.97319440560682</v>
      </c>
      <c r="AK936" s="114">
        <f>+AV936/$AX$11</f>
        <v>4.959383329110615E-2</v>
      </c>
      <c r="AL936" s="115">
        <f t="shared" si="1716"/>
        <v>0.24738034773594328</v>
      </c>
      <c r="AM936" s="115">
        <f t="shared" si="1717"/>
        <v>0.35825294779720851</v>
      </c>
      <c r="AN936" s="115">
        <f t="shared" si="1718"/>
        <v>0.39436670446684824</v>
      </c>
      <c r="AO936" s="115">
        <f t="shared" si="1720"/>
        <v>-8.5859172760209351E-2</v>
      </c>
      <c r="AP936" s="166">
        <f>+AP935*EXP(AO936)</f>
        <v>91.772346258241598</v>
      </c>
      <c r="AQ936" s="168">
        <f>LN(AP936/AP935)</f>
        <v>-8.5859172760209337E-2</v>
      </c>
      <c r="AR936" s="69">
        <f>+AD936/$AF$11</f>
        <v>5.4232495919472101E-2</v>
      </c>
      <c r="AS936" s="169">
        <f>+AR936*AQ936</f>
        <v>-4.6563572363673032E-3</v>
      </c>
      <c r="AT936" s="115"/>
      <c r="AU936" s="115"/>
      <c r="AV936" s="113">
        <f>IFERROR(INDEX('Total Customers'!$F$7:$AB$91,MATCH($C936,'Total Customers'!$D$7:$D$91,0),MATCH($G936,'Total Customers'!$F$5:$AB$5,0)),"NA")</f>
        <v>1719986</v>
      </c>
      <c r="AW936" s="68">
        <f t="shared" si="1646"/>
        <v>6.1743045083273024E-3</v>
      </c>
      <c r="AX936" s="114"/>
      <c r="AY936" s="114"/>
      <c r="AZ936" s="116">
        <v>8247377</v>
      </c>
      <c r="BA936" s="116"/>
      <c r="BB936" s="166"/>
      <c r="BC936" s="166"/>
      <c r="BD936" s="166"/>
      <c r="BE936" s="166"/>
      <c r="BF936" s="166"/>
      <c r="BG936" s="166"/>
      <c r="BH936" s="166"/>
      <c r="BI936" s="113"/>
      <c r="BJ936" s="113"/>
      <c r="BK936" s="113">
        <f>INDEX('Dist. Plant Gas Additions'!$F$7:$AE$91,MATCH($C936,'Dist. Plant Gas Additions'!$D$7:$D$91,0),MATCH(Calculation!$G936,'Dist. Plant Gas Additions'!$F$5:$AE$5,0))</f>
        <v>187959</v>
      </c>
      <c r="BL936" s="113">
        <f>INDEX('Gen. Plant Additions'!$F$7:$AE$91,MATCH($C936,'Gen. Plant Additions'!$D$7:$D$91,0),MATCH(Calculation!$G936,'Gen. Plant Additions'!$F$5:$AE$5,0))</f>
        <v>20292</v>
      </c>
      <c r="BM936" s="231">
        <f t="shared" si="1696"/>
        <v>0.96327670473558047</v>
      </c>
      <c r="BN936" s="61">
        <f t="shared" si="1690"/>
        <v>19546.810892494399</v>
      </c>
      <c r="BO936" s="113">
        <f>INDEX('Dist Plant Depreciation'!$E$7:$AD$94,MATCH($C936,'Dist Plant Depreciation'!$D$7:$D$94,0),MATCH(Calculation!$G936,'Dist Plant Depreciation'!$E$5:$AD$5,0))</f>
        <v>1580252</v>
      </c>
      <c r="BP936" s="113">
        <f>INDEX('Gen. Plant Depreciation'!$E$7:$AD$94,MATCH($C936,'Gen. Plant Depreciation'!$D$7:$D$94,0),MATCH(Calculation!$G936,'Gen. Plant Depreciation'!$E$5:$AD$5,0))</f>
        <v>76654</v>
      </c>
      <c r="BQ936" s="113"/>
      <c r="BR936" s="113"/>
      <c r="BS936" s="113"/>
      <c r="BT936" s="113"/>
      <c r="BU936" s="113"/>
      <c r="BV936" s="175"/>
      <c r="BW936" s="113">
        <f>INDEX('Gross Dx Plant'!$E$7:$AD$91,MATCH($C936,'Gross Dx Plant'!$D$7:$D$91,0),MATCH(Calculation!$G936,'Gross Dx Plant'!$E$5:$AD$5,0))</f>
        <v>3871857</v>
      </c>
      <c r="BX936" s="113">
        <f>INDEX('Gross Gen Plant'!$E$7:$AD$91,MATCH($C936,'Gross Gen Plant'!$D$7:$D$91,0),MATCH(Calculation!$G936,'Gross Gen Plant'!$E$5:$AD$5,0))</f>
        <v>147608</v>
      </c>
      <c r="BY936" s="113">
        <f t="shared" si="1605"/>
        <v>2362559</v>
      </c>
      <c r="BZ936" s="114"/>
      <c r="CA936" s="116">
        <v>2006</v>
      </c>
      <c r="CB936" s="113"/>
      <c r="CC936" s="113"/>
      <c r="CD936" s="113"/>
      <c r="CE936" s="175"/>
      <c r="CF936" s="113">
        <f t="shared" si="1697"/>
        <v>208251</v>
      </c>
      <c r="CG936" s="113">
        <f t="shared" si="1698"/>
        <v>451.6535913317648</v>
      </c>
      <c r="CH936" s="178">
        <v>0.9555555555555556</v>
      </c>
      <c r="CI936" s="61">
        <f>+CI928*CH936+CG929*CH935+CG930*CH934+CG931*CH933+CG932*CH932+CG933*CH931+CG934*CH930+CG935*CH929+CG936</f>
        <v>10792.247834134017</v>
      </c>
      <c r="CJ936" s="114">
        <f t="shared" si="1699"/>
        <v>3.6545866528537724E-2</v>
      </c>
      <c r="CK936" s="114"/>
      <c r="CL936" s="169">
        <f t="shared" si="1700"/>
        <v>6.1856685015131913E-3</v>
      </c>
      <c r="CM936" s="169">
        <f t="shared" si="1708"/>
        <v>6.0045305260644491E-3</v>
      </c>
      <c r="CN936" s="114">
        <f>VLOOKUP($H936,RoR!$E:$F,2,FALSE)</f>
        <v>5.5874999999999994E-2</v>
      </c>
      <c r="CO936" s="169">
        <v>3.0512430354548314E-2</v>
      </c>
      <c r="CP936" s="169">
        <f t="shared" si="1706"/>
        <v>2.536256964545168E-2</v>
      </c>
      <c r="CQ936" s="169">
        <f t="shared" si="1709"/>
        <v>2.4897411082469175E-2</v>
      </c>
      <c r="CR936" s="169">
        <f t="shared" si="1710"/>
        <v>7.9087823893859641E-2</v>
      </c>
      <c r="CS936" s="179">
        <f t="shared" si="1701"/>
        <v>0.84885500000000003</v>
      </c>
      <c r="CT936" s="180">
        <f t="shared" si="1702"/>
        <v>0.91779957551769631</v>
      </c>
      <c r="CU936" s="180">
        <f t="shared" si="1703"/>
        <v>0.52757270693512304</v>
      </c>
      <c r="CV936" s="180">
        <f t="shared" si="1704"/>
        <v>0.88636824549024895</v>
      </c>
      <c r="CW936" s="180">
        <f t="shared" si="1705"/>
        <v>0.42918482841932087</v>
      </c>
      <c r="CX936" s="181">
        <f>INDEX('State Tax Lookup'!$D$7:$Z$91,MATCH(Calculation!$C936,'State Tax Lookup'!$B$7:$B$91,0),MATCH($H936,'State Tax Lookup'!$D$6:$Z$6,0))</f>
        <v>0.40849999999999997</v>
      </c>
      <c r="CY936" s="72">
        <v>0.37</v>
      </c>
      <c r="CZ936" s="70">
        <f t="shared" si="1707"/>
        <v>16.361090611052742</v>
      </c>
      <c r="DA936" s="70">
        <v>14.788696346247992</v>
      </c>
      <c r="DB936" s="69">
        <f t="shared" si="1711"/>
        <v>-2.3648124301632253E-2</v>
      </c>
      <c r="DC936" s="111">
        <f>VLOOKUP($H936,RoR!$E:$F,2,FALSE)</f>
        <v>5.5874999999999994E-2</v>
      </c>
      <c r="DD936" s="216">
        <f>HLOOKUP($H936,'GDP-PI'!$D$8:$CQ$11,3,FALSE)</f>
        <v>3.0512430354548314E-2</v>
      </c>
      <c r="DE936" s="111">
        <f>VLOOKUP(H936,'HW Dx Data'!$E:$F,2,FALSE)</f>
        <v>461.08567272971823</v>
      </c>
      <c r="DF936" s="72">
        <f t="shared" si="1721"/>
        <v>109.4</v>
      </c>
      <c r="DG936" s="69">
        <f t="shared" si="1722"/>
        <v>9.7620891318751846E-2</v>
      </c>
      <c r="DH936" s="66">
        <f>HLOOKUP(H936,'GDP-PI'!$8:$9,2,FALSE)</f>
        <v>90.073999999999998</v>
      </c>
      <c r="DI936" s="69">
        <f t="shared" si="1712"/>
        <v>3.005618372545445E-2</v>
      </c>
      <c r="EB936"/>
    </row>
    <row r="937" spans="1:132" s="160" customFormat="1" ht="21">
      <c r="A937" s="160" t="s">
        <v>216</v>
      </c>
      <c r="B937" s="160" t="s">
        <v>216</v>
      </c>
      <c r="C937" s="160">
        <v>4057095</v>
      </c>
      <c r="D937" s="161" t="s">
        <v>196</v>
      </c>
      <c r="E937" s="161" t="s">
        <v>3</v>
      </c>
      <c r="F937" s="189"/>
      <c r="G937" s="160" t="s">
        <v>118</v>
      </c>
      <c r="H937" s="162">
        <v>2007</v>
      </c>
      <c r="I937" s="163"/>
      <c r="J937" s="159">
        <f>IFERROR(INDEX('Labor Expenditures'!$F$7:$X$91,MATCH($C937,'Labor Expenditures'!$D$7:$D$91,0),MATCH($G937,'Labor Expenditures'!$F$5:$X$5,0)),"NA")</f>
        <v>107569.43884202618</v>
      </c>
      <c r="K937" s="159">
        <f t="shared" si="1713"/>
        <v>1029.1264180055125</v>
      </c>
      <c r="L937" s="165">
        <f t="shared" si="1719"/>
        <v>5.2887162369965185E-2</v>
      </c>
      <c r="M937" s="76">
        <f t="shared" si="1723"/>
        <v>2.8493974625638093E-3</v>
      </c>
      <c r="N937" s="62">
        <f t="shared" ref="N937:N950" si="1729">+N936*EXP(O937)</f>
        <v>119.62330566142195</v>
      </c>
      <c r="O937" s="96">
        <f t="shared" si="1724"/>
        <v>6.0366647692116499E-2</v>
      </c>
      <c r="P937" s="96"/>
      <c r="Q937" s="159">
        <f>IFERROR(INDEX('Non-Labor Expenditures'!$F$7:$AB$91,MATCH($C937,'Non-Labor Expenditures'!$D$7:$D$91,0),MATCH($G937,'Non-Labor Expenditures'!$F$5:$AB$5,0)),"NA")</f>
        <v>155780.63864305965</v>
      </c>
      <c r="R937" s="159">
        <f t="shared" si="1714"/>
        <v>1684.1514264422976</v>
      </c>
      <c r="S937" s="165">
        <f t="shared" si="1725"/>
        <v>-1.925291832532498E-2</v>
      </c>
      <c r="T937" s="165">
        <f t="shared" si="1726"/>
        <v>-1.0372879573188069E-3</v>
      </c>
      <c r="U937" s="165"/>
      <c r="V937" s="165"/>
      <c r="W937" s="159">
        <f t="shared" si="1695"/>
        <v>189633.4062681045</v>
      </c>
      <c r="X937" s="163"/>
      <c r="Y937" s="167">
        <v>11094.970746535691</v>
      </c>
      <c r="Z937" s="168">
        <v>2.7663836488572766E-2</v>
      </c>
      <c r="AA937" s="76">
        <f t="shared" si="1715"/>
        <v>1.49044232972659E-3</v>
      </c>
      <c r="AB937" s="168"/>
      <c r="AC937" s="168"/>
      <c r="AD937" s="163">
        <f t="shared" si="1645"/>
        <v>452983.48375319032</v>
      </c>
      <c r="AE937" s="168">
        <f t="shared" si="1727"/>
        <v>4.8193375623044252E-2</v>
      </c>
      <c r="AF937" s="163"/>
      <c r="AG937" s="163"/>
      <c r="AH937" s="163"/>
      <c r="AI937" s="163"/>
      <c r="AJ937" s="116">
        <f t="shared" si="1728"/>
        <v>261.50489358336557</v>
      </c>
      <c r="AK937" s="114">
        <f>+AV937/$AX$12</f>
        <v>4.9570478073704717E-2</v>
      </c>
      <c r="AL937" s="115">
        <f t="shared" si="1716"/>
        <v>0.23746878793628551</v>
      </c>
      <c r="AM937" s="115">
        <f t="shared" si="1717"/>
        <v>0.3438991579832904</v>
      </c>
      <c r="AN937" s="115">
        <f t="shared" si="1718"/>
        <v>0.41863205408042414</v>
      </c>
      <c r="AO937" s="115">
        <f t="shared" si="1720"/>
        <v>1.7307241270275973E-2</v>
      </c>
      <c r="AP937" s="166">
        <f>+AP936*EXP(AO937)</f>
        <v>93.374496807699202</v>
      </c>
      <c r="AQ937" s="168">
        <f>LN(AP937/AP936)</f>
        <v>1.7307241270275876E-2</v>
      </c>
      <c r="AR937" s="69">
        <f>+AD937/$AF$12</f>
        <v>5.3876920879801116E-2</v>
      </c>
      <c r="AS937" s="169">
        <f t="shared" ref="AS937:AS951" si="1730">+AR937*AQ937</f>
        <v>9.3246086856628191E-4</v>
      </c>
      <c r="AT937" s="115"/>
      <c r="AU937" s="115"/>
      <c r="AV937" s="113">
        <f>IFERROR(INDEX('Total Customers'!$F$7:$AB$91,MATCH($C937,'Total Customers'!$D$7:$D$91,0),MATCH($G937,'Total Customers'!$F$5:$AB$5,0)),"NA")</f>
        <v>1732218</v>
      </c>
      <c r="AW937" s="68">
        <f t="shared" si="1646"/>
        <v>7.0865170132331746E-3</v>
      </c>
      <c r="AX937" s="114"/>
      <c r="AY937" s="114"/>
      <c r="AZ937" s="116">
        <v>8187757</v>
      </c>
      <c r="BA937" s="116"/>
      <c r="BB937" s="166"/>
      <c r="BC937" s="166"/>
      <c r="BD937" s="166"/>
      <c r="BE937" s="166"/>
      <c r="BF937" s="166"/>
      <c r="BG937" s="166"/>
      <c r="BH937" s="166"/>
      <c r="BI937" s="113"/>
      <c r="BJ937" s="113"/>
      <c r="BK937" s="113">
        <f>INDEX('Dist. Plant Gas Additions'!$F$7:$AE$91,MATCH($C937,'Dist. Plant Gas Additions'!$D$7:$D$91,0),MATCH(Calculation!$G937,'Dist. Plant Gas Additions'!$F$5:$AE$5,0))</f>
        <v>166946</v>
      </c>
      <c r="BL937" s="113">
        <f>INDEX('Gen. Plant Additions'!$F$7:$AE$91,MATCH($C937,'Gen. Plant Additions'!$D$7:$D$91,0),MATCH(Calculation!$G937,'Gen. Plant Additions'!$F$5:$AE$5,0))</f>
        <v>18059</v>
      </c>
      <c r="BM937" s="231">
        <f t="shared" si="1696"/>
        <v>0.96578736895542694</v>
      </c>
      <c r="BN937" s="61">
        <f>+BM937*BL937</f>
        <v>17441.154095966056</v>
      </c>
      <c r="BO937" s="113">
        <f>INDEX('Dist Plant Depreciation'!$E$7:$AD$94,MATCH($C937,'Dist Plant Depreciation'!$D$7:$D$94,0),MATCH(Calculation!$G937,'Dist Plant Depreciation'!$E$5:$AD$5,0))</f>
        <v>1632574</v>
      </c>
      <c r="BP937" s="113">
        <f>INDEX('Gen. Plant Depreciation'!$E$7:$AD$94,MATCH($C937,'Gen. Plant Depreciation'!$D$7:$D$94,0),MATCH(Calculation!$G937,'Gen. Plant Depreciation'!$E$5:$AD$5,0))</f>
        <v>71340</v>
      </c>
      <c r="BQ937" s="113"/>
      <c r="BR937" s="113"/>
      <c r="BS937" s="113"/>
      <c r="BT937" s="113"/>
      <c r="BU937" s="113"/>
      <c r="BV937" s="175"/>
      <c r="BW937" s="113">
        <f>INDEX('Gross Dx Plant'!$E$7:$AD$91,MATCH($C937,'Gross Dx Plant'!$D$7:$D$91,0),MATCH(Calculation!$G937,'Gross Dx Plant'!$E$5:$AD$5,0))</f>
        <v>4033186</v>
      </c>
      <c r="BX937" s="113">
        <f>INDEX('Gross Gen Plant'!$E$7:$AD$91,MATCH($C937,'Gross Gen Plant'!$D$7:$D$91,0),MATCH(Calculation!$G937,'Gross Gen Plant'!$E$5:$AD$5,0))</f>
        <v>142874</v>
      </c>
      <c r="BY937" s="113">
        <f t="shared" si="1605"/>
        <v>2472146</v>
      </c>
      <c r="BZ937" s="113"/>
      <c r="CA937" s="116">
        <v>2007</v>
      </c>
      <c r="CB937" s="113"/>
      <c r="CC937" s="113"/>
      <c r="CD937" s="113"/>
      <c r="CE937" s="175"/>
      <c r="CF937" s="113">
        <f t="shared" si="1697"/>
        <v>185005</v>
      </c>
      <c r="CG937" s="113">
        <f t="shared" si="1698"/>
        <v>371.47933787405969</v>
      </c>
      <c r="CH937" s="178">
        <v>0.94915254237288138</v>
      </c>
      <c r="CI937" s="61">
        <f>+CI928*CH937+CG929*CH936+CG930*CH935+CG931*CH934+CG932*CH933+CG933*CH932+CG934*CH931+CG935*CH930+CG936*CH929+CG937</f>
        <v>11094.970746535691</v>
      </c>
      <c r="CJ937" s="114">
        <f t="shared" si="1699"/>
        <v>2.7663836488572766E-2</v>
      </c>
      <c r="CK937" s="114"/>
      <c r="CL937" s="169">
        <f t="shared" si="1700"/>
        <v>6.3709086864110944E-3</v>
      </c>
      <c r="CM937" s="169">
        <f t="shared" si="1708"/>
        <v>6.1869864296367752E-3</v>
      </c>
      <c r="CN937" s="114">
        <f>VLOOKUP($H937,RoR!$E:$F,2,FALSE)</f>
        <v>5.5558333333333321E-2</v>
      </c>
      <c r="CO937" s="169">
        <v>2.691120634145272E-2</v>
      </c>
      <c r="CP937" s="169">
        <f t="shared" si="1706"/>
        <v>2.86471269918806E-2</v>
      </c>
      <c r="CQ937" s="169">
        <f t="shared" si="1709"/>
        <v>2.4714955178896849E-2</v>
      </c>
      <c r="CR937" s="169">
        <f t="shared" si="1710"/>
        <v>6.4575155250632399E-2</v>
      </c>
      <c r="CS937" s="179">
        <f t="shared" si="1701"/>
        <v>0.84885500000000003</v>
      </c>
      <c r="CT937" s="180">
        <f t="shared" si="1702"/>
        <v>0.92303077153834634</v>
      </c>
      <c r="CU937" s="180">
        <f t="shared" si="1703"/>
        <v>0.52502249887505614</v>
      </c>
      <c r="CV937" s="180">
        <f t="shared" si="1704"/>
        <v>0.88499666072084604</v>
      </c>
      <c r="CW937" s="180">
        <f t="shared" si="1705"/>
        <v>0.42887993290280618</v>
      </c>
      <c r="CX937" s="181">
        <f>INDEX('State Tax Lookup'!$D$7:$Z$91,MATCH(Calculation!$C937,'State Tax Lookup'!$B$7:$B$91,0),MATCH($H937,'State Tax Lookup'!$D$6:$Z$6,0))</f>
        <v>0.40849999999999997</v>
      </c>
      <c r="CY937" s="72">
        <v>0.37</v>
      </c>
      <c r="CZ937" s="70">
        <f t="shared" si="1707"/>
        <v>17.571261259246359</v>
      </c>
      <c r="DA937" s="70">
        <v>16.108943221861779</v>
      </c>
      <c r="DB937" s="69">
        <f t="shared" si="1711"/>
        <v>7.1358692220276521E-2</v>
      </c>
      <c r="DC937" s="111">
        <f>VLOOKUP($H937,RoR!$E:$F,2,FALSE)</f>
        <v>5.5558333333333321E-2</v>
      </c>
      <c r="DD937" s="216">
        <f>HLOOKUP($H937,'GDP-PI'!$D$8:$CQ$11,3,FALSE)</f>
        <v>2.691120634145272E-2</v>
      </c>
      <c r="DE937" s="111">
        <f>VLOOKUP(H937,'HW Dx Data'!$E:$F,2,FALSE)</f>
        <v>498.0223154772637</v>
      </c>
      <c r="DF937" s="72">
        <f t="shared" si="1721"/>
        <v>104.52499999999999</v>
      </c>
      <c r="DG937" s="69">
        <f t="shared" si="1722"/>
        <v>-4.5584612745252218E-2</v>
      </c>
      <c r="DH937" s="66">
        <f>HLOOKUP(H937,'GDP-PI'!$8:$9,2,FALSE)</f>
        <v>92.498000000000005</v>
      </c>
      <c r="DI937" s="69">
        <f t="shared" si="1712"/>
        <v>2.6555467950038037E-2</v>
      </c>
      <c r="EB937"/>
    </row>
    <row r="938" spans="1:132" s="160" customFormat="1" ht="21">
      <c r="A938" s="160" t="s">
        <v>216</v>
      </c>
      <c r="B938" s="160" t="s">
        <v>216</v>
      </c>
      <c r="C938" s="160">
        <v>4057095</v>
      </c>
      <c r="D938" s="161" t="s">
        <v>196</v>
      </c>
      <c r="E938" s="161" t="s">
        <v>3</v>
      </c>
      <c r="F938" s="189"/>
      <c r="G938" s="160" t="s">
        <v>120</v>
      </c>
      <c r="H938" s="162">
        <v>2008</v>
      </c>
      <c r="I938" s="163"/>
      <c r="J938" s="159">
        <f>IFERROR(INDEX('Labor Expenditures'!$F$7:$X$91,MATCH($C938,'Labor Expenditures'!$D$7:$D$91,0),MATCH($G938,'Labor Expenditures'!$F$5:$X$5,0)),"NA")</f>
        <v>102521.00475926603</v>
      </c>
      <c r="K938" s="159">
        <f t="shared" si="1713"/>
        <v>950.14832955760915</v>
      </c>
      <c r="L938" s="165">
        <f t="shared" si="1719"/>
        <v>-7.9847474709544897E-2</v>
      </c>
      <c r="M938" s="76">
        <f t="shared" si="1723"/>
        <v>-4.1965030712334886E-3</v>
      </c>
      <c r="N938" s="62">
        <f t="shared" si="1729"/>
        <v>111.76725585367741</v>
      </c>
      <c r="O938" s="96">
        <f t="shared" si="1724"/>
        <v>-6.7929049551994136E-2</v>
      </c>
      <c r="P938" s="96"/>
      <c r="Q938" s="159">
        <f>IFERROR(INDEX('Non-Labor Expenditures'!$F$7:$AB$91,MATCH($C938,'Non-Labor Expenditures'!$D$7:$D$91,0),MATCH($G938,'Non-Labor Expenditures'!$F$5:$AB$5,0)),"NA")</f>
        <v>148469.56317380181</v>
      </c>
      <c r="R938" s="159">
        <f t="shared" si="1714"/>
        <v>1575.0399216434887</v>
      </c>
      <c r="S938" s="165">
        <f t="shared" si="1725"/>
        <v>-6.6981213436116904E-2</v>
      </c>
      <c r="T938" s="165">
        <f t="shared" si="1726"/>
        <v>-3.5202975287834557E-3</v>
      </c>
      <c r="U938" s="165"/>
      <c r="V938" s="165"/>
      <c r="W938" s="159">
        <f t="shared" si="1695"/>
        <v>221438.89820081947</v>
      </c>
      <c r="X938" s="163"/>
      <c r="Y938" s="167">
        <v>11404.131005671925</v>
      </c>
      <c r="Z938" s="168">
        <v>2.748373893310679E-2</v>
      </c>
      <c r="AA938" s="76">
        <f t="shared" si="1715"/>
        <v>1.4444488728204566E-3</v>
      </c>
      <c r="AB938" s="168"/>
      <c r="AC938" s="168"/>
      <c r="AD938" s="163">
        <f t="shared" si="1645"/>
        <v>472429.4661338873</v>
      </c>
      <c r="AE938" s="168">
        <f t="shared" si="1727"/>
        <v>4.2032792654824208E-2</v>
      </c>
      <c r="AF938" s="163"/>
      <c r="AG938" s="163"/>
      <c r="AH938" s="163"/>
      <c r="AI938" s="163"/>
      <c r="AJ938" s="116">
        <f t="shared" si="1728"/>
        <v>271.19697300936804</v>
      </c>
      <c r="AK938" s="114">
        <f>+AV938/$AX$13</f>
        <v>4.9584333680486897E-2</v>
      </c>
      <c r="AL938" s="115">
        <f t="shared" si="1716"/>
        <v>0.21700806598335973</v>
      </c>
      <c r="AM938" s="115">
        <f t="shared" si="1717"/>
        <v>0.31426821105973374</v>
      </c>
      <c r="AN938" s="115">
        <f t="shared" si="1718"/>
        <v>0.46872372295690656</v>
      </c>
      <c r="AO938" s="115">
        <f t="shared" si="1720"/>
        <v>-2.7992911802551305E-2</v>
      </c>
      <c r="AP938" s="166">
        <f t="shared" ref="AP938:AP951" si="1731">+AP937*EXP(AO938)</f>
        <v>90.796918035928712</v>
      </c>
      <c r="AQ938" s="168">
        <f t="shared" ref="AQ938:AQ951" si="1732">LN(AP938/AP937)</f>
        <v>-2.7992911802551351E-2</v>
      </c>
      <c r="AR938" s="69">
        <f>+AD938/$AF$13</f>
        <v>5.255649081575578E-2</v>
      </c>
      <c r="AS938" s="169">
        <f t="shared" si="1730"/>
        <v>-1.4712092120570516E-3</v>
      </c>
      <c r="AT938" s="115"/>
      <c r="AU938" s="115"/>
      <c r="AV938" s="113">
        <f>IFERROR(INDEX('Total Customers'!$F$7:$AB$91,MATCH($C938,'Total Customers'!$D$7:$D$91,0),MATCH($G938,'Total Customers'!$F$5:$AB$5,0)),"NA")</f>
        <v>1742016</v>
      </c>
      <c r="AW938" s="68">
        <f t="shared" si="1646"/>
        <v>5.6403949625513407E-3</v>
      </c>
      <c r="AX938" s="114"/>
      <c r="AY938" s="114"/>
      <c r="AZ938" s="116">
        <v>8244107</v>
      </c>
      <c r="BA938" s="116"/>
      <c r="BB938" s="166"/>
      <c r="BC938" s="166"/>
      <c r="BD938" s="166"/>
      <c r="BE938" s="166"/>
      <c r="BF938" s="166"/>
      <c r="BG938" s="166"/>
      <c r="BH938" s="166"/>
      <c r="BI938" s="113"/>
      <c r="BJ938" s="113"/>
      <c r="BK938" s="113">
        <f>INDEX('Dist. Plant Gas Additions'!$F$7:$AE$91,MATCH($C938,'Dist. Plant Gas Additions'!$D$7:$D$91,0),MATCH(Calculation!$G938,'Dist. Plant Gas Additions'!$F$5:$AE$5,0))</f>
        <v>200011</v>
      </c>
      <c r="BL938" s="113">
        <f>INDEX('Gen. Plant Additions'!$F$7:$AE$91,MATCH($C938,'Gen. Plant Additions'!$D$7:$D$91,0),MATCH(Calculation!$G938,'Gen. Plant Additions'!$F$5:$AE$5,0))</f>
        <v>17735</v>
      </c>
      <c r="BM938" s="231">
        <f t="shared" si="1696"/>
        <v>0.96559175000433928</v>
      </c>
      <c r="BN938" s="61">
        <f t="shared" ref="BN938:BN954" si="1733">+BM938*BL938</f>
        <v>17124.769686326956</v>
      </c>
      <c r="BO938" s="113">
        <f>INDEX('Dist Plant Depreciation'!$E$7:$AD$94,MATCH($C938,'Dist Plant Depreciation'!$D$7:$D$94,0),MATCH(Calculation!$G938,'Dist Plant Depreciation'!$E$5:$AD$5,0))</f>
        <v>1686050</v>
      </c>
      <c r="BP938" s="113">
        <f>INDEX('Gen. Plant Depreciation'!$E$7:$AD$94,MATCH($C938,'Gen. Plant Depreciation'!$D$7:$D$94,0),MATCH(Calculation!$G938,'Gen. Plant Depreciation'!$E$5:$AD$5,0))</f>
        <v>79196</v>
      </c>
      <c r="BQ938" s="113"/>
      <c r="BR938" s="113"/>
      <c r="BS938" s="113"/>
      <c r="BT938" s="113"/>
      <c r="BU938" s="113"/>
      <c r="BV938" s="175"/>
      <c r="BW938" s="113">
        <f>INDEX('Gross Dx Plant'!$E$7:$AD$91,MATCH($C938,'Gross Dx Plant'!$D$7:$D$91,0),MATCH(Calculation!$G938,'Gross Dx Plant'!$E$5:$AD$5,0))</f>
        <v>4227913</v>
      </c>
      <c r="BX938" s="113">
        <f>INDEX('Gross Gen Plant'!$E$7:$AD$91,MATCH($C938,'Gross Gen Plant'!$D$7:$D$91,0),MATCH(Calculation!$G938,'Gross Gen Plant'!$E$5:$AD$5,0))</f>
        <v>150659</v>
      </c>
      <c r="BY938" s="113">
        <f t="shared" si="1605"/>
        <v>2613326</v>
      </c>
      <c r="BZ938" s="113"/>
      <c r="CA938" s="116">
        <v>2008</v>
      </c>
      <c r="CB938" s="113"/>
      <c r="CC938" s="113"/>
      <c r="CD938" s="113"/>
      <c r="CE938" s="175"/>
      <c r="CF938" s="113">
        <f t="shared" si="1697"/>
        <v>217746</v>
      </c>
      <c r="CG938" s="113">
        <f t="shared" si="1698"/>
        <v>382.09015971341347</v>
      </c>
      <c r="CH938" s="178">
        <v>0.94252873563218387</v>
      </c>
      <c r="CI938" s="61">
        <f>+CI928*CH938+CG929*CH937+CG930*CH936+CG931*CH935+CG932*CH934+CG933*CH933+CG934*CH932+CG935*CH931+CG936*CH930+CG937*CH929+CG938</f>
        <v>11404.131005671925</v>
      </c>
      <c r="CJ938" s="114">
        <f t="shared" si="1699"/>
        <v>2.748373893310679E-2</v>
      </c>
      <c r="CK938" s="114"/>
      <c r="CL938" s="169">
        <f t="shared" si="1700"/>
        <v>6.5732395554041244E-3</v>
      </c>
      <c r="CM938" s="169">
        <f t="shared" si="1708"/>
        <v>6.37660558110947E-3</v>
      </c>
      <c r="CN938" s="114">
        <f>VLOOKUP($H938,RoR!$E:$F,2,FALSE)</f>
        <v>5.6316666666666668E-2</v>
      </c>
      <c r="CO938" s="169">
        <v>1.9092304698479889E-2</v>
      </c>
      <c r="CP938" s="169">
        <f t="shared" si="1706"/>
        <v>3.7224361968186778E-2</v>
      </c>
      <c r="CQ938" s="169">
        <f t="shared" si="1709"/>
        <v>2.4525336027424155E-2</v>
      </c>
      <c r="CR938" s="169">
        <f t="shared" si="1710"/>
        <v>6.9030581091053131E-2</v>
      </c>
      <c r="CS938" s="179">
        <f t="shared" si="1701"/>
        <v>0.84885500000000003</v>
      </c>
      <c r="CT938" s="180">
        <f t="shared" si="1702"/>
        <v>0.91060168006009956</v>
      </c>
      <c r="CU938" s="180">
        <f t="shared" si="1703"/>
        <v>0.53108168097070152</v>
      </c>
      <c r="CV938" s="180">
        <f t="shared" si="1704"/>
        <v>0.88825329850328805</v>
      </c>
      <c r="CW938" s="180">
        <f t="shared" si="1705"/>
        <v>0.4295627335323573</v>
      </c>
      <c r="CX938" s="181">
        <f>INDEX('State Tax Lookup'!$D$7:$Z$91,MATCH(Calculation!$C938,'State Tax Lookup'!$B$7:$B$91,0),MATCH($H938,'State Tax Lookup'!$D$6:$Z$6,0))</f>
        <v>0.40849999999999997</v>
      </c>
      <c r="CY938" s="72">
        <v>0.37</v>
      </c>
      <c r="CZ938" s="70">
        <f t="shared" si="1707"/>
        <v>19.958493200170164</v>
      </c>
      <c r="DA938" s="70">
        <v>18.300102035478151</v>
      </c>
      <c r="DB938" s="69">
        <f t="shared" si="1711"/>
        <v>0.12739009262002904</v>
      </c>
      <c r="DC938" s="111">
        <f>VLOOKUP($H938,RoR!$E:$F,2,FALSE)</f>
        <v>5.6316666666666668E-2</v>
      </c>
      <c r="DD938" s="216">
        <f>HLOOKUP($H938,'GDP-PI'!$D$8:$CQ$11,3,FALSE)</f>
        <v>1.9092304698479889E-2</v>
      </c>
      <c r="DE938" s="111">
        <f>VLOOKUP(H938,'HW Dx Data'!$E:$F,2,FALSE)</f>
        <v>569.88120333515076</v>
      </c>
      <c r="DF938" s="72">
        <f t="shared" si="1721"/>
        <v>107.9</v>
      </c>
      <c r="DG938" s="69">
        <f t="shared" si="1722"/>
        <v>3.1778595021460486E-2</v>
      </c>
      <c r="DH938" s="66">
        <f>HLOOKUP(H938,'GDP-PI'!$8:$9,2,FALSE)</f>
        <v>94.263999999999996</v>
      </c>
      <c r="DI938" s="69">
        <f t="shared" si="1712"/>
        <v>1.8912333748032254E-2</v>
      </c>
      <c r="EB938"/>
    </row>
    <row r="939" spans="1:132" s="160" customFormat="1" ht="21">
      <c r="A939" s="160" t="s">
        <v>216</v>
      </c>
      <c r="B939" s="160" t="s">
        <v>216</v>
      </c>
      <c r="C939" s="160">
        <v>4057095</v>
      </c>
      <c r="D939" s="161" t="s">
        <v>196</v>
      </c>
      <c r="E939" s="161" t="s">
        <v>3</v>
      </c>
      <c r="F939" s="189"/>
      <c r="G939" s="160" t="s">
        <v>125</v>
      </c>
      <c r="H939" s="162">
        <v>2009</v>
      </c>
      <c r="I939" s="163"/>
      <c r="J939" s="159">
        <f>IFERROR(INDEX('Labor Expenditures'!$F$7:$X$91,MATCH($C939,'Labor Expenditures'!$D$7:$D$91,0),MATCH($G939,'Labor Expenditures'!$F$5:$X$5,0)),"NA")</f>
        <v>115867.49645117712</v>
      </c>
      <c r="K939" s="159">
        <f t="shared" si="1713"/>
        <v>1044.5571012051128</v>
      </c>
      <c r="L939" s="165">
        <f t="shared" si="1719"/>
        <v>9.473013917805341E-2</v>
      </c>
      <c r="M939" s="76">
        <f t="shared" si="1723"/>
        <v>5.0718320993418777E-3</v>
      </c>
      <c r="N939" s="62">
        <f t="shared" si="1729"/>
        <v>117.72509041307384</v>
      </c>
      <c r="O939" s="96">
        <f t="shared" si="1724"/>
        <v>5.1933527760700884E-2</v>
      </c>
      <c r="P939" s="96"/>
      <c r="Q939" s="159">
        <f>IFERROR(INDEX('Non-Labor Expenditures'!$F$7:$AB$91,MATCH($C939,'Non-Labor Expenditures'!$D$7:$D$91,0),MATCH($G939,'Non-Labor Expenditures'!$F$5:$AB$5,0)),"NA")</f>
        <v>167797.77592448425</v>
      </c>
      <c r="R939" s="159">
        <f t="shared" si="1714"/>
        <v>1766.310970899528</v>
      </c>
      <c r="S939" s="165">
        <f t="shared" si="1725"/>
        <v>0.11461255536062832</v>
      </c>
      <c r="T939" s="165">
        <f t="shared" si="1726"/>
        <v>6.1363325580366546E-3</v>
      </c>
      <c r="U939" s="165"/>
      <c r="V939" s="165"/>
      <c r="W939" s="159">
        <f t="shared" si="1695"/>
        <v>218304.27118548236</v>
      </c>
      <c r="X939" s="163"/>
      <c r="Y939" s="167">
        <v>11744.97803345128</v>
      </c>
      <c r="Z939" s="168">
        <v>2.9450089140471324E-2</v>
      </c>
      <c r="AA939" s="76">
        <f t="shared" si="1715"/>
        <v>1.5767516940978638E-3</v>
      </c>
      <c r="AB939" s="168"/>
      <c r="AC939" s="168"/>
      <c r="AD939" s="163">
        <f t="shared" si="1645"/>
        <v>501969.54356114368</v>
      </c>
      <c r="AE939" s="168">
        <f t="shared" si="1727"/>
        <v>6.0650989887088128E-2</v>
      </c>
      <c r="AF939" s="163"/>
      <c r="AG939" s="163"/>
      <c r="AH939" s="163"/>
      <c r="AI939" s="163"/>
      <c r="AJ939" s="116">
        <f t="shared" si="1728"/>
        <v>282.95245747346661</v>
      </c>
      <c r="AK939" s="114">
        <f>+AV939/$AX$14</f>
        <v>5.0431543359155909E-2</v>
      </c>
      <c r="AL939" s="115">
        <f t="shared" si="1716"/>
        <v>0.23082575016239723</v>
      </c>
      <c r="AM939" s="115">
        <f t="shared" si="1717"/>
        <v>0.33427879853839221</v>
      </c>
      <c r="AN939" s="115">
        <f t="shared" si="1718"/>
        <v>0.43489545129921064</v>
      </c>
      <c r="AO939" s="115">
        <f t="shared" si="1720"/>
        <v>7.1683327502271618E-2</v>
      </c>
      <c r="AP939" s="166">
        <f t="shared" si="1731"/>
        <v>97.544498640341544</v>
      </c>
      <c r="AQ939" s="168">
        <f t="shared" si="1732"/>
        <v>7.1683327502271646E-2</v>
      </c>
      <c r="AR939" s="69">
        <f>+AD939/$AF$14</f>
        <v>5.3539793600523855E-2</v>
      </c>
      <c r="AS939" s="169">
        <f t="shared" si="1730"/>
        <v>3.8379105590703793E-3</v>
      </c>
      <c r="AT939" s="115"/>
      <c r="AU939" s="115"/>
      <c r="AV939" s="113">
        <f>IFERROR(INDEX('Total Customers'!$F$7:$AB$91,MATCH($C939,'Total Customers'!$D$7:$D$91,0),MATCH($G939,'Total Customers'!$F$5:$AB$5,0)),"NA")</f>
        <v>1774042</v>
      </c>
      <c r="AW939" s="68">
        <f t="shared" si="1646"/>
        <v>1.8217495684029382E-2</v>
      </c>
      <c r="AX939" s="114"/>
      <c r="AY939" s="114"/>
      <c r="AZ939" s="116">
        <v>8336812</v>
      </c>
      <c r="BA939" s="116"/>
      <c r="BB939" s="166"/>
      <c r="BC939" s="166"/>
      <c r="BD939" s="166"/>
      <c r="BE939" s="166"/>
      <c r="BF939" s="166"/>
      <c r="BG939" s="166"/>
      <c r="BH939" s="166"/>
      <c r="BI939" s="113"/>
      <c r="BJ939" s="113"/>
      <c r="BK939" s="113">
        <f>INDEX('Dist. Plant Gas Additions'!$F$7:$AE$91,MATCH($C939,'Dist. Plant Gas Additions'!$D$7:$D$91,0),MATCH(Calculation!$G939,'Dist. Plant Gas Additions'!$F$5:$AE$5,0))</f>
        <v>223510</v>
      </c>
      <c r="BL939" s="113">
        <f>INDEX('Gen. Plant Additions'!$F$7:$AE$91,MATCH($C939,'Gen. Plant Additions'!$D$7:$D$91,0),MATCH(Calculation!$G939,'Gen. Plant Additions'!$F$5:$AE$5,0))</f>
        <v>6882</v>
      </c>
      <c r="BM939" s="231">
        <f t="shared" si="1696"/>
        <v>0.9722557112453406</v>
      </c>
      <c r="BN939" s="61">
        <f t="shared" si="1733"/>
        <v>6691.063804790434</v>
      </c>
      <c r="BO939" s="113">
        <f>INDEX('Dist Plant Depreciation'!$E$7:$AD$94,MATCH($C939,'Dist Plant Depreciation'!$D$7:$D$94,0),MATCH(Calculation!$G939,'Dist Plant Depreciation'!$E$5:$AD$5,0))</f>
        <v>1714882</v>
      </c>
      <c r="BP939" s="113">
        <f>INDEX('Gen. Plant Depreciation'!$E$7:$AD$94,MATCH($C939,'Gen. Plant Depreciation'!$D$7:$D$94,0),MATCH(Calculation!$G939,'Gen. Plant Depreciation'!$E$5:$AD$5,0))</f>
        <v>65252</v>
      </c>
      <c r="BQ939" s="113"/>
      <c r="BR939" s="113"/>
      <c r="BS939" s="113"/>
      <c r="BT939" s="113"/>
      <c r="BU939" s="113"/>
      <c r="BV939" s="175"/>
      <c r="BW939" s="113">
        <f>INDEX('Gross Dx Plant'!$E$7:$AD$91,MATCH($C939,'Gross Dx Plant'!$D$7:$D$91,0),MATCH(Calculation!$G939,'Gross Dx Plant'!$E$5:$AD$5,0))</f>
        <v>4425778</v>
      </c>
      <c r="BX939" s="113">
        <f>INDEX('Gross Gen Plant'!$E$7:$AD$91,MATCH($C939,'Gross Gen Plant'!$D$7:$D$91,0),MATCH(Calculation!$G939,'Gross Gen Plant'!$E$5:$AD$5,0))</f>
        <v>126294</v>
      </c>
      <c r="BY939" s="113">
        <f t="shared" si="1605"/>
        <v>2771938</v>
      </c>
      <c r="BZ939" s="113"/>
      <c r="CA939" s="116">
        <v>2009</v>
      </c>
      <c r="CB939" s="113"/>
      <c r="CC939" s="113"/>
      <c r="CD939" s="113"/>
      <c r="CE939" s="175"/>
      <c r="CF939" s="113">
        <f t="shared" si="1697"/>
        <v>230392</v>
      </c>
      <c r="CG939" s="113">
        <f t="shared" si="1698"/>
        <v>418.17935474765221</v>
      </c>
      <c r="CH939" s="178">
        <v>0.93567251461988299</v>
      </c>
      <c r="CI939" s="61">
        <f>+CI928*CH939+CG929*CH938+CG930*CH937+CG931*CH936+CG932*CH935+CG933*CH934+CG934*CH933+CG935*CH932+CG936*CH931+CG937*CH930+CG938*CH929+CG939</f>
        <v>11744.97803345128</v>
      </c>
      <c r="CJ939" s="114">
        <f t="shared" si="1699"/>
        <v>2.9450089140471324E-2</v>
      </c>
      <c r="CK939" s="114"/>
      <c r="CL939" s="169">
        <f t="shared" si="1700"/>
        <v>6.7810802006602281E-3</v>
      </c>
      <c r="CM939" s="169">
        <f t="shared" si="1708"/>
        <v>6.5750761474918165E-3</v>
      </c>
      <c r="CN939" s="114">
        <f>VLOOKUP($H939,RoR!$E:$F,2,FALSE)</f>
        <v>5.3133333333333324E-2</v>
      </c>
      <c r="CO939" s="169">
        <v>7.7972502758210105E-3</v>
      </c>
      <c r="CP939" s="169">
        <f t="shared" si="1706"/>
        <v>4.5336083057512314E-2</v>
      </c>
      <c r="CQ939" s="169">
        <f t="shared" si="1709"/>
        <v>2.4326865461041808E-2</v>
      </c>
      <c r="CR939" s="169">
        <f t="shared" si="1710"/>
        <v>6.3720160300892073E-2</v>
      </c>
      <c r="CS939" s="179">
        <f t="shared" si="1701"/>
        <v>0.84885500000000003</v>
      </c>
      <c r="CT939" s="180">
        <f t="shared" si="1702"/>
        <v>0.96515780330083989</v>
      </c>
      <c r="CU939" s="180">
        <f t="shared" si="1703"/>
        <v>0.50448557089084056</v>
      </c>
      <c r="CV939" s="180">
        <f t="shared" si="1704"/>
        <v>0.87391435735465484</v>
      </c>
      <c r="CW939" s="180">
        <f t="shared" si="1705"/>
        <v>0.42551605393279146</v>
      </c>
      <c r="CX939" s="181">
        <f>INDEX('State Tax Lookup'!$D$7:$Z$91,MATCH(Calculation!$C939,'State Tax Lookup'!$B$7:$B$91,0),MATCH($H939,'State Tax Lookup'!$D$6:$Z$6,0))</f>
        <v>0.40849999999999997</v>
      </c>
      <c r="CY939" s="72">
        <v>0.37</v>
      </c>
      <c r="CZ939" s="70">
        <f t="shared" si="1707"/>
        <v>19.14256080335338</v>
      </c>
      <c r="DA939" s="70">
        <v>17.478615056163342</v>
      </c>
      <c r="DB939" s="69">
        <f t="shared" si="1711"/>
        <v>-4.1740606706355578E-2</v>
      </c>
      <c r="DC939" s="111">
        <f>VLOOKUP($H939,RoR!$E:$F,2,FALSE)</f>
        <v>5.3133333333333324E-2</v>
      </c>
      <c r="DD939" s="216">
        <f>HLOOKUP($H939,'GDP-PI'!$D$8:$CQ$11,3,FALSE)</f>
        <v>7.7972502758210105E-3</v>
      </c>
      <c r="DE939" s="111">
        <f>VLOOKUP(H939,'HW Dx Data'!$E:$F,2,FALSE)</f>
        <v>550.94063679692806</v>
      </c>
      <c r="DF939" s="72">
        <f t="shared" si="1721"/>
        <v>110.925</v>
      </c>
      <c r="DG939" s="69">
        <f t="shared" si="1722"/>
        <v>2.7649425000884052E-2</v>
      </c>
      <c r="DH939" s="66">
        <f>HLOOKUP(H939,'GDP-PI'!$8:$9,2,FALSE)</f>
        <v>94.998999999999995</v>
      </c>
      <c r="DI939" s="69">
        <f t="shared" si="1712"/>
        <v>7.7670088183096342E-3</v>
      </c>
      <c r="EB939"/>
    </row>
    <row r="940" spans="1:132" s="160" customFormat="1" ht="21">
      <c r="A940" s="160" t="s">
        <v>216</v>
      </c>
      <c r="B940" s="160" t="s">
        <v>216</v>
      </c>
      <c r="C940" s="160">
        <v>4057095</v>
      </c>
      <c r="D940" s="161" t="s">
        <v>196</v>
      </c>
      <c r="E940" s="161" t="s">
        <v>3</v>
      </c>
      <c r="F940" s="189"/>
      <c r="G940" s="160" t="s">
        <v>126</v>
      </c>
      <c r="H940" s="162">
        <v>2010</v>
      </c>
      <c r="I940" s="163"/>
      <c r="J940" s="159">
        <f>IFERROR(INDEX('Labor Expenditures'!$F$7:$X$91,MATCH($C940,'Labor Expenditures'!$D$7:$D$91,0),MATCH($G940,'Labor Expenditures'!$F$5:$X$5,0)),"NA")</f>
        <v>114778.31352530076</v>
      </c>
      <c r="K940" s="159">
        <f t="shared" si="1713"/>
        <v>981.64048343212119</v>
      </c>
      <c r="L940" s="165">
        <f t="shared" si="1719"/>
        <v>-6.2123113124531455E-2</v>
      </c>
      <c r="M940" s="76">
        <f t="shared" si="1723"/>
        <v>-3.26986924989774E-3</v>
      </c>
      <c r="N940" s="62">
        <f t="shared" si="1729"/>
        <v>96.863350057254266</v>
      </c>
      <c r="O940" s="96">
        <f t="shared" si="1724"/>
        <v>-0.19505094116315247</v>
      </c>
      <c r="P940" s="96"/>
      <c r="Q940" s="159">
        <f>IFERROR(INDEX('Non-Labor Expenditures'!$F$7:$AB$91,MATCH($C940,'Non-Labor Expenditures'!$D$7:$D$91,0),MATCH($G940,'Non-Labor Expenditures'!$F$5:$AB$5,0)),"NA")</f>
        <v>166220.43561650591</v>
      </c>
      <c r="R940" s="159">
        <f t="shared" si="1714"/>
        <v>1729.4991688240011</v>
      </c>
      <c r="S940" s="165">
        <f t="shared" si="1725"/>
        <v>-2.1061305584705394E-2</v>
      </c>
      <c r="T940" s="165">
        <f t="shared" si="1726"/>
        <v>-1.1085683255453744E-3</v>
      </c>
      <c r="U940" s="165"/>
      <c r="V940" s="165"/>
      <c r="W940" s="159">
        <f t="shared" si="1695"/>
        <v>230514.92378554461</v>
      </c>
      <c r="X940" s="163"/>
      <c r="Y940" s="167">
        <v>12200.250418985357</v>
      </c>
      <c r="Z940" s="168">
        <v>3.8030729855142061E-2</v>
      </c>
      <c r="AA940" s="76">
        <f t="shared" si="1715"/>
        <v>2.0017592140821236E-3</v>
      </c>
      <c r="AB940" s="168"/>
      <c r="AC940" s="168"/>
      <c r="AD940" s="163">
        <f t="shared" si="1645"/>
        <v>511513.67292735132</v>
      </c>
      <c r="AE940" s="168">
        <f t="shared" si="1727"/>
        <v>1.8834868420884984E-2</v>
      </c>
      <c r="AF940" s="163"/>
      <c r="AG940" s="163"/>
      <c r="AH940" s="163"/>
      <c r="AI940" s="163"/>
      <c r="AJ940" s="116">
        <f t="shared" si="1728"/>
        <v>287.63612327892554</v>
      </c>
      <c r="AK940" s="114">
        <f>+AV940/$AX$15</f>
        <v>5.0277011309737836E-2</v>
      </c>
      <c r="AL940" s="115">
        <f t="shared" si="1716"/>
        <v>0.22438953169801654</v>
      </c>
      <c r="AM940" s="115">
        <f t="shared" si="1717"/>
        <v>0.32495795208217959</v>
      </c>
      <c r="AN940" s="115">
        <f t="shared" si="1718"/>
        <v>0.45065251621980379</v>
      </c>
      <c r="AO940" s="115">
        <f t="shared" si="1720"/>
        <v>-4.2428707910161442E-3</v>
      </c>
      <c r="AP940" s="166">
        <f t="shared" si="1731"/>
        <v>97.131506691529339</v>
      </c>
      <c r="AQ940" s="168">
        <f t="shared" si="1732"/>
        <v>-4.242870791016015E-3</v>
      </c>
      <c r="AR940" s="69">
        <f>+AD940/$AF$15</f>
        <v>5.2635308912207739E-2</v>
      </c>
      <c r="AS940" s="169">
        <f t="shared" si="1730"/>
        <v>-2.2332481475971115E-4</v>
      </c>
      <c r="AT940" s="115"/>
      <c r="AU940" s="115"/>
      <c r="AV940" s="113">
        <f>IFERROR(INDEX('Total Customers'!$F$7:$AB$91,MATCH($C940,'Total Customers'!$D$7:$D$91,0),MATCH($G940,'Total Customers'!$F$5:$AB$5,0)),"NA")</f>
        <v>1778336</v>
      </c>
      <c r="AW940" s="68">
        <f t="shared" si="1646"/>
        <v>2.4175366987133052E-3</v>
      </c>
      <c r="AX940" s="114"/>
      <c r="AY940" s="114"/>
      <c r="AZ940" s="116">
        <v>8403441</v>
      </c>
      <c r="BA940" s="116"/>
      <c r="BB940" s="166"/>
      <c r="BC940" s="166"/>
      <c r="BD940" s="166"/>
      <c r="BE940" s="166"/>
      <c r="BF940" s="166"/>
      <c r="BG940" s="166"/>
      <c r="BH940" s="166"/>
      <c r="BI940" s="113"/>
      <c r="BJ940" s="113"/>
      <c r="BK940" s="113">
        <f>INDEX('Dist. Plant Gas Additions'!$F$7:$AE$91,MATCH($C940,'Dist. Plant Gas Additions'!$D$7:$D$91,0),MATCH(Calculation!$G940,'Dist. Plant Gas Additions'!$F$5:$AE$5,0))</f>
        <v>291120</v>
      </c>
      <c r="BL940" s="113">
        <f>INDEX('Gen. Plant Additions'!$F$7:$AE$91,MATCH($C940,'Gen. Plant Additions'!$D$7:$D$91,0),MATCH(Calculation!$G940,'Gen. Plant Additions'!$F$5:$AE$5,0))</f>
        <v>14641</v>
      </c>
      <c r="BM940" s="231">
        <f t="shared" si="1696"/>
        <v>0.97647521111669322</v>
      </c>
      <c r="BN940" s="61">
        <f t="shared" si="1733"/>
        <v>14296.573565959505</v>
      </c>
      <c r="BO940" s="113">
        <f>INDEX('Dist Plant Depreciation'!$E$7:$AD$94,MATCH($C940,'Dist Plant Depreciation'!$D$7:$D$94,0),MATCH(Calculation!$G940,'Dist Plant Depreciation'!$E$5:$AD$5,0))</f>
        <v>1755201</v>
      </c>
      <c r="BP940" s="113">
        <f>INDEX('Gen. Plant Depreciation'!$E$7:$AD$94,MATCH($C940,'Gen. Plant Depreciation'!$D$7:$D$94,0),MATCH(Calculation!$G940,'Gen. Plant Depreciation'!$E$5:$AD$5,0))</f>
        <v>51989</v>
      </c>
      <c r="BQ940" s="113"/>
      <c r="BR940" s="113"/>
      <c r="BS940" s="113"/>
      <c r="BT940" s="113"/>
      <c r="BU940" s="113"/>
      <c r="BV940" s="175"/>
      <c r="BW940" s="113">
        <f>INDEX('Gross Dx Plant'!$E$7:$AD$91,MATCH($C940,'Gross Dx Plant'!$D$7:$D$91,0),MATCH(Calculation!$G940,'Gross Dx Plant'!$E$5:$AD$5,0))</f>
        <v>4684259</v>
      </c>
      <c r="BX940" s="113">
        <f>INDEX('Gross Gen Plant'!$E$7:$AD$91,MATCH($C940,'Gross Gen Plant'!$D$7:$D$91,0),MATCH(Calculation!$G940,'Gross Gen Plant'!$E$5:$AD$5,0))</f>
        <v>112851</v>
      </c>
      <c r="BY940" s="113">
        <f t="shared" si="1605"/>
        <v>2989920</v>
      </c>
      <c r="BZ940" s="113"/>
      <c r="CA940" s="116">
        <v>2010</v>
      </c>
      <c r="CB940" s="113"/>
      <c r="CC940" s="113"/>
      <c r="CD940" s="113"/>
      <c r="CE940" s="175"/>
      <c r="CF940" s="113">
        <f t="shared" si="1697"/>
        <v>305761</v>
      </c>
      <c r="CG940" s="113">
        <f t="shared" si="1698"/>
        <v>537.3754675382487</v>
      </c>
      <c r="CH940" s="178">
        <v>0.9285714285714286</v>
      </c>
      <c r="CI940" s="61">
        <f>+CI928*CH940+CG929*CH939+CG930*CH938+CG931*CH937+CG932*CH936+CG933*CH935+CG934*CH934+CG935*CH933+CG936*CH932+CG937*CH931+CG938*CH930+CG939*CH929+CG940</f>
        <v>12200.250418985357</v>
      </c>
      <c r="CJ940" s="114">
        <f t="shared" si="1699"/>
        <v>3.8030729855142061E-2</v>
      </c>
      <c r="CK940" s="114"/>
      <c r="CL940" s="169">
        <f t="shared" si="1700"/>
        <v>6.9904840835232499E-3</v>
      </c>
      <c r="CM940" s="169">
        <f t="shared" si="1708"/>
        <v>6.7816012798625341E-3</v>
      </c>
      <c r="CN940" s="114">
        <f>VLOOKUP($H940,RoR!$E:$F,2,FALSE)</f>
        <v>4.9433333333333322E-2</v>
      </c>
      <c r="CO940" s="169">
        <v>1.1684333519300205E-2</v>
      </c>
      <c r="CP940" s="169">
        <f t="shared" si="1706"/>
        <v>3.7748999814033117E-2</v>
      </c>
      <c r="CQ940" s="169">
        <f t="shared" si="1709"/>
        <v>2.4120340328671091E-2</v>
      </c>
      <c r="CR940" s="169">
        <f t="shared" si="1710"/>
        <v>4.7937530248493419E-2</v>
      </c>
      <c r="CS940" s="179">
        <f t="shared" si="1701"/>
        <v>0.84885500000000003</v>
      </c>
      <c r="CT940" s="180">
        <f t="shared" si="1702"/>
        <v>1.037398205301105</v>
      </c>
      <c r="CU940" s="180">
        <f t="shared" si="1703"/>
        <v>0.46926837491571133</v>
      </c>
      <c r="CV940" s="180">
        <f t="shared" si="1704"/>
        <v>0.8548537519972772</v>
      </c>
      <c r="CW940" s="180">
        <f t="shared" si="1705"/>
        <v>0.41615833911547367</v>
      </c>
      <c r="CX940" s="181">
        <f>INDEX('State Tax Lookup'!$D$7:$Z$91,MATCH(Calculation!$C940,'State Tax Lookup'!$B$7:$B$91,0),MATCH($H940,'State Tax Lookup'!$D$6:$Z$6,0))</f>
        <v>0.40849999999999997</v>
      </c>
      <c r="CY940" s="72">
        <v>0.37</v>
      </c>
      <c r="CZ940" s="70">
        <f t="shared" si="1707"/>
        <v>19.626679856616764</v>
      </c>
      <c r="DA940" s="70">
        <v>17.956102603965455</v>
      </c>
      <c r="DB940" s="69">
        <f t="shared" si="1711"/>
        <v>2.497568744064298E-2</v>
      </c>
      <c r="DC940" s="111">
        <f>VLOOKUP($H940,RoR!$E:$F,2,FALSE)</f>
        <v>4.9433333333333322E-2</v>
      </c>
      <c r="DD940" s="216">
        <f>HLOOKUP($H940,'GDP-PI'!$D$8:$CQ$11,3,FALSE)</f>
        <v>1.1684333519300205E-2</v>
      </c>
      <c r="DE940" s="111">
        <f>VLOOKUP(H940,'HW Dx Data'!$E:$F,2,FALSE)</f>
        <v>568.98950262971744</v>
      </c>
      <c r="DF940" s="72">
        <f t="shared" si="1721"/>
        <v>116.925</v>
      </c>
      <c r="DG940" s="69">
        <f t="shared" si="1722"/>
        <v>5.2678406346976722E-2</v>
      </c>
      <c r="DH940" s="66">
        <f>HLOOKUP(H940,'GDP-PI'!$8:$9,2,FALSE)</f>
        <v>96.108999999999995</v>
      </c>
      <c r="DI940" s="69">
        <f t="shared" si="1712"/>
        <v>1.1616598807150427E-2</v>
      </c>
      <c r="EB940"/>
    </row>
    <row r="941" spans="1:132" s="160" customFormat="1" ht="21">
      <c r="A941" s="160" t="s">
        <v>216</v>
      </c>
      <c r="B941" s="160" t="s">
        <v>216</v>
      </c>
      <c r="C941" s="160">
        <v>4057095</v>
      </c>
      <c r="D941" s="161" t="s">
        <v>196</v>
      </c>
      <c r="E941" s="161" t="s">
        <v>3</v>
      </c>
      <c r="F941" s="189"/>
      <c r="G941" s="160" t="s">
        <v>127</v>
      </c>
      <c r="H941" s="162">
        <v>2011</v>
      </c>
      <c r="I941" s="163"/>
      <c r="J941" s="159">
        <f>IFERROR(INDEX('Labor Expenditures'!$F$7:$X$91,MATCH($C941,'Labor Expenditures'!$D$7:$D$91,0),MATCH($G941,'Labor Expenditures'!$F$5:$X$5,0)),"NA")</f>
        <v>112022.20995702814</v>
      </c>
      <c r="K941" s="159">
        <f t="shared" si="1713"/>
        <v>926.76078558037761</v>
      </c>
      <c r="L941" s="165">
        <f t="shared" si="1719"/>
        <v>-5.7529654804477533E-2</v>
      </c>
      <c r="M941" s="76">
        <f t="shared" si="1723"/>
        <v>-2.9870632294443748E-3</v>
      </c>
      <c r="N941" s="62">
        <f t="shared" si="1729"/>
        <v>117.13881708530947</v>
      </c>
      <c r="O941" s="96">
        <f t="shared" si="1724"/>
        <v>0.19005847934361478</v>
      </c>
      <c r="P941" s="96"/>
      <c r="Q941" s="159">
        <f>IFERROR(INDEX('Non-Labor Expenditures'!$F$7:$AB$91,MATCH($C941,'Non-Labor Expenditures'!$D$7:$D$91,0),MATCH($G941,'Non-Labor Expenditures'!$F$5:$AB$5,0)),"NA")</f>
        <v>162229.08288050757</v>
      </c>
      <c r="R941" s="159">
        <f t="shared" si="1714"/>
        <v>1653.5090802400071</v>
      </c>
      <c r="S941" s="165">
        <f t="shared" si="1725"/>
        <v>-4.4932123855818379E-2</v>
      </c>
      <c r="T941" s="165">
        <f t="shared" si="1726"/>
        <v>-2.332972367845835E-3</v>
      </c>
      <c r="U941" s="165"/>
      <c r="V941" s="165"/>
      <c r="W941" s="159">
        <f t="shared" si="1695"/>
        <v>255667.00525483073</v>
      </c>
      <c r="X941" s="163"/>
      <c r="Y941" s="167">
        <v>12436.428556494004</v>
      </c>
      <c r="Z941" s="168">
        <v>1.9173474887482524E-2</v>
      </c>
      <c r="AA941" s="76">
        <f t="shared" si="1715"/>
        <v>9.9552799354910536E-4</v>
      </c>
      <c r="AB941" s="168"/>
      <c r="AC941" s="168"/>
      <c r="AD941" s="163">
        <f t="shared" si="1645"/>
        <v>529918.29809236643</v>
      </c>
      <c r="AE941" s="168">
        <f t="shared" si="1727"/>
        <v>3.5348524045251663E-2</v>
      </c>
      <c r="AF941" s="163"/>
      <c r="AG941" s="163"/>
      <c r="AH941" s="163"/>
      <c r="AI941" s="163"/>
      <c r="AJ941" s="116">
        <f t="shared" si="1728"/>
        <v>297.89937211814737</v>
      </c>
      <c r="AK941" s="114">
        <f>+AV941/$AX$16</f>
        <v>5.0048886889515629E-2</v>
      </c>
      <c r="AL941" s="115">
        <f t="shared" si="1716"/>
        <v>0.21139524783403935</v>
      </c>
      <c r="AM941" s="115">
        <f t="shared" si="1717"/>
        <v>0.3061398020496936</v>
      </c>
      <c r="AN941" s="115">
        <f t="shared" si="1718"/>
        <v>0.48246495011626711</v>
      </c>
      <c r="AO941" s="115">
        <f t="shared" si="1720"/>
        <v>-1.7768003040720345E-2</v>
      </c>
      <c r="AP941" s="166">
        <f t="shared" si="1731"/>
        <v>95.420915681257583</v>
      </c>
      <c r="AQ941" s="168">
        <f t="shared" si="1732"/>
        <v>-1.7768003040720355E-2</v>
      </c>
      <c r="AR941" s="69">
        <f>+AD941/$AF$16</f>
        <v>5.1922147622757708E-2</v>
      </c>
      <c r="AS941" s="169">
        <f t="shared" si="1730"/>
        <v>-9.225528768418901E-4</v>
      </c>
      <c r="AT941" s="115"/>
      <c r="AU941" s="115"/>
      <c r="AV941" s="113">
        <f>IFERROR(INDEX('Total Customers'!$F$7:$AB$91,MATCH($C941,'Total Customers'!$D$7:$D$91,0),MATCH($G941,'Total Customers'!$F$5:$AB$5,0)),"NA")</f>
        <v>1778850</v>
      </c>
      <c r="AW941" s="68">
        <f t="shared" si="1646"/>
        <v>2.8899248089764203E-4</v>
      </c>
      <c r="AX941" s="114"/>
      <c r="AY941" s="114"/>
      <c r="AZ941" s="116">
        <v>8437841</v>
      </c>
      <c r="BA941" s="116"/>
      <c r="BB941" s="166"/>
      <c r="BC941" s="166"/>
      <c r="BD941" s="166"/>
      <c r="BE941" s="166"/>
      <c r="BF941" s="166"/>
      <c r="BG941" s="166"/>
      <c r="BH941" s="166"/>
      <c r="BI941" s="113"/>
      <c r="BJ941" s="113"/>
      <c r="BK941" s="113">
        <f>INDEX('Dist. Plant Gas Additions'!$F$7:$AE$91,MATCH($C941,'Dist. Plant Gas Additions'!$D$7:$D$91,0),MATCH(Calculation!$G941,'Dist. Plant Gas Additions'!$F$5:$AE$5,0))</f>
        <v>189163</v>
      </c>
      <c r="BL941" s="113">
        <f>INDEX('Gen. Plant Additions'!$F$7:$AE$91,MATCH($C941,'Gen. Plant Additions'!$D$7:$D$91,0),MATCH(Calculation!$G941,'Gen. Plant Additions'!$F$5:$AE$5,0))</f>
        <v>8908</v>
      </c>
      <c r="BM941" s="231">
        <f t="shared" si="1696"/>
        <v>0.9782375057970556</v>
      </c>
      <c r="BN941" s="61">
        <f t="shared" si="1733"/>
        <v>8714.1397016401716</v>
      </c>
      <c r="BO941" s="113">
        <f>INDEX('Dist Plant Depreciation'!$E$7:$AD$94,MATCH($C941,'Dist Plant Depreciation'!$D$7:$D$94,0),MATCH(Calculation!$G941,'Dist Plant Depreciation'!$E$5:$AD$5,0))</f>
        <v>1815936</v>
      </c>
      <c r="BP941" s="113">
        <f>INDEX('Gen. Plant Depreciation'!$E$7:$AD$94,MATCH($C941,'Gen. Plant Depreciation'!$D$7:$D$94,0),MATCH(Calculation!$G941,'Gen. Plant Depreciation'!$E$5:$AD$5,0))</f>
        <v>51112</v>
      </c>
      <c r="BQ941" s="113"/>
      <c r="BR941" s="113"/>
      <c r="BS941" s="113"/>
      <c r="BT941" s="113"/>
      <c r="BU941" s="113"/>
      <c r="BV941" s="175"/>
      <c r="BW941" s="113">
        <f>INDEX('Gross Dx Plant'!$E$7:$AD$91,MATCH($C941,'Gross Dx Plant'!$D$7:$D$91,0),MATCH(Calculation!$G941,'Gross Dx Plant'!$E$5:$AD$5,0))</f>
        <v>4857813</v>
      </c>
      <c r="BX941" s="113">
        <f>INDEX('Gross Gen Plant'!$E$7:$AD$91,MATCH($C941,'Gross Gen Plant'!$D$7:$D$91,0),MATCH(Calculation!$G941,'Gross Gen Plant'!$E$5:$AD$5,0))</f>
        <v>108070</v>
      </c>
      <c r="BY941" s="113">
        <f t="shared" si="1605"/>
        <v>3098835</v>
      </c>
      <c r="BZ941" s="113"/>
      <c r="CA941" s="116">
        <v>2011</v>
      </c>
      <c r="CB941" s="113"/>
      <c r="CC941" s="113"/>
      <c r="CD941" s="113"/>
      <c r="CE941" s="175"/>
      <c r="CF941" s="113">
        <f t="shared" si="1697"/>
        <v>198071</v>
      </c>
      <c r="CG941" s="113">
        <f t="shared" si="1698"/>
        <v>323.85122058057084</v>
      </c>
      <c r="CH941" s="178">
        <v>0.92121212121212126</v>
      </c>
      <c r="CI941" s="61">
        <f>+CI928*CH941+CG929*CH940+CG930*CH939+CG931*CH938+CG932*CH937+CG933*CH936+CG934*CH935+CG935*CH934+CG936*CH933+CG937*CH932+CG938*CH931+CG939*CH930+CG940*CH929+CG941</f>
        <v>12436.428556494004</v>
      </c>
      <c r="CJ941" s="114">
        <f t="shared" si="1699"/>
        <v>1.9173474887482524E-2</v>
      </c>
      <c r="CK941" s="114"/>
      <c r="CL941" s="169">
        <f t="shared" si="1700"/>
        <v>7.1861707801908889E-3</v>
      </c>
      <c r="CM941" s="169">
        <f t="shared" si="1708"/>
        <v>6.9859116881247881E-3</v>
      </c>
      <c r="CN941" s="114">
        <f>VLOOKUP($H941,RoR!$E:$F,2,FALSE)</f>
        <v>4.6391666666666664E-2</v>
      </c>
      <c r="CO941" s="169">
        <v>2.0840920205183799E-2</v>
      </c>
      <c r="CP941" s="169">
        <f t="shared" si="1706"/>
        <v>2.5550746461482865E-2</v>
      </c>
      <c r="CQ941" s="169">
        <f t="shared" si="1709"/>
        <v>2.3916029920408838E-2</v>
      </c>
      <c r="CR941" s="169">
        <f t="shared" si="1710"/>
        <v>2.4810540821321614E-2</v>
      </c>
      <c r="CS941" s="179">
        <f t="shared" si="1701"/>
        <v>0.84885500000000003</v>
      </c>
      <c r="CT941" s="180">
        <f t="shared" si="1702"/>
        <v>1.1054151524782025</v>
      </c>
      <c r="CU941" s="180">
        <f t="shared" si="1703"/>
        <v>0.43611011316687626</v>
      </c>
      <c r="CV941" s="180">
        <f t="shared" si="1704"/>
        <v>0.83698442246886229</v>
      </c>
      <c r="CW941" s="180">
        <f t="shared" si="1705"/>
        <v>0.40349573304423936</v>
      </c>
      <c r="CX941" s="181">
        <f>INDEX('State Tax Lookup'!$D$7:$Z$91,MATCH(Calculation!$C941,'State Tax Lookup'!$B$7:$B$91,0),MATCH($H941,'State Tax Lookup'!$D$6:$Z$6,0))</f>
        <v>0.40849999999999997</v>
      </c>
      <c r="CY941" s="72">
        <v>0.37</v>
      </c>
      <c r="CZ941" s="70">
        <f t="shared" si="1707"/>
        <v>20.955881762637908</v>
      </c>
      <c r="DA941" s="70">
        <v>19.146574949201604</v>
      </c>
      <c r="DB941" s="69">
        <f t="shared" si="1711"/>
        <v>6.5529501563206374E-2</v>
      </c>
      <c r="DC941" s="111">
        <f>VLOOKUP($H941,RoR!$E:$F,2,FALSE)</f>
        <v>4.6391666666666664E-2</v>
      </c>
      <c r="DD941" s="216">
        <f>HLOOKUP($H941,'GDP-PI'!$D$8:$CQ$11,3,FALSE)</f>
        <v>2.0840920205183799E-2</v>
      </c>
      <c r="DE941" s="111">
        <f>VLOOKUP(H941,'HW Dx Data'!$E:$F,2,FALSE)</f>
        <v>611.61109612283201</v>
      </c>
      <c r="DF941" s="72">
        <f t="shared" si="1721"/>
        <v>120.875</v>
      </c>
      <c r="DG941" s="69">
        <f t="shared" si="1722"/>
        <v>3.3224250161508609E-2</v>
      </c>
      <c r="DH941" s="66">
        <f>HLOOKUP(H941,'GDP-PI'!$8:$9,2,FALSE)</f>
        <v>98.111999999999995</v>
      </c>
      <c r="DI941" s="69">
        <f t="shared" si="1712"/>
        <v>2.0626719212849295E-2</v>
      </c>
      <c r="EB941"/>
    </row>
    <row r="942" spans="1:132" s="160" customFormat="1" ht="21">
      <c r="A942" s="160" t="s">
        <v>216</v>
      </c>
      <c r="B942" s="160" t="s">
        <v>216</v>
      </c>
      <c r="C942" s="160">
        <v>4057095</v>
      </c>
      <c r="D942" s="161" t="s">
        <v>196</v>
      </c>
      <c r="E942" s="161" t="s">
        <v>3</v>
      </c>
      <c r="F942" s="189"/>
      <c r="G942" s="160" t="s">
        <v>128</v>
      </c>
      <c r="H942" s="162">
        <v>2012</v>
      </c>
      <c r="I942" s="163"/>
      <c r="J942" s="159">
        <f>IFERROR(INDEX('Labor Expenditures'!$F$7:$X$91,MATCH($C942,'Labor Expenditures'!$D$7:$D$91,0),MATCH($G942,'Labor Expenditures'!$F$5:$X$5,0)),"NA")</f>
        <v>120409.38801234731</v>
      </c>
      <c r="K942" s="159">
        <f t="shared" si="1713"/>
        <v>964.8188142015008</v>
      </c>
      <c r="L942" s="165">
        <f t="shared" si="1719"/>
        <v>4.0244846374186037E-2</v>
      </c>
      <c r="M942" s="76">
        <f t="shared" si="1723"/>
        <v>2.1696167324862991E-3</v>
      </c>
      <c r="N942" s="62">
        <f t="shared" si="1729"/>
        <v>116.29981009184969</v>
      </c>
      <c r="O942" s="96">
        <f t="shared" si="1724"/>
        <v>-7.1882757049940597E-3</v>
      </c>
      <c r="P942" s="96"/>
      <c r="Q942" s="159">
        <f>IFERROR(INDEX('Non-Labor Expenditures'!$F$7:$AB$91,MATCH($C942,'Non-Labor Expenditures'!$D$7:$D$91,0),MATCH($G942,'Non-Labor Expenditures'!$F$5:$AB$5,0)),"NA")</f>
        <v>174375.28321338704</v>
      </c>
      <c r="R942" s="159">
        <f t="shared" si="1714"/>
        <v>1743.7528321338705</v>
      </c>
      <c r="S942" s="165">
        <f t="shared" si="1725"/>
        <v>5.3139845797312818E-2</v>
      </c>
      <c r="T942" s="165">
        <f t="shared" si="1726"/>
        <v>2.864791619071585E-3</v>
      </c>
      <c r="U942" s="165"/>
      <c r="V942" s="165"/>
      <c r="W942" s="159">
        <f t="shared" si="1695"/>
        <v>281735.16501334531</v>
      </c>
      <c r="X942" s="163"/>
      <c r="Y942" s="167">
        <v>12670.756734421959</v>
      </c>
      <c r="Z942" s="168">
        <v>1.8666766460831204E-2</v>
      </c>
      <c r="AA942" s="76">
        <f t="shared" si="1715"/>
        <v>1.0063332949088082E-3</v>
      </c>
      <c r="AB942" s="168"/>
      <c r="AC942" s="168"/>
      <c r="AD942" s="163">
        <f t="shared" si="1645"/>
        <v>576519.83623907971</v>
      </c>
      <c r="AE942" s="168">
        <f t="shared" si="1727"/>
        <v>8.4286907043713097E-2</v>
      </c>
      <c r="AF942" s="163"/>
      <c r="AG942" s="163"/>
      <c r="AH942" s="163"/>
      <c r="AI942" s="163"/>
      <c r="AJ942" s="116">
        <f t="shared" si="1728"/>
        <v>322.93597586834284</v>
      </c>
      <c r="AK942" s="114">
        <f>+AV942/$AX$17</f>
        <v>4.9988101104574224E-2</v>
      </c>
      <c r="AL942" s="115">
        <f t="shared" si="1716"/>
        <v>0.20885558560801049</v>
      </c>
      <c r="AM942" s="115">
        <f t="shared" si="1717"/>
        <v>0.30246189680293073</v>
      </c>
      <c r="AN942" s="115">
        <f t="shared" si="1718"/>
        <v>0.48868251758905867</v>
      </c>
      <c r="AO942" s="115">
        <f t="shared" si="1720"/>
        <v>3.3691056819096468E-2</v>
      </c>
      <c r="AP942" s="166">
        <f t="shared" si="1731"/>
        <v>98.690516051489723</v>
      </c>
      <c r="AQ942" s="168">
        <f t="shared" si="1732"/>
        <v>3.3691056819096406E-2</v>
      </c>
      <c r="AR942" s="69">
        <f>+AD942/$AF$17</f>
        <v>5.3910424015879477E-2</v>
      </c>
      <c r="AS942" s="169">
        <f t="shared" si="1730"/>
        <v>1.8162991586605749E-3</v>
      </c>
      <c r="AT942" s="115"/>
      <c r="AU942" s="115"/>
      <c r="AV942" s="113">
        <f>IFERROR(INDEX('Total Customers'!$F$7:$AB$91,MATCH($C942,'Total Customers'!$D$7:$D$91,0),MATCH($G942,'Total Customers'!$F$5:$AB$5,0)),"NA")</f>
        <v>1785245</v>
      </c>
      <c r="AW942" s="68">
        <f t="shared" si="1646"/>
        <v>3.5885726181940775E-3</v>
      </c>
      <c r="AX942" s="114"/>
      <c r="AY942" s="114"/>
      <c r="AZ942" s="116">
        <v>8485072</v>
      </c>
      <c r="BA942" s="116"/>
      <c r="BB942" s="166"/>
      <c r="BC942" s="166"/>
      <c r="BD942" s="166"/>
      <c r="BE942" s="166"/>
      <c r="BF942" s="166"/>
      <c r="BG942" s="166"/>
      <c r="BH942" s="166"/>
      <c r="BI942" s="113"/>
      <c r="BJ942" s="113"/>
      <c r="BK942" s="113">
        <f>INDEX('Dist. Plant Gas Additions'!$F$7:$AE$91,MATCH($C942,'Dist. Plant Gas Additions'!$D$7:$D$91,0),MATCH(Calculation!$G942,'Dist. Plant Gas Additions'!$F$5:$AE$5,0))</f>
        <v>213179</v>
      </c>
      <c r="BL942" s="113">
        <f>INDEX('Gen. Plant Additions'!$F$7:$AE$91,MATCH($C942,'Gen. Plant Additions'!$D$7:$D$91,0),MATCH(Calculation!$G942,'Gen. Plant Additions'!$F$5:$AE$5,0))</f>
        <v>5388</v>
      </c>
      <c r="BM942" s="231">
        <f t="shared" si="1696"/>
        <v>0.97988480751186779</v>
      </c>
      <c r="BN942" s="61">
        <f t="shared" si="1733"/>
        <v>5279.6193428739434</v>
      </c>
      <c r="BO942" s="113">
        <f>INDEX('Dist Plant Depreciation'!$E$7:$AD$94,MATCH($C942,'Dist Plant Depreciation'!$D$7:$D$94,0),MATCH(Calculation!$G942,'Dist Plant Depreciation'!$E$5:$AD$5,0))</f>
        <v>1853589</v>
      </c>
      <c r="BP942" s="113">
        <f>INDEX('Gen. Plant Depreciation'!$E$7:$AD$94,MATCH($C942,'Gen. Plant Depreciation'!$D$7:$D$94,0),MATCH(Calculation!$G942,'Gen. Plant Depreciation'!$E$5:$AD$5,0))</f>
        <v>52913</v>
      </c>
      <c r="BQ942" s="113"/>
      <c r="BR942" s="113"/>
      <c r="BS942" s="113"/>
      <c r="BT942" s="113"/>
      <c r="BU942" s="113"/>
      <c r="BV942" s="175"/>
      <c r="BW942" s="113">
        <f>INDEX('Gross Dx Plant'!$E$7:$AD$91,MATCH($C942,'Gross Dx Plant'!$D$7:$D$91,0),MATCH(Calculation!$G942,'Gross Dx Plant'!$E$5:$AD$5,0))</f>
        <v>5069193</v>
      </c>
      <c r="BX942" s="113">
        <f>INDEX('Gross Gen Plant'!$E$7:$AD$91,MATCH($C942,'Gross Gen Plant'!$D$7:$D$91,0),MATCH(Calculation!$G942,'Gross Gen Plant'!$E$5:$AD$5,0))</f>
        <v>104061</v>
      </c>
      <c r="BY942" s="113">
        <f t="shared" si="1605"/>
        <v>3266752</v>
      </c>
      <c r="BZ942" s="113"/>
      <c r="CA942" s="116">
        <v>2012</v>
      </c>
      <c r="CB942" s="113"/>
      <c r="CC942" s="113"/>
      <c r="CD942" s="113"/>
      <c r="CE942" s="175"/>
      <c r="CF942" s="113">
        <f t="shared" si="1697"/>
        <v>218567</v>
      </c>
      <c r="CG942" s="113">
        <f t="shared" si="1698"/>
        <v>326.74642931483635</v>
      </c>
      <c r="CH942" s="178">
        <v>0.9135802469135802</v>
      </c>
      <c r="CI942" s="61">
        <f>+CI928*CH942+CG929*CH941+CG930*CH940+CG931*CH939+CG932*CH938+CG933*CH937+CG934*CH936+CG935*CH935+CG936*CH934+CG937*CH933+CG938*CH932+CG939*CH931+CG940*CH930+CG941*CH929+CG942</f>
        <v>12670.756734421959</v>
      </c>
      <c r="CJ942" s="114">
        <f t="shared" si="1699"/>
        <v>1.8666766460831204E-2</v>
      </c>
      <c r="CK942" s="114"/>
      <c r="CL942" s="169">
        <f t="shared" si="1700"/>
        <v>7.431253351157855E-3</v>
      </c>
      <c r="CM942" s="169">
        <f t="shared" si="1708"/>
        <v>7.2026360716239976E-3</v>
      </c>
      <c r="CN942" s="114">
        <f>VLOOKUP($H942,RoR!$E:$F,2,FALSE)</f>
        <v>3.6733333333333333E-2</v>
      </c>
      <c r="CO942" s="169">
        <v>1.924331376386168E-2</v>
      </c>
      <c r="CP942" s="169">
        <f t="shared" si="1706"/>
        <v>1.7490019569471653E-2</v>
      </c>
      <c r="CQ942" s="169">
        <f t="shared" si="1709"/>
        <v>2.3699305536909628E-2</v>
      </c>
      <c r="CR942" s="169">
        <f t="shared" si="1710"/>
        <v>6.7122682943869583E-2</v>
      </c>
      <c r="CS942" s="179">
        <f t="shared" si="1701"/>
        <v>0.84885500000000003</v>
      </c>
      <c r="CT942" s="180">
        <f t="shared" si="1702"/>
        <v>1.3960631020522127</v>
      </c>
      <c r="CU942" s="180">
        <f t="shared" si="1703"/>
        <v>0.29441923774954631</v>
      </c>
      <c r="CV942" s="180">
        <f t="shared" si="1704"/>
        <v>0.76377954189366437</v>
      </c>
      <c r="CW942" s="180">
        <f t="shared" si="1705"/>
        <v>0.31393465103033691</v>
      </c>
      <c r="CX942" s="181">
        <f>INDEX('State Tax Lookup'!$D$7:$Z$91,MATCH(Calculation!$C942,'State Tax Lookup'!$B$7:$B$91,0),MATCH($H942,'State Tax Lookup'!$D$6:$Z$6,0))</f>
        <v>0.40849999999999997</v>
      </c>
      <c r="CY942" s="72">
        <v>0.37</v>
      </c>
      <c r="CZ942" s="70">
        <f t="shared" si="1707"/>
        <v>22.65402512735298</v>
      </c>
      <c r="DA942" s="70">
        <v>20.759737328210988</v>
      </c>
      <c r="DB942" s="69">
        <f t="shared" si="1711"/>
        <v>7.7918186599646513E-2</v>
      </c>
      <c r="DC942" s="111">
        <f>VLOOKUP($H942,RoR!$E:$F,2,FALSE)</f>
        <v>3.6733333333333333E-2</v>
      </c>
      <c r="DD942" s="216">
        <f>HLOOKUP($H942,'GDP-PI'!$D$8:$CQ$11,3,FALSE)</f>
        <v>1.924331376386168E-2</v>
      </c>
      <c r="DE942" s="111">
        <f>VLOOKUP(H942,'HW Dx Data'!$E:$F,2,FALSE)</f>
        <v>668.91932211262167</v>
      </c>
      <c r="DF942" s="72">
        <f t="shared" si="1721"/>
        <v>124.80000000000001</v>
      </c>
      <c r="DG942" s="69">
        <f t="shared" si="1722"/>
        <v>3.1955502161869064E-2</v>
      </c>
      <c r="DH942" s="66">
        <f>HLOOKUP(H942,'GDP-PI'!$8:$9,2,FALSE)</f>
        <v>100</v>
      </c>
      <c r="DI942" s="69">
        <f t="shared" si="1712"/>
        <v>1.9060502738742411E-2</v>
      </c>
      <c r="EB942"/>
    </row>
    <row r="943" spans="1:132" s="160" customFormat="1" ht="21">
      <c r="A943" s="160" t="s">
        <v>216</v>
      </c>
      <c r="B943" s="160" t="s">
        <v>216</v>
      </c>
      <c r="C943" s="160">
        <v>4057095</v>
      </c>
      <c r="D943" s="161" t="s">
        <v>196</v>
      </c>
      <c r="E943" s="161" t="s">
        <v>3</v>
      </c>
      <c r="F943" s="189"/>
      <c r="G943" s="160" t="s">
        <v>129</v>
      </c>
      <c r="H943" s="162">
        <v>2013</v>
      </c>
      <c r="I943" s="163"/>
      <c r="J943" s="159">
        <f>IFERROR(INDEX('Labor Expenditures'!$F$7:$X$91,MATCH($C943,'Labor Expenditures'!$D$7:$D$91,0),MATCH($G943,'Labor Expenditures'!$F$5:$X$5,0)),"NA")</f>
        <v>123190.98794614014</v>
      </c>
      <c r="K943" s="159">
        <f t="shared" si="1713"/>
        <v>971.53775982760362</v>
      </c>
      <c r="L943" s="165">
        <f t="shared" si="1719"/>
        <v>6.9398092087987889E-3</v>
      </c>
      <c r="M943" s="76">
        <f t="shared" si="1723"/>
        <v>3.6518784266442283E-4</v>
      </c>
      <c r="N943" s="62">
        <f t="shared" si="1729"/>
        <v>106.4215597342896</v>
      </c>
      <c r="O943" s="96">
        <f t="shared" si="1724"/>
        <v>-8.8763241144404106E-2</v>
      </c>
      <c r="P943" s="96"/>
      <c r="Q943" s="159">
        <f>IFERROR(INDEX('Non-Labor Expenditures'!$F$7:$AB$91,MATCH($C943,'Non-Labor Expenditures'!$D$7:$D$91,0),MATCH($G943,'Non-Labor Expenditures'!$F$5:$AB$5,0)),"NA")</f>
        <v>178403.55944872284</v>
      </c>
      <c r="R943" s="159">
        <f t="shared" si="1714"/>
        <v>1752.9556901017249</v>
      </c>
      <c r="S943" s="165">
        <f t="shared" si="1725"/>
        <v>5.2637382600866861E-3</v>
      </c>
      <c r="T943" s="165">
        <f t="shared" si="1726"/>
        <v>2.7698934678406848E-4</v>
      </c>
      <c r="U943" s="165"/>
      <c r="V943" s="165"/>
      <c r="W943" s="159">
        <f t="shared" si="1695"/>
        <v>282050.26363212743</v>
      </c>
      <c r="X943" s="163"/>
      <c r="Y943" s="167">
        <v>12791.637080546625</v>
      </c>
      <c r="Z943" s="168">
        <v>9.4948852919332621E-3</v>
      </c>
      <c r="AA943" s="76">
        <f t="shared" si="1715"/>
        <v>4.9964149903588509E-4</v>
      </c>
      <c r="AB943" s="168"/>
      <c r="AC943" s="168"/>
      <c r="AD943" s="163">
        <f t="shared" si="1645"/>
        <v>583644.81102699041</v>
      </c>
      <c r="AE943" s="168">
        <f t="shared" si="1727"/>
        <v>1.2282850339007572E-2</v>
      </c>
      <c r="AF943" s="163"/>
      <c r="AG943" s="163"/>
      <c r="AH943" s="163"/>
      <c r="AI943" s="163"/>
      <c r="AJ943" s="116">
        <f t="shared" si="1728"/>
        <v>326.01994122874299</v>
      </c>
      <c r="AK943" s="114">
        <f>+AV943/$AX$18</f>
        <v>4.9807703821818379E-2</v>
      </c>
      <c r="AL943" s="115">
        <f t="shared" si="1716"/>
        <v>0.21107184647006694</v>
      </c>
      <c r="AM943" s="115">
        <f t="shared" si="1717"/>
        <v>0.30567145647161875</v>
      </c>
      <c r="AN943" s="115">
        <f t="shared" si="1718"/>
        <v>0.48325669705831437</v>
      </c>
      <c r="AO943" s="115">
        <f t="shared" si="1720"/>
        <v>7.6718612064186186E-3</v>
      </c>
      <c r="AP943" s="166">
        <f t="shared" si="1731"/>
        <v>99.45056777078787</v>
      </c>
      <c r="AQ943" s="168">
        <f t="shared" si="1732"/>
        <v>7.6718612064186672E-3</v>
      </c>
      <c r="AR943" s="69">
        <f>+AD943/$AF$18</f>
        <v>5.2622173272632834E-2</v>
      </c>
      <c r="AS943" s="169">
        <f t="shared" si="1730"/>
        <v>4.037100097277531E-4</v>
      </c>
      <c r="AT943" s="115"/>
      <c r="AU943" s="115"/>
      <c r="AV943" s="113">
        <f>IFERROR(INDEX('Total Customers'!$F$7:$AB$91,MATCH($C943,'Total Customers'!$D$7:$D$91,0),MATCH($G943,'Total Customers'!$F$5:$AB$5,0)),"NA")</f>
        <v>1790212</v>
      </c>
      <c r="AW943" s="68">
        <f t="shared" si="1646"/>
        <v>2.7783878789224958E-3</v>
      </c>
      <c r="AX943" s="114"/>
      <c r="AY943" s="114"/>
      <c r="AZ943" s="116">
        <v>8534921</v>
      </c>
      <c r="BA943" s="116"/>
      <c r="BB943" s="166"/>
      <c r="BC943" s="166"/>
      <c r="BD943" s="166"/>
      <c r="BE943" s="166"/>
      <c r="BF943" s="166"/>
      <c r="BG943" s="166"/>
      <c r="BH943" s="166"/>
      <c r="BI943" s="113"/>
      <c r="BJ943" s="113"/>
      <c r="BK943" s="113">
        <f>INDEX('Dist. Plant Gas Additions'!$F$7:$AE$91,MATCH($C943,'Dist. Plant Gas Additions'!$D$7:$D$91,0),MATCH(Calculation!$G943,'Dist. Plant Gas Additions'!$F$5:$AE$5,0))</f>
        <v>143751</v>
      </c>
      <c r="BL943" s="113">
        <f>INDEX('Gen. Plant Additions'!$F$7:$AE$91,MATCH($C943,'Gen. Plant Additions'!$D$7:$D$91,0),MATCH(Calculation!$G943,'Gen. Plant Additions'!$F$5:$AE$5,0))</f>
        <v>1022</v>
      </c>
      <c r="BM943" s="231">
        <f t="shared" si="1696"/>
        <v>0.98202212644055276</v>
      </c>
      <c r="BN943" s="61">
        <f t="shared" si="1733"/>
        <v>1003.6266132222449</v>
      </c>
      <c r="BO943" s="113">
        <f>INDEX('Dist Plant Depreciation'!$E$7:$AD$94,MATCH($C943,'Dist Plant Depreciation'!$D$7:$D$94,0),MATCH(Calculation!$G943,'Dist Plant Depreciation'!$E$5:$AD$5,0))</f>
        <v>1931747</v>
      </c>
      <c r="BP943" s="113">
        <f>INDEX('Gen. Plant Depreciation'!$E$7:$AD$94,MATCH($C943,'Gen. Plant Depreciation'!$D$7:$D$94,0),MATCH(Calculation!$G943,'Gen. Plant Depreciation'!$E$5:$AD$5,0))</f>
        <v>53154</v>
      </c>
      <c r="BQ943" s="113"/>
      <c r="BR943" s="113"/>
      <c r="BS943" s="113"/>
      <c r="BT943" s="113"/>
      <c r="BU943" s="113"/>
      <c r="BV943" s="175"/>
      <c r="BW943" s="113">
        <f>INDEX('Gross Dx Plant'!$E$7:$AD$91,MATCH($C943,'Gross Dx Plant'!$D$7:$D$91,0),MATCH(Calculation!$G943,'Gross Dx Plant'!$E$5:$AD$5,0))</f>
        <v>5237998</v>
      </c>
      <c r="BX943" s="113">
        <f>INDEX('Gross Gen Plant'!$E$7:$AD$91,MATCH($C943,'Gross Gen Plant'!$D$7:$D$91,0),MATCH(Calculation!$G943,'Gross Gen Plant'!$E$5:$AD$5,0))</f>
        <v>95892</v>
      </c>
      <c r="BY943" s="113">
        <f t="shared" si="1605"/>
        <v>3348989</v>
      </c>
      <c r="BZ943" s="113"/>
      <c r="CA943" s="116">
        <v>2013</v>
      </c>
      <c r="CB943" s="113"/>
      <c r="CC943" s="113"/>
      <c r="CD943" s="113"/>
      <c r="CE943" s="175"/>
      <c r="CF943" s="113">
        <f t="shared" si="1697"/>
        <v>144773</v>
      </c>
      <c r="CG943" s="113">
        <f t="shared" si="1698"/>
        <v>218.27870041154986</v>
      </c>
      <c r="CH943" s="178">
        <v>0.90566037735849059</v>
      </c>
      <c r="CI943" s="61">
        <f>+CI928*CH943+CG929*CH942+CG930*CH941+CG931*CH940+CG932*CH939+CG933*CH938+CG934*CH937+CG935*CH936+CG936*CH935+CG937*CH934+CG938*CH933+CG939*CH932+CG940*CH931+CG941*CH930+CG942*CH929+CG943</f>
        <v>12791.637080546625</v>
      </c>
      <c r="CJ943" s="114">
        <f t="shared" si="1699"/>
        <v>9.4948852919332621E-3</v>
      </c>
      <c r="CK943" s="114"/>
      <c r="CL943" s="169">
        <f t="shared" si="1700"/>
        <v>7.6868616711965477E-3</v>
      </c>
      <c r="CM943" s="169">
        <f t="shared" si="1708"/>
        <v>7.4347619341817639E-3</v>
      </c>
      <c r="CN943" s="114">
        <f>VLOOKUP($H943,RoR!$E:$F,2,FALSE)</f>
        <v>4.2350000000000006E-2</v>
      </c>
      <c r="CO943" s="169">
        <v>1.7730000000000024E-2</v>
      </c>
      <c r="CP943" s="169">
        <f t="shared" si="1706"/>
        <v>2.4619999999999982E-2</v>
      </c>
      <c r="CQ943" s="169">
        <f t="shared" si="1709"/>
        <v>2.346717967435186E-2</v>
      </c>
      <c r="CR943" s="169">
        <f t="shared" si="1710"/>
        <v>5.3376742735721204E-2</v>
      </c>
      <c r="CS943" s="179">
        <f t="shared" si="1701"/>
        <v>0.84885500000000003</v>
      </c>
      <c r="CT943" s="180">
        <f t="shared" si="1702"/>
        <v>1.2109103018193925</v>
      </c>
      <c r="CU943" s="180">
        <f t="shared" si="1703"/>
        <v>0.38468122786304604</v>
      </c>
      <c r="CV943" s="180">
        <f t="shared" si="1704"/>
        <v>0.80969194503422559</v>
      </c>
      <c r="CW943" s="180">
        <f t="shared" si="1705"/>
        <v>0.37716621754800816</v>
      </c>
      <c r="CX943" s="181">
        <f>INDEX('State Tax Lookup'!$D$7:$Z$91,MATCH(Calculation!$C943,'State Tax Lookup'!$B$7:$B$91,0),MATCH($H943,'State Tax Lookup'!$D$6:$Z$6,0))</f>
        <v>0.40849999999999997</v>
      </c>
      <c r="CY943" s="72">
        <v>0.37</v>
      </c>
      <c r="CZ943" s="70">
        <f t="shared" si="1707"/>
        <v>22.25993834021742</v>
      </c>
      <c r="DA943" s="70">
        <v>20.339519021246105</v>
      </c>
      <c r="DB943" s="69">
        <f t="shared" si="1711"/>
        <v>-1.7548970095118237E-2</v>
      </c>
      <c r="DC943" s="111">
        <f>VLOOKUP($H943,RoR!$E:$F,2,FALSE)</f>
        <v>4.2350000000000006E-2</v>
      </c>
      <c r="DD943" s="216">
        <f>HLOOKUP($H943,'GDP-PI'!$D$8:$CQ$11,3,FALSE)</f>
        <v>1.7730000000000024E-2</v>
      </c>
      <c r="DE943" s="111">
        <f>VLOOKUP(H943,'HW Dx Data'!$E:$F,2,FALSE)</f>
        <v>663.24840548821396</v>
      </c>
      <c r="DF943" s="72">
        <f t="shared" si="1721"/>
        <v>126.8</v>
      </c>
      <c r="DG943" s="69">
        <f t="shared" si="1722"/>
        <v>1.5898586067798204E-2</v>
      </c>
      <c r="DH943" s="66">
        <f>HLOOKUP(H943,'GDP-PI'!$8:$9,2,FALSE)</f>
        <v>101.773</v>
      </c>
      <c r="DI943" s="69">
        <f t="shared" si="1712"/>
        <v>1.7574657016510519E-2</v>
      </c>
      <c r="EB943"/>
    </row>
    <row r="944" spans="1:132" s="160" customFormat="1" ht="21">
      <c r="A944" s="160" t="s">
        <v>216</v>
      </c>
      <c r="B944" s="160" t="s">
        <v>216</v>
      </c>
      <c r="C944" s="160">
        <v>4057095</v>
      </c>
      <c r="D944" s="161" t="s">
        <v>196</v>
      </c>
      <c r="E944" s="161" t="s">
        <v>3</v>
      </c>
      <c r="F944" s="189"/>
      <c r="G944" s="160" t="s">
        <v>130</v>
      </c>
      <c r="H944" s="162">
        <v>2014</v>
      </c>
      <c r="I944" s="163"/>
      <c r="J944" s="159">
        <f>IFERROR(INDEX('Labor Expenditures'!$F$7:$X$91,MATCH($C944,'Labor Expenditures'!$D$7:$D$91,0),MATCH($G944,'Labor Expenditures'!$F$5:$X$5,0)),"NA")</f>
        <v>105362.98046965661</v>
      </c>
      <c r="K944" s="159">
        <f t="shared" si="1713"/>
        <v>814.24250749348232</v>
      </c>
      <c r="L944" s="165">
        <f t="shared" si="1719"/>
        <v>-0.17662189322840258</v>
      </c>
      <c r="M944" s="76">
        <f t="shared" si="1723"/>
        <v>-8.5135636874702214E-3</v>
      </c>
      <c r="N944" s="62">
        <f t="shared" si="1729"/>
        <v>119.14824620096968</v>
      </c>
      <c r="O944" s="96">
        <f t="shared" si="1724"/>
        <v>0.11296029872041147</v>
      </c>
      <c r="P944" s="96"/>
      <c r="Q944" s="159">
        <f>IFERROR(INDEX('Non-Labor Expenditures'!$F$7:$AB$91,MATCH($C944,'Non-Labor Expenditures'!$D$7:$D$91,0),MATCH($G944,'Non-Labor Expenditures'!$F$5:$AB$5,0)),"NA")</f>
        <v>152585.27481029072</v>
      </c>
      <c r="R944" s="159">
        <f t="shared" si="1714"/>
        <v>1472.1629647774728</v>
      </c>
      <c r="S944" s="165">
        <f t="shared" si="1725"/>
        <v>-0.17457060506298408</v>
      </c>
      <c r="T944" s="165">
        <f t="shared" si="1726"/>
        <v>-8.4146870866228917E-3</v>
      </c>
      <c r="U944" s="165"/>
      <c r="V944" s="165"/>
      <c r="W944" s="159">
        <f t="shared" si="1695"/>
        <v>290821.31587137305</v>
      </c>
      <c r="X944" s="163"/>
      <c r="Y944" s="167">
        <v>13106.329002901763</v>
      </c>
      <c r="Z944" s="168">
        <v>2.4303639214747937E-2</v>
      </c>
      <c r="AA944" s="76">
        <f t="shared" si="1715"/>
        <v>1.1714888596765535E-3</v>
      </c>
      <c r="AB944" s="168"/>
      <c r="AC944" s="168"/>
      <c r="AD944" s="163">
        <f t="shared" si="1645"/>
        <v>548769.57115132036</v>
      </c>
      <c r="AE944" s="168">
        <f t="shared" si="1727"/>
        <v>-6.161396878151193E-2</v>
      </c>
      <c r="AF944" s="163"/>
      <c r="AG944" s="163"/>
      <c r="AH944" s="163"/>
      <c r="AI944" s="163"/>
      <c r="AJ944" s="116">
        <f t="shared" si="1728"/>
        <v>305.22842294241406</v>
      </c>
      <c r="AK944" s="114">
        <f>+AV944/$AX$19</f>
        <v>4.9754244917127363E-2</v>
      </c>
      <c r="AL944" s="115">
        <f t="shared" si="1716"/>
        <v>0.19199858375639292</v>
      </c>
      <c r="AM944" s="115">
        <f t="shared" si="1717"/>
        <v>0.27804980966813869</v>
      </c>
      <c r="AN944" s="115">
        <f t="shared" si="1718"/>
        <v>0.52995160657546847</v>
      </c>
      <c r="AO944" s="115">
        <f t="shared" si="1720"/>
        <v>-7.4233494024115221E-2</v>
      </c>
      <c r="AP944" s="166">
        <f t="shared" si="1731"/>
        <v>92.335364952011503</v>
      </c>
      <c r="AQ944" s="168">
        <f t="shared" si="1732"/>
        <v>-7.4233494024115207E-2</v>
      </c>
      <c r="AR944" s="69">
        <f>+AD944/$AF$19</f>
        <v>4.8202199239596615E-2</v>
      </c>
      <c r="AS944" s="169">
        <f t="shared" si="1730"/>
        <v>-3.5782176692018058E-3</v>
      </c>
      <c r="AT944" s="115"/>
      <c r="AU944" s="115"/>
      <c r="AV944" s="113">
        <f>IFERROR(INDEX('Total Customers'!$F$7:$AB$91,MATCH($C944,'Total Customers'!$D$7:$D$91,0),MATCH($G944,'Total Customers'!$F$5:$AB$5,0)),"NA")</f>
        <v>1797898</v>
      </c>
      <c r="AW944" s="68">
        <f t="shared" si="1646"/>
        <v>4.284156146678578E-3</v>
      </c>
      <c r="AX944" s="114"/>
      <c r="AY944" s="114"/>
      <c r="AZ944" s="116">
        <v>8599754</v>
      </c>
      <c r="BA944" s="116"/>
      <c r="BB944" s="166"/>
      <c r="BC944" s="166"/>
      <c r="BD944" s="166"/>
      <c r="BE944" s="166"/>
      <c r="BF944" s="166"/>
      <c r="BG944" s="166"/>
      <c r="BH944" s="166"/>
      <c r="BI944" s="113"/>
      <c r="BJ944" s="113"/>
      <c r="BK944" s="113">
        <f>INDEX('Dist. Plant Gas Additions'!$F$7:$AE$91,MATCH($C944,'Dist. Plant Gas Additions'!$D$7:$D$91,0),MATCH(Calculation!$G944,'Dist. Plant Gas Additions'!$F$5:$AE$5,0))</f>
        <v>277317</v>
      </c>
      <c r="BL944" s="113">
        <f>INDEX('Gen. Plant Additions'!$F$7:$AE$91,MATCH($C944,'Gen. Plant Additions'!$D$7:$D$91,0),MATCH(Calculation!$G944,'Gen. Plant Additions'!$F$5:$AE$5,0))</f>
        <v>7947</v>
      </c>
      <c r="BM944" s="231">
        <f t="shared" si="1696"/>
        <v>0.9833401560231213</v>
      </c>
      <c r="BN944" s="61">
        <f t="shared" si="1733"/>
        <v>7814.6042199157446</v>
      </c>
      <c r="BO944" s="113">
        <f>INDEX('Dist Plant Depreciation'!$E$7:$AD$94,MATCH($C944,'Dist Plant Depreciation'!$D$7:$D$94,0),MATCH(Calculation!$G944,'Dist Plant Depreciation'!$E$5:$AD$5,0))</f>
        <v>1984623</v>
      </c>
      <c r="BP944" s="113">
        <f>INDEX('Gen. Plant Depreciation'!$E$7:$AD$94,MATCH($C944,'Gen. Plant Depreciation'!$D$7:$D$94,0),MATCH(Calculation!$G944,'Gen. Plant Depreciation'!$E$5:$AD$5,0))</f>
        <v>46682</v>
      </c>
      <c r="BQ944" s="113"/>
      <c r="BR944" s="113"/>
      <c r="BS944" s="113"/>
      <c r="BT944" s="113"/>
      <c r="BU944" s="113"/>
      <c r="BV944" s="175"/>
      <c r="BW944" s="113">
        <f>INDEX('Gross Dx Plant'!$E$7:$AD$91,MATCH($C944,'Gross Dx Plant'!$D$7:$D$91,0),MATCH(Calculation!$G944,'Gross Dx Plant'!$E$5:$AD$5,0))</f>
        <v>5488872</v>
      </c>
      <c r="BX944" s="113">
        <f>INDEX('Gross Gen Plant'!$E$7:$AD$91,MATCH($C944,'Gross Gen Plant'!$D$7:$D$91,0),MATCH(Calculation!$G944,'Gross Gen Plant'!$E$5:$AD$5,0))</f>
        <v>92993</v>
      </c>
      <c r="BY944" s="113">
        <f t="shared" si="1605"/>
        <v>3550560</v>
      </c>
      <c r="BZ944" s="113"/>
      <c r="CA944" s="116">
        <v>2014</v>
      </c>
      <c r="CB944" s="113"/>
      <c r="CC944" s="113"/>
      <c r="CD944" s="113"/>
      <c r="CE944" s="175"/>
      <c r="CF944" s="113">
        <f t="shared" si="1697"/>
        <v>285264</v>
      </c>
      <c r="CG944" s="113">
        <f t="shared" si="1698"/>
        <v>416.76677901363962</v>
      </c>
      <c r="CH944" s="178">
        <v>0.89743589743589747</v>
      </c>
      <c r="CI944" s="61">
        <f>+CI928*CH944+CG929*CH943+CG930*CH942+CG931*CH941+CG932*CH940+CG933*CH939+CG934*CH938+CG935*CH937+CG936*CH936+CG937*CH935+CG938*CH934+CG939*CH933+CG940*CH932+CG941*CH931+CG942*CH930+CG943*CH929+CG944</f>
        <v>13106.329002901763</v>
      </c>
      <c r="CJ944" s="114">
        <f t="shared" si="1699"/>
        <v>2.4303639214747937E-2</v>
      </c>
      <c r="CK944" s="114"/>
      <c r="CL944" s="169">
        <f t="shared" si="1700"/>
        <v>7.9798118110883751E-3</v>
      </c>
      <c r="CM944" s="169">
        <f t="shared" si="1708"/>
        <v>7.699308944480926E-3</v>
      </c>
      <c r="CN944" s="114">
        <f>VLOOKUP($H944,RoR!$E:$F,2,FALSE)</f>
        <v>4.1625000000000002E-2</v>
      </c>
      <c r="CO944" s="169">
        <v>1.841352814597208E-2</v>
      </c>
      <c r="CP944" s="169">
        <f t="shared" si="1706"/>
        <v>2.3211471854027922E-2</v>
      </c>
      <c r="CQ944" s="169">
        <f t="shared" si="1709"/>
        <v>2.3202632664052699E-2</v>
      </c>
      <c r="CR944" s="169">
        <f t="shared" si="1710"/>
        <v>3.9072621432650924E-2</v>
      </c>
      <c r="CS944" s="179">
        <f t="shared" si="1701"/>
        <v>0.84885500000000003</v>
      </c>
      <c r="CT944" s="180">
        <f t="shared" si="1702"/>
        <v>1.2320012320012319</v>
      </c>
      <c r="CU944" s="180">
        <f t="shared" si="1703"/>
        <v>0.37439939939939942</v>
      </c>
      <c r="CV944" s="180">
        <f t="shared" si="1704"/>
        <v>0.80432100613819935</v>
      </c>
      <c r="CW944" s="180">
        <f t="shared" si="1705"/>
        <v>0.37100152660040037</v>
      </c>
      <c r="CX944" s="181">
        <f>INDEX('State Tax Lookup'!$D$7:$Z$91,MATCH(Calculation!$C944,'State Tax Lookup'!$B$7:$B$91,0),MATCH($H944,'State Tax Lookup'!$D$6:$Z$6,0))</f>
        <v>0.40849999999999997</v>
      </c>
      <c r="CY944" s="72">
        <v>0.37</v>
      </c>
      <c r="CZ944" s="70">
        <f t="shared" si="1707"/>
        <v>22.735269460830057</v>
      </c>
      <c r="DA944" s="70">
        <v>20.763592984765573</v>
      </c>
      <c r="DB944" s="69">
        <f t="shared" si="1711"/>
        <v>2.1128863591180689E-2</v>
      </c>
      <c r="DC944" s="111">
        <f>VLOOKUP($H944,RoR!$E:$F,2,FALSE)</f>
        <v>4.1625000000000002E-2</v>
      </c>
      <c r="DD944" s="216">
        <f>HLOOKUP($H944,'GDP-PI'!$D$8:$CQ$11,3,FALSE)</f>
        <v>1.841352814597208E-2</v>
      </c>
      <c r="DE944" s="111">
        <f>VLOOKUP(H944,'HW Dx Data'!$E:$F,2,FALSE)</f>
        <v>684.46914285042885</v>
      </c>
      <c r="DF944" s="72">
        <f t="shared" si="1721"/>
        <v>129.4</v>
      </c>
      <c r="DG944" s="69">
        <f t="shared" si="1722"/>
        <v>2.0297340063674733E-2</v>
      </c>
      <c r="DH944" s="66">
        <f>HLOOKUP(H944,'GDP-PI'!$8:$9,2,FALSE)</f>
        <v>103.64700000000001</v>
      </c>
      <c r="DI944" s="69">
        <f t="shared" si="1712"/>
        <v>1.8246051898256087E-2</v>
      </c>
      <c r="EB944"/>
    </row>
    <row r="945" spans="1:132" s="160" customFormat="1" ht="21">
      <c r="A945" s="160" t="s">
        <v>216</v>
      </c>
      <c r="B945" s="160" t="s">
        <v>216</v>
      </c>
      <c r="C945" s="160">
        <v>4057095</v>
      </c>
      <c r="D945" s="161" t="s">
        <v>196</v>
      </c>
      <c r="E945" s="161" t="s">
        <v>3</v>
      </c>
      <c r="F945" s="189"/>
      <c r="G945" s="160" t="s">
        <v>132</v>
      </c>
      <c r="H945" s="162">
        <v>2015</v>
      </c>
      <c r="I945" s="163"/>
      <c r="J945" s="159">
        <f>IFERROR(INDEX('Labor Expenditures'!$F$7:$X$91,MATCH($C945,'Labor Expenditures'!$D$7:$D$91,0),MATCH($G945,'Labor Expenditures'!$F$5:$X$5,0)),"NA")</f>
        <v>107183.36932932511</v>
      </c>
      <c r="K945" s="159">
        <f t="shared" si="1713"/>
        <v>802.87168036947651</v>
      </c>
      <c r="L945" s="165">
        <f t="shared" si="1719"/>
        <v>-1.4063341496370972E-2</v>
      </c>
      <c r="M945" s="76">
        <f t="shared" si="1723"/>
        <v>-6.7735842328158608E-4</v>
      </c>
      <c r="N945" s="62">
        <f t="shared" si="1729"/>
        <v>118.67637455006489</v>
      </c>
      <c r="O945" s="96">
        <f t="shared" si="1724"/>
        <v>-3.9682373391318228E-3</v>
      </c>
      <c r="P945" s="96"/>
      <c r="Q945" s="159">
        <f>IFERROR(INDEX('Non-Labor Expenditures'!$F$7:$AB$91,MATCH($C945,'Non-Labor Expenditures'!$D$7:$D$91,0),MATCH($G945,'Non-Labor Expenditures'!$F$5:$AB$5,0)),"NA")</f>
        <v>155221.53788083006</v>
      </c>
      <c r="R945" s="159">
        <f t="shared" si="1714"/>
        <v>1483.4004327337805</v>
      </c>
      <c r="S945" s="165">
        <f t="shared" si="1725"/>
        <v>7.6043180916904474E-3</v>
      </c>
      <c r="T945" s="165">
        <f t="shared" si="1726"/>
        <v>3.6626067240479448E-4</v>
      </c>
      <c r="U945" s="165"/>
      <c r="V945" s="165"/>
      <c r="W945" s="159">
        <f t="shared" si="1695"/>
        <v>291361.39908145188</v>
      </c>
      <c r="X945" s="163"/>
      <c r="Y945" s="167">
        <v>13639.377709073071</v>
      </c>
      <c r="Z945" s="168">
        <v>3.9865785342715551E-2</v>
      </c>
      <c r="AA945" s="76">
        <f t="shared" si="1715"/>
        <v>1.920128691292334E-3</v>
      </c>
      <c r="AB945" s="168"/>
      <c r="AC945" s="168"/>
      <c r="AD945" s="163">
        <f t="shared" si="1645"/>
        <v>553766.30629160698</v>
      </c>
      <c r="AE945" s="168">
        <f t="shared" si="1727"/>
        <v>9.06413923188399E-3</v>
      </c>
      <c r="AF945" s="163"/>
      <c r="AG945" s="163"/>
      <c r="AH945" s="163"/>
      <c r="AI945" s="163"/>
      <c r="AJ945" s="116">
        <f t="shared" si="1728"/>
        <v>306.4612618314676</v>
      </c>
      <c r="AK945" s="114">
        <f>+AV945/$AX$20</f>
        <v>4.959869134136851E-2</v>
      </c>
      <c r="AL945" s="115">
        <f t="shared" si="1716"/>
        <v>0.19355343239840161</v>
      </c>
      <c r="AM945" s="115">
        <f t="shared" si="1717"/>
        <v>0.28030152090743526</v>
      </c>
      <c r="AN945" s="115">
        <f t="shared" si="1718"/>
        <v>0.52614504669416329</v>
      </c>
      <c r="AO945" s="115">
        <f t="shared" si="1720"/>
        <v>2.0462926968611746E-2</v>
      </c>
      <c r="AP945" s="166">
        <f t="shared" si="1731"/>
        <v>94.244281178515052</v>
      </c>
      <c r="AQ945" s="168">
        <f t="shared" si="1732"/>
        <v>2.0462926968611812E-2</v>
      </c>
      <c r="AR945" s="69">
        <f>+AD945/$AF$20</f>
        <v>4.8164827929150236E-2</v>
      </c>
      <c r="AS945" s="169">
        <f t="shared" si="1730"/>
        <v>9.8559335636995578E-4</v>
      </c>
      <c r="AT945" s="115"/>
      <c r="AU945" s="115"/>
      <c r="AV945" s="113">
        <f>IFERROR(INDEX('Total Customers'!$F$7:$AB$91,MATCH($C945,'Total Customers'!$D$7:$D$91,0),MATCH($G945,'Total Customers'!$F$5:$AB$5,0)),"NA")</f>
        <v>1806970</v>
      </c>
      <c r="AW945" s="68">
        <f t="shared" si="1646"/>
        <v>5.0332046287700476E-3</v>
      </c>
      <c r="AX945" s="114"/>
      <c r="AY945" s="114"/>
      <c r="AZ945" s="116">
        <v>8659109</v>
      </c>
      <c r="BA945" s="116"/>
      <c r="BB945" s="166"/>
      <c r="BC945" s="166"/>
      <c r="BD945" s="166"/>
      <c r="BE945" s="166"/>
      <c r="BF945" s="166"/>
      <c r="BG945" s="166"/>
      <c r="BH945" s="166"/>
      <c r="BI945" s="113"/>
      <c r="BJ945" s="113"/>
      <c r="BK945" s="113">
        <f>INDEX('Dist. Plant Gas Additions'!$F$7:$AE$91,MATCH($C945,'Dist. Plant Gas Additions'!$D$7:$D$91,0),MATCH(Calculation!$G945,'Dist. Plant Gas Additions'!$F$5:$AE$5,0))</f>
        <v>437196</v>
      </c>
      <c r="BL945" s="113">
        <f>INDEX('Gen. Plant Additions'!$F$7:$AE$91,MATCH($C945,'Gen. Plant Additions'!$D$7:$D$91,0),MATCH(Calculation!$G945,'Gen. Plant Additions'!$F$5:$AE$5,0))</f>
        <v>-4111</v>
      </c>
      <c r="BM945" s="231">
        <f t="shared" si="1696"/>
        <v>0.98614960353871262</v>
      </c>
      <c r="BN945" s="61">
        <f t="shared" si="1733"/>
        <v>-4054.0610201476475</v>
      </c>
      <c r="BO945" s="113">
        <f>INDEX('Dist Plant Depreciation'!$E$7:$AD$94,MATCH($C945,'Dist Plant Depreciation'!$D$7:$D$94,0),MATCH(Calculation!$G945,'Dist Plant Depreciation'!$E$5:$AD$5,0))</f>
        <v>2043957</v>
      </c>
      <c r="BP945" s="113">
        <f>INDEX('Gen. Plant Depreciation'!$E$7:$AD$94,MATCH($C945,'Gen. Plant Depreciation'!$D$7:$D$94,0),MATCH(Calculation!$G945,'Gen. Plant Depreciation'!$E$5:$AD$5,0))</f>
        <v>46882</v>
      </c>
      <c r="BQ945" s="113"/>
      <c r="BR945" s="113"/>
      <c r="BS945" s="113"/>
      <c r="BT945" s="113"/>
      <c r="BU945" s="113"/>
      <c r="BV945" s="175"/>
      <c r="BW945" s="113">
        <f>INDEX('Gross Dx Plant'!$E$7:$AD$91,MATCH($C945,'Gross Dx Plant'!$D$7:$D$91,0),MATCH(Calculation!$G945,'Gross Dx Plant'!$E$5:$AD$5,0))</f>
        <v>5878921</v>
      </c>
      <c r="BX945" s="113">
        <f>INDEX('Gross Gen Plant'!$E$7:$AD$91,MATCH($C945,'Gross Gen Plant'!$D$7:$D$91,0),MATCH(Calculation!$G945,'Gross Gen Plant'!$E$5:$AD$5,0))</f>
        <v>82569</v>
      </c>
      <c r="BY945" s="113">
        <f t="shared" si="1605"/>
        <v>3870651</v>
      </c>
      <c r="BZ945" s="113"/>
      <c r="CA945" s="116">
        <v>2015</v>
      </c>
      <c r="CB945" s="113"/>
      <c r="CC945" s="113"/>
      <c r="CD945" s="113"/>
      <c r="CE945" s="175"/>
      <c r="CF945" s="113">
        <f t="shared" si="1697"/>
        <v>433085</v>
      </c>
      <c r="CG945" s="113">
        <f t="shared" si="1698"/>
        <v>641.02371202556571</v>
      </c>
      <c r="CH945" s="178">
        <v>0.88888888888888884</v>
      </c>
      <c r="CI945" s="61">
        <f>+CI928*CH945+CG929*CH944+CG930*CH943+CG931*CH942+CG932*CH941+CG933*CH940+CG934*CH939+CG935*CH938+CG936*CH937+CG937*CH936+CG938*CH935+CG939*CH934+CG940*CH933+CG941*CH932+CG942*CH931+CG943*CH930+CG944*CH929+CG945</f>
        <v>13639.377709073071</v>
      </c>
      <c r="CJ945" s="114">
        <f t="shared" si="1699"/>
        <v>3.9865785342715551E-2</v>
      </c>
      <c r="CK945" s="114"/>
      <c r="CL945" s="169">
        <f t="shared" si="1700"/>
        <v>8.2383866474244234E-3</v>
      </c>
      <c r="CM945" s="169">
        <f t="shared" si="1708"/>
        <v>7.9683533765697815E-3</v>
      </c>
      <c r="CN945" s="114">
        <f>VLOOKUP($H945,RoR!$E:$F,2,FALSE)</f>
        <v>3.8866666666666674E-2</v>
      </c>
      <c r="CO945" s="169">
        <v>9.5709475431029478E-3</v>
      </c>
      <c r="CP945" s="169">
        <f t="shared" si="1706"/>
        <v>2.9295719123563727E-2</v>
      </c>
      <c r="CQ945" s="169">
        <f t="shared" si="1709"/>
        <v>2.2933588231963842E-2</v>
      </c>
      <c r="CR945" s="169">
        <f t="shared" si="1710"/>
        <v>3.5270373279175926E-3</v>
      </c>
      <c r="CS945" s="179">
        <f t="shared" si="1701"/>
        <v>0.84885500000000003</v>
      </c>
      <c r="CT945" s="180">
        <f t="shared" si="1702"/>
        <v>1.3194352816994324</v>
      </c>
      <c r="CU945" s="180">
        <f t="shared" si="1703"/>
        <v>0.33177530017152673</v>
      </c>
      <c r="CV945" s="180">
        <f t="shared" si="1704"/>
        <v>0.78242572977668579</v>
      </c>
      <c r="CW945" s="180">
        <f t="shared" si="1705"/>
        <v>0.34251158643433932</v>
      </c>
      <c r="CX945" s="181">
        <f>INDEX('State Tax Lookup'!$D$7:$Z$91,MATCH(Calculation!$C945,'State Tax Lookup'!$B$7:$B$91,0),MATCH($H945,'State Tax Lookup'!$D$6:$Z$6,0))</f>
        <v>0.40849999999999997</v>
      </c>
      <c r="CY945" s="72">
        <v>0.37</v>
      </c>
      <c r="CZ945" s="70">
        <f t="shared" si="1707"/>
        <v>22.230587910386195</v>
      </c>
      <c r="DA945" s="70">
        <v>20.279488671080099</v>
      </c>
      <c r="DB945" s="69">
        <f t="shared" si="1711"/>
        <v>-2.2448265116068199E-2</v>
      </c>
      <c r="DC945" s="111">
        <f>VLOOKUP($H945,RoR!$E:$F,2,FALSE)</f>
        <v>3.8866666666666674E-2</v>
      </c>
      <c r="DD945" s="216">
        <f>HLOOKUP($H945,'GDP-PI'!$D$8:$CQ$11,3,FALSE)</f>
        <v>9.5709475431029478E-3</v>
      </c>
      <c r="DE945" s="111">
        <f>VLOOKUP(H945,'HW Dx Data'!$E:$F,2,FALSE)</f>
        <v>675.61463308665782</v>
      </c>
      <c r="DF945" s="72">
        <f t="shared" si="1721"/>
        <v>133.5</v>
      </c>
      <c r="DG945" s="69">
        <f t="shared" si="1722"/>
        <v>3.1193095773504077E-2</v>
      </c>
      <c r="DH945" s="66">
        <f>HLOOKUP(H945,'GDP-PI'!$8:$9,2,FALSE)</f>
        <v>104.639</v>
      </c>
      <c r="DI945" s="69">
        <f t="shared" si="1712"/>
        <v>9.5254361854427965E-3</v>
      </c>
      <c r="EB945"/>
    </row>
    <row r="946" spans="1:132" s="160" customFormat="1" ht="21">
      <c r="A946" s="160" t="s">
        <v>216</v>
      </c>
      <c r="B946" s="160" t="s">
        <v>216</v>
      </c>
      <c r="C946" s="160">
        <v>4057095</v>
      </c>
      <c r="D946" s="161" t="s">
        <v>196</v>
      </c>
      <c r="E946" s="161" t="s">
        <v>3</v>
      </c>
      <c r="F946" s="189"/>
      <c r="G946" s="160" t="s">
        <v>133</v>
      </c>
      <c r="H946" s="162">
        <v>2016</v>
      </c>
      <c r="I946" s="163"/>
      <c r="J946" s="159">
        <f>IFERROR(INDEX('Labor Expenditures'!$F$7:$X$91,MATCH($C946,'Labor Expenditures'!$D$7:$D$91,0),MATCH($G946,'Labor Expenditures'!$F$5:$X$5,0)),"NA")</f>
        <v>110569.86613627597</v>
      </c>
      <c r="K946" s="159">
        <f t="shared" si="1713"/>
        <v>807.37397689869283</v>
      </c>
      <c r="L946" s="165">
        <f t="shared" si="1719"/>
        <v>5.5920762668932641E-3</v>
      </c>
      <c r="M946" s="76">
        <f t="shared" si="1723"/>
        <v>2.672838634116429E-4</v>
      </c>
      <c r="N946" s="62">
        <f t="shared" si="1729"/>
        <v>294.05562464938208</v>
      </c>
      <c r="O946" s="96">
        <f t="shared" si="1724"/>
        <v>0.90736870208641673</v>
      </c>
      <c r="P946" s="96"/>
      <c r="Q946" s="159">
        <f>IFERROR(INDEX('Non-Labor Expenditures'!$F$7:$AB$91,MATCH($C946,'Non-Labor Expenditures'!$D$7:$D$91,0),MATCH($G946,'Non-Labor Expenditures'!$F$5:$AB$5,0)),"NA")</f>
        <v>160125.81776765024</v>
      </c>
      <c r="R946" s="159">
        <f t="shared" si="1714"/>
        <v>1514.3926171564106</v>
      </c>
      <c r="S946" s="165">
        <f t="shared" si="1725"/>
        <v>2.0677403768470978E-2</v>
      </c>
      <c r="T946" s="165">
        <f t="shared" si="1726"/>
        <v>9.883156274672596E-4</v>
      </c>
      <c r="U946" s="165"/>
      <c r="V946" s="165"/>
      <c r="W946" s="159">
        <f t="shared" si="1695"/>
        <v>297979.45389748079</v>
      </c>
      <c r="X946" s="163"/>
      <c r="Y946" s="167">
        <v>14377.974346057445</v>
      </c>
      <c r="Z946" s="168">
        <v>5.2736447437758613E-2</v>
      </c>
      <c r="AA946" s="76">
        <f t="shared" si="1715"/>
        <v>2.5206382640414371E-3</v>
      </c>
      <c r="AB946" s="168"/>
      <c r="AC946" s="168"/>
      <c r="AD946" s="163">
        <f t="shared" si="1645"/>
        <v>568675.13780140702</v>
      </c>
      <c r="AE946" s="168">
        <f t="shared" si="1727"/>
        <v>2.65665678045157E-2</v>
      </c>
      <c r="AF946" s="163"/>
      <c r="AG946" s="163"/>
      <c r="AH946" s="163"/>
      <c r="AI946" s="163"/>
      <c r="AJ946" s="116">
        <f t="shared" si="1728"/>
        <v>313.10382639921846</v>
      </c>
      <c r="AK946" s="114">
        <f>+AV946/$AX$21</f>
        <v>4.942263778425178E-2</v>
      </c>
      <c r="AL946" s="115">
        <f t="shared" si="1716"/>
        <v>0.19443414840282544</v>
      </c>
      <c r="AM946" s="115">
        <f t="shared" si="1717"/>
        <v>0.28157696217690009</v>
      </c>
      <c r="AN946" s="115">
        <f t="shared" si="1718"/>
        <v>0.52398888942027444</v>
      </c>
      <c r="AO946" s="115">
        <f t="shared" si="1720"/>
        <v>3.4584088765252138E-2</v>
      </c>
      <c r="AP946" s="166">
        <f t="shared" si="1731"/>
        <v>97.560650020415068</v>
      </c>
      <c r="AQ946" s="168">
        <f t="shared" si="1732"/>
        <v>3.4584088765252055E-2</v>
      </c>
      <c r="AR946" s="69">
        <f>+AD946/$AF$21</f>
        <v>4.7796891647211959E-2</v>
      </c>
      <c r="AS946" s="169">
        <f t="shared" si="1730"/>
        <v>1.6530119434303128E-3</v>
      </c>
      <c r="AT946" s="115"/>
      <c r="AU946" s="115"/>
      <c r="AV946" s="113">
        <f>IFERROR(INDEX('Total Customers'!$F$7:$AB$91,MATCH($C946,'Total Customers'!$D$7:$D$91,0),MATCH($G946,'Total Customers'!$F$5:$AB$5,0)),"NA")</f>
        <v>1816251</v>
      </c>
      <c r="AW946" s="68">
        <f t="shared" si="1646"/>
        <v>5.1230771178585755E-3</v>
      </c>
      <c r="AX946" s="114"/>
      <c r="AY946" s="114"/>
      <c r="AZ946" s="116">
        <v>8759079</v>
      </c>
      <c r="BA946" s="116"/>
      <c r="BB946" s="166"/>
      <c r="BC946" s="166"/>
      <c r="BD946" s="166"/>
      <c r="BE946" s="166"/>
      <c r="BF946" s="166"/>
      <c r="BG946" s="166"/>
      <c r="BH946" s="166"/>
      <c r="BI946" s="113"/>
      <c r="BJ946" s="113"/>
      <c r="BK946" s="113">
        <f>INDEX('Dist. Plant Gas Additions'!$F$7:$AE$91,MATCH($C946,'Dist. Plant Gas Additions'!$D$7:$D$91,0),MATCH(Calculation!$G946,'Dist. Plant Gas Additions'!$F$5:$AE$5,0))</f>
        <v>566819</v>
      </c>
      <c r="BL946" s="113">
        <f>INDEX('Gen. Plant Additions'!$F$7:$AE$91,MATCH($C946,'Gen. Plant Additions'!$D$7:$D$91,0),MATCH(Calculation!$G946,'Gen. Plant Additions'!$F$5:$AE$5,0))</f>
        <v>6518</v>
      </c>
      <c r="BM946" s="231">
        <f t="shared" si="1696"/>
        <v>0.98541573067373112</v>
      </c>
      <c r="BN946" s="61">
        <f t="shared" si="1733"/>
        <v>6422.9397325313794</v>
      </c>
      <c r="BO946" s="113">
        <f>INDEX('Dist Plant Depreciation'!$E$7:$AD$94,MATCH($C946,'Dist Plant Depreciation'!$D$7:$D$94,0),MATCH(Calculation!$G946,'Dist Plant Depreciation'!$E$5:$AD$5,0))</f>
        <v>2065479</v>
      </c>
      <c r="BP946" s="113">
        <f>INDEX('Gen. Plant Depreciation'!$E$7:$AD$94,MATCH($C946,'Gen. Plant Depreciation'!$D$7:$D$94,0),MATCH(Calculation!$G946,'Gen. Plant Depreciation'!$E$5:$AD$5,0))</f>
        <v>48515</v>
      </c>
      <c r="BQ946" s="113"/>
      <c r="BR946" s="113"/>
      <c r="BS946" s="113"/>
      <c r="BT946" s="113"/>
      <c r="BU946" s="113"/>
      <c r="BV946" s="175"/>
      <c r="BW946" s="113">
        <f>INDEX('Gross Dx Plant'!$E$7:$AD$91,MATCH($C946,'Gross Dx Plant'!$D$7:$D$91,0),MATCH(Calculation!$G946,'Gross Dx Plant'!$E$5:$AD$5,0))</f>
        <v>6380422</v>
      </c>
      <c r="BX946" s="113">
        <f>INDEX('Gross Gen Plant'!$E$7:$AD$91,MATCH($C946,'Gross Gen Plant'!$D$7:$D$91,0),MATCH(Calculation!$G946,'Gross Gen Plant'!$E$5:$AD$5,0))</f>
        <v>94431</v>
      </c>
      <c r="BY946" s="113">
        <f t="shared" ref="BY946:BY1015" si="1734">IF(OR(BO946="NA",BP946="NA"),"NA",(SUM(BW946:BX946)-SUM(BO946:BP946)))</f>
        <v>4360859</v>
      </c>
      <c r="BZ946" s="113"/>
      <c r="CA946" s="116">
        <v>2016</v>
      </c>
      <c r="CB946" s="113"/>
      <c r="CC946" s="113"/>
      <c r="CD946" s="113"/>
      <c r="CE946" s="175"/>
      <c r="CF946" s="113">
        <f t="shared" si="1697"/>
        <v>573337</v>
      </c>
      <c r="CG946" s="113">
        <f t="shared" si="1698"/>
        <v>853.87078780247293</v>
      </c>
      <c r="CH946" s="178">
        <v>0.88</v>
      </c>
      <c r="CI946" s="61">
        <f>+CI928*CH946+CG929*CH945+CG930*CH944+CG931*CH943+CG932*CH942+CG933*CH941+CG934*CH940+CG935*CH939+CG936*CH938+CG937*CH937+CG938*CH936+CG939*CH935+CG940*CH934+CG941*CH933+CG942*CH932+CG943*CH931+CG944*CH930+CG945*CH929+CG946</f>
        <v>14377.974346057445</v>
      </c>
      <c r="CJ946" s="114">
        <f t="shared" si="1699"/>
        <v>5.2736447437758613E-2</v>
      </c>
      <c r="CK946" s="114"/>
      <c r="CL946" s="169">
        <f t="shared" si="1700"/>
        <v>8.4515696593267312E-3</v>
      </c>
      <c r="CM946" s="169">
        <f t="shared" si="1708"/>
        <v>8.2232560392798432E-3</v>
      </c>
      <c r="CN946" s="114">
        <f>VLOOKUP($H946,RoR!$E:$F,2,FALSE)</f>
        <v>3.6658333333333334E-2</v>
      </c>
      <c r="CO946" s="169">
        <v>1.0483662879041455E-2</v>
      </c>
      <c r="CP946" s="169">
        <f t="shared" si="1706"/>
        <v>2.6174670454291879E-2</v>
      </c>
      <c r="CQ946" s="169">
        <f t="shared" si="1709"/>
        <v>2.267868556925378E-2</v>
      </c>
      <c r="CR946" s="169">
        <f t="shared" si="1710"/>
        <v>4.301363574220729E-3</v>
      </c>
      <c r="CS946" s="179">
        <f t="shared" si="1701"/>
        <v>0.84885500000000003</v>
      </c>
      <c r="CT946" s="180">
        <f t="shared" si="1702"/>
        <v>1.3989193348138562</v>
      </c>
      <c r="CU946" s="180">
        <f t="shared" si="1703"/>
        <v>0.29302682427824522</v>
      </c>
      <c r="CV946" s="180">
        <f t="shared" si="1704"/>
        <v>0.76309497491941802</v>
      </c>
      <c r="CW946" s="180">
        <f t="shared" si="1705"/>
        <v>0.31280857135128509</v>
      </c>
      <c r="CX946" s="181">
        <f>INDEX('State Tax Lookup'!$D$7:$Z$91,MATCH(Calculation!$C946,'State Tax Lookup'!$B$7:$B$91,0),MATCH($H946,'State Tax Lookup'!$D$6:$Z$6,0))</f>
        <v>0.40849999999999997</v>
      </c>
      <c r="CY946" s="72">
        <v>0.37</v>
      </c>
      <c r="CZ946" s="70">
        <f t="shared" si="1707"/>
        <v>21.846997733574124</v>
      </c>
      <c r="DA946" s="70">
        <v>19.909765876209278</v>
      </c>
      <c r="DB946" s="69">
        <f t="shared" si="1711"/>
        <v>-1.7405665734304979E-2</v>
      </c>
      <c r="DC946" s="111">
        <f>VLOOKUP($H946,RoR!$E:$F,2,FALSE)</f>
        <v>3.6658333333333334E-2</v>
      </c>
      <c r="DD946" s="216">
        <f>HLOOKUP($H946,'GDP-PI'!$D$8:$CQ$11,3,FALSE)</f>
        <v>1.0483662879041455E-2</v>
      </c>
      <c r="DE946" s="111">
        <f>VLOOKUP(H946,'HW Dx Data'!$E:$F,2,FALSE)</f>
        <v>671.45639385971219</v>
      </c>
      <c r="DF946" s="72">
        <f t="shared" si="1721"/>
        <v>136.94999999999999</v>
      </c>
      <c r="DG946" s="69">
        <f t="shared" si="1722"/>
        <v>2.5514417868782811E-2</v>
      </c>
      <c r="DH946" s="66">
        <f>HLOOKUP(H946,'GDP-PI'!$8:$9,2,FALSE)</f>
        <v>105.736</v>
      </c>
      <c r="DI946" s="69">
        <f t="shared" si="1712"/>
        <v>1.0429090367205095E-2</v>
      </c>
      <c r="EB946"/>
    </row>
    <row r="947" spans="1:132" s="160" customFormat="1" ht="21">
      <c r="A947" s="160" t="s">
        <v>216</v>
      </c>
      <c r="B947" s="160" t="s">
        <v>216</v>
      </c>
      <c r="C947" s="160">
        <v>4057095</v>
      </c>
      <c r="D947" s="161" t="s">
        <v>196</v>
      </c>
      <c r="E947" s="161" t="s">
        <v>3</v>
      </c>
      <c r="F947" s="189"/>
      <c r="G947" s="160" t="s">
        <v>135</v>
      </c>
      <c r="H947" s="162">
        <v>2017</v>
      </c>
      <c r="I947" s="163"/>
      <c r="J947" s="159">
        <f>IFERROR(INDEX('Labor Expenditures'!$F$7:$X$91,MATCH($C947,'Labor Expenditures'!$D$7:$D$91,0),MATCH($G947,'Labor Expenditures'!$F$5:$X$5,0)),"NA")</f>
        <v>110377.920821899</v>
      </c>
      <c r="K947" s="159">
        <f t="shared" si="1713"/>
        <v>785.88765270131012</v>
      </c>
      <c r="L947" s="165">
        <f t="shared" si="1719"/>
        <v>-2.6973130438712075E-2</v>
      </c>
      <c r="M947" s="76">
        <f t="shared" si="1723"/>
        <v>-1.2604127635964719E-3</v>
      </c>
      <c r="N947" s="62">
        <f t="shared" si="1729"/>
        <v>165.524788747983</v>
      </c>
      <c r="O947" s="96">
        <f t="shared" si="1724"/>
        <v>-0.5746479843747595</v>
      </c>
      <c r="P947" s="96"/>
      <c r="Q947" s="159">
        <f>IFERROR(INDEX('Non-Labor Expenditures'!$F$7:$AB$91,MATCH($C947,'Non-Labor Expenditures'!$D$7:$D$91,0),MATCH($G947,'Non-Labor Expenditures'!$F$5:$AB$5,0)),"NA")</f>
        <v>159847.84510199286</v>
      </c>
      <c r="R947" s="159">
        <f t="shared" si="1714"/>
        <v>1483.4929151654542</v>
      </c>
      <c r="S947" s="165">
        <f t="shared" si="1725"/>
        <v>-2.0615060825291614E-2</v>
      </c>
      <c r="T947" s="165">
        <f t="shared" si="1726"/>
        <v>-9.6330998159647931E-4</v>
      </c>
      <c r="U947" s="165"/>
      <c r="V947" s="165"/>
      <c r="W947" s="159">
        <f t="shared" si="1695"/>
        <v>283075.10330833064</v>
      </c>
      <c r="X947" s="163"/>
      <c r="Y947" s="167">
        <v>15302.234740509655</v>
      </c>
      <c r="Z947" s="168">
        <v>6.230140289330869E-2</v>
      </c>
      <c r="AA947" s="76">
        <f t="shared" si="1715"/>
        <v>2.9112484209097198E-3</v>
      </c>
      <c r="AB947" s="168"/>
      <c r="AC947" s="168"/>
      <c r="AD947" s="163">
        <f t="shared" si="1645"/>
        <v>553300.86923222244</v>
      </c>
      <c r="AE947" s="168">
        <f t="shared" si="1727"/>
        <v>-2.7407414858963457E-2</v>
      </c>
      <c r="AF947" s="163"/>
      <c r="AG947" s="163"/>
      <c r="AH947" s="163"/>
      <c r="AI947" s="163"/>
      <c r="AJ947" s="116">
        <f t="shared" si="1728"/>
        <v>302.06959067108284</v>
      </c>
      <c r="AK947" s="114">
        <f>+AV947/$AX$22</f>
        <v>4.946854732668373E-2</v>
      </c>
      <c r="AL947" s="115">
        <f t="shared" si="1716"/>
        <v>0.19948987424339826</v>
      </c>
      <c r="AM947" s="115">
        <f t="shared" si="1717"/>
        <v>0.2888985974733832</v>
      </c>
      <c r="AN947" s="115">
        <f t="shared" si="1718"/>
        <v>0.51161152828321865</v>
      </c>
      <c r="AO947" s="115">
        <f t="shared" si="1720"/>
        <v>2.1066803226256238E-2</v>
      </c>
      <c r="AP947" s="166">
        <f t="shared" si="1731"/>
        <v>99.637743073313075</v>
      </c>
      <c r="AQ947" s="168">
        <f t="shared" si="1732"/>
        <v>2.1066803226256186E-2</v>
      </c>
      <c r="AR947" s="69">
        <f>+AD947/$AF$22</f>
        <v>4.6728456916054366E-2</v>
      </c>
      <c r="AS947" s="169">
        <f t="shared" si="1730"/>
        <v>9.844192069171072E-4</v>
      </c>
      <c r="AT947" s="115"/>
      <c r="AU947" s="115"/>
      <c r="AV947" s="113">
        <f>IFERROR(INDEX('Total Customers'!$F$7:$AB$91,MATCH($C947,'Total Customers'!$D$7:$D$91,0),MATCH($G947,'Total Customers'!$F$5:$AB$5,0)),"NA")</f>
        <v>1831700</v>
      </c>
      <c r="AW947" s="68">
        <f t="shared" si="1646"/>
        <v>8.4700108968335918E-3</v>
      </c>
      <c r="AX947" s="114"/>
      <c r="AY947" s="114"/>
      <c r="AZ947" s="116">
        <v>8824403</v>
      </c>
      <c r="BA947" s="116"/>
      <c r="BB947" s="166"/>
      <c r="BC947" s="166"/>
      <c r="BD947" s="166"/>
      <c r="BE947" s="166"/>
      <c r="BF947" s="166"/>
      <c r="BG947" s="166"/>
      <c r="BH947" s="166"/>
      <c r="BI947" s="113"/>
      <c r="BJ947" s="113"/>
      <c r="BK947" s="113">
        <f>INDEX('Dist. Plant Gas Additions'!$F$7:$AE$91,MATCH($C947,'Dist. Plant Gas Additions'!$D$7:$D$91,0),MATCH(Calculation!$G947,'Dist. Plant Gas Additions'!$F$5:$AE$5,0))</f>
        <v>733366</v>
      </c>
      <c r="BL947" s="113">
        <f>INDEX('Gen. Plant Additions'!$F$7:$AE$91,MATCH($C947,'Gen. Plant Additions'!$D$7:$D$91,0),MATCH(Calculation!$G947,'Gen. Plant Additions'!$F$5:$AE$5,0))</f>
        <v>13423</v>
      </c>
      <c r="BM947" s="231">
        <f t="shared" si="1696"/>
        <v>0.98026461088595007</v>
      </c>
      <c r="BN947" s="61">
        <f t="shared" si="1733"/>
        <v>13158.091871922108</v>
      </c>
      <c r="BO947" s="113">
        <f>INDEX('Dist Plant Depreciation'!$E$7:$AD$94,MATCH($C947,'Dist Plant Depreciation'!$D$7:$D$94,0),MATCH(Calculation!$G947,'Dist Plant Depreciation'!$E$5:$AD$5,0))</f>
        <v>2086009</v>
      </c>
      <c r="BP947" s="113">
        <f>INDEX('Gen. Plant Depreciation'!$E$7:$AD$94,MATCH($C947,'Gen. Plant Depreciation'!$D$7:$D$94,0),MATCH(Calculation!$G947,'Gen. Plant Depreciation'!$E$5:$AD$5,0))</f>
        <v>55843</v>
      </c>
      <c r="BQ947" s="113"/>
      <c r="BR947" s="113"/>
      <c r="BS947" s="113"/>
      <c r="BT947" s="113"/>
      <c r="BU947" s="113"/>
      <c r="BV947" s="175"/>
      <c r="BW947" s="113">
        <f>INDEX('Gross Dx Plant'!$E$7:$AD$91,MATCH($C947,'Gross Dx Plant'!$D$7:$D$91,0),MATCH(Calculation!$G947,'Gross Dx Plant'!$E$5:$AD$5,0))</f>
        <v>7043908</v>
      </c>
      <c r="BX947" s="113">
        <f>INDEX('Gross Gen Plant'!$E$7:$AD$91,MATCH($C947,'Gross Gen Plant'!$D$7:$D$91,0),MATCH(Calculation!$G947,'Gross Gen Plant'!$E$5:$AD$5,0))</f>
        <v>141813</v>
      </c>
      <c r="BY947" s="113">
        <f t="shared" si="1734"/>
        <v>5043869</v>
      </c>
      <c r="BZ947" s="113"/>
      <c r="CA947" s="116">
        <v>2017</v>
      </c>
      <c r="CB947" s="113"/>
      <c r="CC947" s="113"/>
      <c r="CD947" s="113"/>
      <c r="CE947" s="175"/>
      <c r="CF947" s="113">
        <f t="shared" si="1697"/>
        <v>746789</v>
      </c>
      <c r="CG947" s="113">
        <f t="shared" si="1698"/>
        <v>1048.2299799358709</v>
      </c>
      <c r="CH947" s="178">
        <v>0.87074829931972786</v>
      </c>
      <c r="CI947" s="61">
        <f>+CI928*CH947+CG929*CH946+CG930*CH945+CG931*CH944+CG932*CH943+CG933*CH942+CG934*CH941+CG935*CH940+CG936*CH939+CG937*CH938+CG938*CH937+CG939*CH936+CG940*CH935+CG941*CH934+CG942*CH933+CG943*CH932+CG944*CH931+CG945*CH930+CG946*CH929+CG947</f>
        <v>15302.234740509655</v>
      </c>
      <c r="CJ947" s="114">
        <f t="shared" si="1699"/>
        <v>6.230140289330869E-2</v>
      </c>
      <c r="CK947" s="114"/>
      <c r="CL947" s="169">
        <f t="shared" si="1700"/>
        <v>8.6221871384583246E-3</v>
      </c>
      <c r="CM947" s="169">
        <f t="shared" si="1708"/>
        <v>8.4373811484031603E-3</v>
      </c>
      <c r="CN947" s="114">
        <f>VLOOKUP($H947,RoR!$E:$F,2,FALSE)</f>
        <v>3.7433333333333339E-2</v>
      </c>
      <c r="CO947" s="169">
        <v>1.9056896421275615E-2</v>
      </c>
      <c r="CP947" s="169">
        <f t="shared" si="1706"/>
        <v>1.8376436912057724E-2</v>
      </c>
      <c r="CQ947" s="169">
        <f t="shared" si="1709"/>
        <v>2.2464560460130463E-2</v>
      </c>
      <c r="CR947" s="169">
        <f t="shared" si="1710"/>
        <v>1.3976271617800498E-2</v>
      </c>
      <c r="CS947" s="179">
        <f t="shared" si="1701"/>
        <v>0.90065499999999998</v>
      </c>
      <c r="CT947" s="180">
        <f t="shared" si="1702"/>
        <v>1.3699568463593395</v>
      </c>
      <c r="CU947" s="180">
        <f t="shared" si="1703"/>
        <v>0.30714603739982199</v>
      </c>
      <c r="CV947" s="180">
        <f t="shared" si="1704"/>
        <v>0.77007188472689425</v>
      </c>
      <c r="CW947" s="180">
        <f t="shared" si="1705"/>
        <v>0.32402839633793828</v>
      </c>
      <c r="CX947" s="181">
        <f>INDEX('State Tax Lookup'!$D$7:$Z$91,MATCH(Calculation!$C947,'State Tax Lookup'!$B$7:$B$91,0),MATCH($H947,'State Tax Lookup'!$D$6:$Z$6,0))</f>
        <v>0.26849999999999996</v>
      </c>
      <c r="CY947" s="72">
        <v>0.37</v>
      </c>
      <c r="CZ947" s="70">
        <f t="shared" si="1707"/>
        <v>19.688107413124722</v>
      </c>
      <c r="DA947" s="70">
        <v>18.231812616449311</v>
      </c>
      <c r="DB947" s="69">
        <f t="shared" si="1711"/>
        <v>-0.10404873976306128</v>
      </c>
      <c r="DC947" s="111">
        <f>VLOOKUP($H947,RoR!$E:$F,2,FALSE)</f>
        <v>3.7433333333333339E-2</v>
      </c>
      <c r="DD947" s="216">
        <f>HLOOKUP($H947,'GDP-PI'!$D$8:$CQ$11,3,FALSE)</f>
        <v>1.9056896421275615E-2</v>
      </c>
      <c r="DE947" s="111">
        <f>VLOOKUP(H947,'HW Dx Data'!$E:$F,2,FALSE)</f>
        <v>712.42858370229726</v>
      </c>
      <c r="DF947" s="72">
        <f t="shared" si="1721"/>
        <v>140.44999999999999</v>
      </c>
      <c r="DG947" s="69">
        <f t="shared" si="1722"/>
        <v>2.5235657841165486E-2</v>
      </c>
      <c r="DH947" s="66">
        <f>HLOOKUP(H947,'GDP-PI'!$8:$9,2,FALSE)</f>
        <v>107.751</v>
      </c>
      <c r="DI947" s="69">
        <f t="shared" si="1712"/>
        <v>1.8877588227745139E-2</v>
      </c>
      <c r="EB947"/>
    </row>
    <row r="948" spans="1:132" s="160" customFormat="1" ht="21">
      <c r="A948" s="160" t="s">
        <v>216</v>
      </c>
      <c r="B948" s="160" t="s">
        <v>216</v>
      </c>
      <c r="C948" s="160">
        <v>4057095</v>
      </c>
      <c r="D948" s="161" t="s">
        <v>196</v>
      </c>
      <c r="E948" s="161" t="s">
        <v>3</v>
      </c>
      <c r="F948" s="189"/>
      <c r="G948" s="160" t="s">
        <v>136</v>
      </c>
      <c r="H948" s="162">
        <v>2018</v>
      </c>
      <c r="I948" s="163"/>
      <c r="J948" s="159">
        <f>IFERROR(INDEX('Labor Expenditures'!$F$7:$X$91,MATCH($C948,'Labor Expenditures'!$D$7:$D$91,0),MATCH($G948,'Labor Expenditures'!$F$5:$X$5,0)),"NA")</f>
        <v>112702.82116461902</v>
      </c>
      <c r="K948" s="159">
        <f t="shared" si="1713"/>
        <v>780.22029189767409</v>
      </c>
      <c r="L948" s="165">
        <f t="shared" si="1719"/>
        <v>-7.2375413995395535E-3</v>
      </c>
      <c r="M948" s="76">
        <f t="shared" si="1723"/>
        <v>-3.3309294173471956E-4</v>
      </c>
      <c r="N948" s="62">
        <f t="shared" si="1729"/>
        <v>113.77255747004493</v>
      </c>
      <c r="O948" s="96">
        <f t="shared" si="1724"/>
        <v>-0.37491961895594322</v>
      </c>
      <c r="P948" s="96"/>
      <c r="Q948" s="159">
        <f>IFERROR(INDEX('Non-Labor Expenditures'!$F$7:$AB$91,MATCH($C948,'Non-Labor Expenditures'!$D$7:$D$91,0),MATCH($G948,'Non-Labor Expenditures'!$F$5:$AB$5,0)),"NA")</f>
        <v>163214.73502973781</v>
      </c>
      <c r="R948" s="159">
        <f t="shared" si="1714"/>
        <v>1479.4395952732712</v>
      </c>
      <c r="S948" s="165">
        <f t="shared" si="1725"/>
        <v>-2.7360207540563881E-3</v>
      </c>
      <c r="T948" s="165">
        <f t="shared" si="1726"/>
        <v>-1.259197220859928E-4</v>
      </c>
      <c r="U948" s="165"/>
      <c r="V948" s="165"/>
      <c r="W948" s="159">
        <f t="shared" si="1695"/>
        <v>316423.74646423635</v>
      </c>
      <c r="X948" s="163"/>
      <c r="Y948" s="167">
        <v>16216.965368507073</v>
      </c>
      <c r="Z948" s="168">
        <v>5.8059060025771846E-2</v>
      </c>
      <c r="AA948" s="76">
        <f t="shared" si="1715"/>
        <v>2.6720487014509297E-3</v>
      </c>
      <c r="AB948" s="168"/>
      <c r="AC948" s="168"/>
      <c r="AD948" s="163">
        <f t="shared" si="1645"/>
        <v>592341.30265859317</v>
      </c>
      <c r="AE948" s="168">
        <f t="shared" si="1727"/>
        <v>6.8181072619515157E-2</v>
      </c>
      <c r="AF948" s="163"/>
      <c r="AG948" s="163"/>
      <c r="AH948" s="163"/>
      <c r="AI948" s="163"/>
      <c r="AJ948" s="116">
        <f t="shared" si="1728"/>
        <v>320.84994805907883</v>
      </c>
      <c r="AK948" s="114">
        <f>+AV948/$AX$23</f>
        <v>4.9422487912905023E-2</v>
      </c>
      <c r="AL948" s="115">
        <f t="shared" si="1716"/>
        <v>0.19026669364229251</v>
      </c>
      <c r="AM948" s="115">
        <f t="shared" si="1717"/>
        <v>0.27554170931046762</v>
      </c>
      <c r="AN948" s="115">
        <f t="shared" si="1718"/>
        <v>0.53419159704723984</v>
      </c>
      <c r="AO948" s="115">
        <f t="shared" si="1720"/>
        <v>2.8176573369549589E-2</v>
      </c>
      <c r="AP948" s="166">
        <f t="shared" si="1731"/>
        <v>102.48511952741512</v>
      </c>
      <c r="AQ948" s="168">
        <f t="shared" si="1732"/>
        <v>2.817657336954961E-2</v>
      </c>
      <c r="AR948" s="69">
        <f>+AD948/$AF$23</f>
        <v>4.6022941126928917E-2</v>
      </c>
      <c r="AS948" s="169">
        <f t="shared" si="1730"/>
        <v>1.2967687773453747E-3</v>
      </c>
      <c r="AT948" s="115"/>
      <c r="AU948" s="115"/>
      <c r="AV948" s="113">
        <f>IFERROR(INDEX('Total Customers'!$F$7:$AB$91,MATCH($C948,'Total Customers'!$D$7:$D$91,0),MATCH($G948,'Total Customers'!$F$5:$AB$5,0)),"NA")</f>
        <v>1846163</v>
      </c>
      <c r="AW948" s="68">
        <f t="shared" si="1646"/>
        <v>7.8649338234155191E-3</v>
      </c>
      <c r="AX948" s="114"/>
      <c r="AY948" s="114"/>
      <c r="AZ948" s="116">
        <v>8911356</v>
      </c>
      <c r="BA948" s="116"/>
      <c r="BB948" s="166"/>
      <c r="BC948" s="166"/>
      <c r="BD948" s="166"/>
      <c r="BE948" s="166"/>
      <c r="BF948" s="166"/>
      <c r="BG948" s="166"/>
      <c r="BH948" s="166"/>
      <c r="BI948" s="113"/>
      <c r="BJ948" s="113"/>
      <c r="BK948" s="113">
        <f>INDEX('Dist. Plant Gas Additions'!$F$7:$AE$91,MATCH($C948,'Dist. Plant Gas Additions'!$D$7:$D$91,0),MATCH(Calculation!$G948,'Dist. Plant Gas Additions'!$F$5:$AE$5,0))</f>
        <v>764322</v>
      </c>
      <c r="BL948" s="113">
        <f>INDEX('Gen. Plant Additions'!$F$7:$AE$91,MATCH($C948,'Gen. Plant Additions'!$D$7:$D$91,0),MATCH(Calculation!$G948,'Gen. Plant Additions'!$F$5:$AE$5,0))</f>
        <v>27632</v>
      </c>
      <c r="BM948" s="231">
        <f t="shared" si="1696"/>
        <v>0.97694166399834326</v>
      </c>
      <c r="BN948" s="61">
        <f t="shared" si="1733"/>
        <v>26994.852059602221</v>
      </c>
      <c r="BO948" s="113">
        <f>INDEX('Dist Plant Depreciation'!$E$7:$AD$94,MATCH($C948,'Dist Plant Depreciation'!$D$7:$D$94,0),MATCH(Calculation!$G948,'Dist Plant Depreciation'!$E$5:$AD$5,0))</f>
        <v>2103981</v>
      </c>
      <c r="BP948" s="113">
        <f>INDEX('Gen. Plant Depreciation'!$E$7:$AD$94,MATCH($C948,'Gen. Plant Depreciation'!$D$7:$D$94,0),MATCH(Calculation!$G948,'Gen. Plant Depreciation'!$E$5:$AD$5,0))</f>
        <v>69907</v>
      </c>
      <c r="BQ948" s="113"/>
      <c r="BR948" s="113"/>
      <c r="BS948" s="113"/>
      <c r="BT948" s="113"/>
      <c r="BU948" s="113"/>
      <c r="BV948" s="175"/>
      <c r="BW948" s="113">
        <f>INDEX('Gross Dx Plant'!$E$7:$AD$91,MATCH($C948,'Gross Dx Plant'!$D$7:$D$91,0),MATCH(Calculation!$G948,'Gross Dx Plant'!$E$5:$AD$5,0))</f>
        <v>7774068</v>
      </c>
      <c r="BX948" s="113">
        <f>INDEX('Gross Gen Plant'!$E$7:$AD$91,MATCH($C948,'Gross Gen Plant'!$D$7:$D$91,0),MATCH(Calculation!$G948,'Gross Gen Plant'!$E$5:$AD$5,0))</f>
        <v>183488</v>
      </c>
      <c r="BY948" s="113">
        <f t="shared" si="1734"/>
        <v>5783668</v>
      </c>
      <c r="BZ948" s="113"/>
      <c r="CA948" s="116">
        <v>2018</v>
      </c>
      <c r="CB948" s="113"/>
      <c r="CC948" s="113"/>
      <c r="CD948" s="113"/>
      <c r="CE948" s="175"/>
      <c r="CF948" s="113">
        <f t="shared" si="1697"/>
        <v>791954</v>
      </c>
      <c r="CG948" s="113">
        <f t="shared" si="1698"/>
        <v>1048.7557881361195</v>
      </c>
      <c r="CH948" s="178">
        <v>0.86111111111111116</v>
      </c>
      <c r="CI948" s="61">
        <f>+CI928*CH948++CG929*CH947+CG930*CH946+CG931*CH945+CG932*CH944+CG933*CH943+CG934*CH942+CG935*CH941+CG936*CH940+CG937*CH939+CG938*CH938+CG939*CH937+CG940*CH936+CG941*CH935+CG942*CH934+CG943*CH933+CG944*CH932+CG945*CH931+CG946*CH930+CG947*CH929+CG948</f>
        <v>16216.965368507073</v>
      </c>
      <c r="CJ948" s="114">
        <f t="shared" si="1699"/>
        <v>5.8059060025771846E-2</v>
      </c>
      <c r="CK948" s="114"/>
      <c r="CL948" s="169">
        <f t="shared" si="1700"/>
        <v>8.7585351036274482E-3</v>
      </c>
      <c r="CM948" s="169">
        <f t="shared" si="1708"/>
        <v>8.6107639671375007E-3</v>
      </c>
      <c r="CN948" s="114">
        <f>VLOOKUP($H948,RoR!$E:$F,2,FALSE)</f>
        <v>3.9299999999999995E-2</v>
      </c>
      <c r="CO948" s="169">
        <v>2.386056741932796E-2</v>
      </c>
      <c r="CP948" s="169">
        <f t="shared" si="1706"/>
        <v>1.5439432580672034E-2</v>
      </c>
      <c r="CQ948" s="169">
        <f t="shared" si="1709"/>
        <v>2.2291177641396126E-2</v>
      </c>
      <c r="CR948" s="169">
        <f t="shared" si="1710"/>
        <v>3.8270792163076606E-2</v>
      </c>
      <c r="CS948" s="179">
        <f t="shared" si="1701"/>
        <v>0.90065499999999998</v>
      </c>
      <c r="CT948" s="180">
        <f t="shared" si="1702"/>
        <v>1.3048868010700074</v>
      </c>
      <c r="CU948" s="180">
        <f t="shared" si="1703"/>
        <v>0.33886768447837151</v>
      </c>
      <c r="CV948" s="180">
        <f t="shared" si="1704"/>
        <v>0.78602506232557801</v>
      </c>
      <c r="CW948" s="180">
        <f t="shared" si="1705"/>
        <v>0.34756768162358759</v>
      </c>
      <c r="CX948" s="181">
        <f>INDEX('State Tax Lookup'!$D$7:$Z$91,MATCH(Calculation!$C948,'State Tax Lookup'!$B$7:$B$91,0),MATCH($H948,'State Tax Lookup'!$D$6:$Z$6,0))</f>
        <v>0.26849999999999996</v>
      </c>
      <c r="CY948" s="72">
        <v>0.37</v>
      </c>
      <c r="CZ948" s="70">
        <f t="shared" si="1707"/>
        <v>20.678270319992329</v>
      </c>
      <c r="DA948" s="70">
        <v>19.050901628905343</v>
      </c>
      <c r="DB948" s="69">
        <f t="shared" si="1711"/>
        <v>4.9068637069649125E-2</v>
      </c>
      <c r="DC948" s="111">
        <f>VLOOKUP($H948,RoR!$E:$F,2,FALSE)</f>
        <v>3.9299999999999995E-2</v>
      </c>
      <c r="DD948" s="216">
        <f>HLOOKUP($H948,'GDP-PI'!$D$8:$CQ$11,3,FALSE)</f>
        <v>2.386056741932796E-2</v>
      </c>
      <c r="DE948" s="111">
        <f>VLOOKUP(H948,'HW Dx Data'!$E:$F,2,FALSE)</f>
        <v>755.13671434174842</v>
      </c>
      <c r="DF948" s="72">
        <f t="shared" si="1721"/>
        <v>144.44999999999999</v>
      </c>
      <c r="DG948" s="69">
        <f t="shared" si="1722"/>
        <v>2.80818733619915E-2</v>
      </c>
      <c r="DH948" s="66">
        <f>HLOOKUP(H948,'GDP-PI'!$8:$9,2,FALSE)</f>
        <v>110.322</v>
      </c>
      <c r="DI948" s="69">
        <f t="shared" si="1712"/>
        <v>2.3580352716508712E-2</v>
      </c>
      <c r="EB948"/>
    </row>
    <row r="949" spans="1:132" s="160" customFormat="1" ht="21">
      <c r="A949" s="160" t="s">
        <v>216</v>
      </c>
      <c r="B949" s="160" t="s">
        <v>216</v>
      </c>
      <c r="C949" s="160">
        <v>4057095</v>
      </c>
      <c r="D949" s="161" t="s">
        <v>196</v>
      </c>
      <c r="E949" s="161" t="s">
        <v>3</v>
      </c>
      <c r="F949" s="189"/>
      <c r="G949" s="160" t="s">
        <v>140</v>
      </c>
      <c r="H949" s="162">
        <v>2019</v>
      </c>
      <c r="I949" s="163"/>
      <c r="J949" s="159">
        <f>IFERROR(INDEX('Labor Expenditures'!$F$7:$X$91,MATCH($C949,'Labor Expenditures'!$D$7:$D$91,0),MATCH($G949,'Labor Expenditures'!$F$5:$X$5,0)),"NA")</f>
        <v>100280.91321692055</v>
      </c>
      <c r="K949" s="159">
        <f t="shared" si="1713"/>
        <v>669.99106876178757</v>
      </c>
      <c r="L949" s="165">
        <f t="shared" si="1719"/>
        <v>-0.15231192322902276</v>
      </c>
      <c r="M949" s="76">
        <f t="shared" si="1723"/>
        <v>-6.7316694128580733E-3</v>
      </c>
      <c r="N949" s="62">
        <f t="shared" si="1729"/>
        <v>112.95683467662097</v>
      </c>
      <c r="O949" s="96">
        <f t="shared" si="1724"/>
        <v>-7.195593877868495E-3</v>
      </c>
      <c r="P949" s="96"/>
      <c r="Q949" s="159">
        <f>IFERROR(INDEX('Non-Labor Expenditures'!$F$7:$AB$91,MATCH($C949,'Non-Labor Expenditures'!$D$7:$D$91,0),MATCH($G949,'Non-Labor Expenditures'!$F$5:$AB$5,0)),"NA")</f>
        <v>145225.49222909816</v>
      </c>
      <c r="R949" s="159">
        <f t="shared" si="1714"/>
        <v>1292.985026701848</v>
      </c>
      <c r="S949" s="165">
        <f t="shared" si="1725"/>
        <v>-0.13470984478125311</v>
      </c>
      <c r="T949" s="165">
        <f t="shared" si="1726"/>
        <v>-5.9537173617149036E-3</v>
      </c>
      <c r="U949" s="165"/>
      <c r="V949" s="165"/>
      <c r="W949" s="159">
        <f t="shared" si="1695"/>
        <v>340953.4732996868</v>
      </c>
      <c r="X949" s="163"/>
      <c r="Y949" s="167">
        <v>16942.725268208163</v>
      </c>
      <c r="Z949" s="168">
        <v>4.3780614753275077E-2</v>
      </c>
      <c r="AA949" s="76">
        <f t="shared" si="1715"/>
        <v>1.9349543946575746E-3</v>
      </c>
      <c r="AB949" s="168"/>
      <c r="AC949" s="168"/>
      <c r="AD949" s="163">
        <f t="shared" si="1645"/>
        <v>586459.87874570559</v>
      </c>
      <c r="AE949" s="168">
        <f t="shared" si="1727"/>
        <v>-9.9787357007005712E-3</v>
      </c>
      <c r="AF949" s="163"/>
      <c r="AG949" s="163"/>
      <c r="AH949" s="163"/>
      <c r="AI949" s="163"/>
      <c r="AJ949" s="116">
        <f t="shared" si="1728"/>
        <v>315.80851095965807</v>
      </c>
      <c r="AK949" s="114">
        <f>+AV949/$AX$24</f>
        <v>4.9302901720092919E-2</v>
      </c>
      <c r="AL949" s="115">
        <f t="shared" si="1716"/>
        <v>0.17099364654134044</v>
      </c>
      <c r="AM949" s="115">
        <f t="shared" si="1717"/>
        <v>0.24763073739963254</v>
      </c>
      <c r="AN949" s="115">
        <f t="shared" si="1718"/>
        <v>0.58137561605902688</v>
      </c>
      <c r="AO949" s="115">
        <f t="shared" si="1720"/>
        <v>-3.8330258950747993E-2</v>
      </c>
      <c r="AP949" s="166">
        <f t="shared" si="1731"/>
        <v>98.631171611085392</v>
      </c>
      <c r="AQ949" s="168">
        <f t="shared" si="1732"/>
        <v>-3.8330258950748E-2</v>
      </c>
      <c r="AR949" s="69">
        <f>+AD949/$AF$24</f>
        <v>4.4196601750842876E-2</v>
      </c>
      <c r="AS949" s="169">
        <f t="shared" si="1730"/>
        <v>-1.69406718985289E-3</v>
      </c>
      <c r="AT949" s="115"/>
      <c r="AU949" s="115"/>
      <c r="AV949" s="113">
        <v>1857011</v>
      </c>
      <c r="AW949" s="68">
        <f t="shared" si="1646"/>
        <v>5.858774678154423E-3</v>
      </c>
      <c r="AX949" s="114"/>
      <c r="AY949" s="114"/>
      <c r="AZ949" s="116">
        <v>8963640</v>
      </c>
      <c r="BA949" s="116"/>
      <c r="BB949" s="166"/>
      <c r="BC949" s="166"/>
      <c r="BD949" s="166"/>
      <c r="BE949" s="166"/>
      <c r="BF949" s="166"/>
      <c r="BG949" s="166"/>
      <c r="BH949" s="166"/>
      <c r="BI949" s="113"/>
      <c r="BJ949" s="113"/>
      <c r="BK949" s="113">
        <f>INDEX('Dist. Plant Gas Additions'!$F$7:$AE$91,MATCH($C949,'Dist. Plant Gas Additions'!$D$7:$D$91,0),MATCH(Calculation!$G949,'Dist. Plant Gas Additions'!$F$5:$AE$5,0))</f>
        <v>663349</v>
      </c>
      <c r="BL949" s="113">
        <f>INDEX('Gen. Plant Additions'!$F$7:$AE$91,MATCH($C949,'Gen. Plant Additions'!$D$7:$D$91,0),MATCH(Calculation!$G949,'Gen. Plant Additions'!$F$5:$AE$5,0))</f>
        <v>9857</v>
      </c>
      <c r="BM949" s="231">
        <f t="shared" si="1696"/>
        <v>0.9776893875821977</v>
      </c>
      <c r="BN949" s="61">
        <f t="shared" si="1733"/>
        <v>9637.0842933977219</v>
      </c>
      <c r="BO949" s="113">
        <f>INDEX('Dist Plant Depreciation'!$E$7:$AD$94,MATCH($C949,'Dist Plant Depreciation'!$D$7:$D$94,0),MATCH(Calculation!$G949,'Dist Plant Depreciation'!$E$5:$AD$5,0))</f>
        <v>2127524</v>
      </c>
      <c r="BP949" s="113">
        <f>INDEX('Gen. Plant Depreciation'!$E$7:$AD$94,MATCH($C949,'Gen. Plant Depreciation'!$D$7:$D$94,0),MATCH(Calculation!$G949,'Gen. Plant Depreciation'!$E$5:$AD$5,0))</f>
        <v>82631</v>
      </c>
      <c r="BQ949" s="113"/>
      <c r="BR949" s="113"/>
      <c r="BS949" s="113"/>
      <c r="BT949" s="113"/>
      <c r="BU949" s="113"/>
      <c r="BV949" s="175"/>
      <c r="BW949" s="113">
        <f>INDEX('Gross Dx Plant'!$E$7:$AD$91,MATCH($C949,'Gross Dx Plant'!$D$7:$D$91,0),MATCH(Calculation!$G949,'Gross Dx Plant'!$E$5:$AD$5,0))</f>
        <v>8347906</v>
      </c>
      <c r="BX949" s="113">
        <f>INDEX('Gross Gen Plant'!$E$7:$AD$91,MATCH($C949,'Gross Gen Plant'!$D$7:$D$91,0),MATCH(Calculation!$G949,'Gross Gen Plant'!$E$5:$AD$5,0))</f>
        <v>190497</v>
      </c>
      <c r="BY949" s="113">
        <f t="shared" si="1734"/>
        <v>6328248</v>
      </c>
      <c r="BZ949" s="113"/>
      <c r="CA949" s="116">
        <v>2019</v>
      </c>
      <c r="CB949" s="113"/>
      <c r="CC949" s="113"/>
      <c r="CD949" s="113"/>
      <c r="CE949" s="175"/>
      <c r="CF949" s="113">
        <f t="shared" si="1697"/>
        <v>673206</v>
      </c>
      <c r="CG949" s="113">
        <f t="shared" si="1698"/>
        <v>870.29321172607172</v>
      </c>
      <c r="CH949" s="178">
        <v>0.85106382978723405</v>
      </c>
      <c r="CI949" s="61">
        <f>CI928*CH949+CG929*CH948+CG930*CH947+CG931*CH946+CG932*CH945+CG933*CH944+CG934*CH943+CG935*CH942+CG936*CH941+CG937*CH940+CG938*CH939+CG939*CH938+CG940*CH937+CG941*CH936+CG942*CH935+CG943*CH934+CG944*CH933+CG945*CH932+CG946*CH931+CG947*CH930+CG948*CH929+CG949</f>
        <v>16942.725268208163</v>
      </c>
      <c r="CJ949" s="114">
        <f t="shared" si="1699"/>
        <v>4.3780614753275077E-2</v>
      </c>
      <c r="CK949" s="114"/>
      <c r="CL949" s="169">
        <f t="shared" si="1700"/>
        <v>8.9124758387695412E-3</v>
      </c>
      <c r="CM949" s="169">
        <f t="shared" si="1708"/>
        <v>8.7643993602851047E-3</v>
      </c>
      <c r="CN949" s="114">
        <f>VLOOKUP($H949,RoR!$E:$F,2,FALSE)</f>
        <v>3.3875000000000009E-2</v>
      </c>
      <c r="CO949" s="169">
        <v>1.8092492884465461E-2</v>
      </c>
      <c r="CP949" s="169">
        <f t="shared" si="1706"/>
        <v>1.5782507115534548E-2</v>
      </c>
      <c r="CQ949" s="169">
        <f t="shared" si="1709"/>
        <v>2.2137542248248522E-2</v>
      </c>
      <c r="CR949" s="169">
        <f t="shared" si="1710"/>
        <v>4.8445665544254078E-2</v>
      </c>
      <c r="CS949" s="179">
        <f t="shared" si="1701"/>
        <v>0.90065499999999998</v>
      </c>
      <c r="CT949" s="180">
        <f t="shared" si="1702"/>
        <v>1.513861292459078</v>
      </c>
      <c r="CU949" s="180">
        <f t="shared" si="1703"/>
        <v>0.23699261992619944</v>
      </c>
      <c r="CV949" s="180">
        <f t="shared" si="1704"/>
        <v>0.73619765810468829</v>
      </c>
      <c r="CW949" s="180">
        <f t="shared" si="1705"/>
        <v>0.26412854465362851</v>
      </c>
      <c r="CX949" s="181">
        <f>INDEX('State Tax Lookup'!$D$7:$Z$91,MATCH(Calculation!$C949,'State Tax Lookup'!$B$7:$B$91,0),MATCH($H949,'State Tax Lookup'!$D$6:$Z$6,0))</f>
        <v>0.26849999999999996</v>
      </c>
      <c r="CY949" s="72">
        <v>0.37</v>
      </c>
      <c r="CZ949" s="70">
        <f t="shared" si="1707"/>
        <v>21.024492903080969</v>
      </c>
      <c r="DA949" s="70">
        <v>19.236104090735289</v>
      </c>
      <c r="DB949" s="69">
        <f t="shared" si="1711"/>
        <v>1.6604680898914054E-2</v>
      </c>
      <c r="DC949" s="111">
        <f>VLOOKUP($H949,RoR!$E:$F,2,FALSE)</f>
        <v>3.3875000000000009E-2</v>
      </c>
      <c r="DD949" s="216">
        <f>HLOOKUP($H949,'GDP-PI'!$D$8:$CQ$11,3,FALSE)</f>
        <v>1.8092492884465461E-2</v>
      </c>
      <c r="DE949" s="111">
        <f>VLOOKUP(H949,'HW Dx Data'!$E:$F,2,FALSE)</f>
        <v>773.53929793938721</v>
      </c>
      <c r="DF949" s="72">
        <f t="shared" si="1721"/>
        <v>149.67500000000001</v>
      </c>
      <c r="DG949" s="69">
        <f t="shared" si="1722"/>
        <v>3.5532849899171604E-2</v>
      </c>
      <c r="DH949" s="66">
        <f>HLOOKUP(H949,'GDP-PI'!$8:$9,2,FALSE)</f>
        <v>112.318</v>
      </c>
      <c r="DI949" s="69">
        <f t="shared" si="1712"/>
        <v>1.7930771451401852E-2</v>
      </c>
      <c r="EB949"/>
    </row>
    <row r="950" spans="1:132" s="160" customFormat="1" ht="21">
      <c r="A950" s="160" t="s">
        <v>216</v>
      </c>
      <c r="B950" s="160" t="s">
        <v>216</v>
      </c>
      <c r="C950" s="160">
        <v>4057095</v>
      </c>
      <c r="D950" s="160" t="s">
        <v>196</v>
      </c>
      <c r="E950" s="160" t="s">
        <v>3</v>
      </c>
      <c r="G950" s="161" t="s">
        <v>141</v>
      </c>
      <c r="H950" s="162">
        <v>2020</v>
      </c>
      <c r="I950" s="163"/>
      <c r="J950" s="159">
        <v>100281</v>
      </c>
      <c r="K950" s="159">
        <f t="shared" si="1713"/>
        <v>654.78942213516154</v>
      </c>
      <c r="L950" s="165">
        <f t="shared" si="1719"/>
        <v>-2.2950691067970944E-2</v>
      </c>
      <c r="M950" s="76">
        <f t="shared" si="1723"/>
        <v>-1.0356900044846652E-3</v>
      </c>
      <c r="N950" s="62">
        <f t="shared" si="1729"/>
        <v>114.43533449962452</v>
      </c>
      <c r="O950" s="96">
        <f t="shared" si="1724"/>
        <v>1.300414753766737E-2</v>
      </c>
      <c r="P950" s="96"/>
      <c r="Q950" s="159">
        <v>145225</v>
      </c>
      <c r="R950" s="159">
        <f t="shared" si="1714"/>
        <v>1278.1303081242354</v>
      </c>
      <c r="S950" s="165">
        <f t="shared" si="1725"/>
        <v>-1.1555206149633353E-2</v>
      </c>
      <c r="T950" s="165">
        <f t="shared" si="1726"/>
        <v>-5.2144885195359164E-4</v>
      </c>
      <c r="U950" s="165"/>
      <c r="V950" s="165"/>
      <c r="W950" s="159">
        <f t="shared" si="1695"/>
        <v>371687.44492761377</v>
      </c>
      <c r="X950" s="163"/>
      <c r="Y950" s="167">
        <v>17616.060202449549</v>
      </c>
      <c r="Z950" s="168">
        <v>3.8972443478684789E-2</v>
      </c>
      <c r="AA950" s="76">
        <f t="shared" si="1715"/>
        <v>1.7586995546964989E-3</v>
      </c>
      <c r="AB950" s="168"/>
      <c r="AC950" s="168"/>
      <c r="AD950" s="163">
        <f t="shared" si="1645"/>
        <v>617193.44492761372</v>
      </c>
      <c r="AE950" s="168">
        <f t="shared" si="1727"/>
        <v>5.1078241953040657E-2</v>
      </c>
      <c r="AF950" s="163"/>
      <c r="AG950" s="163"/>
      <c r="AH950" s="163"/>
      <c r="AI950" s="163"/>
      <c r="AJ950" s="116">
        <f t="shared" si="1728"/>
        <v>332.35852933968283</v>
      </c>
      <c r="AK950" s="114">
        <f>+AV950/$AX$25</f>
        <v>4.8954745915697054E-2</v>
      </c>
      <c r="AL950" s="115">
        <f t="shared" si="1716"/>
        <v>0.16247904255004078</v>
      </c>
      <c r="AM950" s="115">
        <f t="shared" si="1717"/>
        <v>0.23529899935510887</v>
      </c>
      <c r="AN950" s="115">
        <f t="shared" si="1718"/>
        <v>0.60222195809485046</v>
      </c>
      <c r="AO950" s="115">
        <f t="shared" si="1720"/>
        <v>1.6446954114644696E-2</v>
      </c>
      <c r="AP950" s="166">
        <f t="shared" si="1731"/>
        <v>100.26676737992481</v>
      </c>
      <c r="AQ950" s="168">
        <f t="shared" si="1732"/>
        <v>1.6446954114644689E-2</v>
      </c>
      <c r="AR950" s="69">
        <f>+AD950/$AF$25</f>
        <v>4.5126745918776814E-2</v>
      </c>
      <c r="AS950" s="169">
        <f t="shared" si="1730"/>
        <v>7.4219751946935175E-4</v>
      </c>
      <c r="AT950" s="115"/>
      <c r="AU950" s="115"/>
      <c r="AV950" s="113">
        <v>1857011</v>
      </c>
      <c r="AW950" s="68">
        <f t="shared" si="1646"/>
        <v>0</v>
      </c>
      <c r="AX950" s="114"/>
      <c r="AY950" s="114"/>
      <c r="AZ950" s="116">
        <v>9060252</v>
      </c>
      <c r="BA950" s="116"/>
      <c r="BB950" s="166"/>
      <c r="BC950" s="166"/>
      <c r="BD950" s="166"/>
      <c r="BE950" s="166"/>
      <c r="BF950" s="166"/>
      <c r="BG950" s="166"/>
      <c r="BH950" s="166"/>
      <c r="BI950" s="113"/>
      <c r="BJ950" s="113"/>
      <c r="BK950" s="238"/>
      <c r="BL950" s="238"/>
      <c r="BM950" s="231">
        <v>0.9776893875821977</v>
      </c>
      <c r="BN950" s="61">
        <f t="shared" si="1733"/>
        <v>0</v>
      </c>
      <c r="BO950" s="113"/>
      <c r="BP950" s="113"/>
      <c r="BQ950" s="113"/>
      <c r="BR950" s="113"/>
      <c r="BS950" s="113"/>
      <c r="BT950" s="113"/>
      <c r="BU950" s="113"/>
      <c r="BV950" s="175"/>
      <c r="BW950" s="113"/>
      <c r="BX950" s="113"/>
      <c r="BY950" s="113">
        <f t="shared" si="1734"/>
        <v>0</v>
      </c>
      <c r="BZ950" s="113"/>
      <c r="CA950" s="116">
        <v>2020</v>
      </c>
      <c r="CB950" s="113"/>
      <c r="CC950" s="113"/>
      <c r="CD950" s="113"/>
      <c r="CE950" s="175"/>
      <c r="CF950" s="238">
        <v>673206</v>
      </c>
      <c r="CG950" s="113">
        <f t="shared" si="1698"/>
        <v>827.97002200147153</v>
      </c>
      <c r="CH950" s="178">
        <v>0.84057971014492749</v>
      </c>
      <c r="CI950" s="61">
        <f>CI928*CH950+CG929*CH949+CG930*CH948+CG931*CH947+CG932*CH946+CG933*CH945+CG934*CH944+CG935*CH943+CG936*CH942+CG937*CH941+CG938*CH940+CG939*CH939+CG940*CH938+CG941*CH937+CG942*CH936+CG943*CH935+CG944*CH934+CG945*CH933+CG946*CH932+CG947*CH931+CG948*CH930+CG949*CH929+CG950</f>
        <v>17616.060202449549</v>
      </c>
      <c r="CJ950" s="114">
        <f t="shared" si="1699"/>
        <v>3.8972443478684789E-2</v>
      </c>
      <c r="CK950" s="114"/>
      <c r="CL950" s="169">
        <f t="shared" si="1700"/>
        <v>9.1269311938999356E-3</v>
      </c>
      <c r="CM950" s="169">
        <f t="shared" si="1708"/>
        <v>8.9326473787656423E-3</v>
      </c>
      <c r="CN950" s="114">
        <f>VLOOKUP($H950,RoR!$E:$F,2,FALSE)</f>
        <v>2.4766666666666666E-2</v>
      </c>
      <c r="CO950" s="169">
        <v>1.1618796630994188E-2</v>
      </c>
      <c r="CP950" s="169">
        <f t="shared" si="1706"/>
        <v>1.3147870035672478E-2</v>
      </c>
      <c r="CQ950" s="169">
        <f t="shared" si="1709"/>
        <v>2.1969294229767983E-2</v>
      </c>
      <c r="CR950" s="169">
        <f t="shared" si="1710"/>
        <v>4.5144642961987357E-2</v>
      </c>
      <c r="CS950" s="179">
        <f t="shared" si="1701"/>
        <v>0.90065499999999998</v>
      </c>
      <c r="CT950" s="180">
        <f t="shared" si="1702"/>
        <v>2.0706077233668081</v>
      </c>
      <c r="CU950" s="180">
        <f t="shared" si="1703"/>
        <v>-3.4421265141318998E-2</v>
      </c>
      <c r="CV950" s="180">
        <f t="shared" si="1704"/>
        <v>0.62416226176410472</v>
      </c>
      <c r="CW950" s="180">
        <f t="shared" si="1705"/>
        <v>-4.4485877841158712E-2</v>
      </c>
      <c r="CX950" s="181">
        <f>INDEX('State Tax Lookup'!$D$7:$Z$91,MATCH(Calculation!$C950,'State Tax Lookup'!$B$7:$B$91,0),MATCH($H950,'State Tax Lookup'!$D$6:$Z$6,0))</f>
        <v>0.26849999999999996</v>
      </c>
      <c r="CY950" s="72">
        <v>0.37</v>
      </c>
      <c r="CZ950" s="70">
        <f t="shared" si="1707"/>
        <v>21.937878295474651</v>
      </c>
      <c r="DA950" s="70">
        <v>19.952659173050833</v>
      </c>
      <c r="DB950" s="69">
        <f t="shared" si="1711"/>
        <v>4.2526658506941137E-2</v>
      </c>
      <c r="DC950" s="111">
        <f>VLOOKUP($H950,RoR!$E:$F,2,FALSE)</f>
        <v>2.4766666666666666E-2</v>
      </c>
      <c r="DD950" s="216">
        <f>HLOOKUP($H950,'GDP-PI'!$D$8:$CQ$11,3,FALSE)</f>
        <v>1.1618796630994188E-2</v>
      </c>
      <c r="DE950" s="111">
        <f>VLOOKUP(H950,'HW Dx Data'!$E:$F,2,FALSE)</f>
        <v>813.080162458833</v>
      </c>
      <c r="DF950" s="72">
        <f t="shared" si="1721"/>
        <v>153.15</v>
      </c>
      <c r="DG950" s="69">
        <f t="shared" si="1722"/>
        <v>2.2951556467368479E-2</v>
      </c>
      <c r="DH950" s="66">
        <f>HLOOKUP(H950,'GDP-PI'!$8:$9,2,FALSE)</f>
        <v>113.623</v>
      </c>
      <c r="DI950" s="69">
        <f t="shared" si="1712"/>
        <v>1.1551816731392881E-2</v>
      </c>
      <c r="EB950"/>
    </row>
    <row r="951" spans="1:132" s="160" customFormat="1" ht="21">
      <c r="A951" s="160" t="s">
        <v>216</v>
      </c>
      <c r="B951" s="160" t="s">
        <v>216</v>
      </c>
      <c r="C951" s="160">
        <v>4057095</v>
      </c>
      <c r="D951" s="160" t="s">
        <v>196</v>
      </c>
      <c r="E951" s="160" t="s">
        <v>3</v>
      </c>
      <c r="G951" s="161" t="s">
        <v>142</v>
      </c>
      <c r="H951" s="162">
        <v>2021</v>
      </c>
      <c r="I951" s="163"/>
      <c r="J951" s="159">
        <v>78732.083915932992</v>
      </c>
      <c r="K951" s="159">
        <f t="shared" si="1713"/>
        <v>500.68097879766606</v>
      </c>
      <c r="L951" s="164">
        <f t="shared" si="1719"/>
        <v>-0.26834456162737541</v>
      </c>
      <c r="M951" s="76">
        <f t="shared" si="1723"/>
        <v>-1.2476624412545496E-2</v>
      </c>
      <c r="N951" s="166">
        <f>+N950*EXP(O951)</f>
        <v>115.28557470991649</v>
      </c>
      <c r="O951" s="114">
        <f t="shared" si="1724"/>
        <v>7.4024092597439169E-3</v>
      </c>
      <c r="P951" s="114"/>
      <c r="Q951" s="159">
        <v>110983.78094173687</v>
      </c>
      <c r="R951" s="159">
        <f t="shared" si="1714"/>
        <v>936.65103335080494</v>
      </c>
      <c r="S951" s="165">
        <f t="shared" si="1725"/>
        <v>-0.31084280913058931</v>
      </c>
      <c r="T951" s="165">
        <f t="shared" si="1726"/>
        <v>-1.4452571564495928E-2</v>
      </c>
      <c r="U951" s="165"/>
      <c r="V951" s="165"/>
      <c r="W951" s="159">
        <f t="shared" si="1695"/>
        <v>522693.93360311154</v>
      </c>
      <c r="X951" s="163"/>
      <c r="Y951" s="167">
        <v>18388.167219981122</v>
      </c>
      <c r="Z951" s="168"/>
      <c r="AA951" s="76">
        <f t="shared" si="1715"/>
        <v>0</v>
      </c>
      <c r="AB951" s="168"/>
      <c r="AC951" s="168"/>
      <c r="AD951" s="163">
        <f t="shared" si="1645"/>
        <v>712409.79846078134</v>
      </c>
      <c r="AE951" s="168">
        <f t="shared" si="1727"/>
        <v>0.14347080570605455</v>
      </c>
      <c r="AF951" s="113"/>
      <c r="AG951" s="114"/>
      <c r="AH951" s="114"/>
      <c r="AI951" s="114"/>
      <c r="AJ951" s="116">
        <f t="shared" si="1728"/>
        <v>378.80416639546064</v>
      </c>
      <c r="AK951" s="114">
        <f>+AV951/$AX$26</f>
        <v>4.8714385711574125E-2</v>
      </c>
      <c r="AL951" s="115">
        <f t="shared" si="1716"/>
        <v>0.11051516147874438</v>
      </c>
      <c r="AM951" s="115">
        <f t="shared" si="1717"/>
        <v>0.15578643244594087</v>
      </c>
      <c r="AN951" s="115">
        <f t="shared" si="1718"/>
        <v>0.73369840607531478</v>
      </c>
      <c r="AO951" s="115">
        <f t="shared" si="1720"/>
        <v>-9.7411302119003215E-2</v>
      </c>
      <c r="AP951" s="166">
        <f t="shared" si="1731"/>
        <v>90.960287097485079</v>
      </c>
      <c r="AQ951" s="168">
        <f t="shared" si="1732"/>
        <v>-9.7411302119003271E-2</v>
      </c>
      <c r="AR951" s="69">
        <f>+AD951/$AF$26</f>
        <v>4.6494791386421312E-2</v>
      </c>
      <c r="AS951" s="169">
        <f t="shared" si="1730"/>
        <v>-4.5291181707027171E-3</v>
      </c>
      <c r="AT951" s="115"/>
      <c r="AU951" s="115"/>
      <c r="AV951" s="113">
        <v>1880681</v>
      </c>
      <c r="AW951" s="68">
        <f t="shared" si="1646"/>
        <v>1.266573940789514E-2</v>
      </c>
      <c r="AX951" s="113"/>
      <c r="AY951" s="113"/>
      <c r="AZ951" s="116"/>
      <c r="BA951" s="116"/>
      <c r="BB951" s="166"/>
      <c r="BC951" s="166"/>
      <c r="BD951" s="166"/>
      <c r="BE951" s="166"/>
      <c r="BF951" s="166"/>
      <c r="BG951" s="166"/>
      <c r="BH951" s="166"/>
      <c r="BI951" s="113"/>
      <c r="BJ951" s="113"/>
      <c r="BK951" s="113">
        <f>INDEX('Dist. Plant Gas Additions'!$E$7:$AE$91,MATCH($C951,'Dist. Plant Gas Additions'!$D$7:$D$91,0),MATCH(Calculation!$G951,'Dist. Plant Gas Additions'!$E$5:$AE$5,0))</f>
        <v>646217.01100000006</v>
      </c>
      <c r="BL951" s="113">
        <f>INDEX('Gen. Plant Additions'!$E$7:$AE$91,MATCH($C951,'Gen. Plant Additions'!$D$7:$D$91,0),MATCH(Calculation!$G951,'Gen. Plant Additions'!$E$5:$AE$5,0))</f>
        <v>23903.339</v>
      </c>
      <c r="BM951" s="232">
        <v>0.9776893875821977</v>
      </c>
      <c r="BN951" s="61">
        <f t="shared" si="1733"/>
        <v>23370.040868079661</v>
      </c>
      <c r="BO951" s="113"/>
      <c r="BP951" s="113"/>
      <c r="BQ951" s="175"/>
      <c r="BR951" s="175"/>
      <c r="BS951" s="170"/>
      <c r="BT951" s="176"/>
      <c r="BU951" s="177"/>
      <c r="BV951" s="177"/>
      <c r="BW951" s="113"/>
      <c r="BX951" s="113"/>
      <c r="BY951" s="113"/>
      <c r="BZ951" s="113"/>
      <c r="CA951" s="116">
        <v>2021</v>
      </c>
      <c r="CB951" s="113"/>
      <c r="CC951" s="113"/>
      <c r="CD951" s="113"/>
      <c r="CE951" s="175"/>
      <c r="CF951" s="113">
        <f t="shared" ref="CF951" si="1735">+BL951+BK951</f>
        <v>670120.35000000009</v>
      </c>
      <c r="CG951" s="113">
        <f t="shared" si="1698"/>
        <v>718.22528455920337</v>
      </c>
      <c r="CH951" s="178">
        <f>+(51-23)/(51-23*0.75)</f>
        <v>0.82962962962962961</v>
      </c>
      <c r="CI951" s="113">
        <f>CI928*CH951+CG929*CH950+CG930*CH949+CG931*CH948+CG932*CH947+CG933*CH946+CG934*CH945+CG935*CH944+CG936*CH943+CG937*CH942+CG938*CH941+CG939*CH940+CG940*CH939+CG941*CH938+CG942*CH937+CG933*CH936+CG944*CH935+CG945*CH934+CG946*CH933+CG947*CH932+CG948*CH931+CG949*CH930+CG951+CG950*CH929</f>
        <v>18388.167219981122</v>
      </c>
      <c r="CJ951" s="114"/>
      <c r="CK951" s="113"/>
      <c r="CL951" s="169">
        <f t="shared" si="1700"/>
        <v>-3.0586710282062331E-3</v>
      </c>
      <c r="CM951" s="169">
        <f t="shared" si="1708"/>
        <v>4.9935786681544149E-3</v>
      </c>
      <c r="CN951" s="114">
        <f>VLOOKUP($H951,RoR!$E:$F,2,FALSE)</f>
        <v>2.7033333333333336E-2</v>
      </c>
      <c r="CO951" s="169"/>
      <c r="CP951" s="169"/>
      <c r="CQ951" s="169">
        <f t="shared" si="1709"/>
        <v>2.5908362940379209E-2</v>
      </c>
      <c r="CR951" s="169">
        <f t="shared" si="1710"/>
        <v>7.433422950153494E-2</v>
      </c>
      <c r="CS951" s="179">
        <f t="shared" si="1701"/>
        <v>0.90065499999999998</v>
      </c>
      <c r="CT951" s="180">
        <f t="shared" si="1702"/>
        <v>1.8969932656739068</v>
      </c>
      <c r="CU951" s="180">
        <f t="shared" si="1703"/>
        <v>5.0215782983970621E-2</v>
      </c>
      <c r="CV951" s="180">
        <f t="shared" si="1704"/>
        <v>0.655952481704143</v>
      </c>
      <c r="CW951" s="180">
        <f t="shared" si="1705"/>
        <v>6.2485378865697057E-2</v>
      </c>
      <c r="CX951" s="181">
        <f>CX950</f>
        <v>0.26849999999999996</v>
      </c>
      <c r="CY951" s="72">
        <v>0.37</v>
      </c>
      <c r="CZ951" s="182">
        <f t="shared" si="1707"/>
        <v>29.67144342129518</v>
      </c>
      <c r="DA951" s="182"/>
      <c r="DB951" s="169">
        <f>LN(CZ952/CZ950)</f>
        <v>0.22441978707056753</v>
      </c>
      <c r="DC951" s="181">
        <f>VLOOKUP($H951,RoR!$E:$F,2,FALSE)</f>
        <v>2.7033333333333336E-2</v>
      </c>
      <c r="DD951" s="183">
        <f>HLOOKUP($H951,'GDP-PI'!$D$8:$CR$11,3,FALSE)</f>
        <v>4.2834637353352578E-2</v>
      </c>
      <c r="DE951" s="181">
        <f>VLOOKUP(H951,'HW Dx Data'!$E:$F,2,FALSE)</f>
        <v>933.02249921662576</v>
      </c>
      <c r="DF951" s="72">
        <f t="shared" si="1721"/>
        <v>157.25</v>
      </c>
      <c r="DG951" s="69">
        <f t="shared" si="1722"/>
        <v>2.6419062301765574E-2</v>
      </c>
      <c r="DH951" s="175">
        <f>HLOOKUP(H951,'GDP-PI'!$8:$9,2,FALSE)</f>
        <v>118.49</v>
      </c>
      <c r="DI951" s="169">
        <f t="shared" si="1712"/>
        <v>4.194261824609434E-2</v>
      </c>
      <c r="EB951"/>
    </row>
    <row r="952" spans="1:132" s="160" customFormat="1" ht="21">
      <c r="G952" s="161" t="s">
        <v>144</v>
      </c>
      <c r="H952" s="162"/>
      <c r="I952" s="163"/>
      <c r="J952" s="159">
        <v>89820.438665281428</v>
      </c>
      <c r="K952" s="159">
        <f t="shared" si="1713"/>
        <v>552.57113912815396</v>
      </c>
      <c r="L952" s="164">
        <f t="shared" ref="L952" si="1736">LN(K952/K951)</f>
        <v>9.8613054311693829E-2</v>
      </c>
      <c r="M952" s="76">
        <f t="shared" si="1723"/>
        <v>4.3786552712271436E-3</v>
      </c>
      <c r="N952" s="166">
        <f>+N951*EXP(O952)</f>
        <v>114.67728627272268</v>
      </c>
      <c r="O952" s="114">
        <f t="shared" si="1724"/>
        <v>-5.2903312587542408E-3</v>
      </c>
      <c r="P952" s="114"/>
      <c r="Q952" s="163">
        <v>126614.35329925214</v>
      </c>
      <c r="R952" s="159">
        <f t="shared" si="1714"/>
        <v>995.00474105502656</v>
      </c>
      <c r="S952" s="165">
        <f t="shared" ref="S952" si="1737">LN(R952/R951)</f>
        <v>6.0436718879074709E-2</v>
      </c>
      <c r="T952" s="165">
        <f t="shared" si="1726"/>
        <v>2.6835347464149351E-3</v>
      </c>
      <c r="U952" s="166"/>
      <c r="V952" s="114"/>
      <c r="W952" s="159">
        <f t="shared" si="1695"/>
        <v>504890.66670541168</v>
      </c>
      <c r="X952" s="168"/>
      <c r="Y952" s="167">
        <v>18643.991781065426</v>
      </c>
      <c r="Z952" s="168">
        <v>1.3816565799094779E-2</v>
      </c>
      <c r="AA952" s="76">
        <f t="shared" si="1715"/>
        <v>6.134885395116395E-4</v>
      </c>
      <c r="AB952" s="166"/>
      <c r="AC952" s="114"/>
      <c r="AD952" s="163">
        <f t="shared" si="1645"/>
        <v>721325.45866994525</v>
      </c>
      <c r="AE952" s="168">
        <f t="shared" si="1727"/>
        <v>1.2437128945531329E-2</v>
      </c>
      <c r="AF952" s="113"/>
      <c r="AG952" s="114"/>
      <c r="AH952" s="114"/>
      <c r="AI952" s="114"/>
      <c r="AJ952" s="166">
        <f>+(AJ949+AJ950+AJ951)/3</f>
        <v>342.32373556493388</v>
      </c>
      <c r="AK952" s="114"/>
      <c r="AL952" s="115">
        <f t="shared" si="1716"/>
        <v>0.12452137601090869</v>
      </c>
      <c r="AM952" s="115">
        <f t="shared" si="1717"/>
        <v>0.17553013244911225</v>
      </c>
      <c r="AN952" s="115">
        <f t="shared" si="1718"/>
        <v>0.69994849153997907</v>
      </c>
      <c r="AO952" s="115"/>
      <c r="AP952" s="166"/>
      <c r="AQ952" s="168"/>
      <c r="AR952" s="69">
        <f>+AD952/$AF$27</f>
        <v>4.4402389742307272E-2</v>
      </c>
      <c r="AS952" s="169"/>
      <c r="AT952" s="166"/>
      <c r="AU952" s="168"/>
      <c r="AV952" s="113">
        <v>1894649</v>
      </c>
      <c r="AW952" s="68">
        <f t="shared" si="1646"/>
        <v>7.3996518103497371E-3</v>
      </c>
      <c r="AX952" s="113"/>
      <c r="AY952" s="113"/>
      <c r="AZ952" s="113"/>
      <c r="BA952" s="113"/>
      <c r="BB952" s="171"/>
      <c r="BC952" s="172"/>
      <c r="BD952" s="173"/>
      <c r="BE952" s="115"/>
      <c r="BF952" s="174"/>
      <c r="BG952" s="174"/>
      <c r="BH952" s="166"/>
      <c r="BI952" s="113"/>
      <c r="BJ952" s="113"/>
      <c r="BK952" s="113"/>
      <c r="BL952" s="113"/>
      <c r="BM952" s="232">
        <v>0.9776893875821977</v>
      </c>
      <c r="BN952" s="61">
        <f t="shared" si="1733"/>
        <v>0</v>
      </c>
      <c r="BO952" s="113"/>
      <c r="BP952" s="113"/>
      <c r="BQ952" s="175"/>
      <c r="BR952" s="175"/>
      <c r="BS952" s="170"/>
      <c r="BT952" s="176"/>
      <c r="BU952" s="177"/>
      <c r="BV952" s="177"/>
      <c r="BW952" s="113"/>
      <c r="BX952" s="113"/>
      <c r="BY952" s="113"/>
      <c r="BZ952" s="113"/>
      <c r="CA952" s="116">
        <v>2022</v>
      </c>
      <c r="CB952" s="113"/>
      <c r="CC952" s="113"/>
      <c r="CD952" s="113"/>
      <c r="CE952" s="175"/>
      <c r="CF952" s="113">
        <v>890005</v>
      </c>
      <c r="CG952" s="113">
        <f>+CF952/DE952</f>
        <v>863.40353702428195</v>
      </c>
      <c r="CH952" s="178">
        <f>+(51-24)/(51-24*0.75)</f>
        <v>0.81818181818181823</v>
      </c>
      <c r="CI952" s="113">
        <f>+CI928*CH952+CG929*CH951+CG930*CH950+CG931*CH949+CG932*CH948+CG933*CH947+CG934*CH946+CG935*CH945+CG936*CH944+CG937*CH943+CG938*CH942+CG939*CH941+CG940*CH940+CG941*CH939+CG942*CH938+CG943*CH937+CG944*CH936+CG945*CH935+CG946*CH934+CG947*CH933+CG948*CH932+CG949*CH931+CG950*CH930+CG951*CH929+CG952*CH928</f>
        <v>18857.304612722084</v>
      </c>
      <c r="CJ952" s="114">
        <f t="shared" ref="CJ952" si="1738">LN(CI952/CI951)</f>
        <v>2.5192979565714334E-2</v>
      </c>
      <c r="CK952" s="113"/>
      <c r="CL952" s="169">
        <f t="shared" si="1700"/>
        <v>2.1441296436270088E-2</v>
      </c>
      <c r="CM952" s="169">
        <f t="shared" si="1708"/>
        <v>9.1698522006545963E-3</v>
      </c>
      <c r="CN952" s="114"/>
      <c r="CO952" s="169"/>
      <c r="CP952" s="169"/>
      <c r="CQ952" s="69">
        <f t="shared" si="1709"/>
        <v>2.1732089407879029E-2</v>
      </c>
      <c r="CR952" s="169">
        <f t="shared" si="1710"/>
        <v>0.10114668178709289</v>
      </c>
      <c r="CS952" s="179">
        <f t="shared" si="1701"/>
        <v>0.90065499999999998</v>
      </c>
      <c r="CT952" s="180">
        <f t="shared" si="1702"/>
        <v>1.2820512820512819</v>
      </c>
      <c r="CU952" s="180">
        <f t="shared" si="1703"/>
        <v>0.35000000000000003</v>
      </c>
      <c r="CV952" s="180">
        <f t="shared" si="1704"/>
        <v>0.79171095533705893</v>
      </c>
      <c r="CW952" s="180">
        <f t="shared" si="1705"/>
        <v>0.35525491585637264</v>
      </c>
      <c r="CX952" s="181">
        <f>CX951</f>
        <v>0.26849999999999996</v>
      </c>
      <c r="CY952" s="72">
        <v>0.37</v>
      </c>
      <c r="CZ952" s="182">
        <f t="shared" si="1707"/>
        <v>27.457367592175402</v>
      </c>
      <c r="DA952" s="182"/>
      <c r="DB952" s="169">
        <f t="shared" ref="DB952" si="1739">LN(CZ952/CZ951)</f>
        <v>-7.7550549917463407E-2</v>
      </c>
      <c r="DC952" s="181">
        <v>0.04</v>
      </c>
      <c r="DD952" s="183">
        <v>7.0000000000000001E-3</v>
      </c>
      <c r="DE952" s="181">
        <v>1030.81</v>
      </c>
      <c r="DF952" s="72">
        <f t="shared" si="1721"/>
        <v>162.55000000000001</v>
      </c>
      <c r="DG952" s="169">
        <f t="shared" si="1722"/>
        <v>3.3148751169364422E-2</v>
      </c>
      <c r="DH952" s="175">
        <v>127.25</v>
      </c>
      <c r="DI952" s="169">
        <f t="shared" si="1712"/>
        <v>7.1325086601983473E-2</v>
      </c>
      <c r="EB952"/>
    </row>
    <row r="953" spans="1:132" s="160" customFormat="1" ht="21">
      <c r="A953" s="160" t="s">
        <v>217</v>
      </c>
      <c r="B953" s="160" t="s">
        <v>217</v>
      </c>
      <c r="C953" s="160">
        <v>4062485</v>
      </c>
      <c r="D953" s="161" t="s">
        <v>146</v>
      </c>
      <c r="E953" s="161"/>
      <c r="F953" s="189"/>
      <c r="G953" s="160" t="s">
        <v>100</v>
      </c>
      <c r="H953" s="162">
        <v>1998</v>
      </c>
      <c r="I953" s="163"/>
      <c r="J953" s="159"/>
      <c r="K953" s="159"/>
      <c r="L953" s="159"/>
      <c r="M953" s="60"/>
      <c r="N953" s="131"/>
      <c r="O953" s="76"/>
      <c r="P953" s="76"/>
      <c r="Q953" s="165"/>
      <c r="R953" s="165"/>
      <c r="S953" s="165"/>
      <c r="T953" s="159"/>
      <c r="U953" s="165"/>
      <c r="V953" s="165"/>
      <c r="W953" s="159"/>
      <c r="X953" s="163"/>
      <c r="Y953" s="167">
        <v>3855.379556170551</v>
      </c>
      <c r="Z953" s="168"/>
      <c r="AA953" s="78"/>
      <c r="AB953" s="168"/>
      <c r="AC953" s="168"/>
      <c r="AD953" s="163">
        <f t="shared" si="1645"/>
        <v>0</v>
      </c>
      <c r="AE953" s="163"/>
      <c r="AF953" s="163"/>
      <c r="AG953" s="114"/>
      <c r="AH953" s="114"/>
      <c r="AI953" s="114"/>
      <c r="AJ953" s="167"/>
      <c r="AK953" s="168"/>
      <c r="AL953" s="115"/>
      <c r="AM953" s="115"/>
      <c r="AN953" s="115"/>
      <c r="AO953" s="115"/>
      <c r="AP953" s="115"/>
      <c r="AQ953" s="168">
        <f>AVERAGE(AQ962:AQ976)</f>
        <v>1.7834726647223593E-2</v>
      </c>
      <c r="AR953" s="79"/>
      <c r="AS953" s="115"/>
      <c r="AT953" s="115"/>
      <c r="AU953" s="115"/>
      <c r="AV953" s="113">
        <f>IFERROR(INDEX('Total Customers'!$F$7:$AB$91,MATCH($C953,'Total Customers'!$D$7:$D$91,0),MATCH($G953,'Total Customers'!$F$5:$AB$5,0)),"NA")</f>
        <v>532616</v>
      </c>
      <c r="AW953" s="68"/>
      <c r="AX953" s="114"/>
      <c r="AY953" s="114"/>
      <c r="AZ953" s="116"/>
      <c r="BA953" s="116"/>
      <c r="BB953" s="166"/>
      <c r="BC953" s="166"/>
      <c r="BD953" s="166"/>
      <c r="BE953" s="166"/>
      <c r="BF953" s="166"/>
      <c r="BG953" s="166"/>
      <c r="BH953" s="166"/>
      <c r="BI953" s="113">
        <f>INDEX('Gross Dx Plant'!$E$7:$AD$91,MATCH($C953,'Gross Dx Plant'!$D$7:$D$91,0),MATCH(Calculation!$G953,'Gross Dx Plant'!$E$5:$AD$5,0))</f>
        <v>1041832</v>
      </c>
      <c r="BJ953" s="113">
        <f>INDEX('Gross Gen Plant'!$E$7:$AD$91,MATCH($C953,'Gross Gen Plant'!$D$7:$D$91,0),MATCH(Calculation!$G953,'Gross Gen Plant'!$E$5:$AD$5,0))</f>
        <v>59948</v>
      </c>
      <c r="BK953" s="113">
        <f>INDEX('Dist. Plant Gas Additions'!$F$7:$AE$91,MATCH($C953,'Dist. Plant Gas Additions'!$D$7:$D$91,0),MATCH(Calculation!$G953,'Dist. Plant Gas Additions'!$F$5:$AE$5,0))</f>
        <v>84052</v>
      </c>
      <c r="BL953" s="113">
        <f>INDEX('Gen. Plant Additions'!$F$7:$AE$91,MATCH($C953,'Gen. Plant Additions'!$D$7:$D$91,0),MATCH(Calculation!$G953,'Gen. Plant Additions'!$F$5:$AE$5,0))</f>
        <v>9052</v>
      </c>
      <c r="BM953" s="231">
        <f>+(BW953/(BW953+BX953))</f>
        <v>0.94558986367514386</v>
      </c>
      <c r="BN953" s="61">
        <f t="shared" si="1733"/>
        <v>8559.4794459874029</v>
      </c>
      <c r="BO953" s="113">
        <f>INDEX('Dist Plant Depreciation'!$E$7:$AD$94,MATCH($C953,'Dist Plant Depreciation'!$D$7:$D$94,0),MATCH(Calculation!$G953,'Dist Plant Depreciation'!$E$5:$AD$5,0))</f>
        <v>301426</v>
      </c>
      <c r="BP953" s="113">
        <f>INDEX('Gen. Plant Depreciation'!$E$7:$AD$94,MATCH($C953,'Gen. Plant Depreciation'!$D$7:$D$94,0),MATCH(Calculation!$G953,'Gen. Plant Depreciation'!$E$5:$AD$5,0))</f>
        <v>22649</v>
      </c>
      <c r="BQ953" s="113"/>
      <c r="BR953" s="113"/>
      <c r="BS953" s="113"/>
      <c r="BT953" s="113"/>
      <c r="BU953" s="113"/>
      <c r="BV953" s="175"/>
      <c r="BW953" s="113">
        <f>INDEX('Gross Dx Plant'!$E$7:$AD$91,MATCH($C953,'Gross Dx Plant'!$D$7:$D$91,0),MATCH(Calculation!$G953,'Gross Dx Plant'!$E$5:$AD$5,0))</f>
        <v>1041832</v>
      </c>
      <c r="BX953" s="113">
        <f>INDEX('Gross Gen Plant'!$E$7:$AD$91,MATCH($C953,'Gross Gen Plant'!$D$7:$D$91,0),MATCH(Calculation!$G953,'Gross Gen Plant'!$E$5:$AD$5,0))</f>
        <v>59948</v>
      </c>
      <c r="BY953" s="113">
        <f t="shared" si="1734"/>
        <v>777705</v>
      </c>
      <c r="BZ953" s="113"/>
      <c r="CA953" s="116">
        <v>1998</v>
      </c>
      <c r="CB953" s="113">
        <f>BI953+BJ953</f>
        <v>1101780</v>
      </c>
      <c r="CC953" s="113">
        <f>301426+22649</f>
        <v>324075</v>
      </c>
      <c r="CD953" s="113">
        <f>+CB953-CC953</f>
        <v>777705</v>
      </c>
      <c r="CE953" s="113">
        <f>CD953/$BV$3</f>
        <v>3855.379556170551</v>
      </c>
      <c r="CF953" s="175"/>
      <c r="CG953" s="175"/>
      <c r="CH953" s="178">
        <v>1</v>
      </c>
      <c r="CI953" s="113">
        <f>+CE953</f>
        <v>3855.379556170551</v>
      </c>
      <c r="CJ953" s="114"/>
      <c r="CK953" s="114"/>
      <c r="CL953" s="169"/>
      <c r="CM953" s="169"/>
      <c r="CN953" s="114" t="e">
        <f>VLOOKUP($H953,RoR!$E:$F,2,FALSE)</f>
        <v>#N/A</v>
      </c>
      <c r="CO953" s="169">
        <v>1.1028127770464469E-2</v>
      </c>
      <c r="CP953" s="169"/>
      <c r="CQ953" s="169"/>
      <c r="CR953" s="169"/>
      <c r="CS953" s="179"/>
      <c r="CT953" s="182" t="e">
        <f>2/(DC953*39)</f>
        <v>#N/A</v>
      </c>
      <c r="CU953" s="180" t="e">
        <f>+(DC953*40-(1+DC953))/(DC953*40)</f>
        <v>#N/A</v>
      </c>
      <c r="CV953" s="180" t="e">
        <f>+(1-(1/(1+DC953)^40))</f>
        <v>#N/A</v>
      </c>
      <c r="CW953" s="180" t="e">
        <f>+CV953*CU953*CT953</f>
        <v>#N/A</v>
      </c>
      <c r="CX953" s="181">
        <f>INDEX('State Tax Lookup'!$D$7:$Z$91,MATCH(Calculation!$C953,'State Tax Lookup'!$B$7:$B$91,0),MATCH($H953,'State Tax Lookup'!$D$6:$Z$6,0))</f>
        <v>0.35</v>
      </c>
      <c r="CY953" s="72">
        <v>0.37</v>
      </c>
      <c r="CZ953" s="66"/>
      <c r="DA953" s="66"/>
      <c r="DB953" s="69"/>
      <c r="DC953" s="111" t="e">
        <f>VLOOKUP($H953,RoR!$E:$F,2,FALSE)</f>
        <v>#N/A</v>
      </c>
      <c r="DD953" s="216">
        <f>HLOOKUP($H953,'GDP-PI'!$D$8:$CQ$11,3,FALSE)</f>
        <v>1.1028127770464469E-2</v>
      </c>
      <c r="DE953" s="111">
        <f>VLOOKUP(H953,'HW Dx Data'!$E:$F,2,FALSE)</f>
        <v>329.24564746449528</v>
      </c>
      <c r="DF953" s="72" t="e">
        <f t="shared" si="1721"/>
        <v>#N/A</v>
      </c>
      <c r="DG953" s="169" t="e">
        <f t="shared" si="1722"/>
        <v>#N/A</v>
      </c>
      <c r="DH953" s="66">
        <f>HLOOKUP(H953,'GDP-PI'!$8:$9,2,FALSE)</f>
        <v>75.266999999999996</v>
      </c>
      <c r="DI953"/>
      <c r="EB953"/>
    </row>
    <row r="954" spans="1:132" s="160" customFormat="1" ht="21">
      <c r="A954" s="160" t="s">
        <v>217</v>
      </c>
      <c r="B954" s="160" t="s">
        <v>217</v>
      </c>
      <c r="C954" s="160">
        <v>4062485</v>
      </c>
      <c r="D954" s="161" t="s">
        <v>146</v>
      </c>
      <c r="E954" s="161"/>
      <c r="F954" s="189"/>
      <c r="G954" s="160" t="s">
        <v>106</v>
      </c>
      <c r="H954" s="162">
        <v>1999</v>
      </c>
      <c r="I954" s="163"/>
      <c r="J954" s="159"/>
      <c r="K954" s="163"/>
      <c r="L954" s="163"/>
      <c r="M954" s="60"/>
      <c r="N954" s="152"/>
      <c r="O954" s="60"/>
      <c r="P954" s="59"/>
      <c r="Q954" s="169"/>
      <c r="R954" s="169"/>
      <c r="S954" s="169"/>
      <c r="T954" s="187"/>
      <c r="U954" s="169"/>
      <c r="V954" s="169"/>
      <c r="W954" s="159">
        <f t="shared" ref="W954:W977" si="1740">+CI953*CZ954</f>
        <v>0</v>
      </c>
      <c r="X954" s="163"/>
      <c r="Y954" s="167">
        <v>4154.1289375070755</v>
      </c>
      <c r="Z954" s="168">
        <v>7.4633304014362009E-2</v>
      </c>
      <c r="AA954" s="78"/>
      <c r="AB954" s="168"/>
      <c r="AC954" s="168"/>
      <c r="AD954" s="163">
        <f t="shared" si="1645"/>
        <v>0</v>
      </c>
      <c r="AE954" s="168"/>
      <c r="AF954" s="163"/>
      <c r="AG954" s="114"/>
      <c r="AH954" s="114"/>
      <c r="AI954" s="114"/>
      <c r="AJ954" s="167"/>
      <c r="AK954" s="168"/>
      <c r="AL954" s="115"/>
      <c r="AM954" s="115"/>
      <c r="AN954" s="115"/>
      <c r="AO954" s="115"/>
      <c r="AP954" s="115"/>
      <c r="AQ954" s="168"/>
      <c r="AR954" s="79"/>
      <c r="AS954" s="115"/>
      <c r="AT954" s="115"/>
      <c r="AU954" s="115"/>
      <c r="AV954" s="113">
        <f>IFERROR(INDEX('Total Customers'!$F$7:$AB$91,MATCH($C954,'Total Customers'!$D$7:$D$91,0),MATCH($G954,'Total Customers'!$F$5:$AB$5,0)),"NA")</f>
        <v>556703</v>
      </c>
      <c r="AW954" s="68">
        <f t="shared" si="1646"/>
        <v>4.4231169838412597E-2</v>
      </c>
      <c r="AX954" s="114"/>
      <c r="AY954" s="114"/>
      <c r="AZ954" s="116"/>
      <c r="BA954" s="116"/>
      <c r="BB954" s="166"/>
      <c r="BC954" s="166"/>
      <c r="BD954" s="166"/>
      <c r="BE954" s="166"/>
      <c r="BF954" s="166"/>
      <c r="BG954" s="166"/>
      <c r="BH954" s="166"/>
      <c r="BI954" s="113"/>
      <c r="BJ954" s="113"/>
      <c r="BK954" s="113">
        <f>INDEX('Dist. Plant Gas Additions'!$F$7:$AE$91,MATCH($C954,'Dist. Plant Gas Additions'!$D$7:$D$91,0),MATCH(Calculation!$G954,'Dist. Plant Gas Additions'!$F$5:$AE$5,0))</f>
        <v>105976</v>
      </c>
      <c r="BL954" s="113">
        <f>INDEX('Gen. Plant Additions'!$F$7:$AE$91,MATCH($C954,'Gen. Plant Additions'!$D$7:$D$91,0),MATCH(Calculation!$G954,'Gen. Plant Additions'!$F$5:$AE$5,0))</f>
        <v>634</v>
      </c>
      <c r="BM954" s="231">
        <f t="shared" ref="BM954:BM975" si="1741">+(BW954/(BW954+BX954))</f>
        <v>0.95030957934124205</v>
      </c>
      <c r="BN954" s="61">
        <f t="shared" si="1733"/>
        <v>602.4962733023475</v>
      </c>
      <c r="BO954" s="113">
        <f>INDEX('Dist Plant Depreciation'!$E$7:$AD$94,MATCH($C954,'Dist Plant Depreciation'!$D$7:$D$94,0),MATCH(Calculation!$G954,'Dist Plant Depreciation'!$E$5:$AD$5,0))</f>
        <v>331377</v>
      </c>
      <c r="BP954" s="113">
        <f>INDEX('Gen. Plant Depreciation'!$E$7:$AD$94,MATCH($C954,'Gen. Plant Depreciation'!$D$7:$D$94,0),MATCH(Calculation!$G954,'Gen. Plant Depreciation'!$E$5:$AD$5,0))</f>
        <v>17355</v>
      </c>
      <c r="BQ954" s="113"/>
      <c r="BR954" s="113"/>
      <c r="BS954" s="113"/>
      <c r="BT954" s="113"/>
      <c r="BU954" s="113"/>
      <c r="BV954" s="175"/>
      <c r="BW954" s="113">
        <f>INDEX('Gross Dx Plant'!$E$7:$AD$91,MATCH($C954,'Gross Dx Plant'!$D$7:$D$91,0),MATCH(Calculation!$G954,'Gross Dx Plant'!$E$5:$AD$5,0))</f>
        <v>1132712</v>
      </c>
      <c r="BX954" s="113">
        <f>INDEX('Gross Gen Plant'!$E$7:$AD$91,MATCH($C954,'Gross Gen Plant'!$D$7:$D$91,0),MATCH(Calculation!$G954,'Gross Gen Plant'!$E$5:$AD$5,0))</f>
        <v>59228</v>
      </c>
      <c r="BY954" s="113">
        <f t="shared" si="1734"/>
        <v>843208</v>
      </c>
      <c r="BZ954" s="113"/>
      <c r="CA954" s="116">
        <v>1999</v>
      </c>
      <c r="CB954" s="113"/>
      <c r="CC954" s="113"/>
      <c r="CD954" s="113"/>
      <c r="CE954" s="175"/>
      <c r="CF954" s="113">
        <f t="shared" ref="CF954:CF976" si="1742">+BL954+BK954</f>
        <v>106610</v>
      </c>
      <c r="CG954" s="113">
        <f t="shared" ref="CG954:CG976" si="1743">+CF954/$DE954</f>
        <v>317.9303741532936</v>
      </c>
      <c r="CH954" s="178">
        <v>0.99502487562189057</v>
      </c>
      <c r="CI954" s="61">
        <f>+CI953*CH954+CG954</f>
        <v>4154.1289375070755</v>
      </c>
      <c r="CJ954" s="114">
        <f t="shared" ref="CJ954:CJ975" si="1744">LN(CI954/CI953)</f>
        <v>7.4633304014362009E-2</v>
      </c>
      <c r="CK954" s="114"/>
      <c r="CL954" s="169">
        <f t="shared" ref="CL954:CL977" si="1745">+(CI953-CI954+CG954)/CI953</f>
        <v>4.9751243781095029E-3</v>
      </c>
      <c r="CM954" s="169"/>
      <c r="CN954" s="114">
        <f>VLOOKUP($H954,RoR!$E:$F,2,FALSE)</f>
        <v>7.0416666666666669E-2</v>
      </c>
      <c r="CO954" s="169">
        <v>1.4335631817396832E-2</v>
      </c>
      <c r="CP954" s="169">
        <f>+CN954-CO954</f>
        <v>5.6081034849269837E-2</v>
      </c>
      <c r="CQ954" s="169"/>
      <c r="CR954" s="169"/>
      <c r="CS954" s="179">
        <f t="shared" ref="CS954:CS977" si="1746">1-CX954*CY954</f>
        <v>0.87050000000000005</v>
      </c>
      <c r="CT954" s="180">
        <f t="shared" ref="CT954:CT977" si="1747">2/(DC954*39)</f>
        <v>0.72826581702321336</v>
      </c>
      <c r="CU954" s="180">
        <f t="shared" ref="CU954:CU977" si="1748">+(DC954*40-(1+DC954))/(DC954*40)</f>
        <v>0.61997041420118348</v>
      </c>
      <c r="CV954" s="180">
        <f t="shared" ref="CV954:CV977" si="1749">+(1-(1/(1+DC954)^40))</f>
        <v>0.93425155319585029</v>
      </c>
      <c r="CW954" s="180">
        <f t="shared" ref="CW954:CW977" si="1750">+CV954*CU954*CT954</f>
        <v>0.42181762214141483</v>
      </c>
      <c r="CX954" s="181">
        <f>INDEX('State Tax Lookup'!$D$7:$Z$91,MATCH(Calculation!$C954,'State Tax Lookup'!$B$7:$B$91,0),MATCH($H954,'State Tax Lookup'!$D$6:$Z$6,0))</f>
        <v>0.35</v>
      </c>
      <c r="CY954" s="72">
        <v>0.37</v>
      </c>
      <c r="CZ954" s="70"/>
      <c r="DA954" s="70"/>
      <c r="DB954" s="69"/>
      <c r="DC954" s="111">
        <f>VLOOKUP($H954,RoR!$E:$F,2,FALSE)</f>
        <v>7.0416666666666669E-2</v>
      </c>
      <c r="DD954" s="216">
        <f>HLOOKUP($H954,'GDP-PI'!$D$8:$CQ$11,3,FALSE)</f>
        <v>1.4335631817396832E-2</v>
      </c>
      <c r="DE954" s="111">
        <f>VLOOKUP(H954,'HW Dx Data'!$E:$F,2,FALSE)</f>
        <v>335.32499146683239</v>
      </c>
      <c r="DF954" s="66"/>
      <c r="DG954" s="69"/>
      <c r="DH954" s="66">
        <f>HLOOKUP(H954,'GDP-PI'!$8:$9,2,FALSE)</f>
        <v>76.346000000000004</v>
      </c>
      <c r="DI954"/>
      <c r="EB954"/>
    </row>
    <row r="955" spans="1:132" s="160" customFormat="1" ht="21">
      <c r="A955" s="160" t="s">
        <v>217</v>
      </c>
      <c r="B955" s="160" t="s">
        <v>217</v>
      </c>
      <c r="C955" s="160">
        <v>4062485</v>
      </c>
      <c r="D955" s="161" t="s">
        <v>146</v>
      </c>
      <c r="E955" s="161"/>
      <c r="F955" s="189"/>
      <c r="G955" s="160" t="s">
        <v>107</v>
      </c>
      <c r="H955" s="162">
        <v>2000</v>
      </c>
      <c r="I955" s="163"/>
      <c r="J955" s="159"/>
      <c r="K955" s="159"/>
      <c r="L955" s="159"/>
      <c r="M955" s="60"/>
      <c r="N955" s="152"/>
      <c r="O955" s="60"/>
      <c r="P955" s="60"/>
      <c r="Q955" s="159"/>
      <c r="R955" s="159"/>
      <c r="S955" s="159"/>
      <c r="T955" s="159"/>
      <c r="U955" s="159"/>
      <c r="V955" s="159"/>
      <c r="W955" s="159">
        <f t="shared" si="1740"/>
        <v>0</v>
      </c>
      <c r="X955" s="163"/>
      <c r="Y955" s="167">
        <v>4387.6201902412176</v>
      </c>
      <c r="Z955" s="168">
        <v>5.4684217870387242E-2</v>
      </c>
      <c r="AA955" s="78"/>
      <c r="AB955" s="168"/>
      <c r="AC955" s="168"/>
      <c r="AD955" s="163">
        <f t="shared" si="1645"/>
        <v>0</v>
      </c>
      <c r="AE955" s="168"/>
      <c r="AF955" s="163"/>
      <c r="AG955" s="163"/>
      <c r="AH955" s="163"/>
      <c r="AI955" s="163"/>
      <c r="AJ955" s="167"/>
      <c r="AK955" s="168"/>
      <c r="AL955" s="115"/>
      <c r="AM955" s="115"/>
      <c r="AN955" s="115"/>
      <c r="AO955" s="115"/>
      <c r="AP955" s="115"/>
      <c r="AQ955" s="168"/>
      <c r="AR955" s="79"/>
      <c r="AS955" s="115"/>
      <c r="AT955" s="115"/>
      <c r="AU955" s="115"/>
      <c r="AV955" s="113">
        <f>IFERROR(INDEX('Total Customers'!$F$7:$AB$91,MATCH($C955,'Total Customers'!$D$7:$D$91,0),MATCH($G955,'Total Customers'!$F$5:$AB$5,0)),"NA")</f>
        <v>580292</v>
      </c>
      <c r="AW955" s="68">
        <f t="shared" si="1646"/>
        <v>4.1499541054952127E-2</v>
      </c>
      <c r="AX955" s="114"/>
      <c r="AY955" s="114"/>
      <c r="AZ955" s="116"/>
      <c r="BA955" s="116"/>
      <c r="BB955" s="166"/>
      <c r="BC955" s="166"/>
      <c r="BD955" s="166"/>
      <c r="BE955" s="166"/>
      <c r="BF955" s="166"/>
      <c r="BG955" s="166"/>
      <c r="BH955" s="166"/>
      <c r="BI955" s="113"/>
      <c r="BJ955" s="113"/>
      <c r="BK955" s="113">
        <f>INDEX('Dist. Plant Gas Additions'!$F$7:$AE$91,MATCH($C955,'Dist. Plant Gas Additions'!$D$7:$D$91,0),MATCH(Calculation!$G955,'Dist. Plant Gas Additions'!$F$5:$AE$5,0))</f>
        <v>87479</v>
      </c>
      <c r="BL955" s="113">
        <f>INDEX('Gen. Plant Additions'!$F$7:$AE$91,MATCH($C955,'Gen. Plant Additions'!$D$7:$D$91,0),MATCH(Calculation!$G955,'Gen. Plant Additions'!$F$5:$AE$5,0))</f>
        <v>830</v>
      </c>
      <c r="BM955" s="231">
        <f t="shared" si="1741"/>
        <v>0.9539735304960536</v>
      </c>
      <c r="BN955" s="61">
        <f>+BM955*BL955</f>
        <v>791.79803031172446</v>
      </c>
      <c r="BO955" s="113">
        <f>INDEX('Dist Plant Depreciation'!$E$7:$AD$94,MATCH($C955,'Dist Plant Depreciation'!$D$7:$D$94,0),MATCH(Calculation!$G955,'Dist Plant Depreciation'!$E$5:$AD$5,0))</f>
        <v>364000</v>
      </c>
      <c r="BP955" s="113">
        <f>INDEX('Gen. Plant Depreciation'!$E$7:$AD$94,MATCH($C955,'Gen. Plant Depreciation'!$D$7:$D$94,0),MATCH(Calculation!$G955,'Gen. Plant Depreciation'!$E$5:$AD$5,0))</f>
        <v>18084</v>
      </c>
      <c r="BQ955" s="113"/>
      <c r="BR955" s="113"/>
      <c r="BS955" s="113"/>
      <c r="BT955" s="113"/>
      <c r="BU955" s="113"/>
      <c r="BV955" s="175"/>
      <c r="BW955" s="113">
        <f>INDEX('Gross Dx Plant'!$E$7:$AD$91,MATCH($C955,'Gross Dx Plant'!$D$7:$D$91,0),MATCH(Calculation!$G955,'Gross Dx Plant'!$E$5:$AD$5,0))</f>
        <v>1213627</v>
      </c>
      <c r="BX955" s="113">
        <f>INDEX('Gross Gen Plant'!$E$7:$AD$91,MATCH($C955,'Gross Gen Plant'!$D$7:$D$91,0),MATCH(Calculation!$G955,'Gross Gen Plant'!$E$5:$AD$5,0))</f>
        <v>58554</v>
      </c>
      <c r="BY955" s="113">
        <f t="shared" si="1734"/>
        <v>890097</v>
      </c>
      <c r="BZ955" s="113"/>
      <c r="CA955" s="116">
        <v>2000</v>
      </c>
      <c r="CB955" s="113"/>
      <c r="CC955" s="113"/>
      <c r="CD955" s="113"/>
      <c r="CE955" s="175"/>
      <c r="CF955" s="113">
        <f t="shared" si="1742"/>
        <v>88309</v>
      </c>
      <c r="CG955" s="113">
        <f t="shared" si="1743"/>
        <v>254.83523091247133</v>
      </c>
      <c r="CH955" s="178">
        <v>0.98989898989898994</v>
      </c>
      <c r="CI955" s="61">
        <f>+CI953*CH955+CG954*CH954+CG955</f>
        <v>4387.6201902412176</v>
      </c>
      <c r="CJ955" s="114">
        <f t="shared" si="1744"/>
        <v>5.4684217870387242E-2</v>
      </c>
      <c r="CK955" s="114"/>
      <c r="CL955" s="169">
        <f t="shared" si="1745"/>
        <v>5.1380153335196929E-3</v>
      </c>
      <c r="CM955" s="169"/>
      <c r="CN955" s="114">
        <f>VLOOKUP($H955,RoR!$E:$F,2,FALSE)</f>
        <v>7.6225000000000001E-2</v>
      </c>
      <c r="CO955" s="169">
        <v>2.2568307442433211E-2</v>
      </c>
      <c r="CP955" s="169">
        <f t="shared" ref="CP955:CP975" si="1751">+CN955-CO955</f>
        <v>5.365669255756679E-2</v>
      </c>
      <c r="CQ955" s="169"/>
      <c r="CR955" s="169"/>
      <c r="CS955" s="179">
        <f t="shared" si="1746"/>
        <v>0.87050000000000005</v>
      </c>
      <c r="CT955" s="180">
        <f t="shared" si="1747"/>
        <v>0.67277207323124022</v>
      </c>
      <c r="CU955" s="180">
        <f t="shared" si="1748"/>
        <v>0.6470236142997704</v>
      </c>
      <c r="CV955" s="180">
        <f t="shared" si="1749"/>
        <v>0.94704866037543145</v>
      </c>
      <c r="CW955" s="180">
        <f t="shared" si="1750"/>
        <v>0.41224973107878493</v>
      </c>
      <c r="CX955" s="181">
        <f>INDEX('State Tax Lookup'!$D$7:$Z$91,MATCH(Calculation!$C955,'State Tax Lookup'!$B$7:$B$91,0),MATCH($H955,'State Tax Lookup'!$D$6:$Z$6,0))</f>
        <v>0.35</v>
      </c>
      <c r="CY955" s="72">
        <v>0.37</v>
      </c>
      <c r="CZ955" s="70"/>
      <c r="DA955" s="70"/>
      <c r="DB955" s="69"/>
      <c r="DC955" s="111">
        <f>VLOOKUP($H955,RoR!$E:$F,2,FALSE)</f>
        <v>7.6225000000000001E-2</v>
      </c>
      <c r="DD955" s="216">
        <f>HLOOKUP($H955,'GDP-PI'!$D$8:$CQ$11,3,FALSE)</f>
        <v>2.2568307442433211E-2</v>
      </c>
      <c r="DE955" s="111">
        <f>VLOOKUP(H955,'HW Dx Data'!$E:$F,2,FALSE)</f>
        <v>346.53371782150339</v>
      </c>
      <c r="DF955" s="66"/>
      <c r="DG955" s="69"/>
      <c r="DH955" s="66">
        <f>HLOOKUP(H955,'GDP-PI'!$8:$9,2,FALSE)</f>
        <v>78.069000000000003</v>
      </c>
      <c r="DI955"/>
      <c r="EB955"/>
    </row>
    <row r="956" spans="1:132" s="160" customFormat="1" ht="21">
      <c r="A956" s="160" t="s">
        <v>217</v>
      </c>
      <c r="B956" s="160" t="s">
        <v>217</v>
      </c>
      <c r="C956" s="160">
        <v>4062485</v>
      </c>
      <c r="D956" s="161" t="s">
        <v>146</v>
      </c>
      <c r="E956" s="161"/>
      <c r="F956" s="189"/>
      <c r="G956" s="160" t="s">
        <v>111</v>
      </c>
      <c r="H956" s="162">
        <v>2001</v>
      </c>
      <c r="I956" s="163"/>
      <c r="J956" s="159"/>
      <c r="K956" s="159"/>
      <c r="L956" s="159"/>
      <c r="M956" s="60"/>
      <c r="N956" s="152"/>
      <c r="O956" s="60"/>
      <c r="P956" s="60"/>
      <c r="Q956" s="159"/>
      <c r="R956" s="159"/>
      <c r="S956" s="159"/>
      <c r="T956" s="159"/>
      <c r="U956" s="159"/>
      <c r="V956" s="159"/>
      <c r="W956" s="159">
        <f t="shared" si="1740"/>
        <v>53566.149218345003</v>
      </c>
      <c r="X956" s="163"/>
      <c r="Y956" s="167">
        <v>4706.7176614365571</v>
      </c>
      <c r="Z956" s="168">
        <v>7.0203795717177109E-2</v>
      </c>
      <c r="AA956" s="78"/>
      <c r="AB956" s="168"/>
      <c r="AC956" s="168"/>
      <c r="AD956" s="163">
        <f t="shared" si="1645"/>
        <v>53566.149218345003</v>
      </c>
      <c r="AE956" s="168"/>
      <c r="AF956" s="163"/>
      <c r="AG956" s="163"/>
      <c r="AH956" s="163"/>
      <c r="AI956" s="163"/>
      <c r="AJ956" s="167"/>
      <c r="AK956" s="168"/>
      <c r="AL956" s="115"/>
      <c r="AM956" s="115"/>
      <c r="AN956" s="115"/>
      <c r="AO956" s="115"/>
      <c r="AP956" s="115"/>
      <c r="AQ956" s="168"/>
      <c r="AR956" s="79"/>
      <c r="AS956" s="115"/>
      <c r="AT956" s="115"/>
      <c r="AU956" s="115"/>
      <c r="AV956" s="113">
        <f>IFERROR(INDEX('Total Customers'!$F$7:$AB$91,MATCH($C956,'Total Customers'!$D$7:$D$91,0),MATCH($G956,'Total Customers'!$F$5:$AB$5,0)),"NA")</f>
        <v>597845</v>
      </c>
      <c r="AW956" s="68">
        <f t="shared" si="1646"/>
        <v>2.9800097900022329E-2</v>
      </c>
      <c r="AX956" s="114"/>
      <c r="AY956" s="114"/>
      <c r="AZ956" s="116"/>
      <c r="BA956" s="116"/>
      <c r="BB956" s="166"/>
      <c r="BC956" s="166"/>
      <c r="BD956" s="166"/>
      <c r="BE956" s="166"/>
      <c r="BF956" s="166"/>
      <c r="BG956" s="166"/>
      <c r="BH956" s="166"/>
      <c r="BI956" s="113"/>
      <c r="BJ956" s="113"/>
      <c r="BK956" s="113">
        <f>INDEX('Dist. Plant Gas Additions'!$F$7:$AE$91,MATCH($C956,'Dist. Plant Gas Additions'!$D$7:$D$91,0),MATCH(Calculation!$G956,'Dist. Plant Gas Additions'!$F$5:$AE$5,0))</f>
        <v>120053</v>
      </c>
      <c r="BL956" s="113">
        <f>INDEX('Gen. Plant Additions'!$F$7:$AE$91,MATCH($C956,'Gen. Plant Additions'!$D$7:$D$91,0),MATCH(Calculation!$G956,'Gen. Plant Additions'!$F$5:$AE$5,0))</f>
        <v>507</v>
      </c>
      <c r="BM956" s="231">
        <f t="shared" si="1741"/>
        <v>0.95867836270023299</v>
      </c>
      <c r="BN956" s="61">
        <f t="shared" ref="BN956:BN972" si="1752">+BM956*BL956</f>
        <v>486.04992988901813</v>
      </c>
      <c r="BO956" s="113">
        <f>INDEX('Dist Plant Depreciation'!$E$7:$AD$94,MATCH($C956,'Dist Plant Depreciation'!$D$7:$D$94,0),MATCH(Calculation!$G956,'Dist Plant Depreciation'!$E$5:$AD$5,0))</f>
        <v>397916</v>
      </c>
      <c r="BP956" s="113">
        <f>INDEX('Gen. Plant Depreciation'!$E$7:$AD$94,MATCH($C956,'Gen. Plant Depreciation'!$D$7:$D$94,0),MATCH(Calculation!$G956,'Gen. Plant Depreciation'!$E$5:$AD$5,0))</f>
        <v>19466</v>
      </c>
      <c r="BQ956" s="113"/>
      <c r="BR956" s="113"/>
      <c r="BS956" s="113"/>
      <c r="BT956" s="113"/>
      <c r="BU956" s="113"/>
      <c r="BV956" s="175"/>
      <c r="BW956" s="113">
        <f>INDEX('Gross Dx Plant'!$E$7:$AD$91,MATCH($C956,'Gross Dx Plant'!$D$7:$D$91,0),MATCH(Calculation!$G956,'Gross Dx Plant'!$E$5:$AD$5,0))</f>
        <v>1322933</v>
      </c>
      <c r="BX956" s="113">
        <f>INDEX('Gross Gen Plant'!$E$7:$AD$91,MATCH($C956,'Gross Gen Plant'!$D$7:$D$91,0),MATCH(Calculation!$G956,'Gross Gen Plant'!$E$5:$AD$5,0))</f>
        <v>57022</v>
      </c>
      <c r="BY956" s="113">
        <f t="shared" si="1734"/>
        <v>962573</v>
      </c>
      <c r="BZ956" s="113"/>
      <c r="CA956" s="116">
        <v>2001</v>
      </c>
      <c r="CB956" s="113"/>
      <c r="CC956" s="113"/>
      <c r="CD956" s="113"/>
      <c r="CE956" s="175"/>
      <c r="CF956" s="113">
        <f t="shared" si="1742"/>
        <v>120560</v>
      </c>
      <c r="CG956" s="113">
        <f t="shared" si="1743"/>
        <v>341.09744975437491</v>
      </c>
      <c r="CH956" s="178">
        <v>0.98461538461538467</v>
      </c>
      <c r="CI956" s="61">
        <f>+CI953*CH956+CG954*CH955+CG955*CH953+CG956</f>
        <v>4706.7176614365571</v>
      </c>
      <c r="CJ956" s="114">
        <f t="shared" si="1744"/>
        <v>7.0203795717177109E-2</v>
      </c>
      <c r="CK956" s="114"/>
      <c r="CL956" s="169">
        <f t="shared" si="1745"/>
        <v>5.014102772151279E-3</v>
      </c>
      <c r="CM956" s="169">
        <f>+(CL956+CL955+CL954)/3</f>
        <v>5.0424141612601583E-3</v>
      </c>
      <c r="CN956" s="114">
        <f>VLOOKUP($H956,RoR!$E:$F,2,FALSE)</f>
        <v>7.0824999999999999E-2</v>
      </c>
      <c r="CO956" s="169">
        <v>2.2454495382290052E-2</v>
      </c>
      <c r="CP956" s="169">
        <f t="shared" si="1751"/>
        <v>4.8370504617709947E-2</v>
      </c>
      <c r="CQ956" s="169">
        <f>+$CP$2-CM956</f>
        <v>2.5859527447273468E-2</v>
      </c>
      <c r="CR956" s="169">
        <f>+((DE954/DE953-1)+(DE955/DE954-1)+(DE956/DE955-1))/3</f>
        <v>2.3947275901631187E-2</v>
      </c>
      <c r="CS956" s="179">
        <f t="shared" si="1746"/>
        <v>0.87050000000000005</v>
      </c>
      <c r="CT956" s="180">
        <f t="shared" si="1747"/>
        <v>0.72406708481540816</v>
      </c>
      <c r="CU956" s="180">
        <f t="shared" si="1748"/>
        <v>0.62201729615248857</v>
      </c>
      <c r="CV956" s="180">
        <f t="shared" si="1749"/>
        <v>0.9352469954311422</v>
      </c>
      <c r="CW956" s="180">
        <f t="shared" si="1750"/>
        <v>0.42121864641655071</v>
      </c>
      <c r="CX956" s="181">
        <f>INDEX('State Tax Lookup'!$D$7:$Z$91,MATCH(Calculation!$C956,'State Tax Lookup'!$B$7:$B$91,0),MATCH($H956,'State Tax Lookup'!$D$6:$Z$6,0))</f>
        <v>0.35</v>
      </c>
      <c r="CY956" s="72">
        <v>0.37</v>
      </c>
      <c r="CZ956" s="70">
        <f t="shared" ref="CZ956:CZ977" si="1753">+(DE956*CQ956-CR956)*CS956/(1-CX956)</f>
        <v>12.20847450230192</v>
      </c>
      <c r="DA956" s="70"/>
      <c r="DB956" s="69"/>
      <c r="DC956" s="111">
        <f>VLOOKUP($H956,RoR!$E:$F,2,FALSE)</f>
        <v>7.0824999999999999E-2</v>
      </c>
      <c r="DD956" s="216">
        <f>HLOOKUP($H956,'GDP-PI'!$D$8:$CQ$11,3,FALSE)</f>
        <v>2.2454495382290052E-2</v>
      </c>
      <c r="DE956" s="111">
        <f>VLOOKUP(H956,'HW Dx Data'!$E:$F,2,FALSE)</f>
        <v>353.44738017483138</v>
      </c>
      <c r="DF956" s="66"/>
      <c r="DG956" s="69"/>
      <c r="DH956" s="66">
        <f>HLOOKUP(H956,'GDP-PI'!$8:$9,2,FALSE)</f>
        <v>79.822000000000003</v>
      </c>
      <c r="DI956"/>
      <c r="EB956"/>
    </row>
    <row r="957" spans="1:132" s="160" customFormat="1" ht="21">
      <c r="A957" s="160" t="s">
        <v>217</v>
      </c>
      <c r="B957" s="160" t="s">
        <v>217</v>
      </c>
      <c r="C957" s="160">
        <v>4062485</v>
      </c>
      <c r="D957" s="161" t="s">
        <v>146</v>
      </c>
      <c r="E957" s="161"/>
      <c r="F957" s="189"/>
      <c r="G957" s="160" t="s">
        <v>113</v>
      </c>
      <c r="H957" s="162">
        <v>2002</v>
      </c>
      <c r="I957" s="163"/>
      <c r="J957" s="159"/>
      <c r="K957" s="159"/>
      <c r="L957" s="159"/>
      <c r="M957" s="60"/>
      <c r="N957" s="152"/>
      <c r="O957" s="60"/>
      <c r="P957" s="60"/>
      <c r="Q957" s="159"/>
      <c r="R957" s="159"/>
      <c r="S957" s="159"/>
      <c r="T957" s="159"/>
      <c r="U957" s="159"/>
      <c r="V957" s="159"/>
      <c r="W957" s="159">
        <f t="shared" si="1740"/>
        <v>58170.275795464593</v>
      </c>
      <c r="X957" s="163"/>
      <c r="Y957" s="167">
        <v>4980.5860838123554</v>
      </c>
      <c r="Z957" s="168">
        <v>5.6556793703320112E-2</v>
      </c>
      <c r="AA957" s="78"/>
      <c r="AB957" s="168"/>
      <c r="AC957" s="168"/>
      <c r="AD957" s="163">
        <f t="shared" si="1645"/>
        <v>58170.275795464593</v>
      </c>
      <c r="AE957" s="168"/>
      <c r="AF957" s="163"/>
      <c r="AG957" s="163"/>
      <c r="AH957" s="163"/>
      <c r="AI957" s="163"/>
      <c r="AJ957" s="167"/>
      <c r="AK957" s="168"/>
      <c r="AL957" s="115"/>
      <c r="AM957" s="115"/>
      <c r="AN957" s="115"/>
      <c r="AO957" s="115"/>
      <c r="AP957" s="115"/>
      <c r="AQ957" s="168"/>
      <c r="AR957" s="79"/>
      <c r="AS957" s="115"/>
      <c r="AT957" s="115"/>
      <c r="AU957" s="115"/>
      <c r="AV957" s="113">
        <f>IFERROR(INDEX('Total Customers'!$F$7:$AB$91,MATCH($C957,'Total Customers'!$D$7:$D$91,0),MATCH($G957,'Total Customers'!$F$5:$AB$5,0)),"NA")</f>
        <v>613540</v>
      </c>
      <c r="AW957" s="68">
        <f t="shared" si="1646"/>
        <v>2.5913938670776619E-2</v>
      </c>
      <c r="AX957" s="114"/>
      <c r="AY957" s="114"/>
      <c r="AZ957" s="116"/>
      <c r="BA957" s="116"/>
      <c r="BB957" s="166"/>
      <c r="BC957" s="166"/>
      <c r="BD957" s="166"/>
      <c r="BE957" s="166"/>
      <c r="BF957" s="166"/>
      <c r="BG957" s="166"/>
      <c r="BH957" s="166"/>
      <c r="BI957" s="113"/>
      <c r="BJ957" s="113"/>
      <c r="BK957" s="113">
        <f>INDEX('Dist. Plant Gas Additions'!$F$7:$AE$91,MATCH($C957,'Dist. Plant Gas Additions'!$D$7:$D$91,0),MATCH(Calculation!$G957,'Dist. Plant Gas Additions'!$F$5:$AE$5,0))</f>
        <v>108344</v>
      </c>
      <c r="BL957" s="113">
        <f>INDEX('Gen. Plant Additions'!$F$7:$AE$91,MATCH($C957,'Gen. Plant Additions'!$D$7:$D$91,0),MATCH(Calculation!$G957,'Gen. Plant Additions'!$F$5:$AE$5,0))</f>
        <v>359</v>
      </c>
      <c r="BM957" s="231">
        <f t="shared" si="1741"/>
        <v>0.96166364838576823</v>
      </c>
      <c r="BN957" s="61">
        <f t="shared" si="1752"/>
        <v>345.23724977049079</v>
      </c>
      <c r="BO957" s="113">
        <f>INDEX('Dist Plant Depreciation'!$E$7:$AD$94,MATCH($C957,'Dist Plant Depreciation'!$D$7:$D$94,0),MATCH(Calculation!$G957,'Dist Plant Depreciation'!$E$5:$AD$5,0))</f>
        <v>430524</v>
      </c>
      <c r="BP957" s="113">
        <f>INDEX('Gen. Plant Depreciation'!$E$7:$AD$94,MATCH($C957,'Gen. Plant Depreciation'!$D$7:$D$94,0),MATCH(Calculation!$G957,'Gen. Plant Depreciation'!$E$5:$AD$5,0))</f>
        <v>20762</v>
      </c>
      <c r="BQ957" s="113"/>
      <c r="BR957" s="113"/>
      <c r="BS957" s="113"/>
      <c r="BT957" s="113"/>
      <c r="BU957" s="113"/>
      <c r="BV957" s="175"/>
      <c r="BW957" s="113">
        <f>INDEX('Gross Dx Plant'!$E$7:$AD$91,MATCH($C957,'Gross Dx Plant'!$D$7:$D$91,0),MATCH(Calculation!$G957,'Gross Dx Plant'!$E$5:$AD$5,0))</f>
        <v>1417297</v>
      </c>
      <c r="BX957" s="113">
        <f>INDEX('Gross Gen Plant'!$E$7:$AD$91,MATCH($C957,'Gross Gen Plant'!$D$7:$D$91,0),MATCH(Calculation!$G957,'Gross Gen Plant'!$E$5:$AD$5,0))</f>
        <v>56500</v>
      </c>
      <c r="BY957" s="113">
        <f t="shared" si="1734"/>
        <v>1022511</v>
      </c>
      <c r="BZ957" s="113"/>
      <c r="CA957" s="116">
        <v>2002</v>
      </c>
      <c r="CB957" s="113"/>
      <c r="CC957" s="113"/>
      <c r="CD957" s="113"/>
      <c r="CE957" s="175"/>
      <c r="CF957" s="113">
        <f t="shared" si="1742"/>
        <v>108703</v>
      </c>
      <c r="CG957" s="113">
        <f t="shared" si="1743"/>
        <v>300.82621224644282</v>
      </c>
      <c r="CH957" s="178">
        <v>0.97916666666666663</v>
      </c>
      <c r="CI957" s="61">
        <f>+CI953*CH957+CG954*CH956+CG955*CH955+CG956*CH954+CG957</f>
        <v>4980.5860838123554</v>
      </c>
      <c r="CJ957" s="114">
        <f t="shared" si="1744"/>
        <v>5.6556793703320112E-2</v>
      </c>
      <c r="CK957" s="114"/>
      <c r="CL957" s="169">
        <f t="shared" si="1745"/>
        <v>5.7275136963317874E-3</v>
      </c>
      <c r="CM957" s="169">
        <f t="shared" ref="CM957:CM977" si="1754">+(CL957+CL956+CL955)/3</f>
        <v>5.2932106006675873E-3</v>
      </c>
      <c r="CN957" s="114">
        <f>VLOOKUP($H957,RoR!$E:$F,2,FALSE)</f>
        <v>6.4916666666666664E-2</v>
      </c>
      <c r="CO957" s="169">
        <v>1.5246423291824351E-2</v>
      </c>
      <c r="CP957" s="169">
        <f t="shared" si="1751"/>
        <v>4.9670243374842313E-2</v>
      </c>
      <c r="CQ957" s="169">
        <f t="shared" ref="CQ957:CQ977" si="1755">+$CP$2-CM957</f>
        <v>2.5608731007866037E-2</v>
      </c>
      <c r="CR957" s="169">
        <f t="shared" ref="CR957:CR977" si="1756">+((DE955/DE954-1)+(DE956/DE955-1)+(DE957/DE956-1))/3</f>
        <v>2.5243621214759093E-2</v>
      </c>
      <c r="CS957" s="179">
        <f t="shared" si="1746"/>
        <v>0.87050000000000005</v>
      </c>
      <c r="CT957" s="180">
        <f t="shared" si="1747"/>
        <v>0.78996741384417901</v>
      </c>
      <c r="CU957" s="180">
        <f t="shared" si="1748"/>
        <v>0.58989088575096271</v>
      </c>
      <c r="CV957" s="180">
        <f t="shared" si="1749"/>
        <v>0.91920675783645744</v>
      </c>
      <c r="CW957" s="180">
        <f t="shared" si="1750"/>
        <v>0.42834536472275586</v>
      </c>
      <c r="CX957" s="181">
        <f>INDEX('State Tax Lookup'!$D$7:$Z$91,MATCH(Calculation!$C957,'State Tax Lookup'!$B$7:$B$91,0),MATCH($H957,'State Tax Lookup'!$D$6:$Z$6,0))</f>
        <v>0.35</v>
      </c>
      <c r="CY957" s="72">
        <v>0.37</v>
      </c>
      <c r="CZ957" s="70">
        <f t="shared" si="1753"/>
        <v>12.358989848078162</v>
      </c>
      <c r="DA957" s="70"/>
      <c r="DB957" s="69">
        <f>LN(CZ957/CZ956)</f>
        <v>1.2253379257151852E-2</v>
      </c>
      <c r="DC957" s="111">
        <f>VLOOKUP($H957,RoR!$E:$F,2,FALSE)</f>
        <v>6.4916666666666664E-2</v>
      </c>
      <c r="DD957" s="216">
        <f>HLOOKUP($H957,'GDP-PI'!$D$8:$CQ$11,3,FALSE)</f>
        <v>1.5246423291824351E-2</v>
      </c>
      <c r="DE957" s="111">
        <f>VLOOKUP(H957,'HW Dx Data'!$E:$F,2,FALSE)</f>
        <v>361.34816573413599</v>
      </c>
      <c r="DF957" s="66"/>
      <c r="DG957" s="69"/>
      <c r="DH957" s="66">
        <f>HLOOKUP(H957,'GDP-PI'!$8:$9,2,FALSE)</f>
        <v>81.039000000000001</v>
      </c>
      <c r="DI957" s="69">
        <f>LN(DH957/DH956)</f>
        <v>1.513136459537477E-2</v>
      </c>
      <c r="EB957"/>
    </row>
    <row r="958" spans="1:132" s="160" customFormat="1" ht="21">
      <c r="A958" s="160" t="s">
        <v>217</v>
      </c>
      <c r="B958" s="160" t="s">
        <v>217</v>
      </c>
      <c r="C958" s="160">
        <v>4062485</v>
      </c>
      <c r="D958" s="161" t="s">
        <v>146</v>
      </c>
      <c r="E958" s="161"/>
      <c r="F958" s="189"/>
      <c r="G958" s="160" t="s">
        <v>114</v>
      </c>
      <c r="H958" s="162">
        <v>2003</v>
      </c>
      <c r="I958" s="163"/>
      <c r="J958" s="159"/>
      <c r="K958" s="159"/>
      <c r="L958" s="159"/>
      <c r="M958" s="76"/>
      <c r="N958" s="152"/>
      <c r="O958" s="76"/>
      <c r="P958" s="76"/>
      <c r="Q958" s="159"/>
      <c r="R958" s="159"/>
      <c r="S958" s="159"/>
      <c r="T958" s="159"/>
      <c r="U958" s="159"/>
      <c r="V958" s="159"/>
      <c r="W958" s="159">
        <f t="shared" si="1740"/>
        <v>62530.871719986157</v>
      </c>
      <c r="X958" s="163"/>
      <c r="Y958" s="167">
        <v>5211.7419135933196</v>
      </c>
      <c r="Z958" s="168">
        <v>4.536656868250364E-2</v>
      </c>
      <c r="AA958" s="78"/>
      <c r="AB958" s="168"/>
      <c r="AC958" s="168"/>
      <c r="AD958" s="163">
        <f t="shared" si="1645"/>
        <v>62530.871719986157</v>
      </c>
      <c r="AE958" s="168"/>
      <c r="AF958" s="163"/>
      <c r="AG958" s="163"/>
      <c r="AH958" s="163"/>
      <c r="AI958" s="163"/>
      <c r="AJ958" s="167"/>
      <c r="AK958" s="168"/>
      <c r="AL958" s="115"/>
      <c r="AM958" s="115"/>
      <c r="AN958" s="115"/>
      <c r="AO958" s="115"/>
      <c r="AP958" s="115"/>
      <c r="AQ958" s="168"/>
      <c r="AR958" s="79"/>
      <c r="AS958" s="115"/>
      <c r="AT958" s="115"/>
      <c r="AU958" s="115"/>
      <c r="AV958" s="113">
        <f>IFERROR(INDEX('Total Customers'!$F$7:$AB$91,MATCH($C958,'Total Customers'!$D$7:$D$91,0),MATCH($G958,'Total Customers'!$F$5:$AB$5,0)),"NA")</f>
        <v>633678</v>
      </c>
      <c r="AW958" s="68">
        <f t="shared" si="1646"/>
        <v>3.2295477284331603E-2</v>
      </c>
      <c r="AX958" s="114"/>
      <c r="AY958" s="114"/>
      <c r="AZ958" s="116"/>
      <c r="BA958" s="116"/>
      <c r="BB958" s="166"/>
      <c r="BC958" s="166"/>
      <c r="BD958" s="166"/>
      <c r="BE958" s="166"/>
      <c r="BF958" s="166"/>
      <c r="BG958" s="166"/>
      <c r="BH958" s="166"/>
      <c r="BI958" s="113"/>
      <c r="BJ958" s="113"/>
      <c r="BK958" s="113">
        <f>INDEX('Dist. Plant Gas Additions'!$F$7:$AE$91,MATCH($C958,'Dist. Plant Gas Additions'!$D$7:$D$91,0),MATCH(Calculation!$G958,'Dist. Plant Gas Additions'!$F$5:$AE$5,0))</f>
        <v>94930</v>
      </c>
      <c r="BL958" s="113">
        <f>INDEX('Gen. Plant Additions'!$F$7:$AE$91,MATCH($C958,'Gen. Plant Additions'!$D$7:$D$91,0),MATCH(Calculation!$G958,'Gen. Plant Additions'!$F$5:$AE$5,0))</f>
        <v>758</v>
      </c>
      <c r="BM958" s="231">
        <f t="shared" si="1741"/>
        <v>0.96701519894846955</v>
      </c>
      <c r="BN958" s="61">
        <f t="shared" si="1752"/>
        <v>732.9975208029399</v>
      </c>
      <c r="BO958" s="113">
        <f>INDEX('Dist Plant Depreciation'!$E$7:$AD$94,MATCH($C958,'Dist Plant Depreciation'!$D$7:$D$94,0),MATCH(Calculation!$G958,'Dist Plant Depreciation'!$E$5:$AD$5,0))</f>
        <v>466465</v>
      </c>
      <c r="BP958" s="113">
        <f>INDEX('Gen. Plant Depreciation'!$E$7:$AD$94,MATCH($C958,'Gen. Plant Depreciation'!$D$7:$D$94,0),MATCH(Calculation!$G958,'Gen. Plant Depreciation'!$E$5:$AD$5,0))</f>
        <v>17541</v>
      </c>
      <c r="BQ958" s="113"/>
      <c r="BR958" s="113"/>
      <c r="BS958" s="113"/>
      <c r="BT958" s="113"/>
      <c r="BU958" s="113"/>
      <c r="BV958" s="175"/>
      <c r="BW958" s="113">
        <f>INDEX('Gross Dx Plant'!$E$7:$AD$91,MATCH($C958,'Gross Dx Plant'!$D$7:$D$91,0),MATCH(Calculation!$G958,'Gross Dx Plant'!$E$5:$AD$5,0))</f>
        <v>1499359</v>
      </c>
      <c r="BX958" s="113">
        <f>INDEX('Gross Gen Plant'!$E$7:$AD$91,MATCH($C958,'Gross Gen Plant'!$D$7:$D$91,0),MATCH(Calculation!$G958,'Gross Gen Plant'!$E$5:$AD$5,0))</f>
        <v>51143</v>
      </c>
      <c r="BY958" s="113">
        <f t="shared" si="1734"/>
        <v>1066496</v>
      </c>
      <c r="BZ958" s="113"/>
      <c r="CA958" s="116">
        <v>2003</v>
      </c>
      <c r="CB958" s="113"/>
      <c r="CC958" s="113"/>
      <c r="CD958" s="113"/>
      <c r="CE958" s="175"/>
      <c r="CF958" s="113">
        <f t="shared" si="1742"/>
        <v>95688</v>
      </c>
      <c r="CG958" s="113">
        <f t="shared" si="1743"/>
        <v>259.15342659193038</v>
      </c>
      <c r="CH958" s="178">
        <v>0.97354497354497349</v>
      </c>
      <c r="CI958" s="61">
        <f>+CI953*CH958+CG954*CH957+CG955*CH956+CG956*CH955+CG957*CH954+CG958</f>
        <v>5211.7419135933196</v>
      </c>
      <c r="CJ958" s="114">
        <f t="shared" si="1744"/>
        <v>4.536656868250364E-2</v>
      </c>
      <c r="CK958" s="114"/>
      <c r="CL958" s="169">
        <f t="shared" si="1745"/>
        <v>5.6213458295525627E-3</v>
      </c>
      <c r="CM958" s="169">
        <f t="shared" si="1754"/>
        <v>5.4543207660118767E-3</v>
      </c>
      <c r="CN958" s="114">
        <f>VLOOKUP($H958,RoR!$E:$F,2,FALSE)</f>
        <v>5.6666666666666671E-2</v>
      </c>
      <c r="CO958" s="169">
        <v>1.8855119140166909E-2</v>
      </c>
      <c r="CP958" s="169">
        <f t="shared" si="1751"/>
        <v>3.7811547526499761E-2</v>
      </c>
      <c r="CQ958" s="169">
        <f t="shared" si="1755"/>
        <v>2.5447620842521747E-2</v>
      </c>
      <c r="CR958" s="169">
        <f t="shared" si="1756"/>
        <v>2.1375012817671957E-2</v>
      </c>
      <c r="CS958" s="179">
        <f t="shared" si="1746"/>
        <v>0.87050000000000005</v>
      </c>
      <c r="CT958" s="180">
        <f t="shared" si="1747"/>
        <v>0.90497737556561086</v>
      </c>
      <c r="CU958" s="180">
        <f t="shared" si="1748"/>
        <v>0.5338235294117647</v>
      </c>
      <c r="CV958" s="180">
        <f t="shared" si="1749"/>
        <v>0.88972433127405692</v>
      </c>
      <c r="CW958" s="180">
        <f t="shared" si="1750"/>
        <v>0.42982423775949252</v>
      </c>
      <c r="CX958" s="181">
        <f>INDEX('State Tax Lookup'!$D$7:$Z$91,MATCH(Calculation!$C958,'State Tax Lookup'!$B$7:$B$91,0),MATCH($H958,'State Tax Lookup'!$D$6:$Z$6,0))</f>
        <v>0.35</v>
      </c>
      <c r="CY958" s="72">
        <v>0.37</v>
      </c>
      <c r="CZ958" s="70">
        <f t="shared" si="1753"/>
        <v>12.554922386186794</v>
      </c>
      <c r="DA958" s="70"/>
      <c r="DB958" s="69">
        <f t="shared" ref="DB958:DB975" si="1757">LN(CZ958/CZ957)</f>
        <v>1.5729089497860747E-2</v>
      </c>
      <c r="DC958" s="111">
        <f>VLOOKUP($H958,RoR!$E:$F,2,FALSE)</f>
        <v>5.6666666666666671E-2</v>
      </c>
      <c r="DD958" s="216">
        <f>HLOOKUP($H958,'GDP-PI'!$D$8:$CQ$11,3,FALSE)</f>
        <v>1.8855119140166909E-2</v>
      </c>
      <c r="DE958" s="111">
        <f>VLOOKUP(H958,'HW Dx Data'!$E:$F,2,FALSE)</f>
        <v>369.23301095560191</v>
      </c>
      <c r="DF958" s="66"/>
      <c r="DG958" s="69"/>
      <c r="DH958" s="66">
        <f>HLOOKUP(H958,'GDP-PI'!$8:$9,2,FALSE)</f>
        <v>82.566999999999993</v>
      </c>
      <c r="DI958" s="69">
        <f t="shared" ref="DI958:DI977" si="1758">LN(DH958/DH957)</f>
        <v>1.8679564681853753E-2</v>
      </c>
      <c r="EB958"/>
    </row>
    <row r="959" spans="1:132" s="160" customFormat="1" ht="21">
      <c r="A959" s="160" t="s">
        <v>217</v>
      </c>
      <c r="B959" s="160" t="s">
        <v>217</v>
      </c>
      <c r="C959" s="160">
        <v>4062485</v>
      </c>
      <c r="D959" s="161" t="s">
        <v>146</v>
      </c>
      <c r="E959" s="161"/>
      <c r="F959" s="189"/>
      <c r="G959" s="160" t="s">
        <v>115</v>
      </c>
      <c r="H959" s="162">
        <v>2004</v>
      </c>
      <c r="I959" s="163"/>
      <c r="J959" s="159">
        <f>IFERROR(INDEX('Labor Expenditures'!$F$7:$X$91,MATCH($C959,'Labor Expenditures'!$D$7:$D$91,0),MATCH($G959,'Labor Expenditures'!$F$5:$X$5,0)),"NA")</f>
        <v>29285.790448583073</v>
      </c>
      <c r="K959" s="159">
        <f t="shared" ref="K959:K977" si="1759">+J959/DF959</f>
        <v>310.39523527909989</v>
      </c>
      <c r="L959" s="165"/>
      <c r="M959" s="76"/>
      <c r="N959" s="152"/>
      <c r="O959" s="76"/>
      <c r="P959" s="76"/>
      <c r="Q959" s="159">
        <f>IFERROR(INDEX('Non-Labor Expenditures'!$F$7:$AB$91,MATCH($C959,'Non-Labor Expenditures'!$D$7:$D$91,0),MATCH($G959,'Non-Labor Expenditures'!$F$5:$AB$5,0)),"NA")</f>
        <v>42411.294400698338</v>
      </c>
      <c r="R959" s="159">
        <f t="shared" ref="R959:R977" si="1760">+Q959/DH959</f>
        <v>500.26297389297144</v>
      </c>
      <c r="S959" s="159"/>
      <c r="T959" s="159"/>
      <c r="U959" s="159"/>
      <c r="V959" s="159"/>
      <c r="W959" s="159">
        <f t="shared" si="1740"/>
        <v>72550.622212998918</v>
      </c>
      <c r="X959" s="163"/>
      <c r="Y959" s="167">
        <v>5452.69356416955</v>
      </c>
      <c r="Z959" s="168">
        <v>4.5195578233526108E-2</v>
      </c>
      <c r="AA959" s="76">
        <f t="shared" ref="AA959:AA977" si="1761">+Z959*$AR959</f>
        <v>0</v>
      </c>
      <c r="AB959" s="168"/>
      <c r="AC959" s="168"/>
      <c r="AD959" s="163">
        <f t="shared" si="1645"/>
        <v>144247.70706228033</v>
      </c>
      <c r="AE959" s="168"/>
      <c r="AF959" s="163"/>
      <c r="AG959" s="163"/>
      <c r="AH959" s="163"/>
      <c r="AI959" s="163"/>
      <c r="AJ959" s="167"/>
      <c r="AK959" s="168"/>
      <c r="AL959" s="115">
        <f t="shared" ref="AL959:AL977" si="1762">+J959/AD959</f>
        <v>0.20302430482266628</v>
      </c>
      <c r="AM959" s="115">
        <f t="shared" ref="AM959:AM977" si="1763">+Q959/AD959</f>
        <v>0.29401711309273604</v>
      </c>
      <c r="AN959" s="115">
        <f t="shared" ref="AN959:AN977" si="1764">+W959/AD959</f>
        <v>0.50295858208459765</v>
      </c>
      <c r="AO959" s="115"/>
      <c r="AP959" s="115"/>
      <c r="AQ959" s="168"/>
      <c r="AR959" s="79"/>
      <c r="AS959" s="115"/>
      <c r="AT959" s="115"/>
      <c r="AU959" s="115"/>
      <c r="AV959" s="113">
        <f>IFERROR(INDEX('Total Customers'!$F$7:$AB$91,MATCH($C959,'Total Customers'!$D$7:$D$91,0),MATCH($G959,'Total Customers'!$F$5:$AB$5,0)),"NA")</f>
        <v>661739</v>
      </c>
      <c r="AW959" s="68">
        <f t="shared" si="1646"/>
        <v>4.3330279393547715E-2</v>
      </c>
      <c r="AX959" s="114"/>
      <c r="AY959" s="114"/>
      <c r="AZ959" s="116"/>
      <c r="BA959" s="116"/>
      <c r="BB959" s="166"/>
      <c r="BC959" s="166"/>
      <c r="BD959" s="166"/>
      <c r="BE959" s="166"/>
      <c r="BF959" s="166"/>
      <c r="BG959" s="166"/>
      <c r="BH959" s="166"/>
      <c r="BI959" s="113"/>
      <c r="BJ959" s="113"/>
      <c r="BK959" s="113">
        <f>INDEX('Dist. Plant Gas Additions'!$F$7:$AE$91,MATCH($C959,'Dist. Plant Gas Additions'!$D$7:$D$91,0),MATCH(Calculation!$G959,'Dist. Plant Gas Additions'!$F$5:$AE$5,0))</f>
        <v>112319</v>
      </c>
      <c r="BL959" s="113">
        <f>INDEX('Gen. Plant Additions'!$F$7:$AE$91,MATCH($C959,'Gen. Plant Additions'!$D$7:$D$91,0),MATCH(Calculation!$G959,'Gen. Plant Additions'!$F$5:$AE$5,0))</f>
        <v>171</v>
      </c>
      <c r="BM959" s="231">
        <f t="shared" si="1741"/>
        <v>0.96933059114734998</v>
      </c>
      <c r="BN959" s="61">
        <f t="shared" si="1752"/>
        <v>165.75553108619684</v>
      </c>
      <c r="BO959" s="113">
        <f>INDEX('Dist Plant Depreciation'!$E$7:$AD$94,MATCH($C959,'Dist Plant Depreciation'!$D$7:$D$94,0),MATCH(Calculation!$G959,'Dist Plant Depreciation'!$E$5:$AD$5,0))</f>
        <v>503283</v>
      </c>
      <c r="BP959" s="113">
        <f>INDEX('Gen. Plant Depreciation'!$E$7:$AD$94,MATCH($C959,'Gen. Plant Depreciation'!$D$7:$D$94,0),MATCH(Calculation!$G959,'Gen. Plant Depreciation'!$E$5:$AD$5,0))</f>
        <v>19677</v>
      </c>
      <c r="BQ959" s="113"/>
      <c r="BR959" s="113"/>
      <c r="BS959" s="113"/>
      <c r="BT959" s="113"/>
      <c r="BU959" s="113"/>
      <c r="BV959" s="175"/>
      <c r="BW959" s="113">
        <f>INDEX('Gross Dx Plant'!$E$7:$AD$91,MATCH($C959,'Gross Dx Plant'!$D$7:$D$91,0),MATCH(Calculation!$G959,'Gross Dx Plant'!$E$5:$AD$5,0))</f>
        <v>1597767</v>
      </c>
      <c r="BX959" s="113">
        <f>INDEX('Gross Gen Plant'!$E$7:$AD$91,MATCH($C959,'Gross Gen Plant'!$D$7:$D$91,0),MATCH(Calculation!$G959,'Gross Gen Plant'!$E$5:$AD$5,0))</f>
        <v>50553</v>
      </c>
      <c r="BY959" s="113">
        <f t="shared" si="1734"/>
        <v>1125360</v>
      </c>
      <c r="BZ959" s="113"/>
      <c r="CA959" s="116">
        <v>2004</v>
      </c>
      <c r="CB959" s="113"/>
      <c r="CC959" s="113"/>
      <c r="CD959" s="113"/>
      <c r="CE959" s="175"/>
      <c r="CF959" s="113">
        <f t="shared" si="1742"/>
        <v>112490</v>
      </c>
      <c r="CG959" s="113">
        <f t="shared" si="1743"/>
        <v>271.13394277936129</v>
      </c>
      <c r="CH959" s="178">
        <v>0.967741935483871</v>
      </c>
      <c r="CI959" s="61">
        <f>+CI953*CH959+CG954*CH958+CG955*CH957+CG956*CH956+CG957*CH955+CG958*CH954+CG959</f>
        <v>5452.69356416955</v>
      </c>
      <c r="CJ959" s="114">
        <f t="shared" si="1744"/>
        <v>4.5195578233526108E-2</v>
      </c>
      <c r="CK959" s="114"/>
      <c r="CL959" s="169">
        <f t="shared" si="1745"/>
        <v>5.7912100605767092E-3</v>
      </c>
      <c r="CM959" s="169">
        <f t="shared" si="1754"/>
        <v>5.713356528820354E-3</v>
      </c>
      <c r="CN959" s="114">
        <f>VLOOKUP($H959,RoR!$E:$F,2,FALSE)</f>
        <v>5.6283333333333331E-2</v>
      </c>
      <c r="CO959" s="169">
        <v>2.6778252812867276E-2</v>
      </c>
      <c r="CP959" s="169">
        <f t="shared" si="1751"/>
        <v>2.9505080520466055E-2</v>
      </c>
      <c r="CQ959" s="169">
        <f t="shared" si="1755"/>
        <v>2.518858507971327E-2</v>
      </c>
      <c r="CR959" s="169">
        <f t="shared" si="1756"/>
        <v>5.5940039414565046E-2</v>
      </c>
      <c r="CS959" s="179">
        <f t="shared" si="1746"/>
        <v>0.87050000000000005</v>
      </c>
      <c r="CT959" s="180">
        <f t="shared" si="1747"/>
        <v>0.91114097628755619</v>
      </c>
      <c r="CU959" s="180">
        <f t="shared" si="1748"/>
        <v>0.53081877405981637</v>
      </c>
      <c r="CV959" s="180">
        <f t="shared" si="1749"/>
        <v>0.88811215519385678</v>
      </c>
      <c r="CW959" s="180">
        <f t="shared" si="1750"/>
        <v>0.42953609753547711</v>
      </c>
      <c r="CX959" s="181">
        <f>INDEX('State Tax Lookup'!$D$7:$Z$91,MATCH(Calculation!$C959,'State Tax Lookup'!$B$7:$B$91,0),MATCH($H959,'State Tax Lookup'!$D$6:$Z$6,0))</f>
        <v>0.35</v>
      </c>
      <c r="CY959" s="72">
        <v>0.37</v>
      </c>
      <c r="CZ959" s="70">
        <f t="shared" si="1753"/>
        <v>13.920609158287679</v>
      </c>
      <c r="DA959" s="70"/>
      <c r="DB959" s="69">
        <f t="shared" si="1757"/>
        <v>0.1032576046342496</v>
      </c>
      <c r="DC959" s="111">
        <f>VLOOKUP($H959,RoR!$E:$F,2,FALSE)</f>
        <v>5.6283333333333331E-2</v>
      </c>
      <c r="DD959" s="216">
        <f>HLOOKUP($H959,'GDP-PI'!$D$8:$CQ$11,3,FALSE)</f>
        <v>2.6778252812867276E-2</v>
      </c>
      <c r="DE959" s="111">
        <f>VLOOKUP(H959,'HW Dx Data'!$E:$F,2,FALSE)</f>
        <v>414.88719135228365</v>
      </c>
      <c r="DF959" s="72">
        <f>VLOOKUP(G959,EG$8:EH$27,2,FALSE)</f>
        <v>94.35</v>
      </c>
      <c r="DG959" s="69"/>
      <c r="DH959" s="66">
        <f>HLOOKUP(H959,'GDP-PI'!$8:$9,2,FALSE)</f>
        <v>84.778000000000006</v>
      </c>
      <c r="DI959" s="69">
        <f t="shared" si="1758"/>
        <v>2.6425990216022755E-2</v>
      </c>
      <c r="EB959"/>
    </row>
    <row r="960" spans="1:132" s="160" customFormat="1" ht="21">
      <c r="A960" s="160" t="s">
        <v>217</v>
      </c>
      <c r="B960" s="160" t="s">
        <v>217</v>
      </c>
      <c r="C960" s="160">
        <v>4062485</v>
      </c>
      <c r="D960" s="161" t="s">
        <v>146</v>
      </c>
      <c r="E960" s="161"/>
      <c r="F960" s="189"/>
      <c r="G960" s="160" t="s">
        <v>116</v>
      </c>
      <c r="H960" s="162">
        <v>2005</v>
      </c>
      <c r="I960" s="163"/>
      <c r="J960" s="159">
        <f>IFERROR(INDEX('Labor Expenditures'!$F$7:$X$91,MATCH($C960,'Labor Expenditures'!$D$7:$D$91,0),MATCH($G960,'Labor Expenditures'!$F$5:$X$5,0)),"NA")</f>
        <v>36812.328311604149</v>
      </c>
      <c r="K960" s="159">
        <f t="shared" si="1759"/>
        <v>370.99852165889797</v>
      </c>
      <c r="L960" s="165">
        <f t="shared" ref="L960:L976" si="1765">LN(K960/K959)</f>
        <v>0.17835163992197478</v>
      </c>
      <c r="M960" s="76"/>
      <c r="N960" s="62">
        <v>100</v>
      </c>
      <c r="O960" s="77"/>
      <c r="P960" s="77"/>
      <c r="Q960" s="159">
        <f>IFERROR(INDEX('Non-Labor Expenditures'!$F$7:$AB$91,MATCH($C960,'Non-Labor Expenditures'!$D$7:$D$91,0),MATCH($G960,'Non-Labor Expenditures'!$F$5:$AB$5,0)),"NA")</f>
        <v>53311.126989715376</v>
      </c>
      <c r="R960" s="159">
        <f t="shared" si="1760"/>
        <v>609.91827873872091</v>
      </c>
      <c r="S960" s="165">
        <f>LN(R960/R959)</f>
        <v>0.19819107096581112</v>
      </c>
      <c r="T960" s="165"/>
      <c r="U960" s="165"/>
      <c r="V960" s="165"/>
      <c r="W960" s="159">
        <f t="shared" si="1740"/>
        <v>85363.766304192191</v>
      </c>
      <c r="X960" s="163"/>
      <c r="Y960" s="167">
        <v>5681.0317633659824</v>
      </c>
      <c r="Z960" s="168">
        <v>4.1023146176418397E-2</v>
      </c>
      <c r="AA960" s="76">
        <f t="shared" si="1761"/>
        <v>0</v>
      </c>
      <c r="AB960" s="168"/>
      <c r="AC960" s="168"/>
      <c r="AD960" s="163">
        <f t="shared" si="1645"/>
        <v>175487.22160551173</v>
      </c>
      <c r="AE960" s="168">
        <f>LN(AD960/AD959)</f>
        <v>0.19603421921067807</v>
      </c>
      <c r="AF960" s="163"/>
      <c r="AG960" s="163"/>
      <c r="AH960" s="163"/>
      <c r="AI960" s="163"/>
      <c r="AJ960" s="116"/>
      <c r="AK960" s="114"/>
      <c r="AL960" s="115">
        <f t="shared" si="1762"/>
        <v>0.20977213027143818</v>
      </c>
      <c r="AM960" s="115">
        <f t="shared" si="1763"/>
        <v>0.30378922466250369</v>
      </c>
      <c r="AN960" s="115">
        <f t="shared" si="1764"/>
        <v>0.48643864506605805</v>
      </c>
      <c r="AO960" s="115">
        <f t="shared" ref="AO960:AO976" si="1766">+(((AL960+AL959)/2)*L960+((AM959+AM960)/2)*S960+((AN959+AN960)/2)*Z960)</f>
        <v>0.11634549326939166</v>
      </c>
      <c r="AP960" s="166">
        <v>100</v>
      </c>
      <c r="AQ960" s="168"/>
      <c r="AR960" s="16"/>
      <c r="AS960" s="115"/>
      <c r="AT960" s="115"/>
      <c r="AU960" s="115"/>
      <c r="AV960" s="113">
        <f>IFERROR(INDEX('Total Customers'!$F$7:$AB$91,MATCH($C960,'Total Customers'!$D$7:$D$91,0),MATCH($G960,'Total Customers'!$F$5:$AB$5,0)),"NA")</f>
        <v>682783</v>
      </c>
      <c r="AW960" s="68">
        <f t="shared" si="1646"/>
        <v>3.1305874751936788E-2</v>
      </c>
      <c r="AX960" s="114"/>
      <c r="AY960" s="114"/>
      <c r="AZ960" s="116"/>
      <c r="BA960" s="116"/>
      <c r="BB960" s="166"/>
      <c r="BC960" s="166"/>
      <c r="BD960" s="166"/>
      <c r="BE960" s="166"/>
      <c r="BF960" s="166"/>
      <c r="BG960" s="166"/>
      <c r="BH960" s="166"/>
      <c r="BI960" s="113"/>
      <c r="BJ960" s="113"/>
      <c r="BK960" s="113">
        <f>INDEX('Dist. Plant Gas Additions'!$F$7:$AE$91,MATCH($C960,'Dist. Plant Gas Additions'!$D$7:$D$91,0),MATCH(Calculation!$G960,'Dist. Plant Gas Additions'!$F$5:$AE$5,0))</f>
        <v>121279</v>
      </c>
      <c r="BL960" s="113">
        <f>INDEX('Gen. Plant Additions'!$F$7:$AE$91,MATCH($C960,'Gen. Plant Additions'!$D$7:$D$91,0),MATCH(Calculation!$G960,'Gen. Plant Additions'!$F$5:$AE$5,0))</f>
        <v>1112</v>
      </c>
      <c r="BM960" s="231">
        <f t="shared" si="1741"/>
        <v>0.97580939914976828</v>
      </c>
      <c r="BN960" s="61">
        <f t="shared" si="1752"/>
        <v>1085.1000518545422</v>
      </c>
      <c r="BO960" s="113">
        <f>INDEX('Dist Plant Depreciation'!$E$7:$AD$94,MATCH($C960,'Dist Plant Depreciation'!$D$7:$D$94,0),MATCH(Calculation!$G960,'Dist Plant Depreciation'!$E$5:$AD$5,0))</f>
        <v>542830</v>
      </c>
      <c r="BP960" s="113">
        <f>INDEX('Gen. Plant Depreciation'!$E$7:$AD$94,MATCH($C960,'Gen. Plant Depreciation'!$D$7:$D$94,0),MATCH(Calculation!$G960,'Gen. Plant Depreciation'!$E$5:$AD$5,0))</f>
        <v>19972</v>
      </c>
      <c r="BQ960" s="113"/>
      <c r="BR960" s="113"/>
      <c r="BS960" s="113"/>
      <c r="BT960" s="113"/>
      <c r="BU960" s="113"/>
      <c r="BV960" s="175"/>
      <c r="BW960" s="113">
        <f>INDEX('Gross Dx Plant'!$E$7:$AD$91,MATCH($C960,'Gross Dx Plant'!$D$7:$D$91,0),MATCH(Calculation!$G960,'Gross Dx Plant'!$E$5:$AD$5,0))</f>
        <v>1708693</v>
      </c>
      <c r="BX960" s="113">
        <f>INDEX('Gross Gen Plant'!$E$7:$AD$91,MATCH($C960,'Gross Gen Plant'!$D$7:$D$91,0),MATCH(Calculation!$G960,'Gross Gen Plant'!$E$5:$AD$5,0))</f>
        <v>42359</v>
      </c>
      <c r="BY960" s="113">
        <f t="shared" si="1734"/>
        <v>1188250</v>
      </c>
      <c r="BZ960" s="113"/>
      <c r="CA960" s="116">
        <v>2005</v>
      </c>
      <c r="CB960" s="113"/>
      <c r="CC960" s="113"/>
      <c r="CD960" s="113"/>
      <c r="CE960" s="175"/>
      <c r="CF960" s="113">
        <f t="shared" si="1742"/>
        <v>122391</v>
      </c>
      <c r="CG960" s="113">
        <f t="shared" si="1743"/>
        <v>260.84752590065324</v>
      </c>
      <c r="CH960" s="178">
        <v>0.96174863387978138</v>
      </c>
      <c r="CI960" s="61">
        <f>+CI953*CH960+CG954*CH959+CG955*CH958+CG956*CH957+CG957*CH956+CG958*CH955+CG959*CH954+CG960</f>
        <v>5681.0317633659824</v>
      </c>
      <c r="CJ960" s="114">
        <f t="shared" si="1744"/>
        <v>4.1023146176418397E-2</v>
      </c>
      <c r="CK960" s="114"/>
      <c r="CL960" s="169">
        <f t="shared" si="1745"/>
        <v>5.962067429911031E-3</v>
      </c>
      <c r="CM960" s="169">
        <f t="shared" si="1754"/>
        <v>5.7915411066801004E-3</v>
      </c>
      <c r="CN960" s="114">
        <f>VLOOKUP($H960,RoR!$E:$F,2,FALSE)</f>
        <v>5.2350000000000001E-2</v>
      </c>
      <c r="CO960" s="169">
        <v>3.1010403642454332E-2</v>
      </c>
      <c r="CP960" s="169">
        <f t="shared" si="1751"/>
        <v>2.1339596357545669E-2</v>
      </c>
      <c r="CQ960" s="169">
        <f t="shared" si="1755"/>
        <v>2.5110400501853525E-2</v>
      </c>
      <c r="CR960" s="169">
        <f t="shared" si="1756"/>
        <v>9.2129610649277341E-2</v>
      </c>
      <c r="CS960" s="179">
        <f t="shared" si="1746"/>
        <v>0.87050000000000005</v>
      </c>
      <c r="CT960" s="180">
        <f t="shared" si="1747"/>
        <v>0.97959983346802826</v>
      </c>
      <c r="CU960" s="180">
        <f t="shared" si="1748"/>
        <v>0.49744508118433622</v>
      </c>
      <c r="CV960" s="180">
        <f t="shared" si="1749"/>
        <v>0.87010519444335932</v>
      </c>
      <c r="CW960" s="180">
        <f t="shared" si="1750"/>
        <v>0.42399975420741998</v>
      </c>
      <c r="CX960" s="181">
        <f>INDEX('State Tax Lookup'!$D$7:$Z$91,MATCH(Calculation!$C960,'State Tax Lookup'!$B$7:$B$91,0),MATCH($H960,'State Tax Lookup'!$D$6:$Z$6,0))</f>
        <v>0.35</v>
      </c>
      <c r="CY960" s="72">
        <v>0.37</v>
      </c>
      <c r="CZ960" s="70">
        <f t="shared" si="1753"/>
        <v>15.655339017239118</v>
      </c>
      <c r="DA960" s="70"/>
      <c r="DB960" s="69">
        <f t="shared" si="1757"/>
        <v>0.1174415947485737</v>
      </c>
      <c r="DC960" s="111">
        <f>VLOOKUP($H960,RoR!$E:$F,2,FALSE)</f>
        <v>5.2350000000000001E-2</v>
      </c>
      <c r="DD960" s="216">
        <f>HLOOKUP($H960,'GDP-PI'!$D$8:$CQ$11,3,FALSE)</f>
        <v>3.1010403642454332E-2</v>
      </c>
      <c r="DE960" s="111">
        <f>VLOOKUP(H960,'HW Dx Data'!$E:$F,2,FALSE)</f>
        <v>469.20514034936258</v>
      </c>
      <c r="DF960" s="72">
        <f t="shared" ref="DF960:DF978" si="1767">VLOOKUP(G960,EG$8:EH$27,2,FALSE)</f>
        <v>99.224999999999994</v>
      </c>
      <c r="DG960" s="69">
        <f t="shared" ref="DG960:DG978" si="1768">LN(DF960/DF959)</f>
        <v>5.0378726854569796E-2</v>
      </c>
      <c r="DH960" s="66">
        <f>HLOOKUP(H960,'GDP-PI'!$8:$9,2,FALSE)</f>
        <v>87.406999999999996</v>
      </c>
      <c r="DI960" s="69">
        <f t="shared" si="1758"/>
        <v>3.0539295810733648E-2</v>
      </c>
      <c r="EB960"/>
    </row>
    <row r="961" spans="1:132" s="160" customFormat="1" ht="21">
      <c r="A961" s="160" t="s">
        <v>217</v>
      </c>
      <c r="B961" s="160" t="s">
        <v>217</v>
      </c>
      <c r="C961" s="160">
        <v>4062485</v>
      </c>
      <c r="D961" s="161" t="s">
        <v>146</v>
      </c>
      <c r="E961" s="161"/>
      <c r="F961" s="189"/>
      <c r="G961" s="160" t="s">
        <v>117</v>
      </c>
      <c r="H961" s="162">
        <v>2006</v>
      </c>
      <c r="I961" s="163"/>
      <c r="J961" s="159">
        <f>IFERROR(INDEX('Labor Expenditures'!$F$7:$X$91,MATCH($C961,'Labor Expenditures'!$D$7:$D$91,0),MATCH($G961,'Labor Expenditures'!$F$5:$X$5,0)),"NA")</f>
        <v>38645.970497647279</v>
      </c>
      <c r="K961" s="159">
        <f t="shared" si="1759"/>
        <v>353.25384367136451</v>
      </c>
      <c r="L961" s="165">
        <f t="shared" si="1765"/>
        <v>-4.9011175465721639E-2</v>
      </c>
      <c r="M961" s="76">
        <f t="shared" ref="M961:M977" si="1769">+L961*$AR961</f>
        <v>-1.1175445698863374E-3</v>
      </c>
      <c r="N961" s="62">
        <f>+N960*EXP(O961)</f>
        <v>113.85013964376363</v>
      </c>
      <c r="O961" s="96">
        <f t="shared" ref="O961:O977" si="1770">+M961+M986+M1011+M1036+M1061+M1086+M1111+M1136+M1161+M1186+M1211+M1236+M1261+M1286+M1311+M1336+M1361+M1386+M1411+M1436+M1461+M1486+M1511+M1536+M1561+M1586+M1611+M1636+M1661+M1686+M1711+M1736+M1761+M1786+M1811+M1836+M1861+M1886+M1911+M1936+M1961+M1986+M2011+M2036+M2061+M2086+M2111+M2136+M2161+M2186+M2211+M2236+M2261+M2286</f>
        <v>0.12971283308009363</v>
      </c>
      <c r="P961" s="96"/>
      <c r="Q961" s="159">
        <f>IFERROR(INDEX('Non-Labor Expenditures'!$F$7:$AB$91,MATCH($C961,'Non-Labor Expenditures'!$D$7:$D$91,0),MATCH($G961,'Non-Labor Expenditures'!$F$5:$AB$5,0)),"NA")</f>
        <v>55966.583352225054</v>
      </c>
      <c r="R961" s="159">
        <f t="shared" si="1760"/>
        <v>621.34004654201055</v>
      </c>
      <c r="S961" s="165">
        <f t="shared" ref="S961:S976" si="1771">LN(R961/R960)</f>
        <v>1.8553532127575774E-2</v>
      </c>
      <c r="T961" s="165">
        <f t="shared" ref="T961:T977" si="1772">+S961*AR961</f>
        <v>4.2305451530917935E-4</v>
      </c>
      <c r="U961" s="165"/>
      <c r="V961" s="165"/>
      <c r="W961" s="159">
        <f t="shared" si="1740"/>
        <v>86881.496262899556</v>
      </c>
      <c r="X961" s="163"/>
      <c r="Y961" s="167">
        <v>5976.3215858211861</v>
      </c>
      <c r="Z961" s="168">
        <v>5.0672394554173592E-2</v>
      </c>
      <c r="AA961" s="76">
        <f t="shared" si="1761"/>
        <v>1.1554234078054451E-3</v>
      </c>
      <c r="AB961" s="168"/>
      <c r="AC961" s="168"/>
      <c r="AD961" s="163">
        <f t="shared" si="1645"/>
        <v>181494.05011277189</v>
      </c>
      <c r="AE961" s="168">
        <f t="shared" ref="AE961:AE977" si="1773">LN(AD961/AD960)</f>
        <v>3.3656642529319977E-2</v>
      </c>
      <c r="AF961" s="163"/>
      <c r="AG961" s="163"/>
      <c r="AH961" s="163"/>
      <c r="AI961" s="163"/>
      <c r="AJ961" s="116">
        <f t="shared" ref="AJ961:AJ977" si="1774">+(AD961*1000)/AV961</f>
        <v>258.07935754302088</v>
      </c>
      <c r="AK961" s="114">
        <f>+AV961/$AX$11</f>
        <v>2.0277382297377484E-2</v>
      </c>
      <c r="AL961" s="115">
        <f t="shared" si="1762"/>
        <v>0.212932437584783</v>
      </c>
      <c r="AM961" s="115">
        <f t="shared" si="1763"/>
        <v>0.30836593991621236</v>
      </c>
      <c r="AN961" s="115">
        <f t="shared" si="1764"/>
        <v>0.47870162249900461</v>
      </c>
      <c r="AO961" s="115">
        <f t="shared" si="1766"/>
        <v>1.9773180602943433E-2</v>
      </c>
      <c r="AP961" s="166">
        <f>+AP960*EXP(AO961)</f>
        <v>101.99699648151197</v>
      </c>
      <c r="AQ961" s="168">
        <f>LN(AP961/AP960)</f>
        <v>1.977318060294353E-2</v>
      </c>
      <c r="AR961" s="69">
        <f>+AD961/$AF$11</f>
        <v>2.2801831608138982E-2</v>
      </c>
      <c r="AS961" s="169">
        <f>+AR961*AQ961</f>
        <v>4.5086473446563841E-4</v>
      </c>
      <c r="AT961" s="115"/>
      <c r="AU961" s="115"/>
      <c r="AV961" s="113">
        <f>IFERROR(INDEX('Total Customers'!$F$7:$AB$91,MATCH($C961,'Total Customers'!$D$7:$D$91,0),MATCH($G961,'Total Customers'!$F$5:$AB$5,0)),"NA")</f>
        <v>703249</v>
      </c>
      <c r="AW961" s="68">
        <f t="shared" si="1646"/>
        <v>2.9533932270150103E-2</v>
      </c>
      <c r="AX961" s="114"/>
      <c r="AY961" s="114"/>
      <c r="AZ961" s="116"/>
      <c r="BA961" s="116"/>
      <c r="BB961" s="166"/>
      <c r="BC961" s="166"/>
      <c r="BD961" s="166"/>
      <c r="BE961" s="166"/>
      <c r="BF961" s="166"/>
      <c r="BG961" s="166"/>
      <c r="BH961" s="166"/>
      <c r="BI961" s="113"/>
      <c r="BJ961" s="113"/>
      <c r="BK961" s="113">
        <f>INDEX('Dist. Plant Gas Additions'!$F$7:$AE$91,MATCH($C961,'Dist. Plant Gas Additions'!$D$7:$D$91,0),MATCH(Calculation!$G961,'Dist. Plant Gas Additions'!$F$5:$AE$5,0))</f>
        <v>151290</v>
      </c>
      <c r="BL961" s="113">
        <f>INDEX('Gen. Plant Additions'!$F$7:$AE$91,MATCH($C961,'Gen. Plant Additions'!$D$7:$D$91,0),MATCH(Calculation!$G961,'Gen. Plant Additions'!$F$5:$AE$5,0))</f>
        <v>944</v>
      </c>
      <c r="BM961" s="231">
        <f t="shared" si="1741"/>
        <v>0.9789015643500325</v>
      </c>
      <c r="BN961" s="61">
        <f t="shared" si="1752"/>
        <v>924.08307674643072</v>
      </c>
      <c r="BO961" s="113">
        <f>INDEX('Dist Plant Depreciation'!$E$7:$AD$94,MATCH($C961,'Dist Plant Depreciation'!$D$7:$D$94,0),MATCH(Calculation!$G961,'Dist Plant Depreciation'!$E$5:$AD$5,0))</f>
        <v>619110</v>
      </c>
      <c r="BP961" s="113">
        <f>INDEX('Gen. Plant Depreciation'!$E$7:$AD$94,MATCH($C961,'Gen. Plant Depreciation'!$D$7:$D$94,0),MATCH(Calculation!$G961,'Gen. Plant Depreciation'!$E$5:$AD$5,0))</f>
        <v>18332</v>
      </c>
      <c r="BQ961" s="113"/>
      <c r="BR961" s="113"/>
      <c r="BS961" s="113"/>
      <c r="BT961" s="113"/>
      <c r="BU961" s="113"/>
      <c r="BV961" s="175"/>
      <c r="BW961" s="113">
        <f>INDEX('Gross Dx Plant'!$E$7:$AD$91,MATCH($C961,'Gross Dx Plant'!$D$7:$D$91,0),MATCH(Calculation!$G961,'Gross Dx Plant'!$E$5:$AD$5,0))</f>
        <v>1994973</v>
      </c>
      <c r="BX961" s="113">
        <f>INDEX('Gross Gen Plant'!$E$7:$AD$91,MATCH($C961,'Gross Gen Plant'!$D$7:$D$91,0),MATCH(Calculation!$G961,'Gross Gen Plant'!$E$5:$AD$5,0))</f>
        <v>42998</v>
      </c>
      <c r="BY961" s="113">
        <f t="shared" si="1734"/>
        <v>1400529</v>
      </c>
      <c r="BZ961" s="114"/>
      <c r="CA961" s="116">
        <v>2006</v>
      </c>
      <c r="CB961" s="113"/>
      <c r="CC961" s="113"/>
      <c r="CD961" s="113"/>
      <c r="CE961" s="175"/>
      <c r="CF961" s="113">
        <f t="shared" si="1742"/>
        <v>152234</v>
      </c>
      <c r="CG961" s="113">
        <f t="shared" si="1743"/>
        <v>330.16423845647745</v>
      </c>
      <c r="CH961" s="178">
        <v>0.9555555555555556</v>
      </c>
      <c r="CI961" s="61">
        <f>+CI953*CH961+CG954*CH960+CG955*CH959+CG956*CH958+CG957*CH957+CG958*CH956+CG959*CH955+CG960*CH954+CG961</f>
        <v>5976.3215858211861</v>
      </c>
      <c r="CJ961" s="114">
        <f t="shared" si="1744"/>
        <v>5.0672394554173592E-2</v>
      </c>
      <c r="CK961" s="114"/>
      <c r="CL961" s="169">
        <f t="shared" si="1745"/>
        <v>6.1387468780162019E-3</v>
      </c>
      <c r="CM961" s="169">
        <f t="shared" si="1754"/>
        <v>5.9640081228346476E-3</v>
      </c>
      <c r="CN961" s="114">
        <f>VLOOKUP($H961,RoR!$E:$F,2,FALSE)</f>
        <v>5.5874999999999994E-2</v>
      </c>
      <c r="CO961" s="169">
        <v>3.0512430354548314E-2</v>
      </c>
      <c r="CP961" s="169">
        <f t="shared" si="1751"/>
        <v>2.536256964545168E-2</v>
      </c>
      <c r="CQ961" s="169">
        <f t="shared" si="1755"/>
        <v>2.4937933485698976E-2</v>
      </c>
      <c r="CR961" s="169">
        <f t="shared" si="1756"/>
        <v>7.9087823893859641E-2</v>
      </c>
      <c r="CS961" s="179">
        <f t="shared" si="1746"/>
        <v>0.87050000000000005</v>
      </c>
      <c r="CT961" s="180">
        <f t="shared" si="1747"/>
        <v>0.91779957551769631</v>
      </c>
      <c r="CU961" s="180">
        <f t="shared" si="1748"/>
        <v>0.52757270693512304</v>
      </c>
      <c r="CV961" s="180">
        <f t="shared" si="1749"/>
        <v>0.88636824549024895</v>
      </c>
      <c r="CW961" s="180">
        <f t="shared" si="1750"/>
        <v>0.42918482841932087</v>
      </c>
      <c r="CX961" s="181">
        <f>INDEX('State Tax Lookup'!$D$7:$Z$91,MATCH(Calculation!$C961,'State Tax Lookup'!$B$7:$B$91,0),MATCH($H961,'State Tax Lookup'!$D$6:$Z$6,0))</f>
        <v>0.35</v>
      </c>
      <c r="CY961" s="72">
        <v>0.37</v>
      </c>
      <c r="CZ961" s="70">
        <f t="shared" si="1753"/>
        <v>15.293260077008039</v>
      </c>
      <c r="DA961" s="70">
        <v>14.788696346247992</v>
      </c>
      <c r="DB961" s="69">
        <f t="shared" si="1757"/>
        <v>-2.3399796569299042E-2</v>
      </c>
      <c r="DC961" s="111">
        <f>VLOOKUP($H961,RoR!$E:$F,2,FALSE)</f>
        <v>5.5874999999999994E-2</v>
      </c>
      <c r="DD961" s="216">
        <f>HLOOKUP($H961,'GDP-PI'!$D$8:$CQ$11,3,FALSE)</f>
        <v>3.0512430354548314E-2</v>
      </c>
      <c r="DE961" s="111">
        <f>VLOOKUP(H961,'HW Dx Data'!$E:$F,2,FALSE)</f>
        <v>461.08567272971823</v>
      </c>
      <c r="DF961" s="72">
        <f t="shared" si="1767"/>
        <v>109.4</v>
      </c>
      <c r="DG961" s="69">
        <f t="shared" si="1768"/>
        <v>9.7620891318751846E-2</v>
      </c>
      <c r="DH961" s="66">
        <f>HLOOKUP(H961,'GDP-PI'!$8:$9,2,FALSE)</f>
        <v>90.073999999999998</v>
      </c>
      <c r="DI961" s="69">
        <f t="shared" si="1758"/>
        <v>3.005618372545445E-2</v>
      </c>
      <c r="EB961"/>
    </row>
    <row r="962" spans="1:132" s="160" customFormat="1" ht="21">
      <c r="A962" s="160" t="s">
        <v>217</v>
      </c>
      <c r="B962" s="160" t="s">
        <v>217</v>
      </c>
      <c r="C962" s="160">
        <v>4062485</v>
      </c>
      <c r="D962" s="161" t="s">
        <v>146</v>
      </c>
      <c r="E962" s="161"/>
      <c r="F962" s="189"/>
      <c r="G962" s="160" t="s">
        <v>118</v>
      </c>
      <c r="H962" s="162">
        <v>2007</v>
      </c>
      <c r="I962" s="163"/>
      <c r="J962" s="159">
        <f>IFERROR(INDEX('Labor Expenditures'!$F$7:$X$91,MATCH($C962,'Labor Expenditures'!$D$7:$D$91,0),MATCH($G962,'Labor Expenditures'!$F$5:$X$5,0)),"NA")</f>
        <v>41983.390814877821</v>
      </c>
      <c r="K962" s="159">
        <f t="shared" si="1759"/>
        <v>401.65884539466947</v>
      </c>
      <c r="L962" s="165">
        <f t="shared" si="1765"/>
        <v>0.12841618263372812</v>
      </c>
      <c r="M962" s="76">
        <f t="shared" si="1769"/>
        <v>3.0697904053190463E-3</v>
      </c>
      <c r="N962" s="62">
        <f t="shared" ref="N962:N975" si="1775">+N961*EXP(O962)</f>
        <v>120.59047116802638</v>
      </c>
      <c r="O962" s="96">
        <f t="shared" si="1770"/>
        <v>5.7517250229552695E-2</v>
      </c>
      <c r="P962" s="96"/>
      <c r="Q962" s="159">
        <f>IFERROR(INDEX('Non-Labor Expenditures'!$F$7:$AB$91,MATCH($C962,'Non-Labor Expenditures'!$D$7:$D$91,0),MATCH($G962,'Non-Labor Expenditures'!$F$5:$AB$5,0)),"NA")</f>
        <v>60799.791315706367</v>
      </c>
      <c r="R962" s="159">
        <f t="shared" si="1760"/>
        <v>657.30925334284382</v>
      </c>
      <c r="S962" s="165">
        <f t="shared" si="1771"/>
        <v>5.6276101938438128E-2</v>
      </c>
      <c r="T962" s="165">
        <f t="shared" si="1772"/>
        <v>1.3452809002437996E-3</v>
      </c>
      <c r="U962" s="165"/>
      <c r="V962" s="165"/>
      <c r="W962" s="159">
        <f t="shared" si="1740"/>
        <v>98204.095969754067</v>
      </c>
      <c r="X962" s="163"/>
      <c r="Y962" s="167">
        <v>6337.7128750859301</v>
      </c>
      <c r="Z962" s="168">
        <v>5.8712698839254347E-2</v>
      </c>
      <c r="AA962" s="76">
        <f t="shared" si="1761"/>
        <v>1.4035277787473443E-3</v>
      </c>
      <c r="AB962" s="168"/>
      <c r="AC962" s="168"/>
      <c r="AD962" s="163">
        <f t="shared" si="1645"/>
        <v>200987.27810033824</v>
      </c>
      <c r="AE962" s="168">
        <f t="shared" si="1773"/>
        <v>0.10201874160308509</v>
      </c>
      <c r="AF962" s="163"/>
      <c r="AG962" s="163"/>
      <c r="AH962" s="163"/>
      <c r="AI962" s="163"/>
      <c r="AJ962" s="116">
        <f t="shared" si="1774"/>
        <v>278.37457475985315</v>
      </c>
      <c r="AK962" s="114">
        <f>+AV962/$AX$12</f>
        <v>2.0661391280225136E-2</v>
      </c>
      <c r="AL962" s="115">
        <f t="shared" si="1762"/>
        <v>0.20888581213542573</v>
      </c>
      <c r="AM962" s="115">
        <f t="shared" si="1763"/>
        <v>0.30250567046016452</v>
      </c>
      <c r="AN962" s="115">
        <f t="shared" si="1764"/>
        <v>0.4886085174044098</v>
      </c>
      <c r="AO962" s="115">
        <f t="shared" si="1766"/>
        <v>7.266957566972744E-2</v>
      </c>
      <c r="AP962" s="166">
        <f>+AP961*EXP(AO962)</f>
        <v>109.68503519606973</v>
      </c>
      <c r="AQ962" s="168">
        <f>LN(AP962/AP961)</f>
        <v>7.2669575669727385E-2</v>
      </c>
      <c r="AR962" s="69">
        <f>+AD962/$AF$12</f>
        <v>2.3905012143794837E-2</v>
      </c>
      <c r="AS962" s="169">
        <f t="shared" ref="AS962:AS976" si="1776">+AR962*AQ962</f>
        <v>1.7371670888692509E-3</v>
      </c>
      <c r="AT962" s="115"/>
      <c r="AU962" s="115"/>
      <c r="AV962" s="113">
        <f>IFERROR(INDEX('Total Customers'!$F$7:$AB$91,MATCH($C962,'Total Customers'!$D$7:$D$91,0),MATCH($G962,'Total Customers'!$F$5:$AB$5,0)),"NA")</f>
        <v>722003</v>
      </c>
      <c r="AW962" s="68">
        <f t="shared" si="1646"/>
        <v>2.6318268609319993E-2</v>
      </c>
      <c r="AX962" s="114"/>
      <c r="AY962" s="114"/>
      <c r="AZ962" s="116"/>
      <c r="BA962" s="116"/>
      <c r="BB962" s="166"/>
      <c r="BC962" s="166"/>
      <c r="BD962" s="166"/>
      <c r="BE962" s="166"/>
      <c r="BF962" s="166"/>
      <c r="BG962" s="166"/>
      <c r="BH962" s="166"/>
      <c r="BI962" s="113"/>
      <c r="BJ962" s="113"/>
      <c r="BK962" s="113">
        <f>INDEX('Dist. Plant Gas Additions'!$F$7:$AE$91,MATCH($C962,'Dist. Plant Gas Additions'!$D$7:$D$91,0),MATCH(Calculation!$G962,'Dist. Plant Gas Additions'!$F$5:$AE$5,0))</f>
        <v>197844</v>
      </c>
      <c r="BL962" s="113">
        <f>INDEX('Gen. Plant Additions'!$F$7:$AE$91,MATCH($C962,'Gen. Plant Additions'!$D$7:$D$91,0),MATCH(Calculation!$G962,'Gen. Plant Additions'!$F$5:$AE$5,0))</f>
        <v>901</v>
      </c>
      <c r="BM962" s="231">
        <f t="shared" si="1741"/>
        <v>0.97835164581975198</v>
      </c>
      <c r="BN962" s="61">
        <f t="shared" si="1752"/>
        <v>881.49483288359659</v>
      </c>
      <c r="BO962" s="113">
        <f>INDEX('Dist Plant Depreciation'!$E$7:$AD$94,MATCH($C962,'Dist Plant Depreciation'!$D$7:$D$94,0),MATCH(Calculation!$G962,'Dist Plant Depreciation'!$E$5:$AD$5,0))</f>
        <v>656461</v>
      </c>
      <c r="BP962" s="113">
        <f>INDEX('Gen. Plant Depreciation'!$E$7:$AD$94,MATCH($C962,'Gen. Plant Depreciation'!$D$7:$D$94,0),MATCH(Calculation!$G962,'Gen. Plant Depreciation'!$E$5:$AD$5,0))</f>
        <v>23204</v>
      </c>
      <c r="BQ962" s="113"/>
      <c r="BR962" s="113"/>
      <c r="BS962" s="113"/>
      <c r="BT962" s="113"/>
      <c r="BU962" s="113"/>
      <c r="BV962" s="175"/>
      <c r="BW962" s="113">
        <f>INDEX('Gross Dx Plant'!$E$7:$AD$91,MATCH($C962,'Gross Dx Plant'!$D$7:$D$91,0),MATCH(Calculation!$G962,'Gross Dx Plant'!$E$5:$AD$5,0))</f>
        <v>2165598</v>
      </c>
      <c r="BX962" s="113">
        <f>INDEX('Gross Gen Plant'!$E$7:$AD$91,MATCH($C962,'Gross Gen Plant'!$D$7:$D$91,0),MATCH(Calculation!$G962,'Gross Gen Plant'!$E$5:$AD$5,0))</f>
        <v>47919</v>
      </c>
      <c r="BY962" s="113">
        <f t="shared" si="1734"/>
        <v>1533852</v>
      </c>
      <c r="BZ962" s="113"/>
      <c r="CA962" s="116">
        <v>2007</v>
      </c>
      <c r="CB962" s="113"/>
      <c r="CC962" s="113"/>
      <c r="CD962" s="113"/>
      <c r="CE962" s="175"/>
      <c r="CF962" s="113">
        <f t="shared" si="1742"/>
        <v>198745</v>
      </c>
      <c r="CG962" s="113">
        <f t="shared" si="1743"/>
        <v>399.06846304575549</v>
      </c>
      <c r="CH962" s="178">
        <v>0.94915254237288138</v>
      </c>
      <c r="CI962" s="61">
        <f>+CI953*CH962+CG954*CH961+CG955*CH960+CG956*CH959+CG957*CH958+CG958*CH957+CG959*CH956+CG960*CH955+CG961*CH954+CG962</f>
        <v>6337.7128750859301</v>
      </c>
      <c r="CJ962" s="114">
        <f t="shared" si="1744"/>
        <v>5.8712698839254347E-2</v>
      </c>
      <c r="CK962" s="114"/>
      <c r="CL962" s="169">
        <f t="shared" si="1745"/>
        <v>6.3044086968814536E-3</v>
      </c>
      <c r="CM962" s="169">
        <f t="shared" si="1754"/>
        <v>6.1350743349362288E-3</v>
      </c>
      <c r="CN962" s="114">
        <f>VLOOKUP($H962,RoR!$E:$F,2,FALSE)</f>
        <v>5.5558333333333321E-2</v>
      </c>
      <c r="CO962" s="169">
        <v>2.691120634145272E-2</v>
      </c>
      <c r="CP962" s="169">
        <f t="shared" si="1751"/>
        <v>2.86471269918806E-2</v>
      </c>
      <c r="CQ962" s="169">
        <f t="shared" si="1755"/>
        <v>2.4766867273597396E-2</v>
      </c>
      <c r="CR962" s="169">
        <f t="shared" si="1756"/>
        <v>6.4575155250632399E-2</v>
      </c>
      <c r="CS962" s="179">
        <f t="shared" si="1746"/>
        <v>0.87050000000000005</v>
      </c>
      <c r="CT962" s="180">
        <f t="shared" si="1747"/>
        <v>0.92303077153834634</v>
      </c>
      <c r="CU962" s="180">
        <f t="shared" si="1748"/>
        <v>0.52502249887505614</v>
      </c>
      <c r="CV962" s="180">
        <f t="shared" si="1749"/>
        <v>0.88499666072084604</v>
      </c>
      <c r="CW962" s="180">
        <f t="shared" si="1750"/>
        <v>0.42887993290280618</v>
      </c>
      <c r="CX962" s="181">
        <f>INDEX('State Tax Lookup'!$D$7:$Z$91,MATCH(Calculation!$C962,'State Tax Lookup'!$B$7:$B$91,0),MATCH($H962,'State Tax Lookup'!$D$6:$Z$6,0))</f>
        <v>0.35</v>
      </c>
      <c r="CY962" s="72">
        <v>0.37</v>
      </c>
      <c r="CZ962" s="70">
        <f t="shared" si="1753"/>
        <v>16.432197390907334</v>
      </c>
      <c r="DA962" s="70">
        <v>16.108943221861779</v>
      </c>
      <c r="DB962" s="69">
        <f t="shared" si="1757"/>
        <v>7.1830452206494644E-2</v>
      </c>
      <c r="DC962" s="111">
        <f>VLOOKUP($H962,RoR!$E:$F,2,FALSE)</f>
        <v>5.5558333333333321E-2</v>
      </c>
      <c r="DD962" s="216">
        <f>HLOOKUP($H962,'GDP-PI'!$D$8:$CQ$11,3,FALSE)</f>
        <v>2.691120634145272E-2</v>
      </c>
      <c r="DE962" s="111">
        <f>VLOOKUP(H962,'HW Dx Data'!$E:$F,2,FALSE)</f>
        <v>498.0223154772637</v>
      </c>
      <c r="DF962" s="72">
        <f t="shared" si="1767"/>
        <v>104.52499999999999</v>
      </c>
      <c r="DG962" s="69">
        <f t="shared" si="1768"/>
        <v>-4.5584612745252218E-2</v>
      </c>
      <c r="DH962" s="66">
        <f>HLOOKUP(H962,'GDP-PI'!$8:$9,2,FALSE)</f>
        <v>92.498000000000005</v>
      </c>
      <c r="DI962" s="69">
        <f t="shared" si="1758"/>
        <v>2.6555467950038037E-2</v>
      </c>
      <c r="EB962"/>
    </row>
    <row r="963" spans="1:132" s="160" customFormat="1" ht="21">
      <c r="A963" s="160" t="s">
        <v>217</v>
      </c>
      <c r="B963" s="160" t="s">
        <v>217</v>
      </c>
      <c r="C963" s="160">
        <v>4062485</v>
      </c>
      <c r="D963" s="161" t="s">
        <v>146</v>
      </c>
      <c r="E963" s="161"/>
      <c r="F963" s="189"/>
      <c r="G963" s="160" t="s">
        <v>120</v>
      </c>
      <c r="H963" s="162">
        <v>2008</v>
      </c>
      <c r="I963" s="163"/>
      <c r="J963" s="159">
        <f>IFERROR(INDEX('Labor Expenditures'!$F$7:$X$91,MATCH($C963,'Labor Expenditures'!$D$7:$D$91,0),MATCH($G963,'Labor Expenditures'!$F$5:$X$5,0)),"NA")</f>
        <v>47580.387288703183</v>
      </c>
      <c r="K963" s="159">
        <f t="shared" si="1759"/>
        <v>440.96744475165133</v>
      </c>
      <c r="L963" s="165">
        <f t="shared" si="1765"/>
        <v>9.3367966276486802E-2</v>
      </c>
      <c r="M963" s="76">
        <f t="shared" si="1769"/>
        <v>2.4398469172132987E-3</v>
      </c>
      <c r="N963" s="62">
        <f t="shared" si="1775"/>
        <v>113.14472175905426</v>
      </c>
      <c r="O963" s="96">
        <f t="shared" si="1770"/>
        <v>-6.3732546480760655E-2</v>
      </c>
      <c r="P963" s="96"/>
      <c r="Q963" s="159">
        <f>IFERROR(INDEX('Non-Labor Expenditures'!$F$7:$AB$91,MATCH($C963,'Non-Labor Expenditures'!$D$7:$D$91,0),MATCH($G963,'Non-Labor Expenditures'!$F$5:$AB$5,0)),"NA")</f>
        <v>68905.28758454835</v>
      </c>
      <c r="R963" s="159">
        <f t="shared" si="1760"/>
        <v>730.98200357027451</v>
      </c>
      <c r="S963" s="165">
        <f t="shared" si="1771"/>
        <v>0.10623422754991509</v>
      </c>
      <c r="T963" s="165">
        <f t="shared" si="1772"/>
        <v>2.7760618863931544E-3</v>
      </c>
      <c r="U963" s="165"/>
      <c r="V963" s="165"/>
      <c r="W963" s="159">
        <f t="shared" si="1740"/>
        <v>118410.14958325136</v>
      </c>
      <c r="X963" s="163"/>
      <c r="Y963" s="167">
        <v>6592.9220926277712</v>
      </c>
      <c r="Z963" s="168">
        <v>3.9478705270868095E-2</v>
      </c>
      <c r="AA963" s="76">
        <f t="shared" si="1761"/>
        <v>1.0316385928924002E-3</v>
      </c>
      <c r="AB963" s="168"/>
      <c r="AC963" s="168"/>
      <c r="AD963" s="163">
        <f t="shared" ref="AD963:AD1029" si="1777">+J963+Q963+W963</f>
        <v>234895.82445650289</v>
      </c>
      <c r="AE963" s="168">
        <f t="shared" si="1773"/>
        <v>0.15590050264964556</v>
      </c>
      <c r="AF963" s="163"/>
      <c r="AG963" s="163"/>
      <c r="AH963" s="163"/>
      <c r="AI963" s="163"/>
      <c r="AJ963" s="116">
        <f t="shared" si="1774"/>
        <v>318.35129918710265</v>
      </c>
      <c r="AK963" s="114">
        <f>+AV963/$AX$13</f>
        <v>2.10020173124018E-2</v>
      </c>
      <c r="AL963" s="115">
        <f t="shared" si="1762"/>
        <v>0.2025595278195928</v>
      </c>
      <c r="AM963" s="115">
        <f t="shared" si="1763"/>
        <v>0.29334402918391583</v>
      </c>
      <c r="AN963" s="115">
        <f t="shared" si="1764"/>
        <v>0.50409644299649137</v>
      </c>
      <c r="AO963" s="115">
        <f t="shared" si="1766"/>
        <v>7.045307687783578E-2</v>
      </c>
      <c r="AP963" s="166">
        <f t="shared" ref="AP963:AP976" si="1778">+AP962*EXP(AO963)</f>
        <v>117.69140878703976</v>
      </c>
      <c r="AQ963" s="168">
        <f t="shared" ref="AQ963:AQ976" si="1779">LN(AP963/AP962)</f>
        <v>7.0453076877835738E-2</v>
      </c>
      <c r="AR963" s="69">
        <f>+AD963/$AF$13</f>
        <v>2.613152041877273E-2</v>
      </c>
      <c r="AS963" s="169">
        <f t="shared" si="1776"/>
        <v>1.8410460169985296E-3</v>
      </c>
      <c r="AT963" s="115"/>
      <c r="AU963" s="115"/>
      <c r="AV963" s="113">
        <f>IFERROR(INDEX('Total Customers'!$F$7:$AB$91,MATCH($C963,'Total Customers'!$D$7:$D$91,0),MATCH($G963,'Total Customers'!$F$5:$AB$5,0)),"NA")</f>
        <v>737851</v>
      </c>
      <c r="AW963" s="68">
        <f t="shared" si="1646"/>
        <v>2.1712613188708013E-2</v>
      </c>
      <c r="AX963" s="114"/>
      <c r="AY963" s="114"/>
      <c r="AZ963" s="116"/>
      <c r="BA963" s="116"/>
      <c r="BB963" s="166"/>
      <c r="BC963" s="166"/>
      <c r="BD963" s="166"/>
      <c r="BE963" s="166"/>
      <c r="BF963" s="166"/>
      <c r="BG963" s="166"/>
      <c r="BH963" s="166"/>
      <c r="BI963" s="113"/>
      <c r="BJ963" s="113"/>
      <c r="BK963" s="113">
        <f>INDEX('Dist. Plant Gas Additions'!$F$7:$AE$91,MATCH($C963,'Dist. Plant Gas Additions'!$D$7:$D$91,0),MATCH(Calculation!$G963,'Dist. Plant Gas Additions'!$F$5:$AE$5,0))</f>
        <v>166450</v>
      </c>
      <c r="BL963" s="113">
        <f>INDEX('Gen. Plant Additions'!$F$7:$AE$91,MATCH($C963,'Gen. Plant Additions'!$D$7:$D$91,0),MATCH(Calculation!$G963,'Gen. Plant Additions'!$F$5:$AE$5,0))</f>
        <v>2315</v>
      </c>
      <c r="BM963" s="231">
        <f t="shared" si="1741"/>
        <v>0.97902276031138813</v>
      </c>
      <c r="BN963" s="61">
        <f t="shared" si="1752"/>
        <v>2266.4376901208634</v>
      </c>
      <c r="BO963" s="113">
        <f>INDEX('Dist Plant Depreciation'!$E$7:$AD$94,MATCH($C963,'Dist Plant Depreciation'!$D$7:$D$94,0),MATCH(Calculation!$G963,'Dist Plant Depreciation'!$E$5:$AD$5,0))</f>
        <v>716169</v>
      </c>
      <c r="BP963" s="113">
        <f>INDEX('Gen. Plant Depreciation'!$E$7:$AD$94,MATCH($C963,'Gen. Plant Depreciation'!$D$7:$D$94,0),MATCH(Calculation!$G963,'Gen. Plant Depreciation'!$E$5:$AD$5,0))</f>
        <v>25129</v>
      </c>
      <c r="BQ963" s="113"/>
      <c r="BR963" s="113"/>
      <c r="BS963" s="113"/>
      <c r="BT963" s="113"/>
      <c r="BU963" s="113"/>
      <c r="BV963" s="175"/>
      <c r="BW963" s="113">
        <f>INDEX('Gross Dx Plant'!$E$7:$AD$91,MATCH($C963,'Gross Dx Plant'!$D$7:$D$91,0),MATCH(Calculation!$G963,'Gross Dx Plant'!$E$5:$AD$5,0))</f>
        <v>2321448</v>
      </c>
      <c r="BX963" s="113">
        <f>INDEX('Gross Gen Plant'!$E$7:$AD$91,MATCH($C963,'Gross Gen Plant'!$D$7:$D$91,0),MATCH(Calculation!$G963,'Gross Gen Plant'!$E$5:$AD$5,0))</f>
        <v>49741</v>
      </c>
      <c r="BY963" s="113">
        <f t="shared" si="1734"/>
        <v>1629891</v>
      </c>
      <c r="BZ963" s="113"/>
      <c r="CA963" s="116">
        <v>2008</v>
      </c>
      <c r="CB963" s="113"/>
      <c r="CC963" s="113"/>
      <c r="CD963" s="113"/>
      <c r="CE963" s="175"/>
      <c r="CF963" s="113">
        <f t="shared" si="1742"/>
        <v>168765</v>
      </c>
      <c r="CG963" s="113">
        <f t="shared" si="1743"/>
        <v>296.14066758532522</v>
      </c>
      <c r="CH963" s="178">
        <v>0.94252873563218387</v>
      </c>
      <c r="CI963" s="61">
        <f>+CI953*CH963+CG954*CH962+CG955*CH961+CG956*CH960+CG957*CH959+CG958*CH958+CG959*CH957+CG960*CH956+CG961*CH955+CG962*CH954+CG963</f>
        <v>6592.9220926277712</v>
      </c>
      <c r="CJ963" s="114">
        <f t="shared" si="1744"/>
        <v>3.9478705270868095E-2</v>
      </c>
      <c r="CK963" s="114"/>
      <c r="CL963" s="169">
        <f t="shared" si="1745"/>
        <v>6.4583945108004203E-3</v>
      </c>
      <c r="CM963" s="169">
        <f t="shared" si="1754"/>
        <v>6.3005166952326925E-3</v>
      </c>
      <c r="CN963" s="114">
        <f>VLOOKUP($H963,RoR!$E:$F,2,FALSE)</f>
        <v>5.6316666666666668E-2</v>
      </c>
      <c r="CO963" s="169">
        <v>1.9092304698479889E-2</v>
      </c>
      <c r="CP963" s="169">
        <f t="shared" si="1751"/>
        <v>3.7224361968186778E-2</v>
      </c>
      <c r="CQ963" s="169">
        <f t="shared" si="1755"/>
        <v>2.4601424913300932E-2</v>
      </c>
      <c r="CR963" s="169">
        <f t="shared" si="1756"/>
        <v>6.9030581091053131E-2</v>
      </c>
      <c r="CS963" s="179">
        <f t="shared" si="1746"/>
        <v>0.87050000000000005</v>
      </c>
      <c r="CT963" s="180">
        <f t="shared" si="1747"/>
        <v>0.91060168006009956</v>
      </c>
      <c r="CU963" s="180">
        <f t="shared" si="1748"/>
        <v>0.53108168097070152</v>
      </c>
      <c r="CV963" s="180">
        <f t="shared" si="1749"/>
        <v>0.88825329850328805</v>
      </c>
      <c r="CW963" s="180">
        <f t="shared" si="1750"/>
        <v>0.4295627335323573</v>
      </c>
      <c r="CX963" s="181">
        <f>INDEX('State Tax Lookup'!$D$7:$Z$91,MATCH(Calculation!$C963,'State Tax Lookup'!$B$7:$B$91,0),MATCH($H963,'State Tax Lookup'!$D$6:$Z$6,0))</f>
        <v>0.35</v>
      </c>
      <c r="CY963" s="72">
        <v>0.37</v>
      </c>
      <c r="CZ963" s="70">
        <f t="shared" si="1753"/>
        <v>18.683419699988523</v>
      </c>
      <c r="DA963" s="70">
        <v>18.300102035478151</v>
      </c>
      <c r="DB963" s="69">
        <f t="shared" si="1757"/>
        <v>0.12839381779131781</v>
      </c>
      <c r="DC963" s="111">
        <f>VLOOKUP($H963,RoR!$E:$F,2,FALSE)</f>
        <v>5.6316666666666668E-2</v>
      </c>
      <c r="DD963" s="216">
        <f>HLOOKUP($H963,'GDP-PI'!$D$8:$CQ$11,3,FALSE)</f>
        <v>1.9092304698479889E-2</v>
      </c>
      <c r="DE963" s="111">
        <f>VLOOKUP(H963,'HW Dx Data'!$E:$F,2,FALSE)</f>
        <v>569.88120333515076</v>
      </c>
      <c r="DF963" s="72">
        <f t="shared" si="1767"/>
        <v>107.9</v>
      </c>
      <c r="DG963" s="69">
        <f t="shared" si="1768"/>
        <v>3.1778595021460486E-2</v>
      </c>
      <c r="DH963" s="66">
        <f>HLOOKUP(H963,'GDP-PI'!$8:$9,2,FALSE)</f>
        <v>94.263999999999996</v>
      </c>
      <c r="DI963" s="69">
        <f t="shared" si="1758"/>
        <v>1.8912333748032254E-2</v>
      </c>
      <c r="EB963"/>
    </row>
    <row r="964" spans="1:132" s="160" customFormat="1" ht="21">
      <c r="A964" s="160" t="s">
        <v>217</v>
      </c>
      <c r="B964" s="160" t="s">
        <v>217</v>
      </c>
      <c r="C964" s="160">
        <v>4062485</v>
      </c>
      <c r="D964" s="161" t="s">
        <v>146</v>
      </c>
      <c r="E964" s="161"/>
      <c r="F964" s="189"/>
      <c r="G964" s="160" t="s">
        <v>125</v>
      </c>
      <c r="H964" s="162">
        <v>2009</v>
      </c>
      <c r="I964" s="163"/>
      <c r="J964" s="159">
        <f>IFERROR(INDEX('Labor Expenditures'!$F$7:$X$91,MATCH($C964,'Labor Expenditures'!$D$7:$D$91,0),MATCH($G964,'Labor Expenditures'!$F$5:$X$5,0)),"NA")</f>
        <v>50419.576170937267</v>
      </c>
      <c r="K964" s="159">
        <f t="shared" si="1759"/>
        <v>454.53753591108648</v>
      </c>
      <c r="L964" s="165">
        <f t="shared" si="1765"/>
        <v>3.0309446173426229E-2</v>
      </c>
      <c r="M964" s="76">
        <f t="shared" si="1769"/>
        <v>7.8145985124447408E-4</v>
      </c>
      <c r="N964" s="62">
        <f t="shared" si="1775"/>
        <v>118.57307278235631</v>
      </c>
      <c r="O964" s="96">
        <f t="shared" si="1770"/>
        <v>4.6861695661359011E-2</v>
      </c>
      <c r="P964" s="96"/>
      <c r="Q964" s="159">
        <f>IFERROR(INDEX('Non-Labor Expenditures'!$F$7:$AB$91,MATCH($C964,'Non-Labor Expenditures'!$D$7:$D$91,0),MATCH($G964,'Non-Labor Expenditures'!$F$5:$AB$5,0)),"NA")</f>
        <v>73016.963373358914</v>
      </c>
      <c r="R964" s="159">
        <f t="shared" si="1760"/>
        <v>768.60770506383142</v>
      </c>
      <c r="S964" s="165">
        <f t="shared" si="1771"/>
        <v>5.0191862356000261E-2</v>
      </c>
      <c r="T964" s="165">
        <f t="shared" si="1772"/>
        <v>1.2940825466085796E-3</v>
      </c>
      <c r="U964" s="165"/>
      <c r="V964" s="165"/>
      <c r="W964" s="159">
        <f t="shared" si="1740"/>
        <v>118292.78833831038</v>
      </c>
      <c r="X964" s="163"/>
      <c r="Y964" s="167">
        <v>6865.864911925536</v>
      </c>
      <c r="Z964" s="168">
        <v>4.0565356530010796E-2</v>
      </c>
      <c r="AA964" s="76">
        <f t="shared" si="1761"/>
        <v>1.0458850781448592E-3</v>
      </c>
      <c r="AB964" s="168"/>
      <c r="AC964" s="168"/>
      <c r="AD964" s="163">
        <f t="shared" si="1777"/>
        <v>241729.32788260657</v>
      </c>
      <c r="AE964" s="168">
        <f t="shared" si="1773"/>
        <v>2.8676504694901846E-2</v>
      </c>
      <c r="AF964" s="163"/>
      <c r="AG964" s="163"/>
      <c r="AH964" s="163"/>
      <c r="AI964" s="163"/>
      <c r="AJ964" s="116">
        <f t="shared" si="1774"/>
        <v>323.80303574743823</v>
      </c>
      <c r="AK964" s="114">
        <f>+AV964/$AX$14</f>
        <v>2.1222023450965299E-2</v>
      </c>
      <c r="AL964" s="115">
        <f t="shared" si="1762"/>
        <v>0.20857864708672433</v>
      </c>
      <c r="AM964" s="115">
        <f t="shared" si="1763"/>
        <v>0.30206083809912743</v>
      </c>
      <c r="AN964" s="115">
        <f t="shared" si="1764"/>
        <v>0.48936051481414822</v>
      </c>
      <c r="AO964" s="115">
        <f t="shared" si="1766"/>
        <v>4.1322892608867658E-2</v>
      </c>
      <c r="AP964" s="166">
        <f t="shared" si="1778"/>
        <v>122.65664057868226</v>
      </c>
      <c r="AQ964" s="168">
        <f t="shared" si="1779"/>
        <v>4.1322892608867595E-2</v>
      </c>
      <c r="AR964" s="69">
        <f>+AD964/$AF$14</f>
        <v>2.5782716278386443E-2</v>
      </c>
      <c r="AS964" s="169">
        <f t="shared" si="1776"/>
        <v>1.0654164159366653E-3</v>
      </c>
      <c r="AT964" s="115"/>
      <c r="AU964" s="115"/>
      <c r="AV964" s="113">
        <f>IFERROR(INDEX('Total Customers'!$F$7:$AB$91,MATCH($C964,'Total Customers'!$D$7:$D$91,0),MATCH($G964,'Total Customers'!$F$5:$AB$5,0)),"NA")</f>
        <v>746532</v>
      </c>
      <c r="AW964" s="68">
        <f t="shared" ref="AW964:AW1027" si="1780">LN(AV964/AV963)</f>
        <v>1.1696575574257833E-2</v>
      </c>
      <c r="AX964" s="114"/>
      <c r="AY964" s="114"/>
      <c r="AZ964" s="116"/>
      <c r="BA964" s="116"/>
      <c r="BB964" s="166"/>
      <c r="BC964" s="166"/>
      <c r="BD964" s="166"/>
      <c r="BE964" s="166"/>
      <c r="BF964" s="166"/>
      <c r="BG964" s="166"/>
      <c r="BH964" s="166"/>
      <c r="BI964" s="113"/>
      <c r="BJ964" s="113"/>
      <c r="BK964" s="113">
        <f>INDEX('Dist. Plant Gas Additions'!$F$7:$AE$91,MATCH($C964,'Dist. Plant Gas Additions'!$D$7:$D$91,0),MATCH(Calculation!$G964,'Dist. Plant Gas Additions'!$F$5:$AE$5,0))</f>
        <v>172488</v>
      </c>
      <c r="BL964" s="113">
        <f>INDEX('Gen. Plant Additions'!$F$7:$AE$91,MATCH($C964,'Gen. Plant Additions'!$D$7:$D$91,0),MATCH(Calculation!$G964,'Gen. Plant Additions'!$F$5:$AE$5,0))</f>
        <v>2018</v>
      </c>
      <c r="BM964" s="231">
        <f t="shared" si="1741"/>
        <v>0.99108495862070611</v>
      </c>
      <c r="BN964" s="61">
        <f t="shared" si="1752"/>
        <v>2000.009446496585</v>
      </c>
      <c r="BO964" s="113">
        <f>INDEX('Dist Plant Depreciation'!$E$7:$AD$94,MATCH($C964,'Dist Plant Depreciation'!$D$7:$D$94,0),MATCH(Calculation!$G964,'Dist Plant Depreciation'!$E$5:$AD$5,0))</f>
        <v>786975</v>
      </c>
      <c r="BP964" s="113">
        <f>INDEX('Gen. Plant Depreciation'!$E$7:$AD$94,MATCH($C964,'Gen. Plant Depreciation'!$D$7:$D$94,0),MATCH(Calculation!$G964,'Gen. Plant Depreciation'!$E$5:$AD$5,0))</f>
        <v>-2004</v>
      </c>
      <c r="BQ964" s="113"/>
      <c r="BR964" s="113"/>
      <c r="BS964" s="113"/>
      <c r="BT964" s="113"/>
      <c r="BU964" s="113"/>
      <c r="BV964" s="175"/>
      <c r="BW964" s="113">
        <f>INDEX('Gross Dx Plant'!$E$7:$AD$91,MATCH($C964,'Gross Dx Plant'!$D$7:$D$91,0),MATCH(Calculation!$G964,'Gross Dx Plant'!$E$5:$AD$5,0))</f>
        <v>2483982</v>
      </c>
      <c r="BX964" s="113">
        <f>INDEX('Gross Gen Plant'!$E$7:$AD$91,MATCH($C964,'Gross Gen Plant'!$D$7:$D$91,0),MATCH(Calculation!$G964,'Gross Gen Plant'!$E$5:$AD$5,0))</f>
        <v>22344</v>
      </c>
      <c r="BY964" s="113">
        <f t="shared" si="1734"/>
        <v>1721355</v>
      </c>
      <c r="BZ964" s="113"/>
      <c r="CA964" s="116">
        <v>2009</v>
      </c>
      <c r="CB964" s="113"/>
      <c r="CC964" s="113"/>
      <c r="CD964" s="113"/>
      <c r="CE964" s="175"/>
      <c r="CF964" s="113">
        <f t="shared" si="1742"/>
        <v>174506</v>
      </c>
      <c r="CG964" s="113">
        <f t="shared" si="1743"/>
        <v>316.7419288846566</v>
      </c>
      <c r="CH964" s="178">
        <v>0.93567251461988299</v>
      </c>
      <c r="CI964" s="61">
        <f>+CI953*CH964+CG954*CH963+CG955*CH962+CG956*CH961+CG957*CH960+CG958*CH959+CG959*CH958+CG960*CH957+CG961*CH956+CG962*CH955+CG963*CH954+CG964</f>
        <v>6865.864911925536</v>
      </c>
      <c r="CJ964" s="114">
        <f t="shared" si="1744"/>
        <v>4.0565356530010796E-2</v>
      </c>
      <c r="CK964" s="114"/>
      <c r="CL964" s="169">
        <f t="shared" si="1745"/>
        <v>6.6433531249926528E-3</v>
      </c>
      <c r="CM964" s="169">
        <f t="shared" si="1754"/>
        <v>6.4687187775581759E-3</v>
      </c>
      <c r="CN964" s="114">
        <f>VLOOKUP($H964,RoR!$E:$F,2,FALSE)</f>
        <v>5.3133333333333324E-2</v>
      </c>
      <c r="CO964" s="169">
        <v>7.7972502758210105E-3</v>
      </c>
      <c r="CP964" s="169">
        <f t="shared" si="1751"/>
        <v>4.5336083057512314E-2</v>
      </c>
      <c r="CQ964" s="169">
        <f t="shared" si="1755"/>
        <v>2.4433222830975449E-2</v>
      </c>
      <c r="CR964" s="169">
        <f t="shared" si="1756"/>
        <v>6.3720160300892073E-2</v>
      </c>
      <c r="CS964" s="179">
        <f t="shared" si="1746"/>
        <v>0.87050000000000005</v>
      </c>
      <c r="CT964" s="180">
        <f t="shared" si="1747"/>
        <v>0.96515780330083989</v>
      </c>
      <c r="CU964" s="180">
        <f t="shared" si="1748"/>
        <v>0.50448557089084056</v>
      </c>
      <c r="CV964" s="180">
        <f t="shared" si="1749"/>
        <v>0.87391435735465484</v>
      </c>
      <c r="CW964" s="180">
        <f t="shared" si="1750"/>
        <v>0.42551605393279146</v>
      </c>
      <c r="CX964" s="181">
        <f>INDEX('State Tax Lookup'!$D$7:$Z$91,MATCH(Calculation!$C964,'State Tax Lookup'!$B$7:$B$91,0),MATCH($H964,'State Tax Lookup'!$D$6:$Z$6,0))</f>
        <v>0.35</v>
      </c>
      <c r="CY964" s="72">
        <v>0.37</v>
      </c>
      <c r="CZ964" s="70">
        <f t="shared" si="1753"/>
        <v>17.942391351868967</v>
      </c>
      <c r="DA964" s="70">
        <v>17.478615056163342</v>
      </c>
      <c r="DB964" s="69">
        <f t="shared" si="1757"/>
        <v>-4.0470338544106234E-2</v>
      </c>
      <c r="DC964" s="111">
        <f>VLOOKUP($H964,RoR!$E:$F,2,FALSE)</f>
        <v>5.3133333333333324E-2</v>
      </c>
      <c r="DD964" s="216">
        <f>HLOOKUP($H964,'GDP-PI'!$D$8:$CQ$11,3,FALSE)</f>
        <v>7.7972502758210105E-3</v>
      </c>
      <c r="DE964" s="111">
        <f>VLOOKUP(H964,'HW Dx Data'!$E:$F,2,FALSE)</f>
        <v>550.94063679692806</v>
      </c>
      <c r="DF964" s="72">
        <f t="shared" si="1767"/>
        <v>110.925</v>
      </c>
      <c r="DG964" s="69">
        <f t="shared" si="1768"/>
        <v>2.7649425000884052E-2</v>
      </c>
      <c r="DH964" s="66">
        <f>HLOOKUP(H964,'GDP-PI'!$8:$9,2,FALSE)</f>
        <v>94.998999999999995</v>
      </c>
      <c r="DI964" s="69">
        <f t="shared" si="1758"/>
        <v>7.7670088183096342E-3</v>
      </c>
      <c r="EB964"/>
    </row>
    <row r="965" spans="1:132" s="160" customFormat="1" ht="21">
      <c r="A965" s="160" t="s">
        <v>217</v>
      </c>
      <c r="B965" s="160" t="s">
        <v>217</v>
      </c>
      <c r="C965" s="160">
        <v>4062485</v>
      </c>
      <c r="D965" s="161" t="s">
        <v>146</v>
      </c>
      <c r="E965" s="161"/>
      <c r="F965" s="189"/>
      <c r="G965" s="160" t="s">
        <v>126</v>
      </c>
      <c r="H965" s="162">
        <v>2010</v>
      </c>
      <c r="I965" s="163"/>
      <c r="J965" s="159">
        <f>IFERROR(INDEX('Labor Expenditures'!$F$7:$X$91,MATCH($C965,'Labor Expenditures'!$D$7:$D$91,0),MATCH($G965,'Labor Expenditures'!$F$5:$X$5,0)),"NA")</f>
        <v>48293.572472294953</v>
      </c>
      <c r="K965" s="159">
        <f t="shared" si="1759"/>
        <v>413.03033972456666</v>
      </c>
      <c r="L965" s="165">
        <f t="shared" si="1765"/>
        <v>-9.575944540483837E-2</v>
      </c>
      <c r="M965" s="76">
        <f t="shared" si="1769"/>
        <v>-2.4112817123229688E-3</v>
      </c>
      <c r="N965" s="62">
        <f t="shared" si="1775"/>
        <v>97.880597851946789</v>
      </c>
      <c r="O965" s="96">
        <f t="shared" si="1770"/>
        <v>-0.19178107191325475</v>
      </c>
      <c r="P965" s="96"/>
      <c r="Q965" s="159">
        <f>IFERROR(INDEX('Non-Labor Expenditures'!$F$7:$AB$91,MATCH($C965,'Non-Labor Expenditures'!$D$7:$D$91,0),MATCH($G965,'Non-Labor Expenditures'!$F$5:$AB$5,0)),"NA")</f>
        <v>69938.112935007332</v>
      </c>
      <c r="R965" s="159">
        <f t="shared" si="1760"/>
        <v>727.69577183205877</v>
      </c>
      <c r="S965" s="165">
        <f t="shared" si="1771"/>
        <v>-5.4697637865012062E-2</v>
      </c>
      <c r="T965" s="165">
        <f t="shared" si="1772"/>
        <v>-1.377320151903302E-3</v>
      </c>
      <c r="U965" s="165"/>
      <c r="V965" s="165"/>
      <c r="W965" s="159">
        <f t="shared" si="1740"/>
        <v>126475.31928453012</v>
      </c>
      <c r="X965" s="163"/>
      <c r="Y965" s="167">
        <v>7047.1337137596802</v>
      </c>
      <c r="Z965" s="168">
        <v>2.6058948818682471E-2</v>
      </c>
      <c r="AA965" s="76">
        <f t="shared" si="1761"/>
        <v>6.5618035341790347E-4</v>
      </c>
      <c r="AB965" s="168"/>
      <c r="AC965" s="168"/>
      <c r="AD965" s="163">
        <f t="shared" si="1777"/>
        <v>244707.00469183241</v>
      </c>
      <c r="AE965" s="168">
        <f t="shared" si="1773"/>
        <v>1.2242975302229149E-2</v>
      </c>
      <c r="AF965" s="163"/>
      <c r="AG965" s="163"/>
      <c r="AH965" s="163"/>
      <c r="AI965" s="163"/>
      <c r="AJ965" s="116">
        <f t="shared" si="1774"/>
        <v>325.92357423084155</v>
      </c>
      <c r="AK965" s="114">
        <f>+AV965/$AX$15</f>
        <v>2.1226884648612845E-2</v>
      </c>
      <c r="AL965" s="115">
        <f t="shared" si="1762"/>
        <v>0.19735263619900312</v>
      </c>
      <c r="AM965" s="115">
        <f t="shared" si="1763"/>
        <v>0.28580347760409514</v>
      </c>
      <c r="AN965" s="115">
        <f t="shared" si="1764"/>
        <v>0.51684388619690169</v>
      </c>
      <c r="AO965" s="115">
        <f t="shared" si="1766"/>
        <v>-2.2402957513466795E-2</v>
      </c>
      <c r="AP965" s="166">
        <f t="shared" si="1778"/>
        <v>119.93932072097017</v>
      </c>
      <c r="AQ965" s="168">
        <f t="shared" si="1779"/>
        <v>-2.2402957513466742E-2</v>
      </c>
      <c r="AR965" s="69">
        <f>+AD965/$AF$15</f>
        <v>2.5180614843046446E-2</v>
      </c>
      <c r="AS965" s="169">
        <f t="shared" si="1776"/>
        <v>-5.6412024449173956E-4</v>
      </c>
      <c r="AT965" s="115"/>
      <c r="AU965" s="115"/>
      <c r="AV965" s="113">
        <f>IFERROR(INDEX('Total Customers'!$F$7:$AB$91,MATCH($C965,'Total Customers'!$D$7:$D$91,0),MATCH($G965,'Total Customers'!$F$5:$AB$5,0)),"NA")</f>
        <v>750811</v>
      </c>
      <c r="AW965" s="68">
        <f t="shared" si="1780"/>
        <v>5.7154728721067281E-3</v>
      </c>
      <c r="AX965" s="114"/>
      <c r="AY965" s="114"/>
      <c r="AZ965" s="116"/>
      <c r="BA965" s="116"/>
      <c r="BB965" s="166"/>
      <c r="BC965" s="166"/>
      <c r="BD965" s="166"/>
      <c r="BE965" s="166"/>
      <c r="BF965" s="166"/>
      <c r="BG965" s="166"/>
      <c r="BH965" s="166"/>
      <c r="BI965" s="113"/>
      <c r="BJ965" s="113"/>
      <c r="BK965" s="113">
        <f>INDEX('Dist. Plant Gas Additions'!$F$7:$AE$91,MATCH($C965,'Dist. Plant Gas Additions'!$D$7:$D$91,0),MATCH(Calculation!$G965,'Dist. Plant Gas Additions'!$F$5:$AE$5,0))</f>
        <v>124742</v>
      </c>
      <c r="BL965" s="113">
        <f>INDEX('Gen. Plant Additions'!$F$7:$AE$91,MATCH($C965,'Gen. Plant Additions'!$D$7:$D$91,0),MATCH(Calculation!$G965,'Gen. Plant Additions'!$F$5:$AE$5,0))</f>
        <v>5076</v>
      </c>
      <c r="BM965" s="231">
        <f t="shared" si="1741"/>
        <v>0.98776328366214428</v>
      </c>
      <c r="BN965" s="61">
        <f t="shared" si="1752"/>
        <v>5013.8864278690444</v>
      </c>
      <c r="BO965" s="113">
        <f>INDEX('Dist Plant Depreciation'!$E$7:$AD$94,MATCH($C965,'Dist Plant Depreciation'!$D$7:$D$94,0),MATCH(Calculation!$G965,'Dist Plant Depreciation'!$E$5:$AD$5,0))</f>
        <v>851599</v>
      </c>
      <c r="BP965" s="113">
        <f>INDEX('Gen. Plant Depreciation'!$E$7:$AD$94,MATCH($C965,'Gen. Plant Depreciation'!$D$7:$D$94,0),MATCH(Calculation!$G965,'Gen. Plant Depreciation'!$E$5:$AD$5,0))</f>
        <v>5752</v>
      </c>
      <c r="BQ965" s="113"/>
      <c r="BR965" s="113"/>
      <c r="BS965" s="113"/>
      <c r="BT965" s="113"/>
      <c r="BU965" s="113"/>
      <c r="BV965" s="175"/>
      <c r="BW965" s="113">
        <f>INDEX('Gross Dx Plant'!$E$7:$AD$91,MATCH($C965,'Gross Dx Plant'!$D$7:$D$91,0),MATCH(Calculation!$G965,'Gross Dx Plant'!$E$5:$AD$5,0))</f>
        <v>2585583</v>
      </c>
      <c r="BX965" s="113">
        <f>INDEX('Gross Gen Plant'!$E$7:$AD$91,MATCH($C965,'Gross Gen Plant'!$D$7:$D$91,0),MATCH(Calculation!$G965,'Gross Gen Plant'!$E$5:$AD$5,0))</f>
        <v>32031</v>
      </c>
      <c r="BY965" s="113">
        <f t="shared" si="1734"/>
        <v>1760263</v>
      </c>
      <c r="BZ965" s="113"/>
      <c r="CA965" s="116">
        <v>2010</v>
      </c>
      <c r="CB965" s="113"/>
      <c r="CC965" s="113"/>
      <c r="CD965" s="113"/>
      <c r="CE965" s="175"/>
      <c r="CF965" s="113">
        <f t="shared" si="1742"/>
        <v>129818</v>
      </c>
      <c r="CG965" s="113">
        <f t="shared" si="1743"/>
        <v>228.15535154869448</v>
      </c>
      <c r="CH965" s="178">
        <v>0.9285714285714286</v>
      </c>
      <c r="CI965" s="61">
        <f>+CI953*CH965+CG954*CH964+CG955*CH963+CG956*CH962+CG957*CH961+CG958*CH960+CG959*CH959+CG960*CH958+CG961*CH957+CG962*CH956+CG963*CH955+CG964*CH954+CG965</f>
        <v>7047.1337137596802</v>
      </c>
      <c r="CJ965" s="114">
        <f t="shared" si="1744"/>
        <v>2.6058948818682471E-2</v>
      </c>
      <c r="CK965" s="114"/>
      <c r="CL965" s="169">
        <f t="shared" si="1745"/>
        <v>6.8289356571976274E-3</v>
      </c>
      <c r="CM965" s="169">
        <f t="shared" si="1754"/>
        <v>6.6435610976635666E-3</v>
      </c>
      <c r="CN965" s="114">
        <f>VLOOKUP($H965,RoR!$E:$F,2,FALSE)</f>
        <v>4.9433333333333322E-2</v>
      </c>
      <c r="CO965" s="169">
        <v>1.1684333519300205E-2</v>
      </c>
      <c r="CP965" s="169">
        <f t="shared" si="1751"/>
        <v>3.7748999814033117E-2</v>
      </c>
      <c r="CQ965" s="169">
        <f t="shared" si="1755"/>
        <v>2.4258380510870058E-2</v>
      </c>
      <c r="CR965" s="169">
        <f t="shared" si="1756"/>
        <v>4.7937530248493419E-2</v>
      </c>
      <c r="CS965" s="179">
        <f t="shared" si="1746"/>
        <v>0.87050000000000005</v>
      </c>
      <c r="CT965" s="180">
        <f t="shared" si="1747"/>
        <v>1.037398205301105</v>
      </c>
      <c r="CU965" s="180">
        <f t="shared" si="1748"/>
        <v>0.46926837491571133</v>
      </c>
      <c r="CV965" s="180">
        <f t="shared" si="1749"/>
        <v>0.8548537519972772</v>
      </c>
      <c r="CW965" s="180">
        <f t="shared" si="1750"/>
        <v>0.41615833911547367</v>
      </c>
      <c r="CX965" s="181">
        <f>INDEX('State Tax Lookup'!$D$7:$Z$91,MATCH(Calculation!$C965,'State Tax Lookup'!$B$7:$B$91,0),MATCH($H965,'State Tax Lookup'!$D$6:$Z$6,0))</f>
        <v>0.35</v>
      </c>
      <c r="CY965" s="72">
        <v>0.37</v>
      </c>
      <c r="CZ965" s="70">
        <f t="shared" si="1753"/>
        <v>18.420886648214005</v>
      </c>
      <c r="DA965" s="70">
        <v>17.956102603965455</v>
      </c>
      <c r="DB965" s="69">
        <f t="shared" si="1757"/>
        <v>2.631901979790343E-2</v>
      </c>
      <c r="DC965" s="111">
        <f>VLOOKUP($H965,RoR!$E:$F,2,FALSE)</f>
        <v>4.9433333333333322E-2</v>
      </c>
      <c r="DD965" s="216">
        <f>HLOOKUP($H965,'GDP-PI'!$D$8:$CQ$11,3,FALSE)</f>
        <v>1.1684333519300205E-2</v>
      </c>
      <c r="DE965" s="111">
        <f>VLOOKUP(H965,'HW Dx Data'!$E:$F,2,FALSE)</f>
        <v>568.98950262971744</v>
      </c>
      <c r="DF965" s="72">
        <f t="shared" si="1767"/>
        <v>116.925</v>
      </c>
      <c r="DG965" s="69">
        <f t="shared" si="1768"/>
        <v>5.2678406346976722E-2</v>
      </c>
      <c r="DH965" s="66">
        <f>HLOOKUP(H965,'GDP-PI'!$8:$9,2,FALSE)</f>
        <v>96.108999999999995</v>
      </c>
      <c r="DI965" s="69">
        <f t="shared" si="1758"/>
        <v>1.1616598807150427E-2</v>
      </c>
      <c r="EB965"/>
    </row>
    <row r="966" spans="1:132" s="160" customFormat="1" ht="21">
      <c r="A966" s="160" t="s">
        <v>217</v>
      </c>
      <c r="B966" s="160" t="s">
        <v>217</v>
      </c>
      <c r="C966" s="160">
        <v>4062485</v>
      </c>
      <c r="D966" s="161" t="s">
        <v>146</v>
      </c>
      <c r="E966" s="161"/>
      <c r="F966" s="189"/>
      <c r="G966" s="160" t="s">
        <v>127</v>
      </c>
      <c r="H966" s="162">
        <v>2011</v>
      </c>
      <c r="I966" s="163"/>
      <c r="J966" s="159">
        <f>IFERROR(INDEX('Labor Expenditures'!$F$7:$X$91,MATCH($C966,'Labor Expenditures'!$D$7:$D$91,0),MATCH($G966,'Labor Expenditures'!$F$5:$X$5,0)),"NA")</f>
        <v>49530.455168260625</v>
      </c>
      <c r="K966" s="159">
        <f t="shared" si="1759"/>
        <v>409.76591659367631</v>
      </c>
      <c r="L966" s="165">
        <f t="shared" si="1765"/>
        <v>-7.9349905502203583E-3</v>
      </c>
      <c r="M966" s="76">
        <f t="shared" si="1769"/>
        <v>-2.0208151346340608E-4</v>
      </c>
      <c r="N966" s="62">
        <f t="shared" si="1775"/>
        <v>118.7230997863151</v>
      </c>
      <c r="O966" s="96">
        <f t="shared" si="1770"/>
        <v>0.19304554257305914</v>
      </c>
      <c r="P966" s="96"/>
      <c r="Q966" s="159">
        <f>IFERROR(INDEX('Non-Labor Expenditures'!$F$7:$AB$91,MATCH($C966,'Non-Labor Expenditures'!$D$7:$D$91,0),MATCH($G966,'Non-Labor Expenditures'!$F$5:$AB$5,0)),"NA")</f>
        <v>71729.350096586757</v>
      </c>
      <c r="R966" s="159">
        <f t="shared" si="1760"/>
        <v>731.09660486573262</v>
      </c>
      <c r="S966" s="165">
        <f t="shared" si="1771"/>
        <v>4.6625403984390384E-3</v>
      </c>
      <c r="T966" s="165">
        <f t="shared" si="1772"/>
        <v>1.1874156803812043E-4</v>
      </c>
      <c r="U966" s="165"/>
      <c r="V966" s="165"/>
      <c r="W966" s="159">
        <f t="shared" si="1740"/>
        <v>138658.24483991167</v>
      </c>
      <c r="X966" s="163"/>
      <c r="Y966" s="167">
        <v>7174.8927875287663</v>
      </c>
      <c r="Z966" s="168">
        <v>1.7966850299454426E-2</v>
      </c>
      <c r="AA966" s="76">
        <f t="shared" si="1761"/>
        <v>4.5756428791000555E-4</v>
      </c>
      <c r="AB966" s="168"/>
      <c r="AC966" s="168"/>
      <c r="AD966" s="163">
        <f t="shared" si="1777"/>
        <v>259918.05010475905</v>
      </c>
      <c r="AE966" s="168">
        <f t="shared" si="1773"/>
        <v>6.0304793757725392E-2</v>
      </c>
      <c r="AF966" s="163"/>
      <c r="AG966" s="163"/>
      <c r="AH966" s="163"/>
      <c r="AI966" s="163"/>
      <c r="AJ966" s="116">
        <f t="shared" si="1774"/>
        <v>343.48390614747115</v>
      </c>
      <c r="AK966" s="114">
        <f>+AV966/$AX$16</f>
        <v>2.1290464764905564E-2</v>
      </c>
      <c r="AL966" s="115">
        <f t="shared" si="1762"/>
        <v>0.19056181418834725</v>
      </c>
      <c r="AM966" s="115">
        <f t="shared" si="1763"/>
        <v>0.27596909898206951</v>
      </c>
      <c r="AN966" s="115">
        <f t="shared" si="1764"/>
        <v>0.53346908682958327</v>
      </c>
      <c r="AO966" s="115">
        <f t="shared" si="1766"/>
        <v>9.2060028944462025E-3</v>
      </c>
      <c r="AP966" s="166">
        <f t="shared" si="1778"/>
        <v>121.04858054507939</v>
      </c>
      <c r="AQ966" s="168">
        <f t="shared" si="1779"/>
        <v>9.2060028944462354E-3</v>
      </c>
      <c r="AR966" s="69">
        <f>+AD966/$AF$16</f>
        <v>2.5467139775962832E-2</v>
      </c>
      <c r="AS966" s="169">
        <f t="shared" si="1776"/>
        <v>2.3445056249078069E-4</v>
      </c>
      <c r="AT966" s="115"/>
      <c r="AU966" s="115"/>
      <c r="AV966" s="113">
        <f>IFERROR(INDEX('Total Customers'!$F$7:$AB$91,MATCH($C966,'Total Customers'!$D$7:$D$91,0),MATCH($G966,'Total Customers'!$F$5:$AB$5,0)),"NA")</f>
        <v>756711</v>
      </c>
      <c r="AW966" s="68">
        <f t="shared" si="1780"/>
        <v>7.8274547554435317E-3</v>
      </c>
      <c r="AX966" s="114"/>
      <c r="AY966" s="114"/>
      <c r="AZ966" s="116"/>
      <c r="BA966" s="116"/>
      <c r="BB966" s="166"/>
      <c r="BC966" s="166"/>
      <c r="BD966" s="166"/>
      <c r="BE966" s="166"/>
      <c r="BF966" s="166"/>
      <c r="BG966" s="166"/>
      <c r="BH966" s="166"/>
      <c r="BI966" s="113"/>
      <c r="BJ966" s="113"/>
      <c r="BK966" s="113">
        <f>INDEX('Dist. Plant Gas Additions'!$F$7:$AE$91,MATCH($C966,'Dist. Plant Gas Additions'!$D$7:$D$91,0),MATCH(Calculation!$G966,'Dist. Plant Gas Additions'!$F$5:$AE$5,0))</f>
        <v>107466</v>
      </c>
      <c r="BL966" s="113">
        <f>INDEX('Gen. Plant Additions'!$F$7:$AE$91,MATCH($C966,'Gen. Plant Additions'!$D$7:$D$91,0),MATCH(Calculation!$G966,'Gen. Plant Additions'!$F$5:$AE$5,0))</f>
        <v>1046</v>
      </c>
      <c r="BM966" s="231">
        <f t="shared" si="1741"/>
        <v>0.98799048961031044</v>
      </c>
      <c r="BN966" s="61">
        <f t="shared" si="1752"/>
        <v>1033.4380521323847</v>
      </c>
      <c r="BO966" s="113">
        <f>INDEX('Dist Plant Depreciation'!$E$7:$AD$94,MATCH($C966,'Dist Plant Depreciation'!$D$7:$D$94,0),MATCH(Calculation!$G966,'Dist Plant Depreciation'!$E$5:$AD$5,0))</f>
        <v>922399</v>
      </c>
      <c r="BP966" s="113">
        <f>INDEX('Gen. Plant Depreciation'!$E$7:$AD$94,MATCH($C966,'Gen. Plant Depreciation'!$D$7:$D$94,0),MATCH(Calculation!$G966,'Gen. Plant Depreciation'!$E$5:$AD$5,0))</f>
        <v>8239</v>
      </c>
      <c r="BQ966" s="113"/>
      <c r="BR966" s="113"/>
      <c r="BS966" s="113"/>
      <c r="BT966" s="113"/>
      <c r="BU966" s="113"/>
      <c r="BV966" s="175"/>
      <c r="BW966" s="113">
        <f>INDEX('Gross Dx Plant'!$E$7:$AD$91,MATCH($C966,'Gross Dx Plant'!$D$7:$D$91,0),MATCH(Calculation!$G966,'Gross Dx Plant'!$E$5:$AD$5,0))</f>
        <v>2691047</v>
      </c>
      <c r="BX966" s="113">
        <f>INDEX('Gross Gen Plant'!$E$7:$AD$91,MATCH($C966,'Gross Gen Plant'!$D$7:$D$91,0),MATCH(Calculation!$G966,'Gross Gen Plant'!$E$5:$AD$5,0))</f>
        <v>32711</v>
      </c>
      <c r="BY966" s="113">
        <f t="shared" si="1734"/>
        <v>1793120</v>
      </c>
      <c r="BZ966" s="113"/>
      <c r="CA966" s="116">
        <v>2011</v>
      </c>
      <c r="CB966" s="113"/>
      <c r="CC966" s="113"/>
      <c r="CD966" s="113"/>
      <c r="CE966" s="175"/>
      <c r="CF966" s="113">
        <f t="shared" si="1742"/>
        <v>108512</v>
      </c>
      <c r="CG966" s="113">
        <f t="shared" si="1743"/>
        <v>177.41993349677088</v>
      </c>
      <c r="CH966" s="178">
        <v>0.92121212121212126</v>
      </c>
      <c r="CI966" s="61">
        <f>+CI953*CH966+CG954*CH965+CG955*CH964+CG956*CH963+CG957*CH962+CG958*CH961+CG959*CH960+CG960*CH959+CG961*CH958+CG962*CH957+CG963*CH956+CG964*CH955+CG965*CH954+CG966</f>
        <v>7174.8927875287663</v>
      </c>
      <c r="CJ966" s="114">
        <f t="shared" si="1744"/>
        <v>1.7966850299454426E-2</v>
      </c>
      <c r="CK966" s="114"/>
      <c r="CL966" s="169">
        <f t="shared" si="1745"/>
        <v>7.0469586281186655E-3</v>
      </c>
      <c r="CM966" s="169">
        <f t="shared" si="1754"/>
        <v>6.8397491367696477E-3</v>
      </c>
      <c r="CN966" s="114">
        <f>VLOOKUP($H966,RoR!$E:$F,2,FALSE)</f>
        <v>4.6391666666666664E-2</v>
      </c>
      <c r="CO966" s="169">
        <v>2.0840920205183799E-2</v>
      </c>
      <c r="CP966" s="169">
        <f t="shared" si="1751"/>
        <v>2.5550746461482865E-2</v>
      </c>
      <c r="CQ966" s="169">
        <f t="shared" si="1755"/>
        <v>2.4062192471763978E-2</v>
      </c>
      <c r="CR966" s="169">
        <f t="shared" si="1756"/>
        <v>2.4810540821321614E-2</v>
      </c>
      <c r="CS966" s="179">
        <f t="shared" si="1746"/>
        <v>0.87050000000000005</v>
      </c>
      <c r="CT966" s="180">
        <f t="shared" si="1747"/>
        <v>1.1054151524782025</v>
      </c>
      <c r="CU966" s="180">
        <f t="shared" si="1748"/>
        <v>0.43611011316687626</v>
      </c>
      <c r="CV966" s="180">
        <f t="shared" si="1749"/>
        <v>0.83698442246886229</v>
      </c>
      <c r="CW966" s="180">
        <f t="shared" si="1750"/>
        <v>0.40349573304423936</v>
      </c>
      <c r="CX966" s="181">
        <f>INDEX('State Tax Lookup'!$D$7:$Z$91,MATCH(Calculation!$C966,'State Tax Lookup'!$B$7:$B$91,0),MATCH($H966,'State Tax Lookup'!$D$6:$Z$6,0))</f>
        <v>0.35</v>
      </c>
      <c r="CY966" s="72">
        <v>0.37</v>
      </c>
      <c r="CZ966" s="70">
        <f t="shared" si="1753"/>
        <v>19.675835661976791</v>
      </c>
      <c r="DA966" s="70">
        <v>19.146574949201604</v>
      </c>
      <c r="DB966" s="69">
        <f t="shared" si="1757"/>
        <v>6.5906101940402625E-2</v>
      </c>
      <c r="DC966" s="111">
        <f>VLOOKUP($H966,RoR!$E:$F,2,FALSE)</f>
        <v>4.6391666666666664E-2</v>
      </c>
      <c r="DD966" s="216">
        <f>HLOOKUP($H966,'GDP-PI'!$D$8:$CQ$11,3,FALSE)</f>
        <v>2.0840920205183799E-2</v>
      </c>
      <c r="DE966" s="111">
        <f>VLOOKUP(H966,'HW Dx Data'!$E:$F,2,FALSE)</f>
        <v>611.61109612283201</v>
      </c>
      <c r="DF966" s="72">
        <f t="shared" si="1767"/>
        <v>120.875</v>
      </c>
      <c r="DG966" s="69">
        <f t="shared" si="1768"/>
        <v>3.3224250161508609E-2</v>
      </c>
      <c r="DH966" s="66">
        <f>HLOOKUP(H966,'GDP-PI'!$8:$9,2,FALSE)</f>
        <v>98.111999999999995</v>
      </c>
      <c r="DI966" s="69">
        <f t="shared" si="1758"/>
        <v>2.0626719212849295E-2</v>
      </c>
      <c r="EB966"/>
    </row>
    <row r="967" spans="1:132" s="160" customFormat="1" ht="21">
      <c r="A967" s="160" t="s">
        <v>217</v>
      </c>
      <c r="B967" s="160" t="s">
        <v>217</v>
      </c>
      <c r="C967" s="160">
        <v>4062485</v>
      </c>
      <c r="D967" s="161" t="s">
        <v>146</v>
      </c>
      <c r="E967" s="161"/>
      <c r="F967" s="189"/>
      <c r="G967" s="160" t="s">
        <v>128</v>
      </c>
      <c r="H967" s="162">
        <v>2012</v>
      </c>
      <c r="I967" s="163"/>
      <c r="J967" s="159">
        <f>IFERROR(INDEX('Labor Expenditures'!$F$7:$X$91,MATCH($C967,'Labor Expenditures'!$D$7:$D$91,0),MATCH($G967,'Labor Expenditures'!$F$5:$X$5,0)),"NA")</f>
        <v>49455.197310477233</v>
      </c>
      <c r="K967" s="159">
        <f t="shared" si="1759"/>
        <v>396.27561947497782</v>
      </c>
      <c r="L967" s="165">
        <f t="shared" si="1765"/>
        <v>-3.3476083587551525E-2</v>
      </c>
      <c r="M967" s="76">
        <f t="shared" si="1769"/>
        <v>-8.5679534983252768E-4</v>
      </c>
      <c r="N967" s="62">
        <f t="shared" si="1775"/>
        <v>117.61728391137069</v>
      </c>
      <c r="O967" s="96">
        <f t="shared" si="1770"/>
        <v>-9.3578924374803606E-3</v>
      </c>
      <c r="P967" s="96"/>
      <c r="Q967" s="159">
        <f>IFERROR(INDEX('Non-Labor Expenditures'!$F$7:$AB$91,MATCH($C967,'Non-Labor Expenditures'!$D$7:$D$91,0),MATCH($G967,'Non-Labor Expenditures'!$F$5:$AB$5,0)),"NA")</f>
        <v>71620.362662287487</v>
      </c>
      <c r="R967" s="159">
        <f t="shared" si="1760"/>
        <v>716.20362662287482</v>
      </c>
      <c r="S967" s="165">
        <f t="shared" si="1771"/>
        <v>-2.0581084164425171E-2</v>
      </c>
      <c r="T967" s="165">
        <f t="shared" si="1772"/>
        <v>-5.2675747330098931E-4</v>
      </c>
      <c r="U967" s="165"/>
      <c r="V967" s="165"/>
      <c r="W967" s="159">
        <f t="shared" si="1740"/>
        <v>152630.21709477194</v>
      </c>
      <c r="X967" s="163"/>
      <c r="Y967" s="167">
        <v>7352.5438282308614</v>
      </c>
      <c r="Z967" s="168">
        <v>2.4458533395960456E-2</v>
      </c>
      <c r="AA967" s="76">
        <f t="shared" si="1761"/>
        <v>6.2599788958512517E-4</v>
      </c>
      <c r="AB967" s="168"/>
      <c r="AC967" s="168"/>
      <c r="AD967" s="163">
        <f t="shared" si="1777"/>
        <v>273705.77706753666</v>
      </c>
      <c r="AE967" s="168">
        <f t="shared" si="1773"/>
        <v>5.1687333694801899E-2</v>
      </c>
      <c r="AF967" s="163"/>
      <c r="AG967" s="163"/>
      <c r="AH967" s="163"/>
      <c r="AI967" s="163"/>
      <c r="AJ967" s="116">
        <f t="shared" si="1774"/>
        <v>358.4154848295849</v>
      </c>
      <c r="AK967" s="114">
        <f>+AV967/$AX$17</f>
        <v>2.1382870893918555E-2</v>
      </c>
      <c r="AL967" s="115">
        <f t="shared" si="1762"/>
        <v>0.18068744416115926</v>
      </c>
      <c r="AM967" s="115">
        <f t="shared" si="1763"/>
        <v>0.26166916690477904</v>
      </c>
      <c r="AN967" s="115">
        <f t="shared" si="1764"/>
        <v>0.55764338893406173</v>
      </c>
      <c r="AO967" s="115">
        <f t="shared" si="1766"/>
        <v>1.5969306613283912E-3</v>
      </c>
      <c r="AP967" s="166">
        <f t="shared" si="1778"/>
        <v>121.24204116534682</v>
      </c>
      <c r="AQ967" s="168">
        <f t="shared" si="1779"/>
        <v>1.5969306613282932E-3</v>
      </c>
      <c r="AR967" s="69">
        <f>+AD967/$AF$17</f>
        <v>2.5594252911685794E-2</v>
      </c>
      <c r="AS967" s="169">
        <f t="shared" si="1776"/>
        <v>4.0872247228461991E-5</v>
      </c>
      <c r="AT967" s="115"/>
      <c r="AU967" s="115"/>
      <c r="AV967" s="113">
        <f>IFERROR(INDEX('Total Customers'!$F$7:$AB$91,MATCH($C967,'Total Customers'!$D$7:$D$91,0),MATCH($G967,'Total Customers'!$F$5:$AB$5,0)),"NA")</f>
        <v>763655</v>
      </c>
      <c r="AW967" s="68">
        <f t="shared" si="1780"/>
        <v>9.1347060977841621E-3</v>
      </c>
      <c r="AX967" s="114"/>
      <c r="AY967" s="114"/>
      <c r="AZ967" s="116"/>
      <c r="BA967" s="116"/>
      <c r="BB967" s="166"/>
      <c r="BC967" s="166"/>
      <c r="BD967" s="166"/>
      <c r="BE967" s="166"/>
      <c r="BF967" s="166"/>
      <c r="BG967" s="166"/>
      <c r="BH967" s="166"/>
      <c r="BI967" s="113"/>
      <c r="BJ967" s="113"/>
      <c r="BK967" s="113">
        <f>INDEX('Dist. Plant Gas Additions'!$F$7:$AE$91,MATCH($C967,'Dist. Plant Gas Additions'!$D$7:$D$91,0),MATCH(Calculation!$G967,'Dist. Plant Gas Additions'!$F$5:$AE$5,0))</f>
        <v>151987</v>
      </c>
      <c r="BL967" s="113">
        <f>INDEX('Gen. Plant Additions'!$F$7:$AE$91,MATCH($C967,'Gen. Plant Additions'!$D$7:$D$91,0),MATCH(Calculation!$G967,'Gen. Plant Additions'!$F$5:$AE$5,0))</f>
        <v>1835</v>
      </c>
      <c r="BM967" s="231">
        <f t="shared" si="1741"/>
        <v>0.98788264838412609</v>
      </c>
      <c r="BN967" s="61">
        <f t="shared" si="1752"/>
        <v>1812.7646597848714</v>
      </c>
      <c r="BO967" s="113">
        <f>INDEX('Dist Plant Depreciation'!$E$7:$AD$94,MATCH($C967,'Dist Plant Depreciation'!$D$7:$D$94,0),MATCH(Calculation!$G967,'Dist Plant Depreciation'!$E$5:$AD$5,0))</f>
        <v>994151</v>
      </c>
      <c r="BP967" s="113">
        <f>INDEX('Gen. Plant Depreciation'!$E$7:$AD$94,MATCH($C967,'Gen. Plant Depreciation'!$D$7:$D$94,0),MATCH(Calculation!$G967,'Gen. Plant Depreciation'!$E$5:$AD$5,0))</f>
        <v>11316</v>
      </c>
      <c r="BQ967" s="113"/>
      <c r="BR967" s="113"/>
      <c r="BS967" s="113"/>
      <c r="BT967" s="113"/>
      <c r="BU967" s="113"/>
      <c r="BV967" s="175"/>
      <c r="BW967" s="113">
        <f>INDEX('Gross Dx Plant'!$E$7:$AD$91,MATCH($C967,'Gross Dx Plant'!$D$7:$D$91,0),MATCH(Calculation!$G967,'Gross Dx Plant'!$E$5:$AD$5,0))</f>
        <v>2828799</v>
      </c>
      <c r="BX967" s="113">
        <f>INDEX('Gross Gen Plant'!$E$7:$AD$91,MATCH($C967,'Gross Gen Plant'!$D$7:$D$91,0),MATCH(Calculation!$G967,'Gross Gen Plant'!$E$5:$AD$5,0))</f>
        <v>34698</v>
      </c>
      <c r="BY967" s="113">
        <f t="shared" si="1734"/>
        <v>1858030</v>
      </c>
      <c r="BZ967" s="113"/>
      <c r="CA967" s="116">
        <v>2012</v>
      </c>
      <c r="CB967" s="113"/>
      <c r="CC967" s="113"/>
      <c r="CD967" s="113"/>
      <c r="CE967" s="175"/>
      <c r="CF967" s="113">
        <f t="shared" si="1742"/>
        <v>153822</v>
      </c>
      <c r="CG967" s="113">
        <f t="shared" si="1743"/>
        <v>229.95598260518176</v>
      </c>
      <c r="CH967" s="178">
        <v>0.9135802469135802</v>
      </c>
      <c r="CI967" s="61">
        <f>+CI953*CH967+CG954*CH966+CG955*CH965+CG956*CH964+CG957*CH963+CG958*CH962+CG959*CH961+CG960*CH960+CG961*CH959+CG962*CH958+CG963*CH957+CG964*CH956+CG965*CH955+CG966*CH954+CG967</f>
        <v>7352.5438282308614</v>
      </c>
      <c r="CJ967" s="114">
        <f t="shared" si="1744"/>
        <v>2.4458533395960456E-2</v>
      </c>
      <c r="CK967" s="114"/>
      <c r="CL967" s="169">
        <f t="shared" si="1745"/>
        <v>7.2899963040565455E-3</v>
      </c>
      <c r="CM967" s="169">
        <f t="shared" si="1754"/>
        <v>7.0552968631242795E-3</v>
      </c>
      <c r="CN967" s="114">
        <f>VLOOKUP($H967,RoR!$E:$F,2,FALSE)</f>
        <v>3.6733333333333333E-2</v>
      </c>
      <c r="CO967" s="169">
        <v>1.924331376386168E-2</v>
      </c>
      <c r="CP967" s="169">
        <f t="shared" si="1751"/>
        <v>1.7490019569471653E-2</v>
      </c>
      <c r="CQ967" s="169">
        <f t="shared" si="1755"/>
        <v>2.3846644745409346E-2</v>
      </c>
      <c r="CR967" s="169">
        <f t="shared" si="1756"/>
        <v>6.7122682943869583E-2</v>
      </c>
      <c r="CS967" s="179">
        <f t="shared" si="1746"/>
        <v>0.87050000000000005</v>
      </c>
      <c r="CT967" s="180">
        <f t="shared" si="1747"/>
        <v>1.3960631020522127</v>
      </c>
      <c r="CU967" s="180">
        <f t="shared" si="1748"/>
        <v>0.29441923774954631</v>
      </c>
      <c r="CV967" s="180">
        <f t="shared" si="1749"/>
        <v>0.76377954189366437</v>
      </c>
      <c r="CW967" s="180">
        <f t="shared" si="1750"/>
        <v>0.31393465103033691</v>
      </c>
      <c r="CX967" s="181">
        <f>INDEX('State Tax Lookup'!$D$7:$Z$91,MATCH(Calculation!$C967,'State Tax Lookup'!$B$7:$B$91,0),MATCH($H967,'State Tax Lookup'!$D$6:$Z$6,0))</f>
        <v>0.35</v>
      </c>
      <c r="CY967" s="72">
        <v>0.37</v>
      </c>
      <c r="CZ967" s="70">
        <f t="shared" si="1753"/>
        <v>21.272821993949552</v>
      </c>
      <c r="DA967" s="70">
        <v>20.759737328210988</v>
      </c>
      <c r="DB967" s="69">
        <f t="shared" si="1757"/>
        <v>7.8039028565146898E-2</v>
      </c>
      <c r="DC967" s="111">
        <f>VLOOKUP($H967,RoR!$E:$F,2,FALSE)</f>
        <v>3.6733333333333333E-2</v>
      </c>
      <c r="DD967" s="216">
        <f>HLOOKUP($H967,'GDP-PI'!$D$8:$CQ$11,3,FALSE)</f>
        <v>1.924331376386168E-2</v>
      </c>
      <c r="DE967" s="111">
        <f>VLOOKUP(H967,'HW Dx Data'!$E:$F,2,FALSE)</f>
        <v>668.91932211262167</v>
      </c>
      <c r="DF967" s="72">
        <f t="shared" si="1767"/>
        <v>124.80000000000001</v>
      </c>
      <c r="DG967" s="69">
        <f t="shared" si="1768"/>
        <v>3.1955502161869064E-2</v>
      </c>
      <c r="DH967" s="66">
        <f>HLOOKUP(H967,'GDP-PI'!$8:$9,2,FALSE)</f>
        <v>100</v>
      </c>
      <c r="DI967" s="69">
        <f t="shared" si="1758"/>
        <v>1.9060502738742411E-2</v>
      </c>
      <c r="EB967"/>
    </row>
    <row r="968" spans="1:132" s="160" customFormat="1" ht="21">
      <c r="A968" s="160" t="s">
        <v>217</v>
      </c>
      <c r="B968" s="160" t="s">
        <v>217</v>
      </c>
      <c r="C968" s="160">
        <v>4062485</v>
      </c>
      <c r="D968" s="161" t="s">
        <v>146</v>
      </c>
      <c r="E968" s="161"/>
      <c r="F968" s="189"/>
      <c r="G968" s="160" t="s">
        <v>129</v>
      </c>
      <c r="H968" s="162">
        <v>2013</v>
      </c>
      <c r="I968" s="163"/>
      <c r="J968" s="159">
        <f>IFERROR(INDEX('Labor Expenditures'!$F$7:$X$91,MATCH($C968,'Labor Expenditures'!$D$7:$D$91,0),MATCH($G968,'Labor Expenditures'!$F$5:$X$5,0)),"NA")</f>
        <v>49499.123490012826</v>
      </c>
      <c r="K968" s="159">
        <f t="shared" si="1759"/>
        <v>390.37163635656805</v>
      </c>
      <c r="L968" s="165">
        <f t="shared" si="1765"/>
        <v>-1.5010778803487205E-2</v>
      </c>
      <c r="M968" s="76">
        <f t="shared" si="1769"/>
        <v>-3.7201941616672718E-4</v>
      </c>
      <c r="N968" s="62">
        <f t="shared" si="1775"/>
        <v>107.58783327840315</v>
      </c>
      <c r="O968" s="96">
        <f t="shared" si="1770"/>
        <v>-8.9128428987068534E-2</v>
      </c>
      <c r="P968" s="96"/>
      <c r="Q968" s="159">
        <f>IFERROR(INDEX('Non-Labor Expenditures'!$F$7:$AB$91,MATCH($C968,'Non-Labor Expenditures'!$D$7:$D$91,0),MATCH($G968,'Non-Labor Expenditures'!$F$5:$AB$5,0)),"NA")</f>
        <v>71683.975974533649</v>
      </c>
      <c r="R968" s="159">
        <f t="shared" si="1760"/>
        <v>704.35160577494673</v>
      </c>
      <c r="S968" s="165">
        <f t="shared" si="1771"/>
        <v>-1.6686849752199657E-2</v>
      </c>
      <c r="T968" s="165">
        <f t="shared" si="1772"/>
        <v>-4.1355829592486237E-4</v>
      </c>
      <c r="U968" s="165"/>
      <c r="V968" s="165"/>
      <c r="W968" s="159">
        <f t="shared" si="1740"/>
        <v>153696.32319128589</v>
      </c>
      <c r="X968" s="163"/>
      <c r="Y968" s="167">
        <v>7513.1737272469236</v>
      </c>
      <c r="Z968" s="168">
        <v>2.16116242464745E-2</v>
      </c>
      <c r="AA968" s="76">
        <f t="shared" si="1761"/>
        <v>5.3561137232402238E-4</v>
      </c>
      <c r="AB968" s="168"/>
      <c r="AC968" s="168"/>
      <c r="AD968" s="163">
        <f t="shared" si="1777"/>
        <v>274879.42265583237</v>
      </c>
      <c r="AE968" s="168">
        <f t="shared" si="1773"/>
        <v>4.2788153216834811E-3</v>
      </c>
      <c r="AF968" s="163"/>
      <c r="AG968" s="163"/>
      <c r="AH968" s="163"/>
      <c r="AI968" s="163"/>
      <c r="AJ968" s="116">
        <f t="shared" si="1774"/>
        <v>355.42378331081204</v>
      </c>
      <c r="AK968" s="114">
        <f>+AV968/$AX$18</f>
        <v>2.1517301314166706E-2</v>
      </c>
      <c r="AL968" s="115">
        <f t="shared" si="1762"/>
        <v>0.18007576926552657</v>
      </c>
      <c r="AM968" s="115">
        <f t="shared" si="1763"/>
        <v>0.26078334741079123</v>
      </c>
      <c r="AN968" s="115">
        <f t="shared" si="1764"/>
        <v>0.55914088332368217</v>
      </c>
      <c r="AO968" s="115">
        <f t="shared" si="1766"/>
        <v>5.0010493250903752E-3</v>
      </c>
      <c r="AP968" s="166">
        <f t="shared" si="1778"/>
        <v>121.84989728581188</v>
      </c>
      <c r="AQ968" s="168">
        <f t="shared" si="1779"/>
        <v>5.0010493250903579E-3</v>
      </c>
      <c r="AR968" s="69">
        <f>+AD968/$AF$18</f>
        <v>2.478348532324666E-2</v>
      </c>
      <c r="AS968" s="169">
        <f t="shared" si="1776"/>
        <v>1.2394343254920951E-4</v>
      </c>
      <c r="AT968" s="115"/>
      <c r="AU968" s="115"/>
      <c r="AV968" s="113">
        <f>IFERROR(INDEX('Total Customers'!$F$7:$AB$91,MATCH($C968,'Total Customers'!$D$7:$D$91,0),MATCH($G968,'Total Customers'!$F$5:$AB$5,0)),"NA")</f>
        <v>773385</v>
      </c>
      <c r="AW968" s="68">
        <f t="shared" si="1780"/>
        <v>1.2660867608213989E-2</v>
      </c>
      <c r="AX968" s="114"/>
      <c r="AY968" s="114"/>
      <c r="AZ968" s="116"/>
      <c r="BA968" s="116"/>
      <c r="BB968" s="166"/>
      <c r="BC968" s="166"/>
      <c r="BD968" s="166"/>
      <c r="BE968" s="166"/>
      <c r="BF968" s="166"/>
      <c r="BG968" s="166"/>
      <c r="BH968" s="166"/>
      <c r="BI968" s="113"/>
      <c r="BJ968" s="113"/>
      <c r="BK968" s="113">
        <f>INDEX('Dist. Plant Gas Additions'!$F$7:$AE$91,MATCH($C968,'Dist. Plant Gas Additions'!$D$7:$D$91,0),MATCH(Calculation!$G968,'Dist. Plant Gas Additions'!$F$5:$AE$5,0))</f>
        <v>128154</v>
      </c>
      <c r="BL968" s="113">
        <f>INDEX('Gen. Plant Additions'!$F$7:$AE$91,MATCH($C968,'Gen. Plant Additions'!$D$7:$D$91,0),MATCH(Calculation!$G968,'Gen. Plant Additions'!$F$5:$AE$5,0))</f>
        <v>15083</v>
      </c>
      <c r="BM968" s="231">
        <f t="shared" si="1741"/>
        <v>0.98789012444507673</v>
      </c>
      <c r="BN968" s="61">
        <f t="shared" si="1752"/>
        <v>14900.346747005093</v>
      </c>
      <c r="BO968" s="113">
        <f>INDEX('Dist Plant Depreciation'!$E$7:$AD$94,MATCH($C968,'Dist Plant Depreciation'!$D$7:$D$94,0),MATCH(Calculation!$G968,'Dist Plant Depreciation'!$E$5:$AD$5,0))</f>
        <v>1069057</v>
      </c>
      <c r="BP968" s="113">
        <f>INDEX('Gen. Plant Depreciation'!$E$7:$AD$94,MATCH($C968,'Gen. Plant Depreciation'!$D$7:$D$94,0),MATCH(Calculation!$G968,'Gen. Plant Depreciation'!$E$5:$AD$5,0))</f>
        <v>17238</v>
      </c>
      <c r="BQ968" s="113"/>
      <c r="BR968" s="113"/>
      <c r="BS968" s="113"/>
      <c r="BT968" s="113"/>
      <c r="BU968" s="113"/>
      <c r="BV968" s="175"/>
      <c r="BW968" s="113">
        <f>INDEX('Gross Dx Plant'!$E$7:$AD$91,MATCH($C968,'Gross Dx Plant'!$D$7:$D$91,0),MATCH(Calculation!$G968,'Gross Dx Plant'!$E$5:$AD$5,0))</f>
        <v>2958072</v>
      </c>
      <c r="BX968" s="113">
        <f>INDEX('Gross Gen Plant'!$E$7:$AD$91,MATCH($C968,'Gross Gen Plant'!$D$7:$D$91,0),MATCH(Calculation!$G968,'Gross Gen Plant'!$E$5:$AD$5,0))</f>
        <v>36261</v>
      </c>
      <c r="BY968" s="113">
        <f t="shared" si="1734"/>
        <v>1908038</v>
      </c>
      <c r="BZ968" s="113"/>
      <c r="CA968" s="116">
        <v>2013</v>
      </c>
      <c r="CB968" s="113"/>
      <c r="CC968" s="113"/>
      <c r="CD968" s="113"/>
      <c r="CE968" s="175"/>
      <c r="CF968" s="113">
        <f t="shared" si="1742"/>
        <v>143237</v>
      </c>
      <c r="CG968" s="113">
        <f t="shared" si="1743"/>
        <v>215.96282601624037</v>
      </c>
      <c r="CH968" s="178">
        <v>0.90566037735849059</v>
      </c>
      <c r="CI968" s="61">
        <f>+CI953*CH968+CG954*CH967+CG955*CH966+CG956*CH965+CG957*CH964+CG958*CH963+CG959*CH962+CG960*CH961+CG961*CH960+CG962*CH959+CG963*CH958+CG964*CH957+CG965*CH956+CG966*CH955+CG967*CH954+CG968</f>
        <v>7513.1737272469236</v>
      </c>
      <c r="CJ968" s="114">
        <f t="shared" si="1744"/>
        <v>2.16116242464745E-2</v>
      </c>
      <c r="CK968" s="114"/>
      <c r="CL968" s="169">
        <f t="shared" si="1745"/>
        <v>7.5256847552165078E-3</v>
      </c>
      <c r="CM968" s="169">
        <f t="shared" si="1754"/>
        <v>7.2875465624639051E-3</v>
      </c>
      <c r="CN968" s="114">
        <f>VLOOKUP($H968,RoR!$E:$F,2,FALSE)</f>
        <v>4.2350000000000006E-2</v>
      </c>
      <c r="CO968" s="169">
        <v>1.7730000000000024E-2</v>
      </c>
      <c r="CP968" s="169">
        <f t="shared" si="1751"/>
        <v>2.4619999999999982E-2</v>
      </c>
      <c r="CQ968" s="169">
        <f t="shared" si="1755"/>
        <v>2.3614395046069721E-2</v>
      </c>
      <c r="CR968" s="169">
        <f t="shared" si="1756"/>
        <v>5.3376742735721204E-2</v>
      </c>
      <c r="CS968" s="179">
        <f t="shared" si="1746"/>
        <v>0.87050000000000005</v>
      </c>
      <c r="CT968" s="180">
        <f t="shared" si="1747"/>
        <v>1.2109103018193925</v>
      </c>
      <c r="CU968" s="180">
        <f t="shared" si="1748"/>
        <v>0.38468122786304604</v>
      </c>
      <c r="CV968" s="180">
        <f t="shared" si="1749"/>
        <v>0.80969194503422559</v>
      </c>
      <c r="CW968" s="180">
        <f t="shared" si="1750"/>
        <v>0.37716621754800816</v>
      </c>
      <c r="CX968" s="181">
        <f>INDEX('State Tax Lookup'!$D$7:$Z$91,MATCH(Calculation!$C968,'State Tax Lookup'!$B$7:$B$91,0),MATCH($H968,'State Tax Lookup'!$D$6:$Z$6,0))</f>
        <v>0.35</v>
      </c>
      <c r="CY968" s="72">
        <v>0.37</v>
      </c>
      <c r="CZ968" s="70">
        <f t="shared" si="1753"/>
        <v>20.90382958359973</v>
      </c>
      <c r="DA968" s="70">
        <v>20.339519021246105</v>
      </c>
      <c r="DB968" s="69">
        <f t="shared" si="1757"/>
        <v>-1.7497919405861283E-2</v>
      </c>
      <c r="DC968" s="111">
        <f>VLOOKUP($H968,RoR!$E:$F,2,FALSE)</f>
        <v>4.2350000000000006E-2</v>
      </c>
      <c r="DD968" s="216">
        <f>HLOOKUP($H968,'GDP-PI'!$D$8:$CQ$11,3,FALSE)</f>
        <v>1.7730000000000024E-2</v>
      </c>
      <c r="DE968" s="111">
        <f>VLOOKUP(H968,'HW Dx Data'!$E:$F,2,FALSE)</f>
        <v>663.24840548821396</v>
      </c>
      <c r="DF968" s="72">
        <f t="shared" si="1767"/>
        <v>126.8</v>
      </c>
      <c r="DG968" s="69">
        <f t="shared" si="1768"/>
        <v>1.5898586067798204E-2</v>
      </c>
      <c r="DH968" s="66">
        <f>HLOOKUP(H968,'GDP-PI'!$8:$9,2,FALSE)</f>
        <v>101.773</v>
      </c>
      <c r="DI968" s="69">
        <f t="shared" si="1758"/>
        <v>1.7574657016510519E-2</v>
      </c>
      <c r="EB968"/>
    </row>
    <row r="969" spans="1:132" s="160" customFormat="1" ht="21">
      <c r="A969" s="160" t="s">
        <v>217</v>
      </c>
      <c r="B969" s="160" t="s">
        <v>217</v>
      </c>
      <c r="C969" s="160">
        <v>4062485</v>
      </c>
      <c r="D969" s="161" t="s">
        <v>146</v>
      </c>
      <c r="E969" s="161"/>
      <c r="F969" s="189"/>
      <c r="G969" s="160" t="s">
        <v>130</v>
      </c>
      <c r="H969" s="162">
        <v>2014</v>
      </c>
      <c r="I969" s="163"/>
      <c r="J969" s="159">
        <f>IFERROR(INDEX('Labor Expenditures'!$F$7:$X$91,MATCH($C969,'Labor Expenditures'!$D$7:$D$91,0),MATCH($G969,'Labor Expenditures'!$F$5:$X$5,0)),"NA")</f>
        <v>50041.924708629333</v>
      </c>
      <c r="K969" s="159">
        <f t="shared" si="1759"/>
        <v>386.72275663546623</v>
      </c>
      <c r="L969" s="165">
        <f t="shared" si="1765"/>
        <v>-9.3911539481976846E-3</v>
      </c>
      <c r="M969" s="76">
        <f t="shared" si="1769"/>
        <v>-2.3350657852912125E-4</v>
      </c>
      <c r="N969" s="62">
        <f t="shared" si="1775"/>
        <v>121.48386190377258</v>
      </c>
      <c r="O969" s="96">
        <f t="shared" si="1770"/>
        <v>0.1214738624078817</v>
      </c>
      <c r="P969" s="96"/>
      <c r="Q969" s="159">
        <f>IFERROR(INDEX('Non-Labor Expenditures'!$F$7:$AB$91,MATCH($C969,'Non-Labor Expenditures'!$D$7:$D$91,0),MATCH($G969,'Non-Labor Expenditures'!$F$5:$AB$5,0)),"NA")</f>
        <v>72470.05352037352</v>
      </c>
      <c r="R969" s="159">
        <f t="shared" si="1760"/>
        <v>699.20068617879451</v>
      </c>
      <c r="S969" s="165">
        <f t="shared" si="1771"/>
        <v>-7.3398657827787829E-3</v>
      </c>
      <c r="T969" s="165">
        <f t="shared" si="1772"/>
        <v>-1.8250227344303844E-4</v>
      </c>
      <c r="U969" s="165"/>
      <c r="V969" s="165"/>
      <c r="W969" s="159">
        <f t="shared" si="1740"/>
        <v>160564.20348736469</v>
      </c>
      <c r="X969" s="163"/>
      <c r="Y969" s="167">
        <v>7695.6252162546398</v>
      </c>
      <c r="Z969" s="168">
        <v>2.3994036994205187E-2</v>
      </c>
      <c r="AA969" s="76">
        <f t="shared" si="1761"/>
        <v>5.9660032350904819E-4</v>
      </c>
      <c r="AB969" s="168"/>
      <c r="AC969" s="168"/>
      <c r="AD969" s="163">
        <f t="shared" si="1777"/>
        <v>283076.18171636754</v>
      </c>
      <c r="AE969" s="168">
        <f t="shared" si="1773"/>
        <v>2.9383516317433595E-2</v>
      </c>
      <c r="AF969" s="163"/>
      <c r="AG969" s="163"/>
      <c r="AH969" s="163"/>
      <c r="AI969" s="163"/>
      <c r="AJ969" s="116">
        <f t="shared" si="1774"/>
        <v>362.16969764584928</v>
      </c>
      <c r="AK969" s="114">
        <f>+AV969/$AX$19</f>
        <v>2.1629989508951983E-2</v>
      </c>
      <c r="AL969" s="115">
        <f t="shared" si="1762"/>
        <v>0.17677900134589775</v>
      </c>
      <c r="AM969" s="115">
        <f t="shared" si="1763"/>
        <v>0.2560090117118578</v>
      </c>
      <c r="AN969" s="115">
        <f t="shared" si="1764"/>
        <v>0.56721198694224451</v>
      </c>
      <c r="AO969" s="115">
        <f t="shared" si="1766"/>
        <v>9.9406438981016632E-3</v>
      </c>
      <c r="AP969" s="166">
        <f t="shared" si="1778"/>
        <v>123.06720410641952</v>
      </c>
      <c r="AQ969" s="168">
        <f t="shared" si="1779"/>
        <v>9.9406438981016858E-3</v>
      </c>
      <c r="AR969" s="69">
        <f>+AD969/$AF$19</f>
        <v>2.4864524617226082E-2</v>
      </c>
      <c r="AS969" s="169">
        <f t="shared" si="1776"/>
        <v>2.4716938491542759E-4</v>
      </c>
      <c r="AT969" s="115"/>
      <c r="AU969" s="115"/>
      <c r="AV969" s="113">
        <f>IFERROR(INDEX('Total Customers'!$F$7:$AB$91,MATCH($C969,'Total Customers'!$D$7:$D$91,0),MATCH($G969,'Total Customers'!$F$5:$AB$5,0)),"NA")</f>
        <v>781612</v>
      </c>
      <c r="AW969" s="68">
        <f t="shared" si="1780"/>
        <v>1.0581469627154642E-2</v>
      </c>
      <c r="AX969" s="114"/>
      <c r="AY969" s="114"/>
      <c r="AZ969" s="116"/>
      <c r="BA969" s="116"/>
      <c r="BB969" s="166"/>
      <c r="BC969" s="166"/>
      <c r="BD969" s="166"/>
      <c r="BE969" s="166"/>
      <c r="BF969" s="166"/>
      <c r="BG969" s="166"/>
      <c r="BH969" s="166"/>
      <c r="BI969" s="113"/>
      <c r="BJ969" s="113"/>
      <c r="BK969" s="113">
        <f>INDEX('Dist. Plant Gas Additions'!$F$7:$AE$91,MATCH($C969,'Dist. Plant Gas Additions'!$D$7:$D$91,0),MATCH(Calculation!$G969,'Dist. Plant Gas Additions'!$F$5:$AE$5,0))</f>
        <v>164006</v>
      </c>
      <c r="BL969" s="113">
        <f>INDEX('Gen. Plant Additions'!$F$7:$AE$91,MATCH($C969,'Gen. Plant Additions'!$D$7:$D$91,0),MATCH(Calculation!$G969,'Gen. Plant Additions'!$F$5:$AE$5,0))</f>
        <v>870</v>
      </c>
      <c r="BM969" s="231">
        <f t="shared" si="1741"/>
        <v>0.98962180825437607</v>
      </c>
      <c r="BN969" s="61">
        <f t="shared" si="1752"/>
        <v>860.97097318130716</v>
      </c>
      <c r="BO969" s="113">
        <f>INDEX('Dist Plant Depreciation'!$E$7:$AD$94,MATCH($C969,'Dist Plant Depreciation'!$D$7:$D$94,0),MATCH(Calculation!$G969,'Dist Plant Depreciation'!$E$5:$AD$5,0))</f>
        <v>1150266</v>
      </c>
      <c r="BP969" s="113">
        <f>INDEX('Gen. Plant Depreciation'!$E$7:$AD$94,MATCH($C969,'Gen. Plant Depreciation'!$D$7:$D$94,0),MATCH(Calculation!$G969,'Gen. Plant Depreciation'!$E$5:$AD$5,0))</f>
        <v>14420</v>
      </c>
      <c r="BQ969" s="113"/>
      <c r="BR969" s="113"/>
      <c r="BS969" s="113"/>
      <c r="BT969" s="113"/>
      <c r="BU969" s="113"/>
      <c r="BV969" s="175"/>
      <c r="BW969" s="113">
        <f>INDEX('Gross Dx Plant'!$E$7:$AD$91,MATCH($C969,'Gross Dx Plant'!$D$7:$D$91,0),MATCH(Calculation!$G969,'Gross Dx Plant'!$E$5:$AD$5,0))</f>
        <v>3105837</v>
      </c>
      <c r="BX969" s="113">
        <f>INDEX('Gross Gen Plant'!$E$7:$AD$91,MATCH($C969,'Gross Gen Plant'!$D$7:$D$91,0),MATCH(Calculation!$G969,'Gross Gen Plant'!$E$5:$AD$5,0))</f>
        <v>32571</v>
      </c>
      <c r="BY969" s="113">
        <f t="shared" si="1734"/>
        <v>1973722</v>
      </c>
      <c r="BZ969" s="113"/>
      <c r="CA969" s="116">
        <v>2014</v>
      </c>
      <c r="CB969" s="113"/>
      <c r="CC969" s="113"/>
      <c r="CD969" s="113"/>
      <c r="CE969" s="175"/>
      <c r="CF969" s="113">
        <f t="shared" si="1742"/>
        <v>164876</v>
      </c>
      <c r="CG969" s="113">
        <f t="shared" si="1743"/>
        <v>240.88156744858392</v>
      </c>
      <c r="CH969" s="178">
        <v>0.89743589743589747</v>
      </c>
      <c r="CI969" s="61">
        <f>+CI953*CH969+CG954*CH968+CG955*CH967+CG956*CH966+CG957*CH965+CG958*CH964+CG959*CH963+CG960*CH962+CG961*CH961+CG962*CH960+CG963*CH959+CG964*CH958+CG965*CH957+CG966*CH956+CG967*CH955+CG968*CH954+CG969</f>
        <v>7695.6252162546398</v>
      </c>
      <c r="CJ969" s="114">
        <f t="shared" si="1744"/>
        <v>2.3994036994205187E-2</v>
      </c>
      <c r="CK969" s="114"/>
      <c r="CL969" s="169">
        <f t="shared" si="1745"/>
        <v>7.7770168189999316E-3</v>
      </c>
      <c r="CM969" s="169">
        <f t="shared" si="1754"/>
        <v>7.5308992927576616E-3</v>
      </c>
      <c r="CN969" s="114">
        <f>VLOOKUP($H969,RoR!$E:$F,2,FALSE)</f>
        <v>4.1625000000000002E-2</v>
      </c>
      <c r="CO969" s="169">
        <v>1.841352814597208E-2</v>
      </c>
      <c r="CP969" s="169">
        <f t="shared" si="1751"/>
        <v>2.3211471854027922E-2</v>
      </c>
      <c r="CQ969" s="169">
        <f t="shared" si="1755"/>
        <v>2.3371042315775963E-2</v>
      </c>
      <c r="CR969" s="169">
        <f t="shared" si="1756"/>
        <v>3.9072621432650924E-2</v>
      </c>
      <c r="CS969" s="179">
        <f t="shared" si="1746"/>
        <v>0.87050000000000005</v>
      </c>
      <c r="CT969" s="180">
        <f t="shared" si="1747"/>
        <v>1.2320012320012319</v>
      </c>
      <c r="CU969" s="180">
        <f t="shared" si="1748"/>
        <v>0.37439939939939942</v>
      </c>
      <c r="CV969" s="180">
        <f t="shared" si="1749"/>
        <v>0.80432100613819935</v>
      </c>
      <c r="CW969" s="180">
        <f t="shared" si="1750"/>
        <v>0.37100152660040037</v>
      </c>
      <c r="CX969" s="181">
        <f>INDEX('State Tax Lookup'!$D$7:$Z$91,MATCH(Calculation!$C969,'State Tax Lookup'!$B$7:$B$91,0),MATCH($H969,'State Tax Lookup'!$D$6:$Z$6,0))</f>
        <v>0.35</v>
      </c>
      <c r="CY969" s="72">
        <v>0.37</v>
      </c>
      <c r="CZ969" s="70">
        <f t="shared" si="1753"/>
        <v>21.371022329095105</v>
      </c>
      <c r="DA969" s="70">
        <v>20.763592984765573</v>
      </c>
      <c r="DB969" s="69">
        <f t="shared" si="1757"/>
        <v>2.2103531788474087E-2</v>
      </c>
      <c r="DC969" s="111">
        <f>VLOOKUP($H969,RoR!$E:$F,2,FALSE)</f>
        <v>4.1625000000000002E-2</v>
      </c>
      <c r="DD969" s="216">
        <f>HLOOKUP($H969,'GDP-PI'!$D$8:$CQ$11,3,FALSE)</f>
        <v>1.841352814597208E-2</v>
      </c>
      <c r="DE969" s="111">
        <f>VLOOKUP(H969,'HW Dx Data'!$E:$F,2,FALSE)</f>
        <v>684.46914285042885</v>
      </c>
      <c r="DF969" s="72">
        <f t="shared" si="1767"/>
        <v>129.4</v>
      </c>
      <c r="DG969" s="69">
        <f t="shared" si="1768"/>
        <v>2.0297340063674733E-2</v>
      </c>
      <c r="DH969" s="66">
        <f>HLOOKUP(H969,'GDP-PI'!$8:$9,2,FALSE)</f>
        <v>103.64700000000001</v>
      </c>
      <c r="DI969" s="69">
        <f t="shared" si="1758"/>
        <v>1.8246051898256087E-2</v>
      </c>
      <c r="EB969"/>
    </row>
    <row r="970" spans="1:132" s="160" customFormat="1" ht="21">
      <c r="A970" s="160" t="s">
        <v>217</v>
      </c>
      <c r="B970" s="160" t="s">
        <v>217</v>
      </c>
      <c r="C970" s="160">
        <v>4062485</v>
      </c>
      <c r="D970" s="161" t="s">
        <v>146</v>
      </c>
      <c r="E970" s="161"/>
      <c r="F970" s="189"/>
      <c r="G970" s="160" t="s">
        <v>132</v>
      </c>
      <c r="H970" s="162">
        <v>2015</v>
      </c>
      <c r="I970" s="163"/>
      <c r="J970" s="159">
        <f>IFERROR(INDEX('Labor Expenditures'!$F$7:$X$91,MATCH($C970,'Labor Expenditures'!$D$7:$D$91,0),MATCH($G970,'Labor Expenditures'!$F$5:$X$5,0)),"NA")</f>
        <v>47658.008707612207</v>
      </c>
      <c r="K970" s="159">
        <f t="shared" si="1759"/>
        <v>356.9888292705034</v>
      </c>
      <c r="L970" s="165">
        <f t="shared" si="1765"/>
        <v>-8.0003554444949374E-2</v>
      </c>
      <c r="M970" s="76">
        <f t="shared" si="1769"/>
        <v>-1.9320472806436193E-3</v>
      </c>
      <c r="N970" s="62">
        <f t="shared" si="1775"/>
        <v>121.08473033106834</v>
      </c>
      <c r="O970" s="96">
        <f t="shared" si="1770"/>
        <v>-3.2908789158502369E-3</v>
      </c>
      <c r="P970" s="96"/>
      <c r="Q970" s="159">
        <f>IFERROR(INDEX('Non-Labor Expenditures'!$F$7:$AB$91,MATCH($C970,'Non-Labor Expenditures'!$D$7:$D$91,0),MATCH($G970,'Non-Labor Expenditures'!$F$5:$AB$5,0)),"NA")</f>
        <v>69017.69789680987</v>
      </c>
      <c r="R970" s="159">
        <f t="shared" si="1760"/>
        <v>659.57910431875189</v>
      </c>
      <c r="S970" s="165">
        <f t="shared" si="1771"/>
        <v>-5.8335894856887754E-2</v>
      </c>
      <c r="T970" s="165">
        <f t="shared" si="1772"/>
        <v>-1.4087837447236985E-3</v>
      </c>
      <c r="U970" s="165"/>
      <c r="V970" s="165"/>
      <c r="W970" s="159">
        <f t="shared" si="1740"/>
        <v>160978.96328534323</v>
      </c>
      <c r="X970" s="163"/>
      <c r="Y970" s="167">
        <v>7857.4020870625409</v>
      </c>
      <c r="Z970" s="168">
        <v>2.0804014865789682E-2</v>
      </c>
      <c r="AA970" s="76">
        <f t="shared" si="1761"/>
        <v>5.0240693212669945E-4</v>
      </c>
      <c r="AB970" s="168"/>
      <c r="AC970" s="168"/>
      <c r="AD970" s="163">
        <f t="shared" si="1777"/>
        <v>277654.66988976533</v>
      </c>
      <c r="AE970" s="168">
        <f t="shared" si="1773"/>
        <v>-1.9337907875041044E-2</v>
      </c>
      <c r="AF970" s="163"/>
      <c r="AG970" s="163"/>
      <c r="AH970" s="163"/>
      <c r="AI970" s="163"/>
      <c r="AJ970" s="116">
        <f t="shared" si="1774"/>
        <v>349.24544616222039</v>
      </c>
      <c r="AK970" s="114">
        <f>+AV970/$AX$20</f>
        <v>2.1821947458660302E-2</v>
      </c>
      <c r="AL970" s="115">
        <f t="shared" si="1762"/>
        <v>0.17164490237651478</v>
      </c>
      <c r="AM970" s="115">
        <f t="shared" si="1763"/>
        <v>0.2485738774867764</v>
      </c>
      <c r="AN970" s="115">
        <f t="shared" si="1764"/>
        <v>0.57978122013670874</v>
      </c>
      <c r="AO970" s="115">
        <f t="shared" si="1766"/>
        <v>-1.6724190695611832E-2</v>
      </c>
      <c r="AP970" s="166">
        <f t="shared" si="1778"/>
        <v>121.02612003002801</v>
      </c>
      <c r="AQ970" s="168">
        <f t="shared" si="1779"/>
        <v>-1.6724190695611846E-2</v>
      </c>
      <c r="AR970" s="69">
        <f>+AD970/$AF$20</f>
        <v>2.4149518031390284E-2</v>
      </c>
      <c r="AS970" s="169">
        <f t="shared" si="1776"/>
        <v>-4.038811447640879E-4</v>
      </c>
      <c r="AT970" s="115"/>
      <c r="AU970" s="115"/>
      <c r="AV970" s="113">
        <f>IFERROR(INDEX('Total Customers'!$F$7:$AB$91,MATCH($C970,'Total Customers'!$D$7:$D$91,0),MATCH($G970,'Total Customers'!$F$5:$AB$5,0)),"NA")</f>
        <v>795013</v>
      </c>
      <c r="AW970" s="68">
        <f t="shared" si="1780"/>
        <v>1.7000012989377547E-2</v>
      </c>
      <c r="AX970" s="114"/>
      <c r="AY970" s="114"/>
      <c r="AZ970" s="116"/>
      <c r="BA970" s="116"/>
      <c r="BB970" s="166"/>
      <c r="BC970" s="166"/>
      <c r="BD970" s="166"/>
      <c r="BE970" s="166"/>
      <c r="BF970" s="166"/>
      <c r="BG970" s="166"/>
      <c r="BH970" s="166"/>
      <c r="BI970" s="113"/>
      <c r="BJ970" s="113"/>
      <c r="BK970" s="113">
        <f>INDEX('Dist. Plant Gas Additions'!$F$7:$AE$91,MATCH($C970,'Dist. Plant Gas Additions'!$D$7:$D$91,0),MATCH(Calculation!$G970,'Dist. Plant Gas Additions'!$F$5:$AE$5,0))</f>
        <v>150535</v>
      </c>
      <c r="BL970" s="113">
        <f>INDEX('Gen. Plant Additions'!$F$7:$AE$91,MATCH($C970,'Gen. Plant Additions'!$D$7:$D$91,0),MATCH(Calculation!$G970,'Gen. Plant Additions'!$F$5:$AE$5,0))</f>
        <v>515</v>
      </c>
      <c r="BM970" s="231">
        <f t="shared" si="1741"/>
        <v>0.98995524371054744</v>
      </c>
      <c r="BN970" s="61">
        <f t="shared" si="1752"/>
        <v>509.82695051093191</v>
      </c>
      <c r="BO970" s="113">
        <f>INDEX('Dist Plant Depreciation'!$E$7:$AD$94,MATCH($C970,'Dist Plant Depreciation'!$D$7:$D$94,0),MATCH(Calculation!$G970,'Dist Plant Depreciation'!$E$5:$AD$5,0))</f>
        <v>1226432</v>
      </c>
      <c r="BP970" s="113">
        <f>INDEX('Gen. Plant Depreciation'!$E$7:$AD$94,MATCH($C970,'Gen. Plant Depreciation'!$D$7:$D$94,0),MATCH(Calculation!$G970,'Gen. Plant Depreciation'!$E$5:$AD$5,0))</f>
        <v>15623</v>
      </c>
      <c r="BQ970" s="113"/>
      <c r="BR970" s="113"/>
      <c r="BS970" s="113"/>
      <c r="BT970" s="113"/>
      <c r="BU970" s="113"/>
      <c r="BV970" s="175"/>
      <c r="BW970" s="113">
        <f>INDEX('Gross Dx Plant'!$E$7:$AD$91,MATCH($C970,'Gross Dx Plant'!$D$7:$D$91,0),MATCH(Calculation!$G970,'Gross Dx Plant'!$E$5:$AD$5,0))</f>
        <v>3233768</v>
      </c>
      <c r="BX970" s="113">
        <f>INDEX('Gross Gen Plant'!$E$7:$AD$91,MATCH($C970,'Gross Gen Plant'!$D$7:$D$91,0),MATCH(Calculation!$G970,'Gross Gen Plant'!$E$5:$AD$5,0))</f>
        <v>32812</v>
      </c>
      <c r="BY970" s="113">
        <f t="shared" si="1734"/>
        <v>2024525</v>
      </c>
      <c r="BZ970" s="113"/>
      <c r="CA970" s="116">
        <v>2015</v>
      </c>
      <c r="CB970" s="113"/>
      <c r="CC970" s="113"/>
      <c r="CD970" s="113"/>
      <c r="CE970" s="175"/>
      <c r="CF970" s="113">
        <f t="shared" si="1742"/>
        <v>151050</v>
      </c>
      <c r="CG970" s="113">
        <f t="shared" si="1743"/>
        <v>223.57419837090112</v>
      </c>
      <c r="CH970" s="178">
        <v>0.88888888888888884</v>
      </c>
      <c r="CI970" s="61">
        <f>+CI953*CH970+CG954*CH969+CG955*CH968+CG956*CH967+CG957*CH966+CG958*CH965+CG959*CH964+CG960*CH963+CG961*CH962+CG962*CH961+CG963*CH960+CG964*CH959+CG965*CH958+CG966*CH957+CG967*CH956+CG968*CH955+CG969*CH954+CG970</f>
        <v>7857.4020870625409</v>
      </c>
      <c r="CJ970" s="114">
        <f t="shared" si="1744"/>
        <v>2.0804014865789682E-2</v>
      </c>
      <c r="CK970" s="114"/>
      <c r="CL970" s="169">
        <f t="shared" si="1745"/>
        <v>8.0301893382843242E-3</v>
      </c>
      <c r="CM970" s="169">
        <f t="shared" si="1754"/>
        <v>7.7776303041669215E-3</v>
      </c>
      <c r="CN970" s="114">
        <f>VLOOKUP($H970,RoR!$E:$F,2,FALSE)</f>
        <v>3.8866666666666674E-2</v>
      </c>
      <c r="CO970" s="169">
        <v>9.5709475431029478E-3</v>
      </c>
      <c r="CP970" s="169">
        <f t="shared" si="1751"/>
        <v>2.9295719123563727E-2</v>
      </c>
      <c r="CQ970" s="169">
        <f t="shared" si="1755"/>
        <v>2.3124311304366704E-2</v>
      </c>
      <c r="CR970" s="169">
        <f t="shared" si="1756"/>
        <v>3.5270373279175926E-3</v>
      </c>
      <c r="CS970" s="179">
        <f t="shared" si="1746"/>
        <v>0.87050000000000005</v>
      </c>
      <c r="CT970" s="180">
        <f t="shared" si="1747"/>
        <v>1.3194352816994324</v>
      </c>
      <c r="CU970" s="180">
        <f t="shared" si="1748"/>
        <v>0.33177530017152673</v>
      </c>
      <c r="CV970" s="180">
        <f t="shared" si="1749"/>
        <v>0.78242572977668579</v>
      </c>
      <c r="CW970" s="180">
        <f t="shared" si="1750"/>
        <v>0.34251158643433932</v>
      </c>
      <c r="CX970" s="181">
        <f>INDEX('State Tax Lookup'!$D$7:$Z$91,MATCH(Calculation!$C970,'State Tax Lookup'!$B$7:$B$91,0),MATCH($H970,'State Tax Lookup'!$D$6:$Z$6,0))</f>
        <v>0.35</v>
      </c>
      <c r="CY970" s="72">
        <v>0.37</v>
      </c>
      <c r="CZ970" s="70">
        <f t="shared" si="1753"/>
        <v>20.918243646445347</v>
      </c>
      <c r="DA970" s="70">
        <v>20.279488671080099</v>
      </c>
      <c r="DB970" s="69">
        <f t="shared" si="1757"/>
        <v>-2.1414227681666318E-2</v>
      </c>
      <c r="DC970" s="111">
        <f>VLOOKUP($H970,RoR!$E:$F,2,FALSE)</f>
        <v>3.8866666666666674E-2</v>
      </c>
      <c r="DD970" s="216">
        <f>HLOOKUP($H970,'GDP-PI'!$D$8:$CQ$11,3,FALSE)</f>
        <v>9.5709475431029478E-3</v>
      </c>
      <c r="DE970" s="111">
        <f>VLOOKUP(H970,'HW Dx Data'!$E:$F,2,FALSE)</f>
        <v>675.61463308665782</v>
      </c>
      <c r="DF970" s="72">
        <f t="shared" si="1767"/>
        <v>133.5</v>
      </c>
      <c r="DG970" s="69">
        <f t="shared" si="1768"/>
        <v>3.1193095773504077E-2</v>
      </c>
      <c r="DH970" s="66">
        <f>HLOOKUP(H970,'GDP-PI'!$8:$9,2,FALSE)</f>
        <v>104.639</v>
      </c>
      <c r="DI970" s="69">
        <f t="shared" si="1758"/>
        <v>9.5254361854427965E-3</v>
      </c>
      <c r="EB970"/>
    </row>
    <row r="971" spans="1:132" s="160" customFormat="1" ht="21">
      <c r="A971" s="160" t="s">
        <v>217</v>
      </c>
      <c r="B971" s="160" t="s">
        <v>217</v>
      </c>
      <c r="C971" s="160">
        <v>4062485</v>
      </c>
      <c r="D971" s="161" t="s">
        <v>146</v>
      </c>
      <c r="E971" s="161"/>
      <c r="F971" s="189"/>
      <c r="G971" s="160" t="s">
        <v>133</v>
      </c>
      <c r="H971" s="162">
        <v>2016</v>
      </c>
      <c r="I971" s="163"/>
      <c r="J971" s="159">
        <f>IFERROR(INDEX('Labor Expenditures'!$F$7:$X$91,MATCH($C971,'Labor Expenditures'!$D$7:$D$91,0),MATCH($G971,'Labor Expenditures'!$F$5:$X$5,0)),"NA")</f>
        <v>52118.769135927461</v>
      </c>
      <c r="K971" s="159">
        <f t="shared" si="1759"/>
        <v>380.56786517654228</v>
      </c>
      <c r="L971" s="165">
        <f t="shared" si="1765"/>
        <v>6.3960028555014078E-2</v>
      </c>
      <c r="M971" s="76">
        <f t="shared" si="1769"/>
        <v>1.5541968338581955E-3</v>
      </c>
      <c r="N971" s="62">
        <f t="shared" si="1775"/>
        <v>299.9428538752187</v>
      </c>
      <c r="O971" s="96">
        <f t="shared" si="1770"/>
        <v>0.90710141822300505</v>
      </c>
      <c r="P971" s="96"/>
      <c r="Q971" s="159">
        <f>IFERROR(INDEX('Non-Labor Expenditures'!$F$7:$AB$91,MATCH($C971,'Non-Labor Expenditures'!$D$7:$D$91,0),MATCH($G971,'Non-Labor Expenditures'!$F$5:$AB$5,0)),"NA")</f>
        <v>75477.712152133361</v>
      </c>
      <c r="R971" s="159">
        <f t="shared" si="1760"/>
        <v>713.8317332992865</v>
      </c>
      <c r="S971" s="165">
        <f t="shared" si="1771"/>
        <v>7.904535605659159E-2</v>
      </c>
      <c r="T971" s="165">
        <f t="shared" si="1772"/>
        <v>1.9207627777820546E-3</v>
      </c>
      <c r="U971" s="165"/>
      <c r="V971" s="165"/>
      <c r="W971" s="159">
        <f t="shared" si="1740"/>
        <v>161512.74949213408</v>
      </c>
      <c r="X971" s="163"/>
      <c r="Y971" s="167">
        <v>8087.0091816551585</v>
      </c>
      <c r="Z971" s="168">
        <v>2.8802940941124282E-2</v>
      </c>
      <c r="AA971" s="76">
        <f t="shared" si="1761"/>
        <v>6.9989711743164329E-4</v>
      </c>
      <c r="AB971" s="168"/>
      <c r="AC971" s="168"/>
      <c r="AD971" s="163">
        <f t="shared" si="1777"/>
        <v>289109.23078019492</v>
      </c>
      <c r="AE971" s="168">
        <f t="shared" si="1773"/>
        <v>4.0426430994019859E-2</v>
      </c>
      <c r="AF971" s="163"/>
      <c r="AG971" s="163"/>
      <c r="AH971" s="163"/>
      <c r="AI971" s="163"/>
      <c r="AJ971" s="116">
        <f t="shared" si="1774"/>
        <v>357.99188046869921</v>
      </c>
      <c r="AK971" s="114">
        <f>+AV971/$AX$21</f>
        <v>2.1975503582727696E-2</v>
      </c>
      <c r="AL971" s="115">
        <f t="shared" si="1762"/>
        <v>0.18027362528439128</v>
      </c>
      <c r="AM971" s="115">
        <f t="shared" si="1763"/>
        <v>0.26106987988051428</v>
      </c>
      <c r="AN971" s="115">
        <f t="shared" si="1764"/>
        <v>0.55865649483509439</v>
      </c>
      <c r="AO971" s="115">
        <f t="shared" si="1766"/>
        <v>4.7792022805414031E-2</v>
      </c>
      <c r="AP971" s="166">
        <f t="shared" si="1778"/>
        <v>126.95064807785981</v>
      </c>
      <c r="AQ971" s="168">
        <f t="shared" si="1779"/>
        <v>4.7792022805414044E-2</v>
      </c>
      <c r="AR971" s="69">
        <f>+AD971/$AF$21</f>
        <v>2.4299501875947111E-2</v>
      </c>
      <c r="AS971" s="169">
        <f t="shared" si="1776"/>
        <v>1.1613223478154657E-3</v>
      </c>
      <c r="AT971" s="115"/>
      <c r="AU971" s="115"/>
      <c r="AV971" s="113">
        <f>IFERROR(INDEX('Total Customers'!$F$7:$AB$91,MATCH($C971,'Total Customers'!$D$7:$D$91,0),MATCH($G971,'Total Customers'!$F$5:$AB$5,0)),"NA")</f>
        <v>807586</v>
      </c>
      <c r="AW971" s="68">
        <f t="shared" si="1780"/>
        <v>1.5691084252017977E-2</v>
      </c>
      <c r="AX971" s="114"/>
      <c r="AY971" s="114"/>
      <c r="AZ971" s="116"/>
      <c r="BA971" s="116"/>
      <c r="BB971" s="166"/>
      <c r="BC971" s="166"/>
      <c r="BD971" s="166"/>
      <c r="BE971" s="166"/>
      <c r="BF971" s="166"/>
      <c r="BG971" s="166"/>
      <c r="BH971" s="166"/>
      <c r="BI971" s="113"/>
      <c r="BJ971" s="113"/>
      <c r="BK971" s="113">
        <f>INDEX('Dist. Plant Gas Additions'!$F$7:$AE$91,MATCH($C971,'Dist. Plant Gas Additions'!$D$7:$D$91,0),MATCH(Calculation!$G971,'Dist. Plant Gas Additions'!$F$5:$AE$5,0))</f>
        <v>196495</v>
      </c>
      <c r="BL971" s="113">
        <f>INDEX('Gen. Plant Additions'!$F$7:$AE$91,MATCH($C971,'Gen. Plant Additions'!$D$7:$D$91,0),MATCH(Calculation!$G971,'Gen. Plant Additions'!$F$5:$AE$5,0))</f>
        <v>1481</v>
      </c>
      <c r="BM971" s="231">
        <f t="shared" si="1741"/>
        <v>0.99002428888945537</v>
      </c>
      <c r="BN971" s="61">
        <f t="shared" si="1752"/>
        <v>1466.2259718452833</v>
      </c>
      <c r="BO971" s="113">
        <f>INDEX('Dist Plant Depreciation'!$E$7:$AD$94,MATCH($C971,'Dist Plant Depreciation'!$D$7:$D$94,0),MATCH(Calculation!$G971,'Dist Plant Depreciation'!$E$5:$AD$5,0))</f>
        <v>1311631</v>
      </c>
      <c r="BP971" s="113">
        <f>INDEX('Gen. Plant Depreciation'!$E$7:$AD$94,MATCH($C971,'Gen. Plant Depreciation'!$D$7:$D$94,0),MATCH(Calculation!$G971,'Gen. Plant Depreciation'!$E$5:$AD$5,0))</f>
        <v>17253</v>
      </c>
      <c r="BQ971" s="113"/>
      <c r="BR971" s="113"/>
      <c r="BS971" s="113"/>
      <c r="BT971" s="113"/>
      <c r="BU971" s="113"/>
      <c r="BV971" s="175"/>
      <c r="BW971" s="113">
        <f>INDEX('Gross Dx Plant'!$E$7:$AD$91,MATCH($C971,'Gross Dx Plant'!$D$7:$D$91,0),MATCH(Calculation!$G971,'Gross Dx Plant'!$E$5:$AD$5,0))</f>
        <v>3417350</v>
      </c>
      <c r="BX971" s="113">
        <f>INDEX('Gross Gen Plant'!$E$7:$AD$91,MATCH($C971,'Gross Gen Plant'!$D$7:$D$91,0),MATCH(Calculation!$G971,'Gross Gen Plant'!$E$5:$AD$5,0))</f>
        <v>34434</v>
      </c>
      <c r="BY971" s="113">
        <f t="shared" si="1734"/>
        <v>2122900</v>
      </c>
      <c r="BZ971" s="113"/>
      <c r="CA971" s="116">
        <v>2016</v>
      </c>
      <c r="CB971" s="113"/>
      <c r="CC971" s="113"/>
      <c r="CD971" s="113"/>
      <c r="CE971" s="175"/>
      <c r="CF971" s="113">
        <f t="shared" si="1742"/>
        <v>197976</v>
      </c>
      <c r="CG971" s="113">
        <f t="shared" si="1743"/>
        <v>294.84565462543389</v>
      </c>
      <c r="CH971" s="178">
        <v>0.88</v>
      </c>
      <c r="CI971" s="61">
        <f>+CI953*CH971+CG954*CH970+CG955*CH969+CG956*CH968+CG957*CH967+CG958*CH966+CG959*CH965+CG960*CH964+CG961*CH963+CG962*CH962+CG963*CH961+CG964*CH960+CG965*CH959+CG966*CH958+CG967*CH957+CG968*CH956+CG969*CH955+CG970*CH954+CG971</f>
        <v>8087.0091816551585</v>
      </c>
      <c r="CJ971" s="114">
        <f t="shared" si="1744"/>
        <v>2.8802940941124282E-2</v>
      </c>
      <c r="CK971" s="114"/>
      <c r="CL971" s="169">
        <f t="shared" si="1745"/>
        <v>8.302815524769136E-3</v>
      </c>
      <c r="CM971" s="169">
        <f t="shared" si="1754"/>
        <v>8.0366738940177967E-3</v>
      </c>
      <c r="CN971" s="114">
        <f>VLOOKUP($H971,RoR!$E:$F,2,FALSE)</f>
        <v>3.6658333333333334E-2</v>
      </c>
      <c r="CO971" s="169">
        <v>1.0483662879041455E-2</v>
      </c>
      <c r="CP971" s="169">
        <f t="shared" si="1751"/>
        <v>2.6174670454291879E-2</v>
      </c>
      <c r="CQ971" s="169">
        <f t="shared" si="1755"/>
        <v>2.286526771451583E-2</v>
      </c>
      <c r="CR971" s="169">
        <f t="shared" si="1756"/>
        <v>4.301363574220729E-3</v>
      </c>
      <c r="CS971" s="179">
        <f t="shared" si="1746"/>
        <v>0.87050000000000005</v>
      </c>
      <c r="CT971" s="180">
        <f t="shared" si="1747"/>
        <v>1.3989193348138562</v>
      </c>
      <c r="CU971" s="180">
        <f t="shared" si="1748"/>
        <v>0.29302682427824522</v>
      </c>
      <c r="CV971" s="180">
        <f t="shared" si="1749"/>
        <v>0.76309497491941802</v>
      </c>
      <c r="CW971" s="180">
        <f t="shared" si="1750"/>
        <v>0.31280857135128509</v>
      </c>
      <c r="CX971" s="181">
        <f>INDEX('State Tax Lookup'!$D$7:$Z$91,MATCH(Calculation!$C971,'State Tax Lookup'!$B$7:$B$91,0),MATCH($H971,'State Tax Lookup'!$D$6:$Z$6,0))</f>
        <v>0.35</v>
      </c>
      <c r="CY971" s="72">
        <v>0.37</v>
      </c>
      <c r="CZ971" s="70">
        <f t="shared" si="1753"/>
        <v>20.555489931980176</v>
      </c>
      <c r="DA971" s="70">
        <v>19.909765876209278</v>
      </c>
      <c r="DB971" s="69">
        <f t="shared" si="1757"/>
        <v>-1.7493624718646648E-2</v>
      </c>
      <c r="DC971" s="111">
        <f>VLOOKUP($H971,RoR!$E:$F,2,FALSE)</f>
        <v>3.6658333333333334E-2</v>
      </c>
      <c r="DD971" s="216">
        <f>HLOOKUP($H971,'GDP-PI'!$D$8:$CQ$11,3,FALSE)</f>
        <v>1.0483662879041455E-2</v>
      </c>
      <c r="DE971" s="111">
        <f>VLOOKUP(H971,'HW Dx Data'!$E:$F,2,FALSE)</f>
        <v>671.45639385971219</v>
      </c>
      <c r="DF971" s="72">
        <f t="shared" si="1767"/>
        <v>136.94999999999999</v>
      </c>
      <c r="DG971" s="69">
        <f t="shared" si="1768"/>
        <v>2.5514417868782811E-2</v>
      </c>
      <c r="DH971" s="66">
        <f>HLOOKUP(H971,'GDP-PI'!$8:$9,2,FALSE)</f>
        <v>105.736</v>
      </c>
      <c r="DI971" s="69">
        <f t="shared" si="1758"/>
        <v>1.0429090367205095E-2</v>
      </c>
      <c r="EB971"/>
    </row>
    <row r="972" spans="1:132" s="160" customFormat="1" ht="21">
      <c r="A972" s="160" t="s">
        <v>217</v>
      </c>
      <c r="B972" s="160" t="s">
        <v>217</v>
      </c>
      <c r="C972" s="160">
        <v>4062485</v>
      </c>
      <c r="D972" s="161" t="s">
        <v>146</v>
      </c>
      <c r="E972" s="161"/>
      <c r="F972" s="189"/>
      <c r="G972" s="160" t="s">
        <v>135</v>
      </c>
      <c r="H972" s="162">
        <v>2017</v>
      </c>
      <c r="I972" s="163"/>
      <c r="J972" s="159">
        <f>IFERROR(INDEX('Labor Expenditures'!$F$7:$X$91,MATCH($C972,'Labor Expenditures'!$D$7:$D$91,0),MATCH($G972,'Labor Expenditures'!$F$5:$X$5,0)),"NA")</f>
        <v>57034.913531540733</v>
      </c>
      <c r="K972" s="159">
        <f t="shared" si="1759"/>
        <v>406.08695999673006</v>
      </c>
      <c r="L972" s="165">
        <f t="shared" si="1765"/>
        <v>6.4902804564717323E-2</v>
      </c>
      <c r="M972" s="76">
        <f t="shared" si="1769"/>
        <v>1.5980654598090659E-3</v>
      </c>
      <c r="N972" s="62">
        <f t="shared" si="1775"/>
        <v>169.05166830580851</v>
      </c>
      <c r="O972" s="96">
        <f t="shared" si="1770"/>
        <v>-0.57338757161116305</v>
      </c>
      <c r="P972" s="96"/>
      <c r="Q972" s="159">
        <f>IFERROR(INDEX('Non-Labor Expenditures'!$F$7:$AB$91,MATCH($C972,'Non-Labor Expenditures'!$D$7:$D$91,0),MATCH($G972,'Non-Labor Expenditures'!$F$5:$AB$5,0)),"NA")</f>
        <v>82597.207446097178</v>
      </c>
      <c r="R972" s="159">
        <f t="shared" si="1760"/>
        <v>766.55629596103211</v>
      </c>
      <c r="S972" s="165">
        <f t="shared" si="1771"/>
        <v>7.1260874178137812E-2</v>
      </c>
      <c r="T972" s="165">
        <f t="shared" si="1772"/>
        <v>1.7546166521406282E-3</v>
      </c>
      <c r="U972" s="165"/>
      <c r="V972" s="165"/>
      <c r="W972" s="159">
        <f t="shared" si="1740"/>
        <v>151916.51486245359</v>
      </c>
      <c r="X972" s="163"/>
      <c r="Y972" s="167">
        <v>8356.2371085907143</v>
      </c>
      <c r="Z972" s="168">
        <v>3.2749249667413237E-2</v>
      </c>
      <c r="AA972" s="76">
        <f t="shared" si="1761"/>
        <v>8.0636645949514797E-4</v>
      </c>
      <c r="AB972" s="168"/>
      <c r="AC972" s="168"/>
      <c r="AD972" s="163">
        <f t="shared" si="1777"/>
        <v>291548.63584009151</v>
      </c>
      <c r="AE972" s="168">
        <f t="shared" si="1773"/>
        <v>8.402260785691406E-3</v>
      </c>
      <c r="AF972" s="163"/>
      <c r="AG972" s="163"/>
      <c r="AH972" s="163"/>
      <c r="AI972" s="163"/>
      <c r="AJ972" s="116">
        <f t="shared" si="1774"/>
        <v>355.83525664695742</v>
      </c>
      <c r="AK972" s="114">
        <f>+AV972/$AX$22</f>
        <v>2.2127729263774494E-2</v>
      </c>
      <c r="AL972" s="115">
        <f t="shared" si="1762"/>
        <v>0.19562744091460343</v>
      </c>
      <c r="AM972" s="115">
        <f t="shared" si="1763"/>
        <v>0.28330507261025245</v>
      </c>
      <c r="AN972" s="115">
        <f t="shared" si="1764"/>
        <v>0.52106748647514411</v>
      </c>
      <c r="AO972" s="115">
        <f t="shared" si="1766"/>
        <v>4.9274909333089464E-2</v>
      </c>
      <c r="AP972" s="166">
        <f t="shared" si="1778"/>
        <v>133.36281179365801</v>
      </c>
      <c r="AQ972" s="168">
        <f t="shared" si="1779"/>
        <v>4.9274909333089423E-2</v>
      </c>
      <c r="AR972" s="69">
        <f>+AD972/$AF$22</f>
        <v>2.4622440748543733E-2</v>
      </c>
      <c r="AS972" s="169">
        <f t="shared" si="1776"/>
        <v>1.2132685354438589E-3</v>
      </c>
      <c r="AT972" s="115"/>
      <c r="AU972" s="115"/>
      <c r="AV972" s="113">
        <f>IFERROR(INDEX('Total Customers'!$F$7:$AB$91,MATCH($C972,'Total Customers'!$D$7:$D$91,0),MATCH($G972,'Total Customers'!$F$5:$AB$5,0)),"NA")</f>
        <v>819336</v>
      </c>
      <c r="AW972" s="68">
        <f t="shared" si="1780"/>
        <v>1.4444705157262509E-2</v>
      </c>
      <c r="AX972" s="114"/>
      <c r="AY972" s="114"/>
      <c r="AZ972" s="116"/>
      <c r="BA972" s="116"/>
      <c r="BB972" s="166"/>
      <c r="BC972" s="166"/>
      <c r="BD972" s="166"/>
      <c r="BE972" s="166"/>
      <c r="BF972" s="166"/>
      <c r="BG972" s="166"/>
      <c r="BH972" s="166"/>
      <c r="BI972" s="113"/>
      <c r="BJ972" s="113"/>
      <c r="BK972" s="113">
        <f>INDEX('Dist. Plant Gas Additions'!$F$7:$AE$91,MATCH($C972,'Dist. Plant Gas Additions'!$D$7:$D$91,0),MATCH(Calculation!$G972,'Dist. Plant Gas Additions'!$F$5:$AE$5,0))</f>
        <v>239404</v>
      </c>
      <c r="BL972" s="113">
        <f>INDEX('Gen. Plant Additions'!$F$7:$AE$91,MATCH($C972,'Gen. Plant Additions'!$D$7:$D$91,0),MATCH(Calculation!$G972,'Gen. Plant Additions'!$F$5:$AE$5,0))</f>
        <v>1704</v>
      </c>
      <c r="BM972" s="231">
        <f t="shared" si="1741"/>
        <v>0.99346074885291458</v>
      </c>
      <c r="BN972" s="61">
        <f t="shared" si="1752"/>
        <v>1692.8571160453664</v>
      </c>
      <c r="BO972" s="113">
        <f>INDEX('Dist Plant Depreciation'!$E$7:$AD$94,MATCH($C972,'Dist Plant Depreciation'!$D$7:$D$94,0),MATCH(Calculation!$G972,'Dist Plant Depreciation'!$E$5:$AD$5,0))</f>
        <v>1393434</v>
      </c>
      <c r="BP972" s="113">
        <f>INDEX('Gen. Plant Depreciation'!$E$7:$AD$94,MATCH($C972,'Gen. Plant Depreciation'!$D$7:$D$94,0),MATCH(Calculation!$G972,'Gen. Plant Depreciation'!$E$5:$AD$5,0))</f>
        <v>6937</v>
      </c>
      <c r="BQ972" s="113"/>
      <c r="BR972" s="113"/>
      <c r="BS972" s="113"/>
      <c r="BT972" s="113"/>
      <c r="BU972" s="113"/>
      <c r="BV972" s="175"/>
      <c r="BW972" s="113">
        <f>INDEX('Gross Dx Plant'!$E$7:$AD$91,MATCH($C972,'Gross Dx Plant'!$D$7:$D$91,0),MATCH(Calculation!$G972,'Gross Dx Plant'!$E$5:$AD$5,0))</f>
        <v>3620622</v>
      </c>
      <c r="BX972" s="113">
        <f>INDEX('Gross Gen Plant'!$E$7:$AD$91,MATCH($C972,'Gross Gen Plant'!$D$7:$D$91,0),MATCH(Calculation!$G972,'Gross Gen Plant'!$E$5:$AD$5,0))</f>
        <v>23832</v>
      </c>
      <c r="BY972" s="113">
        <f t="shared" si="1734"/>
        <v>2244083</v>
      </c>
      <c r="BZ972" s="113"/>
      <c r="CA972" s="116">
        <v>2017</v>
      </c>
      <c r="CB972" s="113"/>
      <c r="CC972" s="113"/>
      <c r="CD972" s="113"/>
      <c r="CE972" s="175"/>
      <c r="CF972" s="113">
        <f t="shared" si="1742"/>
        <v>241108</v>
      </c>
      <c r="CG972" s="113">
        <f t="shared" si="1743"/>
        <v>338.43111508388307</v>
      </c>
      <c r="CH972" s="178">
        <v>0.87074829931972786</v>
      </c>
      <c r="CI972" s="61">
        <f>+CI953*CH972+CG954*CH971+CG955*CH970+CG956*CH969+CG957*CH968+CG958*CH967+CG959*CH966+CG960*CH965+CG961*CH964+CG962*CH963+CG963*CH962+CG964*CH961+CG965*CH960+CG966*CH959+CG967*CH958+CG968*CH957+CG969*CH956+CG970*CH955+CG971*CH954+CG972</f>
        <v>8356.2371085907143</v>
      </c>
      <c r="CJ972" s="114">
        <f t="shared" si="1744"/>
        <v>3.2749249667413237E-2</v>
      </c>
      <c r="CK972" s="114"/>
      <c r="CL972" s="169">
        <f t="shared" si="1745"/>
        <v>8.5573277578699977E-3</v>
      </c>
      <c r="CM972" s="169">
        <f t="shared" si="1754"/>
        <v>8.2967775403078193E-3</v>
      </c>
      <c r="CN972" s="114">
        <f>VLOOKUP($H972,RoR!$E:$F,2,FALSE)</f>
        <v>3.7433333333333339E-2</v>
      </c>
      <c r="CO972" s="169">
        <v>1.9056896421275615E-2</v>
      </c>
      <c r="CP972" s="169">
        <f t="shared" si="1751"/>
        <v>1.8376436912057724E-2</v>
      </c>
      <c r="CQ972" s="169">
        <f t="shared" si="1755"/>
        <v>2.2605164068225804E-2</v>
      </c>
      <c r="CR972" s="169">
        <f t="shared" si="1756"/>
        <v>1.3976271617800498E-2</v>
      </c>
      <c r="CS972" s="179">
        <f t="shared" si="1746"/>
        <v>0.92230000000000001</v>
      </c>
      <c r="CT972" s="180">
        <f t="shared" si="1747"/>
        <v>1.3699568463593395</v>
      </c>
      <c r="CU972" s="180">
        <f t="shared" si="1748"/>
        <v>0.30714603739982199</v>
      </c>
      <c r="CV972" s="180">
        <f t="shared" si="1749"/>
        <v>0.77007188472689425</v>
      </c>
      <c r="CW972" s="180">
        <f t="shared" si="1750"/>
        <v>0.32402839633793828</v>
      </c>
      <c r="CX972" s="181">
        <f>INDEX('State Tax Lookup'!$D$7:$Z$91,MATCH(Calculation!$C972,'State Tax Lookup'!$B$7:$B$91,0),MATCH($H972,'State Tax Lookup'!$D$6:$Z$6,0))</f>
        <v>0.20999999999999996</v>
      </c>
      <c r="CY972" s="72">
        <v>0.37</v>
      </c>
      <c r="CZ972" s="70">
        <f t="shared" si="1753"/>
        <v>18.785253169622472</v>
      </c>
      <c r="DA972" s="70">
        <v>18.231812616449311</v>
      </c>
      <c r="DB972" s="69">
        <f t="shared" si="1757"/>
        <v>-9.005589908124903E-2</v>
      </c>
      <c r="DC972" s="111">
        <f>VLOOKUP($H972,RoR!$E:$F,2,FALSE)</f>
        <v>3.7433333333333339E-2</v>
      </c>
      <c r="DD972" s="216">
        <f>HLOOKUP($H972,'GDP-PI'!$D$8:$CQ$11,3,FALSE)</f>
        <v>1.9056896421275615E-2</v>
      </c>
      <c r="DE972" s="111">
        <f>VLOOKUP(H972,'HW Dx Data'!$E:$F,2,FALSE)</f>
        <v>712.42858370229726</v>
      </c>
      <c r="DF972" s="72">
        <f t="shared" si="1767"/>
        <v>140.44999999999999</v>
      </c>
      <c r="DG972" s="69">
        <f t="shared" si="1768"/>
        <v>2.5235657841165486E-2</v>
      </c>
      <c r="DH972" s="66">
        <f>HLOOKUP(H972,'GDP-PI'!$8:$9,2,FALSE)</f>
        <v>107.751</v>
      </c>
      <c r="DI972" s="69">
        <f t="shared" si="1758"/>
        <v>1.8877588227745139E-2</v>
      </c>
      <c r="EB972"/>
    </row>
    <row r="973" spans="1:132" s="160" customFormat="1" ht="21">
      <c r="A973" s="160" t="s">
        <v>217</v>
      </c>
      <c r="B973" s="160" t="s">
        <v>217</v>
      </c>
      <c r="C973" s="160">
        <v>4062485</v>
      </c>
      <c r="D973" s="161" t="s">
        <v>146</v>
      </c>
      <c r="E973" s="161"/>
      <c r="F973" s="189"/>
      <c r="G973" s="160" t="s">
        <v>136</v>
      </c>
      <c r="H973" s="162">
        <v>2018</v>
      </c>
      <c r="I973" s="163"/>
      <c r="J973" s="159">
        <f>IFERROR(INDEX('Labor Expenditures'!$F$7:$X$91,MATCH($C973,'Labor Expenditures'!$D$7:$D$91,0),MATCH($G973,'Labor Expenditures'!$F$5:$X$5,0)),"NA")</f>
        <v>56161.598646500046</v>
      </c>
      <c r="K973" s="159">
        <f t="shared" si="1759"/>
        <v>388.79611385600589</v>
      </c>
      <c r="L973" s="165">
        <f t="shared" si="1765"/>
        <v>-4.351224654098762E-2</v>
      </c>
      <c r="M973" s="76">
        <f t="shared" si="1769"/>
        <v>-1.020132556853434E-3</v>
      </c>
      <c r="N973" s="62">
        <f t="shared" si="1775"/>
        <v>116.23544958846159</v>
      </c>
      <c r="O973" s="96">
        <f t="shared" si="1770"/>
        <v>-0.3745865260142085</v>
      </c>
      <c r="P973" s="96"/>
      <c r="Q973" s="159">
        <f>IFERROR(INDEX('Non-Labor Expenditures'!$F$7:$AB$91,MATCH($C973,'Non-Labor Expenditures'!$D$7:$D$91,0),MATCH($G973,'Non-Labor Expenditures'!$F$5:$AB$5,0)),"NA")</f>
        <v>81332.48437983742</v>
      </c>
      <c r="R973" s="159">
        <f t="shared" si="1760"/>
        <v>737.22815376658707</v>
      </c>
      <c r="S973" s="165">
        <f t="shared" si="1771"/>
        <v>-3.9010725895504653E-2</v>
      </c>
      <c r="T973" s="165">
        <f t="shared" si="1772"/>
        <v>-9.1459565331802699E-4</v>
      </c>
      <c r="U973" s="165"/>
      <c r="V973" s="165"/>
      <c r="W973" s="159">
        <f t="shared" si="1740"/>
        <v>164252.7693164298</v>
      </c>
      <c r="X973" s="163"/>
      <c r="Y973" s="167">
        <v>8604.3665969508056</v>
      </c>
      <c r="Z973" s="168">
        <v>2.9261599092357756E-2</v>
      </c>
      <c r="AA973" s="76">
        <f t="shared" si="1761"/>
        <v>6.860300782582739E-4</v>
      </c>
      <c r="AB973" s="168"/>
      <c r="AC973" s="168"/>
      <c r="AD973" s="163">
        <f t="shared" si="1777"/>
        <v>301746.85234276729</v>
      </c>
      <c r="AE973" s="168">
        <f t="shared" si="1773"/>
        <v>3.4381589916013415E-2</v>
      </c>
      <c r="AF973" s="163"/>
      <c r="AG973" s="163"/>
      <c r="AH973" s="163"/>
      <c r="AI973" s="163"/>
      <c r="AJ973" s="116">
        <f t="shared" si="1774"/>
        <v>363.20865828993118</v>
      </c>
      <c r="AK973" s="114">
        <f>+AV973/$AX$23</f>
        <v>2.2240324354226116E-2</v>
      </c>
      <c r="AL973" s="115">
        <f t="shared" si="1762"/>
        <v>0.18612157247195957</v>
      </c>
      <c r="AM973" s="115">
        <f t="shared" si="1763"/>
        <v>0.26953879965398392</v>
      </c>
      <c r="AN973" s="115">
        <f t="shared" si="1764"/>
        <v>0.54433962787405643</v>
      </c>
      <c r="AO973" s="115">
        <f t="shared" si="1766"/>
        <v>-3.501041050466178E-3</v>
      </c>
      <c r="AP973" s="166">
        <f t="shared" si="1778"/>
        <v>132.8967194951835</v>
      </c>
      <c r="AQ973" s="168">
        <f t="shared" si="1779"/>
        <v>-3.5010410504661277E-3</v>
      </c>
      <c r="AR973" s="69">
        <f>+AD973/$AF$23</f>
        <v>2.3444722760809205E-2</v>
      </c>
      <c r="AS973" s="169">
        <f t="shared" si="1776"/>
        <v>-8.2080936802390598E-5</v>
      </c>
      <c r="AT973" s="115"/>
      <c r="AU973" s="115"/>
      <c r="AV973" s="113">
        <f>IFERROR(INDEX('Total Customers'!$F$7:$AB$91,MATCH($C973,'Total Customers'!$D$7:$D$91,0),MATCH($G973,'Total Customers'!$F$5:$AB$5,0)),"NA")</f>
        <v>830781</v>
      </c>
      <c r="AW973" s="68">
        <f t="shared" si="1780"/>
        <v>1.3871966085920237E-2</v>
      </c>
      <c r="AX973" s="114"/>
      <c r="AY973" s="114"/>
      <c r="AZ973" s="116"/>
      <c r="BA973" s="116"/>
      <c r="BB973" s="166"/>
      <c r="BC973" s="166"/>
      <c r="BD973" s="166"/>
      <c r="BE973" s="166"/>
      <c r="BF973" s="166"/>
      <c r="BG973" s="166"/>
      <c r="BH973" s="166"/>
      <c r="BI973" s="113"/>
      <c r="BJ973" s="113"/>
      <c r="BK973" s="113">
        <f>INDEX('Dist. Plant Gas Additions'!$F$7:$AE$91,MATCH($C973,'Dist. Plant Gas Additions'!$D$7:$D$91,0),MATCH(Calculation!$G973,'Dist. Plant Gas Additions'!$F$5:$AE$5,0))</f>
        <v>242041</v>
      </c>
      <c r="BL973" s="113">
        <f>INDEX('Gen. Plant Additions'!$F$7:$AE$91,MATCH($C973,'Gen. Plant Additions'!$D$7:$D$91,0),MATCH(Calculation!$G973,'Gen. Plant Additions'!$F$5:$AE$5,0))</f>
        <v>891</v>
      </c>
      <c r="BM973" s="231">
        <f t="shared" si="1741"/>
        <v>0.99336946844034679</v>
      </c>
      <c r="BN973" s="61">
        <f>+BM973*BL973</f>
        <v>885.09219638034904</v>
      </c>
      <c r="BO973" s="113">
        <f>INDEX('Dist Plant Depreciation'!$E$7:$AD$94,MATCH($C973,'Dist Plant Depreciation'!$D$7:$D$94,0),MATCH(Calculation!$G973,'Dist Plant Depreciation'!$E$5:$AD$5,0))</f>
        <v>1473933</v>
      </c>
      <c r="BP973" s="113">
        <f>INDEX('Gen. Plant Depreciation'!$E$7:$AD$94,MATCH($C973,'Gen. Plant Depreciation'!$D$7:$D$94,0),MATCH(Calculation!$G973,'Gen. Plant Depreciation'!$E$5:$AD$5,0))</f>
        <v>8385</v>
      </c>
      <c r="BQ973" s="113"/>
      <c r="BR973" s="113"/>
      <c r="BS973" s="113"/>
      <c r="BT973" s="113"/>
      <c r="BU973" s="113"/>
      <c r="BV973" s="175"/>
      <c r="BW973" s="113">
        <f>INDEX('Gross Dx Plant'!$E$7:$AD$91,MATCH($C973,'Gross Dx Plant'!$D$7:$D$91,0),MATCH(Calculation!$G973,'Gross Dx Plant'!$E$5:$AD$5,0))</f>
        <v>3850309</v>
      </c>
      <c r="BX973" s="113">
        <f>INDEX('Gross Gen Plant'!$E$7:$AD$91,MATCH($C973,'Gross Gen Plant'!$D$7:$D$91,0),MATCH(Calculation!$G973,'Gross Gen Plant'!$E$5:$AD$5,0))</f>
        <v>25700</v>
      </c>
      <c r="BY973" s="113">
        <f t="shared" si="1734"/>
        <v>2393691</v>
      </c>
      <c r="BZ973" s="113"/>
      <c r="CA973" s="116">
        <v>2018</v>
      </c>
      <c r="CB973" s="113"/>
      <c r="CC973" s="113"/>
      <c r="CD973" s="113"/>
      <c r="CE973" s="175"/>
      <c r="CF973" s="113">
        <f t="shared" si="1742"/>
        <v>242932</v>
      </c>
      <c r="CG973" s="113">
        <f t="shared" si="1743"/>
        <v>321.70598434187309</v>
      </c>
      <c r="CH973" s="178">
        <v>0.86111111111111116</v>
      </c>
      <c r="CI973" s="61">
        <f>+CI953*CH973++CG954*CH972+CG955*CH971+CG956*CH970+CG957*CH969+CG958*CH968+CG959*CH967+CG960*CH966+CG961*CH965+CG962*CH964+CG963*CH963+CG964*CH962+CG965*CH961+CG966*CH960+CG967*CH959+CG968*CH958+CG969*CH957+CG970*CH956+CG971*CH955+CG972*CH954+CG973</f>
        <v>8604.3665969508056</v>
      </c>
      <c r="CJ973" s="114">
        <f t="shared" si="1744"/>
        <v>2.9261599092357756E-2</v>
      </c>
      <c r="CK973" s="114"/>
      <c r="CL973" s="169">
        <f t="shared" si="1745"/>
        <v>8.8049794453703041E-3</v>
      </c>
      <c r="CM973" s="169">
        <f t="shared" si="1754"/>
        <v>8.5550409093364792E-3</v>
      </c>
      <c r="CN973" s="114">
        <f>VLOOKUP($H973,RoR!$E:$F,2,FALSE)</f>
        <v>3.9299999999999995E-2</v>
      </c>
      <c r="CO973" s="169">
        <v>2.386056741932796E-2</v>
      </c>
      <c r="CP973" s="169">
        <f t="shared" si="1751"/>
        <v>1.5439432580672034E-2</v>
      </c>
      <c r="CQ973" s="169">
        <f t="shared" si="1755"/>
        <v>2.2346900699197147E-2</v>
      </c>
      <c r="CR973" s="169">
        <f t="shared" si="1756"/>
        <v>3.8270792163076606E-2</v>
      </c>
      <c r="CS973" s="179">
        <f t="shared" si="1746"/>
        <v>0.92230000000000001</v>
      </c>
      <c r="CT973" s="180">
        <f t="shared" si="1747"/>
        <v>1.3048868010700074</v>
      </c>
      <c r="CU973" s="180">
        <f t="shared" si="1748"/>
        <v>0.33886768447837151</v>
      </c>
      <c r="CV973" s="180">
        <f t="shared" si="1749"/>
        <v>0.78602506232557801</v>
      </c>
      <c r="CW973" s="180">
        <f t="shared" si="1750"/>
        <v>0.34756768162358759</v>
      </c>
      <c r="CX973" s="181">
        <f>INDEX('State Tax Lookup'!$D$7:$Z$91,MATCH(Calculation!$C973,'State Tax Lookup'!$B$7:$B$91,0),MATCH($H973,'State Tax Lookup'!$D$6:$Z$6,0))</f>
        <v>0.20999999999999996</v>
      </c>
      <c r="CY973" s="72">
        <v>0.37</v>
      </c>
      <c r="CZ973" s="70">
        <f t="shared" si="1753"/>
        <v>19.656307879005499</v>
      </c>
      <c r="DA973" s="70">
        <v>19.050901628905343</v>
      </c>
      <c r="DB973" s="69">
        <f t="shared" si="1757"/>
        <v>4.5326142298778391E-2</v>
      </c>
      <c r="DC973" s="111">
        <f>VLOOKUP($H973,RoR!$E:$F,2,FALSE)</f>
        <v>3.9299999999999995E-2</v>
      </c>
      <c r="DD973" s="216">
        <f>HLOOKUP($H973,'GDP-PI'!$D$8:$CQ$11,3,FALSE)</f>
        <v>2.386056741932796E-2</v>
      </c>
      <c r="DE973" s="111">
        <f>VLOOKUP(H973,'HW Dx Data'!$E:$F,2,FALSE)</f>
        <v>755.13671434174842</v>
      </c>
      <c r="DF973" s="72">
        <f t="shared" si="1767"/>
        <v>144.44999999999999</v>
      </c>
      <c r="DG973" s="69">
        <f t="shared" si="1768"/>
        <v>2.80818733619915E-2</v>
      </c>
      <c r="DH973" s="66">
        <f>HLOOKUP(H973,'GDP-PI'!$8:$9,2,FALSE)</f>
        <v>110.322</v>
      </c>
      <c r="DI973" s="69">
        <f t="shared" si="1758"/>
        <v>2.3580352716508712E-2</v>
      </c>
      <c r="EB973"/>
    </row>
    <row r="974" spans="1:132" s="160" customFormat="1" ht="21">
      <c r="A974" s="160" t="s">
        <v>217</v>
      </c>
      <c r="B974" s="160" t="s">
        <v>217</v>
      </c>
      <c r="C974" s="160">
        <v>4062485</v>
      </c>
      <c r="D974" s="161" t="s">
        <v>146</v>
      </c>
      <c r="E974" s="161"/>
      <c r="F974" s="189"/>
      <c r="G974" s="160" t="s">
        <v>140</v>
      </c>
      <c r="H974" s="162">
        <v>2019</v>
      </c>
      <c r="I974" s="163"/>
      <c r="J974" s="159">
        <f>IFERROR(INDEX('Labor Expenditures'!$F$7:$X$91,MATCH($C974,'Labor Expenditures'!$D$7:$D$91,0),MATCH($G974,'Labor Expenditures'!$F$5:$X$5,0)),"NA")</f>
        <v>55165.422305825727</v>
      </c>
      <c r="K974" s="159">
        <f t="shared" si="1759"/>
        <v>368.56804613880558</v>
      </c>
      <c r="L974" s="165">
        <f t="shared" si="1765"/>
        <v>-5.3429725634545053E-2</v>
      </c>
      <c r="M974" s="76">
        <f t="shared" si="1769"/>
        <v>-1.2329944287672891E-3</v>
      </c>
      <c r="N974" s="62">
        <f t="shared" si="1775"/>
        <v>116.18153762620207</v>
      </c>
      <c r="O974" s="96">
        <f t="shared" si="1770"/>
        <v>-4.6392446501042003E-4</v>
      </c>
      <c r="P974" s="96"/>
      <c r="Q974" s="159">
        <f>IFERROR(INDEX('Non-Labor Expenditures'!$F$7:$AB$91,MATCH($C974,'Non-Labor Expenditures'!$D$7:$D$91,0),MATCH($G974,'Non-Labor Expenditures'!$F$5:$AB$5,0)),"NA")</f>
        <v>79889.834978465602</v>
      </c>
      <c r="R974" s="159">
        <f t="shared" si="1760"/>
        <v>711.28256360036323</v>
      </c>
      <c r="S974" s="165">
        <f t="shared" si="1771"/>
        <v>-3.5827647186775398E-2</v>
      </c>
      <c r="T974" s="165">
        <f t="shared" si="1772"/>
        <v>-8.2679236796553035E-4</v>
      </c>
      <c r="U974" s="165"/>
      <c r="V974" s="165"/>
      <c r="W974" s="159">
        <f t="shared" si="1740"/>
        <v>171160.54480016677</v>
      </c>
      <c r="X974" s="163"/>
      <c r="Y974" s="167">
        <v>8877.2045133321099</v>
      </c>
      <c r="Z974" s="168">
        <v>3.1216882152072162E-2</v>
      </c>
      <c r="AA974" s="76">
        <f t="shared" si="1761"/>
        <v>7.2039003232507871E-4</v>
      </c>
      <c r="AB974" s="168"/>
      <c r="AC974" s="168"/>
      <c r="AD974" s="163">
        <f t="shared" si="1777"/>
        <v>306215.80208445806</v>
      </c>
      <c r="AE974" s="168">
        <f t="shared" si="1773"/>
        <v>1.4701660378807536E-2</v>
      </c>
      <c r="AF974" s="163"/>
      <c r="AG974" s="163"/>
      <c r="AH974" s="163"/>
      <c r="AI974" s="163"/>
      <c r="AJ974" s="116">
        <f t="shared" si="1774"/>
        <v>363.9243833207849</v>
      </c>
      <c r="AK974" s="114">
        <f>+AV974/$AX$24</f>
        <v>2.233955140041315E-2</v>
      </c>
      <c r="AL974" s="115">
        <f t="shared" si="1762"/>
        <v>0.18015210818744889</v>
      </c>
      <c r="AM974" s="115">
        <f t="shared" si="1763"/>
        <v>0.26089390042787869</v>
      </c>
      <c r="AN974" s="115">
        <f t="shared" si="1764"/>
        <v>0.55895399138467261</v>
      </c>
      <c r="AO974" s="115">
        <f t="shared" si="1766"/>
        <v>-2.0663355040579368E-3</v>
      </c>
      <c r="AP974" s="166">
        <f t="shared" si="1778"/>
        <v>132.62239380738029</v>
      </c>
      <c r="AQ974" s="168">
        <f t="shared" si="1779"/>
        <v>-2.0663355040580053E-3</v>
      </c>
      <c r="AR974" s="69">
        <f>+AD974/$AF$24</f>
        <v>2.3076937306413848E-2</v>
      </c>
      <c r="AS974" s="169">
        <f t="shared" si="1776"/>
        <v>-4.7684694881163643E-5</v>
      </c>
      <c r="AT974" s="115"/>
      <c r="AU974" s="115"/>
      <c r="AV974" s="113">
        <v>841427</v>
      </c>
      <c r="AW974" s="68">
        <f t="shared" si="1780"/>
        <v>1.2733037799324285E-2</v>
      </c>
      <c r="AX974" s="114"/>
      <c r="AY974" s="114"/>
      <c r="AZ974" s="116"/>
      <c r="BA974" s="116"/>
      <c r="BB974" s="166"/>
      <c r="BC974" s="166"/>
      <c r="BD974" s="166"/>
      <c r="BE974" s="166"/>
      <c r="BF974" s="166"/>
      <c r="BG974" s="166"/>
      <c r="BH974" s="166"/>
      <c r="BI974" s="113"/>
      <c r="BJ974" s="113"/>
      <c r="BK974" s="113">
        <f>INDEX('Dist. Plant Gas Additions'!$F$7:$AE$91,MATCH($C974,'Dist. Plant Gas Additions'!$D$7:$D$91,0),MATCH(Calculation!$G974,'Dist. Plant Gas Additions'!$F$5:$AE$5,0))</f>
        <v>271692</v>
      </c>
      <c r="BL974" s="113">
        <f>INDEX('Gen. Plant Additions'!$F$7:$AE$91,MATCH($C974,'Gen. Plant Additions'!$D$7:$D$91,0),MATCH(Calculation!$G974,'Gen. Plant Additions'!$F$5:$AE$5,0))</f>
        <v>-244</v>
      </c>
      <c r="BM974" s="231">
        <f t="shared" si="1741"/>
        <v>0.98998094764544531</v>
      </c>
      <c r="BN974" s="61">
        <f t="shared" ref="BN974:BN990" si="1781">+BM974*BL974</f>
        <v>-241.55535122548866</v>
      </c>
      <c r="BO974" s="113">
        <f>INDEX('Dist Plant Depreciation'!$E$7:$AD$94,MATCH($C974,'Dist Plant Depreciation'!$D$7:$D$94,0),MATCH(Calculation!$G974,'Dist Plant Depreciation'!$E$5:$AD$5,0))</f>
        <v>1553327</v>
      </c>
      <c r="BP974" s="113">
        <f>INDEX('Gen. Plant Depreciation'!$E$7:$AD$94,MATCH($C974,'Gen. Plant Depreciation'!$D$7:$D$94,0),MATCH(Calculation!$G974,'Gen. Plant Depreciation'!$E$5:$AD$5,0))</f>
        <v>13286</v>
      </c>
      <c r="BQ974" s="113"/>
      <c r="BR974" s="113"/>
      <c r="BS974" s="113"/>
      <c r="BT974" s="113"/>
      <c r="BU974" s="113"/>
      <c r="BV974" s="175"/>
      <c r="BW974" s="113">
        <f>INDEX('Gross Dx Plant'!$E$7:$AD$91,MATCH($C974,'Gross Dx Plant'!$D$7:$D$91,0),MATCH(Calculation!$G974,'Gross Dx Plant'!$E$5:$AD$5,0))</f>
        <v>4093494</v>
      </c>
      <c r="BX974" s="113">
        <f>INDEX('Gross Gen Plant'!$E$7:$AD$91,MATCH($C974,'Gross Gen Plant'!$D$7:$D$91,0),MATCH(Calculation!$G974,'Gross Gen Plant'!$E$5:$AD$5,0))</f>
        <v>41428</v>
      </c>
      <c r="BY974" s="113">
        <f t="shared" si="1734"/>
        <v>2568309</v>
      </c>
      <c r="BZ974" s="113"/>
      <c r="CA974" s="116">
        <v>2019</v>
      </c>
      <c r="CB974" s="113"/>
      <c r="CC974" s="113"/>
      <c r="CD974" s="113"/>
      <c r="CE974" s="175"/>
      <c r="CF974" s="113">
        <f t="shared" si="1742"/>
        <v>271448</v>
      </c>
      <c r="CG974" s="113">
        <f t="shared" si="1743"/>
        <v>350.91688389084283</v>
      </c>
      <c r="CH974" s="178">
        <v>0.85106382978723405</v>
      </c>
      <c r="CI974" s="61">
        <f>CI953*CH974+CG954*CH973+CG955*CH972+CG956*CH971+CG957*CH970+CG958*CH969+CG959*CH968+CG960*CH967+CG961*CH966+CG962*CH965+CG963*CH964+CG964*CH963+CG965*CH962+CG966*CH961+CG967*CH960+CG968*CH959+CG969*CH958+CG970*CH957+CG971*CH956+CG972*CH955+CG973*CH954+CG974</f>
        <v>8877.2045133321099</v>
      </c>
      <c r="CJ974" s="114">
        <f t="shared" si="1744"/>
        <v>3.1216882152072162E-2</v>
      </c>
      <c r="CK974" s="114"/>
      <c r="CL974" s="169">
        <f t="shared" si="1745"/>
        <v>9.0743422690995074E-3</v>
      </c>
      <c r="CM974" s="169">
        <f t="shared" si="1754"/>
        <v>8.812216490779937E-3</v>
      </c>
      <c r="CN974" s="114">
        <f>VLOOKUP($H974,RoR!$E:$F,2,FALSE)</f>
        <v>3.3875000000000009E-2</v>
      </c>
      <c r="CO974" s="169">
        <v>1.8092492884465461E-2</v>
      </c>
      <c r="CP974" s="169">
        <f t="shared" si="1751"/>
        <v>1.5782507115534548E-2</v>
      </c>
      <c r="CQ974" s="169">
        <f t="shared" si="1755"/>
        <v>2.2089725117753686E-2</v>
      </c>
      <c r="CR974" s="169">
        <f t="shared" si="1756"/>
        <v>4.8445665544254078E-2</v>
      </c>
      <c r="CS974" s="179">
        <f t="shared" si="1746"/>
        <v>0.92230000000000001</v>
      </c>
      <c r="CT974" s="180">
        <f t="shared" si="1747"/>
        <v>1.513861292459078</v>
      </c>
      <c r="CU974" s="180">
        <f t="shared" si="1748"/>
        <v>0.23699261992619944</v>
      </c>
      <c r="CV974" s="180">
        <f t="shared" si="1749"/>
        <v>0.73619765810468829</v>
      </c>
      <c r="CW974" s="180">
        <f t="shared" si="1750"/>
        <v>0.26412854465362851</v>
      </c>
      <c r="CX974" s="181">
        <f>INDEX('State Tax Lookup'!$D$7:$Z$91,MATCH(Calculation!$C974,'State Tax Lookup'!$B$7:$B$91,0),MATCH($H974,'State Tax Lookup'!$D$6:$Z$6,0))</f>
        <v>0.20999999999999996</v>
      </c>
      <c r="CY974" s="72">
        <v>0.37</v>
      </c>
      <c r="CZ974" s="70">
        <f t="shared" si="1753"/>
        <v>19.892288743348317</v>
      </c>
      <c r="DA974" s="70">
        <v>19.236104090735289</v>
      </c>
      <c r="DB974" s="69">
        <f t="shared" si="1757"/>
        <v>1.1933857842258914E-2</v>
      </c>
      <c r="DC974" s="111">
        <f>VLOOKUP($H974,RoR!$E:$F,2,FALSE)</f>
        <v>3.3875000000000009E-2</v>
      </c>
      <c r="DD974" s="216">
        <f>HLOOKUP($H974,'GDP-PI'!$D$8:$CQ$11,3,FALSE)</f>
        <v>1.8092492884465461E-2</v>
      </c>
      <c r="DE974" s="111">
        <f>VLOOKUP(H974,'HW Dx Data'!$E:$F,2,FALSE)</f>
        <v>773.53929793938721</v>
      </c>
      <c r="DF974" s="72">
        <f t="shared" si="1767"/>
        <v>149.67500000000001</v>
      </c>
      <c r="DG974" s="69">
        <f t="shared" si="1768"/>
        <v>3.5532849899171604E-2</v>
      </c>
      <c r="DH974" s="66">
        <f>HLOOKUP(H974,'GDP-PI'!$8:$9,2,FALSE)</f>
        <v>112.318</v>
      </c>
      <c r="DI974" s="69">
        <f t="shared" si="1758"/>
        <v>1.7930771451401852E-2</v>
      </c>
      <c r="EB974"/>
    </row>
    <row r="975" spans="1:132" s="160" customFormat="1" ht="21">
      <c r="A975" s="160" t="s">
        <v>217</v>
      </c>
      <c r="B975" s="160" t="s">
        <v>217</v>
      </c>
      <c r="C975" s="160">
        <v>4062485</v>
      </c>
      <c r="D975" s="160" t="s">
        <v>146</v>
      </c>
      <c r="G975" s="161" t="s">
        <v>141</v>
      </c>
      <c r="H975" s="162">
        <v>2020</v>
      </c>
      <c r="I975" s="163"/>
      <c r="J975" s="159">
        <f>IFERROR(INDEX('Labor Expenditures'!$F$7:$X$91,MATCH($C975,'Labor Expenditures'!$D$7:$D$91,0),MATCH($G975,'Labor Expenditures'!$F$5:$X$5,0)),"NA")</f>
        <v>55415.354671556692</v>
      </c>
      <c r="K975" s="159">
        <f t="shared" si="1759"/>
        <v>361.83711832554155</v>
      </c>
      <c r="L975" s="165">
        <f t="shared" si="1765"/>
        <v>-1.8431190484245904E-2</v>
      </c>
      <c r="M975" s="76">
        <f t="shared" si="1769"/>
        <v>-4.3006560174839388E-4</v>
      </c>
      <c r="N975" s="62">
        <f t="shared" si="1775"/>
        <v>117.82421199735394</v>
      </c>
      <c r="O975" s="96">
        <f t="shared" si="1770"/>
        <v>1.4039837542152035E-2</v>
      </c>
      <c r="P975" s="96"/>
      <c r="Q975" s="159">
        <f>IFERROR(INDEX('Non-Labor Expenditures'!$F$7:$AB$91,MATCH($C975,'Non-Labor Expenditures'!$D$7:$D$91,0),MATCH($G975,'Non-Labor Expenditures'!$F$5:$AB$5,0)),"NA")</f>
        <v>80251.78372497081</v>
      </c>
      <c r="R975" s="159">
        <f t="shared" si="1760"/>
        <v>706.2987575136267</v>
      </c>
      <c r="S975" s="165">
        <f t="shared" si="1771"/>
        <v>-7.0314507482703075E-3</v>
      </c>
      <c r="T975" s="165">
        <f t="shared" si="1772"/>
        <v>-1.6406889722092675E-4</v>
      </c>
      <c r="U975" s="165"/>
      <c r="V975" s="165"/>
      <c r="W975" s="159">
        <f t="shared" si="1740"/>
        <v>183463.57792765033</v>
      </c>
      <c r="X975" s="163"/>
      <c r="Y975" s="167">
        <v>9141.2709348320295</v>
      </c>
      <c r="Z975" s="168">
        <v>2.9312727365479751E-2</v>
      </c>
      <c r="AA975" s="76">
        <f t="shared" si="1761"/>
        <v>6.8397078008048382E-4</v>
      </c>
      <c r="AB975" s="168"/>
      <c r="AC975" s="168"/>
      <c r="AD975" s="163">
        <f t="shared" si="1777"/>
        <v>319130.7163241778</v>
      </c>
      <c r="AE975" s="168">
        <f t="shared" si="1773"/>
        <v>4.1310698932991774E-2</v>
      </c>
      <c r="AF975" s="163"/>
      <c r="AG975" s="163"/>
      <c r="AH975" s="163"/>
      <c r="AI975" s="163"/>
      <c r="AJ975" s="116">
        <f t="shared" si="1774"/>
        <v>375.13014425918965</v>
      </c>
      <c r="AK975" s="114">
        <f>+AV975/$AX$25</f>
        <v>2.2426782310606561E-2</v>
      </c>
      <c r="AL975" s="115">
        <f t="shared" si="1762"/>
        <v>0.17364469114676176</v>
      </c>
      <c r="AM975" s="115">
        <f t="shared" si="1763"/>
        <v>0.25146994513511461</v>
      </c>
      <c r="AN975" s="115">
        <f t="shared" si="1764"/>
        <v>0.57488536371812371</v>
      </c>
      <c r="AO975" s="115">
        <f t="shared" si="1766"/>
        <v>1.1556183272931864E-2</v>
      </c>
      <c r="AP975" s="166">
        <f t="shared" si="1778"/>
        <v>134.16389226067344</v>
      </c>
      <c r="AQ975" s="168">
        <f t="shared" si="1779"/>
        <v>1.1556183272931861E-2</v>
      </c>
      <c r="AR975" s="69">
        <f>+AD975/$AF$25</f>
        <v>2.3333576966501068E-2</v>
      </c>
      <c r="AS975" s="169">
        <f t="shared" si="1776"/>
        <v>2.6964709183794781E-4</v>
      </c>
      <c r="AT975" s="115"/>
      <c r="AU975" s="115"/>
      <c r="AV975" s="113">
        <v>850720</v>
      </c>
      <c r="AW975" s="68">
        <f t="shared" si="1780"/>
        <v>1.0983789739609361E-2</v>
      </c>
      <c r="AX975" s="114"/>
      <c r="AY975" s="114"/>
      <c r="AZ975" s="116"/>
      <c r="BA975" s="116"/>
      <c r="BB975" s="166"/>
      <c r="BC975" s="166"/>
      <c r="BD975" s="166"/>
      <c r="BE975" s="166"/>
      <c r="BF975" s="166"/>
      <c r="BG975" s="166"/>
      <c r="BH975" s="166"/>
      <c r="BI975" s="113"/>
      <c r="BJ975" s="113"/>
      <c r="BK975" s="113">
        <f>INDEX('Dist. Plant Gas Additions'!$F$7:$AE$91,MATCH($C975,'Dist. Plant Gas Additions'!$D$7:$D$91,0),MATCH(Calculation!$G975,'Dist. Plant Gas Additions'!$F$5:$AE$5,0))</f>
        <v>280663</v>
      </c>
      <c r="BL975" s="113">
        <f>INDEX('Gen. Plant Additions'!$F$7:$AE$91,MATCH($C975,'Gen. Plant Additions'!$D$7:$D$91,0),MATCH(Calculation!$G975,'Gen. Plant Additions'!$F$5:$AE$5,0))</f>
        <v>1491</v>
      </c>
      <c r="BM975" s="231">
        <f t="shared" si="1741"/>
        <v>0.9905426882345979</v>
      </c>
      <c r="BN975" s="61">
        <f t="shared" si="1781"/>
        <v>1476.8991481577855</v>
      </c>
      <c r="BO975" s="113">
        <f>INDEX('Dist Plant Depreciation'!$E$7:$AD$94,MATCH($C975,'Dist Plant Depreciation'!$D$7:$D$94,0),MATCH(Calculation!$G975,'Dist Plant Depreciation'!$E$5:$AD$5,0))</f>
        <v>1639878</v>
      </c>
      <c r="BP975" s="113">
        <f>INDEX('Gen. Plant Depreciation'!$E$7:$AD$94,MATCH($C975,'Gen. Plant Depreciation'!$D$7:$D$94,0),MATCH(Calculation!$G975,'Gen. Plant Depreciation'!$E$5:$AD$5,0))</f>
        <v>13976</v>
      </c>
      <c r="BQ975" s="113"/>
      <c r="BR975" s="113"/>
      <c r="BS975" s="113"/>
      <c r="BT975" s="113"/>
      <c r="BU975" s="113"/>
      <c r="BV975" s="175"/>
      <c r="BW975" s="113">
        <f>INDEX('Gross Dx Plant'!$E$7:$AD$91,MATCH($C975,'Gross Dx Plant'!$D$7:$D$91,0),MATCH(Calculation!$G975,'Gross Dx Plant'!$E$5:$AD$5,0))</f>
        <v>4343497</v>
      </c>
      <c r="BX975" s="113">
        <f>INDEX('Gross Gen Plant'!$E$7:$AD$91,MATCH($C975,'Gross Gen Plant'!$D$7:$D$91,0),MATCH(Calculation!$G975,'Gross Gen Plant'!$E$5:$AD$5,0))</f>
        <v>41470</v>
      </c>
      <c r="BY975" s="113">
        <f t="shared" si="1734"/>
        <v>2731113</v>
      </c>
      <c r="BZ975" s="113"/>
      <c r="CA975" s="116">
        <v>2020</v>
      </c>
      <c r="CB975" s="113"/>
      <c r="CC975" s="113"/>
      <c r="CD975" s="113"/>
      <c r="CE975" s="175"/>
      <c r="CF975" s="113">
        <f t="shared" si="1742"/>
        <v>282154</v>
      </c>
      <c r="CG975" s="113">
        <f t="shared" si="1743"/>
        <v>347.01867420641406</v>
      </c>
      <c r="CH975" s="178">
        <v>0.84057971014492749</v>
      </c>
      <c r="CI975" s="61">
        <f>CI953*CH975+CG954*CH974+CG955*CH973+CG956*CH972+CG957*CH971+CG958*CH970+CG959*CH969+CG960*CH968+CG961*CH967+CG962*CH966+CG963*CH965+CG964*CH964+CG965*CH963+CG966*CH962+CG967*CH961+CG968*CH960+CG969*CH959+CG970*CH958+CG971*CH957+CG972*CH956+CG973*CH955+CG974*CH954+CG975</f>
        <v>9141.2709348320295</v>
      </c>
      <c r="CJ975" s="114">
        <f t="shared" si="1744"/>
        <v>2.9312727365479751E-2</v>
      </c>
      <c r="CK975" s="114"/>
      <c r="CL975" s="169">
        <f t="shared" si="1745"/>
        <v>9.3444115860926349E-3</v>
      </c>
      <c r="CM975" s="169">
        <f t="shared" si="1754"/>
        <v>9.0745777668541482E-3</v>
      </c>
      <c r="CN975" s="114">
        <f>VLOOKUP($H975,RoR!$E:$F,2,FALSE)</f>
        <v>2.4766666666666666E-2</v>
      </c>
      <c r="CO975" s="169">
        <v>1.1618796630994188E-2</v>
      </c>
      <c r="CP975" s="169">
        <f t="shared" si="1751"/>
        <v>1.3147870035672478E-2</v>
      </c>
      <c r="CQ975" s="169">
        <f t="shared" si="1755"/>
        <v>2.1827363841679479E-2</v>
      </c>
      <c r="CR975" s="169">
        <f t="shared" si="1756"/>
        <v>4.5144642961987357E-2</v>
      </c>
      <c r="CS975" s="179">
        <f t="shared" si="1746"/>
        <v>0.92230000000000001</v>
      </c>
      <c r="CT975" s="180">
        <f t="shared" si="1747"/>
        <v>2.0706077233668081</v>
      </c>
      <c r="CU975" s="180">
        <f t="shared" si="1748"/>
        <v>-3.4421265141318998E-2</v>
      </c>
      <c r="CV975" s="180">
        <f t="shared" si="1749"/>
        <v>0.62416226176410472</v>
      </c>
      <c r="CW975" s="180">
        <f t="shared" si="1750"/>
        <v>-4.4485877841158712E-2</v>
      </c>
      <c r="CX975" s="181">
        <f>INDEX('State Tax Lookup'!$D$7:$Z$91,MATCH(Calculation!$C975,'State Tax Lookup'!$B$7:$B$91,0),MATCH($H975,'State Tax Lookup'!$D$6:$Z$6,0))</f>
        <v>0.20999999999999996</v>
      </c>
      <c r="CY975" s="72">
        <v>0.37</v>
      </c>
      <c r="CZ975" s="70">
        <f t="shared" si="1753"/>
        <v>20.666818890126731</v>
      </c>
      <c r="DA975" s="70">
        <v>19.952659173050833</v>
      </c>
      <c r="DB975" s="69">
        <f t="shared" si="1757"/>
        <v>3.8197305702613142E-2</v>
      </c>
      <c r="DC975" s="111">
        <f>VLOOKUP($H975,RoR!$E:$F,2,FALSE)</f>
        <v>2.4766666666666666E-2</v>
      </c>
      <c r="DD975" s="216">
        <f>HLOOKUP($H975,'GDP-PI'!$D$8:$CQ$11,3,FALSE)</f>
        <v>1.1618796630994188E-2</v>
      </c>
      <c r="DE975" s="111">
        <f>VLOOKUP(H975,'HW Dx Data'!$E:$F,2,FALSE)</f>
        <v>813.080162458833</v>
      </c>
      <c r="DF975" s="72">
        <f t="shared" si="1767"/>
        <v>153.15</v>
      </c>
      <c r="DG975" s="69">
        <f t="shared" si="1768"/>
        <v>2.2951556467368479E-2</v>
      </c>
      <c r="DH975" s="66">
        <f>HLOOKUP(H975,'GDP-PI'!$8:$9,2,FALSE)</f>
        <v>113.623</v>
      </c>
      <c r="DI975" s="69">
        <f t="shared" si="1758"/>
        <v>1.1551816731392881E-2</v>
      </c>
      <c r="EB975"/>
    </row>
    <row r="976" spans="1:132" s="160" customFormat="1" ht="21">
      <c r="A976" s="160" t="s">
        <v>217</v>
      </c>
      <c r="B976" s="160" t="s">
        <v>217</v>
      </c>
      <c r="C976" s="160">
        <v>4062485</v>
      </c>
      <c r="D976" s="160" t="s">
        <v>146</v>
      </c>
      <c r="G976" s="161" t="s">
        <v>142</v>
      </c>
      <c r="H976" s="162">
        <v>2021</v>
      </c>
      <c r="I976" s="163"/>
      <c r="J976" s="159">
        <v>57387.705671384698</v>
      </c>
      <c r="K976" s="159">
        <f t="shared" si="1759"/>
        <v>364.9456640469615</v>
      </c>
      <c r="L976" s="164">
        <f t="shared" si="1765"/>
        <v>8.5543156849233869E-3</v>
      </c>
      <c r="M976" s="76">
        <f t="shared" si="1769"/>
        <v>2.0493234559509996E-4</v>
      </c>
      <c r="N976" s="166">
        <f>+N975*EXP(O976)</f>
        <v>120.1898791595913</v>
      </c>
      <c r="O976" s="114">
        <f t="shared" si="1770"/>
        <v>1.9879033672289412E-2</v>
      </c>
      <c r="P976" s="114"/>
      <c r="Q976" s="159">
        <v>80895.92245243385</v>
      </c>
      <c r="R976" s="159">
        <f t="shared" si="1760"/>
        <v>682.72362606493255</v>
      </c>
      <c r="S976" s="165">
        <f t="shared" si="1771"/>
        <v>-3.3948186635928537E-2</v>
      </c>
      <c r="T976" s="165">
        <f t="shared" si="1772"/>
        <v>-8.1328323296071684E-4</v>
      </c>
      <c r="U976" s="165"/>
      <c r="V976" s="165"/>
      <c r="W976" s="159">
        <f t="shared" si="1740"/>
        <v>228788.00016622583</v>
      </c>
      <c r="X976" s="163"/>
      <c r="Y976" s="167">
        <v>9335.4176590405223</v>
      </c>
      <c r="Z976" s="168"/>
      <c r="AA976" s="76">
        <f t="shared" si="1761"/>
        <v>0</v>
      </c>
      <c r="AB976" s="168"/>
      <c r="AC976" s="168"/>
      <c r="AD976" s="163">
        <f t="shared" si="1777"/>
        <v>367071.62829004438</v>
      </c>
      <c r="AE976" s="168">
        <f t="shared" si="1773"/>
        <v>0.13995621356959345</v>
      </c>
      <c r="AF976" s="113"/>
      <c r="AG976" s="114"/>
      <c r="AH976" s="114"/>
      <c r="AI976" s="114"/>
      <c r="AJ976" s="116">
        <f t="shared" si="1774"/>
        <v>426.61020118828361</v>
      </c>
      <c r="AK976" s="114">
        <f>+AV976/$AX$26</f>
        <v>2.2287516390549711E-2</v>
      </c>
      <c r="AL976" s="115">
        <f t="shared" si="1762"/>
        <v>0.1563392571055352</v>
      </c>
      <c r="AM976" s="115">
        <f t="shared" si="1763"/>
        <v>0.22038184435358577</v>
      </c>
      <c r="AN976" s="115">
        <f t="shared" si="1764"/>
        <v>0.62327889854087903</v>
      </c>
      <c r="AO976" s="115">
        <f t="shared" si="1766"/>
        <v>-6.5978628748758466E-3</v>
      </c>
      <c r="AP976" s="166">
        <f t="shared" si="1778"/>
        <v>133.28161108249782</v>
      </c>
      <c r="AQ976" s="168">
        <f t="shared" si="1779"/>
        <v>-6.5978628748759689E-3</v>
      </c>
      <c r="AR976" s="69">
        <f>+AD976/$AF$26</f>
        <v>2.3956603092902498E-2</v>
      </c>
      <c r="AS976" s="169">
        <f t="shared" si="1776"/>
        <v>-1.580623821548002E-4</v>
      </c>
      <c r="AT976" s="115"/>
      <c r="AU976" s="115"/>
      <c r="AV976" s="113">
        <v>860438</v>
      </c>
      <c r="AW976" s="68">
        <f t="shared" si="1780"/>
        <v>1.1358512166695936E-2</v>
      </c>
      <c r="AX976" s="113"/>
      <c r="AY976" s="113"/>
      <c r="AZ976" s="116"/>
      <c r="BA976" s="116"/>
      <c r="BB976" s="166"/>
      <c r="BC976" s="166"/>
      <c r="BD976" s="166"/>
      <c r="BE976" s="166"/>
      <c r="BF976" s="166"/>
      <c r="BG976" s="166"/>
      <c r="BH976" s="166"/>
      <c r="BI976" s="113"/>
      <c r="BJ976" s="113"/>
      <c r="BK976" s="113">
        <f>INDEX('Dist. Plant Gas Additions'!$E$7:$AE$91,MATCH($C976,'Dist. Plant Gas Additions'!$D$7:$D$91,0),MATCH(Calculation!$G976,'Dist. Plant Gas Additions'!$E$5:$AE$5,0))</f>
        <v>223517</v>
      </c>
      <c r="BL976" s="113">
        <f>INDEX('Gen. Plant Additions'!$E$7:$AE$91,MATCH($C976,'Gen. Plant Additions'!$D$7:$D$91,0),MATCH(Calculation!$G976,'Gen. Plant Additions'!$E$5:$AE$5,0))</f>
        <v>1275</v>
      </c>
      <c r="BM976" s="232">
        <v>0.9905426882345979</v>
      </c>
      <c r="BN976" s="61">
        <f t="shared" si="1781"/>
        <v>1262.9419274991124</v>
      </c>
      <c r="BO976" s="113"/>
      <c r="BP976" s="113"/>
      <c r="BQ976" s="175"/>
      <c r="BR976" s="175"/>
      <c r="BS976" s="170"/>
      <c r="BT976" s="176"/>
      <c r="BU976" s="177"/>
      <c r="BV976" s="177"/>
      <c r="BW976" s="113"/>
      <c r="BX976" s="113"/>
      <c r="BY976" s="113"/>
      <c r="BZ976" s="113"/>
      <c r="CA976" s="116">
        <v>2021</v>
      </c>
      <c r="CB976" s="113"/>
      <c r="CC976" s="113"/>
      <c r="CD976" s="113"/>
      <c r="CE976" s="175"/>
      <c r="CF976" s="113">
        <f t="shared" si="1742"/>
        <v>224792</v>
      </c>
      <c r="CG976" s="113">
        <f t="shared" si="1743"/>
        <v>240.92880952896357</v>
      </c>
      <c r="CH976" s="178">
        <f>+(51-23)/(51-23*0.75)</f>
        <v>0.82962962962962961</v>
      </c>
      <c r="CI976" s="113">
        <f>CI953*CH976+CG954*CH975+CG955*CH974+CG956*CH973+CG957*CH972+CG958*CH971+CG959*CH970+CG960*CH969+CG961*CH968+CG962*CH967+CG963*CH966+CG964*CH965+CG965*CH964+CG966*CH963+CG967*CH962+CG958*CH961+CG969*CH960+CG970*CH959+CG971*CH958+CG972*CH957+CG973*CH956+CG974*CH955+CG976+CG975*CH954</f>
        <v>9335.4176590405223</v>
      </c>
      <c r="CJ976" s="114"/>
      <c r="CK976" s="113"/>
      <c r="CL976" s="169">
        <f t="shared" si="1745"/>
        <v>5.1176784556523428E-3</v>
      </c>
      <c r="CM976" s="169">
        <f t="shared" si="1754"/>
        <v>7.8454774369481617E-3</v>
      </c>
      <c r="CN976" s="114">
        <f>VLOOKUP($H976,RoR!$E:$F,2,FALSE)</f>
        <v>2.7033333333333336E-2</v>
      </c>
      <c r="CO976" s="169"/>
      <c r="CP976" s="169"/>
      <c r="CQ976" s="169">
        <f t="shared" si="1755"/>
        <v>2.3056464171585463E-2</v>
      </c>
      <c r="CR976" s="169">
        <f t="shared" si="1756"/>
        <v>7.433422950153494E-2</v>
      </c>
      <c r="CS976" s="179">
        <f t="shared" si="1746"/>
        <v>0.92230000000000001</v>
      </c>
      <c r="CT976" s="180">
        <f t="shared" si="1747"/>
        <v>1.8969932656739068</v>
      </c>
      <c r="CU976" s="180">
        <f t="shared" si="1748"/>
        <v>5.0215782983970621E-2</v>
      </c>
      <c r="CV976" s="180">
        <f t="shared" si="1749"/>
        <v>0.655952481704143</v>
      </c>
      <c r="CW976" s="180">
        <f t="shared" si="1750"/>
        <v>6.2485378865697057E-2</v>
      </c>
      <c r="CX976" s="181">
        <f>CX975</f>
        <v>0.20999999999999996</v>
      </c>
      <c r="CY976" s="72">
        <v>0.37</v>
      </c>
      <c r="CZ976" s="182">
        <f t="shared" si="1753"/>
        <v>25.028029668658956</v>
      </c>
      <c r="DA976" s="182"/>
      <c r="DB976" s="169">
        <f>LN(CZ977/CZ975)</f>
        <v>0.21030848843506988</v>
      </c>
      <c r="DC976" s="181">
        <f>VLOOKUP($H976,RoR!$E:$F,2,FALSE)</f>
        <v>2.7033333333333336E-2</v>
      </c>
      <c r="DD976" s="183">
        <f>HLOOKUP($H976,'GDP-PI'!$D$8:$CR$11,3,FALSE)</f>
        <v>4.2834637353352578E-2</v>
      </c>
      <c r="DE976" s="181">
        <f>VLOOKUP(H976,'HW Dx Data'!$E:$F,2,FALSE)</f>
        <v>933.02249921662576</v>
      </c>
      <c r="DF976" s="72">
        <f t="shared" si="1767"/>
        <v>157.25</v>
      </c>
      <c r="DG976" s="69">
        <f t="shared" si="1768"/>
        <v>2.6419062301765574E-2</v>
      </c>
      <c r="DH976" s="175">
        <f>HLOOKUP(H976,'GDP-PI'!$8:$9,2,FALSE)</f>
        <v>118.49</v>
      </c>
      <c r="DI976" s="169">
        <f t="shared" si="1758"/>
        <v>4.194261824609434E-2</v>
      </c>
      <c r="EB976"/>
    </row>
    <row r="977" spans="1:132" s="160" customFormat="1" ht="21">
      <c r="G977" s="161" t="s">
        <v>144</v>
      </c>
      <c r="H977" s="162"/>
      <c r="I977" s="163"/>
      <c r="J977" s="159">
        <v>59406.6883621136</v>
      </c>
      <c r="K977" s="159">
        <f t="shared" si="1759"/>
        <v>365.46716925323653</v>
      </c>
      <c r="L977" s="164">
        <f t="shared" ref="L977" si="1782">LN(K977/K976)</f>
        <v>1.427974074704951E-3</v>
      </c>
      <c r="M977" s="76">
        <f t="shared" si="1769"/>
        <v>3.351147969769007E-5</v>
      </c>
      <c r="N977" s="166">
        <f>+N976*EXP(O977)</f>
        <v>119.03336500696642</v>
      </c>
      <c r="O977" s="114">
        <f t="shared" si="1770"/>
        <v>-9.6689865299813861E-3</v>
      </c>
      <c r="P977" s="114"/>
      <c r="Q977" s="163">
        <v>83741.958293581818</v>
      </c>
      <c r="R977" s="159">
        <f t="shared" si="1760"/>
        <v>658.09004552913018</v>
      </c>
      <c r="S977" s="165">
        <f t="shared" ref="S977" si="1783">LN(R977/R976)</f>
        <v>-3.674836135791431E-2</v>
      </c>
      <c r="T977" s="165">
        <f t="shared" si="1772"/>
        <v>-8.6240498856645926E-4</v>
      </c>
      <c r="U977" s="166"/>
      <c r="V977" s="114"/>
      <c r="W977" s="159">
        <f t="shared" si="1740"/>
        <v>238091.12239977397</v>
      </c>
      <c r="X977" s="168"/>
      <c r="Y977" s="167">
        <v>9419.3282761652281</v>
      </c>
      <c r="Z977" s="168">
        <v>8.9482605967590462E-3</v>
      </c>
      <c r="AA977" s="76">
        <f t="shared" si="1761"/>
        <v>2.0999642684681796E-4</v>
      </c>
      <c r="AB977" s="166"/>
      <c r="AC977" s="114"/>
      <c r="AD977" s="163">
        <f t="shared" si="1777"/>
        <v>381239.76905546943</v>
      </c>
      <c r="AE977" s="168">
        <f t="shared" si="1773"/>
        <v>3.7871490833864721E-2</v>
      </c>
      <c r="AF977" s="113"/>
      <c r="AG977" s="114"/>
      <c r="AH977" s="114"/>
      <c r="AI977" s="114"/>
      <c r="AJ977" s="116">
        <f t="shared" si="1774"/>
        <v>438.44248291663729</v>
      </c>
      <c r="AK977" s="114"/>
      <c r="AL977" s="115">
        <f t="shared" si="1762"/>
        <v>0.15582500353857384</v>
      </c>
      <c r="AM977" s="115">
        <f t="shared" si="1763"/>
        <v>0.21965693269895348</v>
      </c>
      <c r="AN977" s="115">
        <f t="shared" si="1764"/>
        <v>0.62451806376247254</v>
      </c>
      <c r="AO977" s="115"/>
      <c r="AP977" s="166"/>
      <c r="AQ977" s="168"/>
      <c r="AR977" s="69">
        <f>+AD977/$AF$27</f>
        <v>2.346784881554256E-2</v>
      </c>
      <c r="AS977" s="169"/>
      <c r="AT977" s="166"/>
      <c r="AU977" s="168"/>
      <c r="AV977" s="113">
        <v>869532</v>
      </c>
      <c r="AW977" s="68">
        <f t="shared" si="1780"/>
        <v>1.0513573954615366E-2</v>
      </c>
      <c r="AX977" s="113"/>
      <c r="AY977" s="113"/>
      <c r="AZ977" s="113"/>
      <c r="BA977" s="113"/>
      <c r="BB977" s="171"/>
      <c r="BC977" s="172"/>
      <c r="BD977" s="173"/>
      <c r="BE977" s="115"/>
      <c r="BF977" s="174"/>
      <c r="BG977" s="174"/>
      <c r="BH977" s="166"/>
      <c r="BI977" s="113"/>
      <c r="BJ977" s="113"/>
      <c r="BK977" s="113"/>
      <c r="BL977" s="113"/>
      <c r="BM977" s="232">
        <v>0.9905426882345979</v>
      </c>
      <c r="BN977" s="61">
        <f t="shared" si="1781"/>
        <v>0</v>
      </c>
      <c r="BO977" s="113"/>
      <c r="BP977" s="113"/>
      <c r="BQ977" s="175"/>
      <c r="BR977" s="175"/>
      <c r="BS977" s="170"/>
      <c r="BT977" s="176"/>
      <c r="BU977" s="177"/>
      <c r="BV977" s="177"/>
      <c r="BW977" s="113"/>
      <c r="BX977" s="113"/>
      <c r="BY977" s="113"/>
      <c r="BZ977" s="113"/>
      <c r="CA977" s="116">
        <v>2022</v>
      </c>
      <c r="CB977" s="113"/>
      <c r="CC977" s="113"/>
      <c r="CD977" s="113"/>
      <c r="CE977" s="175"/>
      <c r="CF977" s="238">
        <v>208889</v>
      </c>
      <c r="CG977" s="113">
        <f>+CF977/DE977</f>
        <v>202.64549237977903</v>
      </c>
      <c r="CH977" s="178">
        <f>+(51-24)/(51-24*0.75)</f>
        <v>0.81818181818181823</v>
      </c>
      <c r="CI977" s="113">
        <f>+CI953*CH977+CG954*CH976+CG955*CH975+CG956*CH974+CG957*CH973+CG958*CH972+CG959*CH971+CG960*CH970+CG961*CH969+CG962*CH968+CG963*CH967+CG964*CH966+CG965*CH965+CG966*CH964+CG967*CH963+CG968*CH962+CG969*CH961+CG970*CH960+CG971*CH959+CG972*CH958+CG973*CH957+CG974*CH956+CG975*CH955+CG976*CH954+CG977*CH953</f>
        <v>9403.9006027821597</v>
      </c>
      <c r="CJ977" s="114">
        <f t="shared" ref="CJ977" si="1784">LN(CI977/CI976)</f>
        <v>7.3090437613438459E-3</v>
      </c>
      <c r="CK977" s="113"/>
      <c r="CL977" s="169">
        <f t="shared" si="1745"/>
        <v>1.4371349364130174E-2</v>
      </c>
      <c r="CM977" s="169">
        <f t="shared" si="1754"/>
        <v>9.6111464686250512E-3</v>
      </c>
      <c r="CN977" s="114"/>
      <c r="CO977" s="169"/>
      <c r="CP977" s="169"/>
      <c r="CQ977" s="69">
        <f t="shared" si="1755"/>
        <v>2.1290795139908572E-2</v>
      </c>
      <c r="CR977" s="169">
        <f t="shared" si="1756"/>
        <v>0.10114668178709289</v>
      </c>
      <c r="CS977" s="179">
        <f t="shared" si="1746"/>
        <v>0.92230000000000001</v>
      </c>
      <c r="CT977" s="180">
        <f t="shared" si="1747"/>
        <v>1.2820512820512819</v>
      </c>
      <c r="CU977" s="180">
        <f t="shared" si="1748"/>
        <v>0.35000000000000003</v>
      </c>
      <c r="CV977" s="180">
        <f t="shared" si="1749"/>
        <v>0.79171095533705893</v>
      </c>
      <c r="CW977" s="180">
        <f t="shared" si="1750"/>
        <v>0.35525491585637264</v>
      </c>
      <c r="CX977" s="181">
        <f>CX976</f>
        <v>0.20999999999999996</v>
      </c>
      <c r="CY977" s="72">
        <v>0.37</v>
      </c>
      <c r="CZ977" s="182">
        <f t="shared" si="1753"/>
        <v>25.504067530305285</v>
      </c>
      <c r="DA977" s="182"/>
      <c r="DB977" s="169">
        <f t="shared" ref="DB977" si="1785">LN(CZ977/CZ976)</f>
        <v>1.8841566882115128E-2</v>
      </c>
      <c r="DC977" s="181">
        <v>0.04</v>
      </c>
      <c r="DD977" s="183">
        <v>7.0000000000000001E-3</v>
      </c>
      <c r="DE977" s="181">
        <v>1030.81</v>
      </c>
      <c r="DF977" s="72">
        <f t="shared" si="1767"/>
        <v>162.55000000000001</v>
      </c>
      <c r="DG977" s="169">
        <f t="shared" si="1768"/>
        <v>3.3148751169364422E-2</v>
      </c>
      <c r="DH977" s="175">
        <v>127.25</v>
      </c>
      <c r="DI977" s="169">
        <f t="shared" si="1758"/>
        <v>7.1325086601983473E-2</v>
      </c>
      <c r="EB977"/>
    </row>
    <row r="978" spans="1:132" s="160" customFormat="1" ht="21">
      <c r="A978" s="160" t="s">
        <v>218</v>
      </c>
      <c r="B978" s="160" t="s">
        <v>218</v>
      </c>
      <c r="C978" s="160">
        <v>4057140</v>
      </c>
      <c r="D978" s="161" t="s">
        <v>219</v>
      </c>
      <c r="E978" s="161"/>
      <c r="F978" s="189"/>
      <c r="G978" s="160" t="s">
        <v>100</v>
      </c>
      <c r="H978" s="162">
        <v>1998</v>
      </c>
      <c r="I978" s="163"/>
      <c r="J978" s="159"/>
      <c r="K978" s="159"/>
      <c r="L978" s="159"/>
      <c r="M978" s="60"/>
      <c r="N978" s="131"/>
      <c r="O978" s="76"/>
      <c r="P978" s="76"/>
      <c r="Q978" s="165"/>
      <c r="R978" s="165"/>
      <c r="S978" s="165"/>
      <c r="T978" s="159"/>
      <c r="U978" s="165"/>
      <c r="V978" s="165"/>
      <c r="W978" s="159"/>
      <c r="X978" s="163"/>
      <c r="Y978" s="167">
        <v>2430.2516564017628</v>
      </c>
      <c r="Z978" s="168"/>
      <c r="AA978" s="78"/>
      <c r="AB978" s="168"/>
      <c r="AC978" s="168"/>
      <c r="AD978" s="163">
        <f t="shared" si="1777"/>
        <v>0</v>
      </c>
      <c r="AE978" s="163"/>
      <c r="AF978" s="163"/>
      <c r="AG978" s="114"/>
      <c r="AH978" s="114"/>
      <c r="AI978" s="114"/>
      <c r="AJ978" s="166">
        <f>+(AJ975+AJ976+AJ977)/3</f>
        <v>413.39427612137018</v>
      </c>
      <c r="AK978" s="168"/>
      <c r="AL978" s="115"/>
      <c r="AM978" s="115"/>
      <c r="AN978" s="115"/>
      <c r="AO978" s="115"/>
      <c r="AP978" s="115"/>
      <c r="AQ978" s="168">
        <f>AVERAGE(AQ987:AQ1001)</f>
        <v>6.7400692066004984E-3</v>
      </c>
      <c r="AR978" s="79"/>
      <c r="AS978" s="115"/>
      <c r="AT978" s="115"/>
      <c r="AU978" s="115"/>
      <c r="AV978" s="113">
        <f>IFERROR(INDEX('Total Customers'!$F$7:$AB$91,MATCH($C978,'Total Customers'!$D$7:$D$91,0),MATCH($G978,'Total Customers'!$F$5:$AB$5,0)),"NA")</f>
        <v>648444</v>
      </c>
      <c r="AW978" s="68"/>
      <c r="AX978" s="114"/>
      <c r="AY978" s="114"/>
      <c r="AZ978" s="116"/>
      <c r="BA978" s="116"/>
      <c r="BB978" s="166"/>
      <c r="BC978" s="166"/>
      <c r="BD978" s="166"/>
      <c r="BE978" s="166"/>
      <c r="BF978" s="166"/>
      <c r="BG978" s="166"/>
      <c r="BH978" s="166"/>
      <c r="BI978" s="113">
        <f>INDEX('Gross Dx Plant'!$E$7:$AD$91,MATCH($C978,'Gross Dx Plant'!$D$7:$D$91,0),MATCH(Calculation!$G978,'Gross Dx Plant'!$E$5:$AD$5,0))</f>
        <v>685710</v>
      </c>
      <c r="BJ978" s="113">
        <f>INDEX('Gross Gen Plant'!$E$7:$AD$91,MATCH($C978,'Gross Gen Plant'!$D$7:$D$91,0),MATCH(Calculation!$G978,'Gross Gen Plant'!$E$5:$AD$5,0))</f>
        <v>113485</v>
      </c>
      <c r="BK978" s="113">
        <f>INDEX('Dist. Plant Gas Additions'!$F$7:$AE$91,MATCH($C978,'Dist. Plant Gas Additions'!$D$7:$D$91,0),MATCH(Calculation!$G978,'Dist. Plant Gas Additions'!$F$5:$AE$5,0))</f>
        <v>49562</v>
      </c>
      <c r="BL978" s="113">
        <f>INDEX('Gen. Plant Additions'!$F$7:$AE$91,MATCH($C978,'Gen. Plant Additions'!$D$7:$D$91,0),MATCH(Calculation!$G978,'Gen. Plant Additions'!$F$5:$AE$5,0))</f>
        <v>22050</v>
      </c>
      <c r="BM978" s="231">
        <f>+(BW978/(BW978+BX978))</f>
        <v>0.8580008633687648</v>
      </c>
      <c r="BN978" s="61">
        <f t="shared" si="1781"/>
        <v>18918.919037281263</v>
      </c>
      <c r="BO978" s="113">
        <f>INDEX('Dist Plant Depreciation'!$E$7:$AD$94,MATCH($C978,'Dist Plant Depreciation'!$D$7:$D$94,0),MATCH(Calculation!$G978,'Dist Plant Depreciation'!$E$5:$AD$5,0))</f>
        <v>249659</v>
      </c>
      <c r="BP978" s="113">
        <f>INDEX('Gen. Plant Depreciation'!$E$7:$AD$94,MATCH($C978,'Gen. Plant Depreciation'!$D$7:$D$94,0),MATCH(Calculation!$G978,'Gen. Plant Depreciation'!$E$5:$AD$5,0))</f>
        <v>59307</v>
      </c>
      <c r="BQ978" s="113"/>
      <c r="BR978" s="113"/>
      <c r="BS978" s="113"/>
      <c r="BT978" s="113"/>
      <c r="BU978" s="113"/>
      <c r="BV978" s="175"/>
      <c r="BW978" s="113">
        <f>INDEX('Gross Dx Plant'!$E$7:$AD$91,MATCH($C978,'Gross Dx Plant'!$D$7:$D$91,0),MATCH(Calculation!$G978,'Gross Dx Plant'!$E$5:$AD$5,0))</f>
        <v>685710</v>
      </c>
      <c r="BX978" s="113">
        <f>INDEX('Gross Gen Plant'!$E$7:$AD$91,MATCH($C978,'Gross Gen Plant'!$D$7:$D$91,0),MATCH(Calculation!$G978,'Gross Gen Plant'!$E$5:$AD$5,0))</f>
        <v>113485</v>
      </c>
      <c r="BY978" s="113">
        <f t="shared" si="1734"/>
        <v>490229</v>
      </c>
      <c r="BZ978" s="113"/>
      <c r="CA978" s="116">
        <v>1998</v>
      </c>
      <c r="CB978" s="113">
        <f>BI978+BJ978</f>
        <v>799195</v>
      </c>
      <c r="CC978" s="113">
        <f>249659+59307</f>
        <v>308966</v>
      </c>
      <c r="CD978" s="113">
        <f>+CB978-CC978</f>
        <v>490229</v>
      </c>
      <c r="CE978" s="113">
        <f>CD978/$BV$3</f>
        <v>2430.2516564017628</v>
      </c>
      <c r="CF978" s="175"/>
      <c r="CG978" s="175"/>
      <c r="CH978" s="178">
        <v>1</v>
      </c>
      <c r="CI978" s="113">
        <f>+CE978</f>
        <v>2430.2516564017628</v>
      </c>
      <c r="CJ978" s="114"/>
      <c r="CK978" s="114"/>
      <c r="CL978" s="169"/>
      <c r="CM978" s="169"/>
      <c r="CN978" s="114" t="e">
        <f>VLOOKUP($H978,RoR!$E:$F,2,FALSE)</f>
        <v>#N/A</v>
      </c>
      <c r="CO978" s="169">
        <v>1.1028127770464469E-2</v>
      </c>
      <c r="CP978" s="169"/>
      <c r="CQ978" s="169"/>
      <c r="CR978" s="169"/>
      <c r="CS978" s="179"/>
      <c r="CT978" s="182" t="e">
        <f>2/(DC978*39)</f>
        <v>#N/A</v>
      </c>
      <c r="CU978" s="180" t="e">
        <f>+(DC978*40-(1+DC978))/(DC978*40)</f>
        <v>#N/A</v>
      </c>
      <c r="CV978" s="180" t="e">
        <f>+(1-(1/(1+DC978)^40))</f>
        <v>#N/A</v>
      </c>
      <c r="CW978" s="180" t="e">
        <f>+CV978*CU978*CT978</f>
        <v>#N/A</v>
      </c>
      <c r="CX978" s="181">
        <f>INDEX('State Tax Lookup'!$D$7:$Z$91,MATCH(Calculation!$C978,'State Tax Lookup'!$B$7:$B$91,0),MATCH($H978,'State Tax Lookup'!$D$6:$Z$6,0))</f>
        <v>0.35</v>
      </c>
      <c r="CY978" s="72">
        <v>0.37</v>
      </c>
      <c r="CZ978" s="66"/>
      <c r="DA978" s="66"/>
      <c r="DB978" s="69"/>
      <c r="DC978" s="111" t="e">
        <f>VLOOKUP($H978,RoR!$E:$F,2,FALSE)</f>
        <v>#N/A</v>
      </c>
      <c r="DD978" s="216">
        <f>HLOOKUP($H978,'GDP-PI'!$D$8:$CQ$11,3,FALSE)</f>
        <v>1.1028127770464469E-2</v>
      </c>
      <c r="DE978" s="111">
        <f>VLOOKUP(H978,'HW Dx Data'!$E:$F,2,FALSE)</f>
        <v>329.24564746449528</v>
      </c>
      <c r="DF978" s="72" t="e">
        <f t="shared" si="1767"/>
        <v>#N/A</v>
      </c>
      <c r="DG978" s="169" t="e">
        <f t="shared" si="1768"/>
        <v>#N/A</v>
      </c>
      <c r="DH978" s="66">
        <f>HLOOKUP(H978,'GDP-PI'!$8:$9,2,FALSE)</f>
        <v>75.266999999999996</v>
      </c>
      <c r="DI978"/>
      <c r="EB978"/>
    </row>
    <row r="979" spans="1:132" s="160" customFormat="1" ht="21">
      <c r="A979" s="160" t="s">
        <v>218</v>
      </c>
      <c r="B979" s="160" t="s">
        <v>218</v>
      </c>
      <c r="C979" s="160">
        <v>4057140</v>
      </c>
      <c r="D979" s="161" t="s">
        <v>219</v>
      </c>
      <c r="E979" s="161"/>
      <c r="F979" s="189"/>
      <c r="G979" s="160" t="s">
        <v>106</v>
      </c>
      <c r="H979" s="162">
        <v>1999</v>
      </c>
      <c r="I979" s="163"/>
      <c r="J979" s="159"/>
      <c r="K979" s="163"/>
      <c r="L979" s="163"/>
      <c r="M979" s="60"/>
      <c r="N979" s="152"/>
      <c r="O979" s="60"/>
      <c r="P979" s="59"/>
      <c r="Q979" s="169"/>
      <c r="R979" s="169"/>
      <c r="S979" s="169"/>
      <c r="T979" s="187"/>
      <c r="U979" s="169"/>
      <c r="V979" s="169"/>
      <c r="W979" s="159">
        <f t="shared" ref="W979:W1002" si="1786">+CI978*CZ979</f>
        <v>0</v>
      </c>
      <c r="X979" s="163"/>
      <c r="Y979" s="167">
        <v>2566.0144307935871</v>
      </c>
      <c r="Z979" s="168">
        <v>5.435907572997839E-2</v>
      </c>
      <c r="AA979" s="78"/>
      <c r="AB979" s="168"/>
      <c r="AC979" s="168"/>
      <c r="AD979" s="163">
        <f t="shared" si="1777"/>
        <v>0</v>
      </c>
      <c r="AE979" s="168"/>
      <c r="AF979" s="163"/>
      <c r="AG979" s="114"/>
      <c r="AH979" s="114"/>
      <c r="AI979" s="114"/>
      <c r="AJ979" s="167"/>
      <c r="AK979" s="168"/>
      <c r="AL979" s="115"/>
      <c r="AM979" s="115"/>
      <c r="AN979" s="115"/>
      <c r="AO979" s="115"/>
      <c r="AP979" s="115"/>
      <c r="AQ979" s="168"/>
      <c r="AR979" s="79"/>
      <c r="AS979" s="115"/>
      <c r="AT979" s="115"/>
      <c r="AU979" s="115"/>
      <c r="AV979" s="113">
        <f>IFERROR(INDEX('Total Customers'!$F$7:$AB$91,MATCH($C979,'Total Customers'!$D$7:$D$91,0),MATCH($G979,'Total Customers'!$F$5:$AB$5,0)),"NA")</f>
        <v>671274</v>
      </c>
      <c r="AW979" s="68">
        <f t="shared" si="1780"/>
        <v>3.4601752468590381E-2</v>
      </c>
      <c r="AX979" s="114"/>
      <c r="AY979" s="114"/>
      <c r="AZ979" s="116"/>
      <c r="BA979" s="116"/>
      <c r="BB979" s="166"/>
      <c r="BC979" s="166"/>
      <c r="BD979" s="166"/>
      <c r="BE979" s="166"/>
      <c r="BF979" s="166"/>
      <c r="BG979" s="166"/>
      <c r="BH979" s="166"/>
      <c r="BI979" s="113"/>
      <c r="BJ979" s="113"/>
      <c r="BK979" s="113">
        <f>INDEX('Dist. Plant Gas Additions'!$F$7:$AE$91,MATCH($C979,'Dist. Plant Gas Additions'!$D$7:$D$91,0),MATCH(Calculation!$G979,'Dist. Plant Gas Additions'!$F$5:$AE$5,0))</f>
        <v>40107</v>
      </c>
      <c r="BL979" s="113">
        <f>INDEX('Gen. Plant Additions'!$F$7:$AE$91,MATCH($C979,'Gen. Plant Additions'!$D$7:$D$91,0),MATCH(Calculation!$G979,'Gen. Plant Additions'!$F$5:$AE$5,0))</f>
        <v>9472</v>
      </c>
      <c r="BM979" s="231">
        <f t="shared" ref="BM979:BM1000" si="1787">+(BW979/(BW979+BX979))</f>
        <v>0.85834393639111328</v>
      </c>
      <c r="BN979" s="61">
        <f t="shared" si="1781"/>
        <v>8130.233765496625</v>
      </c>
      <c r="BO979" s="113">
        <f>INDEX('Dist Plant Depreciation'!$E$7:$AD$94,MATCH($C979,'Dist Plant Depreciation'!$D$7:$D$94,0),MATCH(Calculation!$G979,'Dist Plant Depreciation'!$E$5:$AD$5,0))</f>
        <v>271133</v>
      </c>
      <c r="BP979" s="113">
        <f>INDEX('Gen. Plant Depreciation'!$E$7:$AD$94,MATCH($C979,'Gen. Plant Depreciation'!$D$7:$D$94,0),MATCH(Calculation!$G979,'Gen. Plant Depreciation'!$E$5:$AD$5,0))</f>
        <v>73735</v>
      </c>
      <c r="BQ979" s="113"/>
      <c r="BR979" s="113"/>
      <c r="BS979" s="113"/>
      <c r="BT979" s="113"/>
      <c r="BU979" s="113"/>
      <c r="BV979" s="175"/>
      <c r="BW979" s="113">
        <f>INDEX('Gross Dx Plant'!$E$7:$AD$91,MATCH($C979,'Gross Dx Plant'!$D$7:$D$91,0),MATCH(Calculation!$G979,'Gross Dx Plant'!$E$5:$AD$5,0))</f>
        <v>725874</v>
      </c>
      <c r="BX979" s="113">
        <f>INDEX('Gross Gen Plant'!$E$7:$AD$91,MATCH($C979,'Gross Gen Plant'!$D$7:$D$91,0),MATCH(Calculation!$G979,'Gross Gen Plant'!$E$5:$AD$5,0))</f>
        <v>119794</v>
      </c>
      <c r="BY979" s="113">
        <f t="shared" si="1734"/>
        <v>500800</v>
      </c>
      <c r="BZ979" s="113"/>
      <c r="CA979" s="116">
        <v>1999</v>
      </c>
      <c r="CB979" s="113"/>
      <c r="CC979" s="113"/>
      <c r="CD979" s="113"/>
      <c r="CE979" s="175"/>
      <c r="CF979" s="113">
        <f t="shared" ref="CF979:CF1001" si="1788">+BL979+BK979</f>
        <v>49579</v>
      </c>
      <c r="CG979" s="113">
        <f t="shared" ref="CG979:CG1001" si="1789">+CF979/$DE979</f>
        <v>147.85357865252925</v>
      </c>
      <c r="CH979" s="178">
        <v>0.99502487562189057</v>
      </c>
      <c r="CI979" s="61">
        <f>+CI978*CH979+CG979</f>
        <v>2566.0144307935871</v>
      </c>
      <c r="CJ979" s="114">
        <f t="shared" ref="CJ979:CJ1000" si="1790">LN(CI979/CI978)</f>
        <v>5.435907572997839E-2</v>
      </c>
      <c r="CK979" s="114"/>
      <c r="CL979" s="169">
        <f t="shared" ref="CL979:CL1002" si="1791">+(CI978-CI979+CG979)/CI978</f>
        <v>4.975124378109346E-3</v>
      </c>
      <c r="CM979" s="169"/>
      <c r="CN979" s="114">
        <f>VLOOKUP($H979,RoR!$E:$F,2,FALSE)</f>
        <v>7.0416666666666669E-2</v>
      </c>
      <c r="CO979" s="169">
        <v>1.4335631817396832E-2</v>
      </c>
      <c r="CP979" s="169">
        <f>+CN979-CO979</f>
        <v>5.6081034849269837E-2</v>
      </c>
      <c r="CQ979" s="169"/>
      <c r="CR979" s="169"/>
      <c r="CS979" s="179">
        <f t="shared" ref="CS979:CS1002" si="1792">1-CX979*CY979</f>
        <v>0.87050000000000005</v>
      </c>
      <c r="CT979" s="180">
        <f t="shared" ref="CT979:CT1002" si="1793">2/(DC979*39)</f>
        <v>0.72826581702321336</v>
      </c>
      <c r="CU979" s="180">
        <f t="shared" ref="CU979:CU1002" si="1794">+(DC979*40-(1+DC979))/(DC979*40)</f>
        <v>0.61997041420118348</v>
      </c>
      <c r="CV979" s="180">
        <f t="shared" ref="CV979:CV1002" si="1795">+(1-(1/(1+DC979)^40))</f>
        <v>0.93425155319585029</v>
      </c>
      <c r="CW979" s="180">
        <f t="shared" ref="CW979:CW1002" si="1796">+CV979*CU979*CT979</f>
        <v>0.42181762214141483</v>
      </c>
      <c r="CX979" s="181">
        <f>INDEX('State Tax Lookup'!$D$7:$Z$91,MATCH(Calculation!$C979,'State Tax Lookup'!$B$7:$B$91,0),MATCH($H979,'State Tax Lookup'!$D$6:$Z$6,0))</f>
        <v>0.35</v>
      </c>
      <c r="CY979" s="72">
        <v>0.37</v>
      </c>
      <c r="CZ979" s="70"/>
      <c r="DA979" s="70"/>
      <c r="DB979" s="69"/>
      <c r="DC979" s="111">
        <f>VLOOKUP($H979,RoR!$E:$F,2,FALSE)</f>
        <v>7.0416666666666669E-2</v>
      </c>
      <c r="DD979" s="216">
        <f>HLOOKUP($H979,'GDP-PI'!$D$8:$CQ$11,3,FALSE)</f>
        <v>1.4335631817396832E-2</v>
      </c>
      <c r="DE979" s="111">
        <f>VLOOKUP(H979,'HW Dx Data'!$E:$F,2,FALSE)</f>
        <v>335.32499146683239</v>
      </c>
      <c r="DF979" s="66"/>
      <c r="DG979" s="69"/>
      <c r="DH979" s="66">
        <f>HLOOKUP(H979,'GDP-PI'!$8:$9,2,FALSE)</f>
        <v>76.346000000000004</v>
      </c>
      <c r="DI979"/>
      <c r="EB979"/>
    </row>
    <row r="980" spans="1:132" s="160" customFormat="1" ht="21">
      <c r="A980" s="160" t="s">
        <v>218</v>
      </c>
      <c r="B980" s="160" t="s">
        <v>218</v>
      </c>
      <c r="C980" s="160">
        <v>4057140</v>
      </c>
      <c r="D980" s="161" t="s">
        <v>219</v>
      </c>
      <c r="E980" s="161"/>
      <c r="F980" s="189"/>
      <c r="G980" s="160" t="s">
        <v>107</v>
      </c>
      <c r="H980" s="162">
        <v>2000</v>
      </c>
      <c r="I980" s="163"/>
      <c r="J980" s="159"/>
      <c r="K980" s="159"/>
      <c r="L980" s="159"/>
      <c r="M980" s="60"/>
      <c r="N980" s="152"/>
      <c r="O980" s="60"/>
      <c r="P980" s="60"/>
      <c r="Q980" s="159"/>
      <c r="R980" s="159"/>
      <c r="S980" s="159"/>
      <c r="T980" s="159"/>
      <c r="U980" s="159"/>
      <c r="V980" s="159"/>
      <c r="W980" s="159">
        <f t="shared" si="1786"/>
        <v>0</v>
      </c>
      <c r="X980" s="163"/>
      <c r="Y980" s="167">
        <v>2868.7533873116708</v>
      </c>
      <c r="Z980" s="168">
        <v>0.11152368556277686</v>
      </c>
      <c r="AA980" s="78"/>
      <c r="AB980" s="168"/>
      <c r="AC980" s="168"/>
      <c r="AD980" s="163">
        <f t="shared" si="1777"/>
        <v>0</v>
      </c>
      <c r="AE980" s="168"/>
      <c r="AF980" s="163"/>
      <c r="AG980" s="163"/>
      <c r="AH980" s="163"/>
      <c r="AI980" s="163"/>
      <c r="AJ980" s="167"/>
      <c r="AK980" s="168"/>
      <c r="AL980" s="115"/>
      <c r="AM980" s="115"/>
      <c r="AN980" s="115"/>
      <c r="AO980" s="115"/>
      <c r="AP980" s="115"/>
      <c r="AQ980" s="168"/>
      <c r="AR980" s="79"/>
      <c r="AS980" s="115"/>
      <c r="AT980" s="115"/>
      <c r="AU980" s="115"/>
      <c r="AV980" s="113">
        <f>IFERROR(INDEX('Total Customers'!$F$7:$AB$91,MATCH($C980,'Total Customers'!$D$7:$D$91,0),MATCH($G980,'Total Customers'!$F$5:$AB$5,0)),"NA")</f>
        <v>706007</v>
      </c>
      <c r="AW980" s="68">
        <f t="shared" si="1780"/>
        <v>5.044775308440029E-2</v>
      </c>
      <c r="AX980" s="114"/>
      <c r="AY980" s="114"/>
      <c r="AZ980" s="116"/>
      <c r="BA980" s="116"/>
      <c r="BB980" s="166"/>
      <c r="BC980" s="166"/>
      <c r="BD980" s="166"/>
      <c r="BE980" s="166"/>
      <c r="BF980" s="166"/>
      <c r="BG980" s="166"/>
      <c r="BH980" s="166"/>
      <c r="BI980" s="113"/>
      <c r="BJ980" s="113"/>
      <c r="BK980" s="113">
        <f>INDEX('Dist. Plant Gas Additions'!$F$7:$AE$91,MATCH($C980,'Dist. Plant Gas Additions'!$D$7:$D$91,0),MATCH(Calculation!$G980,'Dist. Plant Gas Additions'!$F$5:$AE$5,0))</f>
        <v>95334</v>
      </c>
      <c r="BL980" s="113">
        <f>INDEX('Gen. Plant Additions'!$F$7:$AE$91,MATCH($C980,'Gen. Plant Additions'!$D$7:$D$91,0),MATCH(Calculation!$G980,'Gen. Plant Additions'!$F$5:$AE$5,0))</f>
        <v>14147</v>
      </c>
      <c r="BM980" s="231">
        <f t="shared" si="1787"/>
        <v>0.86816683436905906</v>
      </c>
      <c r="BN980" s="61">
        <f t="shared" si="1781"/>
        <v>12281.956205819079</v>
      </c>
      <c r="BO980" s="113">
        <f>INDEX('Dist Plant Depreciation'!$E$7:$AD$94,MATCH($C980,'Dist Plant Depreciation'!$D$7:$D$94,0),MATCH(Calculation!$G980,'Dist Plant Depreciation'!$E$5:$AD$5,0))</f>
        <v>292616</v>
      </c>
      <c r="BP980" s="113">
        <f>INDEX('Gen. Plant Depreciation'!$E$7:$AD$94,MATCH($C980,'Gen. Plant Depreciation'!$D$7:$D$94,0),MATCH(Calculation!$G980,'Gen. Plant Depreciation'!$E$5:$AD$5,0))</f>
        <v>75710</v>
      </c>
      <c r="BQ980" s="113"/>
      <c r="BR980" s="113"/>
      <c r="BS980" s="113"/>
      <c r="BT980" s="113"/>
      <c r="BU980" s="113"/>
      <c r="BV980" s="175"/>
      <c r="BW980" s="113">
        <f>INDEX('Gross Dx Plant'!$E$7:$AD$91,MATCH($C980,'Gross Dx Plant'!$D$7:$D$91,0),MATCH(Calculation!$G980,'Gross Dx Plant'!$E$5:$AD$5,0))</f>
        <v>818802</v>
      </c>
      <c r="BX980" s="113">
        <f>INDEX('Gross Gen Plant'!$E$7:$AD$91,MATCH($C980,'Gross Gen Plant'!$D$7:$D$91,0),MATCH(Calculation!$G980,'Gross Gen Plant'!$E$5:$AD$5,0))</f>
        <v>124337</v>
      </c>
      <c r="BY980" s="113">
        <f t="shared" si="1734"/>
        <v>574813</v>
      </c>
      <c r="BZ980" s="113"/>
      <c r="CA980" s="116">
        <v>2000</v>
      </c>
      <c r="CB980" s="113"/>
      <c r="CC980" s="113"/>
      <c r="CD980" s="113"/>
      <c r="CE980" s="175"/>
      <c r="CF980" s="113">
        <f t="shared" si="1788"/>
        <v>109481</v>
      </c>
      <c r="CG980" s="113">
        <f t="shared" si="1789"/>
        <v>315.93173873023443</v>
      </c>
      <c r="CH980" s="178">
        <v>0.98989898989898994</v>
      </c>
      <c r="CI980" s="61">
        <f>+CI978*CH980+CG979*CH979+CG980</f>
        <v>2868.7533873116708</v>
      </c>
      <c r="CJ980" s="114">
        <f t="shared" si="1790"/>
        <v>0.11152368556277686</v>
      </c>
      <c r="CK980" s="114"/>
      <c r="CL980" s="169">
        <f t="shared" si="1791"/>
        <v>5.1413515270335103E-3</v>
      </c>
      <c r="CM980" s="169"/>
      <c r="CN980" s="114">
        <f>VLOOKUP($H980,RoR!$E:$F,2,FALSE)</f>
        <v>7.6225000000000001E-2</v>
      </c>
      <c r="CO980" s="169">
        <v>2.2568307442433211E-2</v>
      </c>
      <c r="CP980" s="169">
        <f t="shared" ref="CP980:CP1000" si="1797">+CN980-CO980</f>
        <v>5.365669255756679E-2</v>
      </c>
      <c r="CQ980" s="169"/>
      <c r="CR980" s="169"/>
      <c r="CS980" s="179">
        <f t="shared" si="1792"/>
        <v>0.87050000000000005</v>
      </c>
      <c r="CT980" s="180">
        <f t="shared" si="1793"/>
        <v>0.67277207323124022</v>
      </c>
      <c r="CU980" s="180">
        <f t="shared" si="1794"/>
        <v>0.6470236142997704</v>
      </c>
      <c r="CV980" s="180">
        <f t="shared" si="1795"/>
        <v>0.94704866037543145</v>
      </c>
      <c r="CW980" s="180">
        <f t="shared" si="1796"/>
        <v>0.41224973107878493</v>
      </c>
      <c r="CX980" s="181">
        <f>INDEX('State Tax Lookup'!$D$7:$Z$91,MATCH(Calculation!$C980,'State Tax Lookup'!$B$7:$B$91,0),MATCH($H980,'State Tax Lookup'!$D$6:$Z$6,0))</f>
        <v>0.35</v>
      </c>
      <c r="CY980" s="72">
        <v>0.37</v>
      </c>
      <c r="CZ980" s="70"/>
      <c r="DA980" s="70"/>
      <c r="DB980" s="69"/>
      <c r="DC980" s="111">
        <f>VLOOKUP($H980,RoR!$E:$F,2,FALSE)</f>
        <v>7.6225000000000001E-2</v>
      </c>
      <c r="DD980" s="216">
        <f>HLOOKUP($H980,'GDP-PI'!$D$8:$CQ$11,3,FALSE)</f>
        <v>2.2568307442433211E-2</v>
      </c>
      <c r="DE980" s="111">
        <f>VLOOKUP(H980,'HW Dx Data'!$E:$F,2,FALSE)</f>
        <v>346.53371782150339</v>
      </c>
      <c r="DF980" s="66"/>
      <c r="DG980" s="69"/>
      <c r="DH980" s="66">
        <f>HLOOKUP(H980,'GDP-PI'!$8:$9,2,FALSE)</f>
        <v>78.069000000000003</v>
      </c>
      <c r="DI980"/>
      <c r="EB980"/>
    </row>
    <row r="981" spans="1:132" s="160" customFormat="1" ht="21">
      <c r="A981" s="160" t="s">
        <v>218</v>
      </c>
      <c r="B981" s="160" t="s">
        <v>218</v>
      </c>
      <c r="C981" s="160">
        <v>4057140</v>
      </c>
      <c r="D981" s="161" t="s">
        <v>219</v>
      </c>
      <c r="E981" s="161"/>
      <c r="F981" s="189"/>
      <c r="G981" s="160" t="s">
        <v>111</v>
      </c>
      <c r="H981" s="162">
        <v>2001</v>
      </c>
      <c r="I981" s="163"/>
      <c r="J981" s="159"/>
      <c r="K981" s="159"/>
      <c r="L981" s="159"/>
      <c r="M981" s="60"/>
      <c r="N981" s="152"/>
      <c r="O981" s="60"/>
      <c r="P981" s="60"/>
      <c r="Q981" s="159"/>
      <c r="R981" s="159"/>
      <c r="S981" s="159"/>
      <c r="T981" s="159"/>
      <c r="U981" s="159"/>
      <c r="V981" s="159"/>
      <c r="W981" s="159">
        <f t="shared" si="1786"/>
        <v>35145.586412320044</v>
      </c>
      <c r="X981" s="163"/>
      <c r="Y981" s="167">
        <v>3068.5983864350897</v>
      </c>
      <c r="Z981" s="168">
        <v>6.7343330109602167E-2</v>
      </c>
      <c r="AA981" s="78"/>
      <c r="AB981" s="168"/>
      <c r="AC981" s="168"/>
      <c r="AD981" s="163">
        <f t="shared" si="1777"/>
        <v>35145.586412320044</v>
      </c>
      <c r="AE981" s="168"/>
      <c r="AF981" s="163"/>
      <c r="AG981" s="163"/>
      <c r="AH981" s="163"/>
      <c r="AI981" s="163"/>
      <c r="AJ981" s="167"/>
      <c r="AK981" s="168"/>
      <c r="AL981" s="115"/>
      <c r="AM981" s="115"/>
      <c r="AN981" s="115"/>
      <c r="AO981" s="115"/>
      <c r="AP981" s="115"/>
      <c r="AQ981" s="168"/>
      <c r="AR981" s="79"/>
      <c r="AS981" s="115"/>
      <c r="AT981" s="115"/>
      <c r="AU981" s="115"/>
      <c r="AV981" s="113">
        <f>IFERROR(INDEX('Total Customers'!$F$7:$AB$91,MATCH($C981,'Total Customers'!$D$7:$D$91,0),MATCH($G981,'Total Customers'!$F$5:$AB$5,0)),"NA")</f>
        <v>732756</v>
      </c>
      <c r="AW981" s="68">
        <f t="shared" si="1780"/>
        <v>3.7187615430852049E-2</v>
      </c>
      <c r="AX981" s="114"/>
      <c r="AY981" s="114"/>
      <c r="AZ981" s="116"/>
      <c r="BA981" s="116"/>
      <c r="BB981" s="166"/>
      <c r="BC981" s="166"/>
      <c r="BD981" s="166"/>
      <c r="BE981" s="166"/>
      <c r="BF981" s="166"/>
      <c r="BG981" s="166"/>
      <c r="BH981" s="166"/>
      <c r="BI981" s="113"/>
      <c r="BJ981" s="113"/>
      <c r="BK981" s="113">
        <f>INDEX('Dist. Plant Gas Additions'!$F$7:$AE$91,MATCH($C981,'Dist. Plant Gas Additions'!$D$7:$D$91,0),MATCH(Calculation!$G981,'Dist. Plant Gas Additions'!$F$5:$AE$5,0))</f>
        <v>56613</v>
      </c>
      <c r="BL981" s="113">
        <f>INDEX('Gen. Plant Additions'!$F$7:$AE$91,MATCH($C981,'Gen. Plant Additions'!$D$7:$D$91,0),MATCH(Calculation!$G981,'Gen. Plant Additions'!$F$5:$AE$5,0))</f>
        <v>18828</v>
      </c>
      <c r="BM981" s="231">
        <f t="shared" si="1787"/>
        <v>0.86412520420703509</v>
      </c>
      <c r="BN981" s="61">
        <f t="shared" si="1781"/>
        <v>16269.749344810056</v>
      </c>
      <c r="BO981" s="113">
        <f>INDEX('Dist Plant Depreciation'!$E$7:$AD$94,MATCH($C981,'Dist Plant Depreciation'!$D$7:$D$94,0),MATCH(Calculation!$G981,'Dist Plant Depreciation'!$E$5:$AD$5,0))</f>
        <v>84751</v>
      </c>
      <c r="BP981" s="113">
        <f>INDEX('Gen. Plant Depreciation'!$E$7:$AD$94,MATCH($C981,'Gen. Plant Depreciation'!$D$7:$D$94,0),MATCH(Calculation!$G981,'Gen. Plant Depreciation'!$E$5:$AD$5,0))</f>
        <v>323836</v>
      </c>
      <c r="BQ981" s="113"/>
      <c r="BR981" s="113"/>
      <c r="BS981" s="113"/>
      <c r="BT981" s="113"/>
      <c r="BU981" s="113"/>
      <c r="BV981" s="175"/>
      <c r="BW981" s="113">
        <f>INDEX('Gross Dx Plant'!$E$7:$AD$91,MATCH($C981,'Gross Dx Plant'!$D$7:$D$91,0),MATCH(Calculation!$G981,'Gross Dx Plant'!$E$5:$AD$5,0))</f>
        <v>875415</v>
      </c>
      <c r="BX981" s="113">
        <f>INDEX('Gross Gen Plant'!$E$7:$AD$91,MATCH($C981,'Gross Gen Plant'!$D$7:$D$91,0),MATCH(Calculation!$G981,'Gross Gen Plant'!$E$5:$AD$5,0))</f>
        <v>137650</v>
      </c>
      <c r="BY981" s="113">
        <f t="shared" si="1734"/>
        <v>604478</v>
      </c>
      <c r="BZ981" s="113"/>
      <c r="CA981" s="116">
        <v>2001</v>
      </c>
      <c r="CB981" s="113"/>
      <c r="CC981" s="113"/>
      <c r="CD981" s="113"/>
      <c r="CE981" s="175"/>
      <c r="CF981" s="113">
        <f t="shared" si="1788"/>
        <v>75441</v>
      </c>
      <c r="CG981" s="113">
        <f t="shared" si="1789"/>
        <v>213.44337016356835</v>
      </c>
      <c r="CH981" s="178">
        <v>0.98461538461538467</v>
      </c>
      <c r="CI981" s="61">
        <f>+CI978*CH981+CG979*CH980+CG980*CH978+CG981</f>
        <v>3068.5983864350897</v>
      </c>
      <c r="CJ981" s="114">
        <f t="shared" si="1790"/>
        <v>6.7343330109602167E-2</v>
      </c>
      <c r="CK981" s="114"/>
      <c r="CL981" s="169">
        <f t="shared" si="1791"/>
        <v>4.7401673145884022E-3</v>
      </c>
      <c r="CM981" s="169">
        <f>+(CL981+CL980+CL979)/3</f>
        <v>4.952214406577087E-3</v>
      </c>
      <c r="CN981" s="114">
        <f>VLOOKUP($H981,RoR!$E:$F,2,FALSE)</f>
        <v>7.0824999999999999E-2</v>
      </c>
      <c r="CO981" s="169">
        <v>2.2454495382290052E-2</v>
      </c>
      <c r="CP981" s="169">
        <f t="shared" si="1797"/>
        <v>4.8370504617709947E-2</v>
      </c>
      <c r="CQ981" s="169">
        <f>+$CP$2-CM981</f>
        <v>2.5949727201956537E-2</v>
      </c>
      <c r="CR981" s="169">
        <f>+((DE979/DE978-1)+(DE980/DE979-1)+(DE981/DE980-1))/3</f>
        <v>2.3947275901631187E-2</v>
      </c>
      <c r="CS981" s="179">
        <f t="shared" si="1792"/>
        <v>0.87050000000000005</v>
      </c>
      <c r="CT981" s="180">
        <f t="shared" si="1793"/>
        <v>0.72406708481540816</v>
      </c>
      <c r="CU981" s="180">
        <f t="shared" si="1794"/>
        <v>0.62201729615248857</v>
      </c>
      <c r="CV981" s="180">
        <f t="shared" si="1795"/>
        <v>0.9352469954311422</v>
      </c>
      <c r="CW981" s="180">
        <f t="shared" si="1796"/>
        <v>0.42121864641655071</v>
      </c>
      <c r="CX981" s="181">
        <f>INDEX('State Tax Lookup'!$D$7:$Z$91,MATCH(Calculation!$C981,'State Tax Lookup'!$B$7:$B$91,0),MATCH($H981,'State Tax Lookup'!$D$6:$Z$6,0))</f>
        <v>0.35</v>
      </c>
      <c r="CY981" s="72">
        <v>0.37</v>
      </c>
      <c r="CZ981" s="70">
        <f t="shared" ref="CZ981:CZ1002" si="1798">+(DE981*CQ981-CR981)*CS981/(1-CX981)</f>
        <v>12.251170340318176</v>
      </c>
      <c r="DA981" s="70"/>
      <c r="DB981" s="69"/>
      <c r="DC981" s="111">
        <f>VLOOKUP($H981,RoR!$E:$F,2,FALSE)</f>
        <v>7.0824999999999999E-2</v>
      </c>
      <c r="DD981" s="216">
        <f>HLOOKUP($H981,'GDP-PI'!$D$8:$CQ$11,3,FALSE)</f>
        <v>2.2454495382290052E-2</v>
      </c>
      <c r="DE981" s="111">
        <f>VLOOKUP(H981,'HW Dx Data'!$E:$F,2,FALSE)</f>
        <v>353.44738017483138</v>
      </c>
      <c r="DF981" s="66"/>
      <c r="DG981" s="69"/>
      <c r="DH981" s="66">
        <f>HLOOKUP(H981,'GDP-PI'!$8:$9,2,FALSE)</f>
        <v>79.822000000000003</v>
      </c>
      <c r="DI981"/>
      <c r="EB981"/>
    </row>
    <row r="982" spans="1:132" s="160" customFormat="1" ht="21">
      <c r="A982" s="160" t="s">
        <v>218</v>
      </c>
      <c r="B982" s="160" t="s">
        <v>218</v>
      </c>
      <c r="C982" s="160">
        <v>4057140</v>
      </c>
      <c r="D982" s="161" t="s">
        <v>219</v>
      </c>
      <c r="E982" s="161"/>
      <c r="F982" s="189"/>
      <c r="G982" s="160" t="s">
        <v>113</v>
      </c>
      <c r="H982" s="162">
        <v>2002</v>
      </c>
      <c r="I982" s="163"/>
      <c r="J982" s="159"/>
      <c r="K982" s="159"/>
      <c r="L982" s="159"/>
      <c r="M982" s="60"/>
      <c r="N982" s="152"/>
      <c r="O982" s="60"/>
      <c r="P982" s="60"/>
      <c r="Q982" s="159"/>
      <c r="R982" s="159"/>
      <c r="S982" s="159"/>
      <c r="T982" s="159"/>
      <c r="U982" s="159"/>
      <c r="V982" s="159"/>
      <c r="W982" s="159">
        <f t="shared" si="1786"/>
        <v>37945.69927805668</v>
      </c>
      <c r="X982" s="163"/>
      <c r="Y982" s="167">
        <v>3296.3398701488386</v>
      </c>
      <c r="Z982" s="168">
        <v>7.1591816976495942E-2</v>
      </c>
      <c r="AA982" s="78"/>
      <c r="AB982" s="168"/>
      <c r="AC982" s="168"/>
      <c r="AD982" s="163">
        <f t="shared" si="1777"/>
        <v>37945.69927805668</v>
      </c>
      <c r="AE982" s="168"/>
      <c r="AF982" s="163"/>
      <c r="AG982" s="163"/>
      <c r="AH982" s="163"/>
      <c r="AI982" s="163"/>
      <c r="AJ982" s="167"/>
      <c r="AK982" s="168"/>
      <c r="AL982" s="115"/>
      <c r="AM982" s="115"/>
      <c r="AN982" s="115"/>
      <c r="AO982" s="115"/>
      <c r="AP982" s="115"/>
      <c r="AQ982" s="168"/>
      <c r="AR982" s="79"/>
      <c r="AS982" s="115"/>
      <c r="AT982" s="115"/>
      <c r="AU982" s="115"/>
      <c r="AV982" s="113">
        <f>IFERROR(INDEX('Total Customers'!$F$7:$AB$91,MATCH($C982,'Total Customers'!$D$7:$D$91,0),MATCH($G982,'Total Customers'!$F$5:$AB$5,0)),"NA")</f>
        <v>735847</v>
      </c>
      <c r="AW982" s="68">
        <f t="shared" si="1780"/>
        <v>4.2094487948560891E-3</v>
      </c>
      <c r="AX982" s="114"/>
      <c r="AY982" s="114"/>
      <c r="AZ982" s="116"/>
      <c r="BA982" s="116"/>
      <c r="BB982" s="166"/>
      <c r="BC982" s="166"/>
      <c r="BD982" s="166"/>
      <c r="BE982" s="166"/>
      <c r="BF982" s="166"/>
      <c r="BG982" s="166"/>
      <c r="BH982" s="166"/>
      <c r="BI982" s="113"/>
      <c r="BJ982" s="113"/>
      <c r="BK982" s="113">
        <f>INDEX('Dist. Plant Gas Additions'!$F$7:$AE$91,MATCH($C982,'Dist. Plant Gas Additions'!$D$7:$D$91,0),MATCH(Calculation!$G982,'Dist. Plant Gas Additions'!$F$5:$AE$5,0))</f>
        <v>78626</v>
      </c>
      <c r="BL982" s="113">
        <f>INDEX('Gen. Plant Additions'!$F$7:$AE$91,MATCH($C982,'Gen. Plant Additions'!$D$7:$D$91,0),MATCH(Calculation!$G982,'Gen. Plant Additions'!$F$5:$AE$5,0))</f>
        <v>10272</v>
      </c>
      <c r="BM982" s="231">
        <f t="shared" si="1787"/>
        <v>0.86842544542027988</v>
      </c>
      <c r="BN982" s="61">
        <f t="shared" si="1781"/>
        <v>8920.4661753571145</v>
      </c>
      <c r="BO982" s="113"/>
      <c r="BP982" s="113"/>
      <c r="BQ982" s="113"/>
      <c r="BR982" s="113"/>
      <c r="BS982" s="113"/>
      <c r="BT982" s="113"/>
      <c r="BU982" s="113"/>
      <c r="BV982" s="175"/>
      <c r="BW982" s="113">
        <f>INDEX('Gross Dx Plant'!$E$7:$AD$91,MATCH($C982,'Gross Dx Plant'!$D$7:$D$91,0),MATCH(Calculation!$G982,'Gross Dx Plant'!$E$5:$AD$5,0))</f>
        <v>941645</v>
      </c>
      <c r="BX982" s="113">
        <f>INDEX('Gross Gen Plant'!$E$7:$AD$91,MATCH($C982,'Gross Gen Plant'!$D$7:$D$91,0),MATCH(Calculation!$G982,'Gross Gen Plant'!$E$5:$AD$5,0))</f>
        <v>142668</v>
      </c>
      <c r="BY982" s="113">
        <f t="shared" si="1734"/>
        <v>1084313</v>
      </c>
      <c r="BZ982" s="113"/>
      <c r="CA982" s="116">
        <v>2002</v>
      </c>
      <c r="CB982" s="113"/>
      <c r="CC982" s="113"/>
      <c r="CD982" s="113"/>
      <c r="CE982" s="175"/>
      <c r="CF982" s="113">
        <f t="shared" si="1788"/>
        <v>88898</v>
      </c>
      <c r="CG982" s="113">
        <f t="shared" si="1789"/>
        <v>246.01757648164519</v>
      </c>
      <c r="CH982" s="178">
        <v>0.97916666666666663</v>
      </c>
      <c r="CI982" s="61">
        <f>+CI978*CH982+CG979*CH981+CG980*CH980+CG981*CH979+CG982</f>
        <v>3296.3398701488386</v>
      </c>
      <c r="CJ982" s="114">
        <f t="shared" si="1790"/>
        <v>7.1591816976495942E-2</v>
      </c>
      <c r="CK982" s="114"/>
      <c r="CL982" s="169">
        <f t="shared" si="1791"/>
        <v>5.955843830423275E-3</v>
      </c>
      <c r="CM982" s="169">
        <f t="shared" ref="CM982:CM1002" si="1799">+(CL982+CL981+CL980)/3</f>
        <v>5.2791208906817289E-3</v>
      </c>
      <c r="CN982" s="114">
        <f>VLOOKUP($H982,RoR!$E:$F,2,FALSE)</f>
        <v>6.4916666666666664E-2</v>
      </c>
      <c r="CO982" s="169">
        <v>1.5246423291824351E-2</v>
      </c>
      <c r="CP982" s="169">
        <f t="shared" si="1797"/>
        <v>4.9670243374842313E-2</v>
      </c>
      <c r="CQ982" s="169">
        <f t="shared" ref="CQ982:CQ1002" si="1800">+$CP$2-CM982</f>
        <v>2.5622820717851897E-2</v>
      </c>
      <c r="CR982" s="169">
        <f t="shared" ref="CR982:CR1002" si="1801">+((DE980/DE979-1)+(DE981/DE980-1)+(DE982/DE981-1))/3</f>
        <v>2.5243621214759093E-2</v>
      </c>
      <c r="CS982" s="179">
        <f t="shared" si="1792"/>
        <v>0.87050000000000005</v>
      </c>
      <c r="CT982" s="180">
        <f t="shared" si="1793"/>
        <v>0.78996741384417901</v>
      </c>
      <c r="CU982" s="180">
        <f t="shared" si="1794"/>
        <v>0.58989088575096271</v>
      </c>
      <c r="CV982" s="180">
        <f t="shared" si="1795"/>
        <v>0.91920675783645744</v>
      </c>
      <c r="CW982" s="180">
        <f t="shared" si="1796"/>
        <v>0.42834536472275586</v>
      </c>
      <c r="CX982" s="181">
        <f>INDEX('State Tax Lookup'!$D$7:$Z$91,MATCH(Calculation!$C982,'State Tax Lookup'!$B$7:$B$91,0),MATCH($H982,'State Tax Lookup'!$D$6:$Z$6,0))</f>
        <v>0.35</v>
      </c>
      <c r="CY982" s="72">
        <v>0.37</v>
      </c>
      <c r="CZ982" s="70">
        <f t="shared" si="1798"/>
        <v>12.365808261451795</v>
      </c>
      <c r="DA982" s="70"/>
      <c r="DB982" s="69">
        <f>LN(CZ982/CZ981)</f>
        <v>9.3137953030583351E-3</v>
      </c>
      <c r="DC982" s="111">
        <f>VLOOKUP($H982,RoR!$E:$F,2,FALSE)</f>
        <v>6.4916666666666664E-2</v>
      </c>
      <c r="DD982" s="216">
        <f>HLOOKUP($H982,'GDP-PI'!$D$8:$CQ$11,3,FALSE)</f>
        <v>1.5246423291824351E-2</v>
      </c>
      <c r="DE982" s="111">
        <f>VLOOKUP(H982,'HW Dx Data'!$E:$F,2,FALSE)</f>
        <v>361.34816573413599</v>
      </c>
      <c r="DF982" s="66"/>
      <c r="DG982" s="69"/>
      <c r="DH982" s="66">
        <f>HLOOKUP(H982,'GDP-PI'!$8:$9,2,FALSE)</f>
        <v>81.039000000000001</v>
      </c>
      <c r="DI982" s="69">
        <f>LN(DH982/DH981)</f>
        <v>1.513136459537477E-2</v>
      </c>
      <c r="EB982"/>
    </row>
    <row r="983" spans="1:132" s="160" customFormat="1" ht="21">
      <c r="A983" s="160" t="s">
        <v>218</v>
      </c>
      <c r="B983" s="160" t="s">
        <v>218</v>
      </c>
      <c r="C983" s="160">
        <v>4057140</v>
      </c>
      <c r="D983" s="161" t="s">
        <v>219</v>
      </c>
      <c r="E983" s="161"/>
      <c r="F983" s="189"/>
      <c r="G983" s="160" t="s">
        <v>114</v>
      </c>
      <c r="H983" s="162">
        <v>2003</v>
      </c>
      <c r="I983" s="163"/>
      <c r="J983" s="159"/>
      <c r="K983" s="159"/>
      <c r="L983" s="159"/>
      <c r="M983" s="76"/>
      <c r="N983" s="152"/>
      <c r="O983" s="76"/>
      <c r="P983" s="76"/>
      <c r="Q983" s="159"/>
      <c r="R983" s="159"/>
      <c r="S983" s="159"/>
      <c r="T983" s="159"/>
      <c r="U983" s="159"/>
      <c r="V983" s="159"/>
      <c r="W983" s="159">
        <f t="shared" si="1786"/>
        <v>41422.401346826577</v>
      </c>
      <c r="X983" s="163"/>
      <c r="Y983" s="167">
        <v>3458.930383188112</v>
      </c>
      <c r="Z983" s="168">
        <v>4.8146680795429553E-2</v>
      </c>
      <c r="AA983" s="78"/>
      <c r="AB983" s="168"/>
      <c r="AC983" s="168"/>
      <c r="AD983" s="163">
        <f t="shared" si="1777"/>
        <v>41422.401346826577</v>
      </c>
      <c r="AE983" s="168"/>
      <c r="AF983" s="163"/>
      <c r="AG983" s="163"/>
      <c r="AH983" s="163"/>
      <c r="AI983" s="163"/>
      <c r="AJ983" s="167"/>
      <c r="AK983" s="168"/>
      <c r="AL983" s="115"/>
      <c r="AM983" s="115"/>
      <c r="AN983" s="115"/>
      <c r="AO983" s="115"/>
      <c r="AP983" s="115"/>
      <c r="AQ983" s="168"/>
      <c r="AR983" s="79"/>
      <c r="AS983" s="115"/>
      <c r="AT983" s="115"/>
      <c r="AU983" s="115"/>
      <c r="AV983" s="113">
        <f>IFERROR(INDEX('Total Customers'!$F$7:$AB$91,MATCH($C983,'Total Customers'!$D$7:$D$91,0),MATCH($G983,'Total Customers'!$F$5:$AB$5,0)),"NA")</f>
        <v>755075</v>
      </c>
      <c r="AW983" s="68">
        <f t="shared" si="1780"/>
        <v>2.5794865379740611E-2</v>
      </c>
      <c r="AX983" s="114"/>
      <c r="AY983" s="114"/>
      <c r="AZ983" s="116"/>
      <c r="BA983" s="116"/>
      <c r="BB983" s="166"/>
      <c r="BC983" s="166"/>
      <c r="BD983" s="166"/>
      <c r="BE983" s="166"/>
      <c r="BF983" s="166"/>
      <c r="BG983" s="166"/>
      <c r="BH983" s="166"/>
      <c r="BI983" s="113"/>
      <c r="BJ983" s="113"/>
      <c r="BK983" s="113">
        <f>INDEX('Dist. Plant Gas Additions'!$F$7:$AE$91,MATCH($C983,'Dist. Plant Gas Additions'!$D$7:$D$91,0),MATCH(Calculation!$G983,'Dist. Plant Gas Additions'!$F$5:$AE$5,0))</f>
        <v>63959</v>
      </c>
      <c r="BL983" s="113">
        <f>INDEX('Gen. Plant Additions'!$F$7:$AE$91,MATCH($C983,'Gen. Plant Additions'!$D$7:$D$91,0),MATCH(Calculation!$G983,'Gen. Plant Additions'!$F$5:$AE$5,0))</f>
        <v>2889</v>
      </c>
      <c r="BM983" s="231">
        <f t="shared" si="1787"/>
        <v>0.8786183746804872</v>
      </c>
      <c r="BN983" s="61">
        <f t="shared" si="1781"/>
        <v>2538.3284844519276</v>
      </c>
      <c r="BO983" s="113">
        <f>INDEX('Dist Plant Depreciation'!$E$7:$AD$94,MATCH($C983,'Dist Plant Depreciation'!$D$7:$D$94,0),MATCH(Calculation!$G983,'Dist Plant Depreciation'!$E$5:$AD$5,0))</f>
        <v>351229</v>
      </c>
      <c r="BP983" s="113">
        <f>INDEX('Gen. Plant Depreciation'!$E$7:$AD$94,MATCH($C983,'Gen. Plant Depreciation'!$D$7:$D$94,0),MATCH(Calculation!$G983,'Gen. Plant Depreciation'!$E$5:$AD$5,0))</f>
        <v>103509</v>
      </c>
      <c r="BQ983" s="113"/>
      <c r="BR983" s="113"/>
      <c r="BS983" s="113"/>
      <c r="BT983" s="113"/>
      <c r="BU983" s="113"/>
      <c r="BV983" s="175"/>
      <c r="BW983" s="113">
        <f>INDEX('Gross Dx Plant'!$E$7:$AD$91,MATCH($C983,'Gross Dx Plant'!$D$7:$D$91,0),MATCH(Calculation!$G983,'Gross Dx Plant'!$E$5:$AD$5,0))</f>
        <v>990984</v>
      </c>
      <c r="BX983" s="113">
        <f>INDEX('Gross Gen Plant'!$E$7:$AD$91,MATCH($C983,'Gross Gen Plant'!$D$7:$D$91,0),MATCH(Calculation!$G983,'Gross Gen Plant'!$E$5:$AD$5,0))</f>
        <v>136905</v>
      </c>
      <c r="BY983" s="113">
        <f t="shared" si="1734"/>
        <v>673151</v>
      </c>
      <c r="BZ983" s="113"/>
      <c r="CA983" s="116">
        <v>2003</v>
      </c>
      <c r="CB983" s="113"/>
      <c r="CC983" s="113"/>
      <c r="CD983" s="113"/>
      <c r="CE983" s="175"/>
      <c r="CF983" s="113">
        <f t="shared" si="1788"/>
        <v>66848</v>
      </c>
      <c r="CG983" s="113">
        <f t="shared" si="1789"/>
        <v>181.04556747781709</v>
      </c>
      <c r="CH983" s="178">
        <v>0.97354497354497349</v>
      </c>
      <c r="CI983" s="61">
        <f>+CI978*CH983+CG979*CH982+CG980*CH981+CG981*CH980+CG982*CH979+CG983</f>
        <v>3458.930383188112</v>
      </c>
      <c r="CJ983" s="114">
        <f t="shared" si="1790"/>
        <v>4.8146680795429553E-2</v>
      </c>
      <c r="CK983" s="114"/>
      <c r="CL983" s="169">
        <f t="shared" si="1791"/>
        <v>5.598650371483189E-3</v>
      </c>
      <c r="CM983" s="169">
        <f t="shared" si="1799"/>
        <v>5.4315538388316218E-3</v>
      </c>
      <c r="CN983" s="114">
        <f>VLOOKUP($H983,RoR!$E:$F,2,FALSE)</f>
        <v>5.6666666666666671E-2</v>
      </c>
      <c r="CO983" s="169">
        <v>1.8855119140166909E-2</v>
      </c>
      <c r="CP983" s="169">
        <f t="shared" si="1797"/>
        <v>3.7811547526499761E-2</v>
      </c>
      <c r="CQ983" s="169">
        <f t="shared" si="1800"/>
        <v>2.5470387769702004E-2</v>
      </c>
      <c r="CR983" s="169">
        <f t="shared" si="1801"/>
        <v>2.1375012817671957E-2</v>
      </c>
      <c r="CS983" s="179">
        <f t="shared" si="1792"/>
        <v>0.87050000000000005</v>
      </c>
      <c r="CT983" s="180">
        <f t="shared" si="1793"/>
        <v>0.90497737556561086</v>
      </c>
      <c r="CU983" s="180">
        <f t="shared" si="1794"/>
        <v>0.5338235294117647</v>
      </c>
      <c r="CV983" s="180">
        <f t="shared" si="1795"/>
        <v>0.88972433127405692</v>
      </c>
      <c r="CW983" s="180">
        <f t="shared" si="1796"/>
        <v>0.42982423775949252</v>
      </c>
      <c r="CX983" s="181">
        <f>INDEX('State Tax Lookup'!$D$7:$Z$91,MATCH(Calculation!$C983,'State Tax Lookup'!$B$7:$B$91,0),MATCH($H983,'State Tax Lookup'!$D$6:$Z$6,0))</f>
        <v>0.35</v>
      </c>
      <c r="CY983" s="72">
        <v>0.37</v>
      </c>
      <c r="CZ983" s="70">
        <f t="shared" si="1798"/>
        <v>12.566180363239136</v>
      </c>
      <c r="DA983" s="70"/>
      <c r="DB983" s="69">
        <f t="shared" ref="DB983:DB1000" si="1802">LN(CZ983/CZ982)</f>
        <v>1.6073841436104051E-2</v>
      </c>
      <c r="DC983" s="111">
        <f>VLOOKUP($H983,RoR!$E:$F,2,FALSE)</f>
        <v>5.6666666666666671E-2</v>
      </c>
      <c r="DD983" s="216">
        <f>HLOOKUP($H983,'GDP-PI'!$D$8:$CQ$11,3,FALSE)</f>
        <v>1.8855119140166909E-2</v>
      </c>
      <c r="DE983" s="111">
        <f>VLOOKUP(H983,'HW Dx Data'!$E:$F,2,FALSE)</f>
        <v>369.23301095560191</v>
      </c>
      <c r="DF983" s="66"/>
      <c r="DG983" s="69"/>
      <c r="DH983" s="66">
        <f>HLOOKUP(H983,'GDP-PI'!$8:$9,2,FALSE)</f>
        <v>82.566999999999993</v>
      </c>
      <c r="DI983" s="69">
        <f t="shared" ref="DI983:DI1002" si="1803">LN(DH983/DH982)</f>
        <v>1.8679564681853753E-2</v>
      </c>
      <c r="EB983"/>
    </row>
    <row r="984" spans="1:132" s="160" customFormat="1" ht="21">
      <c r="A984" s="160" t="s">
        <v>218</v>
      </c>
      <c r="B984" s="160" t="s">
        <v>218</v>
      </c>
      <c r="C984" s="160">
        <v>4057140</v>
      </c>
      <c r="D984" s="161" t="s">
        <v>219</v>
      </c>
      <c r="E984" s="161"/>
      <c r="F984" s="189"/>
      <c r="G984" s="160" t="s">
        <v>115</v>
      </c>
      <c r="H984" s="162">
        <v>2004</v>
      </c>
      <c r="I984" s="163"/>
      <c r="J984" s="159">
        <f>IFERROR(INDEX('Labor Expenditures'!$F$7:$X$91,MATCH($C984,'Labor Expenditures'!$D$7:$D$91,0),MATCH($G984,'Labor Expenditures'!$F$5:$X$5,0)),"NA")</f>
        <v>38594.186062693007</v>
      </c>
      <c r="K984" s="159">
        <f t="shared" ref="K984:K1002" si="1804">+J984/DF984</f>
        <v>409.05337639314263</v>
      </c>
      <c r="L984" s="165"/>
      <c r="M984" s="76"/>
      <c r="N984" s="152"/>
      <c r="O984" s="76"/>
      <c r="P984" s="76"/>
      <c r="Q984" s="159">
        <f>IFERROR(INDEX('Non-Labor Expenditures'!$F$7:$AB$91,MATCH($C984,'Non-Labor Expenditures'!$D$7:$D$91,0),MATCH($G984,'Non-Labor Expenditures'!$F$5:$AB$5,0)),"NA")</f>
        <v>55891.589818412984</v>
      </c>
      <c r="R984" s="159">
        <f t="shared" ref="R984:R1002" si="1805">+Q984/DH984</f>
        <v>659.26997355933122</v>
      </c>
      <c r="S984" s="159"/>
      <c r="T984" s="159"/>
      <c r="U984" s="159"/>
      <c r="V984" s="159"/>
      <c r="W984" s="159">
        <f t="shared" si="1786"/>
        <v>48034.685944062214</v>
      </c>
      <c r="X984" s="163"/>
      <c r="Y984" s="167">
        <v>3638.0346851349314</v>
      </c>
      <c r="Z984" s="168">
        <v>5.0484210702445423E-2</v>
      </c>
      <c r="AA984" s="76">
        <f t="shared" ref="AA984:AA1002" si="1806">+Z984*$AR984</f>
        <v>0</v>
      </c>
      <c r="AB984" s="168"/>
      <c r="AC984" s="168"/>
      <c r="AD984" s="163">
        <f t="shared" si="1777"/>
        <v>142520.4618251682</v>
      </c>
      <c r="AE984" s="168"/>
      <c r="AF984" s="163"/>
      <c r="AG984" s="163"/>
      <c r="AH984" s="163"/>
      <c r="AI984" s="163"/>
      <c r="AJ984" s="167"/>
      <c r="AK984" s="168"/>
      <c r="AL984" s="115">
        <f t="shared" ref="AL984:AL1002" si="1807">+J984/AD984</f>
        <v>0.2707975091326677</v>
      </c>
      <c r="AM984" s="115">
        <f t="shared" ref="AM984:AM1002" si="1808">+Q984/AD984</f>
        <v>0.39216537122210537</v>
      </c>
      <c r="AN984" s="115">
        <f t="shared" ref="AN984:AN1002" si="1809">+W984/AD984</f>
        <v>0.33703711964522692</v>
      </c>
      <c r="AO984" s="115"/>
      <c r="AP984" s="115"/>
      <c r="AQ984" s="168"/>
      <c r="AR984" s="79"/>
      <c r="AS984" s="115"/>
      <c r="AT984" s="115"/>
      <c r="AU984" s="115"/>
      <c r="AV984" s="113">
        <f>IFERROR(INDEX('Total Customers'!$F$7:$AB$91,MATCH($C984,'Total Customers'!$D$7:$D$91,0),MATCH($G984,'Total Customers'!$F$5:$AB$5,0)),"NA")</f>
        <v>777555</v>
      </c>
      <c r="AW984" s="68">
        <f t="shared" si="1780"/>
        <v>2.9337299037602824E-2</v>
      </c>
      <c r="AX984" s="114"/>
      <c r="AY984" s="114"/>
      <c r="AZ984" s="116"/>
      <c r="BA984" s="116"/>
      <c r="BB984" s="166"/>
      <c r="BC984" s="166"/>
      <c r="BD984" s="166"/>
      <c r="BE984" s="166"/>
      <c r="BF984" s="166"/>
      <c r="BG984" s="166"/>
      <c r="BH984" s="166"/>
      <c r="BI984" s="113"/>
      <c r="BJ984" s="113"/>
      <c r="BK984" s="113">
        <f>INDEX('Dist. Plant Gas Additions'!$F$7:$AE$91,MATCH($C984,'Dist. Plant Gas Additions'!$D$7:$D$91,0),MATCH(Calculation!$G984,'Dist. Plant Gas Additions'!$F$5:$AE$5,0))</f>
        <v>57921</v>
      </c>
      <c r="BL984" s="113">
        <f>INDEX('Gen. Plant Additions'!$F$7:$AE$91,MATCH($C984,'Gen. Plant Additions'!$D$7:$D$91,0),MATCH(Calculation!$G984,'Gen. Plant Additions'!$F$5:$AE$5,0))</f>
        <v>24662</v>
      </c>
      <c r="BM984" s="231">
        <f t="shared" si="1787"/>
        <v>0.86663373447718905</v>
      </c>
      <c r="BN984" s="61">
        <f t="shared" si="1781"/>
        <v>21372.921159676436</v>
      </c>
      <c r="BO984" s="113">
        <f>INDEX('Dist Plant Depreciation'!$E$7:$AD$94,MATCH($C984,'Dist Plant Depreciation'!$D$7:$D$94,0),MATCH(Calculation!$G984,'Dist Plant Depreciation'!$E$5:$AD$5,0))</f>
        <v>382038</v>
      </c>
      <c r="BP984" s="113">
        <f>INDEX('Gen. Plant Depreciation'!$E$7:$AD$94,MATCH($C984,'Gen. Plant Depreciation'!$D$7:$D$94,0),MATCH(Calculation!$G984,'Gen. Plant Depreciation'!$E$5:$AD$5,0))</f>
        <v>111043</v>
      </c>
      <c r="BQ984" s="113"/>
      <c r="BR984" s="113"/>
      <c r="BS984" s="113"/>
      <c r="BT984" s="113"/>
      <c r="BU984" s="113"/>
      <c r="BV984" s="175"/>
      <c r="BW984" s="113">
        <f>INDEX('Gross Dx Plant'!$E$7:$AD$91,MATCH($C984,'Gross Dx Plant'!$D$7:$D$91,0),MATCH(Calculation!$G984,'Gross Dx Plant'!$E$5:$AD$5,0))</f>
        <v>1047365</v>
      </c>
      <c r="BX984" s="113">
        <f>INDEX('Gross Gen Plant'!$E$7:$AD$91,MATCH($C984,'Gross Gen Plant'!$D$7:$D$91,0),MATCH(Calculation!$G984,'Gross Gen Plant'!$E$5:$AD$5,0))</f>
        <v>161179</v>
      </c>
      <c r="BY984" s="113">
        <f t="shared" si="1734"/>
        <v>715463</v>
      </c>
      <c r="BZ984" s="113"/>
      <c r="CA984" s="116">
        <v>2004</v>
      </c>
      <c r="CB984" s="113"/>
      <c r="CC984" s="113"/>
      <c r="CD984" s="113"/>
      <c r="CE984" s="175"/>
      <c r="CF984" s="113">
        <f t="shared" si="1788"/>
        <v>82583</v>
      </c>
      <c r="CG984" s="113">
        <f t="shared" si="1789"/>
        <v>199.04928790601826</v>
      </c>
      <c r="CH984" s="178">
        <v>0.967741935483871</v>
      </c>
      <c r="CI984" s="61">
        <f>+CI978*CH984+CG979*CH983+CG980*CH982+CG981*CH981+CG982*CH980+CG983*CH979+CG984</f>
        <v>3638.0346851349314</v>
      </c>
      <c r="CJ984" s="114">
        <f t="shared" si="1790"/>
        <v>5.0484210702445423E-2</v>
      </c>
      <c r="CK984" s="114"/>
      <c r="CL984" s="169">
        <f t="shared" si="1791"/>
        <v>5.7662293685181295E-3</v>
      </c>
      <c r="CM984" s="169">
        <f t="shared" si="1799"/>
        <v>5.7735745234748642E-3</v>
      </c>
      <c r="CN984" s="114">
        <f>VLOOKUP($H984,RoR!$E:$F,2,FALSE)</f>
        <v>5.6283333333333331E-2</v>
      </c>
      <c r="CO984" s="169">
        <v>2.6778252812867276E-2</v>
      </c>
      <c r="CP984" s="169">
        <f t="shared" si="1797"/>
        <v>2.9505080520466055E-2</v>
      </c>
      <c r="CQ984" s="169">
        <f t="shared" si="1800"/>
        <v>2.5128367085058761E-2</v>
      </c>
      <c r="CR984" s="169">
        <f t="shared" si="1801"/>
        <v>5.5940039414565046E-2</v>
      </c>
      <c r="CS984" s="179">
        <f t="shared" si="1792"/>
        <v>0.87050000000000005</v>
      </c>
      <c r="CT984" s="180">
        <f t="shared" si="1793"/>
        <v>0.91114097628755619</v>
      </c>
      <c r="CU984" s="180">
        <f t="shared" si="1794"/>
        <v>0.53081877405981637</v>
      </c>
      <c r="CV984" s="180">
        <f t="shared" si="1795"/>
        <v>0.88811215519385678</v>
      </c>
      <c r="CW984" s="180">
        <f t="shared" si="1796"/>
        <v>0.42953609753547711</v>
      </c>
      <c r="CX984" s="181">
        <f>INDEX('State Tax Lookup'!$D$7:$Z$91,MATCH(Calculation!$C984,'State Tax Lookup'!$B$7:$B$91,0),MATCH($H984,'State Tax Lookup'!$D$6:$Z$6,0))</f>
        <v>0.35</v>
      </c>
      <c r="CY984" s="72">
        <v>0.37</v>
      </c>
      <c r="CZ984" s="70">
        <f t="shared" si="1798"/>
        <v>13.887150252439723</v>
      </c>
      <c r="DA984" s="70"/>
      <c r="DB984" s="69">
        <f t="shared" si="1802"/>
        <v>9.9954863154250326E-2</v>
      </c>
      <c r="DC984" s="111">
        <f>VLOOKUP($H984,RoR!$E:$F,2,FALSE)</f>
        <v>5.6283333333333331E-2</v>
      </c>
      <c r="DD984" s="216">
        <f>HLOOKUP($H984,'GDP-PI'!$D$8:$CQ$11,3,FALSE)</f>
        <v>2.6778252812867276E-2</v>
      </c>
      <c r="DE984" s="111">
        <f>VLOOKUP(H984,'HW Dx Data'!$E:$F,2,FALSE)</f>
        <v>414.88719135228365</v>
      </c>
      <c r="DF984" s="72">
        <f>VLOOKUP(G984,EG$8:EH$27,2,FALSE)</f>
        <v>94.35</v>
      </c>
      <c r="DG984" s="69"/>
      <c r="DH984" s="66">
        <f>HLOOKUP(H984,'GDP-PI'!$8:$9,2,FALSE)</f>
        <v>84.778000000000006</v>
      </c>
      <c r="DI984" s="69">
        <f t="shared" si="1803"/>
        <v>2.6425990216022755E-2</v>
      </c>
      <c r="EB984"/>
    </row>
    <row r="985" spans="1:132" s="160" customFormat="1" ht="21">
      <c r="A985" s="160" t="s">
        <v>218</v>
      </c>
      <c r="B985" s="160" t="s">
        <v>218</v>
      </c>
      <c r="C985" s="160">
        <v>4057140</v>
      </c>
      <c r="D985" s="161" t="s">
        <v>219</v>
      </c>
      <c r="E985" s="161"/>
      <c r="F985" s="189"/>
      <c r="G985" s="160" t="s">
        <v>116</v>
      </c>
      <c r="H985" s="162">
        <v>2005</v>
      </c>
      <c r="I985" s="163"/>
      <c r="J985" s="159">
        <f>IFERROR(INDEX('Labor Expenditures'!$F$7:$X$91,MATCH($C985,'Labor Expenditures'!$D$7:$D$91,0),MATCH($G985,'Labor Expenditures'!$F$5:$X$5,0)),"NA")</f>
        <v>39519.039650879458</v>
      </c>
      <c r="K985" s="159">
        <f t="shared" si="1804"/>
        <v>398.27704359666876</v>
      </c>
      <c r="L985" s="165">
        <f t="shared" ref="L985:L1001" si="1810">LN(K985/K984)</f>
        <v>-2.6697799591104479E-2</v>
      </c>
      <c r="M985" s="76"/>
      <c r="N985" s="62">
        <v>100</v>
      </c>
      <c r="O985" s="77"/>
      <c r="P985" s="77"/>
      <c r="Q985" s="159">
        <f>IFERROR(INDEX('Non-Labor Expenditures'!$F$7:$AB$91,MATCH($C985,'Non-Labor Expenditures'!$D$7:$D$91,0),MATCH($G985,'Non-Labor Expenditures'!$F$5:$AB$5,0)),"NA")</f>
        <v>57230.950552929724</v>
      </c>
      <c r="R985" s="159">
        <f t="shared" si="1805"/>
        <v>654.76392683571942</v>
      </c>
      <c r="S985" s="165">
        <f>LN(R985/R984)</f>
        <v>-6.8583685472684078E-3</v>
      </c>
      <c r="T985" s="165"/>
      <c r="U985" s="165"/>
      <c r="V985" s="165"/>
      <c r="W985" s="159">
        <f t="shared" si="1786"/>
        <v>57013.98210444492</v>
      </c>
      <c r="X985" s="163"/>
      <c r="Y985" s="167">
        <v>3757.7420973410672</v>
      </c>
      <c r="Z985" s="168">
        <v>3.2374656827300258E-2</v>
      </c>
      <c r="AA985" s="76">
        <f t="shared" si="1806"/>
        <v>0</v>
      </c>
      <c r="AB985" s="168"/>
      <c r="AC985" s="168"/>
      <c r="AD985" s="163">
        <f t="shared" si="1777"/>
        <v>153763.9723082541</v>
      </c>
      <c r="AE985" s="168">
        <f>LN(AD985/AD984)</f>
        <v>7.5933198203271463E-2</v>
      </c>
      <c r="AF985" s="163"/>
      <c r="AG985" s="163"/>
      <c r="AH985" s="163"/>
      <c r="AI985" s="163"/>
      <c r="AJ985" s="116"/>
      <c r="AK985" s="114"/>
      <c r="AL985" s="115">
        <f t="shared" si="1807"/>
        <v>0.25701104789134055</v>
      </c>
      <c r="AM985" s="115">
        <f t="shared" si="1808"/>
        <v>0.37220000038889178</v>
      </c>
      <c r="AN985" s="115">
        <f t="shared" si="1809"/>
        <v>0.37078895171976767</v>
      </c>
      <c r="AO985" s="115">
        <f t="shared" ref="AO985:AO1001" si="1811">+(((AL985+AL984)/2)*L985+((AM984+AM985)/2)*S985+((AN984+AN985)/2)*Z985)</f>
        <v>1.7909998263414204E-3</v>
      </c>
      <c r="AP985" s="166">
        <v>100</v>
      </c>
      <c r="AQ985" s="168"/>
      <c r="AR985" s="16"/>
      <c r="AS985" s="115"/>
      <c r="AT985" s="115"/>
      <c r="AU985" s="115"/>
      <c r="AV985" s="113">
        <f>IFERROR(INDEX('Total Customers'!$F$7:$AB$91,MATCH($C985,'Total Customers'!$D$7:$D$91,0),MATCH($G985,'Total Customers'!$F$5:$AB$5,0)),"NA")</f>
        <v>824463</v>
      </c>
      <c r="AW985" s="68">
        <f t="shared" si="1780"/>
        <v>5.8577884209173869E-2</v>
      </c>
      <c r="AX985" s="114"/>
      <c r="AY985" s="114"/>
      <c r="AZ985" s="116"/>
      <c r="BA985" s="116"/>
      <c r="BB985" s="166"/>
      <c r="BC985" s="166"/>
      <c r="BD985" s="166"/>
      <c r="BE985" s="166"/>
      <c r="BF985" s="166"/>
      <c r="BG985" s="166"/>
      <c r="BH985" s="166"/>
      <c r="BI985" s="113"/>
      <c r="BJ985" s="113"/>
      <c r="BK985" s="113">
        <f>INDEX('Dist. Plant Gas Additions'!$F$7:$AE$91,MATCH($C985,'Dist. Plant Gas Additions'!$D$7:$D$91,0),MATCH(Calculation!$G985,'Dist. Plant Gas Additions'!$F$5:$AE$5,0))</f>
        <v>58907</v>
      </c>
      <c r="BL985" s="113">
        <f>INDEX('Gen. Plant Additions'!$F$7:$AE$91,MATCH($C985,'Gen. Plant Additions'!$D$7:$D$91,0),MATCH(Calculation!$G985,'Gen. Plant Additions'!$F$5:$AE$5,0))</f>
        <v>7386</v>
      </c>
      <c r="BM985" s="231">
        <f t="shared" si="1787"/>
        <v>0.86745990541770701</v>
      </c>
      <c r="BN985" s="61">
        <f t="shared" si="1781"/>
        <v>6407.0588614151839</v>
      </c>
      <c r="BO985" s="113">
        <f>INDEX('Dist Plant Depreciation'!$E$7:$AD$94,MATCH($C985,'Dist Plant Depreciation'!$D$7:$D$94,0),MATCH(Calculation!$G985,'Dist Plant Depreciation'!$E$5:$AD$5,0))</f>
        <v>413998</v>
      </c>
      <c r="BP985" s="113">
        <f>INDEX('Gen. Plant Depreciation'!$E$7:$AD$94,MATCH($C985,'Gen. Plant Depreciation'!$D$7:$D$94,0),MATCH(Calculation!$G985,'Gen. Plant Depreciation'!$E$5:$AD$5,0))</f>
        <v>122399</v>
      </c>
      <c r="BQ985" s="113"/>
      <c r="BR985" s="113"/>
      <c r="BS985" s="113"/>
      <c r="BT985" s="113"/>
      <c r="BU985" s="113"/>
      <c r="BV985" s="175"/>
      <c r="BW985" s="113">
        <f>INDEX('Gross Dx Plant'!$E$7:$AD$91,MATCH($C985,'Gross Dx Plant'!$D$7:$D$91,0),MATCH(Calculation!$G985,'Gross Dx Plant'!$E$5:$AD$5,0))</f>
        <v>1104430</v>
      </c>
      <c r="BX985" s="113">
        <f>INDEX('Gross Gen Plant'!$E$7:$AD$91,MATCH($C985,'Gross Gen Plant'!$D$7:$D$91,0),MATCH(Calculation!$G985,'Gross Gen Plant'!$E$5:$AD$5,0))</f>
        <v>168747</v>
      </c>
      <c r="BY985" s="113">
        <f t="shared" si="1734"/>
        <v>736780</v>
      </c>
      <c r="BZ985" s="113"/>
      <c r="CA985" s="116">
        <v>2005</v>
      </c>
      <c r="CB985" s="113"/>
      <c r="CC985" s="113"/>
      <c r="CD985" s="113"/>
      <c r="CE985" s="175"/>
      <c r="CF985" s="113">
        <f t="shared" si="1788"/>
        <v>66293</v>
      </c>
      <c r="CG985" s="113">
        <f t="shared" si="1789"/>
        <v>141.28788092696362</v>
      </c>
      <c r="CH985" s="178">
        <v>0.96174863387978138</v>
      </c>
      <c r="CI985" s="61">
        <f>+CI978*CH985+CG979*CH984+CG980*CH983+CG981*CH982+CG982*CH981+CG983*CH980+CG984*CH979+CG985</f>
        <v>3757.7420973410672</v>
      </c>
      <c r="CJ985" s="114">
        <f t="shared" si="1790"/>
        <v>3.2374656827300258E-2</v>
      </c>
      <c r="CK985" s="114"/>
      <c r="CL985" s="169">
        <f t="shared" si="1791"/>
        <v>5.9319029609602005E-3</v>
      </c>
      <c r="CM985" s="169">
        <f t="shared" si="1799"/>
        <v>5.7655942336538391E-3</v>
      </c>
      <c r="CN985" s="114">
        <f>VLOOKUP($H985,RoR!$E:$F,2,FALSE)</f>
        <v>5.2350000000000001E-2</v>
      </c>
      <c r="CO985" s="169">
        <v>3.1010403642454332E-2</v>
      </c>
      <c r="CP985" s="169">
        <f t="shared" si="1797"/>
        <v>2.1339596357545669E-2</v>
      </c>
      <c r="CQ985" s="169">
        <f t="shared" si="1800"/>
        <v>2.5136347374879787E-2</v>
      </c>
      <c r="CR985" s="169">
        <f t="shared" si="1801"/>
        <v>9.2129610649277341E-2</v>
      </c>
      <c r="CS985" s="179">
        <f t="shared" si="1792"/>
        <v>0.87050000000000005</v>
      </c>
      <c r="CT985" s="180">
        <f t="shared" si="1793"/>
        <v>0.97959983346802826</v>
      </c>
      <c r="CU985" s="180">
        <f t="shared" si="1794"/>
        <v>0.49744508118433622</v>
      </c>
      <c r="CV985" s="180">
        <f t="shared" si="1795"/>
        <v>0.87010519444335932</v>
      </c>
      <c r="CW985" s="180">
        <f t="shared" si="1796"/>
        <v>0.42399975420741998</v>
      </c>
      <c r="CX985" s="181">
        <f>INDEX('State Tax Lookup'!$D$7:$Z$91,MATCH(Calculation!$C985,'State Tax Lookup'!$B$7:$B$91,0),MATCH($H985,'State Tax Lookup'!$D$6:$Z$6,0))</f>
        <v>0.35</v>
      </c>
      <c r="CY985" s="72">
        <v>0.37</v>
      </c>
      <c r="CZ985" s="70">
        <f t="shared" si="1798"/>
        <v>15.671643356619159</v>
      </c>
      <c r="DA985" s="70"/>
      <c r="DB985" s="69">
        <f t="shared" si="1802"/>
        <v>0.12088895335331062</v>
      </c>
      <c r="DC985" s="111">
        <f>VLOOKUP($H985,RoR!$E:$F,2,FALSE)</f>
        <v>5.2350000000000001E-2</v>
      </c>
      <c r="DD985" s="216">
        <f>HLOOKUP($H985,'GDP-PI'!$D$8:$CQ$11,3,FALSE)</f>
        <v>3.1010403642454332E-2</v>
      </c>
      <c r="DE985" s="111">
        <f>VLOOKUP(H985,'HW Dx Data'!$E:$F,2,FALSE)</f>
        <v>469.20514034936258</v>
      </c>
      <c r="DF985" s="72">
        <f t="shared" ref="DF985:DF1003" si="1812">VLOOKUP(G985,EG$8:EH$27,2,FALSE)</f>
        <v>99.224999999999994</v>
      </c>
      <c r="DG985" s="69">
        <f t="shared" ref="DG985:DG1003" si="1813">LN(DF985/DF984)</f>
        <v>5.0378726854569796E-2</v>
      </c>
      <c r="DH985" s="66">
        <f>HLOOKUP(H985,'GDP-PI'!$8:$9,2,FALSE)</f>
        <v>87.406999999999996</v>
      </c>
      <c r="DI985" s="69">
        <f t="shared" si="1803"/>
        <v>3.0539295810733648E-2</v>
      </c>
      <c r="EB985"/>
    </row>
    <row r="986" spans="1:132" s="160" customFormat="1" ht="21">
      <c r="A986" s="160" t="s">
        <v>218</v>
      </c>
      <c r="B986" s="160" t="s">
        <v>218</v>
      </c>
      <c r="C986" s="160">
        <v>4057140</v>
      </c>
      <c r="D986" s="161" t="s">
        <v>219</v>
      </c>
      <c r="E986" s="161"/>
      <c r="F986" s="189"/>
      <c r="G986" s="160" t="s">
        <v>117</v>
      </c>
      <c r="H986" s="162">
        <v>2006</v>
      </c>
      <c r="I986" s="163"/>
      <c r="J986" s="159">
        <f>IFERROR(INDEX('Labor Expenditures'!$F$7:$X$91,MATCH($C986,'Labor Expenditures'!$D$7:$D$91,0),MATCH($G986,'Labor Expenditures'!$F$5:$X$5,0)),"NA")</f>
        <v>42436.26928527133</v>
      </c>
      <c r="K986" s="159">
        <f t="shared" si="1804"/>
        <v>387.90008487450939</v>
      </c>
      <c r="L986" s="165">
        <f t="shared" si="1810"/>
        <v>-2.6400059314393529E-2</v>
      </c>
      <c r="M986" s="76">
        <f t="shared" ref="M986:M1002" si="1814">+L986*$AR986</f>
        <v>-5.3538461499939036E-4</v>
      </c>
      <c r="N986" s="62">
        <f>+N985*EXP(O986)</f>
        <v>113.9774433696479</v>
      </c>
      <c r="O986" s="96">
        <f t="shared" ref="O986:O1002" si="1815">+M986+M1011+M1036+M1061+M1086+M1111+M1136+M1161+M1186+M1211+M1236+M1261+M1286+M1311+M1336+M1361+M1386+M1411+M1436+M1461+M1486+M1511+M1536+M1561+M1586+M1611+M1636+M1661+M1686+M1711+M1736+M1761+M1786+M1811+M1836+M1861+M1886+M1911+M1936+M1961+M1986+M2011+M2036+M2061+M2086+M2111+M2136+M2161+M2186+M2211+M2236+M2261+M2286+M2311</f>
        <v>0.13083037764997996</v>
      </c>
      <c r="P986" s="96"/>
      <c r="Q986" s="159">
        <f>IFERROR(INDEX('Non-Labor Expenditures'!$F$7:$AB$91,MATCH($C986,'Non-Labor Expenditures'!$D$7:$D$91,0),MATCH($G986,'Non-Labor Expenditures'!$F$5:$AB$5,0)),"NA")</f>
        <v>61455.64392686668</v>
      </c>
      <c r="R986" s="159">
        <f t="shared" si="1805"/>
        <v>682.27950270740371</v>
      </c>
      <c r="S986" s="165">
        <f t="shared" ref="S986:S1001" si="1816">LN(R986/R985)</f>
        <v>4.1164648278903704E-2</v>
      </c>
      <c r="T986" s="165">
        <f t="shared" ref="T986:T1002" si="1817">+S986*AR986</f>
        <v>8.3480567630279435E-4</v>
      </c>
      <c r="U986" s="165"/>
      <c r="V986" s="165"/>
      <c r="W986" s="159">
        <f t="shared" si="1786"/>
        <v>57526.711388741089</v>
      </c>
      <c r="X986" s="163"/>
      <c r="Y986" s="167">
        <v>3919.5199334856002</v>
      </c>
      <c r="Z986" s="168">
        <v>4.2150909355721244E-2</v>
      </c>
      <c r="AA986" s="76">
        <f t="shared" si="1806"/>
        <v>8.5480673011152414E-4</v>
      </c>
      <c r="AB986" s="168"/>
      <c r="AC986" s="168"/>
      <c r="AD986" s="163">
        <f t="shared" si="1777"/>
        <v>161418.62460087909</v>
      </c>
      <c r="AE986" s="168">
        <f t="shared" ref="AE986:AE1002" si="1818">LN(AD986/AD985)</f>
        <v>4.8582363876723975E-2</v>
      </c>
      <c r="AF986" s="163"/>
      <c r="AG986" s="163"/>
      <c r="AH986" s="163"/>
      <c r="AI986" s="163"/>
      <c r="AJ986" s="116">
        <f t="shared" ref="AJ986:AJ1002" si="1819">+(AD986*1000)/AV986</f>
        <v>193.03991375302007</v>
      </c>
      <c r="AK986" s="114">
        <f>+AV986/$AX$11</f>
        <v>2.4110670808477466E-2</v>
      </c>
      <c r="AL986" s="115">
        <f t="shared" si="1807"/>
        <v>0.26289574322788661</v>
      </c>
      <c r="AM986" s="115">
        <f t="shared" si="1808"/>
        <v>0.38072213834568869</v>
      </c>
      <c r="AN986" s="115">
        <f t="shared" si="1809"/>
        <v>0.35638211842642475</v>
      </c>
      <c r="AO986" s="115">
        <f t="shared" si="1811"/>
        <v>2.3959563381370154E-2</v>
      </c>
      <c r="AP986" s="166">
        <f>+AP985*EXP(AO986)</f>
        <v>102.42488998910784</v>
      </c>
      <c r="AQ986" s="168">
        <f>LN(AP986/AP985)</f>
        <v>2.3959563381370206E-2</v>
      </c>
      <c r="AR986" s="69">
        <f>+AD986/$AF$11</f>
        <v>2.0279674701620624E-2</v>
      </c>
      <c r="AS986" s="169">
        <f>+AR986*AQ986</f>
        <v>4.8589215136704924E-4</v>
      </c>
      <c r="AT986" s="115"/>
      <c r="AU986" s="115"/>
      <c r="AV986" s="113">
        <f>IFERROR(INDEX('Total Customers'!$F$7:$AB$91,MATCH($C986,'Total Customers'!$D$7:$D$91,0),MATCH($G986,'Total Customers'!$F$5:$AB$5,0)),"NA")</f>
        <v>836193</v>
      </c>
      <c r="AW986" s="68">
        <f t="shared" si="1780"/>
        <v>1.4127182373886143E-2</v>
      </c>
      <c r="AX986" s="114"/>
      <c r="AY986" s="114"/>
      <c r="AZ986" s="116"/>
      <c r="BA986" s="116"/>
      <c r="BB986" s="166"/>
      <c r="BC986" s="166"/>
      <c r="BD986" s="166"/>
      <c r="BE986" s="166"/>
      <c r="BF986" s="166"/>
      <c r="BG986" s="166"/>
      <c r="BH986" s="166"/>
      <c r="BI986" s="113"/>
      <c r="BJ986" s="113"/>
      <c r="BK986" s="113">
        <f>INDEX('Dist. Plant Gas Additions'!$F$7:$AE$91,MATCH($C986,'Dist. Plant Gas Additions'!$D$7:$D$91,0),MATCH(Calculation!$G986,'Dist. Plant Gas Additions'!$F$5:$AE$5,0))</f>
        <v>74190</v>
      </c>
      <c r="BL986" s="113">
        <f>INDEX('Gen. Plant Additions'!$F$7:$AE$91,MATCH($C986,'Gen. Plant Additions'!$D$7:$D$91,0),MATCH(Calculation!$G986,'Gen. Plant Additions'!$F$5:$AE$5,0))</f>
        <v>11004</v>
      </c>
      <c r="BM986" s="231">
        <f t="shared" si="1787"/>
        <v>0.90575618155392834</v>
      </c>
      <c r="BN986" s="61">
        <f t="shared" si="1781"/>
        <v>9966.941021819428</v>
      </c>
      <c r="BO986" s="113">
        <f>INDEX('Dist Plant Depreciation'!$E$7:$AD$94,MATCH($C986,'Dist Plant Depreciation'!$D$7:$D$94,0),MATCH(Calculation!$G986,'Dist Plant Depreciation'!$E$5:$AD$5,0))</f>
        <v>440179</v>
      </c>
      <c r="BP986" s="113">
        <f>INDEX('Gen. Plant Depreciation'!$E$7:$AD$94,MATCH($C986,'Gen. Plant Depreciation'!$D$7:$D$94,0),MATCH(Calculation!$G986,'Gen. Plant Depreciation'!$E$5:$AD$5,0))</f>
        <v>77516</v>
      </c>
      <c r="BQ986" s="113"/>
      <c r="BR986" s="113"/>
      <c r="BS986" s="113"/>
      <c r="BT986" s="113"/>
      <c r="BU986" s="113"/>
      <c r="BV986" s="175"/>
      <c r="BW986" s="113">
        <f>INDEX('Gross Dx Plant'!$E$7:$AD$91,MATCH($C986,'Gross Dx Plant'!$D$7:$D$91,0),MATCH(Calculation!$G986,'Gross Dx Plant'!$E$5:$AD$5,0))</f>
        <v>1174110</v>
      </c>
      <c r="BX986" s="113">
        <f>INDEX('Gross Gen Plant'!$E$7:$AD$91,MATCH($C986,'Gross Gen Plant'!$D$7:$D$91,0),MATCH(Calculation!$G986,'Gross Gen Plant'!$E$5:$AD$5,0))</f>
        <v>122166</v>
      </c>
      <c r="BY986" s="113">
        <f t="shared" si="1734"/>
        <v>778581</v>
      </c>
      <c r="BZ986" s="114"/>
      <c r="CA986" s="116">
        <v>2006</v>
      </c>
      <c r="CB986" s="113"/>
      <c r="CC986" s="113"/>
      <c r="CD986" s="113"/>
      <c r="CE986" s="175"/>
      <c r="CF986" s="113">
        <f t="shared" si="1788"/>
        <v>85194</v>
      </c>
      <c r="CG986" s="113">
        <f t="shared" si="1789"/>
        <v>184.7682655061362</v>
      </c>
      <c r="CH986" s="178">
        <v>0.9555555555555556</v>
      </c>
      <c r="CI986" s="61">
        <f>+CI978*CH986+CG979*CH985+CG980*CH984+CG981*CH983+CG982*CH982+CG983*CH981+CG984*CH980+CG985*CH979+CG986</f>
        <v>3919.5199334856002</v>
      </c>
      <c r="CJ986" s="114">
        <f t="shared" si="1790"/>
        <v>4.2150909355721244E-2</v>
      </c>
      <c r="CK986" s="114"/>
      <c r="CL986" s="169">
        <f t="shared" si="1791"/>
        <v>6.118149879916171E-3</v>
      </c>
      <c r="CM986" s="169">
        <f t="shared" si="1799"/>
        <v>5.938760736464834E-3</v>
      </c>
      <c r="CN986" s="114">
        <f>VLOOKUP($H986,RoR!$E:$F,2,FALSE)</f>
        <v>5.5874999999999994E-2</v>
      </c>
      <c r="CO986" s="169">
        <v>3.0512430354548314E-2</v>
      </c>
      <c r="CP986" s="169">
        <f t="shared" si="1797"/>
        <v>2.536256964545168E-2</v>
      </c>
      <c r="CQ986" s="169">
        <f t="shared" si="1800"/>
        <v>2.496318087206879E-2</v>
      </c>
      <c r="CR986" s="169">
        <f t="shared" si="1801"/>
        <v>7.9087823893859641E-2</v>
      </c>
      <c r="CS986" s="179">
        <f t="shared" si="1792"/>
        <v>0.87050000000000005</v>
      </c>
      <c r="CT986" s="180">
        <f t="shared" si="1793"/>
        <v>0.91779957551769631</v>
      </c>
      <c r="CU986" s="180">
        <f t="shared" si="1794"/>
        <v>0.52757270693512304</v>
      </c>
      <c r="CV986" s="180">
        <f t="shared" si="1795"/>
        <v>0.88636824549024895</v>
      </c>
      <c r="CW986" s="180">
        <f t="shared" si="1796"/>
        <v>0.42918482841932087</v>
      </c>
      <c r="CX986" s="181">
        <f>INDEX('State Tax Lookup'!$D$7:$Z$91,MATCH(Calculation!$C986,'State Tax Lookup'!$B$7:$B$91,0),MATCH($H986,'State Tax Lookup'!$D$6:$Z$6,0))</f>
        <v>0.35</v>
      </c>
      <c r="CY986" s="72">
        <v>0.37</v>
      </c>
      <c r="CZ986" s="70">
        <f t="shared" si="1798"/>
        <v>15.308850341125405</v>
      </c>
      <c r="DA986" s="70">
        <v>14.788696346247992</v>
      </c>
      <c r="DB986" s="69">
        <f t="shared" si="1802"/>
        <v>-2.3421808832269568E-2</v>
      </c>
      <c r="DC986" s="111">
        <f>VLOOKUP($H986,RoR!$E:$F,2,FALSE)</f>
        <v>5.5874999999999994E-2</v>
      </c>
      <c r="DD986" s="216">
        <f>HLOOKUP($H986,'GDP-PI'!$D$8:$CQ$11,3,FALSE)</f>
        <v>3.0512430354548314E-2</v>
      </c>
      <c r="DE986" s="111">
        <f>VLOOKUP(H986,'HW Dx Data'!$E:$F,2,FALSE)</f>
        <v>461.08567272971823</v>
      </c>
      <c r="DF986" s="72">
        <f t="shared" si="1812"/>
        <v>109.4</v>
      </c>
      <c r="DG986" s="69">
        <f t="shared" si="1813"/>
        <v>9.7620891318751846E-2</v>
      </c>
      <c r="DH986" s="66">
        <f>HLOOKUP(H986,'GDP-PI'!$8:$9,2,FALSE)</f>
        <v>90.073999999999998</v>
      </c>
      <c r="DI986" s="69">
        <f t="shared" si="1803"/>
        <v>3.005618372545445E-2</v>
      </c>
      <c r="EB986"/>
    </row>
    <row r="987" spans="1:132" s="160" customFormat="1" ht="21">
      <c r="A987" s="160" t="s">
        <v>218</v>
      </c>
      <c r="B987" s="160" t="s">
        <v>218</v>
      </c>
      <c r="C987" s="160">
        <v>4057140</v>
      </c>
      <c r="D987" s="161" t="s">
        <v>219</v>
      </c>
      <c r="E987" s="161"/>
      <c r="F987" s="189"/>
      <c r="G987" s="160" t="s">
        <v>118</v>
      </c>
      <c r="H987" s="162">
        <v>2007</v>
      </c>
      <c r="I987" s="163"/>
      <c r="J987" s="159">
        <f>IFERROR(INDEX('Labor Expenditures'!$F$7:$X$91,MATCH($C987,'Labor Expenditures'!$D$7:$D$91,0),MATCH($G987,'Labor Expenditures'!$F$5:$X$5,0)),"NA")</f>
        <v>44663.039698294117</v>
      </c>
      <c r="K987" s="159">
        <f t="shared" si="1804"/>
        <v>427.29528532211549</v>
      </c>
      <c r="L987" s="165">
        <f t="shared" si="1810"/>
        <v>9.6727515689861723E-2</v>
      </c>
      <c r="M987" s="76">
        <f t="shared" si="1814"/>
        <v>1.9995200365678974E-3</v>
      </c>
      <c r="N987" s="62">
        <f t="shared" ref="N987:N1000" si="1820">+N986*EXP(O987)</f>
        <v>120.35527857447478</v>
      </c>
      <c r="O987" s="96">
        <f t="shared" si="1815"/>
        <v>5.4447459824233643E-2</v>
      </c>
      <c r="P987" s="96"/>
      <c r="Q987" s="159">
        <f>IFERROR(INDEX('Non-Labor Expenditures'!$F$7:$AB$91,MATCH($C987,'Non-Labor Expenditures'!$D$7:$D$91,0),MATCH($G987,'Non-Labor Expenditures'!$F$5:$AB$5,0)),"NA")</f>
        <v>64680.423388267329</v>
      </c>
      <c r="R987" s="159">
        <f t="shared" si="1805"/>
        <v>699.26293961239514</v>
      </c>
      <c r="S987" s="165">
        <f t="shared" si="1816"/>
        <v>2.4587434994571486E-2</v>
      </c>
      <c r="T987" s="165">
        <f t="shared" si="1817"/>
        <v>5.0826353358529705E-4</v>
      </c>
      <c r="U987" s="165"/>
      <c r="V987" s="165"/>
      <c r="W987" s="159">
        <f t="shared" si="1786"/>
        <v>64458.7598654209</v>
      </c>
      <c r="X987" s="163"/>
      <c r="Y987" s="167">
        <v>4150.8913185326082</v>
      </c>
      <c r="Z987" s="168">
        <v>5.7353906376412703E-2</v>
      </c>
      <c r="AA987" s="76">
        <f t="shared" si="1806"/>
        <v>1.1856014718994428E-3</v>
      </c>
      <c r="AB987" s="168"/>
      <c r="AC987" s="168"/>
      <c r="AD987" s="163">
        <f t="shared" si="1777"/>
        <v>173802.22295198234</v>
      </c>
      <c r="AE987" s="168">
        <f t="shared" si="1818"/>
        <v>7.3916859801124515E-2</v>
      </c>
      <c r="AF987" s="163"/>
      <c r="AG987" s="163"/>
      <c r="AH987" s="163"/>
      <c r="AI987" s="163"/>
      <c r="AJ987" s="116">
        <f t="shared" si="1819"/>
        <v>201.44349333318925</v>
      </c>
      <c r="AK987" s="114">
        <f>+AV987/$AX$12</f>
        <v>2.469008828816191E-2</v>
      </c>
      <c r="AL987" s="115">
        <f t="shared" si="1807"/>
        <v>0.25697622815004795</v>
      </c>
      <c r="AM987" s="115">
        <f t="shared" si="1808"/>
        <v>0.3721495749000695</v>
      </c>
      <c r="AN987" s="115">
        <f t="shared" si="1809"/>
        <v>0.37087419694988255</v>
      </c>
      <c r="AO987" s="115">
        <f t="shared" si="1811"/>
        <v>5.5254049600303924E-2</v>
      </c>
      <c r="AP987" s="166">
        <f>+AP986*EXP(AO987)</f>
        <v>108.24355196548564</v>
      </c>
      <c r="AQ987" s="168">
        <f>LN(AP987/AP986)</f>
        <v>5.5254049600303917E-2</v>
      </c>
      <c r="AR987" s="69">
        <f>+AD987/$AF$12</f>
        <v>2.0671677777593048E-2</v>
      </c>
      <c r="AS987" s="169">
        <f t="shared" ref="AS987:AS1001" si="1821">+AR987*AQ987</f>
        <v>1.1421939092446265E-3</v>
      </c>
      <c r="AT987" s="115"/>
      <c r="AU987" s="115"/>
      <c r="AV987" s="113">
        <f>IFERROR(INDEX('Total Customers'!$F$7:$AB$91,MATCH($C987,'Total Customers'!$D$7:$D$91,0),MATCH($G987,'Total Customers'!$F$5:$AB$5,0)),"NA")</f>
        <v>862784</v>
      </c>
      <c r="AW987" s="68">
        <f t="shared" si="1780"/>
        <v>3.13049223842344E-2</v>
      </c>
      <c r="AX987" s="114"/>
      <c r="AY987" s="114"/>
      <c r="AZ987" s="116"/>
      <c r="BA987" s="116"/>
      <c r="BB987" s="166"/>
      <c r="BC987" s="166"/>
      <c r="BD987" s="166"/>
      <c r="BE987" s="166"/>
      <c r="BF987" s="166"/>
      <c r="BG987" s="166"/>
      <c r="BH987" s="166"/>
      <c r="BI987" s="113"/>
      <c r="BJ987" s="113"/>
      <c r="BK987" s="113">
        <f>INDEX('Dist. Plant Gas Additions'!$F$7:$AE$91,MATCH($C987,'Dist. Plant Gas Additions'!$D$7:$D$91,0),MATCH(Calculation!$G987,'Dist. Plant Gas Additions'!$F$5:$AE$5,0))</f>
        <v>117447</v>
      </c>
      <c r="BL987" s="113">
        <f>INDEX('Gen. Plant Additions'!$F$7:$AE$91,MATCH($C987,'Gen. Plant Additions'!$D$7:$D$91,0),MATCH(Calculation!$G987,'Gen. Plant Additions'!$F$5:$AE$5,0))</f>
        <v>10069</v>
      </c>
      <c r="BM987" s="231">
        <f t="shared" si="1787"/>
        <v>0.91151884581160736</v>
      </c>
      <c r="BN987" s="61">
        <f t="shared" si="1781"/>
        <v>9178.0832584770742</v>
      </c>
      <c r="BO987" s="113">
        <f>INDEX('Dist Plant Depreciation'!$E$7:$AD$94,MATCH($C987,'Dist Plant Depreciation'!$D$7:$D$94,0),MATCH(Calculation!$G987,'Dist Plant Depreciation'!$E$5:$AD$5,0))</f>
        <v>470582</v>
      </c>
      <c r="BP987" s="113">
        <f>INDEX('Gen. Plant Depreciation'!$E$7:$AD$94,MATCH($C987,'Gen. Plant Depreciation'!$D$7:$D$94,0),MATCH(Calculation!$G987,'Gen. Plant Depreciation'!$E$5:$AD$5,0))</f>
        <v>82689</v>
      </c>
      <c r="BQ987" s="113"/>
      <c r="BR987" s="113"/>
      <c r="BS987" s="113"/>
      <c r="BT987" s="113"/>
      <c r="BU987" s="113"/>
      <c r="BV987" s="175"/>
      <c r="BW987" s="113">
        <f>INDEX('Gross Dx Plant'!$E$7:$AD$91,MATCH($C987,'Gross Dx Plant'!$D$7:$D$91,0),MATCH(Calculation!$G987,'Gross Dx Plant'!$E$5:$AD$5,0))</f>
        <v>1293798</v>
      </c>
      <c r="BX987" s="113">
        <f>INDEX('Gross Gen Plant'!$E$7:$AD$91,MATCH($C987,'Gross Gen Plant'!$D$7:$D$91,0),MATCH(Calculation!$G987,'Gross Gen Plant'!$E$5:$AD$5,0))</f>
        <v>125589</v>
      </c>
      <c r="BY987" s="113">
        <f t="shared" si="1734"/>
        <v>866116</v>
      </c>
      <c r="BZ987" s="113"/>
      <c r="CA987" s="116">
        <v>2007</v>
      </c>
      <c r="CB987" s="113"/>
      <c r="CC987" s="113"/>
      <c r="CD987" s="113"/>
      <c r="CE987" s="175"/>
      <c r="CF987" s="113">
        <f t="shared" si="1788"/>
        <v>127516</v>
      </c>
      <c r="CG987" s="113">
        <f t="shared" si="1789"/>
        <v>256.04475148427662</v>
      </c>
      <c r="CH987" s="178">
        <v>0.94915254237288138</v>
      </c>
      <c r="CI987" s="61">
        <f>+CI978*CH987+CG979*CH986+CG980*CH985+CG981*CH984+CG982*CH983+CG983*CH982+CG984*CH981+CG985*CH980+CG986*CH979+CG987</f>
        <v>4150.8913185326082</v>
      </c>
      <c r="CJ987" s="114">
        <f t="shared" si="1790"/>
        <v>5.7353906376412703E-2</v>
      </c>
      <c r="CK987" s="114"/>
      <c r="CL987" s="169">
        <f t="shared" si="1791"/>
        <v>6.2949970547354029E-3</v>
      </c>
      <c r="CM987" s="169">
        <f t="shared" si="1799"/>
        <v>6.1150166318705915E-3</v>
      </c>
      <c r="CN987" s="114">
        <f>VLOOKUP($H987,RoR!$E:$F,2,FALSE)</f>
        <v>5.5558333333333321E-2</v>
      </c>
      <c r="CO987" s="169">
        <v>2.691120634145272E-2</v>
      </c>
      <c r="CP987" s="169">
        <f t="shared" si="1797"/>
        <v>2.86471269918806E-2</v>
      </c>
      <c r="CQ987" s="169">
        <f t="shared" si="1800"/>
        <v>2.4786924976663034E-2</v>
      </c>
      <c r="CR987" s="169">
        <f t="shared" si="1801"/>
        <v>6.4575155250632399E-2</v>
      </c>
      <c r="CS987" s="179">
        <f t="shared" si="1792"/>
        <v>0.87050000000000005</v>
      </c>
      <c r="CT987" s="180">
        <f t="shared" si="1793"/>
        <v>0.92303077153834634</v>
      </c>
      <c r="CU987" s="180">
        <f t="shared" si="1794"/>
        <v>0.52502249887505614</v>
      </c>
      <c r="CV987" s="180">
        <f t="shared" si="1795"/>
        <v>0.88499666072084604</v>
      </c>
      <c r="CW987" s="180">
        <f t="shared" si="1796"/>
        <v>0.42887993290280618</v>
      </c>
      <c r="CX987" s="181">
        <f>INDEX('State Tax Lookup'!$D$7:$Z$91,MATCH(Calculation!$C987,'State Tax Lookup'!$B$7:$B$91,0),MATCH($H987,'State Tax Lookup'!$D$6:$Z$6,0))</f>
        <v>0.35</v>
      </c>
      <c r="CY987" s="72">
        <v>0.37</v>
      </c>
      <c r="CZ987" s="70">
        <f t="shared" si="1798"/>
        <v>16.445575213109887</v>
      </c>
      <c r="DA987" s="70">
        <v>16.108943221861779</v>
      </c>
      <c r="DB987" s="69">
        <f t="shared" si="1802"/>
        <v>7.1625342196332598E-2</v>
      </c>
      <c r="DC987" s="111">
        <f>VLOOKUP($H987,RoR!$E:$F,2,FALSE)</f>
        <v>5.5558333333333321E-2</v>
      </c>
      <c r="DD987" s="216">
        <f>HLOOKUP($H987,'GDP-PI'!$D$8:$CQ$11,3,FALSE)</f>
        <v>2.691120634145272E-2</v>
      </c>
      <c r="DE987" s="111">
        <f>VLOOKUP(H987,'HW Dx Data'!$E:$F,2,FALSE)</f>
        <v>498.0223154772637</v>
      </c>
      <c r="DF987" s="72">
        <f t="shared" si="1812"/>
        <v>104.52499999999999</v>
      </c>
      <c r="DG987" s="69">
        <f t="shared" si="1813"/>
        <v>-4.5584612745252218E-2</v>
      </c>
      <c r="DH987" s="66">
        <f>HLOOKUP(H987,'GDP-PI'!$8:$9,2,FALSE)</f>
        <v>92.498000000000005</v>
      </c>
      <c r="DI987" s="69">
        <f t="shared" si="1803"/>
        <v>2.6555467950038037E-2</v>
      </c>
      <c r="EB987"/>
    </row>
    <row r="988" spans="1:132" s="160" customFormat="1" ht="21">
      <c r="A988" s="160" t="s">
        <v>218</v>
      </c>
      <c r="B988" s="160" t="s">
        <v>218</v>
      </c>
      <c r="C988" s="160">
        <v>4057140</v>
      </c>
      <c r="D988" s="161" t="s">
        <v>219</v>
      </c>
      <c r="E988" s="161"/>
      <c r="F988" s="189"/>
      <c r="G988" s="160" t="s">
        <v>120</v>
      </c>
      <c r="H988" s="162">
        <v>2008</v>
      </c>
      <c r="I988" s="163"/>
      <c r="J988" s="159">
        <f>IFERROR(INDEX('Labor Expenditures'!$F$7:$X$91,MATCH($C988,'Labor Expenditures'!$D$7:$D$91,0),MATCH($G988,'Labor Expenditures'!$F$5:$X$5,0)),"NA")</f>
        <v>43050.29255494431</v>
      </c>
      <c r="K988" s="159">
        <f t="shared" si="1804"/>
        <v>398.983248887343</v>
      </c>
      <c r="L988" s="165">
        <f t="shared" si="1810"/>
        <v>-6.8555875670812963E-2</v>
      </c>
      <c r="M988" s="76">
        <f t="shared" si="1814"/>
        <v>-1.3955821999973783E-3</v>
      </c>
      <c r="N988" s="62">
        <f t="shared" si="1820"/>
        <v>112.64886935858567</v>
      </c>
      <c r="O988" s="96">
        <f t="shared" si="1815"/>
        <v>-6.6172393397973955E-2</v>
      </c>
      <c r="P988" s="96"/>
      <c r="Q988" s="159">
        <f>IFERROR(INDEX('Non-Labor Expenditures'!$F$7:$AB$91,MATCH($C988,'Non-Labor Expenditures'!$D$7:$D$91,0),MATCH($G988,'Non-Labor Expenditures'!$F$5:$AB$5,0)),"NA")</f>
        <v>62344.864305080519</v>
      </c>
      <c r="R988" s="159">
        <f t="shared" si="1805"/>
        <v>661.38572843376608</v>
      </c>
      <c r="S988" s="165">
        <f t="shared" si="1816"/>
        <v>-5.56896143973847E-2</v>
      </c>
      <c r="T988" s="165">
        <f t="shared" si="1817"/>
        <v>-1.1336655511614471E-3</v>
      </c>
      <c r="U988" s="165"/>
      <c r="V988" s="165"/>
      <c r="W988" s="159">
        <f t="shared" si="1786"/>
        <v>77592.314867592198</v>
      </c>
      <c r="X988" s="163"/>
      <c r="Y988" s="167">
        <v>4355.4251787176172</v>
      </c>
      <c r="Z988" s="168">
        <v>4.809914882282617E-2</v>
      </c>
      <c r="AA988" s="76">
        <f t="shared" si="1806"/>
        <v>9.7914752419593805E-4</v>
      </c>
      <c r="AB988" s="168"/>
      <c r="AC988" s="168"/>
      <c r="AD988" s="163">
        <f t="shared" si="1777"/>
        <v>182987.47172761703</v>
      </c>
      <c r="AE988" s="168">
        <f t="shared" si="1818"/>
        <v>5.1499686955986633E-2</v>
      </c>
      <c r="AF988" s="163"/>
      <c r="AG988" s="163"/>
      <c r="AH988" s="163"/>
      <c r="AI988" s="163"/>
      <c r="AJ988" s="116">
        <f t="shared" si="1819"/>
        <v>207.56951414928903</v>
      </c>
      <c r="AK988" s="114">
        <f>+AV988/$AX$13</f>
        <v>2.5092858051461178E-2</v>
      </c>
      <c r="AL988" s="115">
        <f t="shared" si="1807"/>
        <v>0.23526360656551457</v>
      </c>
      <c r="AM988" s="115">
        <f t="shared" si="1808"/>
        <v>0.34070564348734722</v>
      </c>
      <c r="AN988" s="115">
        <f t="shared" si="1809"/>
        <v>0.42403074994713819</v>
      </c>
      <c r="AO988" s="115">
        <f t="shared" si="1811"/>
        <v>-1.7605156900669893E-2</v>
      </c>
      <c r="AP988" s="166">
        <f t="shared" ref="AP988:AP1001" si="1822">+AP987*EXP(AO988)</f>
        <v>106.3545838287518</v>
      </c>
      <c r="AQ988" s="168">
        <f t="shared" ref="AQ988:AQ1001" si="1823">LN(AP988/AP987)</f>
        <v>-1.7605156900669942E-2</v>
      </c>
      <c r="AR988" s="69">
        <f>+AD988/$AF$13</f>
        <v>2.0356857619303004E-2</v>
      </c>
      <c r="AS988" s="169">
        <f t="shared" si="1821"/>
        <v>-3.5838567239242778E-4</v>
      </c>
      <c r="AT988" s="115"/>
      <c r="AU988" s="115"/>
      <c r="AV988" s="113">
        <f>IFERROR(INDEX('Total Customers'!$F$7:$AB$91,MATCH($C988,'Total Customers'!$D$7:$D$91,0),MATCH($G988,'Total Customers'!$F$5:$AB$5,0)),"NA")</f>
        <v>881572</v>
      </c>
      <c r="AW988" s="68">
        <f t="shared" si="1780"/>
        <v>2.1542307390106093E-2</v>
      </c>
      <c r="AX988" s="114"/>
      <c r="AY988" s="114"/>
      <c r="AZ988" s="116"/>
      <c r="BA988" s="116"/>
      <c r="BB988" s="166"/>
      <c r="BC988" s="166"/>
      <c r="BD988" s="166"/>
      <c r="BE988" s="166"/>
      <c r="BF988" s="166"/>
      <c r="BG988" s="166"/>
      <c r="BH988" s="166"/>
      <c r="BI988" s="113"/>
      <c r="BJ988" s="113"/>
      <c r="BK988" s="113">
        <f>INDEX('Dist. Plant Gas Additions'!$F$7:$AE$91,MATCH($C988,'Dist. Plant Gas Additions'!$D$7:$D$91,0),MATCH(Calculation!$G988,'Dist. Plant Gas Additions'!$F$5:$AE$5,0))</f>
        <v>122491</v>
      </c>
      <c r="BL988" s="113">
        <f>INDEX('Gen. Plant Additions'!$F$7:$AE$91,MATCH($C988,'Gen. Plant Additions'!$D$7:$D$91,0),MATCH(Calculation!$G988,'Gen. Plant Additions'!$F$5:$AE$5,0))</f>
        <v>9329</v>
      </c>
      <c r="BM988" s="231">
        <f t="shared" si="1787"/>
        <v>0.88679576754554335</v>
      </c>
      <c r="BN988" s="61">
        <f t="shared" si="1781"/>
        <v>8272.9177154323734</v>
      </c>
      <c r="BO988" s="113">
        <f>INDEX('Dist Plant Depreciation'!$E$7:$AD$94,MATCH($C988,'Dist Plant Depreciation'!$D$7:$D$94,0),MATCH(Calculation!$G988,'Dist Plant Depreciation'!$E$5:$AD$5,0))</f>
        <v>451920</v>
      </c>
      <c r="BP988" s="113">
        <f>INDEX('Gen. Plant Depreciation'!$E$7:$AD$94,MATCH($C988,'Gen. Plant Depreciation'!$D$7:$D$94,0),MATCH(Calculation!$G988,'Gen. Plant Depreciation'!$E$5:$AD$5,0))</f>
        <v>130646</v>
      </c>
      <c r="BQ988" s="113"/>
      <c r="BR988" s="113"/>
      <c r="BS988" s="113"/>
      <c r="BT988" s="113"/>
      <c r="BU988" s="113"/>
      <c r="BV988" s="175"/>
      <c r="BW988" s="113">
        <f>INDEX('Gross Dx Plant'!$E$7:$AD$91,MATCH($C988,'Gross Dx Plant'!$D$7:$D$91,0),MATCH(Calculation!$G988,'Gross Dx Plant'!$E$5:$AD$5,0))</f>
        <v>1362904</v>
      </c>
      <c r="BX988" s="113">
        <f>INDEX('Gross Gen Plant'!$E$7:$AD$91,MATCH($C988,'Gross Gen Plant'!$D$7:$D$91,0),MATCH(Calculation!$G988,'Gross Gen Plant'!$E$5:$AD$5,0))</f>
        <v>173982</v>
      </c>
      <c r="BY988" s="113">
        <f t="shared" si="1734"/>
        <v>954320</v>
      </c>
      <c r="BZ988" s="113"/>
      <c r="CA988" s="116">
        <v>2008</v>
      </c>
      <c r="CB988" s="113"/>
      <c r="CC988" s="113"/>
      <c r="CD988" s="113"/>
      <c r="CE988" s="175"/>
      <c r="CF988" s="113">
        <f t="shared" si="1788"/>
        <v>131820</v>
      </c>
      <c r="CG988" s="113">
        <f t="shared" si="1789"/>
        <v>231.31136669983448</v>
      </c>
      <c r="CH988" s="178">
        <v>0.94252873563218387</v>
      </c>
      <c r="CI988" s="61">
        <f>+CI978*CH988+CG979*CH987+CG980*CH986+CG981*CH985+CG982*CH984+CG983*CH983+CG984*CH982+CG985*CH981+CG986*CH980+CG987*CH979+CG988</f>
        <v>4355.4251787176172</v>
      </c>
      <c r="CJ988" s="114">
        <f t="shared" si="1790"/>
        <v>4.809914882282617E-2</v>
      </c>
      <c r="CK988" s="114"/>
      <c r="CL988" s="169">
        <f t="shared" si="1791"/>
        <v>6.4510256858017903E-3</v>
      </c>
      <c r="CM988" s="169">
        <f t="shared" si="1799"/>
        <v>6.2880575401511214E-3</v>
      </c>
      <c r="CN988" s="114">
        <f>VLOOKUP($H988,RoR!$E:$F,2,FALSE)</f>
        <v>5.6316666666666668E-2</v>
      </c>
      <c r="CO988" s="169">
        <v>1.9092304698479889E-2</v>
      </c>
      <c r="CP988" s="169">
        <f t="shared" si="1797"/>
        <v>3.7224361968186778E-2</v>
      </c>
      <c r="CQ988" s="169">
        <f t="shared" si="1800"/>
        <v>2.4613884068382504E-2</v>
      </c>
      <c r="CR988" s="169">
        <f t="shared" si="1801"/>
        <v>6.9030581091053131E-2</v>
      </c>
      <c r="CS988" s="179">
        <f t="shared" si="1792"/>
        <v>0.87050000000000005</v>
      </c>
      <c r="CT988" s="180">
        <f t="shared" si="1793"/>
        <v>0.91060168006009956</v>
      </c>
      <c r="CU988" s="180">
        <f t="shared" si="1794"/>
        <v>0.53108168097070152</v>
      </c>
      <c r="CV988" s="180">
        <f t="shared" si="1795"/>
        <v>0.88825329850328805</v>
      </c>
      <c r="CW988" s="180">
        <f t="shared" si="1796"/>
        <v>0.4295627335323573</v>
      </c>
      <c r="CX988" s="181">
        <f>INDEX('State Tax Lookup'!$D$7:$Z$91,MATCH(Calculation!$C988,'State Tax Lookup'!$B$7:$B$91,0),MATCH($H988,'State Tax Lookup'!$D$6:$Z$6,0))</f>
        <v>0.35</v>
      </c>
      <c r="CY988" s="72">
        <v>0.37</v>
      </c>
      <c r="CZ988" s="70">
        <f t="shared" si="1798"/>
        <v>18.692928557575929</v>
      </c>
      <c r="DA988" s="70">
        <v>18.300102035478151</v>
      </c>
      <c r="DB988" s="69">
        <f t="shared" si="1802"/>
        <v>0.12808884331853873</v>
      </c>
      <c r="DC988" s="111">
        <f>VLOOKUP($H988,RoR!$E:$F,2,FALSE)</f>
        <v>5.6316666666666668E-2</v>
      </c>
      <c r="DD988" s="216">
        <f>HLOOKUP($H988,'GDP-PI'!$D$8:$CQ$11,3,FALSE)</f>
        <v>1.9092304698479889E-2</v>
      </c>
      <c r="DE988" s="111">
        <f>VLOOKUP(H988,'HW Dx Data'!$E:$F,2,FALSE)</f>
        <v>569.88120333515076</v>
      </c>
      <c r="DF988" s="72">
        <f t="shared" si="1812"/>
        <v>107.9</v>
      </c>
      <c r="DG988" s="69">
        <f t="shared" si="1813"/>
        <v>3.1778595021460486E-2</v>
      </c>
      <c r="DH988" s="66">
        <f>HLOOKUP(H988,'GDP-PI'!$8:$9,2,FALSE)</f>
        <v>94.263999999999996</v>
      </c>
      <c r="DI988" s="69">
        <f t="shared" si="1803"/>
        <v>1.8912333748032254E-2</v>
      </c>
      <c r="EB988"/>
    </row>
    <row r="989" spans="1:132" s="160" customFormat="1" ht="21">
      <c r="A989" s="160" t="s">
        <v>218</v>
      </c>
      <c r="B989" s="160" t="s">
        <v>218</v>
      </c>
      <c r="C989" s="160">
        <v>4057140</v>
      </c>
      <c r="D989" s="161" t="s">
        <v>219</v>
      </c>
      <c r="E989" s="161"/>
      <c r="F989" s="189"/>
      <c r="G989" s="160" t="s">
        <v>125</v>
      </c>
      <c r="H989" s="162">
        <v>2009</v>
      </c>
      <c r="I989" s="163"/>
      <c r="J989" s="159">
        <f>IFERROR(INDEX('Labor Expenditures'!$F$7:$X$91,MATCH($C989,'Labor Expenditures'!$D$7:$D$91,0),MATCH($G989,'Labor Expenditures'!$F$5:$X$5,0)),"NA")</f>
        <v>44753.948582870224</v>
      </c>
      <c r="K989" s="159">
        <f t="shared" si="1804"/>
        <v>403.46133498192677</v>
      </c>
      <c r="L989" s="165">
        <f t="shared" si="1810"/>
        <v>1.1161225764063467E-2</v>
      </c>
      <c r="M989" s="76">
        <f t="shared" si="1814"/>
        <v>2.2351183190643523E-4</v>
      </c>
      <c r="N989" s="62">
        <f t="shared" si="1820"/>
        <v>117.96121286238785</v>
      </c>
      <c r="O989" s="96">
        <f t="shared" si="1815"/>
        <v>4.6080235810114535E-2</v>
      </c>
      <c r="P989" s="96"/>
      <c r="Q989" s="159">
        <f>IFERROR(INDEX('Non-Labor Expenditures'!$F$7:$AB$91,MATCH($C989,'Non-Labor Expenditures'!$D$7:$D$91,0),MATCH($G989,'Non-Labor Expenditures'!$F$5:$AB$5,0)),"NA")</f>
        <v>64812.076432571041</v>
      </c>
      <c r="R989" s="159">
        <f t="shared" si="1805"/>
        <v>682.23956496985272</v>
      </c>
      <c r="S989" s="165">
        <f t="shared" si="1816"/>
        <v>3.1043641946637793E-2</v>
      </c>
      <c r="T989" s="165">
        <f t="shared" si="1817"/>
        <v>6.2167197646706537E-4</v>
      </c>
      <c r="U989" s="165"/>
      <c r="V989" s="165"/>
      <c r="W989" s="159">
        <f t="shared" si="1786"/>
        <v>78188.019049890048</v>
      </c>
      <c r="X989" s="163"/>
      <c r="Y989" s="167">
        <v>4455.8351505819819</v>
      </c>
      <c r="Z989" s="168">
        <v>2.279227145393058E-2</v>
      </c>
      <c r="AA989" s="76">
        <f t="shared" si="1806"/>
        <v>4.5643215661664717E-4</v>
      </c>
      <c r="AB989" s="168"/>
      <c r="AC989" s="168"/>
      <c r="AD989" s="163">
        <f t="shared" si="1777"/>
        <v>187754.04406533131</v>
      </c>
      <c r="AE989" s="168">
        <f t="shared" si="1818"/>
        <v>2.5715140048129512E-2</v>
      </c>
      <c r="AF989" s="163"/>
      <c r="AG989" s="163"/>
      <c r="AH989" s="163"/>
      <c r="AI989" s="163"/>
      <c r="AJ989" s="116">
        <f t="shared" si="1819"/>
        <v>210.64032614086213</v>
      </c>
      <c r="AK989" s="114">
        <f>+AV989/$AX$14</f>
        <v>2.5338805812737387E-2</v>
      </c>
      <c r="AL989" s="115">
        <f t="shared" si="1807"/>
        <v>0.23836476495439715</v>
      </c>
      <c r="AM989" s="115">
        <f t="shared" si="1808"/>
        <v>0.34519670005093944</v>
      </c>
      <c r="AN989" s="115">
        <f t="shared" si="1809"/>
        <v>0.41643853499466338</v>
      </c>
      <c r="AO989" s="115">
        <f t="shared" si="1811"/>
        <v>2.2867692018523129E-2</v>
      </c>
      <c r="AP989" s="166">
        <f t="shared" si="1822"/>
        <v>108.8146889551162</v>
      </c>
      <c r="AQ989" s="168">
        <f t="shared" si="1823"/>
        <v>2.2867692018523216E-2</v>
      </c>
      <c r="AR989" s="69">
        <f>+AD989/$AF$14</f>
        <v>2.0025742389880776E-2</v>
      </c>
      <c r="AS989" s="169">
        <f t="shared" si="1821"/>
        <v>4.5794250941407866E-4</v>
      </c>
      <c r="AT989" s="115"/>
      <c r="AU989" s="115"/>
      <c r="AV989" s="113">
        <f>IFERROR(INDEX('Total Customers'!$F$7:$AB$91,MATCH($C989,'Total Customers'!$D$7:$D$91,0),MATCH($G989,'Total Customers'!$F$5:$AB$5,0)),"NA")</f>
        <v>891349</v>
      </c>
      <c r="AW989" s="68">
        <f t="shared" si="1780"/>
        <v>1.1029368044779444E-2</v>
      </c>
      <c r="AX989" s="114"/>
      <c r="AY989" s="114"/>
      <c r="AZ989" s="116"/>
      <c r="BA989" s="116"/>
      <c r="BB989" s="166"/>
      <c r="BC989" s="166"/>
      <c r="BD989" s="166"/>
      <c r="BE989" s="166"/>
      <c r="BF989" s="166"/>
      <c r="BG989" s="166"/>
      <c r="BH989" s="166"/>
      <c r="BI989" s="113"/>
      <c r="BJ989" s="113"/>
      <c r="BK989" s="113">
        <f>INDEX('Dist. Plant Gas Additions'!$F$7:$AE$91,MATCH($C989,'Dist. Plant Gas Additions'!$D$7:$D$91,0),MATCH(Calculation!$G989,'Dist. Plant Gas Additions'!$F$5:$AE$5,0))</f>
        <v>54532</v>
      </c>
      <c r="BL989" s="113">
        <f>INDEX('Gen. Plant Additions'!$F$7:$AE$91,MATCH($C989,'Gen. Plant Additions'!$D$7:$D$91,0),MATCH(Calculation!$G989,'Gen. Plant Additions'!$F$5:$AE$5,0))</f>
        <v>16677</v>
      </c>
      <c r="BM989" s="231">
        <f t="shared" si="1787"/>
        <v>0.88535697828177595</v>
      </c>
      <c r="BN989" s="61">
        <f t="shared" si="1781"/>
        <v>14765.098326805177</v>
      </c>
      <c r="BO989" s="113">
        <f>INDEX('Dist Plant Depreciation'!$E$7:$AD$94,MATCH($C989,'Dist Plant Depreciation'!$D$7:$D$94,0),MATCH(Calculation!$G989,'Dist Plant Depreciation'!$E$5:$AD$5,0))</f>
        <v>482581</v>
      </c>
      <c r="BP989" s="113">
        <f>INDEX('Gen. Plant Depreciation'!$E$7:$AD$94,MATCH($C989,'Gen. Plant Depreciation'!$D$7:$D$94,0),MATCH(Calculation!$G989,'Gen. Plant Depreciation'!$E$5:$AD$5,0))</f>
        <v>133855</v>
      </c>
      <c r="BQ989" s="113"/>
      <c r="BR989" s="113"/>
      <c r="BS989" s="113"/>
      <c r="BT989" s="113"/>
      <c r="BU989" s="113"/>
      <c r="BV989" s="175"/>
      <c r="BW989" s="113">
        <f>INDEX('Gross Dx Plant'!$E$7:$AD$91,MATCH($C989,'Gross Dx Plant'!$D$7:$D$91,0),MATCH(Calculation!$G989,'Gross Dx Plant'!$E$5:$AD$5,0))</f>
        <v>1414078</v>
      </c>
      <c r="BX989" s="113">
        <f>INDEX('Gross Gen Plant'!$E$7:$AD$91,MATCH($C989,'Gross Gen Plant'!$D$7:$D$91,0),MATCH(Calculation!$G989,'Gross Gen Plant'!$E$5:$AD$5,0))</f>
        <v>183106</v>
      </c>
      <c r="BY989" s="113">
        <f t="shared" si="1734"/>
        <v>980748</v>
      </c>
      <c r="BZ989" s="113"/>
      <c r="CA989" s="116">
        <v>2009</v>
      </c>
      <c r="CB989" s="113"/>
      <c r="CC989" s="113"/>
      <c r="CD989" s="113"/>
      <c r="CE989" s="175"/>
      <c r="CF989" s="113">
        <f t="shared" si="1788"/>
        <v>71209</v>
      </c>
      <c r="CG989" s="113">
        <f t="shared" si="1789"/>
        <v>129.24985968360693</v>
      </c>
      <c r="CH989" s="178">
        <v>0.93567251461988299</v>
      </c>
      <c r="CI989" s="61">
        <f>+CI978*CH989+CG979*CH988+CG980*CH987+CG981*CH986+CG982*CH985+CG983*CH984+CG984*CH983+CG985*CH982+CG986*CH981+CG987*CH980+CG988*CH979+CG989</f>
        <v>4455.8351505819819</v>
      </c>
      <c r="CJ989" s="114">
        <f t="shared" si="1790"/>
        <v>2.279227145393058E-2</v>
      </c>
      <c r="CK989" s="114"/>
      <c r="CL989" s="169">
        <f t="shared" si="1791"/>
        <v>6.6216010230564105E-3</v>
      </c>
      <c r="CM989" s="169">
        <f t="shared" si="1799"/>
        <v>6.4558745878645352E-3</v>
      </c>
      <c r="CN989" s="114">
        <f>VLOOKUP($H989,RoR!$E:$F,2,FALSE)</f>
        <v>5.3133333333333324E-2</v>
      </c>
      <c r="CO989" s="169">
        <v>7.7972502758210105E-3</v>
      </c>
      <c r="CP989" s="169">
        <f t="shared" si="1797"/>
        <v>4.5336083057512314E-2</v>
      </c>
      <c r="CQ989" s="169">
        <f t="shared" si="1800"/>
        <v>2.444606702066909E-2</v>
      </c>
      <c r="CR989" s="169">
        <f t="shared" si="1801"/>
        <v>6.3720160300892073E-2</v>
      </c>
      <c r="CS989" s="179">
        <f t="shared" si="1792"/>
        <v>0.87050000000000005</v>
      </c>
      <c r="CT989" s="180">
        <f t="shared" si="1793"/>
        <v>0.96515780330083989</v>
      </c>
      <c r="CU989" s="180">
        <f t="shared" si="1794"/>
        <v>0.50448557089084056</v>
      </c>
      <c r="CV989" s="180">
        <f t="shared" si="1795"/>
        <v>0.87391435735465484</v>
      </c>
      <c r="CW989" s="180">
        <f t="shared" si="1796"/>
        <v>0.42551605393279146</v>
      </c>
      <c r="CX989" s="181">
        <f>INDEX('State Tax Lookup'!$D$7:$Z$91,MATCH(Calculation!$C989,'State Tax Lookup'!$B$7:$B$91,0),MATCH($H989,'State Tax Lookup'!$D$6:$Z$6,0))</f>
        <v>0.35</v>
      </c>
      <c r="CY989" s="72">
        <v>0.37</v>
      </c>
      <c r="CZ989" s="70">
        <f t="shared" si="1798"/>
        <v>17.95186826580068</v>
      </c>
      <c r="DA989" s="70">
        <v>17.478615056163342</v>
      </c>
      <c r="DB989" s="69">
        <f t="shared" si="1802"/>
        <v>-4.0451109163382751E-2</v>
      </c>
      <c r="DC989" s="111">
        <f>VLOOKUP($H989,RoR!$E:$F,2,FALSE)</f>
        <v>5.3133333333333324E-2</v>
      </c>
      <c r="DD989" s="216">
        <f>HLOOKUP($H989,'GDP-PI'!$D$8:$CQ$11,3,FALSE)</f>
        <v>7.7972502758210105E-3</v>
      </c>
      <c r="DE989" s="111">
        <f>VLOOKUP(H989,'HW Dx Data'!$E:$F,2,FALSE)</f>
        <v>550.94063679692806</v>
      </c>
      <c r="DF989" s="72">
        <f t="shared" si="1812"/>
        <v>110.925</v>
      </c>
      <c r="DG989" s="69">
        <f t="shared" si="1813"/>
        <v>2.7649425000884052E-2</v>
      </c>
      <c r="DH989" s="66">
        <f>HLOOKUP(H989,'GDP-PI'!$8:$9,2,FALSE)</f>
        <v>94.998999999999995</v>
      </c>
      <c r="DI989" s="69">
        <f t="shared" si="1803"/>
        <v>7.7670088183096342E-3</v>
      </c>
      <c r="EB989"/>
    </row>
    <row r="990" spans="1:132" s="160" customFormat="1" ht="21">
      <c r="A990" s="160" t="s">
        <v>218</v>
      </c>
      <c r="B990" s="160" t="s">
        <v>218</v>
      </c>
      <c r="C990" s="160">
        <v>4057140</v>
      </c>
      <c r="D990" s="161" t="s">
        <v>219</v>
      </c>
      <c r="E990" s="161"/>
      <c r="F990" s="189"/>
      <c r="G990" s="160" t="s">
        <v>126</v>
      </c>
      <c r="H990" s="162">
        <v>2010</v>
      </c>
      <c r="I990" s="163"/>
      <c r="J990" s="159">
        <f>IFERROR(INDEX('Labor Expenditures'!$F$7:$X$91,MATCH($C990,'Labor Expenditures'!$D$7:$D$91,0),MATCH($G990,'Labor Expenditures'!$F$5:$X$5,0)),"NA")</f>
        <v>46723.778410027815</v>
      </c>
      <c r="K990" s="159">
        <f t="shared" si="1804"/>
        <v>399.60469027177948</v>
      </c>
      <c r="L990" s="165">
        <f t="shared" si="1810"/>
        <v>-9.604874911757301E-3</v>
      </c>
      <c r="M990" s="76">
        <f t="shared" si="1814"/>
        <v>-1.942009690856481E-4</v>
      </c>
      <c r="N990" s="62">
        <f t="shared" si="1820"/>
        <v>97.610598203413986</v>
      </c>
      <c r="O990" s="96">
        <f t="shared" si="1815"/>
        <v>-0.18936979020093175</v>
      </c>
      <c r="P990" s="96"/>
      <c r="Q990" s="159">
        <f>IFERROR(INDEX('Non-Labor Expenditures'!$F$7:$AB$91,MATCH($C990,'Non-Labor Expenditures'!$D$7:$D$91,0),MATCH($G990,'Non-Labor Expenditures'!$F$5:$AB$5,0)),"NA")</f>
        <v>67664.757935757138</v>
      </c>
      <c r="R990" s="159">
        <f t="shared" si="1805"/>
        <v>704.04184764961803</v>
      </c>
      <c r="S990" s="165">
        <f t="shared" si="1816"/>
        <v>3.1456932628068923E-2</v>
      </c>
      <c r="T990" s="165">
        <f t="shared" si="1817"/>
        <v>6.3602773143406149E-4</v>
      </c>
      <c r="U990" s="165"/>
      <c r="V990" s="165"/>
      <c r="W990" s="159">
        <f t="shared" si="1786"/>
        <v>82101.145950441525</v>
      </c>
      <c r="X990" s="163"/>
      <c r="Y990" s="167">
        <v>4594.2313850877645</v>
      </c>
      <c r="Z990" s="168">
        <v>3.0586962791982801E-2</v>
      </c>
      <c r="AA990" s="76">
        <f t="shared" si="1806"/>
        <v>6.184378110243332E-4</v>
      </c>
      <c r="AB990" s="168"/>
      <c r="AC990" s="168"/>
      <c r="AD990" s="163">
        <f t="shared" si="1777"/>
        <v>196489.6822962265</v>
      </c>
      <c r="AE990" s="168">
        <f t="shared" si="1818"/>
        <v>4.5477092491217799E-2</v>
      </c>
      <c r="AF990" s="163"/>
      <c r="AG990" s="163"/>
      <c r="AH990" s="163"/>
      <c r="AI990" s="163"/>
      <c r="AJ990" s="116">
        <f t="shared" si="1819"/>
        <v>217.38566163525363</v>
      </c>
      <c r="AK990" s="114">
        <f>+AV990/$AX$15</f>
        <v>2.5554329370040641E-2</v>
      </c>
      <c r="AL990" s="115">
        <f t="shared" si="1807"/>
        <v>0.23779252866614831</v>
      </c>
      <c r="AM990" s="115">
        <f t="shared" si="1808"/>
        <v>0.34436799502655929</v>
      </c>
      <c r="AN990" s="115">
        <f t="shared" si="1809"/>
        <v>0.41783947630729229</v>
      </c>
      <c r="AO990" s="115">
        <f t="shared" si="1811"/>
        <v>2.131809470103193E-2</v>
      </c>
      <c r="AP990" s="166">
        <f t="shared" si="1822"/>
        <v>111.15931346843894</v>
      </c>
      <c r="AQ990" s="168">
        <f t="shared" si="1823"/>
        <v>2.131809470103193E-2</v>
      </c>
      <c r="AR990" s="69">
        <f>+AD990/$AF$15</f>
        <v>2.0219000337831285E-2</v>
      </c>
      <c r="AS990" s="169">
        <f t="shared" si="1821"/>
        <v>4.310305639620839E-4</v>
      </c>
      <c r="AT990" s="115"/>
      <c r="AU990" s="115"/>
      <c r="AV990" s="113">
        <f>IFERROR(INDEX('Total Customers'!$F$7:$AB$91,MATCH($C990,'Total Customers'!$D$7:$D$91,0),MATCH($G990,'Total Customers'!$F$5:$AB$5,0)),"NA")</f>
        <v>903876</v>
      </c>
      <c r="AW990" s="68">
        <f t="shared" si="1780"/>
        <v>1.3956137338689192E-2</v>
      </c>
      <c r="AX990" s="114"/>
      <c r="AY990" s="114"/>
      <c r="AZ990" s="116"/>
      <c r="BA990" s="116"/>
      <c r="BB990" s="166"/>
      <c r="BC990" s="166"/>
      <c r="BD990" s="166"/>
      <c r="BE990" s="166"/>
      <c r="BF990" s="166"/>
      <c r="BG990" s="166"/>
      <c r="BH990" s="166"/>
      <c r="BI990" s="113"/>
      <c r="BJ990" s="113"/>
      <c r="BK990" s="113">
        <f>INDEX('Dist. Plant Gas Additions'!$F$7:$AE$91,MATCH($C990,'Dist. Plant Gas Additions'!$D$7:$D$91,0),MATCH(Calculation!$G990,'Dist. Plant Gas Additions'!$F$5:$AE$5,0))</f>
        <v>78057</v>
      </c>
      <c r="BL990" s="113">
        <f>INDEX('Gen. Plant Additions'!$F$7:$AE$91,MATCH($C990,'Gen. Plant Additions'!$D$7:$D$91,0),MATCH(Calculation!$G990,'Gen. Plant Additions'!$F$5:$AE$5,0))</f>
        <v>18030</v>
      </c>
      <c r="BM990" s="231">
        <f t="shared" si="1787"/>
        <v>0.88783237565926987</v>
      </c>
      <c r="BN990" s="61">
        <f t="shared" si="1781"/>
        <v>16007.617733136636</v>
      </c>
      <c r="BO990" s="113">
        <f>INDEX('Dist Plant Depreciation'!$E$7:$AD$94,MATCH($C990,'Dist Plant Depreciation'!$D$7:$D$94,0),MATCH(Calculation!$G990,'Dist Plant Depreciation'!$E$5:$AD$5,0))</f>
        <v>610228</v>
      </c>
      <c r="BP990" s="113">
        <f>INDEX('Gen. Plant Depreciation'!$E$7:$AD$94,MATCH($C990,'Gen. Plant Depreciation'!$D$7:$D$94,0),MATCH(Calculation!$G990,'Gen. Plant Depreciation'!$E$5:$AD$5,0))</f>
        <v>77124</v>
      </c>
      <c r="BQ990" s="113"/>
      <c r="BR990" s="113"/>
      <c r="BS990" s="113"/>
      <c r="BT990" s="113"/>
      <c r="BU990" s="113"/>
      <c r="BV990" s="175"/>
      <c r="BW990" s="113">
        <f>INDEX('Gross Dx Plant'!$E$7:$AD$91,MATCH($C990,'Gross Dx Plant'!$D$7:$D$91,0),MATCH(Calculation!$G990,'Gross Dx Plant'!$E$5:$AD$5,0))</f>
        <v>1490113</v>
      </c>
      <c r="BX990" s="113">
        <f>INDEX('Gross Gen Plant'!$E$7:$AD$91,MATCH($C990,'Gross Gen Plant'!$D$7:$D$91,0),MATCH(Calculation!$G990,'Gross Gen Plant'!$E$5:$AD$5,0))</f>
        <v>188259</v>
      </c>
      <c r="BY990" s="113">
        <f t="shared" si="1734"/>
        <v>991020</v>
      </c>
      <c r="BZ990" s="113"/>
      <c r="CA990" s="116">
        <v>2010</v>
      </c>
      <c r="CB990" s="113"/>
      <c r="CC990" s="113"/>
      <c r="CD990" s="113"/>
      <c r="CE990" s="175"/>
      <c r="CF990" s="113">
        <f t="shared" si="1788"/>
        <v>96087</v>
      </c>
      <c r="CG990" s="113">
        <f t="shared" si="1789"/>
        <v>168.87306278219819</v>
      </c>
      <c r="CH990" s="178">
        <v>0.9285714285714286</v>
      </c>
      <c r="CI990" s="61">
        <f>+CI978*CH990+CG979*CH989+CG980*CH988+CG981*CH987+CG982*CH986+CG983*CH985+CG984*CH984+CG985*CH983+CG986*CH982+CG987*CH981+CG988*CH980+CG989*CH979+CG990</f>
        <v>4594.2313850877645</v>
      </c>
      <c r="CJ990" s="114">
        <f t="shared" si="1790"/>
        <v>3.0586962791982801E-2</v>
      </c>
      <c r="CK990" s="114"/>
      <c r="CL990" s="169">
        <f t="shared" si="1791"/>
        <v>6.8397566890316883E-3</v>
      </c>
      <c r="CM990" s="169">
        <f t="shared" si="1799"/>
        <v>6.6374611326299633E-3</v>
      </c>
      <c r="CN990" s="114">
        <f>VLOOKUP($H990,RoR!$E:$F,2,FALSE)</f>
        <v>4.9433333333333322E-2</v>
      </c>
      <c r="CO990" s="169">
        <v>1.1684333519300205E-2</v>
      </c>
      <c r="CP990" s="169">
        <f t="shared" si="1797"/>
        <v>3.7748999814033117E-2</v>
      </c>
      <c r="CQ990" s="169">
        <f t="shared" si="1800"/>
        <v>2.4264480475903662E-2</v>
      </c>
      <c r="CR990" s="169">
        <f t="shared" si="1801"/>
        <v>4.7937530248493419E-2</v>
      </c>
      <c r="CS990" s="179">
        <f t="shared" si="1792"/>
        <v>0.87050000000000005</v>
      </c>
      <c r="CT990" s="180">
        <f t="shared" si="1793"/>
        <v>1.037398205301105</v>
      </c>
      <c r="CU990" s="180">
        <f t="shared" si="1794"/>
        <v>0.46926837491571133</v>
      </c>
      <c r="CV990" s="180">
        <f t="shared" si="1795"/>
        <v>0.8548537519972772</v>
      </c>
      <c r="CW990" s="180">
        <f t="shared" si="1796"/>
        <v>0.41615833911547367</v>
      </c>
      <c r="CX990" s="181">
        <f>INDEX('State Tax Lookup'!$D$7:$Z$91,MATCH(Calculation!$C990,'State Tax Lookup'!$B$7:$B$91,0),MATCH($H990,'State Tax Lookup'!$D$6:$Z$6,0))</f>
        <v>0.35</v>
      </c>
      <c r="CY990" s="72">
        <v>0.37</v>
      </c>
      <c r="CZ990" s="70">
        <f t="shared" si="1798"/>
        <v>18.425534871889997</v>
      </c>
      <c r="DA990" s="70">
        <v>17.956102603965455</v>
      </c>
      <c r="DB990" s="69">
        <f t="shared" si="1802"/>
        <v>2.6043276157628172E-2</v>
      </c>
      <c r="DC990" s="111">
        <f>VLOOKUP($H990,RoR!$E:$F,2,FALSE)</f>
        <v>4.9433333333333322E-2</v>
      </c>
      <c r="DD990" s="216">
        <f>HLOOKUP($H990,'GDP-PI'!$D$8:$CQ$11,3,FALSE)</f>
        <v>1.1684333519300205E-2</v>
      </c>
      <c r="DE990" s="111">
        <f>VLOOKUP(H990,'HW Dx Data'!$E:$F,2,FALSE)</f>
        <v>568.98950262971744</v>
      </c>
      <c r="DF990" s="72">
        <f t="shared" si="1812"/>
        <v>116.925</v>
      </c>
      <c r="DG990" s="69">
        <f t="shared" si="1813"/>
        <v>5.2678406346976722E-2</v>
      </c>
      <c r="DH990" s="66">
        <f>HLOOKUP(H990,'GDP-PI'!$8:$9,2,FALSE)</f>
        <v>96.108999999999995</v>
      </c>
      <c r="DI990" s="69">
        <f t="shared" si="1803"/>
        <v>1.1616598807150427E-2</v>
      </c>
      <c r="EB990"/>
    </row>
    <row r="991" spans="1:132" s="160" customFormat="1" ht="21">
      <c r="A991" s="160" t="s">
        <v>218</v>
      </c>
      <c r="B991" s="160" t="s">
        <v>218</v>
      </c>
      <c r="C991" s="160">
        <v>4057140</v>
      </c>
      <c r="D991" s="161" t="s">
        <v>219</v>
      </c>
      <c r="E991" s="161"/>
      <c r="F991" s="189"/>
      <c r="G991" s="160" t="s">
        <v>127</v>
      </c>
      <c r="H991" s="162">
        <v>2011</v>
      </c>
      <c r="I991" s="163"/>
      <c r="J991" s="159">
        <f>IFERROR(INDEX('Labor Expenditures'!$F$7:$X$91,MATCH($C991,'Labor Expenditures'!$D$7:$D$91,0),MATCH($G991,'Labor Expenditures'!$F$5:$X$5,0)),"NA")</f>
        <v>47705.903929846296</v>
      </c>
      <c r="K991" s="159">
        <f t="shared" si="1804"/>
        <v>394.67138721692902</v>
      </c>
      <c r="L991" s="165">
        <f t="shared" si="1810"/>
        <v>-1.2422296564364943E-2</v>
      </c>
      <c r="M991" s="76">
        <f t="shared" si="1814"/>
        <v>-2.5219434183981109E-4</v>
      </c>
      <c r="N991" s="62">
        <f t="shared" si="1820"/>
        <v>118.4195349248849</v>
      </c>
      <c r="O991" s="96">
        <f t="shared" si="1815"/>
        <v>0.19324762408652255</v>
      </c>
      <c r="P991" s="96"/>
      <c r="Q991" s="159">
        <f>IFERROR(INDEX('Non-Labor Expenditures'!$F$7:$AB$91,MATCH($C991,'Non-Labor Expenditures'!$D$7:$D$91,0),MATCH($G991,'Non-Labor Expenditures'!$F$5:$AB$5,0)),"NA")</f>
        <v>69087.059124198364</v>
      </c>
      <c r="R991" s="159">
        <f t="shared" si="1805"/>
        <v>704.16523079947785</v>
      </c>
      <c r="S991" s="165">
        <f t="shared" si="1816"/>
        <v>1.7523438429436794E-4</v>
      </c>
      <c r="T991" s="165">
        <f t="shared" si="1817"/>
        <v>3.5575644153913265E-6</v>
      </c>
      <c r="U991" s="165"/>
      <c r="V991" s="165"/>
      <c r="W991" s="159">
        <f t="shared" si="1786"/>
        <v>90407.019170773812</v>
      </c>
      <c r="X991" s="163"/>
      <c r="Y991" s="167">
        <v>4763.5224847424197</v>
      </c>
      <c r="Z991" s="168">
        <v>3.6185942567787087E-2</v>
      </c>
      <c r="AA991" s="76">
        <f t="shared" si="1806"/>
        <v>7.3463790873542101E-4</v>
      </c>
      <c r="AB991" s="168"/>
      <c r="AC991" s="168"/>
      <c r="AD991" s="163">
        <f t="shared" si="1777"/>
        <v>207199.98222481849</v>
      </c>
      <c r="AE991" s="168">
        <f t="shared" si="1818"/>
        <v>5.3074502065353045E-2</v>
      </c>
      <c r="AF991" s="163"/>
      <c r="AG991" s="163"/>
      <c r="AH991" s="163"/>
      <c r="AI991" s="163"/>
      <c r="AJ991" s="116">
        <f t="shared" si="1819"/>
        <v>226.83554774419966</v>
      </c>
      <c r="AK991" s="114">
        <f>+AV991/$AX$16</f>
        <v>2.570003378233043E-2</v>
      </c>
      <c r="AL991" s="115">
        <f t="shared" si="1807"/>
        <v>0.23024086883407108</v>
      </c>
      <c r="AM991" s="115">
        <f t="shared" si="1808"/>
        <v>0.33343178113421235</v>
      </c>
      <c r="AN991" s="115">
        <f t="shared" si="1809"/>
        <v>0.43632735003171647</v>
      </c>
      <c r="AO991" s="115">
        <f t="shared" si="1811"/>
        <v>1.2606777940943852E-2</v>
      </c>
      <c r="AP991" s="166">
        <f t="shared" si="1822"/>
        <v>112.56954480868994</v>
      </c>
      <c r="AQ991" s="168">
        <f t="shared" si="1823"/>
        <v>1.2606777940943914E-2</v>
      </c>
      <c r="AR991" s="69">
        <f>+AD991/$AF$16</f>
        <v>2.0301748596412119E-2</v>
      </c>
      <c r="AS991" s="169">
        <f t="shared" si="1821"/>
        <v>2.5593963636783739E-4</v>
      </c>
      <c r="AT991" s="115"/>
      <c r="AU991" s="115"/>
      <c r="AV991" s="113">
        <f>IFERROR(INDEX('Total Customers'!$F$7:$AB$91,MATCH($C991,'Total Customers'!$D$7:$D$91,0),MATCH($G991,'Total Customers'!$F$5:$AB$5,0)),"NA")</f>
        <v>913437</v>
      </c>
      <c r="AW991" s="68">
        <f t="shared" si="1780"/>
        <v>1.0522225080415644E-2</v>
      </c>
      <c r="AX991" s="114"/>
      <c r="AY991" s="114"/>
      <c r="AZ991" s="116"/>
      <c r="BA991" s="116"/>
      <c r="BB991" s="166"/>
      <c r="BC991" s="166"/>
      <c r="BD991" s="166"/>
      <c r="BE991" s="166"/>
      <c r="BF991" s="166"/>
      <c r="BG991" s="166"/>
      <c r="BH991" s="166"/>
      <c r="BI991" s="113"/>
      <c r="BJ991" s="113"/>
      <c r="BK991" s="113">
        <f>INDEX('Dist. Plant Gas Additions'!$F$7:$AE$91,MATCH($C991,'Dist. Plant Gas Additions'!$D$7:$D$91,0),MATCH(Calculation!$G991,'Dist. Plant Gas Additions'!$F$5:$AE$5,0))</f>
        <v>98619</v>
      </c>
      <c r="BL991" s="113">
        <f>INDEX('Gen. Plant Additions'!$F$7:$AE$91,MATCH($C991,'Gen. Plant Additions'!$D$7:$D$91,0),MATCH(Calculation!$G991,'Gen. Plant Additions'!$F$5:$AE$5,0))</f>
        <v>24727</v>
      </c>
      <c r="BM991" s="231">
        <f t="shared" si="1787"/>
        <v>0.88772943901729195</v>
      </c>
      <c r="BN991" s="61">
        <f>+BM991*BL991</f>
        <v>21950.88583858058</v>
      </c>
      <c r="BO991" s="113">
        <f>INDEX('Dist Plant Depreciation'!$E$7:$AD$94,MATCH($C991,'Dist Plant Depreciation'!$D$7:$D$94,0),MATCH(Calculation!$G991,'Dist Plant Depreciation'!$E$5:$AD$5,0))</f>
        <v>543446</v>
      </c>
      <c r="BP991" s="113">
        <f>INDEX('Gen. Plant Depreciation'!$E$7:$AD$94,MATCH($C991,'Gen. Plant Depreciation'!$D$7:$D$94,0),MATCH(Calculation!$G991,'Gen. Plant Depreciation'!$E$5:$AD$5,0))</f>
        <v>131572</v>
      </c>
      <c r="BQ991" s="113"/>
      <c r="BR991" s="113"/>
      <c r="BS991" s="113"/>
      <c r="BT991" s="113"/>
      <c r="BU991" s="113"/>
      <c r="BV991" s="175"/>
      <c r="BW991" s="113">
        <f>INDEX('Gross Dx Plant'!$E$7:$AD$91,MATCH($C991,'Gross Dx Plant'!$D$7:$D$91,0),MATCH(Calculation!$G991,'Gross Dx Plant'!$E$5:$AD$5,0))</f>
        <v>1583103</v>
      </c>
      <c r="BX991" s="113">
        <f>INDEX('Gross Gen Plant'!$E$7:$AD$91,MATCH($C991,'Gross Gen Plant'!$D$7:$D$91,0),MATCH(Calculation!$G991,'Gross Gen Plant'!$E$5:$AD$5,0))</f>
        <v>200214</v>
      </c>
      <c r="BY991" s="113">
        <f t="shared" si="1734"/>
        <v>1108299</v>
      </c>
      <c r="BZ991" s="113"/>
      <c r="CA991" s="116">
        <v>2011</v>
      </c>
      <c r="CB991" s="113"/>
      <c r="CC991" s="113"/>
      <c r="CD991" s="113"/>
      <c r="CE991" s="175"/>
      <c r="CF991" s="113">
        <f t="shared" si="1788"/>
        <v>123346</v>
      </c>
      <c r="CG991" s="113">
        <f t="shared" si="1789"/>
        <v>201.67390811239957</v>
      </c>
      <c r="CH991" s="178">
        <v>0.92121212121212126</v>
      </c>
      <c r="CI991" s="61">
        <f>+CI978*CH991+CG979*CH990+CG980*CH989+CG981*CH988+CG982*CH987+CG983*CH986+CG984*CH985+CG985*CH984+CG986*CH983+CG987*CH982+CG988*CH981+CG989*CH980+CG990*CH979+CG991</f>
        <v>4763.5224847424197</v>
      </c>
      <c r="CJ991" s="114">
        <f t="shared" si="1790"/>
        <v>3.6185942567787087E-2</v>
      </c>
      <c r="CK991" s="114"/>
      <c r="CL991" s="169">
        <f t="shared" si="1791"/>
        <v>7.0485802179782314E-3</v>
      </c>
      <c r="CM991" s="169">
        <f t="shared" si="1799"/>
        <v>6.8366459766887764E-3</v>
      </c>
      <c r="CN991" s="114">
        <f>VLOOKUP($H991,RoR!$E:$F,2,FALSE)</f>
        <v>4.6391666666666664E-2</v>
      </c>
      <c r="CO991" s="169">
        <v>2.0840920205183799E-2</v>
      </c>
      <c r="CP991" s="169">
        <f t="shared" si="1797"/>
        <v>2.5550746461482865E-2</v>
      </c>
      <c r="CQ991" s="169">
        <f t="shared" si="1800"/>
        <v>2.4065295631844848E-2</v>
      </c>
      <c r="CR991" s="169">
        <f t="shared" si="1801"/>
        <v>2.4810540821321614E-2</v>
      </c>
      <c r="CS991" s="179">
        <f t="shared" si="1792"/>
        <v>0.87050000000000005</v>
      </c>
      <c r="CT991" s="180">
        <f t="shared" si="1793"/>
        <v>1.1054151524782025</v>
      </c>
      <c r="CU991" s="180">
        <f t="shared" si="1794"/>
        <v>0.43611011316687626</v>
      </c>
      <c r="CV991" s="180">
        <f t="shared" si="1795"/>
        <v>0.83698442246886229</v>
      </c>
      <c r="CW991" s="180">
        <f t="shared" si="1796"/>
        <v>0.40349573304423936</v>
      </c>
      <c r="CX991" s="181">
        <f>INDEX('State Tax Lookup'!$D$7:$Z$91,MATCH(Calculation!$C991,'State Tax Lookup'!$B$7:$B$91,0),MATCH($H991,'State Tax Lookup'!$D$6:$Z$6,0))</f>
        <v>0.35</v>
      </c>
      <c r="CY991" s="72">
        <v>0.37</v>
      </c>
      <c r="CZ991" s="70">
        <f t="shared" si="1798"/>
        <v>19.678377424398434</v>
      </c>
      <c r="DA991" s="70">
        <v>19.146574949201604</v>
      </c>
      <c r="DB991" s="69">
        <f t="shared" si="1802"/>
        <v>6.5782972941853465E-2</v>
      </c>
      <c r="DC991" s="111">
        <f>VLOOKUP($H991,RoR!$E:$F,2,FALSE)</f>
        <v>4.6391666666666664E-2</v>
      </c>
      <c r="DD991" s="216">
        <f>HLOOKUP($H991,'GDP-PI'!$D$8:$CQ$11,3,FALSE)</f>
        <v>2.0840920205183799E-2</v>
      </c>
      <c r="DE991" s="111">
        <f>VLOOKUP(H991,'HW Dx Data'!$E:$F,2,FALSE)</f>
        <v>611.61109612283201</v>
      </c>
      <c r="DF991" s="72">
        <f t="shared" si="1812"/>
        <v>120.875</v>
      </c>
      <c r="DG991" s="69">
        <f t="shared" si="1813"/>
        <v>3.3224250161508609E-2</v>
      </c>
      <c r="DH991" s="66">
        <f>HLOOKUP(H991,'GDP-PI'!$8:$9,2,FALSE)</f>
        <v>98.111999999999995</v>
      </c>
      <c r="DI991" s="69">
        <f t="shared" si="1803"/>
        <v>2.0626719212849295E-2</v>
      </c>
      <c r="EB991"/>
    </row>
    <row r="992" spans="1:132" s="160" customFormat="1" ht="21">
      <c r="A992" s="160" t="s">
        <v>218</v>
      </c>
      <c r="B992" s="160" t="s">
        <v>218</v>
      </c>
      <c r="C992" s="160">
        <v>4057140</v>
      </c>
      <c r="D992" s="161" t="s">
        <v>219</v>
      </c>
      <c r="E992" s="161"/>
      <c r="F992" s="189"/>
      <c r="G992" s="160" t="s">
        <v>128</v>
      </c>
      <c r="H992" s="162">
        <v>2012</v>
      </c>
      <c r="I992" s="163"/>
      <c r="J992" s="159">
        <f>IFERROR(INDEX('Labor Expenditures'!$F$7:$X$91,MATCH($C992,'Labor Expenditures'!$D$7:$D$91,0),MATCH($G992,'Labor Expenditures'!$F$5:$X$5,0)),"NA")</f>
        <v>50686.796149408685</v>
      </c>
      <c r="K992" s="159">
        <f t="shared" si="1804"/>
        <v>406.14419991513364</v>
      </c>
      <c r="L992" s="165">
        <f t="shared" si="1810"/>
        <v>2.8654781189762352E-2</v>
      </c>
      <c r="M992" s="76">
        <f t="shared" si="1814"/>
        <v>6.041328137184204E-4</v>
      </c>
      <c r="N992" s="62">
        <f t="shared" si="1820"/>
        <v>117.41710587177541</v>
      </c>
      <c r="O992" s="96">
        <f t="shared" si="1815"/>
        <v>-8.5010970876478326E-3</v>
      </c>
      <c r="P992" s="96"/>
      <c r="Q992" s="159">
        <f>IFERROR(INDEX('Non-Labor Expenditures'!$F$7:$AB$91,MATCH($C992,'Non-Labor Expenditures'!$D$7:$D$91,0),MATCH($G992,'Non-Labor Expenditures'!$F$5:$AB$5,0)),"NA")</f>
        <v>73403.947811992984</v>
      </c>
      <c r="R992" s="159">
        <f t="shared" si="1805"/>
        <v>734.03947811992987</v>
      </c>
      <c r="S992" s="165">
        <f t="shared" si="1816"/>
        <v>4.1549780612888963E-2</v>
      </c>
      <c r="T992" s="165">
        <f t="shared" si="1817"/>
        <v>8.7599991445811017E-4</v>
      </c>
      <c r="U992" s="165"/>
      <c r="V992" s="165"/>
      <c r="W992" s="159">
        <f t="shared" si="1786"/>
        <v>101373.06294787233</v>
      </c>
      <c r="X992" s="163"/>
      <c r="Y992" s="167">
        <v>4956.045240076427</v>
      </c>
      <c r="Z992" s="168">
        <v>3.9620679701758837E-2</v>
      </c>
      <c r="AA992" s="76">
        <f t="shared" si="1806"/>
        <v>8.3532840649335231E-4</v>
      </c>
      <c r="AB992" s="168"/>
      <c r="AC992" s="168"/>
      <c r="AD992" s="163">
        <f t="shared" si="1777"/>
        <v>225463.80690927399</v>
      </c>
      <c r="AE992" s="168">
        <f t="shared" si="1818"/>
        <v>8.4475219952238181E-2</v>
      </c>
      <c r="AF992" s="163"/>
      <c r="AG992" s="163"/>
      <c r="AH992" s="163"/>
      <c r="AI992" s="163"/>
      <c r="AJ992" s="116">
        <f t="shared" si="1819"/>
        <v>243.92634828458603</v>
      </c>
      <c r="AK992" s="114">
        <f>+AV992/$AX$17</f>
        <v>2.5881350582172256E-2</v>
      </c>
      <c r="AL992" s="115">
        <f t="shared" si="1807"/>
        <v>0.2248112317637079</v>
      </c>
      <c r="AM992" s="115">
        <f t="shared" si="1808"/>
        <v>0.3255686525400085</v>
      </c>
      <c r="AN992" s="115">
        <f t="shared" si="1809"/>
        <v>0.44962011569628363</v>
      </c>
      <c r="AO992" s="115">
        <f t="shared" si="1811"/>
        <v>3.7761291293863852E-2</v>
      </c>
      <c r="AP992" s="166">
        <f t="shared" si="1822"/>
        <v>116.90159330471941</v>
      </c>
      <c r="AQ992" s="168">
        <f t="shared" si="1823"/>
        <v>3.776129129386379E-2</v>
      </c>
      <c r="AR992" s="69">
        <f>+AD992/$AF$17</f>
        <v>2.1083141752771862E-2</v>
      </c>
      <c r="AS992" s="169">
        <f t="shared" si="1821"/>
        <v>7.961266571162403E-4</v>
      </c>
      <c r="AT992" s="115"/>
      <c r="AU992" s="115"/>
      <c r="AV992" s="113">
        <f>IFERROR(INDEX('Total Customers'!$F$7:$AB$91,MATCH($C992,'Total Customers'!$D$7:$D$91,0),MATCH($G992,'Total Customers'!$F$5:$AB$5,0)),"NA")</f>
        <v>924311</v>
      </c>
      <c r="AW992" s="68">
        <f t="shared" si="1780"/>
        <v>1.1834187175304212E-2</v>
      </c>
      <c r="AX992" s="114"/>
      <c r="AY992" s="114"/>
      <c r="AZ992" s="116"/>
      <c r="BA992" s="116"/>
      <c r="BB992" s="166"/>
      <c r="BC992" s="166"/>
      <c r="BD992" s="166"/>
      <c r="BE992" s="166"/>
      <c r="BF992" s="166"/>
      <c r="BG992" s="166"/>
      <c r="BH992" s="166"/>
      <c r="BI992" s="113"/>
      <c r="BJ992" s="113"/>
      <c r="BK992" s="113">
        <f>INDEX('Dist. Plant Gas Additions'!$F$7:$AE$91,MATCH($C992,'Dist. Plant Gas Additions'!$D$7:$D$91,0),MATCH(Calculation!$G992,'Dist. Plant Gas Additions'!$F$5:$AE$5,0))</f>
        <v>125343</v>
      </c>
      <c r="BL992" s="113">
        <f>INDEX('Gen. Plant Additions'!$F$7:$AE$91,MATCH($C992,'Gen. Plant Additions'!$D$7:$D$91,0),MATCH(Calculation!$G992,'Gen. Plant Additions'!$F$5:$AE$5,0))</f>
        <v>26540</v>
      </c>
      <c r="BM992" s="231">
        <f t="shared" si="1787"/>
        <v>0.89454186401780911</v>
      </c>
      <c r="BN992" s="61">
        <f t="shared" ref="BN992:BN1008" si="1824">+BM992*BL992</f>
        <v>23741.141071032653</v>
      </c>
      <c r="BO992" s="113">
        <f>INDEX('Dist Plant Depreciation'!$E$7:$AD$94,MATCH($C992,'Dist Plant Depreciation'!$D$7:$D$94,0),MATCH(Calculation!$G992,'Dist Plant Depreciation'!$E$5:$AD$5,0))</f>
        <v>561919</v>
      </c>
      <c r="BP992" s="113">
        <f>INDEX('Gen. Plant Depreciation'!$E$7:$AD$94,MATCH($C992,'Gen. Plant Depreciation'!$D$7:$D$94,0),MATCH(Calculation!$G992,'Gen. Plant Depreciation'!$E$5:$AD$5,0))</f>
        <v>127494</v>
      </c>
      <c r="BQ992" s="113"/>
      <c r="BR992" s="113"/>
      <c r="BS992" s="113"/>
      <c r="BT992" s="113"/>
      <c r="BU992" s="113"/>
      <c r="BV992" s="175"/>
      <c r="BW992" s="113">
        <f>INDEX('Gross Dx Plant'!$E$7:$AD$91,MATCH($C992,'Gross Dx Plant'!$D$7:$D$91,0),MATCH(Calculation!$G992,'Gross Dx Plant'!$E$5:$AD$5,0))</f>
        <v>1690524</v>
      </c>
      <c r="BX992" s="113">
        <f>INDEX('Gross Gen Plant'!$E$7:$AD$91,MATCH($C992,'Gross Gen Plant'!$D$7:$D$91,0),MATCH(Calculation!$G992,'Gross Gen Plant'!$E$5:$AD$5,0))</f>
        <v>199297</v>
      </c>
      <c r="BY992" s="113">
        <f t="shared" si="1734"/>
        <v>1200408</v>
      </c>
      <c r="BZ992" s="113"/>
      <c r="CA992" s="116">
        <v>2012</v>
      </c>
      <c r="CB992" s="113"/>
      <c r="CC992" s="113"/>
      <c r="CD992" s="113"/>
      <c r="CE992" s="175"/>
      <c r="CF992" s="113">
        <f t="shared" si="1788"/>
        <v>151883</v>
      </c>
      <c r="CG992" s="113">
        <f t="shared" si="1789"/>
        <v>227.05727728168156</v>
      </c>
      <c r="CH992" s="178">
        <v>0.9135802469135802</v>
      </c>
      <c r="CI992" s="61">
        <f>+CI978*CH992+CG979*CH991+CG980*CH990+CG981*CH989+CG982*CH988+CG983*CH987+CG984*CH986+CG985*CH985+CG986*CH984+CG987*CH983+CG988*CH982+CG989*CH981+CG990*CH980+CG991*CH979+CG992</f>
        <v>4956.045240076427</v>
      </c>
      <c r="CJ992" s="114">
        <f t="shared" si="1790"/>
        <v>3.9620679701758837E-2</v>
      </c>
      <c r="CK992" s="114"/>
      <c r="CL992" s="169">
        <f t="shared" si="1791"/>
        <v>7.2497866984544369E-3</v>
      </c>
      <c r="CM992" s="169">
        <f t="shared" si="1799"/>
        <v>7.0460412018214522E-3</v>
      </c>
      <c r="CN992" s="114">
        <f>VLOOKUP($H992,RoR!$E:$F,2,FALSE)</f>
        <v>3.6733333333333333E-2</v>
      </c>
      <c r="CO992" s="169">
        <v>1.924331376386168E-2</v>
      </c>
      <c r="CP992" s="169">
        <f t="shared" si="1797"/>
        <v>1.7490019569471653E-2</v>
      </c>
      <c r="CQ992" s="169">
        <f t="shared" si="1800"/>
        <v>2.3855900406712174E-2</v>
      </c>
      <c r="CR992" s="169">
        <f t="shared" si="1801"/>
        <v>6.7122682943869583E-2</v>
      </c>
      <c r="CS992" s="179">
        <f t="shared" si="1792"/>
        <v>0.87050000000000005</v>
      </c>
      <c r="CT992" s="180">
        <f t="shared" si="1793"/>
        <v>1.3960631020522127</v>
      </c>
      <c r="CU992" s="180">
        <f t="shared" si="1794"/>
        <v>0.29441923774954631</v>
      </c>
      <c r="CV992" s="180">
        <f t="shared" si="1795"/>
        <v>0.76377954189366437</v>
      </c>
      <c r="CW992" s="180">
        <f t="shared" si="1796"/>
        <v>0.31393465103033691</v>
      </c>
      <c r="CX992" s="181">
        <f>INDEX('State Tax Lookup'!$D$7:$Z$91,MATCH(Calculation!$C992,'State Tax Lookup'!$B$7:$B$91,0),MATCH($H992,'State Tax Lookup'!$D$6:$Z$6,0))</f>
        <v>0.35</v>
      </c>
      <c r="CY992" s="72">
        <v>0.37</v>
      </c>
      <c r="CZ992" s="70">
        <f t="shared" si="1798"/>
        <v>21.281113560935342</v>
      </c>
      <c r="DA992" s="70">
        <v>20.759737328210988</v>
      </c>
      <c r="DB992" s="69">
        <f t="shared" si="1802"/>
        <v>7.8299551817797713E-2</v>
      </c>
      <c r="DC992" s="111">
        <f>VLOOKUP($H992,RoR!$E:$F,2,FALSE)</f>
        <v>3.6733333333333333E-2</v>
      </c>
      <c r="DD992" s="216">
        <f>HLOOKUP($H992,'GDP-PI'!$D$8:$CQ$11,3,FALSE)</f>
        <v>1.924331376386168E-2</v>
      </c>
      <c r="DE992" s="111">
        <f>VLOOKUP(H992,'HW Dx Data'!$E:$F,2,FALSE)</f>
        <v>668.91932211262167</v>
      </c>
      <c r="DF992" s="72">
        <f t="shared" si="1812"/>
        <v>124.80000000000001</v>
      </c>
      <c r="DG992" s="69">
        <f t="shared" si="1813"/>
        <v>3.1955502161869064E-2</v>
      </c>
      <c r="DH992" s="66">
        <f>HLOOKUP(H992,'GDP-PI'!$8:$9,2,FALSE)</f>
        <v>100</v>
      </c>
      <c r="DI992" s="69">
        <f t="shared" si="1803"/>
        <v>1.9060502738742411E-2</v>
      </c>
      <c r="EB992"/>
    </row>
    <row r="993" spans="1:132" s="160" customFormat="1" ht="21">
      <c r="A993" s="160" t="s">
        <v>218</v>
      </c>
      <c r="B993" s="160" t="s">
        <v>218</v>
      </c>
      <c r="C993" s="160">
        <v>4057140</v>
      </c>
      <c r="D993" s="161" t="s">
        <v>219</v>
      </c>
      <c r="E993" s="161"/>
      <c r="F993" s="189"/>
      <c r="G993" s="160" t="s">
        <v>129</v>
      </c>
      <c r="H993" s="162">
        <v>2013</v>
      </c>
      <c r="I993" s="163"/>
      <c r="J993" s="159">
        <f>IFERROR(INDEX('Labor Expenditures'!$F$7:$X$91,MATCH($C993,'Labor Expenditures'!$D$7:$D$91,0),MATCH($G993,'Labor Expenditures'!$F$5:$X$5,0)),"NA")</f>
        <v>51306.774178427455</v>
      </c>
      <c r="K993" s="159">
        <f t="shared" si="1804"/>
        <v>404.62755661220393</v>
      </c>
      <c r="L993" s="165">
        <f t="shared" si="1810"/>
        <v>-3.7412380481676921E-3</v>
      </c>
      <c r="M993" s="76">
        <f t="shared" si="1814"/>
        <v>-7.7373847026853529E-5</v>
      </c>
      <c r="N993" s="62">
        <f t="shared" si="1820"/>
        <v>107.44468887915875</v>
      </c>
      <c r="O993" s="96">
        <f t="shared" si="1815"/>
        <v>-8.8756409570901806E-2</v>
      </c>
      <c r="P993" s="96"/>
      <c r="Q993" s="159">
        <f>IFERROR(INDEX('Non-Labor Expenditures'!$F$7:$AB$91,MATCH($C993,'Non-Labor Expenditures'!$D$7:$D$91,0),MATCH($G993,'Non-Labor Expenditures'!$F$5:$AB$5,0)),"NA")</f>
        <v>74301.791793935161</v>
      </c>
      <c r="R993" s="159">
        <f t="shared" si="1805"/>
        <v>730.07371104256697</v>
      </c>
      <c r="S993" s="165">
        <f t="shared" si="1816"/>
        <v>-5.4173089968799501E-3</v>
      </c>
      <c r="T993" s="165">
        <f t="shared" si="1817"/>
        <v>-1.1203725403869272E-4</v>
      </c>
      <c r="U993" s="165"/>
      <c r="V993" s="165"/>
      <c r="W993" s="159">
        <f t="shared" si="1786"/>
        <v>103773.0967537135</v>
      </c>
      <c r="X993" s="163"/>
      <c r="Y993" s="167">
        <v>5214.1439921459114</v>
      </c>
      <c r="Z993" s="168">
        <v>5.0766839505353517E-2</v>
      </c>
      <c r="AA993" s="76">
        <f t="shared" si="1806"/>
        <v>1.0499266882650882E-3</v>
      </c>
      <c r="AB993" s="168"/>
      <c r="AC993" s="168"/>
      <c r="AD993" s="163">
        <f t="shared" si="1777"/>
        <v>229381.66272607612</v>
      </c>
      <c r="AE993" s="168">
        <f t="shared" si="1818"/>
        <v>1.7227621144106649E-2</v>
      </c>
      <c r="AF993" s="163"/>
      <c r="AG993" s="163"/>
      <c r="AH993" s="163"/>
      <c r="AI993" s="163"/>
      <c r="AJ993" s="116">
        <f t="shared" si="1819"/>
        <v>244.43650720482105</v>
      </c>
      <c r="AK993" s="114">
        <f>+AV993/$AX$18</f>
        <v>2.6108666092860836E-2</v>
      </c>
      <c r="AL993" s="115">
        <f t="shared" si="1807"/>
        <v>0.22367426222599657</v>
      </c>
      <c r="AM993" s="115">
        <f t="shared" si="1808"/>
        <v>0.32392210829278523</v>
      </c>
      <c r="AN993" s="115">
        <f t="shared" si="1809"/>
        <v>0.45240362948121821</v>
      </c>
      <c r="AO993" s="115">
        <f t="shared" si="1811"/>
        <v>2.0298255782614336E-2</v>
      </c>
      <c r="AP993" s="166">
        <f t="shared" si="1822"/>
        <v>119.29873837364379</v>
      </c>
      <c r="AQ993" s="168">
        <f t="shared" si="1823"/>
        <v>2.0298255782614402E-2</v>
      </c>
      <c r="AR993" s="69">
        <f>+AD993/$AF$18</f>
        <v>2.0681348267787485E-2</v>
      </c>
      <c r="AS993" s="169">
        <f t="shared" si="1821"/>
        <v>4.1979529706887968E-4</v>
      </c>
      <c r="AT993" s="115"/>
      <c r="AU993" s="115"/>
      <c r="AV993" s="113">
        <f>IFERROR(INDEX('Total Customers'!$F$7:$AB$91,MATCH($C993,'Total Customers'!$D$7:$D$91,0),MATCH($G993,'Total Customers'!$F$5:$AB$5,0)),"NA")</f>
        <v>938410</v>
      </c>
      <c r="AW993" s="68">
        <f t="shared" si="1780"/>
        <v>1.5138358621080313E-2</v>
      </c>
      <c r="AX993" s="114"/>
      <c r="AY993" s="114"/>
      <c r="AZ993" s="116"/>
      <c r="BA993" s="116"/>
      <c r="BB993" s="166"/>
      <c r="BC993" s="166"/>
      <c r="BD993" s="166"/>
      <c r="BE993" s="166"/>
      <c r="BF993" s="166"/>
      <c r="BG993" s="166"/>
      <c r="BH993" s="166"/>
      <c r="BI993" s="113"/>
      <c r="BJ993" s="113"/>
      <c r="BK993" s="113">
        <f>INDEX('Dist. Plant Gas Additions'!$F$7:$AE$91,MATCH($C993,'Dist. Plant Gas Additions'!$D$7:$D$91,0),MATCH(Calculation!$G993,'Dist. Plant Gas Additions'!$F$5:$AE$5,0))</f>
        <v>179458</v>
      </c>
      <c r="BL993" s="113">
        <f>INDEX('Gen. Plant Additions'!$F$7:$AE$91,MATCH($C993,'Gen. Plant Additions'!$D$7:$D$91,0),MATCH(Calculation!$G993,'Gen. Plant Additions'!$F$5:$AE$5,0))</f>
        <v>16203</v>
      </c>
      <c r="BM993" s="231">
        <f t="shared" si="1787"/>
        <v>0.8991007056121012</v>
      </c>
      <c r="BN993" s="61">
        <f t="shared" si="1824"/>
        <v>14568.128733032876</v>
      </c>
      <c r="BO993" s="113">
        <f>INDEX('Dist Plant Depreciation'!$E$7:$AD$94,MATCH($C993,'Dist Plant Depreciation'!$D$7:$D$94,0),MATCH(Calculation!$G993,'Dist Plant Depreciation'!$E$5:$AD$5,0))</f>
        <v>565922</v>
      </c>
      <c r="BP993" s="113">
        <f>INDEX('Gen. Plant Depreciation'!$E$7:$AD$94,MATCH($C993,'Gen. Plant Depreciation'!$D$7:$D$94,0),MATCH(Calculation!$G993,'Gen. Plant Depreciation'!$E$5:$AD$5,0))</f>
        <v>105395</v>
      </c>
      <c r="BQ993" s="113"/>
      <c r="BR993" s="113"/>
      <c r="BS993" s="113"/>
      <c r="BT993" s="113"/>
      <c r="BU993" s="113"/>
      <c r="BV993" s="175"/>
      <c r="BW993" s="113">
        <f>INDEX('Gross Dx Plant'!$E$7:$AD$91,MATCH($C993,'Gross Dx Plant'!$D$7:$D$91,0),MATCH(Calculation!$G993,'Gross Dx Plant'!$E$5:$AD$5,0))</f>
        <v>1861499</v>
      </c>
      <c r="BX993" s="113">
        <f>INDEX('Gross Gen Plant'!$E$7:$AD$91,MATCH($C993,'Gross Gen Plant'!$D$7:$D$91,0),MATCH(Calculation!$G993,'Gross Gen Plant'!$E$5:$AD$5,0))</f>
        <v>208902</v>
      </c>
      <c r="BY993" s="113">
        <f t="shared" si="1734"/>
        <v>1399084</v>
      </c>
      <c r="BZ993" s="113"/>
      <c r="CA993" s="116">
        <v>2013</v>
      </c>
      <c r="CB993" s="113"/>
      <c r="CC993" s="113"/>
      <c r="CD993" s="113"/>
      <c r="CE993" s="175"/>
      <c r="CF993" s="113">
        <f t="shared" si="1788"/>
        <v>195661</v>
      </c>
      <c r="CG993" s="113">
        <f t="shared" si="1789"/>
        <v>295.00410160198555</v>
      </c>
      <c r="CH993" s="178">
        <v>0.90566037735849059</v>
      </c>
      <c r="CI993" s="61">
        <f>+CI978*CH993+CG979*CH992+CG980*CH991+CG981*CH990+CG982*CH989+CG983*CH988+CG984*CH987+CG985*CH986+CG986*CH985+CG987*CH984+CG988*CH983+CG989*CH982+CG990*CH981+CG991*CH980+CG992*CH979+CG993</f>
        <v>5214.1439921459114</v>
      </c>
      <c r="CJ993" s="114">
        <f t="shared" si="1790"/>
        <v>5.0766839505353517E-2</v>
      </c>
      <c r="CK993" s="114"/>
      <c r="CL993" s="169">
        <f t="shared" si="1791"/>
        <v>7.4465320118692205E-3</v>
      </c>
      <c r="CM993" s="169">
        <f t="shared" si="1799"/>
        <v>7.2482996427672966E-3</v>
      </c>
      <c r="CN993" s="114">
        <f>VLOOKUP($H993,RoR!$E:$F,2,FALSE)</f>
        <v>4.2350000000000006E-2</v>
      </c>
      <c r="CO993" s="169">
        <v>1.7730000000000024E-2</v>
      </c>
      <c r="CP993" s="169">
        <f t="shared" si="1797"/>
        <v>2.4619999999999982E-2</v>
      </c>
      <c r="CQ993" s="169">
        <f t="shared" si="1800"/>
        <v>2.3653641965766328E-2</v>
      </c>
      <c r="CR993" s="169">
        <f t="shared" si="1801"/>
        <v>5.3376742735721204E-2</v>
      </c>
      <c r="CS993" s="179">
        <f t="shared" si="1792"/>
        <v>0.87050000000000005</v>
      </c>
      <c r="CT993" s="180">
        <f t="shared" si="1793"/>
        <v>1.2109103018193925</v>
      </c>
      <c r="CU993" s="180">
        <f t="shared" si="1794"/>
        <v>0.38468122786304604</v>
      </c>
      <c r="CV993" s="180">
        <f t="shared" si="1795"/>
        <v>0.80969194503422559</v>
      </c>
      <c r="CW993" s="180">
        <f t="shared" si="1796"/>
        <v>0.37716621754800816</v>
      </c>
      <c r="CX993" s="181">
        <f>INDEX('State Tax Lookup'!$D$7:$Z$91,MATCH(Calculation!$C993,'State Tax Lookup'!$B$7:$B$91,0),MATCH($H993,'State Tax Lookup'!$D$6:$Z$6,0))</f>
        <v>0.35</v>
      </c>
      <c r="CY993" s="72">
        <v>0.37</v>
      </c>
      <c r="CZ993" s="70">
        <f t="shared" si="1798"/>
        <v>20.938690372429534</v>
      </c>
      <c r="DA993" s="70">
        <v>20.339519021246105</v>
      </c>
      <c r="DB993" s="69">
        <f t="shared" si="1802"/>
        <v>-1.6221330517897464E-2</v>
      </c>
      <c r="DC993" s="111">
        <f>VLOOKUP($H993,RoR!$E:$F,2,FALSE)</f>
        <v>4.2350000000000006E-2</v>
      </c>
      <c r="DD993" s="216">
        <f>HLOOKUP($H993,'GDP-PI'!$D$8:$CQ$11,3,FALSE)</f>
        <v>1.7730000000000024E-2</v>
      </c>
      <c r="DE993" s="111">
        <f>VLOOKUP(H993,'HW Dx Data'!$E:$F,2,FALSE)</f>
        <v>663.24840548821396</v>
      </c>
      <c r="DF993" s="72">
        <f t="shared" si="1812"/>
        <v>126.8</v>
      </c>
      <c r="DG993" s="69">
        <f t="shared" si="1813"/>
        <v>1.5898586067798204E-2</v>
      </c>
      <c r="DH993" s="66">
        <f>HLOOKUP(H993,'GDP-PI'!$8:$9,2,FALSE)</f>
        <v>101.773</v>
      </c>
      <c r="DI993" s="69">
        <f t="shared" si="1803"/>
        <v>1.7574657016510519E-2</v>
      </c>
      <c r="EB993"/>
    </row>
    <row r="994" spans="1:132" s="160" customFormat="1" ht="21">
      <c r="A994" s="160" t="s">
        <v>218</v>
      </c>
      <c r="B994" s="160" t="s">
        <v>218</v>
      </c>
      <c r="C994" s="160">
        <v>4057140</v>
      </c>
      <c r="D994" s="161" t="s">
        <v>219</v>
      </c>
      <c r="E994" s="161"/>
      <c r="F994" s="189"/>
      <c r="G994" s="160" t="s">
        <v>130</v>
      </c>
      <c r="H994" s="162">
        <v>2014</v>
      </c>
      <c r="I994" s="163"/>
      <c r="J994" s="159">
        <f>IFERROR(INDEX('Labor Expenditures'!$F$7:$X$91,MATCH($C994,'Labor Expenditures'!$D$7:$D$91,0),MATCH($G994,'Labor Expenditures'!$F$5:$X$5,0)),"NA")</f>
        <v>51640.880172767131</v>
      </c>
      <c r="K994" s="159">
        <f t="shared" si="1804"/>
        <v>399.07944492092059</v>
      </c>
      <c r="L994" s="165">
        <f t="shared" si="1810"/>
        <v>-1.3806523552032761E-2</v>
      </c>
      <c r="M994" s="76">
        <f t="shared" si="1814"/>
        <v>-2.8899520885195326E-4</v>
      </c>
      <c r="N994" s="62">
        <f t="shared" si="1820"/>
        <v>121.35056184152076</v>
      </c>
      <c r="O994" s="96">
        <f t="shared" si="1815"/>
        <v>0.12170736898641082</v>
      </c>
      <c r="P994" s="96"/>
      <c r="Q994" s="159">
        <f>IFERROR(INDEX('Non-Labor Expenditures'!$F$7:$AB$91,MATCH($C994,'Non-Labor Expenditures'!$D$7:$D$91,0),MATCH($G994,'Non-Labor Expenditures'!$F$5:$AB$5,0)),"NA")</f>
        <v>74785.639676130988</v>
      </c>
      <c r="R994" s="159">
        <f t="shared" si="1805"/>
        <v>721.54176846537757</v>
      </c>
      <c r="S994" s="165">
        <f t="shared" si="1816"/>
        <v>-1.1755235386614139E-2</v>
      </c>
      <c r="T994" s="165">
        <f t="shared" si="1817"/>
        <v>-2.4605808209831703E-4</v>
      </c>
      <c r="U994" s="165"/>
      <c r="V994" s="165"/>
      <c r="W994" s="159">
        <f t="shared" si="1786"/>
        <v>111876.46015992478</v>
      </c>
      <c r="X994" s="163"/>
      <c r="Y994" s="167">
        <v>5456.9467629430874</v>
      </c>
      <c r="Z994" s="168">
        <v>4.5514500844182862E-2</v>
      </c>
      <c r="AA994" s="76">
        <f t="shared" si="1806"/>
        <v>9.526998326324093E-4</v>
      </c>
      <c r="AB994" s="168"/>
      <c r="AC994" s="168"/>
      <c r="AD994" s="163">
        <f t="shared" si="1777"/>
        <v>238302.98000882289</v>
      </c>
      <c r="AE994" s="168">
        <f t="shared" si="1818"/>
        <v>3.815562361490555E-2</v>
      </c>
      <c r="AF994" s="163"/>
      <c r="AG994" s="163"/>
      <c r="AH994" s="163"/>
      <c r="AI994" s="163"/>
      <c r="AJ994" s="116">
        <f t="shared" si="1819"/>
        <v>249.84690647562255</v>
      </c>
      <c r="AK994" s="114">
        <f>+AV994/$AX$19</f>
        <v>2.6394934409502881E-2</v>
      </c>
      <c r="AL994" s="115">
        <f t="shared" si="1807"/>
        <v>0.21670262021421297</v>
      </c>
      <c r="AM994" s="115">
        <f t="shared" si="1808"/>
        <v>0.31382586853660888</v>
      </c>
      <c r="AN994" s="115">
        <f t="shared" si="1809"/>
        <v>0.46947151124917819</v>
      </c>
      <c r="AO994" s="115">
        <f t="shared" si="1811"/>
        <v>1.4190867743428422E-2</v>
      </c>
      <c r="AP994" s="166">
        <f t="shared" si="1822"/>
        <v>121.00376024871034</v>
      </c>
      <c r="AQ994" s="168">
        <f t="shared" si="1823"/>
        <v>1.4190867743428513E-2</v>
      </c>
      <c r="AR994" s="69">
        <f>+AD994/$AF$19</f>
        <v>2.0931786902243319E-2</v>
      </c>
      <c r="AS994" s="169">
        <f t="shared" si="1821"/>
        <v>2.9704021956336417E-4</v>
      </c>
      <c r="AT994" s="115"/>
      <c r="AU994" s="115"/>
      <c r="AV994" s="113">
        <f>IFERROR(INDEX('Total Customers'!$F$7:$AB$91,MATCH($C994,'Total Customers'!$D$7:$D$91,0),MATCH($G994,'Total Customers'!$F$5:$AB$5,0)),"NA")</f>
        <v>953796</v>
      </c>
      <c r="AW994" s="68">
        <f t="shared" si="1780"/>
        <v>1.6262858385045723E-2</v>
      </c>
      <c r="AX994" s="114"/>
      <c r="AY994" s="114"/>
      <c r="AZ994" s="116"/>
      <c r="BA994" s="116"/>
      <c r="BB994" s="166"/>
      <c r="BC994" s="166"/>
      <c r="BD994" s="166"/>
      <c r="BE994" s="166"/>
      <c r="BF994" s="166"/>
      <c r="BG994" s="166"/>
      <c r="BH994" s="166"/>
      <c r="BI994" s="113"/>
      <c r="BJ994" s="113"/>
      <c r="BK994" s="113">
        <f>INDEX('Dist. Plant Gas Additions'!$F$7:$AE$91,MATCH($C994,'Dist. Plant Gas Additions'!$D$7:$D$91,0),MATCH(Calculation!$G994,'Dist. Plant Gas Additions'!$F$5:$AE$5,0))</f>
        <v>172069</v>
      </c>
      <c r="BL994" s="113">
        <f>INDEX('Gen. Plant Additions'!$F$7:$AE$91,MATCH($C994,'Gen. Plant Additions'!$D$7:$D$91,0),MATCH(Calculation!$G994,'Gen. Plant Additions'!$F$5:$AE$5,0))</f>
        <v>21307</v>
      </c>
      <c r="BM994" s="231">
        <f t="shared" si="1787"/>
        <v>0.89875550643998958</v>
      </c>
      <c r="BN994" s="61">
        <f t="shared" si="1824"/>
        <v>19149.783575716858</v>
      </c>
      <c r="BO994" s="113">
        <f>INDEX('Dist Plant Depreciation'!$E$7:$AD$94,MATCH($C994,'Dist Plant Depreciation'!$D$7:$D$94,0),MATCH(Calculation!$G994,'Dist Plant Depreciation'!$E$5:$AD$5,0))</f>
        <v>575781</v>
      </c>
      <c r="BP994" s="113">
        <f>INDEX('Gen. Plant Depreciation'!$E$7:$AD$94,MATCH($C994,'Gen. Plant Depreciation'!$D$7:$D$94,0),MATCH(Calculation!$G994,'Gen. Plant Depreciation'!$E$5:$AD$5,0))</f>
        <v>130905</v>
      </c>
      <c r="BQ994" s="113"/>
      <c r="BR994" s="113"/>
      <c r="BS994" s="113"/>
      <c r="BT994" s="113"/>
      <c r="BU994" s="113"/>
      <c r="BV994" s="175"/>
      <c r="BW994" s="113">
        <f>INDEX('Gross Dx Plant'!$E$7:$AD$91,MATCH($C994,'Gross Dx Plant'!$D$7:$D$91,0),MATCH(Calculation!$G994,'Gross Dx Plant'!$E$5:$AD$5,0))</f>
        <v>2003921</v>
      </c>
      <c r="BX994" s="113">
        <f>INDEX('Gross Gen Plant'!$E$7:$AD$91,MATCH($C994,'Gross Gen Plant'!$D$7:$D$91,0),MATCH(Calculation!$G994,'Gross Gen Plant'!$E$5:$AD$5,0))</f>
        <v>225741</v>
      </c>
      <c r="BY994" s="113">
        <f t="shared" si="1734"/>
        <v>1522976</v>
      </c>
      <c r="BZ994" s="113"/>
      <c r="CA994" s="116">
        <v>2014</v>
      </c>
      <c r="CB994" s="113"/>
      <c r="CC994" s="113"/>
      <c r="CD994" s="113"/>
      <c r="CE994" s="175"/>
      <c r="CF994" s="113">
        <f t="shared" si="1788"/>
        <v>193376</v>
      </c>
      <c r="CG994" s="113">
        <f t="shared" si="1789"/>
        <v>282.51967531318911</v>
      </c>
      <c r="CH994" s="178">
        <v>0.89743589743589747</v>
      </c>
      <c r="CI994" s="61">
        <f>+CI978*CH994+CG979*CH993+CG980*CH992+CG981*CH991+CG982*CH990+CG983*CH989+CG984*CH988+CG985*CH987+CG986*CH986+CG987*CH985+CG988*CH984+CG989*CH983+CG990*CH982+CG991*CH981+CG992*CH980+CG993*CH979+CG994</f>
        <v>5456.9467629430874</v>
      </c>
      <c r="CJ994" s="114">
        <f t="shared" si="1790"/>
        <v>4.5514500844182862E-2</v>
      </c>
      <c r="CK994" s="114"/>
      <c r="CL994" s="169">
        <f t="shared" si="1791"/>
        <v>7.617147623049705E-3</v>
      </c>
      <c r="CM994" s="169">
        <f t="shared" si="1799"/>
        <v>7.4378221111244544E-3</v>
      </c>
      <c r="CN994" s="114">
        <f>VLOOKUP($H994,RoR!$E:$F,2,FALSE)</f>
        <v>4.1625000000000002E-2</v>
      </c>
      <c r="CO994" s="169">
        <v>1.841352814597208E-2</v>
      </c>
      <c r="CP994" s="169">
        <f t="shared" si="1797"/>
        <v>2.3211471854027922E-2</v>
      </c>
      <c r="CQ994" s="169">
        <f t="shared" si="1800"/>
        <v>2.3464119497409171E-2</v>
      </c>
      <c r="CR994" s="169">
        <f t="shared" si="1801"/>
        <v>3.9072621432650924E-2</v>
      </c>
      <c r="CS994" s="179">
        <f t="shared" si="1792"/>
        <v>0.87050000000000005</v>
      </c>
      <c r="CT994" s="180">
        <f t="shared" si="1793"/>
        <v>1.2320012320012319</v>
      </c>
      <c r="CU994" s="180">
        <f t="shared" si="1794"/>
        <v>0.37439939939939942</v>
      </c>
      <c r="CV994" s="180">
        <f t="shared" si="1795"/>
        <v>0.80432100613819935</v>
      </c>
      <c r="CW994" s="180">
        <f t="shared" si="1796"/>
        <v>0.37100152660040037</v>
      </c>
      <c r="CX994" s="181">
        <f>INDEX('State Tax Lookup'!$D$7:$Z$91,MATCH(Calculation!$C994,'State Tax Lookup'!$B$7:$B$91,0),MATCH($H994,'State Tax Lookup'!$D$6:$Z$6,0))</f>
        <v>0.35</v>
      </c>
      <c r="CY994" s="72">
        <v>0.37</v>
      </c>
      <c r="CZ994" s="70">
        <f t="shared" si="1798"/>
        <v>21.456342657288484</v>
      </c>
      <c r="DA994" s="70">
        <v>20.763592984765573</v>
      </c>
      <c r="DB994" s="69">
        <f t="shared" si="1802"/>
        <v>2.4421635065611402E-2</v>
      </c>
      <c r="DC994" s="111">
        <f>VLOOKUP($H994,RoR!$E:$F,2,FALSE)</f>
        <v>4.1625000000000002E-2</v>
      </c>
      <c r="DD994" s="216">
        <f>HLOOKUP($H994,'GDP-PI'!$D$8:$CQ$11,3,FALSE)</f>
        <v>1.841352814597208E-2</v>
      </c>
      <c r="DE994" s="111">
        <f>VLOOKUP(H994,'HW Dx Data'!$E:$F,2,FALSE)</f>
        <v>684.46914285042885</v>
      </c>
      <c r="DF994" s="72">
        <f t="shared" si="1812"/>
        <v>129.4</v>
      </c>
      <c r="DG994" s="69">
        <f t="shared" si="1813"/>
        <v>2.0297340063674733E-2</v>
      </c>
      <c r="DH994" s="66">
        <f>HLOOKUP(H994,'GDP-PI'!$8:$9,2,FALSE)</f>
        <v>103.64700000000001</v>
      </c>
      <c r="DI994" s="69">
        <f t="shared" si="1803"/>
        <v>1.8246051898256087E-2</v>
      </c>
      <c r="EB994"/>
    </row>
    <row r="995" spans="1:132" s="160" customFormat="1" ht="21">
      <c r="A995" s="160" t="s">
        <v>218</v>
      </c>
      <c r="B995" s="160" t="s">
        <v>218</v>
      </c>
      <c r="C995" s="160">
        <v>4057140</v>
      </c>
      <c r="D995" s="161" t="s">
        <v>219</v>
      </c>
      <c r="E995" s="161"/>
      <c r="F995" s="189"/>
      <c r="G995" s="160" t="s">
        <v>132</v>
      </c>
      <c r="H995" s="162">
        <v>2015</v>
      </c>
      <c r="I995" s="163"/>
      <c r="J995" s="159">
        <f>IFERROR(INDEX('Labor Expenditures'!$F$7:$X$91,MATCH($C995,'Labor Expenditures'!$D$7:$D$91,0),MATCH($G995,'Labor Expenditures'!$F$5:$X$5,0)),"NA")</f>
        <v>51846.644693590046</v>
      </c>
      <c r="K995" s="159">
        <f t="shared" si="1804"/>
        <v>388.36437972726628</v>
      </c>
      <c r="L995" s="165">
        <f t="shared" si="1810"/>
        <v>-2.7216485216005993E-2</v>
      </c>
      <c r="M995" s="76">
        <f t="shared" si="1814"/>
        <v>-5.7249782192411844E-4</v>
      </c>
      <c r="N995" s="62">
        <f t="shared" si="1820"/>
        <v>121.18577884067258</v>
      </c>
      <c r="O995" s="96">
        <f t="shared" si="1815"/>
        <v>-1.3588316352066167E-3</v>
      </c>
      <c r="P995" s="96"/>
      <c r="Q995" s="159">
        <f>IFERROR(INDEX('Non-Labor Expenditures'!$F$7:$AB$91,MATCH($C995,'Non-Labor Expenditures'!$D$7:$D$91,0),MATCH($G995,'Non-Labor Expenditures'!$F$5:$AB$5,0)),"NA")</f>
        <v>75083.625133793845</v>
      </c>
      <c r="R995" s="159">
        <f t="shared" si="1805"/>
        <v>717.54914643482687</v>
      </c>
      <c r="S995" s="165">
        <f t="shared" si="1816"/>
        <v>-5.5488256279448553E-3</v>
      </c>
      <c r="T995" s="165">
        <f t="shared" si="1817"/>
        <v>-1.1671935450235686E-4</v>
      </c>
      <c r="U995" s="165"/>
      <c r="V995" s="165"/>
      <c r="W995" s="159">
        <f t="shared" si="1786"/>
        <v>114915.39918598687</v>
      </c>
      <c r="X995" s="163"/>
      <c r="Y995" s="167">
        <v>5752.1909181781703</v>
      </c>
      <c r="Z995" s="168">
        <v>5.2691379064938572E-2</v>
      </c>
      <c r="AA995" s="76">
        <f t="shared" si="1806"/>
        <v>1.1083613298867481E-3</v>
      </c>
      <c r="AB995" s="168"/>
      <c r="AC995" s="168"/>
      <c r="AD995" s="163">
        <f t="shared" si="1777"/>
        <v>241845.66901337076</v>
      </c>
      <c r="AE995" s="168">
        <f t="shared" si="1818"/>
        <v>1.4756902060825491E-2</v>
      </c>
      <c r="AF995" s="163"/>
      <c r="AG995" s="163"/>
      <c r="AH995" s="163"/>
      <c r="AI995" s="163"/>
      <c r="AJ995" s="116">
        <f t="shared" si="1819"/>
        <v>247.31251209319075</v>
      </c>
      <c r="AK995" s="114">
        <f>+AV995/$AX$20</f>
        <v>2.6841791656346016E-2</v>
      </c>
      <c r="AL995" s="115">
        <f t="shared" si="1807"/>
        <v>0.21437904968529181</v>
      </c>
      <c r="AM995" s="115">
        <f t="shared" si="1808"/>
        <v>0.3104609044276197</v>
      </c>
      <c r="AN995" s="115">
        <f t="shared" si="1809"/>
        <v>0.47516004588708849</v>
      </c>
      <c r="AO995" s="115">
        <f t="shared" si="1811"/>
        <v>1.7288676556524128E-2</v>
      </c>
      <c r="AP995" s="166">
        <f t="shared" si="1822"/>
        <v>123.11394370076366</v>
      </c>
      <c r="AQ995" s="168">
        <f t="shared" si="1823"/>
        <v>1.7288676556524094E-2</v>
      </c>
      <c r="AR995" s="69">
        <f>+AD995/$AF$20</f>
        <v>2.1034965293293378E-2</v>
      </c>
      <c r="AS995" s="169">
        <f t="shared" si="1821"/>
        <v>3.6366671133345916E-4</v>
      </c>
      <c r="AT995" s="115"/>
      <c r="AU995" s="115"/>
      <c r="AV995" s="113">
        <f>IFERROR(INDEX('Total Customers'!$F$7:$AB$91,MATCH($C995,'Total Customers'!$D$7:$D$91,0),MATCH($G995,'Total Customers'!$F$5:$AB$5,0)),"NA")</f>
        <v>977895</v>
      </c>
      <c r="AW995" s="68">
        <f t="shared" si="1780"/>
        <v>2.4952490203899363E-2</v>
      </c>
      <c r="AX995" s="114"/>
      <c r="AY995" s="114"/>
      <c r="AZ995" s="116"/>
      <c r="BA995" s="116"/>
      <c r="BB995" s="166"/>
      <c r="BC995" s="166"/>
      <c r="BD995" s="166"/>
      <c r="BE995" s="166"/>
      <c r="BF995" s="166"/>
      <c r="BG995" s="166"/>
      <c r="BH995" s="166"/>
      <c r="BI995" s="113"/>
      <c r="BJ995" s="113"/>
      <c r="BK995" s="113">
        <f>INDEX('Dist. Plant Gas Additions'!$F$7:$AE$91,MATCH($C995,'Dist. Plant Gas Additions'!$D$7:$D$91,0),MATCH(Calculation!$G995,'Dist. Plant Gas Additions'!$F$5:$AE$5,0))</f>
        <v>203899</v>
      </c>
      <c r="BL995" s="113">
        <f>INDEX('Gen. Plant Additions'!$F$7:$AE$91,MATCH($C995,'Gen. Plant Additions'!$D$7:$D$91,0),MATCH(Calculation!$G995,'Gen. Plant Additions'!$F$5:$AE$5,0))</f>
        <v>24344</v>
      </c>
      <c r="BM995" s="231">
        <f t="shared" si="1787"/>
        <v>0.90098801989984456</v>
      </c>
      <c r="BN995" s="61">
        <f t="shared" si="1824"/>
        <v>21933.652356441817</v>
      </c>
      <c r="BO995" s="113">
        <f>INDEX('Dist Plant Depreciation'!$E$7:$AD$94,MATCH($C995,'Dist Plant Depreciation'!$D$7:$D$94,0),MATCH(Calculation!$G995,'Dist Plant Depreciation'!$E$5:$AD$5,0))</f>
        <v>673339</v>
      </c>
      <c r="BP995" s="113">
        <f>INDEX('Gen. Plant Depreciation'!$E$7:$AD$94,MATCH($C995,'Gen. Plant Depreciation'!$D$7:$D$94,0),MATCH(Calculation!$G995,'Gen. Plant Depreciation'!$E$5:$AD$5,0))</f>
        <v>132819</v>
      </c>
      <c r="BQ995" s="113"/>
      <c r="BR995" s="113"/>
      <c r="BS995" s="113"/>
      <c r="BT995" s="113"/>
      <c r="BU995" s="113"/>
      <c r="BV995" s="175"/>
      <c r="BW995" s="113">
        <f>INDEX('Gross Dx Plant'!$E$7:$AD$91,MATCH($C995,'Gross Dx Plant'!$D$7:$D$91,0),MATCH(Calculation!$G995,'Gross Dx Plant'!$E$5:$AD$5,0))</f>
        <v>2196798</v>
      </c>
      <c r="BX995" s="113">
        <f>INDEX('Gross Gen Plant'!$E$7:$AD$91,MATCH($C995,'Gross Gen Plant'!$D$7:$D$91,0),MATCH(Calculation!$G995,'Gross Gen Plant'!$E$5:$AD$5,0))</f>
        <v>241412</v>
      </c>
      <c r="BY995" s="113">
        <f t="shared" si="1734"/>
        <v>1632052</v>
      </c>
      <c r="BZ995" s="113"/>
      <c r="CA995" s="116">
        <v>2015</v>
      </c>
      <c r="CB995" s="113"/>
      <c r="CC995" s="113"/>
      <c r="CD995" s="113"/>
      <c r="CE995" s="175"/>
      <c r="CF995" s="113">
        <f t="shared" si="1788"/>
        <v>228243</v>
      </c>
      <c r="CG995" s="113">
        <f t="shared" si="1789"/>
        <v>337.83016060092405</v>
      </c>
      <c r="CH995" s="178">
        <v>0.88888888888888884</v>
      </c>
      <c r="CI995" s="61">
        <f>+CI978*CH995+CG979*CH994+CG980*CH993+CG981*CH992+CG982*CH991+CG983*CH990+CG984*CH989+CG985*CH988+CG986*CH987+CG987*CH986+CG988*CH985+CG989*CH984+CG990*CH983+CG991*CH982+CG992*CH981+CG993*CH980+CG994*CH979+CG995</f>
        <v>5752.1909181781703</v>
      </c>
      <c r="CJ995" s="114">
        <f t="shared" si="1790"/>
        <v>5.2691379064938572E-2</v>
      </c>
      <c r="CK995" s="114"/>
      <c r="CL995" s="169">
        <f t="shared" si="1791"/>
        <v>7.8039986856813905E-3</v>
      </c>
      <c r="CM995" s="169">
        <f t="shared" si="1799"/>
        <v>7.6225594402001056E-3</v>
      </c>
      <c r="CN995" s="114">
        <f>VLOOKUP($H995,RoR!$E:$F,2,FALSE)</f>
        <v>3.8866666666666674E-2</v>
      </c>
      <c r="CO995" s="169">
        <v>9.5709475431029478E-3</v>
      </c>
      <c r="CP995" s="169">
        <f t="shared" si="1797"/>
        <v>2.9295719123563727E-2</v>
      </c>
      <c r="CQ995" s="169">
        <f t="shared" si="1800"/>
        <v>2.3279382168333519E-2</v>
      </c>
      <c r="CR995" s="169">
        <f t="shared" si="1801"/>
        <v>3.5270373279175926E-3</v>
      </c>
      <c r="CS995" s="179">
        <f t="shared" si="1792"/>
        <v>0.87050000000000005</v>
      </c>
      <c r="CT995" s="180">
        <f t="shared" si="1793"/>
        <v>1.3194352816994324</v>
      </c>
      <c r="CU995" s="180">
        <f t="shared" si="1794"/>
        <v>0.33177530017152673</v>
      </c>
      <c r="CV995" s="180">
        <f t="shared" si="1795"/>
        <v>0.78242572977668579</v>
      </c>
      <c r="CW995" s="180">
        <f t="shared" si="1796"/>
        <v>0.34251158643433932</v>
      </c>
      <c r="CX995" s="181">
        <f>INDEX('State Tax Lookup'!$D$7:$Z$91,MATCH(Calculation!$C995,'State Tax Lookup'!$B$7:$B$91,0),MATCH($H995,'State Tax Lookup'!$D$6:$Z$6,0))</f>
        <v>0.35</v>
      </c>
      <c r="CY995" s="72">
        <v>0.37</v>
      </c>
      <c r="CZ995" s="70">
        <f t="shared" si="1798"/>
        <v>21.058552369678921</v>
      </c>
      <c r="DA995" s="70">
        <v>20.279488671080099</v>
      </c>
      <c r="DB995" s="69">
        <f t="shared" si="1802"/>
        <v>-1.8713530681945163E-2</v>
      </c>
      <c r="DC995" s="111">
        <f>VLOOKUP($H995,RoR!$E:$F,2,FALSE)</f>
        <v>3.8866666666666674E-2</v>
      </c>
      <c r="DD995" s="216">
        <f>HLOOKUP($H995,'GDP-PI'!$D$8:$CQ$11,3,FALSE)</f>
        <v>9.5709475431029478E-3</v>
      </c>
      <c r="DE995" s="111">
        <f>VLOOKUP(H995,'HW Dx Data'!$E:$F,2,FALSE)</f>
        <v>675.61463308665782</v>
      </c>
      <c r="DF995" s="72">
        <f t="shared" si="1812"/>
        <v>133.5</v>
      </c>
      <c r="DG995" s="69">
        <f t="shared" si="1813"/>
        <v>3.1193095773504077E-2</v>
      </c>
      <c r="DH995" s="66">
        <f>HLOOKUP(H995,'GDP-PI'!$8:$9,2,FALSE)</f>
        <v>104.639</v>
      </c>
      <c r="DI995" s="69">
        <f t="shared" si="1803"/>
        <v>9.5254361854427965E-3</v>
      </c>
      <c r="EB995"/>
    </row>
    <row r="996" spans="1:132" s="160" customFormat="1" ht="21">
      <c r="A996" s="160" t="s">
        <v>218</v>
      </c>
      <c r="B996" s="160" t="s">
        <v>218</v>
      </c>
      <c r="C996" s="160">
        <v>4057140</v>
      </c>
      <c r="D996" s="161" t="s">
        <v>219</v>
      </c>
      <c r="E996" s="161"/>
      <c r="F996" s="189"/>
      <c r="G996" s="160" t="s">
        <v>133</v>
      </c>
      <c r="H996" s="162">
        <v>2016</v>
      </c>
      <c r="I996" s="163"/>
      <c r="J996" s="159">
        <f>IFERROR(INDEX('Labor Expenditures'!$F$7:$X$91,MATCH($C996,'Labor Expenditures'!$D$7:$D$91,0),MATCH($G996,'Labor Expenditures'!$F$5:$X$5,0)),"NA")</f>
        <v>49842.600182397393</v>
      </c>
      <c r="K996" s="159">
        <f t="shared" si="1804"/>
        <v>363.94742739976192</v>
      </c>
      <c r="L996" s="165">
        <f t="shared" si="1810"/>
        <v>-6.4934594946314386E-2</v>
      </c>
      <c r="M996" s="76">
        <f t="shared" si="1814"/>
        <v>-1.3180365160462048E-3</v>
      </c>
      <c r="N996" s="62">
        <f t="shared" si="1820"/>
        <v>299.72696747572547</v>
      </c>
      <c r="O996" s="96">
        <f t="shared" si="1815"/>
        <v>0.90554722138914689</v>
      </c>
      <c r="P996" s="96"/>
      <c r="Q996" s="159">
        <f>IFERROR(INDEX('Non-Labor Expenditures'!$F$7:$AB$91,MATCH($C996,'Non-Labor Expenditures'!$D$7:$D$91,0),MATCH($G996,'Non-Labor Expenditures'!$F$5:$AB$5,0)),"NA")</f>
        <v>72181.394377703473</v>
      </c>
      <c r="R996" s="159">
        <f t="shared" si="1805"/>
        <v>682.65675245614989</v>
      </c>
      <c r="S996" s="165">
        <f t="shared" si="1816"/>
        <v>-4.9849267444736611E-2</v>
      </c>
      <c r="T996" s="165">
        <f t="shared" si="1817"/>
        <v>-1.0118359072638734E-3</v>
      </c>
      <c r="U996" s="165"/>
      <c r="V996" s="165"/>
      <c r="W996" s="159">
        <f t="shared" si="1786"/>
        <v>119475.31528269684</v>
      </c>
      <c r="X996" s="163"/>
      <c r="Y996" s="167">
        <v>6054.0642706538374</v>
      </c>
      <c r="Z996" s="168">
        <v>5.1149015288321602E-2</v>
      </c>
      <c r="AA996" s="76">
        <f t="shared" si="1806"/>
        <v>1.0382180710536632E-3</v>
      </c>
      <c r="AB996" s="168"/>
      <c r="AC996" s="168"/>
      <c r="AD996" s="163">
        <f t="shared" si="1777"/>
        <v>241499.30984279769</v>
      </c>
      <c r="AE996" s="168">
        <f t="shared" si="1818"/>
        <v>-1.4331760750992727E-3</v>
      </c>
      <c r="AF996" s="163"/>
      <c r="AG996" s="163"/>
      <c r="AH996" s="163"/>
      <c r="AI996" s="163"/>
      <c r="AJ996" s="116">
        <f t="shared" si="1819"/>
        <v>241.69677610887865</v>
      </c>
      <c r="AK996" s="114">
        <f>+AV996/$AX$21</f>
        <v>2.7189116200999779E-2</v>
      </c>
      <c r="AL996" s="115">
        <f t="shared" si="1807"/>
        <v>0.20638816820984743</v>
      </c>
      <c r="AM996" s="115">
        <f t="shared" si="1808"/>
        <v>0.29888861556039004</v>
      </c>
      <c r="AN996" s="115">
        <f t="shared" si="1809"/>
        <v>0.49472321622976262</v>
      </c>
      <c r="AO996" s="115">
        <f t="shared" si="1811"/>
        <v>-4.0447011240052969E-3</v>
      </c>
      <c r="AP996" s="166">
        <f t="shared" si="1822"/>
        <v>122.61699028581118</v>
      </c>
      <c r="AQ996" s="168">
        <f t="shared" si="1823"/>
        <v>-4.0447011240052613E-3</v>
      </c>
      <c r="AR996" s="69">
        <f>+AD996/$AF$21</f>
        <v>2.0297909259862336E-2</v>
      </c>
      <c r="AS996" s="169">
        <f t="shared" si="1821"/>
        <v>-8.2098976398321989E-5</v>
      </c>
      <c r="AT996" s="115"/>
      <c r="AU996" s="115"/>
      <c r="AV996" s="113">
        <f>IFERROR(INDEX('Total Customers'!$F$7:$AB$91,MATCH($C996,'Total Customers'!$D$7:$D$91,0),MATCH($G996,'Total Customers'!$F$5:$AB$5,0)),"NA")</f>
        <v>999183</v>
      </c>
      <c r="AW996" s="68">
        <f t="shared" si="1780"/>
        <v>2.1535642747827079E-2</v>
      </c>
      <c r="AX996" s="114"/>
      <c r="AY996" s="114"/>
      <c r="AZ996" s="116"/>
      <c r="BA996" s="116"/>
      <c r="BB996" s="166"/>
      <c r="BC996" s="166"/>
      <c r="BD996" s="166"/>
      <c r="BE996" s="166"/>
      <c r="BF996" s="166"/>
      <c r="BG996" s="166"/>
      <c r="BH996" s="166"/>
      <c r="BI996" s="113"/>
      <c r="BJ996" s="113"/>
      <c r="BK996" s="113">
        <f>INDEX('Dist. Plant Gas Additions'!$F$7:$AE$91,MATCH($C996,'Dist. Plant Gas Additions'!$D$7:$D$91,0),MATCH(Calculation!$G996,'Dist. Plant Gas Additions'!$F$5:$AE$5,0))</f>
        <v>200009</v>
      </c>
      <c r="BL996" s="113">
        <f>INDEX('Gen. Plant Additions'!$F$7:$AE$91,MATCH($C996,'Gen. Plant Additions'!$D$7:$D$91,0),MATCH(Calculation!$G996,'Gen. Plant Additions'!$F$5:$AE$5,0))</f>
        <v>33476</v>
      </c>
      <c r="BM996" s="231">
        <f t="shared" si="1787"/>
        <v>0.89426630766233928</v>
      </c>
      <c r="BN996" s="61">
        <f t="shared" si="1824"/>
        <v>29936.458915304469</v>
      </c>
      <c r="BO996" s="113">
        <f>INDEX('Dist Plant Depreciation'!$E$7:$AD$94,MATCH($C996,'Dist Plant Depreciation'!$D$7:$D$94,0),MATCH(Calculation!$G996,'Dist Plant Depreciation'!$E$5:$AD$5,0))</f>
        <v>511866</v>
      </c>
      <c r="BP996" s="113">
        <f>INDEX('Gen. Plant Depreciation'!$E$7:$AD$94,MATCH($C996,'Gen. Plant Depreciation'!$D$7:$D$94,0),MATCH(Calculation!$G996,'Gen. Plant Depreciation'!$E$5:$AD$5,0))</f>
        <v>149721</v>
      </c>
      <c r="BQ996" s="113"/>
      <c r="BR996" s="113"/>
      <c r="BS996" s="113"/>
      <c r="BT996" s="113"/>
      <c r="BU996" s="113"/>
      <c r="BV996" s="175"/>
      <c r="BW996" s="113">
        <f>INDEX('Gross Dx Plant'!$E$7:$AD$91,MATCH($C996,'Gross Dx Plant'!$D$7:$D$91,0),MATCH(Calculation!$G996,'Gross Dx Plant'!$E$5:$AD$5,0))</f>
        <v>2456089</v>
      </c>
      <c r="BX996" s="113">
        <f>INDEX('Gross Gen Plant'!$E$7:$AD$91,MATCH($C996,'Gross Gen Plant'!$D$7:$D$91,0),MATCH(Calculation!$G996,'Gross Gen Plant'!$E$5:$AD$5,0))</f>
        <v>290396</v>
      </c>
      <c r="BY996" s="113">
        <f t="shared" si="1734"/>
        <v>2084898</v>
      </c>
      <c r="BZ996" s="113"/>
      <c r="CA996" s="116">
        <v>2016</v>
      </c>
      <c r="CB996" s="113"/>
      <c r="CC996" s="113"/>
      <c r="CD996" s="113"/>
      <c r="CE996" s="175"/>
      <c r="CF996" s="113">
        <f t="shared" si="1788"/>
        <v>233485</v>
      </c>
      <c r="CG996" s="113">
        <f t="shared" si="1789"/>
        <v>347.72920793540345</v>
      </c>
      <c r="CH996" s="178">
        <v>0.88</v>
      </c>
      <c r="CI996" s="61">
        <f>+CI978*CH996+CG979*CH995+CG980*CH994+CG981*CH993+CG982*CH992+CG983*CH991+CG984*CH990+CG985*CH989+CG986*CH988+CG987*CH987+CG988*CH986+CG989*CH985+CG990*CH984+CG991*CH983+CG992*CH982+CG993*CH981+CG994*CH980+CG995*CH979+CG996</f>
        <v>6054.0642706538374</v>
      </c>
      <c r="CJ996" s="114">
        <f t="shared" si="1790"/>
        <v>5.1149015288321602E-2</v>
      </c>
      <c r="CK996" s="114"/>
      <c r="CL996" s="169">
        <f t="shared" si="1791"/>
        <v>7.9718938595765045E-3</v>
      </c>
      <c r="CM996" s="169">
        <f t="shared" si="1799"/>
        <v>7.7976800561025336E-3</v>
      </c>
      <c r="CN996" s="114">
        <f>VLOOKUP($H996,RoR!$E:$F,2,FALSE)</f>
        <v>3.6658333333333334E-2</v>
      </c>
      <c r="CO996" s="169">
        <v>1.0483662879041455E-2</v>
      </c>
      <c r="CP996" s="169">
        <f t="shared" si="1797"/>
        <v>2.6174670454291879E-2</v>
      </c>
      <c r="CQ996" s="169">
        <f t="shared" si="1800"/>
        <v>2.3104261552431091E-2</v>
      </c>
      <c r="CR996" s="169">
        <f t="shared" si="1801"/>
        <v>4.301363574220729E-3</v>
      </c>
      <c r="CS996" s="179">
        <f t="shared" si="1792"/>
        <v>0.87050000000000005</v>
      </c>
      <c r="CT996" s="180">
        <f t="shared" si="1793"/>
        <v>1.3989193348138562</v>
      </c>
      <c r="CU996" s="180">
        <f t="shared" si="1794"/>
        <v>0.29302682427824522</v>
      </c>
      <c r="CV996" s="180">
        <f t="shared" si="1795"/>
        <v>0.76309497491941802</v>
      </c>
      <c r="CW996" s="180">
        <f t="shared" si="1796"/>
        <v>0.31280857135128509</v>
      </c>
      <c r="CX996" s="181">
        <f>INDEX('State Tax Lookup'!$D$7:$Z$91,MATCH(Calculation!$C996,'State Tax Lookup'!$B$7:$B$91,0),MATCH($H996,'State Tax Lookup'!$D$6:$Z$6,0))</f>
        <v>0.35</v>
      </c>
      <c r="CY996" s="72">
        <v>0.37</v>
      </c>
      <c r="CZ996" s="70">
        <f t="shared" si="1798"/>
        <v>20.770401570839546</v>
      </c>
      <c r="DA996" s="70">
        <v>19.909765876209278</v>
      </c>
      <c r="DB996" s="69">
        <f t="shared" si="1802"/>
        <v>-1.3777794084109032E-2</v>
      </c>
      <c r="DC996" s="111">
        <f>VLOOKUP($H996,RoR!$E:$F,2,FALSE)</f>
        <v>3.6658333333333334E-2</v>
      </c>
      <c r="DD996" s="216">
        <f>HLOOKUP($H996,'GDP-PI'!$D$8:$CQ$11,3,FALSE)</f>
        <v>1.0483662879041455E-2</v>
      </c>
      <c r="DE996" s="111">
        <f>VLOOKUP(H996,'HW Dx Data'!$E:$F,2,FALSE)</f>
        <v>671.45639385971219</v>
      </c>
      <c r="DF996" s="72">
        <f t="shared" si="1812"/>
        <v>136.94999999999999</v>
      </c>
      <c r="DG996" s="69">
        <f t="shared" si="1813"/>
        <v>2.5514417868782811E-2</v>
      </c>
      <c r="DH996" s="66">
        <f>HLOOKUP(H996,'GDP-PI'!$8:$9,2,FALSE)</f>
        <v>105.736</v>
      </c>
      <c r="DI996" s="69">
        <f t="shared" si="1803"/>
        <v>1.0429090367205095E-2</v>
      </c>
      <c r="EB996"/>
    </row>
    <row r="997" spans="1:132" s="160" customFormat="1" ht="21">
      <c r="A997" s="160" t="s">
        <v>218</v>
      </c>
      <c r="B997" s="160" t="s">
        <v>218</v>
      </c>
      <c r="C997" s="160">
        <v>4057140</v>
      </c>
      <c r="D997" s="161" t="s">
        <v>219</v>
      </c>
      <c r="E997" s="161"/>
      <c r="F997" s="189"/>
      <c r="G997" s="160" t="s">
        <v>135</v>
      </c>
      <c r="H997" s="162">
        <v>2017</v>
      </c>
      <c r="I997" s="163"/>
      <c r="J997" s="159">
        <f>IFERROR(INDEX('Labor Expenditures'!$F$7:$X$91,MATCH($C997,'Labor Expenditures'!$D$7:$D$91,0),MATCH($G997,'Labor Expenditures'!$F$5:$X$5,0)),"NA")</f>
        <v>44155.087796901942</v>
      </c>
      <c r="K997" s="159">
        <f t="shared" si="1804"/>
        <v>314.3829675820715</v>
      </c>
      <c r="L997" s="165">
        <f t="shared" si="1810"/>
        <v>-0.14639754225496868</v>
      </c>
      <c r="M997" s="76">
        <f t="shared" si="1814"/>
        <v>-2.8278536551480833E-3</v>
      </c>
      <c r="N997" s="62">
        <f t="shared" si="1820"/>
        <v>168.66024634908624</v>
      </c>
      <c r="O997" s="96">
        <f t="shared" si="1815"/>
        <v>-0.57498563707097206</v>
      </c>
      <c r="P997" s="96"/>
      <c r="Q997" s="159">
        <f>IFERROR(INDEX('Non-Labor Expenditures'!$F$7:$AB$91,MATCH($C997,'Non-Labor Expenditures'!$D$7:$D$91,0),MATCH($G997,'Non-Labor Expenditures'!$F$5:$AB$5,0)),"NA")</f>
        <v>63944.814162722927</v>
      </c>
      <c r="R997" s="159">
        <f t="shared" si="1805"/>
        <v>593.44984420305082</v>
      </c>
      <c r="S997" s="165">
        <f t="shared" si="1816"/>
        <v>-0.14003947264154806</v>
      </c>
      <c r="T997" s="165">
        <f t="shared" si="1817"/>
        <v>-2.7050395004904618E-3</v>
      </c>
      <c r="U997" s="165"/>
      <c r="V997" s="165"/>
      <c r="W997" s="159">
        <f t="shared" si="1786"/>
        <v>120619.52661200939</v>
      </c>
      <c r="X997" s="163"/>
      <c r="Y997" s="167">
        <v>6281.9691766086289</v>
      </c>
      <c r="Z997" s="168">
        <v>3.6953667710947428E-2</v>
      </c>
      <c r="AA997" s="76">
        <f t="shared" si="1806"/>
        <v>7.1380682146652446E-4</v>
      </c>
      <c r="AB997" s="168"/>
      <c r="AC997" s="168"/>
      <c r="AD997" s="163">
        <f t="shared" si="1777"/>
        <v>228719.42857163426</v>
      </c>
      <c r="AE997" s="168">
        <f t="shared" si="1818"/>
        <v>-5.4370565658966419E-2</v>
      </c>
      <c r="AF997" s="163"/>
      <c r="AG997" s="163"/>
      <c r="AH997" s="163"/>
      <c r="AI997" s="163"/>
      <c r="AJ997" s="116">
        <f t="shared" si="1819"/>
        <v>230.81429915072624</v>
      </c>
      <c r="AK997" s="114">
        <f>+AV997/$AX$22</f>
        <v>2.676179002628528E-2</v>
      </c>
      <c r="AL997" s="115">
        <f t="shared" si="1807"/>
        <v>0.1930535069655121</v>
      </c>
      <c r="AM997" s="115">
        <f t="shared" si="1808"/>
        <v>0.27957753550742015</v>
      </c>
      <c r="AN997" s="115">
        <f t="shared" si="1809"/>
        <v>0.52736895752706769</v>
      </c>
      <c r="AO997" s="115">
        <f t="shared" si="1811"/>
        <v>-5.0857659848716277E-2</v>
      </c>
      <c r="AP997" s="166">
        <f t="shared" si="1822"/>
        <v>116.53689721256291</v>
      </c>
      <c r="AQ997" s="168">
        <f t="shared" si="1823"/>
        <v>-5.0857659848716263E-2</v>
      </c>
      <c r="AR997" s="69">
        <f>+AD997/$AF$22</f>
        <v>1.9316264546456942E-2</v>
      </c>
      <c r="AS997" s="169">
        <f t="shared" si="1821"/>
        <v>-9.8238001185152468E-4</v>
      </c>
      <c r="AT997" s="115"/>
      <c r="AU997" s="115"/>
      <c r="AV997" s="113">
        <f>IFERROR(INDEX('Total Customers'!$F$7:$AB$91,MATCH($C997,'Total Customers'!$D$7:$D$91,0),MATCH($G997,'Total Customers'!$F$5:$AB$5,0)),"NA")</f>
        <v>990924</v>
      </c>
      <c r="AW997" s="68">
        <f t="shared" si="1780"/>
        <v>-8.3001038785099502E-3</v>
      </c>
      <c r="AX997" s="114"/>
      <c r="AY997" s="114"/>
      <c r="AZ997" s="116"/>
      <c r="BA997" s="116"/>
      <c r="BB997" s="166"/>
      <c r="BC997" s="166"/>
      <c r="BD997" s="166"/>
      <c r="BE997" s="166"/>
      <c r="BF997" s="166"/>
      <c r="BG997" s="166"/>
      <c r="BH997" s="166"/>
      <c r="BI997" s="113"/>
      <c r="BJ997" s="113"/>
      <c r="BK997" s="113">
        <f>INDEX('Dist. Plant Gas Additions'!$F$7:$AE$91,MATCH($C997,'Dist. Plant Gas Additions'!$D$7:$D$91,0),MATCH(Calculation!$G997,'Dist. Plant Gas Additions'!$F$5:$AE$5,0))</f>
        <v>185269</v>
      </c>
      <c r="BL997" s="113">
        <f>INDEX('Gen. Plant Additions'!$F$7:$AE$91,MATCH($C997,'Gen. Plant Additions'!$D$7:$D$91,0),MATCH(Calculation!$G997,'Gen. Plant Additions'!$F$5:$AE$5,0))</f>
        <v>12232</v>
      </c>
      <c r="BM997" s="231">
        <f t="shared" si="1787"/>
        <v>0.90744424310008365</v>
      </c>
      <c r="BN997" s="61">
        <f t="shared" si="1824"/>
        <v>11099.857981600224</v>
      </c>
      <c r="BO997" s="113">
        <f>INDEX('Dist Plant Depreciation'!$E$7:$AD$94,MATCH($C997,'Dist Plant Depreciation'!$D$7:$D$94,0),MATCH(Calculation!$G997,'Dist Plant Depreciation'!$E$5:$AD$5,0))</f>
        <v>540355</v>
      </c>
      <c r="BP997" s="113">
        <f>INDEX('Gen. Plant Depreciation'!$E$7:$AD$94,MATCH($C997,'Gen. Plant Depreciation'!$D$7:$D$94,0),MATCH(Calculation!$G997,'Gen. Plant Depreciation'!$E$5:$AD$5,0))</f>
        <v>128845</v>
      </c>
      <c r="BQ997" s="113"/>
      <c r="BR997" s="113"/>
      <c r="BS997" s="113"/>
      <c r="BT997" s="113"/>
      <c r="BU997" s="113"/>
      <c r="BV997" s="175"/>
      <c r="BW997" s="113">
        <f>INDEX('Gross Dx Plant'!$E$7:$AD$91,MATCH($C997,'Gross Dx Plant'!$D$7:$D$91,0),MATCH(Calculation!$G997,'Gross Dx Plant'!$E$5:$AD$5,0))</f>
        <v>2604002</v>
      </c>
      <c r="BX997" s="113">
        <f>INDEX('Gross Gen Plant'!$E$7:$AD$91,MATCH($C997,'Gross Gen Plant'!$D$7:$D$91,0),MATCH(Calculation!$G997,'Gross Gen Plant'!$E$5:$AD$5,0))</f>
        <v>265598</v>
      </c>
      <c r="BY997" s="113">
        <f t="shared" si="1734"/>
        <v>2200400</v>
      </c>
      <c r="BZ997" s="113"/>
      <c r="CA997" s="116">
        <v>2017</v>
      </c>
      <c r="CB997" s="113"/>
      <c r="CC997" s="113"/>
      <c r="CD997" s="113"/>
      <c r="CE997" s="175"/>
      <c r="CF997" s="113">
        <f t="shared" si="1788"/>
        <v>197501</v>
      </c>
      <c r="CG997" s="113">
        <f t="shared" si="1789"/>
        <v>277.22217288593492</v>
      </c>
      <c r="CH997" s="178">
        <v>0.87074829931972786</v>
      </c>
      <c r="CI997" s="61">
        <f>+CI978*CH997+CG979*CH996+CG980*CH995+CG981*CH994+CG982*CH993+CG983*CH992+CG984*CH991+CG985*CH990+CG986*CH989+CG987*CH988+CG988*CH987+CG989*CH986+CG990*CH985+CG991*CH984+CG992*CH983+CG993*CH982+CG994*CH981+CG995*CH980+CG996*CH979+CG997</f>
        <v>6281.9691766086289</v>
      </c>
      <c r="CJ997" s="114">
        <f t="shared" si="1790"/>
        <v>3.6953667710947428E-2</v>
      </c>
      <c r="CK997" s="114"/>
      <c r="CL997" s="169">
        <f t="shared" si="1791"/>
        <v>8.1461419513171388E-3</v>
      </c>
      <c r="CM997" s="169">
        <f t="shared" si="1799"/>
        <v>7.9740114988583449E-3</v>
      </c>
      <c r="CN997" s="114">
        <f>VLOOKUP($H997,RoR!$E:$F,2,FALSE)</f>
        <v>3.7433333333333339E-2</v>
      </c>
      <c r="CO997" s="169">
        <v>1.9056896421275615E-2</v>
      </c>
      <c r="CP997" s="169">
        <f t="shared" si="1797"/>
        <v>1.8376436912057724E-2</v>
      </c>
      <c r="CQ997" s="169">
        <f t="shared" si="1800"/>
        <v>2.2927930109675282E-2</v>
      </c>
      <c r="CR997" s="169">
        <f t="shared" si="1801"/>
        <v>1.3976271617800498E-2</v>
      </c>
      <c r="CS997" s="179">
        <f t="shared" si="1792"/>
        <v>0.90398500000000004</v>
      </c>
      <c r="CT997" s="180">
        <f t="shared" si="1793"/>
        <v>1.3699568463593395</v>
      </c>
      <c r="CU997" s="180">
        <f t="shared" si="1794"/>
        <v>0.30714603739982199</v>
      </c>
      <c r="CV997" s="180">
        <f t="shared" si="1795"/>
        <v>0.77007188472689425</v>
      </c>
      <c r="CW997" s="180">
        <f t="shared" si="1796"/>
        <v>0.32402839633793828</v>
      </c>
      <c r="CX997" s="181">
        <f>INDEX('State Tax Lookup'!$D$7:$Z$91,MATCH(Calculation!$C997,'State Tax Lookup'!$B$7:$B$91,0),MATCH($H997,'State Tax Lookup'!$D$6:$Z$6,0))</f>
        <v>0.25950000000000001</v>
      </c>
      <c r="CY997" s="72">
        <v>0.37</v>
      </c>
      <c r="CZ997" s="70">
        <f t="shared" si="1798"/>
        <v>19.923727469609851</v>
      </c>
      <c r="DA997" s="70">
        <v>18.231812616449311</v>
      </c>
      <c r="DB997" s="69">
        <f t="shared" si="1802"/>
        <v>-4.1617615257625605E-2</v>
      </c>
      <c r="DC997" s="111">
        <f>VLOOKUP($H997,RoR!$E:$F,2,FALSE)</f>
        <v>3.7433333333333339E-2</v>
      </c>
      <c r="DD997" s="216">
        <f>HLOOKUP($H997,'GDP-PI'!$D$8:$CQ$11,3,FALSE)</f>
        <v>1.9056896421275615E-2</v>
      </c>
      <c r="DE997" s="111">
        <f>VLOOKUP(H997,'HW Dx Data'!$E:$F,2,FALSE)</f>
        <v>712.42858370229726</v>
      </c>
      <c r="DF997" s="72">
        <f t="shared" si="1812"/>
        <v>140.44999999999999</v>
      </c>
      <c r="DG997" s="69">
        <f t="shared" si="1813"/>
        <v>2.5235657841165486E-2</v>
      </c>
      <c r="DH997" s="66">
        <f>HLOOKUP(H997,'GDP-PI'!$8:$9,2,FALSE)</f>
        <v>107.751</v>
      </c>
      <c r="DI997" s="69">
        <f t="shared" si="1803"/>
        <v>1.8877588227745139E-2</v>
      </c>
      <c r="EB997"/>
    </row>
    <row r="998" spans="1:132" s="160" customFormat="1" ht="21">
      <c r="A998" s="160" t="s">
        <v>218</v>
      </c>
      <c r="B998" s="160" t="s">
        <v>218</v>
      </c>
      <c r="C998" s="160">
        <v>4057140</v>
      </c>
      <c r="D998" s="161" t="s">
        <v>219</v>
      </c>
      <c r="E998" s="161"/>
      <c r="F998" s="189"/>
      <c r="G998" s="160" t="s">
        <v>136</v>
      </c>
      <c r="H998" s="162">
        <v>2018</v>
      </c>
      <c r="I998" s="163"/>
      <c r="J998" s="159">
        <f>IFERROR(INDEX('Labor Expenditures'!$F$7:$X$91,MATCH($C998,'Labor Expenditures'!$D$7:$D$91,0),MATCH($G998,'Labor Expenditures'!$F$5:$X$5,0)),"NA")</f>
        <v>44495.271406249842</v>
      </c>
      <c r="K998" s="159">
        <f t="shared" si="1804"/>
        <v>308.03233926098886</v>
      </c>
      <c r="L998" s="165">
        <f t="shared" si="1810"/>
        <v>-2.0407109667963667E-2</v>
      </c>
      <c r="M998" s="76">
        <f t="shared" si="1814"/>
        <v>-3.8104781906554155E-4</v>
      </c>
      <c r="N998" s="62">
        <f t="shared" si="1820"/>
        <v>116.08467959690115</v>
      </c>
      <c r="O998" s="96">
        <f t="shared" si="1815"/>
        <v>-0.37356639345735509</v>
      </c>
      <c r="P998" s="96"/>
      <c r="Q998" s="159">
        <f>IFERROR(INDEX('Non-Labor Expenditures'!$F$7:$AB$91,MATCH($C998,'Non-Labor Expenditures'!$D$7:$D$91,0),MATCH($G998,'Non-Labor Expenditures'!$F$5:$AB$5,0)),"NA")</f>
        <v>64437.463566592574</v>
      </c>
      <c r="R998" s="159">
        <f t="shared" si="1805"/>
        <v>584.08534622824618</v>
      </c>
      <c r="S998" s="165">
        <f t="shared" si="1816"/>
        <v>-1.5905589022480709E-2</v>
      </c>
      <c r="T998" s="165">
        <f t="shared" si="1817"/>
        <v>-2.9699404308507703E-4</v>
      </c>
      <c r="U998" s="165"/>
      <c r="V998" s="165"/>
      <c r="W998" s="159">
        <f t="shared" si="1786"/>
        <v>131390.42668899457</v>
      </c>
      <c r="X998" s="163"/>
      <c r="Y998" s="167">
        <v>6411.6622047951068</v>
      </c>
      <c r="Z998" s="168">
        <v>2.0435057153345097E-2</v>
      </c>
      <c r="AA998" s="76">
        <f t="shared" si="1806"/>
        <v>3.8156966309569728E-4</v>
      </c>
      <c r="AB998" s="168"/>
      <c r="AC998" s="168"/>
      <c r="AD998" s="163">
        <f t="shared" si="1777"/>
        <v>240323.16166183699</v>
      </c>
      <c r="AE998" s="168">
        <f t="shared" si="1818"/>
        <v>4.948847490303869E-2</v>
      </c>
      <c r="AF998" s="163"/>
      <c r="AG998" s="163"/>
      <c r="AH998" s="163"/>
      <c r="AI998" s="163"/>
      <c r="AJ998" s="116">
        <f t="shared" si="1819"/>
        <v>229.73534864866591</v>
      </c>
      <c r="AK998" s="114">
        <f>+AV998/$AX$23</f>
        <v>2.8004148124161885E-2</v>
      </c>
      <c r="AL998" s="115">
        <f t="shared" si="1807"/>
        <v>0.18514766158436252</v>
      </c>
      <c r="AM998" s="115">
        <f t="shared" si="1808"/>
        <v>0.26812839478728095</v>
      </c>
      <c r="AN998" s="115">
        <f t="shared" si="1809"/>
        <v>0.54672394362835652</v>
      </c>
      <c r="AO998" s="115">
        <f t="shared" si="1811"/>
        <v>2.7597858337605283E-3</v>
      </c>
      <c r="AP998" s="166">
        <f t="shared" si="1822"/>
        <v>116.85895829599573</v>
      </c>
      <c r="AQ998" s="168">
        <f t="shared" si="1823"/>
        <v>2.7597858337604199E-3</v>
      </c>
      <c r="AR998" s="69">
        <f>+AD998/$AF$23</f>
        <v>1.8672307115776117E-2</v>
      </c>
      <c r="AS998" s="169">
        <f t="shared" si="1821"/>
        <v>5.1531568661742815E-5</v>
      </c>
      <c r="AT998" s="115"/>
      <c r="AU998" s="115"/>
      <c r="AV998" s="113">
        <f>IFERROR(INDEX('Total Customers'!$F$7:$AB$91,MATCH($C998,'Total Customers'!$D$7:$D$91,0),MATCH($G998,'Total Customers'!$F$5:$AB$5,0)),"NA")</f>
        <v>1046087</v>
      </c>
      <c r="AW998" s="68">
        <f t="shared" si="1780"/>
        <v>5.4173973985042992E-2</v>
      </c>
      <c r="AX998" s="114"/>
      <c r="AY998" s="114"/>
      <c r="AZ998" s="116"/>
      <c r="BA998" s="116"/>
      <c r="BB998" s="166"/>
      <c r="BC998" s="166"/>
      <c r="BD998" s="166"/>
      <c r="BE998" s="166"/>
      <c r="BF998" s="166"/>
      <c r="BG998" s="166"/>
      <c r="BH998" s="166"/>
      <c r="BI998" s="113"/>
      <c r="BJ998" s="113"/>
      <c r="BK998" s="113">
        <f>INDEX('Dist. Plant Gas Additions'!$F$7:$AE$91,MATCH($C998,'Dist. Plant Gas Additions'!$D$7:$D$91,0),MATCH(Calculation!$G998,'Dist. Plant Gas Additions'!$F$5:$AE$5,0))</f>
        <v>132274</v>
      </c>
      <c r="BL998" s="113">
        <f>INDEX('Gen. Plant Additions'!$F$7:$AE$91,MATCH($C998,'Gen. Plant Additions'!$D$7:$D$91,0),MATCH(Calculation!$G998,'Gen. Plant Additions'!$F$5:$AE$5,0))</f>
        <v>5368</v>
      </c>
      <c r="BM998" s="231">
        <f t="shared" si="1787"/>
        <v>0.91250620088945622</v>
      </c>
      <c r="BN998" s="61">
        <f t="shared" si="1824"/>
        <v>4898.3332863746009</v>
      </c>
      <c r="BO998" s="113">
        <f>INDEX('Dist Plant Depreciation'!$E$7:$AD$94,MATCH($C998,'Dist Plant Depreciation'!$D$7:$D$94,0),MATCH(Calculation!$G998,'Dist Plant Depreciation'!$E$5:$AD$5,0))</f>
        <v>589325</v>
      </c>
      <c r="BP998" s="113">
        <f>INDEX('Gen. Plant Depreciation'!$E$7:$AD$94,MATCH($C998,'Gen. Plant Depreciation'!$D$7:$D$94,0),MATCH(Calculation!$G998,'Gen. Plant Depreciation'!$E$5:$AD$5,0))</f>
        <v>134553</v>
      </c>
      <c r="BQ998" s="113"/>
      <c r="BR998" s="113"/>
      <c r="BS998" s="113"/>
      <c r="BT998" s="113"/>
      <c r="BU998" s="113"/>
      <c r="BV998" s="175"/>
      <c r="BW998" s="113">
        <f>INDEX('Gross Dx Plant'!$E$7:$AD$91,MATCH($C998,'Gross Dx Plant'!$D$7:$D$91,0),MATCH(Calculation!$G998,'Gross Dx Plant'!$E$5:$AD$5,0))</f>
        <v>2733447</v>
      </c>
      <c r="BX998" s="113">
        <f>INDEX('Gross Gen Plant'!$E$7:$AD$91,MATCH($C998,'Gross Gen Plant'!$D$7:$D$91,0),MATCH(Calculation!$G998,'Gross Gen Plant'!$E$5:$AD$5,0))</f>
        <v>262091</v>
      </c>
      <c r="BY998" s="113">
        <f t="shared" si="1734"/>
        <v>2271660</v>
      </c>
      <c r="BZ998" s="113"/>
      <c r="CA998" s="116">
        <v>2018</v>
      </c>
      <c r="CB998" s="113"/>
      <c r="CC998" s="113"/>
      <c r="CD998" s="113"/>
      <c r="CE998" s="175"/>
      <c r="CF998" s="113">
        <f t="shared" si="1788"/>
        <v>137642</v>
      </c>
      <c r="CG998" s="113">
        <f t="shared" si="1789"/>
        <v>182.27427879729345</v>
      </c>
      <c r="CH998" s="178">
        <v>0.86111111111111116</v>
      </c>
      <c r="CI998" s="61">
        <f>+CI978*CH998++CG979*CH997+CG980*CH996+CG981*CH995+CG982*CH994+CG983*CH993+CG984*CH992+CG985*CH991+CG986*CH990+CG987*CH989+CG988*CH988+CG989*CH987+CG990*CH986+CG991*CH985+CG992*CH984+CG993*CH983+CG994*CH982+CG995*CH981+CG996*CH980+CG997*CH979+CG998</f>
        <v>6411.6622047951068</v>
      </c>
      <c r="CJ998" s="114">
        <f t="shared" si="1790"/>
        <v>2.0435057153345097E-2</v>
      </c>
      <c r="CK998" s="114"/>
      <c r="CL998" s="169">
        <f t="shared" si="1791"/>
        <v>8.3701860248862163E-3</v>
      </c>
      <c r="CM998" s="169">
        <f t="shared" si="1799"/>
        <v>8.1627406119266204E-3</v>
      </c>
      <c r="CN998" s="114">
        <f>VLOOKUP($H998,RoR!$E:$F,2,FALSE)</f>
        <v>3.9299999999999995E-2</v>
      </c>
      <c r="CO998" s="169">
        <v>2.386056741932796E-2</v>
      </c>
      <c r="CP998" s="169">
        <f t="shared" si="1797"/>
        <v>1.5439432580672034E-2</v>
      </c>
      <c r="CQ998" s="169">
        <f t="shared" si="1800"/>
        <v>2.2739200996607006E-2</v>
      </c>
      <c r="CR998" s="169">
        <f t="shared" si="1801"/>
        <v>3.8270792163076606E-2</v>
      </c>
      <c r="CS998" s="179">
        <f t="shared" si="1792"/>
        <v>0.90398500000000004</v>
      </c>
      <c r="CT998" s="180">
        <f t="shared" si="1793"/>
        <v>1.3048868010700074</v>
      </c>
      <c r="CU998" s="180">
        <f t="shared" si="1794"/>
        <v>0.33886768447837151</v>
      </c>
      <c r="CV998" s="180">
        <f t="shared" si="1795"/>
        <v>0.78602506232557801</v>
      </c>
      <c r="CW998" s="180">
        <f t="shared" si="1796"/>
        <v>0.34756768162358759</v>
      </c>
      <c r="CX998" s="181">
        <f>INDEX('State Tax Lookup'!$D$7:$Z$91,MATCH(Calculation!$C998,'State Tax Lookup'!$B$7:$B$91,0),MATCH($H998,'State Tax Lookup'!$D$6:$Z$6,0))</f>
        <v>0.25950000000000001</v>
      </c>
      <c r="CY998" s="72">
        <v>0.37</v>
      </c>
      <c r="CZ998" s="70">
        <f t="shared" si="1798"/>
        <v>20.915484141220627</v>
      </c>
      <c r="DA998" s="70">
        <v>19.050901628905343</v>
      </c>
      <c r="DB998" s="69">
        <f t="shared" si="1802"/>
        <v>4.8578396044843819E-2</v>
      </c>
      <c r="DC998" s="111">
        <f>VLOOKUP($H998,RoR!$E:$F,2,FALSE)</f>
        <v>3.9299999999999995E-2</v>
      </c>
      <c r="DD998" s="216">
        <f>HLOOKUP($H998,'GDP-PI'!$D$8:$CQ$11,3,FALSE)</f>
        <v>2.386056741932796E-2</v>
      </c>
      <c r="DE998" s="111">
        <f>VLOOKUP(H998,'HW Dx Data'!$E:$F,2,FALSE)</f>
        <v>755.13671434174842</v>
      </c>
      <c r="DF998" s="72">
        <f t="shared" si="1812"/>
        <v>144.44999999999999</v>
      </c>
      <c r="DG998" s="69">
        <f t="shared" si="1813"/>
        <v>2.80818733619915E-2</v>
      </c>
      <c r="DH998" s="66">
        <f>HLOOKUP(H998,'GDP-PI'!$8:$9,2,FALSE)</f>
        <v>110.322</v>
      </c>
      <c r="DI998" s="69">
        <f t="shared" si="1803"/>
        <v>2.3580352716508712E-2</v>
      </c>
      <c r="EB998"/>
    </row>
    <row r="999" spans="1:132" s="160" customFormat="1" ht="21">
      <c r="A999" s="160" t="s">
        <v>218</v>
      </c>
      <c r="B999" s="160" t="s">
        <v>218</v>
      </c>
      <c r="C999" s="160">
        <v>4057140</v>
      </c>
      <c r="D999" s="161" t="s">
        <v>219</v>
      </c>
      <c r="E999" s="161"/>
      <c r="F999" s="189"/>
      <c r="G999" s="160" t="s">
        <v>140</v>
      </c>
      <c r="H999" s="162">
        <v>2019</v>
      </c>
      <c r="I999" s="163"/>
      <c r="J999" s="159">
        <f>IFERROR(INDEX('Labor Expenditures'!$F$7:$X$91,MATCH($C999,'Labor Expenditures'!$D$7:$D$91,0),MATCH($G999,'Labor Expenditures'!$F$5:$X$5,0)),"NA")</f>
        <v>49969.194560959957</v>
      </c>
      <c r="K999" s="159">
        <f t="shared" si="1804"/>
        <v>333.8513082409217</v>
      </c>
      <c r="L999" s="165">
        <f t="shared" si="1810"/>
        <v>8.0490933882733914E-2</v>
      </c>
      <c r="M999" s="76">
        <f t="shared" si="1814"/>
        <v>1.5664880318943012E-3</v>
      </c>
      <c r="N999" s="62">
        <f t="shared" si="1820"/>
        <v>116.17399117625592</v>
      </c>
      <c r="O999" s="96">
        <f t="shared" si="1815"/>
        <v>7.6906996375686841E-4</v>
      </c>
      <c r="P999" s="96"/>
      <c r="Q999" s="159">
        <f>IFERROR(INDEX('Non-Labor Expenditures'!$F$7:$AB$91,MATCH($C999,'Non-Labor Expenditures'!$D$7:$D$91,0),MATCH($G999,'Non-Labor Expenditures'!$F$5:$AB$5,0)),"NA")</f>
        <v>72364.726682430453</v>
      </c>
      <c r="R999" s="159">
        <f t="shared" si="1805"/>
        <v>644.28432381657842</v>
      </c>
      <c r="S999" s="165">
        <f t="shared" si="1816"/>
        <v>9.8093012330503354E-2</v>
      </c>
      <c r="T999" s="165">
        <f t="shared" si="1817"/>
        <v>1.9090538824168806E-3</v>
      </c>
      <c r="U999" s="165"/>
      <c r="V999" s="165"/>
      <c r="W999" s="159">
        <f t="shared" si="1786"/>
        <v>135909.66441806205</v>
      </c>
      <c r="X999" s="163"/>
      <c r="Y999" s="167">
        <v>6365.7503815239052</v>
      </c>
      <c r="Z999" s="168">
        <v>-7.1864347422895295E-3</v>
      </c>
      <c r="AA999" s="76">
        <f t="shared" si="1806"/>
        <v>-1.3986002488412911E-4</v>
      </c>
      <c r="AB999" s="168"/>
      <c r="AC999" s="168"/>
      <c r="AD999" s="163">
        <f t="shared" si="1777"/>
        <v>258243.58566145247</v>
      </c>
      <c r="AE999" s="168">
        <f t="shared" si="1818"/>
        <v>7.1918745442701187E-2</v>
      </c>
      <c r="AF999" s="163"/>
      <c r="AG999" s="163"/>
      <c r="AH999" s="163"/>
      <c r="AI999" s="163"/>
      <c r="AJ999" s="116">
        <f t="shared" si="1819"/>
        <v>240.74503294205891</v>
      </c>
      <c r="AK999" s="114">
        <f>+AV999/$AX$24</f>
        <v>2.8479359105367641E-2</v>
      </c>
      <c r="AL999" s="115">
        <f t="shared" si="1807"/>
        <v>0.19349636287372371</v>
      </c>
      <c r="AM999" s="115">
        <f t="shared" si="1808"/>
        <v>0.28021887357658465</v>
      </c>
      <c r="AN999" s="115">
        <f t="shared" si="1809"/>
        <v>0.52628476354969167</v>
      </c>
      <c r="AO999" s="115">
        <f t="shared" si="1811"/>
        <v>3.8277669721359549E-2</v>
      </c>
      <c r="AP999" s="166">
        <f t="shared" si="1822"/>
        <v>121.41875945651394</v>
      </c>
      <c r="AQ999" s="168">
        <f t="shared" si="1823"/>
        <v>3.8277669721359445E-2</v>
      </c>
      <c r="AR999" s="69">
        <f>+AD999/$AF$24</f>
        <v>1.9461670480510205E-2</v>
      </c>
      <c r="AS999" s="169">
        <f t="shared" si="1821"/>
        <v>7.4494739487890034E-4</v>
      </c>
      <c r="AT999" s="115"/>
      <c r="AU999" s="115"/>
      <c r="AV999" s="113">
        <v>1072685</v>
      </c>
      <c r="AW999" s="68">
        <f t="shared" si="1780"/>
        <v>2.5108314936977912E-2</v>
      </c>
      <c r="AX999" s="114"/>
      <c r="AY999" s="114"/>
      <c r="AZ999" s="116"/>
      <c r="BA999" s="116"/>
      <c r="BB999" s="166"/>
      <c r="BC999" s="166"/>
      <c r="BD999" s="166"/>
      <c r="BE999" s="166"/>
      <c r="BF999" s="166"/>
      <c r="BG999" s="166"/>
      <c r="BH999" s="166"/>
      <c r="BI999" s="113"/>
      <c r="BJ999" s="113"/>
      <c r="BK999" s="113">
        <f>INDEX('Dist. Plant Gas Additions'!$F$7:$AE$91,MATCH($C999,'Dist. Plant Gas Additions'!$D$7:$D$91,0),MATCH(Calculation!$G999,'Dist. Plant Gas Additions'!$F$5:$AE$5,0))</f>
        <v>4678</v>
      </c>
      <c r="BL999" s="113">
        <f>INDEX('Gen. Plant Additions'!$F$7:$AE$91,MATCH($C999,'Gen. Plant Additions'!$D$7:$D$91,0),MATCH(Calculation!$G999,'Gen. Plant Additions'!$F$5:$AE$5,0))</f>
        <v>2759</v>
      </c>
      <c r="BM999" s="231">
        <f t="shared" si="1787"/>
        <v>0.91502118610222993</v>
      </c>
      <c r="BN999" s="61">
        <f t="shared" si="1824"/>
        <v>2524.5434524560524</v>
      </c>
      <c r="BO999" s="113">
        <f>INDEX('Dist Plant Depreciation'!$E$7:$AD$94,MATCH($C999,'Dist Plant Depreciation'!$D$7:$D$94,0),MATCH(Calculation!$G999,'Dist Plant Depreciation'!$E$5:$AD$5,0))</f>
        <v>610409</v>
      </c>
      <c r="BP999" s="113">
        <f>INDEX('Gen. Plant Depreciation'!$E$7:$AD$94,MATCH($C999,'Gen. Plant Depreciation'!$D$7:$D$94,0),MATCH(Calculation!$G999,'Gen. Plant Depreciation'!$E$5:$AD$5,0))</f>
        <v>129855</v>
      </c>
      <c r="BQ999" s="113"/>
      <c r="BR999" s="113"/>
      <c r="BS999" s="113"/>
      <c r="BT999" s="113"/>
      <c r="BU999" s="113"/>
      <c r="BV999" s="175"/>
      <c r="BW999" s="113">
        <f>INDEX('Gross Dx Plant'!$E$7:$AD$91,MATCH($C999,'Gross Dx Plant'!$D$7:$D$91,0),MATCH(Calculation!$G999,'Gross Dx Plant'!$E$5:$AD$5,0))</f>
        <v>2806682</v>
      </c>
      <c r="BX999" s="113">
        <f>INDEX('Gross Gen Plant'!$E$7:$AD$91,MATCH($C999,'Gross Gen Plant'!$D$7:$D$91,0),MATCH(Calculation!$G999,'Gross Gen Plant'!$E$5:$AD$5,0))</f>
        <v>260659</v>
      </c>
      <c r="BY999" s="113">
        <f t="shared" si="1734"/>
        <v>2327077</v>
      </c>
      <c r="BZ999" s="113"/>
      <c r="CA999" s="116">
        <v>2019</v>
      </c>
      <c r="CB999" s="113"/>
      <c r="CC999" s="113"/>
      <c r="CD999" s="113"/>
      <c r="CE999" s="175"/>
      <c r="CF999" s="113">
        <f t="shared" si="1788"/>
        <v>7437</v>
      </c>
      <c r="CG999" s="113">
        <f t="shared" si="1789"/>
        <v>9.6142497476356361</v>
      </c>
      <c r="CH999" s="178">
        <v>0.85106382978723405</v>
      </c>
      <c r="CI999" s="61">
        <f>CI978*CH999+CG979*CH998+CG980*CH997+CG981*CH996+CG982*CH995+CG983*CH994+CG984*CH993+CG985*CH992+CG986*CH991+CG987*CH990+CG988*CH989+CG989*CH988+CG990*CH987+CG991*CH986+CG992*CH985+CG993*CH984+CG994*CH983+CG995*CH982+CG996*CH981+CG997*CH980+CG998*CH979+CG999</f>
        <v>6365.7503815239052</v>
      </c>
      <c r="CJ999" s="114">
        <f t="shared" si="1790"/>
        <v>-7.1864347422895295E-3</v>
      </c>
      <c r="CK999" s="114"/>
      <c r="CL999" s="169">
        <f t="shared" si="1791"/>
        <v>8.6601681818656781E-3</v>
      </c>
      <c r="CM999" s="169">
        <f t="shared" si="1799"/>
        <v>8.3921653860230105E-3</v>
      </c>
      <c r="CN999" s="114">
        <f>VLOOKUP($H999,RoR!$E:$F,2,FALSE)</f>
        <v>3.3875000000000009E-2</v>
      </c>
      <c r="CO999" s="169">
        <v>1.8092492884465461E-2</v>
      </c>
      <c r="CP999" s="169">
        <f t="shared" si="1797"/>
        <v>1.5782507115534548E-2</v>
      </c>
      <c r="CQ999" s="169">
        <f t="shared" si="1800"/>
        <v>2.2509776222510616E-2</v>
      </c>
      <c r="CR999" s="169">
        <f t="shared" si="1801"/>
        <v>4.8445665544254078E-2</v>
      </c>
      <c r="CS999" s="179">
        <f t="shared" si="1792"/>
        <v>0.90398500000000004</v>
      </c>
      <c r="CT999" s="180">
        <f t="shared" si="1793"/>
        <v>1.513861292459078</v>
      </c>
      <c r="CU999" s="180">
        <f t="shared" si="1794"/>
        <v>0.23699261992619944</v>
      </c>
      <c r="CV999" s="180">
        <f t="shared" si="1795"/>
        <v>0.73619765810468829</v>
      </c>
      <c r="CW999" s="180">
        <f t="shared" si="1796"/>
        <v>0.26412854465362851</v>
      </c>
      <c r="CX999" s="181">
        <f>INDEX('State Tax Lookup'!$D$7:$Z$91,MATCH(Calculation!$C999,'State Tax Lookup'!$B$7:$B$91,0),MATCH($H999,'State Tax Lookup'!$D$6:$Z$6,0))</f>
        <v>0.25950000000000001</v>
      </c>
      <c r="CY999" s="72">
        <v>0.37</v>
      </c>
      <c r="CZ999" s="70">
        <f t="shared" si="1798"/>
        <v>21.19725900662997</v>
      </c>
      <c r="DA999" s="70">
        <v>19.236104090735289</v>
      </c>
      <c r="DB999" s="69">
        <f t="shared" si="1802"/>
        <v>1.3382128514391658E-2</v>
      </c>
      <c r="DC999" s="111">
        <f>VLOOKUP($H999,RoR!$E:$F,2,FALSE)</f>
        <v>3.3875000000000009E-2</v>
      </c>
      <c r="DD999" s="216">
        <f>HLOOKUP($H999,'GDP-PI'!$D$8:$CQ$11,3,FALSE)</f>
        <v>1.8092492884465461E-2</v>
      </c>
      <c r="DE999" s="111">
        <f>VLOOKUP(H999,'HW Dx Data'!$E:$F,2,FALSE)</f>
        <v>773.53929793938721</v>
      </c>
      <c r="DF999" s="72">
        <f t="shared" si="1812"/>
        <v>149.67500000000001</v>
      </c>
      <c r="DG999" s="69">
        <f t="shared" si="1813"/>
        <v>3.5532849899171604E-2</v>
      </c>
      <c r="DH999" s="66">
        <f>HLOOKUP(H999,'GDP-PI'!$8:$9,2,FALSE)</f>
        <v>112.318</v>
      </c>
      <c r="DI999" s="69">
        <f t="shared" si="1803"/>
        <v>1.7930771451401852E-2</v>
      </c>
      <c r="EB999"/>
    </row>
    <row r="1000" spans="1:132" s="160" customFormat="1" ht="21">
      <c r="A1000" s="160" t="s">
        <v>218</v>
      </c>
      <c r="B1000" s="160" t="s">
        <v>218</v>
      </c>
      <c r="C1000" s="160">
        <v>4057140</v>
      </c>
      <c r="D1000" s="160" t="s">
        <v>219</v>
      </c>
      <c r="G1000" s="161" t="s">
        <v>141</v>
      </c>
      <c r="H1000" s="162">
        <v>2020</v>
      </c>
      <c r="I1000" s="163"/>
      <c r="J1000" s="159">
        <f>IFERROR(INDEX('Labor Expenditures'!$F$7:$X$91,MATCH($C1000,'Labor Expenditures'!$D$7:$D$91,0),MATCH($G1000,'Labor Expenditures'!$F$5:$X$5,0)),"NA")</f>
        <v>42555.324452538393</v>
      </c>
      <c r="K1000" s="159">
        <f t="shared" si="1804"/>
        <v>277.86695692156962</v>
      </c>
      <c r="L1000" s="165">
        <f t="shared" si="1810"/>
        <v>-0.18355328203122814</v>
      </c>
      <c r="M1000" s="76">
        <f t="shared" si="1814"/>
        <v>-3.276102787959399E-3</v>
      </c>
      <c r="N1000" s="62">
        <f t="shared" si="1820"/>
        <v>117.86723859552062</v>
      </c>
      <c r="O1000" s="96">
        <f t="shared" si="1815"/>
        <v>1.4469903143900426E-2</v>
      </c>
      <c r="P1000" s="96"/>
      <c r="Q1000" s="159">
        <f>IFERROR(INDEX('Non-Labor Expenditures'!$F$7:$AB$91,MATCH($C1000,'Non-Labor Expenditures'!$D$7:$D$91,0),MATCH($G1000,'Non-Labor Expenditures'!$F$5:$AB$5,0)),"NA")</f>
        <v>61628.05804550735</v>
      </c>
      <c r="R1000" s="159">
        <f t="shared" si="1805"/>
        <v>542.39069594630791</v>
      </c>
      <c r="S1000" s="165">
        <f t="shared" si="1816"/>
        <v>-0.17215354229525243</v>
      </c>
      <c r="T1000" s="165">
        <f t="shared" si="1817"/>
        <v>-3.0726375122761907E-3</v>
      </c>
      <c r="U1000" s="165"/>
      <c r="V1000" s="165"/>
      <c r="W1000" s="159">
        <f t="shared" si="1786"/>
        <v>139924.97700673551</v>
      </c>
      <c r="X1000" s="163"/>
      <c r="Y1000" s="167">
        <v>6311.2785641851724</v>
      </c>
      <c r="Z1000" s="168">
        <v>-8.593835798350883E-3</v>
      </c>
      <c r="AA1000" s="76">
        <f t="shared" si="1806"/>
        <v>-1.5338483249486485E-4</v>
      </c>
      <c r="AB1000" s="168"/>
      <c r="AC1000" s="168"/>
      <c r="AD1000" s="163">
        <f t="shared" si="1777"/>
        <v>244108.35950478126</v>
      </c>
      <c r="AE1000" s="168">
        <f t="shared" si="1818"/>
        <v>-5.6291046938836804E-2</v>
      </c>
      <c r="AF1000" s="163"/>
      <c r="AG1000" s="163"/>
      <c r="AH1000" s="163"/>
      <c r="AI1000" s="163"/>
      <c r="AJ1000" s="116">
        <f t="shared" si="1819"/>
        <v>227.5676079229049</v>
      </c>
      <c r="AK1000" s="114">
        <f>+AV1000/$AX$25</f>
        <v>2.827825016792011E-2</v>
      </c>
      <c r="AL1000" s="115">
        <f t="shared" si="1807"/>
        <v>0.17432964827124192</v>
      </c>
      <c r="AM1000" s="115">
        <f t="shared" si="1808"/>
        <v>0.25246189098370581</v>
      </c>
      <c r="AN1000" s="115">
        <f t="shared" si="1809"/>
        <v>0.57320846074505227</v>
      </c>
      <c r="AO1000" s="115">
        <f t="shared" si="1811"/>
        <v>-8.4333708162349641E-2</v>
      </c>
      <c r="AP1000" s="166">
        <f t="shared" si="1822"/>
        <v>111.59895482389544</v>
      </c>
      <c r="AQ1000" s="168">
        <f t="shared" si="1823"/>
        <v>-8.4333708162349613E-2</v>
      </c>
      <c r="AR1000" s="69">
        <f>+AD1000/$AF$25</f>
        <v>1.7848238678739789E-2</v>
      </c>
      <c r="AS1000" s="169">
        <f t="shared" si="1821"/>
        <v>-1.5052081519448019E-3</v>
      </c>
      <c r="AT1000" s="115"/>
      <c r="AU1000" s="115"/>
      <c r="AV1000" s="113">
        <v>1072685</v>
      </c>
      <c r="AW1000" s="68">
        <f t="shared" si="1780"/>
        <v>0</v>
      </c>
      <c r="AX1000" s="114"/>
      <c r="AY1000" s="114"/>
      <c r="AZ1000" s="116"/>
      <c r="BA1000" s="116"/>
      <c r="BB1000" s="166"/>
      <c r="BC1000" s="166"/>
      <c r="BD1000" s="166"/>
      <c r="BE1000" s="166"/>
      <c r="BF1000" s="166"/>
      <c r="BG1000" s="166"/>
      <c r="BH1000" s="166"/>
      <c r="BI1000" s="113"/>
      <c r="BJ1000" s="113"/>
      <c r="BK1000" s="113">
        <f>INDEX('Dist. Plant Gas Additions'!$F$7:$AE$91,MATCH($C1000,'Dist. Plant Gas Additions'!$D$7:$D$91,0),MATCH(Calculation!$G1000,'Dist. Plant Gas Additions'!$F$5:$AE$5,0))</f>
        <v>1732</v>
      </c>
      <c r="BL1000" s="113">
        <f>INDEX('Gen. Plant Additions'!$F$7:$AE$91,MATCH($C1000,'Gen. Plant Additions'!$D$7:$D$91,0),MATCH(Calculation!$G1000,'Gen. Plant Additions'!$F$5:$AE$5,0))</f>
        <v>943</v>
      </c>
      <c r="BM1000" s="231">
        <f t="shared" si="1787"/>
        <v>0.91576871530857129</v>
      </c>
      <c r="BN1000" s="61">
        <f t="shared" si="1824"/>
        <v>863.5698985359827</v>
      </c>
      <c r="BO1000" s="113">
        <f>INDEX('Dist Plant Depreciation'!$E$7:$AD$94,MATCH($C1000,'Dist Plant Depreciation'!$D$7:$D$94,0),MATCH(Calculation!$G1000,'Dist Plant Depreciation'!$E$5:$AD$5,0))</f>
        <v>646656</v>
      </c>
      <c r="BP1000" s="113">
        <f>INDEX('Gen. Plant Depreciation'!$E$7:$AD$94,MATCH($C1000,'Gen. Plant Depreciation'!$D$7:$D$94,0),MATCH(Calculation!$G1000,'Gen. Plant Depreciation'!$E$5:$AD$5,0))</f>
        <v>133468</v>
      </c>
      <c r="BQ1000" s="113"/>
      <c r="BR1000" s="113"/>
      <c r="BS1000" s="113"/>
      <c r="BT1000" s="113"/>
      <c r="BU1000" s="113"/>
      <c r="BV1000" s="175"/>
      <c r="BW1000" s="113">
        <f>INDEX('Gross Dx Plant'!$E$7:$AD$91,MATCH($C1000,'Gross Dx Plant'!$D$7:$D$91,0),MATCH(Calculation!$G1000,'Gross Dx Plant'!$E$5:$AD$5,0))</f>
        <v>2908845</v>
      </c>
      <c r="BX1000" s="113">
        <f>INDEX('Gross Gen Plant'!$E$7:$AD$91,MATCH($C1000,'Gross Gen Plant'!$D$7:$D$91,0),MATCH(Calculation!$G1000,'Gross Gen Plant'!$E$5:$AD$5,0))</f>
        <v>267552</v>
      </c>
      <c r="BY1000" s="113">
        <f t="shared" si="1734"/>
        <v>2396273</v>
      </c>
      <c r="BZ1000" s="113"/>
      <c r="CA1000" s="116">
        <v>2020</v>
      </c>
      <c r="CB1000" s="113"/>
      <c r="CC1000" s="113"/>
      <c r="CD1000" s="113"/>
      <c r="CE1000" s="175"/>
      <c r="CF1000" s="113">
        <f t="shared" si="1788"/>
        <v>2675</v>
      </c>
      <c r="CG1000" s="113">
        <f t="shared" si="1789"/>
        <v>3.2899585102538249</v>
      </c>
      <c r="CH1000" s="178">
        <v>0.84057971014492749</v>
      </c>
      <c r="CI1000" s="61">
        <f>CI978*CH1000+CG979*CH999+CG980*CH998+CG981*CH997+CG982*CH996+CG983*CH995+CG984*CH994+CG985*CH993+CG986*CH992+CG987*CH991+CG988*CH990+CG989*CH989+CG990*CH988+CG991*CH987+CG992*CH986+CG993*CH985+CG994*CH984+CG995*CH983+CG996*CH982+CG997*CH981+CG998*CH980+CG999*CH979+CG1000</f>
        <v>6311.2785641851724</v>
      </c>
      <c r="CJ1000" s="114">
        <f t="shared" si="1790"/>
        <v>-8.593835798350883E-3</v>
      </c>
      <c r="CK1000" s="114"/>
      <c r="CL1000" s="169">
        <f t="shared" si="1791"/>
        <v>9.0738361366847885E-3</v>
      </c>
      <c r="CM1000" s="169">
        <f t="shared" si="1799"/>
        <v>8.7013967811455616E-3</v>
      </c>
      <c r="CN1000" s="114">
        <f>VLOOKUP($H1000,RoR!$E:$F,2,FALSE)</f>
        <v>2.4766666666666666E-2</v>
      </c>
      <c r="CO1000" s="169">
        <v>1.1618796630994188E-2</v>
      </c>
      <c r="CP1000" s="169">
        <f t="shared" si="1797"/>
        <v>1.3147870035672478E-2</v>
      </c>
      <c r="CQ1000" s="169">
        <f t="shared" si="1800"/>
        <v>2.2200544827388063E-2</v>
      </c>
      <c r="CR1000" s="169">
        <f t="shared" si="1801"/>
        <v>4.5144642961987357E-2</v>
      </c>
      <c r="CS1000" s="179">
        <f t="shared" si="1792"/>
        <v>0.90398500000000004</v>
      </c>
      <c r="CT1000" s="180">
        <f t="shared" si="1793"/>
        <v>2.0706077233668081</v>
      </c>
      <c r="CU1000" s="180">
        <f t="shared" si="1794"/>
        <v>-3.4421265141318998E-2</v>
      </c>
      <c r="CV1000" s="180">
        <f t="shared" si="1795"/>
        <v>0.62416226176410472</v>
      </c>
      <c r="CW1000" s="180">
        <f t="shared" si="1796"/>
        <v>-4.4485877841158712E-2</v>
      </c>
      <c r="CX1000" s="181">
        <f>INDEX('State Tax Lookup'!$D$7:$Z$91,MATCH(Calculation!$C1000,'State Tax Lookup'!$B$7:$B$91,0),MATCH($H1000,'State Tax Lookup'!$D$6:$Z$6,0))</f>
        <v>0.25950000000000001</v>
      </c>
      <c r="CY1000" s="72">
        <v>0.37</v>
      </c>
      <c r="CZ1000" s="70">
        <f t="shared" si="1798"/>
        <v>21.980908552879619</v>
      </c>
      <c r="DA1000" s="70">
        <v>19.952659173050833</v>
      </c>
      <c r="DB1000" s="69">
        <f t="shared" si="1802"/>
        <v>3.6302402378101277E-2</v>
      </c>
      <c r="DC1000" s="111">
        <f>VLOOKUP($H1000,RoR!$E:$F,2,FALSE)</f>
        <v>2.4766666666666666E-2</v>
      </c>
      <c r="DD1000" s="216">
        <f>HLOOKUP($H1000,'GDP-PI'!$D$8:$CQ$11,3,FALSE)</f>
        <v>1.1618796630994188E-2</v>
      </c>
      <c r="DE1000" s="111">
        <f>VLOOKUP(H1000,'HW Dx Data'!$E:$F,2,FALSE)</f>
        <v>813.080162458833</v>
      </c>
      <c r="DF1000" s="72">
        <f t="shared" si="1812"/>
        <v>153.15</v>
      </c>
      <c r="DG1000" s="69">
        <f t="shared" si="1813"/>
        <v>2.2951556467368479E-2</v>
      </c>
      <c r="DH1000" s="66">
        <f>HLOOKUP(H1000,'GDP-PI'!$8:$9,2,FALSE)</f>
        <v>113.623</v>
      </c>
      <c r="DI1000" s="69">
        <f t="shared" si="1803"/>
        <v>1.1551816731392881E-2</v>
      </c>
      <c r="EB1000"/>
    </row>
    <row r="1001" spans="1:132" s="160" customFormat="1" ht="21">
      <c r="A1001" s="160" t="s">
        <v>218</v>
      </c>
      <c r="B1001" s="160" t="s">
        <v>218</v>
      </c>
      <c r="C1001" s="160">
        <v>4057140</v>
      </c>
      <c r="D1001" s="160" t="s">
        <v>219</v>
      </c>
      <c r="G1001" s="161" t="s">
        <v>142</v>
      </c>
      <c r="H1001" s="162">
        <v>2021</v>
      </c>
      <c r="I1001" s="163"/>
      <c r="J1001" s="159">
        <v>46318.310113393214</v>
      </c>
      <c r="K1001" s="159">
        <f t="shared" si="1804"/>
        <v>294.55205159550536</v>
      </c>
      <c r="L1001" s="164">
        <f t="shared" si="1810"/>
        <v>5.8313306215503437E-2</v>
      </c>
      <c r="M1001" s="76">
        <f t="shared" si="1814"/>
        <v>8.6209450078546571E-4</v>
      </c>
      <c r="N1001" s="166">
        <f>+N1000*EXP(O1001)</f>
        <v>120.20913237924564</v>
      </c>
      <c r="O1001" s="114">
        <f t="shared" si="1815"/>
        <v>1.9674101326694313E-2</v>
      </c>
      <c r="P1001" s="114"/>
      <c r="Q1001" s="159">
        <v>65292.075702012131</v>
      </c>
      <c r="R1001" s="159">
        <f t="shared" si="1805"/>
        <v>551.03448140781609</v>
      </c>
      <c r="S1001" s="165">
        <f t="shared" si="1816"/>
        <v>1.5810803894651358E-2</v>
      </c>
      <c r="T1001" s="165">
        <f t="shared" si="1817"/>
        <v>2.3374437114238807E-4</v>
      </c>
      <c r="U1001" s="165"/>
      <c r="V1001" s="165"/>
      <c r="W1001" s="159">
        <f t="shared" si="1786"/>
        <v>114912.86729714792</v>
      </c>
      <c r="X1001" s="163"/>
      <c r="Y1001" s="167">
        <v>6447.4112826908204</v>
      </c>
      <c r="Z1001" s="168"/>
      <c r="AA1001" s="76">
        <f t="shared" si="1806"/>
        <v>0</v>
      </c>
      <c r="AB1001" s="168"/>
      <c r="AC1001" s="168"/>
      <c r="AD1001" s="163">
        <f t="shared" si="1777"/>
        <v>226523.25311255327</v>
      </c>
      <c r="AE1001" s="168">
        <f t="shared" si="1818"/>
        <v>-7.4764620640473428E-2</v>
      </c>
      <c r="AF1001" s="113"/>
      <c r="AG1001" s="114"/>
      <c r="AH1001" s="114"/>
      <c r="AI1001" s="114"/>
      <c r="AJ1001" s="116">
        <f t="shared" si="1819"/>
        <v>200.8327302579556</v>
      </c>
      <c r="AK1001" s="114">
        <f>+AV1001/$AX$26</f>
        <v>2.9215975453465361E-2</v>
      </c>
      <c r="AL1001" s="115">
        <f t="shared" si="1807"/>
        <v>0.20447485843927424</v>
      </c>
      <c r="AM1001" s="115">
        <f t="shared" si="1808"/>
        <v>0.28823564382403721</v>
      </c>
      <c r="AN1001" s="115">
        <f t="shared" si="1809"/>
        <v>0.50728949773668852</v>
      </c>
      <c r="AO1001" s="115">
        <f t="shared" si="1811"/>
        <v>1.5319102942394851E-2</v>
      </c>
      <c r="AP1001" s="166">
        <f t="shared" si="1822"/>
        <v>113.3217125621378</v>
      </c>
      <c r="AQ1001" s="168">
        <f t="shared" si="1823"/>
        <v>1.5319102942394917E-2</v>
      </c>
      <c r="AR1001" s="69">
        <f>+AD1001/$AF$26</f>
        <v>1.4783838487900132E-2</v>
      </c>
      <c r="AS1001" s="169">
        <f t="shared" si="1821"/>
        <v>2.2647514367988214E-4</v>
      </c>
      <c r="AT1001" s="115"/>
      <c r="AU1001" s="115"/>
      <c r="AV1001" s="113">
        <v>1127920</v>
      </c>
      <c r="AW1001" s="68">
        <f t="shared" si="1780"/>
        <v>5.0210377457848669E-2</v>
      </c>
      <c r="AX1001" s="113"/>
      <c r="AY1001" s="113"/>
      <c r="AZ1001" s="116"/>
      <c r="BA1001" s="116"/>
      <c r="BB1001" s="166"/>
      <c r="BC1001" s="166"/>
      <c r="BD1001" s="166"/>
      <c r="BE1001" s="166"/>
      <c r="BF1001" s="166"/>
      <c r="BG1001" s="166"/>
      <c r="BH1001" s="166"/>
      <c r="BI1001" s="113"/>
      <c r="BJ1001" s="113"/>
      <c r="BK1001" s="113">
        <f>INDEX('Dist. Plant Gas Additions'!$E$7:$AE$91,MATCH($C1001,'Dist. Plant Gas Additions'!$D$7:$D$91,0),MATCH(Calculation!$G1001,'Dist. Plant Gas Additions'!$E$5:$AE$5,0))</f>
        <v>263420</v>
      </c>
      <c r="BL1001" s="113">
        <f>INDEX('Gen. Plant Additions'!$E$7:$AE$91,MATCH($C1001,'Gen. Plant Additions'!$D$7:$D$91,0),MATCH(Calculation!$G1001,'Gen. Plant Additions'!$E$5:$AE$5,0))</f>
        <v>21271</v>
      </c>
      <c r="BM1001" s="231">
        <v>0.91576871530857129</v>
      </c>
      <c r="BN1001" s="61">
        <f t="shared" si="1824"/>
        <v>19479.316343328621</v>
      </c>
      <c r="BO1001" s="113"/>
      <c r="BP1001" s="113"/>
      <c r="BQ1001" s="175"/>
      <c r="BR1001" s="175"/>
      <c r="BS1001" s="170"/>
      <c r="BT1001" s="176"/>
      <c r="BU1001" s="177"/>
      <c r="BV1001" s="177"/>
      <c r="BW1001" s="113"/>
      <c r="BX1001" s="113"/>
      <c r="BY1001" s="113"/>
      <c r="BZ1001" s="113"/>
      <c r="CA1001" s="116">
        <v>2021</v>
      </c>
      <c r="CB1001" s="113"/>
      <c r="CC1001" s="113"/>
      <c r="CD1001" s="113"/>
      <c r="CE1001" s="175"/>
      <c r="CF1001" s="113">
        <f t="shared" si="1788"/>
        <v>284691</v>
      </c>
      <c r="CG1001" s="113">
        <f t="shared" si="1789"/>
        <v>305.12769010289588</v>
      </c>
      <c r="CH1001" s="178">
        <f>+(51-23)/(51-23*0.75)</f>
        <v>0.82962962962962961</v>
      </c>
      <c r="CI1001" s="113">
        <f>CI978*CH1001+CG979*CH1000+CG980*CH999+CG981*CH998+CG982*CH997+CG983*CH996+CG984*CH995+CG985*CH994+CG986*CH993+CG987*CH992+CG988*CH991+CG989*CH990+CG990*CH989+CG991*CH988+CG992*CH987+CG983*CH986+CG994*CH985+CG995*CH984+CG996*CH983+CG997*CH982+CG998*CH981+CG999*CH980+CG1001+CG1000*CH979</f>
        <v>6447.4112826908204</v>
      </c>
      <c r="CJ1001" s="114"/>
      <c r="CK1001" s="113"/>
      <c r="CL1001" s="169">
        <f t="shared" si="1791"/>
        <v>2.6776661793420028E-2</v>
      </c>
      <c r="CM1001" s="169">
        <f t="shared" si="1799"/>
        <v>1.4836888703990164E-2</v>
      </c>
      <c r="CN1001" s="114">
        <f>VLOOKUP($H1001,RoR!$E:$F,2,FALSE)</f>
        <v>2.7033333333333336E-2</v>
      </c>
      <c r="CO1001" s="169"/>
      <c r="CP1001" s="169"/>
      <c r="CQ1001" s="169">
        <f t="shared" si="1800"/>
        <v>1.6065052904543461E-2</v>
      </c>
      <c r="CR1001" s="169">
        <f t="shared" si="1801"/>
        <v>7.433422950153494E-2</v>
      </c>
      <c r="CS1001" s="179">
        <f t="shared" si="1792"/>
        <v>0.90398500000000004</v>
      </c>
      <c r="CT1001" s="180">
        <f t="shared" si="1793"/>
        <v>1.8969932656739068</v>
      </c>
      <c r="CU1001" s="180">
        <f t="shared" si="1794"/>
        <v>5.0215782983970621E-2</v>
      </c>
      <c r="CV1001" s="180">
        <f t="shared" si="1795"/>
        <v>0.655952481704143</v>
      </c>
      <c r="CW1001" s="180">
        <f t="shared" si="1796"/>
        <v>6.2485378865697057E-2</v>
      </c>
      <c r="CX1001" s="181">
        <f>CX1000</f>
        <v>0.25950000000000001</v>
      </c>
      <c r="CY1001" s="72">
        <v>0.37</v>
      </c>
      <c r="CZ1001" s="182">
        <f t="shared" si="1798"/>
        <v>18.207541646037917</v>
      </c>
      <c r="DA1001" s="182"/>
      <c r="DB1001" s="169">
        <f>LN(CZ1002/CZ1000)</f>
        <v>0.19224844956352624</v>
      </c>
      <c r="DC1001" s="181">
        <f>VLOOKUP($H1001,RoR!$E:$F,2,FALSE)</f>
        <v>2.7033333333333336E-2</v>
      </c>
      <c r="DD1001" s="183">
        <f>HLOOKUP($H1001,'GDP-PI'!$D$8:$CR$11,3,FALSE)</f>
        <v>4.2834637353352578E-2</v>
      </c>
      <c r="DE1001" s="181">
        <f>VLOOKUP(H1001,'HW Dx Data'!$E:$F,2,FALSE)</f>
        <v>933.02249921662576</v>
      </c>
      <c r="DF1001" s="72">
        <f t="shared" si="1812"/>
        <v>157.25</v>
      </c>
      <c r="DG1001" s="69">
        <f t="shared" si="1813"/>
        <v>2.6419062301765574E-2</v>
      </c>
      <c r="DH1001" s="175">
        <f>HLOOKUP(H1001,'GDP-PI'!$8:$9,2,FALSE)</f>
        <v>118.49</v>
      </c>
      <c r="DI1001" s="169">
        <f t="shared" si="1803"/>
        <v>4.194261824609434E-2</v>
      </c>
      <c r="EB1001"/>
    </row>
    <row r="1002" spans="1:132" s="160" customFormat="1" ht="21">
      <c r="G1002" s="161" t="s">
        <v>144</v>
      </c>
      <c r="H1002" s="162"/>
      <c r="I1002" s="163"/>
      <c r="J1002" s="159">
        <v>48194.482397909647</v>
      </c>
      <c r="K1002" s="159">
        <f t="shared" si="1804"/>
        <v>296.49020238640202</v>
      </c>
      <c r="L1002" s="164">
        <f t="shared" ref="L1002" si="1825">LN(K1002/K1001)</f>
        <v>6.5584405344866316E-3</v>
      </c>
      <c r="M1002" s="76">
        <f t="shared" si="1814"/>
        <v>1.1622646619534784E-4</v>
      </c>
      <c r="N1002" s="166">
        <f>+N1001*EXP(O1002)</f>
        <v>119.04844340824872</v>
      </c>
      <c r="O1002" s="114">
        <f t="shared" si="1815"/>
        <v>-9.7024980096790774E-3</v>
      </c>
      <c r="P1002" s="114"/>
      <c r="Q1002" s="163">
        <v>67936.800488619629</v>
      </c>
      <c r="R1002" s="159">
        <f t="shared" si="1805"/>
        <v>533.88448321115618</v>
      </c>
      <c r="S1002" s="165">
        <f t="shared" ref="S1002" si="1826">LN(R1002/R1001)</f>
        <v>-3.1617894898132465E-2</v>
      </c>
      <c r="T1002" s="165">
        <f t="shared" si="1817"/>
        <v>-5.6032164555312313E-4</v>
      </c>
      <c r="U1002" s="166"/>
      <c r="V1002" s="114"/>
      <c r="W1002" s="159">
        <f t="shared" si="1786"/>
        <v>171760.5630772349</v>
      </c>
      <c r="X1002" s="168"/>
      <c r="Y1002" s="167">
        <v>6768.3987609055848</v>
      </c>
      <c r="Z1002" s="168">
        <v>4.8585840418011818E-2</v>
      </c>
      <c r="AA1002" s="76">
        <f t="shared" si="1806"/>
        <v>8.610218403632497E-4</v>
      </c>
      <c r="AB1002" s="166"/>
      <c r="AC1002" s="114"/>
      <c r="AD1002" s="163">
        <f t="shared" si="1777"/>
        <v>287891.84596376418</v>
      </c>
      <c r="AE1002" s="168">
        <f t="shared" si="1818"/>
        <v>0.2397372723548265</v>
      </c>
      <c r="AF1002" s="113"/>
      <c r="AG1002" s="114"/>
      <c r="AH1002" s="114"/>
      <c r="AI1002" s="114"/>
      <c r="AJ1002" s="116">
        <f t="shared" si="1819"/>
        <v>248.9767758918656</v>
      </c>
      <c r="AK1002" s="114"/>
      <c r="AL1002" s="115">
        <f t="shared" si="1807"/>
        <v>0.16740481911382685</v>
      </c>
      <c r="AM1002" s="115">
        <f t="shared" si="1808"/>
        <v>0.23598028718455114</v>
      </c>
      <c r="AN1002" s="115">
        <f t="shared" si="1809"/>
        <v>0.59661489370162202</v>
      </c>
      <c r="AO1002" s="115"/>
      <c r="AP1002" s="166"/>
      <c r="AQ1002" s="168"/>
      <c r="AR1002" s="69">
        <f>+AD1002/$AF$27</f>
        <v>1.7721661968906694E-2</v>
      </c>
      <c r="AS1002" s="169"/>
      <c r="AT1002" s="166"/>
      <c r="AU1002" s="168"/>
      <c r="AV1002" s="113">
        <v>1156300</v>
      </c>
      <c r="AW1002" s="68">
        <f t="shared" si="1780"/>
        <v>2.4850023577810382E-2</v>
      </c>
      <c r="AX1002" s="113"/>
      <c r="AY1002" s="113"/>
      <c r="AZ1002" s="113"/>
      <c r="BA1002" s="113"/>
      <c r="BB1002" s="171"/>
      <c r="BC1002" s="172"/>
      <c r="BD1002" s="173"/>
      <c r="BE1002" s="115"/>
      <c r="BF1002" s="174"/>
      <c r="BG1002" s="174"/>
      <c r="BH1002" s="166"/>
      <c r="BI1002" s="113"/>
      <c r="BJ1002" s="113"/>
      <c r="BK1002" s="113"/>
      <c r="BL1002" s="113"/>
      <c r="BM1002" s="231">
        <v>0.91576871530857129</v>
      </c>
      <c r="BN1002" s="61">
        <f t="shared" si="1824"/>
        <v>0</v>
      </c>
      <c r="BO1002" s="113"/>
      <c r="BP1002" s="113"/>
      <c r="BQ1002" s="175"/>
      <c r="BR1002" s="175"/>
      <c r="BS1002" s="170"/>
      <c r="BT1002" s="176"/>
      <c r="BU1002" s="177"/>
      <c r="BV1002" s="177"/>
      <c r="BW1002" s="113"/>
      <c r="BX1002" s="113"/>
      <c r="BY1002" s="113"/>
      <c r="BZ1002" s="113"/>
      <c r="CA1002" s="116">
        <v>2022</v>
      </c>
      <c r="CB1002" s="113"/>
      <c r="CC1002" s="113"/>
      <c r="CD1002" s="113"/>
      <c r="CE1002" s="175"/>
      <c r="CF1002" s="238">
        <v>468556</v>
      </c>
      <c r="CG1002" s="113">
        <f>+CF1002/DE1002</f>
        <v>454.55127521075661</v>
      </c>
      <c r="CH1002" s="178">
        <f>+(51-24)/(51-24*0.75)</f>
        <v>0.81818181818181823</v>
      </c>
      <c r="CI1002" s="113">
        <f>+CI978*CH1002+CG979*CH1001+CG980*CH1000+CG981*CH999+CG982*CH998+CG983*CH997+CG984*CH996+CG985*CH995+CG986*CH994+CG987*CH993+CG988*CH992+CG989*CH991+CG990*CH990+CG991*CH989+CG992*CH988+CG993*CH987+CG994*CH986+CG995*CH985+CG996*CH984+CG997*CH983+CG998*CH982+CG999*CH981+CG1000*CH980+CG1001*CH979+CG1002*CH978</f>
        <v>6946.7681985323061</v>
      </c>
      <c r="CJ1002" s="114">
        <f t="shared" ref="CJ1002" si="1827">LN(CI1002/CI1001)</f>
        <v>7.4597845298005699E-2</v>
      </c>
      <c r="CK1002" s="113"/>
      <c r="CL1002" s="169">
        <f t="shared" si="1791"/>
        <v>-6.9494001028005637E-3</v>
      </c>
      <c r="CM1002" s="169">
        <f t="shared" si="1799"/>
        <v>9.6336992757680845E-3</v>
      </c>
      <c r="CN1002" s="114"/>
      <c r="CO1002" s="169"/>
      <c r="CP1002" s="169"/>
      <c r="CQ1002" s="69">
        <f t="shared" si="1800"/>
        <v>2.1268242332765541E-2</v>
      </c>
      <c r="CR1002" s="169">
        <f t="shared" si="1801"/>
        <v>0.10114668178709289</v>
      </c>
      <c r="CS1002" s="179">
        <f t="shared" si="1792"/>
        <v>0.90398500000000004</v>
      </c>
      <c r="CT1002" s="180">
        <f t="shared" si="1793"/>
        <v>1.2820512820512819</v>
      </c>
      <c r="CU1002" s="180">
        <f t="shared" si="1794"/>
        <v>0.35000000000000003</v>
      </c>
      <c r="CV1002" s="180">
        <f t="shared" si="1795"/>
        <v>0.79171095533705893</v>
      </c>
      <c r="CW1002" s="180">
        <f t="shared" si="1796"/>
        <v>0.35525491585637264</v>
      </c>
      <c r="CX1002" s="181">
        <f>CX1001</f>
        <v>0.25950000000000001</v>
      </c>
      <c r="CY1002" s="72">
        <v>0.37</v>
      </c>
      <c r="CZ1002" s="182">
        <f t="shared" si="1798"/>
        <v>26.640236762676444</v>
      </c>
      <c r="DA1002" s="182"/>
      <c r="DB1002" s="169">
        <f t="shared" ref="DB1002" si="1828">LN(CZ1002/CZ1001)</f>
        <v>0.38058684871195975</v>
      </c>
      <c r="DC1002" s="181">
        <v>0.04</v>
      </c>
      <c r="DD1002" s="183">
        <v>7.0000000000000001E-3</v>
      </c>
      <c r="DE1002" s="181">
        <v>1030.81</v>
      </c>
      <c r="DF1002" s="72">
        <f t="shared" si="1812"/>
        <v>162.55000000000001</v>
      </c>
      <c r="DG1002" s="169">
        <f t="shared" si="1813"/>
        <v>3.3148751169364422E-2</v>
      </c>
      <c r="DH1002" s="175">
        <v>127.25</v>
      </c>
      <c r="DI1002" s="169">
        <f t="shared" si="1803"/>
        <v>7.1325086601983473E-2</v>
      </c>
      <c r="EB1002"/>
    </row>
    <row r="1003" spans="1:132" s="160" customFormat="1" ht="21">
      <c r="A1003" s="160" t="s">
        <v>220</v>
      </c>
      <c r="B1003" s="160" t="s">
        <v>221</v>
      </c>
      <c r="C1003" s="160">
        <v>4057096</v>
      </c>
      <c r="D1003" s="161" t="s">
        <v>171</v>
      </c>
      <c r="E1003" s="161" t="s">
        <v>3</v>
      </c>
      <c r="F1003" s="189"/>
      <c r="G1003" s="160" t="s">
        <v>100</v>
      </c>
      <c r="H1003" s="162">
        <v>1998</v>
      </c>
      <c r="I1003" s="163"/>
      <c r="J1003" s="159"/>
      <c r="K1003" s="159"/>
      <c r="L1003" s="159"/>
      <c r="M1003" s="60"/>
      <c r="N1003" s="131"/>
      <c r="O1003" s="76"/>
      <c r="P1003" s="76"/>
      <c r="Q1003" s="165"/>
      <c r="R1003" s="165"/>
      <c r="S1003" s="165"/>
      <c r="T1003" s="159"/>
      <c r="U1003" s="165"/>
      <c r="V1003" s="165"/>
      <c r="W1003" s="159"/>
      <c r="X1003" s="163"/>
      <c r="Y1003" s="167">
        <v>1382.6282772447589</v>
      </c>
      <c r="Z1003" s="168"/>
      <c r="AA1003" s="78"/>
      <c r="AB1003" s="168"/>
      <c r="AC1003" s="168"/>
      <c r="AD1003" s="163">
        <f t="shared" si="1777"/>
        <v>0</v>
      </c>
      <c r="AE1003" s="163"/>
      <c r="AF1003" s="163"/>
      <c r="AG1003" s="114"/>
      <c r="AH1003" s="114"/>
      <c r="AI1003" s="114"/>
      <c r="AJ1003" s="166">
        <f>+(AJ1000+AJ1001+AJ1002)/3</f>
        <v>225.79237135757535</v>
      </c>
      <c r="AK1003" s="168"/>
      <c r="AL1003" s="115"/>
      <c r="AM1003" s="115"/>
      <c r="AN1003" s="115"/>
      <c r="AO1003" s="115"/>
      <c r="AP1003" s="115"/>
      <c r="AQ1003" s="168">
        <f>AVERAGE(AQ1012:AQ1026)</f>
        <v>1.2739073212761003E-2</v>
      </c>
      <c r="AR1003" s="79"/>
      <c r="AS1003" s="115"/>
      <c r="AT1003" s="115"/>
      <c r="AU1003" s="115"/>
      <c r="AV1003" s="113">
        <f>IFERROR(INDEX('Total Customers'!$F$7:$AB$91,MATCH($C1003,'Total Customers'!$D$7:$D$91,0),MATCH($G1003,'Total Customers'!$F$5:$AB$5,0)),"NA")</f>
        <v>288204</v>
      </c>
      <c r="AW1003" s="68"/>
      <c r="AX1003" s="114"/>
      <c r="AY1003" s="114"/>
      <c r="AZ1003" s="116"/>
      <c r="BA1003" s="116"/>
      <c r="BB1003" s="166"/>
      <c r="BC1003" s="166"/>
      <c r="BD1003" s="166"/>
      <c r="BE1003" s="166"/>
      <c r="BF1003" s="166"/>
      <c r="BG1003" s="166"/>
      <c r="BH1003" s="166"/>
      <c r="BI1003" s="113">
        <f>INDEX('Gross Dx Plant'!$E$7:$AD$91,MATCH($C1003,'Gross Dx Plant'!$D$7:$D$91,0),MATCH(Calculation!$G1003,'Gross Dx Plant'!$E$5:$AD$5,0))</f>
        <v>431742</v>
      </c>
      <c r="BJ1003" s="113">
        <f>INDEX('Gross Gen Plant'!$E$7:$AD$91,MATCH($C1003,'Gross Gen Plant'!$D$7:$D$91,0),MATCH(Calculation!$G1003,'Gross Gen Plant'!$E$5:$AD$5,0))</f>
        <v>3497</v>
      </c>
      <c r="BK1003" s="113">
        <f>INDEX('Dist. Plant Gas Additions'!$F$7:$AE$91,MATCH($C1003,'Dist. Plant Gas Additions'!$D$7:$D$91,0),MATCH(Calculation!$G1003,'Dist. Plant Gas Additions'!$F$5:$AE$5,0))</f>
        <v>20438</v>
      </c>
      <c r="BL1003" s="113">
        <f>INDEX('Gen. Plant Additions'!$F$7:$AE$91,MATCH($C1003,'Gen. Plant Additions'!$D$7:$D$91,0),MATCH(Calculation!$G1003,'Gen. Plant Additions'!$F$5:$AE$5,0))</f>
        <v>243</v>
      </c>
      <c r="BM1003" s="231">
        <f>+(BW1003/(BW1003+BX1003))</f>
        <v>0.99196533398891185</v>
      </c>
      <c r="BN1003" s="61">
        <f t="shared" si="1824"/>
        <v>241.04757615930558</v>
      </c>
      <c r="BO1003" s="113">
        <f>INDEX('Dist Plant Depreciation'!$E$7:$AD$94,MATCH($C1003,'Dist Plant Depreciation'!$D$7:$D$94,0),MATCH(Calculation!$G1003,'Dist Plant Depreciation'!$E$5:$AD$5,0))</f>
        <v>154687</v>
      </c>
      <c r="BP1003" s="113">
        <f>INDEX('Gen. Plant Depreciation'!$E$7:$AD$94,MATCH($C1003,'Gen. Plant Depreciation'!$D$7:$D$94,0),MATCH(Calculation!$G1003,'Gen. Plant Depreciation'!$E$5:$AD$5,0))</f>
        <v>1649</v>
      </c>
      <c r="BQ1003" s="113"/>
      <c r="BR1003" s="113"/>
      <c r="BS1003" s="113"/>
      <c r="BT1003" s="113"/>
      <c r="BU1003" s="113"/>
      <c r="BV1003" s="175"/>
      <c r="BW1003" s="113">
        <f>INDEX('Gross Dx Plant'!$E$7:$AD$91,MATCH($C1003,'Gross Dx Plant'!$D$7:$D$91,0),MATCH(Calculation!$G1003,'Gross Dx Plant'!$E$5:$AD$5,0))</f>
        <v>431742</v>
      </c>
      <c r="BX1003" s="113">
        <f>INDEX('Gross Gen Plant'!$E$7:$AD$91,MATCH($C1003,'Gross Gen Plant'!$D$7:$D$91,0),MATCH(Calculation!$G1003,'Gross Gen Plant'!$E$5:$AD$5,0))</f>
        <v>3497</v>
      </c>
      <c r="BY1003" s="113">
        <f t="shared" si="1734"/>
        <v>278903</v>
      </c>
      <c r="BZ1003" s="113"/>
      <c r="CA1003" s="116">
        <v>1998</v>
      </c>
      <c r="CB1003" s="113">
        <f>BI1003+BJ1003</f>
        <v>435239</v>
      </c>
      <c r="CC1003" s="113">
        <f>154687+1649</f>
        <v>156336</v>
      </c>
      <c r="CD1003" s="113">
        <f>+CB1003-CC1003</f>
        <v>278903</v>
      </c>
      <c r="CE1003" s="113">
        <f>CD1003/$BV$3</f>
        <v>1382.6282772447589</v>
      </c>
      <c r="CF1003" s="175"/>
      <c r="CG1003" s="175"/>
      <c r="CH1003" s="178">
        <v>1</v>
      </c>
      <c r="CI1003" s="113">
        <f>+CE1003</f>
        <v>1382.6282772447589</v>
      </c>
      <c r="CJ1003" s="114"/>
      <c r="CK1003" s="114"/>
      <c r="CL1003" s="169"/>
      <c r="CM1003" s="169"/>
      <c r="CN1003" s="114" t="e">
        <f>VLOOKUP($H1003,RoR!$E:$F,2,FALSE)</f>
        <v>#N/A</v>
      </c>
      <c r="CO1003" s="169">
        <v>1.1028127770464469E-2</v>
      </c>
      <c r="CP1003" s="169"/>
      <c r="CQ1003" s="169"/>
      <c r="CR1003" s="169"/>
      <c r="CS1003" s="179"/>
      <c r="CT1003" s="182" t="e">
        <f>2/(DC1003*39)</f>
        <v>#N/A</v>
      </c>
      <c r="CU1003" s="180" t="e">
        <f>+(DC1003*40-(1+DC1003))/(DC1003*40)</f>
        <v>#N/A</v>
      </c>
      <c r="CV1003" s="180" t="e">
        <f>+(1-(1/(1+DC1003)^40))</f>
        <v>#N/A</v>
      </c>
      <c r="CW1003" s="180" t="e">
        <f>+CV1003*CU1003*CT1003</f>
        <v>#N/A</v>
      </c>
      <c r="CX1003" s="181">
        <f>INDEX('State Tax Lookup'!$D$7:$Z$91,MATCH(Calculation!$C1003,'State Tax Lookup'!$B$7:$B$91,0),MATCH($H1003,'State Tax Lookup'!$D$6:$Z$6,0))</f>
        <v>0.39649667</v>
      </c>
      <c r="CY1003" s="72">
        <v>0.37</v>
      </c>
      <c r="CZ1003" s="66"/>
      <c r="DA1003" s="66"/>
      <c r="DB1003" s="69"/>
      <c r="DC1003" s="111" t="e">
        <f>VLOOKUP($H1003,RoR!$E:$F,2,FALSE)</f>
        <v>#N/A</v>
      </c>
      <c r="DD1003" s="216">
        <f>HLOOKUP($H1003,'GDP-PI'!$D$8:$CQ$11,3,FALSE)</f>
        <v>1.1028127770464469E-2</v>
      </c>
      <c r="DE1003" s="111">
        <f>VLOOKUP(H1003,'HW Dx Data'!$E:$F,2,FALSE)</f>
        <v>329.24564746449528</v>
      </c>
      <c r="DF1003" s="72" t="e">
        <f t="shared" si="1812"/>
        <v>#N/A</v>
      </c>
      <c r="DG1003" s="169" t="e">
        <f t="shared" si="1813"/>
        <v>#N/A</v>
      </c>
      <c r="DH1003" s="66">
        <f>HLOOKUP(H1003,'GDP-PI'!$8:$9,2,FALSE)</f>
        <v>75.266999999999996</v>
      </c>
      <c r="DI1003"/>
      <c r="EB1003"/>
    </row>
    <row r="1004" spans="1:132" s="160" customFormat="1" ht="21">
      <c r="A1004" s="160" t="s">
        <v>220</v>
      </c>
      <c r="B1004" s="160" t="s">
        <v>221</v>
      </c>
      <c r="C1004" s="160">
        <v>4057096</v>
      </c>
      <c r="D1004" s="161" t="s">
        <v>171</v>
      </c>
      <c r="E1004" s="161" t="s">
        <v>3</v>
      </c>
      <c r="F1004" s="189"/>
      <c r="G1004" s="160" t="s">
        <v>106</v>
      </c>
      <c r="H1004" s="162">
        <v>1999</v>
      </c>
      <c r="I1004" s="163"/>
      <c r="J1004" s="159"/>
      <c r="K1004" s="163"/>
      <c r="L1004" s="163"/>
      <c r="M1004" s="60"/>
      <c r="N1004" s="152"/>
      <c r="O1004" s="60"/>
      <c r="P1004" s="59"/>
      <c r="Q1004" s="169"/>
      <c r="R1004" s="169"/>
      <c r="S1004" s="169"/>
      <c r="T1004" s="187"/>
      <c r="U1004" s="169"/>
      <c r="V1004" s="169"/>
      <c r="W1004" s="159">
        <f t="shared" ref="W1004:W1027" si="1829">+CI1003*CZ1004</f>
        <v>0</v>
      </c>
      <c r="X1004" s="163"/>
      <c r="Y1004" s="167">
        <v>1442.9112400958495</v>
      </c>
      <c r="Z1004" s="168">
        <v>4.2676530681007817E-2</v>
      </c>
      <c r="AA1004" s="78"/>
      <c r="AB1004" s="168"/>
      <c r="AC1004" s="168"/>
      <c r="AD1004" s="163">
        <f t="shared" si="1777"/>
        <v>0</v>
      </c>
      <c r="AE1004" s="168"/>
      <c r="AF1004" s="163"/>
      <c r="AG1004" s="114"/>
      <c r="AH1004" s="114"/>
      <c r="AI1004" s="114"/>
      <c r="AJ1004" s="167"/>
      <c r="AK1004" s="168"/>
      <c r="AL1004" s="115"/>
      <c r="AM1004" s="115"/>
      <c r="AN1004" s="115"/>
      <c r="AO1004" s="115"/>
      <c r="AP1004" s="115"/>
      <c r="AQ1004" s="168"/>
      <c r="AR1004" s="79"/>
      <c r="AS1004" s="115"/>
      <c r="AT1004" s="115"/>
      <c r="AU1004" s="115"/>
      <c r="AV1004" s="113">
        <f>IFERROR(INDEX('Total Customers'!$F$7:$AB$91,MATCH($C1004,'Total Customers'!$D$7:$D$91,0),MATCH($G1004,'Total Customers'!$F$5:$AB$5,0)),"NA")</f>
        <v>287806</v>
      </c>
      <c r="AW1004" s="68">
        <f t="shared" si="1780"/>
        <v>-1.3819206726915848E-3</v>
      </c>
      <c r="AX1004" s="114"/>
      <c r="AY1004" s="114"/>
      <c r="AZ1004" s="116"/>
      <c r="BA1004" s="116"/>
      <c r="BB1004" s="166"/>
      <c r="BC1004" s="166"/>
      <c r="BD1004" s="166"/>
      <c r="BE1004" s="166"/>
      <c r="BF1004" s="166"/>
      <c r="BG1004" s="166"/>
      <c r="BH1004" s="166"/>
      <c r="BI1004" s="113"/>
      <c r="BJ1004" s="113"/>
      <c r="BK1004" s="113">
        <f>INDEX('Dist. Plant Gas Additions'!$F$7:$AE$91,MATCH($C1004,'Dist. Plant Gas Additions'!$D$7:$D$91,0),MATCH(Calculation!$G1004,'Dist. Plant Gas Additions'!$F$5:$AE$5,0))</f>
        <v>22320</v>
      </c>
      <c r="BL1004" s="113">
        <f>INDEX('Gen. Plant Additions'!$F$7:$AE$91,MATCH($C1004,'Gen. Plant Additions'!$D$7:$D$91,0),MATCH(Calculation!$G1004,'Gen. Plant Additions'!$F$5:$AE$5,0))</f>
        <v>201</v>
      </c>
      <c r="BM1004" s="231">
        <f t="shared" ref="BM1004:BM1025" si="1830">+(BW1004/(BW1004+BX1004))</f>
        <v>0.99184444699221264</v>
      </c>
      <c r="BN1004" s="61">
        <f t="shared" si="1824"/>
        <v>199.36073384543474</v>
      </c>
      <c r="BO1004" s="113">
        <f>INDEX('Dist Plant Depreciation'!$E$7:$AD$94,MATCH($C1004,'Dist Plant Depreciation'!$D$7:$D$94,0),MATCH(Calculation!$G1004,'Dist Plant Depreciation'!$E$5:$AD$5,0))</f>
        <v>160814</v>
      </c>
      <c r="BP1004" s="113">
        <f>INDEX('Gen. Plant Depreciation'!$E$7:$AD$94,MATCH($C1004,'Gen. Plant Depreciation'!$D$7:$D$94,0),MATCH(Calculation!$G1004,'Gen. Plant Depreciation'!$E$5:$AD$5,0))</f>
        <v>1784</v>
      </c>
      <c r="BQ1004" s="113"/>
      <c r="BR1004" s="113"/>
      <c r="BS1004" s="113"/>
      <c r="BT1004" s="113"/>
      <c r="BU1004" s="113"/>
      <c r="BV1004" s="175"/>
      <c r="BW1004" s="113">
        <f>INDEX('Gross Dx Plant'!$E$7:$AD$91,MATCH($C1004,'Gross Dx Plant'!$D$7:$D$91,0),MATCH(Calculation!$G1004,'Gross Dx Plant'!$E$5:$AD$5,0))</f>
        <v>449857</v>
      </c>
      <c r="BX1004" s="113">
        <f>INDEX('Gross Gen Plant'!$E$7:$AD$91,MATCH($C1004,'Gross Gen Plant'!$D$7:$D$91,0),MATCH(Calculation!$G1004,'Gross Gen Plant'!$E$5:$AD$5,0))</f>
        <v>3699</v>
      </c>
      <c r="BY1004" s="113">
        <f t="shared" si="1734"/>
        <v>290958</v>
      </c>
      <c r="BZ1004" s="113"/>
      <c r="CA1004" s="116">
        <v>1999</v>
      </c>
      <c r="CB1004" s="113"/>
      <c r="CC1004" s="113"/>
      <c r="CD1004" s="113"/>
      <c r="CE1004" s="175"/>
      <c r="CF1004" s="113">
        <f>+BL1004+BK1004</f>
        <v>22521</v>
      </c>
      <c r="CG1004" s="113">
        <f t="shared" ref="CG1004:CG1026" si="1831">+CF1004/$DE1004</f>
        <v>67.161710499074431</v>
      </c>
      <c r="CH1004" s="178">
        <v>0.99502487562189057</v>
      </c>
      <c r="CI1004" s="61">
        <f>+CI1003*CH1004+CG1004</f>
        <v>1442.9112400958495</v>
      </c>
      <c r="CJ1004" s="114">
        <f t="shared" ref="CJ1004:CJ1025" si="1832">LN(CI1004/CI1003)</f>
        <v>4.2676530681007817E-2</v>
      </c>
      <c r="CK1004" s="114"/>
      <c r="CL1004" s="169">
        <f t="shared" ref="CL1004:CL1027" si="1833">+(CI1003-CI1004+CG1004)/CI1003</f>
        <v>4.9751243781094292E-3</v>
      </c>
      <c r="CM1004" s="169"/>
      <c r="CN1004" s="114">
        <f>VLOOKUP($H1004,RoR!$E:$F,2,FALSE)</f>
        <v>7.0416666666666669E-2</v>
      </c>
      <c r="CO1004" s="169">
        <v>1.4335631817396832E-2</v>
      </c>
      <c r="CP1004" s="169">
        <f>+CN1004-CO1004</f>
        <v>5.6081034849269837E-2</v>
      </c>
      <c r="CQ1004" s="169"/>
      <c r="CR1004" s="169"/>
      <c r="CS1004" s="179">
        <f t="shared" ref="CS1004:CS1027" si="1834">1-CX1004*CY1004</f>
        <v>0.85329623209999994</v>
      </c>
      <c r="CT1004" s="180">
        <f t="shared" ref="CT1004:CT1027" si="1835">2/(DC1004*39)</f>
        <v>0.72826581702321336</v>
      </c>
      <c r="CU1004" s="180">
        <f t="shared" ref="CU1004:CU1027" si="1836">+(DC1004*40-(1+DC1004))/(DC1004*40)</f>
        <v>0.61997041420118348</v>
      </c>
      <c r="CV1004" s="180">
        <f t="shared" ref="CV1004:CV1027" si="1837">+(1-(1/(1+DC1004)^40))</f>
        <v>0.93425155319585029</v>
      </c>
      <c r="CW1004" s="180">
        <f t="shared" ref="CW1004:CW1027" si="1838">+CV1004*CU1004*CT1004</f>
        <v>0.42181762214141483</v>
      </c>
      <c r="CX1004" s="181">
        <f>INDEX('State Tax Lookup'!$D$7:$Z$91,MATCH(Calculation!$C1004,'State Tax Lookup'!$B$7:$B$91,0),MATCH($H1004,'State Tax Lookup'!$D$6:$Z$6,0))</f>
        <v>0.39649667</v>
      </c>
      <c r="CY1004" s="72">
        <v>0.37</v>
      </c>
      <c r="CZ1004" s="70"/>
      <c r="DA1004" s="70"/>
      <c r="DB1004" s="69"/>
      <c r="DC1004" s="111">
        <f>VLOOKUP($H1004,RoR!$E:$F,2,FALSE)</f>
        <v>7.0416666666666669E-2</v>
      </c>
      <c r="DD1004" s="216">
        <f>HLOOKUP($H1004,'GDP-PI'!$D$8:$CQ$11,3,FALSE)</f>
        <v>1.4335631817396832E-2</v>
      </c>
      <c r="DE1004" s="111">
        <f>VLOOKUP(H1004,'HW Dx Data'!$E:$F,2,FALSE)</f>
        <v>335.32499146683239</v>
      </c>
      <c r="DF1004" s="66"/>
      <c r="DG1004" s="69"/>
      <c r="DH1004" s="66">
        <f>HLOOKUP(H1004,'GDP-PI'!$8:$9,2,FALSE)</f>
        <v>76.346000000000004</v>
      </c>
      <c r="DI1004"/>
      <c r="EB1004"/>
    </row>
    <row r="1005" spans="1:132" s="160" customFormat="1" ht="21">
      <c r="A1005" s="160" t="s">
        <v>220</v>
      </c>
      <c r="B1005" s="160" t="s">
        <v>221</v>
      </c>
      <c r="C1005" s="160">
        <v>4057096</v>
      </c>
      <c r="D1005" s="161" t="s">
        <v>171</v>
      </c>
      <c r="E1005" s="161" t="s">
        <v>3</v>
      </c>
      <c r="F1005" s="189"/>
      <c r="G1005" s="160" t="s">
        <v>107</v>
      </c>
      <c r="H1005" s="162">
        <v>2000</v>
      </c>
      <c r="I1005" s="163"/>
      <c r="J1005" s="159"/>
      <c r="K1005" s="159"/>
      <c r="L1005" s="159"/>
      <c r="M1005" s="60"/>
      <c r="N1005" s="152"/>
      <c r="O1005" s="60"/>
      <c r="P1005" s="60"/>
      <c r="Q1005" s="159"/>
      <c r="R1005" s="159"/>
      <c r="S1005" s="159"/>
      <c r="T1005" s="159"/>
      <c r="U1005" s="159"/>
      <c r="V1005" s="159"/>
      <c r="W1005" s="159">
        <f t="shared" si="1829"/>
        <v>0</v>
      </c>
      <c r="X1005" s="163"/>
      <c r="Y1005" s="167">
        <v>1497.0221595376777</v>
      </c>
      <c r="Z1005" s="168">
        <v>3.681514073352507E-2</v>
      </c>
      <c r="AA1005" s="78"/>
      <c r="AB1005" s="168"/>
      <c r="AC1005" s="168"/>
      <c r="AD1005" s="163">
        <f t="shared" si="1777"/>
        <v>0</v>
      </c>
      <c r="AE1005" s="168"/>
      <c r="AF1005" s="163"/>
      <c r="AG1005" s="163"/>
      <c r="AH1005" s="163"/>
      <c r="AI1005" s="163"/>
      <c r="AJ1005" s="167"/>
      <c r="AK1005" s="168"/>
      <c r="AL1005" s="115"/>
      <c r="AM1005" s="115"/>
      <c r="AN1005" s="115"/>
      <c r="AO1005" s="115"/>
      <c r="AP1005" s="115"/>
      <c r="AQ1005" s="168"/>
      <c r="AR1005" s="79"/>
      <c r="AS1005" s="115"/>
      <c r="AT1005" s="115"/>
      <c r="AU1005" s="115"/>
      <c r="AV1005" s="113">
        <f>IFERROR(INDEX('Total Customers'!$F$7:$AB$91,MATCH($C1005,'Total Customers'!$D$7:$D$91,0),MATCH($G1005,'Total Customers'!$F$5:$AB$5,0)),"NA")</f>
        <v>285943</v>
      </c>
      <c r="AW1005" s="68">
        <f t="shared" si="1780"/>
        <v>-6.4941517894063381E-3</v>
      </c>
      <c r="AX1005" s="114"/>
      <c r="AY1005" s="114"/>
      <c r="AZ1005" s="116"/>
      <c r="BA1005" s="116"/>
      <c r="BB1005" s="166"/>
      <c r="BC1005" s="166"/>
      <c r="BD1005" s="166"/>
      <c r="BE1005" s="166"/>
      <c r="BF1005" s="166"/>
      <c r="BG1005" s="166"/>
      <c r="BH1005" s="166"/>
      <c r="BI1005" s="113"/>
      <c r="BJ1005" s="113"/>
      <c r="BK1005" s="113">
        <f>INDEX('Dist. Plant Gas Additions'!$F$7:$AE$91,MATCH($C1005,'Dist. Plant Gas Additions'!$D$7:$D$91,0),MATCH(Calculation!$G1005,'Dist. Plant Gas Additions'!$F$5:$AE$5,0))</f>
        <v>21145</v>
      </c>
      <c r="BL1005" s="113">
        <f>INDEX('Gen. Plant Additions'!$F$7:$AE$91,MATCH($C1005,'Gen. Plant Additions'!$D$7:$D$91,0),MATCH(Calculation!$G1005,'Gen. Plant Additions'!$F$5:$AE$5,0))</f>
        <v>178</v>
      </c>
      <c r="BM1005" s="231">
        <f t="shared" si="1830"/>
        <v>0.99176808812413475</v>
      </c>
      <c r="BN1005" s="61">
        <f t="shared" si="1824"/>
        <v>176.534719686096</v>
      </c>
      <c r="BO1005" s="113">
        <f>INDEX('Dist Plant Depreciation'!$E$7:$AD$94,MATCH($C1005,'Dist Plant Depreciation'!$D$7:$D$94,0),MATCH(Calculation!$G1005,'Dist Plant Depreciation'!$E$5:$AD$5,0))</f>
        <v>166496</v>
      </c>
      <c r="BP1005" s="113">
        <f>INDEX('Gen. Plant Depreciation'!$E$7:$AD$94,MATCH($C1005,'Gen. Plant Depreciation'!$D$7:$D$94,0),MATCH(Calculation!$G1005,'Gen. Plant Depreciation'!$E$5:$AD$5,0))</f>
        <v>1928</v>
      </c>
      <c r="BQ1005" s="113"/>
      <c r="BR1005" s="113"/>
      <c r="BS1005" s="113"/>
      <c r="BT1005" s="113"/>
      <c r="BU1005" s="113"/>
      <c r="BV1005" s="175"/>
      <c r="BW1005" s="113">
        <f>INDEX('Gross Dx Plant'!$E$7:$AD$91,MATCH($C1005,'Gross Dx Plant'!$D$7:$D$91,0),MATCH(Calculation!$G1005,'Gross Dx Plant'!$E$5:$AD$5,0))</f>
        <v>467095</v>
      </c>
      <c r="BX1005" s="113">
        <f>INDEX('Gross Gen Plant'!$E$7:$AD$91,MATCH($C1005,'Gross Gen Plant'!$D$7:$D$91,0),MATCH(Calculation!$G1005,'Gross Gen Plant'!$E$5:$AD$5,0))</f>
        <v>3877</v>
      </c>
      <c r="BY1005" s="113">
        <f t="shared" si="1734"/>
        <v>302548</v>
      </c>
      <c r="BZ1005" s="113"/>
      <c r="CA1005" s="116">
        <v>2000</v>
      </c>
      <c r="CB1005" s="113"/>
      <c r="CC1005" s="113"/>
      <c r="CD1005" s="113"/>
      <c r="CE1005" s="175"/>
      <c r="CF1005" s="113">
        <f>+BL1005+BK1005</f>
        <v>21323</v>
      </c>
      <c r="CG1005" s="113">
        <f t="shared" si="1831"/>
        <v>61.532251851415218</v>
      </c>
      <c r="CH1005" s="178">
        <v>0.98989898989898994</v>
      </c>
      <c r="CI1005" s="61">
        <f>+CI1003*CH1005+CG1004*CH1004+CG1005</f>
        <v>1497.0221595376777</v>
      </c>
      <c r="CJ1005" s="114">
        <f t="shared" si="1832"/>
        <v>3.681514073352507E-2</v>
      </c>
      <c r="CK1005" s="114"/>
      <c r="CL1005" s="169">
        <f t="shared" si="1833"/>
        <v>5.1433048709871171E-3</v>
      </c>
      <c r="CM1005" s="169"/>
      <c r="CN1005" s="114">
        <f>VLOOKUP($H1005,RoR!$E:$F,2,FALSE)</f>
        <v>7.6225000000000001E-2</v>
      </c>
      <c r="CO1005" s="169">
        <v>2.2568307442433211E-2</v>
      </c>
      <c r="CP1005" s="169">
        <f t="shared" ref="CP1005:CP1025" si="1839">+CN1005-CO1005</f>
        <v>5.365669255756679E-2</v>
      </c>
      <c r="CQ1005" s="169"/>
      <c r="CR1005" s="169"/>
      <c r="CS1005" s="179">
        <f t="shared" si="1834"/>
        <v>0.85329623209999994</v>
      </c>
      <c r="CT1005" s="180">
        <f t="shared" si="1835"/>
        <v>0.67277207323124022</v>
      </c>
      <c r="CU1005" s="180">
        <f t="shared" si="1836"/>
        <v>0.6470236142997704</v>
      </c>
      <c r="CV1005" s="180">
        <f t="shared" si="1837"/>
        <v>0.94704866037543145</v>
      </c>
      <c r="CW1005" s="180">
        <f t="shared" si="1838"/>
        <v>0.41224973107878493</v>
      </c>
      <c r="CX1005" s="181">
        <f>INDEX('State Tax Lookup'!$D$7:$Z$91,MATCH(Calculation!$C1005,'State Tax Lookup'!$B$7:$B$91,0),MATCH($H1005,'State Tax Lookup'!$D$6:$Z$6,0))</f>
        <v>0.39649667</v>
      </c>
      <c r="CY1005" s="72">
        <v>0.37</v>
      </c>
      <c r="CZ1005" s="70"/>
      <c r="DA1005" s="70"/>
      <c r="DB1005" s="69"/>
      <c r="DC1005" s="111">
        <f>VLOOKUP($H1005,RoR!$E:$F,2,FALSE)</f>
        <v>7.6225000000000001E-2</v>
      </c>
      <c r="DD1005" s="216">
        <f>HLOOKUP($H1005,'GDP-PI'!$D$8:$CQ$11,3,FALSE)</f>
        <v>2.2568307442433211E-2</v>
      </c>
      <c r="DE1005" s="111">
        <f>VLOOKUP(H1005,'HW Dx Data'!$E:$F,2,FALSE)</f>
        <v>346.53371782150339</v>
      </c>
      <c r="DF1005" s="66"/>
      <c r="DG1005" s="69"/>
      <c r="DH1005" s="66">
        <f>HLOOKUP(H1005,'GDP-PI'!$8:$9,2,FALSE)</f>
        <v>78.069000000000003</v>
      </c>
      <c r="DI1005"/>
      <c r="EB1005"/>
    </row>
    <row r="1006" spans="1:132" s="160" customFormat="1" ht="21">
      <c r="A1006" s="160" t="s">
        <v>220</v>
      </c>
      <c r="B1006" s="160" t="s">
        <v>221</v>
      </c>
      <c r="C1006" s="160">
        <v>4057096</v>
      </c>
      <c r="D1006" s="161" t="s">
        <v>171</v>
      </c>
      <c r="E1006" s="161" t="s">
        <v>3</v>
      </c>
      <c r="F1006" s="189"/>
      <c r="G1006" s="160" t="s">
        <v>111</v>
      </c>
      <c r="H1006" s="162">
        <v>2001</v>
      </c>
      <c r="I1006" s="163"/>
      <c r="J1006" s="159"/>
      <c r="K1006" s="159"/>
      <c r="L1006" s="159"/>
      <c r="M1006" s="60"/>
      <c r="N1006" s="152"/>
      <c r="O1006" s="60"/>
      <c r="P1006" s="60"/>
      <c r="Q1006" s="159"/>
      <c r="R1006" s="159"/>
      <c r="S1006" s="159"/>
      <c r="T1006" s="159"/>
      <c r="U1006" s="159"/>
      <c r="V1006" s="159"/>
      <c r="W1006" s="159">
        <f t="shared" si="1829"/>
        <v>19270.235419553723</v>
      </c>
      <c r="X1006" s="163"/>
      <c r="Y1006" s="167">
        <v>1573.849140971972</v>
      </c>
      <c r="Z1006" s="168">
        <v>5.0046393080111169E-2</v>
      </c>
      <c r="AA1006" s="78"/>
      <c r="AB1006" s="168"/>
      <c r="AC1006" s="168"/>
      <c r="AD1006" s="163">
        <f t="shared" si="1777"/>
        <v>19270.235419553723</v>
      </c>
      <c r="AE1006" s="168"/>
      <c r="AF1006" s="163"/>
      <c r="AG1006" s="163"/>
      <c r="AH1006" s="163"/>
      <c r="AI1006" s="163"/>
      <c r="AJ1006" s="167"/>
      <c r="AK1006" s="168"/>
      <c r="AL1006" s="115"/>
      <c r="AM1006" s="115"/>
      <c r="AN1006" s="115"/>
      <c r="AO1006" s="115"/>
      <c r="AP1006" s="115"/>
      <c r="AQ1006" s="168"/>
      <c r="AR1006" s="79"/>
      <c r="AS1006" s="115"/>
      <c r="AT1006" s="115"/>
      <c r="AU1006" s="115"/>
      <c r="AV1006" s="113">
        <f>IFERROR(INDEX('Total Customers'!$F$7:$AB$91,MATCH($C1006,'Total Customers'!$D$7:$D$91,0),MATCH($G1006,'Total Customers'!$F$5:$AB$5,0)),"NA")</f>
        <v>287688</v>
      </c>
      <c r="AW1006" s="68">
        <f t="shared" si="1780"/>
        <v>6.0840693153800069E-3</v>
      </c>
      <c r="AX1006" s="114"/>
      <c r="AY1006" s="114"/>
      <c r="AZ1006" s="116"/>
      <c r="BA1006" s="116"/>
      <c r="BB1006" s="166"/>
      <c r="BC1006" s="166"/>
      <c r="BD1006" s="166"/>
      <c r="BE1006" s="166"/>
      <c r="BF1006" s="166"/>
      <c r="BG1006" s="166"/>
      <c r="BH1006" s="166"/>
      <c r="BI1006" s="113"/>
      <c r="BJ1006" s="113"/>
      <c r="BK1006" s="113">
        <f>INDEX('Dist. Plant Gas Additions'!$F$7:$AE$91,MATCH($C1006,'Dist. Plant Gas Additions'!$D$7:$D$91,0),MATCH(Calculation!$G1006,'Dist. Plant Gas Additions'!$F$5:$AE$5,0))</f>
        <v>29742</v>
      </c>
      <c r="BL1006" s="113">
        <f>INDEX('Gen. Plant Additions'!$F$7:$AE$91,MATCH($C1006,'Gen. Plant Additions'!$D$7:$D$91,0),MATCH(Calculation!$G1006,'Gen. Plant Additions'!$F$5:$AE$5,0))</f>
        <v>116</v>
      </c>
      <c r="BM1006" s="231">
        <f t="shared" si="1830"/>
        <v>0.99195794688982208</v>
      </c>
      <c r="BN1006" s="61">
        <f t="shared" si="1824"/>
        <v>115.06712183921937</v>
      </c>
      <c r="BO1006" s="113">
        <f>INDEX('Dist Plant Depreciation'!$E$7:$AD$94,MATCH($C1006,'Dist Plant Depreciation'!$D$7:$D$94,0),MATCH(Calculation!$G1006,'Dist Plant Depreciation'!$E$5:$AD$5,0))</f>
        <v>167597</v>
      </c>
      <c r="BP1006" s="113">
        <f>INDEX('Gen. Plant Depreciation'!$E$7:$AD$94,MATCH($C1006,'Gen. Plant Depreciation'!$D$7:$D$94,0),MATCH(Calculation!$G1006,'Gen. Plant Depreciation'!$E$5:$AD$5,0))</f>
        <v>2079</v>
      </c>
      <c r="BQ1006" s="113"/>
      <c r="BR1006" s="113"/>
      <c r="BS1006" s="113"/>
      <c r="BT1006" s="113"/>
      <c r="BU1006" s="113"/>
      <c r="BV1006" s="175"/>
      <c r="BW1006" s="113">
        <f>INDEX('Gross Dx Plant'!$E$7:$AD$91,MATCH($C1006,'Gross Dx Plant'!$D$7:$D$91,0),MATCH(Calculation!$G1006,'Gross Dx Plant'!$E$5:$AD$5,0))</f>
        <v>492522</v>
      </c>
      <c r="BX1006" s="113">
        <f>INDEX('Gross Gen Plant'!$E$7:$AD$91,MATCH($C1006,'Gross Gen Plant'!$D$7:$D$91,0),MATCH(Calculation!$G1006,'Gross Gen Plant'!$E$5:$AD$5,0))</f>
        <v>3993</v>
      </c>
      <c r="BY1006" s="113">
        <f t="shared" si="1734"/>
        <v>326839</v>
      </c>
      <c r="BZ1006" s="113"/>
      <c r="CA1006" s="116">
        <v>2001</v>
      </c>
      <c r="CB1006" s="113"/>
      <c r="CC1006" s="113"/>
      <c r="CD1006" s="113"/>
      <c r="CE1006" s="175"/>
      <c r="CF1006" s="113">
        <f>+BL1006+BK1006</f>
        <v>29858</v>
      </c>
      <c r="CG1006" s="113">
        <f t="shared" si="1831"/>
        <v>84.476506758179553</v>
      </c>
      <c r="CH1006" s="178">
        <v>0.98461538461538467</v>
      </c>
      <c r="CI1006" s="61">
        <f>+CI1003*CH1006+CG1004*CH1005+CG1005*CH1003+CG1006</f>
        <v>1573.849140971972</v>
      </c>
      <c r="CJ1006" s="114">
        <f t="shared" si="1832"/>
        <v>5.0046393080111169E-2</v>
      </c>
      <c r="CK1006" s="114"/>
      <c r="CL1006" s="169">
        <f t="shared" si="1833"/>
        <v>5.1098277170777496E-3</v>
      </c>
      <c r="CM1006" s="169">
        <f>+(CL1006+CL1005+CL1004)/3</f>
        <v>5.0760856553914322E-3</v>
      </c>
      <c r="CN1006" s="114">
        <f>VLOOKUP($H1006,RoR!$E:$F,2,FALSE)</f>
        <v>7.0824999999999999E-2</v>
      </c>
      <c r="CO1006" s="169">
        <v>2.2454495382290052E-2</v>
      </c>
      <c r="CP1006" s="169">
        <f t="shared" si="1839"/>
        <v>4.8370504617709947E-2</v>
      </c>
      <c r="CQ1006" s="169">
        <f>+$CP$2-CM1006</f>
        <v>2.5825855953142192E-2</v>
      </c>
      <c r="CR1006" s="169">
        <f>+((DE1004/DE1003-1)+(DE1005/DE1004-1)+(DE1006/DE1005-1))/3</f>
        <v>2.3947275901631187E-2</v>
      </c>
      <c r="CS1006" s="179">
        <f t="shared" si="1834"/>
        <v>0.85329623209999994</v>
      </c>
      <c r="CT1006" s="180">
        <f t="shared" si="1835"/>
        <v>0.72406708481540816</v>
      </c>
      <c r="CU1006" s="180">
        <f t="shared" si="1836"/>
        <v>0.62201729615248857</v>
      </c>
      <c r="CV1006" s="180">
        <f t="shared" si="1837"/>
        <v>0.9352469954311422</v>
      </c>
      <c r="CW1006" s="180">
        <f t="shared" si="1838"/>
        <v>0.42121864641655071</v>
      </c>
      <c r="CX1006" s="181">
        <f>INDEX('State Tax Lookup'!$D$7:$Z$91,MATCH(Calculation!$C1006,'State Tax Lookup'!$B$7:$B$91,0),MATCH($H1006,'State Tax Lookup'!$D$6:$Z$6,0))</f>
        <v>0.39649667</v>
      </c>
      <c r="CY1006" s="72">
        <v>0.37</v>
      </c>
      <c r="CZ1006" s="70">
        <f t="shared" ref="CZ1006:CZ1027" si="1840">+(DE1006*CQ1006-CR1006)*CS1006/(1-CX1006)</f>
        <v>12.872378205480212</v>
      </c>
      <c r="DA1006" s="70"/>
      <c r="DB1006" s="69"/>
      <c r="DC1006" s="111">
        <f>VLOOKUP($H1006,RoR!$E:$F,2,FALSE)</f>
        <v>7.0824999999999999E-2</v>
      </c>
      <c r="DD1006" s="216">
        <f>HLOOKUP($H1006,'GDP-PI'!$D$8:$CQ$11,3,FALSE)</f>
        <v>2.2454495382290052E-2</v>
      </c>
      <c r="DE1006" s="111">
        <f>VLOOKUP(H1006,'HW Dx Data'!$E:$F,2,FALSE)</f>
        <v>353.44738017483138</v>
      </c>
      <c r="DF1006" s="66"/>
      <c r="DG1006" s="69"/>
      <c r="DH1006" s="66">
        <f>HLOOKUP(H1006,'GDP-PI'!$8:$9,2,FALSE)</f>
        <v>79.822000000000003</v>
      </c>
      <c r="DI1006"/>
      <c r="EB1006"/>
    </row>
    <row r="1007" spans="1:132" s="160" customFormat="1" ht="21">
      <c r="A1007" s="160" t="s">
        <v>220</v>
      </c>
      <c r="B1007" s="160" t="s">
        <v>221</v>
      </c>
      <c r="C1007" s="160">
        <v>4057096</v>
      </c>
      <c r="D1007" s="161" t="s">
        <v>171</v>
      </c>
      <c r="E1007" s="161" t="s">
        <v>3</v>
      </c>
      <c r="F1007" s="189"/>
      <c r="G1007" s="160" t="s">
        <v>113</v>
      </c>
      <c r="H1007" s="162">
        <v>2002</v>
      </c>
      <c r="I1007" s="163"/>
      <c r="J1007" s="159"/>
      <c r="K1007" s="159"/>
      <c r="L1007" s="159"/>
      <c r="M1007" s="60"/>
      <c r="N1007" s="152"/>
      <c r="O1007" s="60"/>
      <c r="P1007" s="60"/>
      <c r="Q1007" s="159"/>
      <c r="R1007" s="159"/>
      <c r="S1007" s="159"/>
      <c r="T1007" s="159"/>
      <c r="U1007" s="159"/>
      <c r="V1007" s="159"/>
      <c r="W1007" s="159">
        <f t="shared" si="1829"/>
        <v>20522.994727250963</v>
      </c>
      <c r="X1007" s="163"/>
      <c r="Y1007" s="167">
        <v>1659.4482444573566</v>
      </c>
      <c r="Z1007" s="168">
        <v>5.2960863221588723E-2</v>
      </c>
      <c r="AA1007" s="78"/>
      <c r="AB1007" s="168"/>
      <c r="AC1007" s="168"/>
      <c r="AD1007" s="163">
        <f t="shared" si="1777"/>
        <v>20522.994727250963</v>
      </c>
      <c r="AE1007" s="168"/>
      <c r="AF1007" s="163"/>
      <c r="AG1007" s="163"/>
      <c r="AH1007" s="163"/>
      <c r="AI1007" s="163"/>
      <c r="AJ1007" s="167"/>
      <c r="AK1007" s="168"/>
      <c r="AL1007" s="115"/>
      <c r="AM1007" s="115"/>
      <c r="AN1007" s="115"/>
      <c r="AO1007" s="115"/>
      <c r="AP1007" s="115"/>
      <c r="AQ1007" s="168"/>
      <c r="AR1007" s="79"/>
      <c r="AS1007" s="115"/>
      <c r="AT1007" s="115"/>
      <c r="AU1007" s="115"/>
      <c r="AV1007" s="113">
        <f>IFERROR(INDEX('Total Customers'!$F$7:$AB$91,MATCH($C1007,'Total Customers'!$D$7:$D$91,0),MATCH($G1007,'Total Customers'!$F$5:$AB$5,0)),"NA")</f>
        <v>289860</v>
      </c>
      <c r="AW1007" s="68">
        <f t="shared" si="1780"/>
        <v>7.5214882214618512E-3</v>
      </c>
      <c r="AX1007" s="114"/>
      <c r="AY1007" s="114"/>
      <c r="AZ1007" s="116"/>
      <c r="BA1007" s="116"/>
      <c r="BB1007" s="166"/>
      <c r="BC1007" s="166"/>
      <c r="BD1007" s="166"/>
      <c r="BE1007" s="166"/>
      <c r="BF1007" s="166"/>
      <c r="BG1007" s="166"/>
      <c r="BH1007" s="166"/>
      <c r="BI1007" s="113"/>
      <c r="BJ1007" s="113"/>
      <c r="BK1007" s="113"/>
      <c r="BL1007" s="113"/>
      <c r="BM1007" s="231"/>
      <c r="BN1007" s="61">
        <f t="shared" si="1824"/>
        <v>0</v>
      </c>
      <c r="BO1007" s="113"/>
      <c r="BP1007" s="113"/>
      <c r="BQ1007" s="113"/>
      <c r="BR1007" s="113"/>
      <c r="BS1007" s="113"/>
      <c r="BT1007" s="113"/>
      <c r="BU1007" s="113"/>
      <c r="BV1007" s="175"/>
      <c r="BW1007" s="113"/>
      <c r="BX1007" s="113"/>
      <c r="BY1007" s="113">
        <f t="shared" si="1734"/>
        <v>0</v>
      </c>
      <c r="BZ1007" s="113"/>
      <c r="CA1007" s="116">
        <v>2002</v>
      </c>
      <c r="CB1007" s="113"/>
      <c r="CC1007" s="113"/>
      <c r="CD1007" s="113"/>
      <c r="CE1007" s="175"/>
      <c r="CF1007" s="113">
        <v>34158</v>
      </c>
      <c r="CG1007" s="113">
        <f t="shared" si="1831"/>
        <v>94.529329990101417</v>
      </c>
      <c r="CH1007" s="178">
        <v>0.97916666666666663</v>
      </c>
      <c r="CI1007" s="61">
        <f>+CI1003*CH1007+CG1004*CH1006+CG1005*CH1005+CG1006*CH1004+CG1007</f>
        <v>1659.4482444573566</v>
      </c>
      <c r="CJ1007" s="114">
        <f t="shared" si="1832"/>
        <v>5.2960863221588723E-2</v>
      </c>
      <c r="CK1007" s="114"/>
      <c r="CL1007" s="169">
        <f t="shared" si="1833"/>
        <v>5.6741311935410259E-3</v>
      </c>
      <c r="CM1007" s="169">
        <f t="shared" ref="CM1007:CM1027" si="1841">+(CL1007+CL1006+CL1005)/3</f>
        <v>5.3090879272019642E-3</v>
      </c>
      <c r="CN1007" s="114">
        <f>VLOOKUP($H1007,RoR!$E:$F,2,FALSE)</f>
        <v>6.4916666666666664E-2</v>
      </c>
      <c r="CO1007" s="169">
        <v>1.5246423291824351E-2</v>
      </c>
      <c r="CP1007" s="169">
        <f t="shared" si="1839"/>
        <v>4.9670243374842313E-2</v>
      </c>
      <c r="CQ1007" s="169">
        <f t="shared" ref="CQ1007:CQ1027" si="1842">+$CP$2-CM1007</f>
        <v>2.559285368133166E-2</v>
      </c>
      <c r="CR1007" s="169">
        <f t="shared" ref="CR1007:CR1027" si="1843">+((DE1005/DE1004-1)+(DE1006/DE1005-1)+(DE1007/DE1006-1))/3</f>
        <v>2.5243621214759093E-2</v>
      </c>
      <c r="CS1007" s="179">
        <f t="shared" si="1834"/>
        <v>0.85329623209999994</v>
      </c>
      <c r="CT1007" s="180">
        <f t="shared" si="1835"/>
        <v>0.78996741384417901</v>
      </c>
      <c r="CU1007" s="180">
        <f t="shared" si="1836"/>
        <v>0.58989088575096271</v>
      </c>
      <c r="CV1007" s="180">
        <f t="shared" si="1837"/>
        <v>0.91920675783645744</v>
      </c>
      <c r="CW1007" s="180">
        <f t="shared" si="1838"/>
        <v>0.42834536472275586</v>
      </c>
      <c r="CX1007" s="181">
        <f>INDEX('State Tax Lookup'!$D$7:$Z$91,MATCH(Calculation!$C1007,'State Tax Lookup'!$B$7:$B$91,0),MATCH($H1007,'State Tax Lookup'!$D$6:$Z$6,0))</f>
        <v>0.39649667</v>
      </c>
      <c r="CY1007" s="72">
        <v>0.37</v>
      </c>
      <c r="CZ1007" s="70">
        <f t="shared" si="1840"/>
        <v>13.040001225642532</v>
      </c>
      <c r="DA1007" s="70"/>
      <c r="DB1007" s="69">
        <f>LN(CZ1007/CZ1006)</f>
        <v>1.2937859201828264E-2</v>
      </c>
      <c r="DC1007" s="111">
        <f>VLOOKUP($H1007,RoR!$E:$F,2,FALSE)</f>
        <v>6.4916666666666664E-2</v>
      </c>
      <c r="DD1007" s="216">
        <f>HLOOKUP($H1007,'GDP-PI'!$D$8:$CQ$11,3,FALSE)</f>
        <v>1.5246423291824351E-2</v>
      </c>
      <c r="DE1007" s="111">
        <f>VLOOKUP(H1007,'HW Dx Data'!$E:$F,2,FALSE)</f>
        <v>361.34816573413599</v>
      </c>
      <c r="DF1007" s="66"/>
      <c r="DG1007" s="69"/>
      <c r="DH1007" s="66">
        <f>HLOOKUP(H1007,'GDP-PI'!$8:$9,2,FALSE)</f>
        <v>81.039000000000001</v>
      </c>
      <c r="DI1007" s="69">
        <f>LN(DH1007/DH1006)</f>
        <v>1.513136459537477E-2</v>
      </c>
      <c r="EB1007"/>
    </row>
    <row r="1008" spans="1:132" s="160" customFormat="1" ht="21">
      <c r="A1008" s="160" t="s">
        <v>220</v>
      </c>
      <c r="B1008" s="160" t="s">
        <v>221</v>
      </c>
      <c r="C1008" s="160">
        <v>4057096</v>
      </c>
      <c r="D1008" s="161" t="s">
        <v>171</v>
      </c>
      <c r="E1008" s="161" t="s">
        <v>3</v>
      </c>
      <c r="F1008" s="189"/>
      <c r="G1008" s="160" t="s">
        <v>114</v>
      </c>
      <c r="H1008" s="162">
        <v>2003</v>
      </c>
      <c r="I1008" s="163"/>
      <c r="J1008" s="159"/>
      <c r="K1008" s="159"/>
      <c r="L1008" s="159"/>
      <c r="M1008" s="76"/>
      <c r="N1008" s="152"/>
      <c r="O1008" s="76"/>
      <c r="P1008" s="76"/>
      <c r="Q1008" s="159"/>
      <c r="R1008" s="159"/>
      <c r="S1008" s="159"/>
      <c r="T1008" s="159"/>
      <c r="U1008" s="159"/>
      <c r="V1008" s="159"/>
      <c r="W1008" s="159">
        <f t="shared" si="1829"/>
        <v>21976.967166940463</v>
      </c>
      <c r="X1008" s="163"/>
      <c r="Y1008" s="167">
        <v>1751.5292972129416</v>
      </c>
      <c r="Z1008" s="168">
        <v>5.4004126182670337E-2</v>
      </c>
      <c r="AA1008" s="78"/>
      <c r="AB1008" s="168"/>
      <c r="AC1008" s="168"/>
      <c r="AD1008" s="163">
        <f t="shared" si="1777"/>
        <v>21976.967166940463</v>
      </c>
      <c r="AE1008" s="168"/>
      <c r="AF1008" s="163"/>
      <c r="AG1008" s="163"/>
      <c r="AH1008" s="163"/>
      <c r="AI1008" s="163"/>
      <c r="AJ1008" s="167"/>
      <c r="AK1008" s="168"/>
      <c r="AL1008" s="115"/>
      <c r="AM1008" s="115"/>
      <c r="AN1008" s="115"/>
      <c r="AO1008" s="115"/>
      <c r="AP1008" s="115"/>
      <c r="AQ1008" s="168"/>
      <c r="AR1008" s="79"/>
      <c r="AS1008" s="115"/>
      <c r="AT1008" s="115"/>
      <c r="AU1008" s="115"/>
      <c r="AV1008" s="113">
        <f>IFERROR(INDEX('Total Customers'!$F$7:$AB$91,MATCH($C1008,'Total Customers'!$D$7:$D$91,0),MATCH($G1008,'Total Customers'!$F$5:$AB$5,0)),"NA")</f>
        <v>291686</v>
      </c>
      <c r="AW1008" s="68">
        <f t="shared" si="1780"/>
        <v>6.2798334126191908E-3</v>
      </c>
      <c r="AX1008" s="114"/>
      <c r="AY1008" s="114"/>
      <c r="AZ1008" s="116"/>
      <c r="BA1008" s="116"/>
      <c r="BB1008" s="166"/>
      <c r="BC1008" s="166"/>
      <c r="BD1008" s="166"/>
      <c r="BE1008" s="166"/>
      <c r="BF1008" s="166"/>
      <c r="BG1008" s="166"/>
      <c r="BH1008" s="166"/>
      <c r="BI1008" s="113"/>
      <c r="BJ1008" s="113"/>
      <c r="BK1008" s="113"/>
      <c r="BL1008" s="113"/>
      <c r="BM1008" s="231"/>
      <c r="BN1008" s="61">
        <f t="shared" si="1824"/>
        <v>0</v>
      </c>
      <c r="BO1008" s="113"/>
      <c r="BP1008" s="113"/>
      <c r="BQ1008" s="113"/>
      <c r="BR1008" s="113"/>
      <c r="BS1008" s="113"/>
      <c r="BT1008" s="113"/>
      <c r="BU1008" s="113"/>
      <c r="BV1008" s="175"/>
      <c r="BW1008" s="113"/>
      <c r="BX1008" s="113"/>
      <c r="BY1008" s="113">
        <f t="shared" si="1734"/>
        <v>0</v>
      </c>
      <c r="BZ1008" s="113"/>
      <c r="CA1008" s="116">
        <v>2003</v>
      </c>
      <c r="CB1008" s="113"/>
      <c r="CC1008" s="113"/>
      <c r="CD1008" s="113"/>
      <c r="CE1008" s="175"/>
      <c r="CF1008" s="238">
        <v>37458</v>
      </c>
      <c r="CG1008" s="113">
        <f t="shared" si="1831"/>
        <v>101.44813407407959</v>
      </c>
      <c r="CH1008" s="178">
        <v>0.97354497354497349</v>
      </c>
      <c r="CI1008" s="61">
        <f>+CI1003*CH1008+CG1004*CH1007+CG1005*CH1006+CG1006*CH1005+CG1007*CH1004+CG1008</f>
        <v>1751.5292972129416</v>
      </c>
      <c r="CJ1008" s="114">
        <f t="shared" si="1832"/>
        <v>5.4004126182670337E-2</v>
      </c>
      <c r="CK1008" s="114"/>
      <c r="CL1008" s="169">
        <f t="shared" si="1833"/>
        <v>5.6446962716560295E-3</v>
      </c>
      <c r="CM1008" s="169">
        <f t="shared" si="1841"/>
        <v>5.4762183940916011E-3</v>
      </c>
      <c r="CN1008" s="114">
        <f>VLOOKUP($H1008,RoR!$E:$F,2,FALSE)</f>
        <v>5.6666666666666671E-2</v>
      </c>
      <c r="CO1008" s="169">
        <v>1.8855119140166909E-2</v>
      </c>
      <c r="CP1008" s="169">
        <f t="shared" si="1839"/>
        <v>3.7811547526499761E-2</v>
      </c>
      <c r="CQ1008" s="169">
        <f t="shared" si="1842"/>
        <v>2.5425723214442024E-2</v>
      </c>
      <c r="CR1008" s="169">
        <f t="shared" si="1843"/>
        <v>2.1375012817671957E-2</v>
      </c>
      <c r="CS1008" s="179">
        <f t="shared" si="1834"/>
        <v>0.85329623209999994</v>
      </c>
      <c r="CT1008" s="180">
        <f t="shared" si="1835"/>
        <v>0.90497737556561086</v>
      </c>
      <c r="CU1008" s="180">
        <f t="shared" si="1836"/>
        <v>0.5338235294117647</v>
      </c>
      <c r="CV1008" s="180">
        <f t="shared" si="1837"/>
        <v>0.88972433127405692</v>
      </c>
      <c r="CW1008" s="180">
        <f t="shared" si="1838"/>
        <v>0.42982423775949252</v>
      </c>
      <c r="CX1008" s="181">
        <f>INDEX('State Tax Lookup'!$D$7:$Z$91,MATCH(Calculation!$C1008,'State Tax Lookup'!$B$7:$B$91,0),MATCH($H1008,'State Tax Lookup'!$D$6:$Z$6,0))</f>
        <v>0.39649667</v>
      </c>
      <c r="CY1008" s="72">
        <v>0.37</v>
      </c>
      <c r="CZ1008" s="70">
        <f t="shared" si="1840"/>
        <v>13.24353877280878</v>
      </c>
      <c r="DA1008" s="70"/>
      <c r="DB1008" s="69">
        <f t="shared" ref="DB1008:DB1025" si="1844">LN(CZ1008/CZ1007)</f>
        <v>1.5488143219772342E-2</v>
      </c>
      <c r="DC1008" s="111">
        <f>VLOOKUP($H1008,RoR!$E:$F,2,FALSE)</f>
        <v>5.6666666666666671E-2</v>
      </c>
      <c r="DD1008" s="216">
        <f>HLOOKUP($H1008,'GDP-PI'!$D$8:$CQ$11,3,FALSE)</f>
        <v>1.8855119140166909E-2</v>
      </c>
      <c r="DE1008" s="111">
        <f>VLOOKUP(H1008,'HW Dx Data'!$E:$F,2,FALSE)</f>
        <v>369.23301095560191</v>
      </c>
      <c r="DF1008" s="66"/>
      <c r="DG1008" s="69"/>
      <c r="DH1008" s="66">
        <f>HLOOKUP(H1008,'GDP-PI'!$8:$9,2,FALSE)</f>
        <v>82.566999999999993</v>
      </c>
      <c r="DI1008" s="69">
        <f t="shared" ref="DI1008:DI1027" si="1845">LN(DH1008/DH1007)</f>
        <v>1.8679564681853753E-2</v>
      </c>
      <c r="EB1008"/>
    </row>
    <row r="1009" spans="1:132" s="160" customFormat="1" ht="21">
      <c r="A1009" s="160" t="s">
        <v>220</v>
      </c>
      <c r="B1009" s="160" t="s">
        <v>221</v>
      </c>
      <c r="C1009" s="160">
        <v>4057096</v>
      </c>
      <c r="D1009" s="161" t="s">
        <v>171</v>
      </c>
      <c r="E1009" s="161" t="s">
        <v>3</v>
      </c>
      <c r="F1009" s="189"/>
      <c r="G1009" s="160" t="s">
        <v>115</v>
      </c>
      <c r="H1009" s="162">
        <v>2004</v>
      </c>
      <c r="I1009" s="163"/>
      <c r="J1009" s="159">
        <f>IFERROR(INDEX('Labor Expenditures'!$F$7:$X$91,MATCH($C1009,'Labor Expenditures'!$D$7:$D$91,0),MATCH($G1009,'Labor Expenditures'!$F$5:$X$5,0)),"NA")</f>
        <v>21414.38729345335</v>
      </c>
      <c r="K1009" s="159">
        <f t="shared" ref="K1009:K1027" si="1846">+J1009/DF1009</f>
        <v>226.96753888132858</v>
      </c>
      <c r="L1009" s="165"/>
      <c r="M1009" s="76"/>
      <c r="N1009" s="152"/>
      <c r="O1009" s="76"/>
      <c r="P1009" s="76"/>
      <c r="Q1009" s="159">
        <f>IFERROR(INDEX('Non-Labor Expenditures'!$F$7:$AB$91,MATCH($C1009,'Non-Labor Expenditures'!$D$7:$D$91,0),MATCH($G1009,'Non-Labor Expenditures'!$F$5:$AB$5,0)),"NA")</f>
        <v>31012.032456756358</v>
      </c>
      <c r="R1009" s="159">
        <f t="shared" ref="R1009:R1027" si="1847">+Q1009/DH1009</f>
        <v>365.80283159258721</v>
      </c>
      <c r="S1009" s="159"/>
      <c r="T1009" s="159"/>
      <c r="U1009" s="159"/>
      <c r="V1009" s="159"/>
      <c r="W1009" s="159">
        <f t="shared" si="1829"/>
        <v>25746.617930746826</v>
      </c>
      <c r="X1009" s="163"/>
      <c r="Y1009" s="167">
        <v>1843.2670437477534</v>
      </c>
      <c r="Z1009" s="168">
        <v>5.1050273976314287E-2</v>
      </c>
      <c r="AA1009" s="76">
        <f t="shared" ref="AA1009:AA1027" si="1848">+Z1009*$AR1009</f>
        <v>0</v>
      </c>
      <c r="AB1009" s="168"/>
      <c r="AC1009" s="168"/>
      <c r="AD1009" s="163">
        <f t="shared" si="1777"/>
        <v>78173.037680956535</v>
      </c>
      <c r="AE1009" s="168"/>
      <c r="AF1009" s="163"/>
      <c r="AG1009" s="163"/>
      <c r="AH1009" s="163"/>
      <c r="AI1009" s="163"/>
      <c r="AJ1009" s="167"/>
      <c r="AK1009" s="168"/>
      <c r="AL1009" s="115">
        <f t="shared" ref="AL1009:AL1027" si="1849">+J1009/AD1009</f>
        <v>0.27393571912672438</v>
      </c>
      <c r="AM1009" s="115">
        <f t="shared" ref="AM1009:AM1027" si="1850">+Q1009/AD1009</f>
        <v>0.39671008543027481</v>
      </c>
      <c r="AN1009" s="115">
        <f t="shared" ref="AN1009:AN1027" si="1851">+W1009/AD1009</f>
        <v>0.32935419544300082</v>
      </c>
      <c r="AO1009" s="115"/>
      <c r="AP1009" s="115"/>
      <c r="AQ1009" s="168"/>
      <c r="AR1009" s="79"/>
      <c r="AS1009" s="115"/>
      <c r="AT1009" s="115"/>
      <c r="AU1009" s="115"/>
      <c r="AV1009" s="113">
        <f>IFERROR(INDEX('Total Customers'!$F$7:$AB$91,MATCH($C1009,'Total Customers'!$D$7:$D$91,0),MATCH($G1009,'Total Customers'!$F$5:$AB$5,0)),"NA")</f>
        <v>293334</v>
      </c>
      <c r="AW1009" s="68">
        <f t="shared" si="1780"/>
        <v>5.6340103218430714E-3</v>
      </c>
      <c r="AX1009" s="114"/>
      <c r="AY1009" s="114"/>
      <c r="AZ1009" s="116"/>
      <c r="BA1009" s="116"/>
      <c r="BB1009" s="166"/>
      <c r="BC1009" s="166"/>
      <c r="BD1009" s="166"/>
      <c r="BE1009" s="166"/>
      <c r="BF1009" s="166"/>
      <c r="BG1009" s="166"/>
      <c r="BH1009" s="166"/>
      <c r="BI1009" s="113"/>
      <c r="BJ1009" s="113"/>
      <c r="BK1009" s="113">
        <f>INDEX('Dist. Plant Gas Additions'!$F$7:$AE$91,MATCH($C1009,'Dist. Plant Gas Additions'!$D$7:$D$91,0),MATCH(Calculation!$G1009,'Dist. Plant Gas Additions'!$F$5:$AE$5,0))</f>
        <v>42137</v>
      </c>
      <c r="BL1009" s="113">
        <f>INDEX('Gen. Plant Additions'!$F$7:$AE$91,MATCH($C1009,'Gen. Plant Additions'!$D$7:$D$91,0),MATCH(Calculation!$G1009,'Gen. Plant Additions'!$F$5:$AE$5,0))</f>
        <v>144</v>
      </c>
      <c r="BM1009" s="231">
        <f t="shared" si="1830"/>
        <v>0.99430833242206895</v>
      </c>
      <c r="BN1009" s="61">
        <f>+BM1009*BL1009</f>
        <v>143.18039986877793</v>
      </c>
      <c r="BO1009" s="113">
        <f>INDEX('Dist Plant Depreciation'!$E$7:$AD$94,MATCH($C1009,'Dist Plant Depreciation'!$D$7:$D$94,0),MATCH(Calculation!$G1009,'Dist Plant Depreciation'!$E$5:$AD$5,0))</f>
        <v>185843</v>
      </c>
      <c r="BP1009" s="113">
        <f>INDEX('Gen. Plant Depreciation'!$E$7:$AD$94,MATCH($C1009,'Gen. Plant Depreciation'!$D$7:$D$94,0),MATCH(Calculation!$G1009,'Gen. Plant Depreciation'!$E$5:$AD$5,0))</f>
        <v>1400</v>
      </c>
      <c r="BQ1009" s="113"/>
      <c r="BR1009" s="113"/>
      <c r="BS1009" s="113"/>
      <c r="BT1009" s="113"/>
      <c r="BU1009" s="113"/>
      <c r="BV1009" s="175"/>
      <c r="BW1009" s="113">
        <f>INDEX('Gross Dx Plant'!$E$7:$AD$91,MATCH($C1009,'Gross Dx Plant'!$D$7:$D$91,0),MATCH(Calculation!$G1009,'Gross Dx Plant'!$E$5:$AD$5,0))</f>
        <v>554658</v>
      </c>
      <c r="BX1009" s="113">
        <f>INDEX('Gross Gen Plant'!$E$7:$AD$91,MATCH($C1009,'Gross Gen Plant'!$D$7:$D$91,0),MATCH(Calculation!$G1009,'Gross Gen Plant'!$E$5:$AD$5,0))</f>
        <v>3175</v>
      </c>
      <c r="BY1009" s="113">
        <f t="shared" si="1734"/>
        <v>370590</v>
      </c>
      <c r="BZ1009" s="113"/>
      <c r="CA1009" s="116">
        <v>2004</v>
      </c>
      <c r="CB1009" s="113"/>
      <c r="CC1009" s="113"/>
      <c r="CD1009" s="113"/>
      <c r="CE1009" s="175"/>
      <c r="CF1009" s="113">
        <f t="shared" ref="CF1009:CF1026" si="1852">+BL1009+BK1009</f>
        <v>42281</v>
      </c>
      <c r="CG1009" s="113">
        <f t="shared" si="1831"/>
        <v>101.90962960844675</v>
      </c>
      <c r="CH1009" s="178">
        <v>0.967741935483871</v>
      </c>
      <c r="CI1009" s="61">
        <f>+CI1003*CH1009+CG1004*CH1008+CG1005*CH1007+CG1006*CH1006+CG1007*CH1005+CG1008*CH1004+CG1009</f>
        <v>1843.2670437477534</v>
      </c>
      <c r="CJ1009" s="114">
        <f t="shared" si="1832"/>
        <v>5.1050273976314287E-2</v>
      </c>
      <c r="CK1009" s="114"/>
      <c r="CL1009" s="169">
        <f t="shared" si="1833"/>
        <v>5.8074295929965991E-3</v>
      </c>
      <c r="CM1009" s="169">
        <f t="shared" si="1841"/>
        <v>5.7087523527312176E-3</v>
      </c>
      <c r="CN1009" s="114">
        <f>VLOOKUP($H1009,RoR!$E:$F,2,FALSE)</f>
        <v>5.6283333333333331E-2</v>
      </c>
      <c r="CO1009" s="169">
        <v>2.6778252812867276E-2</v>
      </c>
      <c r="CP1009" s="169">
        <f t="shared" si="1839"/>
        <v>2.9505080520466055E-2</v>
      </c>
      <c r="CQ1009" s="169">
        <f t="shared" si="1842"/>
        <v>2.5193189255802408E-2</v>
      </c>
      <c r="CR1009" s="169">
        <f t="shared" si="1843"/>
        <v>5.5940039414565046E-2</v>
      </c>
      <c r="CS1009" s="179">
        <f t="shared" si="1834"/>
        <v>0.85329623209999994</v>
      </c>
      <c r="CT1009" s="180">
        <f t="shared" si="1835"/>
        <v>0.91114097628755619</v>
      </c>
      <c r="CU1009" s="180">
        <f t="shared" si="1836"/>
        <v>0.53081877405981637</v>
      </c>
      <c r="CV1009" s="180">
        <f t="shared" si="1837"/>
        <v>0.88811215519385678</v>
      </c>
      <c r="CW1009" s="180">
        <f t="shared" si="1838"/>
        <v>0.42953609753547711</v>
      </c>
      <c r="CX1009" s="181">
        <f>INDEX('State Tax Lookup'!$D$7:$Z$91,MATCH(Calculation!$C1009,'State Tax Lookup'!$B$7:$B$91,0),MATCH($H1009,'State Tax Lookup'!$D$6:$Z$6,0))</f>
        <v>0.39649667</v>
      </c>
      <c r="CY1009" s="72">
        <v>0.37</v>
      </c>
      <c r="CZ1009" s="70">
        <f t="shared" si="1840"/>
        <v>14.699507437138054</v>
      </c>
      <c r="DA1009" s="70"/>
      <c r="DB1009" s="69">
        <f t="shared" si="1844"/>
        <v>0.10430419183634584</v>
      </c>
      <c r="DC1009" s="111">
        <f>VLOOKUP($H1009,RoR!$E:$F,2,FALSE)</f>
        <v>5.6283333333333331E-2</v>
      </c>
      <c r="DD1009" s="216">
        <f>HLOOKUP($H1009,'GDP-PI'!$D$8:$CQ$11,3,FALSE)</f>
        <v>2.6778252812867276E-2</v>
      </c>
      <c r="DE1009" s="111">
        <f>VLOOKUP(H1009,'HW Dx Data'!$E:$F,2,FALSE)</f>
        <v>414.88719135228365</v>
      </c>
      <c r="DF1009" s="72">
        <f>VLOOKUP(G1009,EG$8:EH$27,2,FALSE)</f>
        <v>94.35</v>
      </c>
      <c r="DG1009" s="69"/>
      <c r="DH1009" s="66">
        <f>HLOOKUP(H1009,'GDP-PI'!$8:$9,2,FALSE)</f>
        <v>84.778000000000006</v>
      </c>
      <c r="DI1009" s="69">
        <f t="shared" si="1845"/>
        <v>2.6425990216022755E-2</v>
      </c>
      <c r="EB1009"/>
    </row>
    <row r="1010" spans="1:132" s="160" customFormat="1" ht="21">
      <c r="A1010" s="160" t="s">
        <v>220</v>
      </c>
      <c r="B1010" s="160" t="s">
        <v>221</v>
      </c>
      <c r="C1010" s="160">
        <v>4057096</v>
      </c>
      <c r="D1010" s="161" t="s">
        <v>171</v>
      </c>
      <c r="E1010" s="161" t="s">
        <v>3</v>
      </c>
      <c r="F1010" s="189"/>
      <c r="G1010" s="160" t="s">
        <v>116</v>
      </c>
      <c r="H1010" s="162">
        <v>2005</v>
      </c>
      <c r="I1010" s="163"/>
      <c r="J1010" s="159">
        <f>IFERROR(INDEX('Labor Expenditures'!$F$7:$X$91,MATCH($C1010,'Labor Expenditures'!$D$7:$D$91,0),MATCH($G1010,'Labor Expenditures'!$F$5:$X$5,0)),"NA")</f>
        <v>21875.042092597625</v>
      </c>
      <c r="K1010" s="159">
        <f t="shared" si="1846"/>
        <v>220.45897800551904</v>
      </c>
      <c r="L1010" s="165">
        <f t="shared" ref="L1010:L1026" si="1853">LN(K1010/K1009)</f>
        <v>-2.9095369945202291E-2</v>
      </c>
      <c r="M1010" s="76"/>
      <c r="N1010" s="62">
        <v>100</v>
      </c>
      <c r="O1010" s="77"/>
      <c r="P1010" s="77"/>
      <c r="Q1010" s="159">
        <f>IFERROR(INDEX('Non-Labor Expenditures'!$F$7:$AB$91,MATCH($C1010,'Non-Labor Expenditures'!$D$7:$D$91,0),MATCH($G1010,'Non-Labor Expenditures'!$F$5:$AB$5,0)),"NA")</f>
        <v>31679.14664436565</v>
      </c>
      <c r="R1010" s="159">
        <f t="shared" si="1847"/>
        <v>362.43260430361016</v>
      </c>
      <c r="S1010" s="165">
        <f>LN(R1010/R1009)</f>
        <v>-9.2559389013660252E-3</v>
      </c>
      <c r="T1010" s="165"/>
      <c r="U1010" s="165"/>
      <c r="V1010" s="165"/>
      <c r="W1010" s="159">
        <f t="shared" si="1829"/>
        <v>30445.615811257067</v>
      </c>
      <c r="X1010" s="163"/>
      <c r="Y1010" s="167">
        <v>1868.1912192948341</v>
      </c>
      <c r="Z1010" s="168">
        <v>1.3431135938159392E-2</v>
      </c>
      <c r="AA1010" s="76">
        <f t="shared" si="1848"/>
        <v>0</v>
      </c>
      <c r="AB1010" s="168"/>
      <c r="AC1010" s="168"/>
      <c r="AD1010" s="163">
        <f t="shared" si="1777"/>
        <v>83999.804548220345</v>
      </c>
      <c r="AE1010" s="168">
        <f>LN(AD1010/AD1009)</f>
        <v>7.1889670623572224E-2</v>
      </c>
      <c r="AF1010" s="163"/>
      <c r="AG1010" s="163"/>
      <c r="AH1010" s="163"/>
      <c r="AI1010" s="163"/>
      <c r="AJ1010" s="116"/>
      <c r="AK1010" s="114"/>
      <c r="AL1010" s="115">
        <f t="shared" si="1849"/>
        <v>0.26041777371089225</v>
      </c>
      <c r="AM1010" s="115">
        <f t="shared" si="1850"/>
        <v>0.37713357566421646</v>
      </c>
      <c r="AN1010" s="115">
        <f t="shared" si="1851"/>
        <v>0.36244865062489123</v>
      </c>
      <c r="AO1010" s="115">
        <f t="shared" ref="AO1010:AO1026" si="1854">+(((AL1010+AL1009)/2)*L1010+((AM1009+AM1010)/2)*S1010+((AN1009+AN1010)/2)*Z1010)</f>
        <v>-6.7090820669890245E-3</v>
      </c>
      <c r="AP1010" s="166">
        <v>100</v>
      </c>
      <c r="AQ1010" s="168"/>
      <c r="AR1010" s="16"/>
      <c r="AS1010" s="115"/>
      <c r="AT1010" s="115"/>
      <c r="AU1010" s="115"/>
      <c r="AV1010" s="113">
        <f>IFERROR(INDEX('Total Customers'!$F$7:$AB$91,MATCH($C1010,'Total Customers'!$D$7:$D$91,0),MATCH($G1010,'Total Customers'!$F$5:$AB$5,0)),"NA")</f>
        <v>294647</v>
      </c>
      <c r="AW1010" s="68">
        <f t="shared" si="1780"/>
        <v>4.4661381319014305E-3</v>
      </c>
      <c r="AX1010" s="114"/>
      <c r="AY1010" s="114"/>
      <c r="AZ1010" s="116"/>
      <c r="BA1010" s="116"/>
      <c r="BB1010" s="166"/>
      <c r="BC1010" s="166"/>
      <c r="BD1010" s="166"/>
      <c r="BE1010" s="166"/>
      <c r="BF1010" s="166"/>
      <c r="BG1010" s="166"/>
      <c r="BH1010" s="166"/>
      <c r="BI1010" s="113"/>
      <c r="BJ1010" s="113"/>
      <c r="BK1010" s="113">
        <f>INDEX('Dist. Plant Gas Additions'!$F$7:$AE$91,MATCH($C1010,'Dist. Plant Gas Additions'!$D$7:$D$91,0),MATCH(Calculation!$G1010,'Dist. Plant Gas Additions'!$F$5:$AE$5,0))</f>
        <v>16673</v>
      </c>
      <c r="BL1010" s="113">
        <f>INDEX('Gen. Plant Additions'!$F$7:$AE$91,MATCH($C1010,'Gen. Plant Additions'!$D$7:$D$91,0),MATCH(Calculation!$G1010,'Gen. Plant Additions'!$F$5:$AE$5,0))</f>
        <v>187</v>
      </c>
      <c r="BM1010" s="231">
        <f t="shared" si="1830"/>
        <v>0.99413423221601105</v>
      </c>
      <c r="BN1010" s="61">
        <f t="shared" ref="BN1010:BN1026" si="1855">+BM1010*BL1010</f>
        <v>185.90310142439407</v>
      </c>
      <c r="BO1010" s="113">
        <f>INDEX('Dist Plant Depreciation'!$E$7:$AD$94,MATCH($C1010,'Dist Plant Depreciation'!$D$7:$D$94,0),MATCH(Calculation!$G1010,'Dist Plant Depreciation'!$E$5:$AD$5,0))</f>
        <v>196916</v>
      </c>
      <c r="BP1010" s="113">
        <f>INDEX('Gen. Plant Depreciation'!$E$7:$AD$94,MATCH($C1010,'Gen. Plant Depreciation'!$D$7:$D$94,0),MATCH(Calculation!$G1010,'Gen. Plant Depreciation'!$E$5:$AD$5,0))</f>
        <v>1451</v>
      </c>
      <c r="BQ1010" s="113"/>
      <c r="BR1010" s="113"/>
      <c r="BS1010" s="113"/>
      <c r="BT1010" s="113"/>
      <c r="BU1010" s="113"/>
      <c r="BV1010" s="175"/>
      <c r="BW1010" s="113">
        <f>INDEX('Gross Dx Plant'!$E$7:$AD$91,MATCH($C1010,'Gross Dx Plant'!$D$7:$D$91,0),MATCH(Calculation!$G1010,'Gross Dx Plant'!$E$5:$AD$5,0))</f>
        <v>569794</v>
      </c>
      <c r="BX1010" s="113">
        <f>INDEX('Gross Gen Plant'!$E$7:$AD$91,MATCH($C1010,'Gross Gen Plant'!$D$7:$D$91,0),MATCH(Calculation!$G1010,'Gross Gen Plant'!$E$5:$AD$5,0))</f>
        <v>3362</v>
      </c>
      <c r="BY1010" s="113">
        <f t="shared" si="1734"/>
        <v>374789</v>
      </c>
      <c r="BZ1010" s="113"/>
      <c r="CA1010" s="116">
        <v>2005</v>
      </c>
      <c r="CB1010" s="113"/>
      <c r="CC1010" s="113"/>
      <c r="CD1010" s="113"/>
      <c r="CE1010" s="175"/>
      <c r="CF1010" s="113">
        <f t="shared" si="1852"/>
        <v>16860</v>
      </c>
      <c r="CG1010" s="113">
        <f t="shared" si="1831"/>
        <v>35.933110168925936</v>
      </c>
      <c r="CH1010" s="178">
        <v>0.96174863387978138</v>
      </c>
      <c r="CI1010" s="61">
        <f>+CI1003*CH1010+CG1004*CH1009+CG1005*CH1008+CG1006*CH1007+CG1007*CH1006+CG1008*CH1005+CG1009*CH1004+CG1010</f>
        <v>1868.1912192948341</v>
      </c>
      <c r="CJ1010" s="114">
        <f t="shared" si="1832"/>
        <v>1.3431135938159392E-2</v>
      </c>
      <c r="CK1010" s="114"/>
      <c r="CL1010" s="169">
        <f t="shared" si="1833"/>
        <v>5.972512045493805E-3</v>
      </c>
      <c r="CM1010" s="169">
        <f t="shared" si="1841"/>
        <v>5.8082126367154782E-3</v>
      </c>
      <c r="CN1010" s="114">
        <f>VLOOKUP($H1010,RoR!$E:$F,2,FALSE)</f>
        <v>5.2350000000000001E-2</v>
      </c>
      <c r="CO1010" s="169">
        <v>3.1010403642454332E-2</v>
      </c>
      <c r="CP1010" s="169">
        <f t="shared" si="1839"/>
        <v>2.1339596357545669E-2</v>
      </c>
      <c r="CQ1010" s="169">
        <f t="shared" si="1842"/>
        <v>2.5093728971818146E-2</v>
      </c>
      <c r="CR1010" s="169">
        <f t="shared" si="1843"/>
        <v>9.2129610649277341E-2</v>
      </c>
      <c r="CS1010" s="179">
        <f t="shared" si="1834"/>
        <v>0.85329623209999994</v>
      </c>
      <c r="CT1010" s="180">
        <f t="shared" si="1835"/>
        <v>0.97959983346802826</v>
      </c>
      <c r="CU1010" s="180">
        <f t="shared" si="1836"/>
        <v>0.49744508118433622</v>
      </c>
      <c r="CV1010" s="180">
        <f t="shared" si="1837"/>
        <v>0.87010519444335932</v>
      </c>
      <c r="CW1010" s="180">
        <f t="shared" si="1838"/>
        <v>0.42399975420741998</v>
      </c>
      <c r="CX1010" s="181">
        <f>INDEX('State Tax Lookup'!$D$7:$Z$91,MATCH(Calculation!$C1010,'State Tax Lookup'!$B$7:$B$91,0),MATCH($H1010,'State Tax Lookup'!$D$6:$Z$6,0))</f>
        <v>0.39649667</v>
      </c>
      <c r="CY1010" s="72">
        <v>0.37</v>
      </c>
      <c r="CZ1010" s="70">
        <f t="shared" si="1840"/>
        <v>16.517202927555555</v>
      </c>
      <c r="DA1010" s="70"/>
      <c r="DB1010" s="69">
        <f t="shared" si="1844"/>
        <v>0.11658845389931546</v>
      </c>
      <c r="DC1010" s="111">
        <f>VLOOKUP($H1010,RoR!$E:$F,2,FALSE)</f>
        <v>5.2350000000000001E-2</v>
      </c>
      <c r="DD1010" s="216">
        <f>HLOOKUP($H1010,'GDP-PI'!$D$8:$CQ$11,3,FALSE)</f>
        <v>3.1010403642454332E-2</v>
      </c>
      <c r="DE1010" s="111">
        <f>VLOOKUP(H1010,'HW Dx Data'!$E:$F,2,FALSE)</f>
        <v>469.20514034936258</v>
      </c>
      <c r="DF1010" s="72">
        <f t="shared" ref="DF1010:DF1028" si="1856">VLOOKUP(G1010,EG$8:EH$27,2,FALSE)</f>
        <v>99.224999999999994</v>
      </c>
      <c r="DG1010" s="69">
        <f t="shared" ref="DG1010:DG1028" si="1857">LN(DF1010/DF1009)</f>
        <v>5.0378726854569796E-2</v>
      </c>
      <c r="DH1010" s="66">
        <f>HLOOKUP(H1010,'GDP-PI'!$8:$9,2,FALSE)</f>
        <v>87.406999999999996</v>
      </c>
      <c r="DI1010" s="69">
        <f t="shared" si="1845"/>
        <v>3.0539295810733648E-2</v>
      </c>
      <c r="EB1010"/>
    </row>
    <row r="1011" spans="1:132" s="160" customFormat="1" ht="21">
      <c r="A1011" s="160" t="s">
        <v>220</v>
      </c>
      <c r="B1011" s="160" t="s">
        <v>221</v>
      </c>
      <c r="C1011" s="160">
        <v>4057096</v>
      </c>
      <c r="D1011" s="161" t="s">
        <v>171</v>
      </c>
      <c r="E1011" s="161" t="s">
        <v>3</v>
      </c>
      <c r="F1011" s="189"/>
      <c r="G1011" s="160" t="s">
        <v>117</v>
      </c>
      <c r="H1011" s="162">
        <v>2006</v>
      </c>
      <c r="I1011" s="163"/>
      <c r="J1011" s="159">
        <f>IFERROR(INDEX('Labor Expenditures'!$F$7:$X$91,MATCH($C1011,'Labor Expenditures'!$D$7:$D$91,0),MATCH($G1011,'Labor Expenditures'!$F$5:$X$5,0)),"NA")</f>
        <v>18823.587771424191</v>
      </c>
      <c r="K1011" s="159">
        <f t="shared" si="1846"/>
        <v>172.06204544263429</v>
      </c>
      <c r="L1011" s="165">
        <f t="shared" si="1853"/>
        <v>-0.24785649570395268</v>
      </c>
      <c r="M1011" s="76">
        <f t="shared" ref="M1011:M1027" si="1858">+L1011*$AR1011</f>
        <v>-2.3734003007701908E-3</v>
      </c>
      <c r="N1011" s="62">
        <f>+N1010*EXP(O1011)</f>
        <v>114.03848147725888</v>
      </c>
      <c r="O1011" s="96">
        <f t="shared" ref="O1011:O1027" si="1859">+M1011+M1036+M1061+M1086+M1111+M1136+M1161+M1186+M1211+M1236+M1261+M1286+M1311+M1336+M1361+M1386+M1411+M1436+M1461+M1486+M1511+M1536+M1561+M1586+M1611+M1636+M1661+M1686+M1711+M1736+M1761+M1786+M1811+M1836+M1861+M1886+M1911+M1936+M1961+M1986+M2011+M2036+M2061+M2086+M2111+M2136+M2161+M2186+M2211+M2236+M2261+M2286+M2311+M2336</f>
        <v>0.13136576226497937</v>
      </c>
      <c r="P1011" s="96"/>
      <c r="Q1011" s="159">
        <f>IFERROR(INDEX('Non-Labor Expenditures'!$F$7:$AB$91,MATCH($C1011,'Non-Labor Expenditures'!$D$7:$D$91,0),MATCH($G1011,'Non-Labor Expenditures'!$F$5:$AB$5,0)),"NA")</f>
        <v>27260.070854255599</v>
      </c>
      <c r="R1011" s="159">
        <f t="shared" si="1847"/>
        <v>302.64083813592822</v>
      </c>
      <c r="S1011" s="165">
        <f t="shared" ref="S1011:S1026" si="1860">LN(R1011/R1010)</f>
        <v>-0.18029178811065538</v>
      </c>
      <c r="T1011" s="165">
        <f t="shared" ref="T1011:T1027" si="1861">+S1011*AR1011</f>
        <v>-1.72642069723816E-3</v>
      </c>
      <c r="U1011" s="165"/>
      <c r="V1011" s="165"/>
      <c r="W1011" s="159">
        <f t="shared" si="1829"/>
        <v>30135.358842113779</v>
      </c>
      <c r="X1011" s="163"/>
      <c r="Y1011" s="167">
        <v>1889.7983022952064</v>
      </c>
      <c r="Z1011" s="168">
        <v>1.1499404657259973E-2</v>
      </c>
      <c r="AA1011" s="76">
        <f t="shared" si="1848"/>
        <v>1.1011488883800799E-4</v>
      </c>
      <c r="AB1011" s="168"/>
      <c r="AC1011" s="168"/>
      <c r="AD1011" s="163">
        <f t="shared" si="1777"/>
        <v>76219.017467793572</v>
      </c>
      <c r="AE1011" s="168">
        <f t="shared" ref="AE1011:AE1027" si="1862">LN(AD1011/AD1010)</f>
        <v>-9.7203467411125635E-2</v>
      </c>
      <c r="AF1011" s="163"/>
      <c r="AG1011" s="163"/>
      <c r="AH1011" s="163"/>
      <c r="AI1011" s="163"/>
      <c r="AJ1011" s="116">
        <f t="shared" ref="AJ1011:AJ1027" si="1863">+(AD1011*1000)/AV1011</f>
        <v>258.04240545137208</v>
      </c>
      <c r="AK1011" s="114">
        <f>+AV1011/$AX$11</f>
        <v>8.5167721798475021E-3</v>
      </c>
      <c r="AL1011" s="115">
        <f t="shared" si="1849"/>
        <v>0.24696707458054176</v>
      </c>
      <c r="AM1011" s="115">
        <f t="shared" si="1850"/>
        <v>0.35765445107940902</v>
      </c>
      <c r="AN1011" s="115">
        <f t="shared" si="1851"/>
        <v>0.39537847434004914</v>
      </c>
      <c r="AO1011" s="115">
        <f t="shared" si="1854"/>
        <v>-0.12476015846224253</v>
      </c>
      <c r="AP1011" s="166">
        <f>+AP1010*EXP(AO1011)</f>
        <v>88.270858738316662</v>
      </c>
      <c r="AQ1011" s="168">
        <f>LN(AP1011/AP1010)</f>
        <v>-0.12476015846224248</v>
      </c>
      <c r="AR1011" s="69">
        <f>+AD1011/$AF$11</f>
        <v>9.5757034490032179E-3</v>
      </c>
      <c r="AS1011" s="169">
        <f>+AR1011*AQ1011</f>
        <v>-1.1946662796850833E-3</v>
      </c>
      <c r="AT1011" s="115"/>
      <c r="AU1011" s="115"/>
      <c r="AV1011" s="113">
        <f>IFERROR(INDEX('Total Customers'!$F$7:$AB$91,MATCH($C1011,'Total Customers'!$D$7:$D$91,0),MATCH($G1011,'Total Customers'!$F$5:$AB$5,0)),"NA")</f>
        <v>295374</v>
      </c>
      <c r="AW1011" s="68">
        <f t="shared" si="1780"/>
        <v>2.464320313734481E-3</v>
      </c>
      <c r="AX1011" s="114"/>
      <c r="AY1011" s="114"/>
      <c r="AZ1011" s="116">
        <v>8247377</v>
      </c>
      <c r="BA1011" s="116"/>
      <c r="BB1011" s="166"/>
      <c r="BC1011" s="166"/>
      <c r="BD1011" s="166"/>
      <c r="BE1011" s="166"/>
      <c r="BF1011" s="166"/>
      <c r="BG1011" s="166"/>
      <c r="BH1011" s="166"/>
      <c r="BI1011" s="113"/>
      <c r="BJ1011" s="113"/>
      <c r="BK1011" s="113">
        <f>INDEX('Dist. Plant Gas Additions'!$F$7:$AE$91,MATCH($C1011,'Dist. Plant Gas Additions'!$D$7:$D$91,0),MATCH(Calculation!$G1011,'Dist. Plant Gas Additions'!$F$5:$AE$5,0))</f>
        <v>15100</v>
      </c>
      <c r="BL1011" s="113">
        <f>INDEX('Gen. Plant Additions'!$F$7:$AE$91,MATCH($C1011,'Gen. Plant Additions'!$D$7:$D$91,0),MATCH(Calculation!$G1011,'Gen. Plant Additions'!$F$5:$AE$5,0))</f>
        <v>188</v>
      </c>
      <c r="BM1011" s="231">
        <f t="shared" si="1830"/>
        <v>0.99393237071676643</v>
      </c>
      <c r="BN1011" s="61">
        <f t="shared" si="1855"/>
        <v>186.85928569475209</v>
      </c>
      <c r="BO1011" s="113">
        <f>INDEX('Dist Plant Depreciation'!$E$7:$AD$94,MATCH($C1011,'Dist Plant Depreciation'!$D$7:$D$94,0),MATCH(Calculation!$G1011,'Dist Plant Depreciation'!$E$5:$AD$5,0))</f>
        <v>205393</v>
      </c>
      <c r="BP1011" s="113">
        <f>INDEX('Gen. Plant Depreciation'!$E$7:$AD$94,MATCH($C1011,'Gen. Plant Depreciation'!$D$7:$D$94,0),MATCH(Calculation!$G1011,'Gen. Plant Depreciation'!$E$5:$AD$5,0))</f>
        <v>1578</v>
      </c>
      <c r="BQ1011" s="113"/>
      <c r="BR1011" s="113"/>
      <c r="BS1011" s="113"/>
      <c r="BT1011" s="113"/>
      <c r="BU1011" s="113"/>
      <c r="BV1011" s="175"/>
      <c r="BW1011" s="113">
        <f>INDEX('Gross Dx Plant'!$E$7:$AD$91,MATCH($C1011,'Gross Dx Plant'!$D$7:$D$91,0),MATCH(Calculation!$G1011,'Gross Dx Plant'!$E$5:$AD$5,0))</f>
        <v>581522</v>
      </c>
      <c r="BX1011" s="113">
        <f>INDEX('Gross Gen Plant'!$E$7:$AD$91,MATCH($C1011,'Gross Gen Plant'!$D$7:$D$91,0),MATCH(Calculation!$G1011,'Gross Gen Plant'!$E$5:$AD$5,0))</f>
        <v>3550</v>
      </c>
      <c r="BY1011" s="113">
        <f t="shared" si="1734"/>
        <v>378101</v>
      </c>
      <c r="BZ1011" s="114"/>
      <c r="CA1011" s="116">
        <v>2006</v>
      </c>
      <c r="CB1011" s="113"/>
      <c r="CC1011" s="113"/>
      <c r="CD1011" s="113"/>
      <c r="CE1011" s="175"/>
      <c r="CF1011" s="113">
        <f t="shared" si="1852"/>
        <v>15288</v>
      </c>
      <c r="CG1011" s="113">
        <f t="shared" si="1831"/>
        <v>33.156527960394044</v>
      </c>
      <c r="CH1011" s="178">
        <v>0.9555555555555556</v>
      </c>
      <c r="CI1011" s="61">
        <f>+CI1003*CH1011+CG1004*CH1010+CG1005*CH1009+CG1006*CH1008+CG1007*CH1007+CG1008*CH1006+CG1009*CH1005+CG1010*CH1004+CG1011</f>
        <v>1889.7983022952064</v>
      </c>
      <c r="CJ1011" s="114">
        <f t="shared" si="1832"/>
        <v>1.1499404657259973E-2</v>
      </c>
      <c r="CK1011" s="114"/>
      <c r="CL1011" s="169">
        <f t="shared" si="1833"/>
        <v>6.1821535401398444E-3</v>
      </c>
      <c r="CM1011" s="169">
        <f t="shared" si="1841"/>
        <v>5.9873650595434159E-3</v>
      </c>
      <c r="CN1011" s="114">
        <f>VLOOKUP($H1011,RoR!$E:$F,2,FALSE)</f>
        <v>5.5874999999999994E-2</v>
      </c>
      <c r="CO1011" s="169">
        <v>3.0512430354548314E-2</v>
      </c>
      <c r="CP1011" s="169">
        <f t="shared" si="1839"/>
        <v>2.536256964545168E-2</v>
      </c>
      <c r="CQ1011" s="169">
        <f t="shared" si="1842"/>
        <v>2.4914576548990208E-2</v>
      </c>
      <c r="CR1011" s="169">
        <f t="shared" si="1843"/>
        <v>7.9087823893859641E-2</v>
      </c>
      <c r="CS1011" s="179">
        <f t="shared" si="1834"/>
        <v>0.85329623209999994</v>
      </c>
      <c r="CT1011" s="180">
        <f t="shared" si="1835"/>
        <v>0.91779957551769631</v>
      </c>
      <c r="CU1011" s="180">
        <f t="shared" si="1836"/>
        <v>0.52757270693512304</v>
      </c>
      <c r="CV1011" s="180">
        <f t="shared" si="1837"/>
        <v>0.88636824549024895</v>
      </c>
      <c r="CW1011" s="180">
        <f t="shared" si="1838"/>
        <v>0.42918482841932087</v>
      </c>
      <c r="CX1011" s="181">
        <f>INDEX('State Tax Lookup'!$D$7:$Z$91,MATCH(Calculation!$C1011,'State Tax Lookup'!$B$7:$B$91,0),MATCH($H1011,'State Tax Lookup'!$D$6:$Z$6,0))</f>
        <v>0.39649667</v>
      </c>
      <c r="CY1011" s="72">
        <v>0.37</v>
      </c>
      <c r="CZ1011" s="70">
        <f t="shared" si="1840"/>
        <v>16.130767841574936</v>
      </c>
      <c r="DA1011" s="70">
        <v>14.788696346247992</v>
      </c>
      <c r="DB1011" s="69">
        <f t="shared" si="1844"/>
        <v>-2.367394511936579E-2</v>
      </c>
      <c r="DC1011" s="111">
        <f>VLOOKUP($H1011,RoR!$E:$F,2,FALSE)</f>
        <v>5.5874999999999994E-2</v>
      </c>
      <c r="DD1011" s="216">
        <f>HLOOKUP($H1011,'GDP-PI'!$D$8:$CQ$11,3,FALSE)</f>
        <v>3.0512430354548314E-2</v>
      </c>
      <c r="DE1011" s="111">
        <f>VLOOKUP(H1011,'HW Dx Data'!$E:$F,2,FALSE)</f>
        <v>461.08567272971823</v>
      </c>
      <c r="DF1011" s="72">
        <f t="shared" si="1856"/>
        <v>109.4</v>
      </c>
      <c r="DG1011" s="69">
        <f t="shared" si="1857"/>
        <v>9.7620891318751846E-2</v>
      </c>
      <c r="DH1011" s="66">
        <f>HLOOKUP(H1011,'GDP-PI'!$8:$9,2,FALSE)</f>
        <v>90.073999999999998</v>
      </c>
      <c r="DI1011" s="69">
        <f t="shared" si="1845"/>
        <v>3.005618372545445E-2</v>
      </c>
      <c r="EB1011"/>
    </row>
    <row r="1012" spans="1:132" s="160" customFormat="1" ht="21">
      <c r="A1012" s="160" t="s">
        <v>220</v>
      </c>
      <c r="B1012" s="160" t="s">
        <v>221</v>
      </c>
      <c r="C1012" s="160">
        <v>4057096</v>
      </c>
      <c r="D1012" s="161" t="s">
        <v>171</v>
      </c>
      <c r="E1012" s="161" t="s">
        <v>3</v>
      </c>
      <c r="F1012" s="189"/>
      <c r="G1012" s="160" t="s">
        <v>118</v>
      </c>
      <c r="H1012" s="162">
        <v>2007</v>
      </c>
      <c r="I1012" s="163"/>
      <c r="J1012" s="159">
        <f>IFERROR(INDEX('Labor Expenditures'!$F$7:$X$91,MATCH($C1012,'Labor Expenditures'!$D$7:$D$91,0),MATCH($G1012,'Labor Expenditures'!$F$5:$X$5,0)),"NA")</f>
        <v>19355.042196651841</v>
      </c>
      <c r="K1012" s="159">
        <f t="shared" si="1846"/>
        <v>185.17141541881696</v>
      </c>
      <c r="L1012" s="165">
        <f t="shared" si="1853"/>
        <v>7.3426824825004317E-2</v>
      </c>
      <c r="M1012" s="76">
        <f t="shared" si="1858"/>
        <v>6.995526251419485E-4</v>
      </c>
      <c r="N1012" s="62">
        <f t="shared" ref="N1012:N1025" si="1864">+N1011*EXP(O1012)</f>
        <v>120.17919108736119</v>
      </c>
      <c r="O1012" s="96">
        <f t="shared" si="1859"/>
        <v>5.2447939787665751E-2</v>
      </c>
      <c r="P1012" s="96"/>
      <c r="Q1012" s="159">
        <f>IFERROR(INDEX('Non-Labor Expenditures'!$F$7:$AB$91,MATCH($C1012,'Non-Labor Expenditures'!$D$7:$D$91,0),MATCH($G1012,'Non-Labor Expenditures'!$F$5:$AB$5,0)),"NA")</f>
        <v>28029.716123979721</v>
      </c>
      <c r="R1012" s="159">
        <f t="shared" si="1847"/>
        <v>303.03051010810742</v>
      </c>
      <c r="S1012" s="165">
        <f t="shared" si="1860"/>
        <v>1.2867441297141082E-3</v>
      </c>
      <c r="T1012" s="165">
        <f t="shared" si="1861"/>
        <v>1.225907883083304E-5</v>
      </c>
      <c r="U1012" s="165"/>
      <c r="V1012" s="165"/>
      <c r="W1012" s="159">
        <f t="shared" si="1829"/>
        <v>32717.588881549847</v>
      </c>
      <c r="X1012" s="163"/>
      <c r="Y1012" s="167">
        <v>1911.0926874042643</v>
      </c>
      <c r="Z1012" s="168">
        <v>1.1205061110580847E-2</v>
      </c>
      <c r="AA1012" s="76">
        <f t="shared" si="1848"/>
        <v>1.0675294667124847E-4</v>
      </c>
      <c r="AB1012" s="168"/>
      <c r="AC1012" s="168"/>
      <c r="AD1012" s="163">
        <f t="shared" si="1777"/>
        <v>80102.347202181409</v>
      </c>
      <c r="AE1012" s="168">
        <f t="shared" si="1862"/>
        <v>4.9694152420417116E-2</v>
      </c>
      <c r="AF1012" s="163"/>
      <c r="AG1012" s="163"/>
      <c r="AH1012" s="163"/>
      <c r="AI1012" s="163"/>
      <c r="AJ1012" s="116">
        <f t="shared" si="1863"/>
        <v>270.18611332029582</v>
      </c>
      <c r="AK1012" s="114">
        <f>+AV1012/$AX$12</f>
        <v>8.4840413879715554E-3</v>
      </c>
      <c r="AL1012" s="115">
        <f t="shared" si="1849"/>
        <v>0.24162890193216147</v>
      </c>
      <c r="AM1012" s="115">
        <f t="shared" si="1850"/>
        <v>0.34992378005143393</v>
      </c>
      <c r="AN1012" s="115">
        <f t="shared" si="1851"/>
        <v>0.4084473180164046</v>
      </c>
      <c r="AO1012" s="115">
        <f t="shared" si="1854"/>
        <v>2.2896720219218215E-2</v>
      </c>
      <c r="AP1012" s="166">
        <f>+AP1011*EXP(AO1012)</f>
        <v>90.315287939178745</v>
      </c>
      <c r="AQ1012" s="168">
        <f>LN(AP1012/AP1011)</f>
        <v>2.2896720219218299E-2</v>
      </c>
      <c r="AR1012" s="69">
        <f>+AD1012/$AF$12</f>
        <v>9.5272078945149649E-3</v>
      </c>
      <c r="AS1012" s="169">
        <f t="shared" ref="AS1012:AS1026" si="1865">+AR1012*AQ1012</f>
        <v>2.1814181363103699E-4</v>
      </c>
      <c r="AT1012" s="115"/>
      <c r="AU1012" s="115"/>
      <c r="AV1012" s="113">
        <f>IFERROR(INDEX('Total Customers'!$F$7:$AB$91,MATCH($C1012,'Total Customers'!$D$7:$D$91,0),MATCH($G1012,'Total Customers'!$F$5:$AB$5,0)),"NA")</f>
        <v>296471</v>
      </c>
      <c r="AW1012" s="68">
        <f t="shared" si="1780"/>
        <v>3.7070559226543018E-3</v>
      </c>
      <c r="AX1012" s="114"/>
      <c r="AY1012" s="114"/>
      <c r="AZ1012" s="116">
        <v>8187757</v>
      </c>
      <c r="BA1012" s="116"/>
      <c r="BB1012" s="166"/>
      <c r="BC1012" s="166"/>
      <c r="BD1012" s="166"/>
      <c r="BE1012" s="166"/>
      <c r="BF1012" s="166"/>
      <c r="BG1012" s="166"/>
      <c r="BH1012" s="166"/>
      <c r="BI1012" s="113"/>
      <c r="BJ1012" s="113"/>
      <c r="BK1012" s="113">
        <f>INDEX('Dist. Plant Gas Additions'!$F$7:$AE$91,MATCH($C1012,'Dist. Plant Gas Additions'!$D$7:$D$91,0),MATCH(Calculation!$G1012,'Dist. Plant Gas Additions'!$F$5:$AE$5,0))</f>
        <v>16470</v>
      </c>
      <c r="BL1012" s="113">
        <f>INDEX('Gen. Plant Additions'!$F$7:$AE$91,MATCH($C1012,'Gen. Plant Additions'!$D$7:$D$91,0),MATCH(Calculation!$G1012,'Gen. Plant Additions'!$F$5:$AE$5,0))</f>
        <v>161</v>
      </c>
      <c r="BM1012" s="231">
        <f t="shared" si="1830"/>
        <v>0.99408600086464904</v>
      </c>
      <c r="BN1012" s="61">
        <f t="shared" si="1855"/>
        <v>160.0478461392085</v>
      </c>
      <c r="BO1012" s="113">
        <f>INDEX('Dist Plant Depreciation'!$E$7:$AD$94,MATCH($C1012,'Dist Plant Depreciation'!$D$7:$D$94,0),MATCH(Calculation!$G1012,'Dist Plant Depreciation'!$E$5:$AD$5,0))</f>
        <v>215621</v>
      </c>
      <c r="BP1012" s="113">
        <f>INDEX('Gen. Plant Depreciation'!$E$7:$AD$94,MATCH($C1012,'Gen. Plant Depreciation'!$D$7:$D$94,0),MATCH(Calculation!$G1012,'Gen. Plant Depreciation'!$E$5:$AD$5,0))</f>
        <v>1541</v>
      </c>
      <c r="BQ1012" s="113"/>
      <c r="BR1012" s="113"/>
      <c r="BS1012" s="113"/>
      <c r="BT1012" s="113"/>
      <c r="BU1012" s="113"/>
      <c r="BV1012" s="175"/>
      <c r="BW1012" s="113">
        <f>INDEX('Gross Dx Plant'!$E$7:$AD$91,MATCH($C1012,'Gross Dx Plant'!$D$7:$D$91,0),MATCH(Calculation!$G1012,'Gross Dx Plant'!$E$5:$AD$5,0))</f>
        <v>595544</v>
      </c>
      <c r="BX1012" s="113">
        <f>INDEX('Gross Gen Plant'!$E$7:$AD$91,MATCH($C1012,'Gross Gen Plant'!$D$7:$D$91,0),MATCH(Calculation!$G1012,'Gross Gen Plant'!$E$5:$AD$5,0))</f>
        <v>3543</v>
      </c>
      <c r="BY1012" s="113">
        <f t="shared" si="1734"/>
        <v>381925</v>
      </c>
      <c r="BZ1012" s="113"/>
      <c r="CA1012" s="116">
        <v>2007</v>
      </c>
      <c r="CB1012" s="113"/>
      <c r="CC1012" s="113"/>
      <c r="CD1012" s="113"/>
      <c r="CE1012" s="175"/>
      <c r="CF1012" s="113">
        <f t="shared" si="1852"/>
        <v>16631</v>
      </c>
      <c r="CG1012" s="113">
        <f t="shared" si="1831"/>
        <v>33.394085933804419</v>
      </c>
      <c r="CH1012" s="178">
        <v>0.94915254237288138</v>
      </c>
      <c r="CI1012" s="61">
        <f>+CI1003*CH1012+CG1004*CH1011+CG1005*CH1010+CG1006*CH1009+CG1007*CH1008+CG1008*CH1007+CG1009*CH1006+CG1010*CH1005+CG1011*CH1004+CG1012</f>
        <v>1911.0926874042643</v>
      </c>
      <c r="CJ1012" s="114">
        <f t="shared" si="1832"/>
        <v>1.1205061110580847E-2</v>
      </c>
      <c r="CK1012" s="114"/>
      <c r="CL1012" s="169">
        <f t="shared" si="1833"/>
        <v>6.4026413877349506E-3</v>
      </c>
      <c r="CM1012" s="169">
        <f t="shared" si="1841"/>
        <v>6.1857689911228664E-3</v>
      </c>
      <c r="CN1012" s="114">
        <f>VLOOKUP($H1012,RoR!$E:$F,2,FALSE)</f>
        <v>5.5558333333333321E-2</v>
      </c>
      <c r="CO1012" s="169">
        <v>2.691120634145272E-2</v>
      </c>
      <c r="CP1012" s="169">
        <f t="shared" si="1839"/>
        <v>2.86471269918806E-2</v>
      </c>
      <c r="CQ1012" s="169">
        <f t="shared" si="1842"/>
        <v>2.4716172617410759E-2</v>
      </c>
      <c r="CR1012" s="169">
        <f t="shared" si="1843"/>
        <v>6.4575155250632399E-2</v>
      </c>
      <c r="CS1012" s="179">
        <f t="shared" si="1834"/>
        <v>0.85329623209999994</v>
      </c>
      <c r="CT1012" s="180">
        <f t="shared" si="1835"/>
        <v>0.92303077153834634</v>
      </c>
      <c r="CU1012" s="180">
        <f t="shared" si="1836"/>
        <v>0.52502249887505614</v>
      </c>
      <c r="CV1012" s="180">
        <f t="shared" si="1837"/>
        <v>0.88499666072084604</v>
      </c>
      <c r="CW1012" s="180">
        <f t="shared" si="1838"/>
        <v>0.42887993290280618</v>
      </c>
      <c r="CX1012" s="181">
        <f>INDEX('State Tax Lookup'!$D$7:$Z$91,MATCH(Calculation!$C1012,'State Tax Lookup'!$B$7:$B$91,0),MATCH($H1012,'State Tax Lookup'!$D$6:$Z$6,0))</f>
        <v>0.39649667</v>
      </c>
      <c r="CY1012" s="72">
        <v>0.37</v>
      </c>
      <c r="CZ1012" s="70">
        <f t="shared" si="1840"/>
        <v>17.312741175507213</v>
      </c>
      <c r="DA1012" s="70">
        <v>16.108943221861779</v>
      </c>
      <c r="DB1012" s="69">
        <f t="shared" si="1844"/>
        <v>7.0714220240181827E-2</v>
      </c>
      <c r="DC1012" s="111">
        <f>VLOOKUP($H1012,RoR!$E:$F,2,FALSE)</f>
        <v>5.5558333333333321E-2</v>
      </c>
      <c r="DD1012" s="216">
        <f>HLOOKUP($H1012,'GDP-PI'!$D$8:$CQ$11,3,FALSE)</f>
        <v>2.691120634145272E-2</v>
      </c>
      <c r="DE1012" s="111">
        <f>VLOOKUP(H1012,'HW Dx Data'!$E:$F,2,FALSE)</f>
        <v>498.0223154772637</v>
      </c>
      <c r="DF1012" s="72">
        <f t="shared" si="1856"/>
        <v>104.52499999999999</v>
      </c>
      <c r="DG1012" s="69">
        <f t="shared" si="1857"/>
        <v>-4.5584612745252218E-2</v>
      </c>
      <c r="DH1012" s="66">
        <f>HLOOKUP(H1012,'GDP-PI'!$8:$9,2,FALSE)</f>
        <v>92.498000000000005</v>
      </c>
      <c r="DI1012" s="69">
        <f t="shared" si="1845"/>
        <v>2.6555467950038037E-2</v>
      </c>
      <c r="EB1012"/>
    </row>
    <row r="1013" spans="1:132" s="160" customFormat="1" ht="21">
      <c r="A1013" s="160" t="s">
        <v>220</v>
      </c>
      <c r="B1013" s="160" t="s">
        <v>221</v>
      </c>
      <c r="C1013" s="160">
        <v>4057096</v>
      </c>
      <c r="D1013" s="161" t="s">
        <v>171</v>
      </c>
      <c r="E1013" s="161" t="s">
        <v>3</v>
      </c>
      <c r="F1013" s="189"/>
      <c r="G1013" s="160" t="s">
        <v>120</v>
      </c>
      <c r="H1013" s="162">
        <v>2008</v>
      </c>
      <c r="I1013" s="163"/>
      <c r="J1013" s="159">
        <f>IFERROR(INDEX('Labor Expenditures'!$F$7:$X$91,MATCH($C1013,'Labor Expenditures'!$D$7:$D$91,0),MATCH($G1013,'Labor Expenditures'!$F$5:$X$5,0)),"NA")</f>
        <v>18161.188678995128</v>
      </c>
      <c r="K1013" s="159">
        <f t="shared" si="1846"/>
        <v>168.3150016588983</v>
      </c>
      <c r="L1013" s="165">
        <f t="shared" si="1853"/>
        <v>-9.5444732268066629E-2</v>
      </c>
      <c r="M1013" s="76">
        <f t="shared" si="1858"/>
        <v>-8.7063557779260329E-4</v>
      </c>
      <c r="N1013" s="62">
        <f t="shared" si="1864"/>
        <v>112.64114718037791</v>
      </c>
      <c r="O1013" s="96">
        <f t="shared" si="1859"/>
        <v>-6.4776811197976569E-2</v>
      </c>
      <c r="P1013" s="96"/>
      <c r="Q1013" s="159">
        <f>IFERROR(INDEX('Non-Labor Expenditures'!$F$7:$AB$91,MATCH($C1013,'Non-Labor Expenditures'!$D$7:$D$91,0),MATCH($G1013,'Non-Labor Expenditures'!$F$5:$AB$5,0)),"NA")</f>
        <v>26300.793249333601</v>
      </c>
      <c r="R1013" s="159">
        <f t="shared" si="1847"/>
        <v>279.01206451385048</v>
      </c>
      <c r="S1013" s="165">
        <f t="shared" si="1860"/>
        <v>-8.2578470994638373E-2</v>
      </c>
      <c r="T1013" s="165">
        <f t="shared" si="1861"/>
        <v>-7.5327106168331928E-4</v>
      </c>
      <c r="U1013" s="165"/>
      <c r="V1013" s="165"/>
      <c r="W1013" s="159">
        <f t="shared" si="1829"/>
        <v>37534.470640924039</v>
      </c>
      <c r="X1013" s="163"/>
      <c r="Y1013" s="167">
        <v>1936.4757324922043</v>
      </c>
      <c r="Z1013" s="168">
        <v>1.3194522135896947E-2</v>
      </c>
      <c r="AA1013" s="76">
        <f t="shared" si="1848"/>
        <v>1.2035887293622172E-4</v>
      </c>
      <c r="AB1013" s="168"/>
      <c r="AC1013" s="168"/>
      <c r="AD1013" s="163">
        <f t="shared" si="1777"/>
        <v>81996.452569252768</v>
      </c>
      <c r="AE1013" s="168">
        <f t="shared" si="1862"/>
        <v>2.337082793488043E-2</v>
      </c>
      <c r="AF1013" s="163"/>
      <c r="AG1013" s="163"/>
      <c r="AH1013" s="163"/>
      <c r="AI1013" s="163"/>
      <c r="AJ1013" s="116">
        <f t="shared" si="1863"/>
        <v>275.36194054360402</v>
      </c>
      <c r="AK1013" s="114">
        <f>+AV1013/$AX$13</f>
        <v>8.4758544872000872E-3</v>
      </c>
      <c r="AL1013" s="115">
        <f t="shared" si="1849"/>
        <v>0.22148749256751693</v>
      </c>
      <c r="AM1013" s="115">
        <f t="shared" si="1850"/>
        <v>0.32075525739507343</v>
      </c>
      <c r="AN1013" s="115">
        <f t="shared" si="1851"/>
        <v>0.45775725003740964</v>
      </c>
      <c r="AO1013" s="115">
        <f t="shared" si="1854"/>
        <v>-4.4078257187530709E-2</v>
      </c>
      <c r="AP1013" s="166">
        <f t="shared" ref="AP1013:AP1026" si="1866">+AP1012*EXP(AO1013)</f>
        <v>86.4208088996307</v>
      </c>
      <c r="AQ1013" s="168">
        <f t="shared" ref="AQ1013:AQ1026" si="1867">LN(AP1013/AP1012)</f>
        <v>-4.4078257187530549E-2</v>
      </c>
      <c r="AR1013" s="69">
        <f>+AD1013/$AF$13</f>
        <v>9.1218819216479247E-3</v>
      </c>
      <c r="AS1013" s="169">
        <f t="shared" si="1865"/>
        <v>-4.0207665737668262E-4</v>
      </c>
      <c r="AT1013" s="115"/>
      <c r="AU1013" s="115"/>
      <c r="AV1013" s="113">
        <f>IFERROR(INDEX('Total Customers'!$F$7:$AB$91,MATCH($C1013,'Total Customers'!$D$7:$D$91,0),MATCH($G1013,'Total Customers'!$F$5:$AB$5,0)),"NA")</f>
        <v>297777</v>
      </c>
      <c r="AW1013" s="68">
        <f t="shared" si="1780"/>
        <v>4.3954783278506498E-3</v>
      </c>
      <c r="AX1013" s="114"/>
      <c r="AY1013" s="114"/>
      <c r="AZ1013" s="116">
        <v>8244107</v>
      </c>
      <c r="BA1013" s="116"/>
      <c r="BB1013" s="166"/>
      <c r="BC1013" s="166"/>
      <c r="BD1013" s="166"/>
      <c r="BE1013" s="166"/>
      <c r="BF1013" s="166"/>
      <c r="BG1013" s="166"/>
      <c r="BH1013" s="166"/>
      <c r="BI1013" s="113"/>
      <c r="BJ1013" s="113"/>
      <c r="BK1013" s="113">
        <f>INDEX('Dist. Plant Gas Additions'!$F$7:$AE$91,MATCH($C1013,'Dist. Plant Gas Additions'!$D$7:$D$91,0),MATCH(Calculation!$G1013,'Dist. Plant Gas Additions'!$F$5:$AE$5,0))</f>
        <v>21592</v>
      </c>
      <c r="BL1013" s="113">
        <f>INDEX('Gen. Plant Additions'!$F$7:$AE$91,MATCH($C1013,'Gen. Plant Additions'!$D$7:$D$91,0),MATCH(Calculation!$G1013,'Gen. Plant Additions'!$F$5:$AE$5,0))</f>
        <v>97</v>
      </c>
      <c r="BM1013" s="231">
        <f t="shared" si="1830"/>
        <v>0.99406434317228243</v>
      </c>
      <c r="BN1013" s="61">
        <f t="shared" si="1855"/>
        <v>96.424241287711396</v>
      </c>
      <c r="BO1013" s="113">
        <f>INDEX('Dist Plant Depreciation'!$E$7:$AD$94,MATCH($C1013,'Dist Plant Depreciation'!$D$7:$D$94,0),MATCH(Calculation!$G1013,'Dist Plant Depreciation'!$E$5:$AD$5,0))</f>
        <v>221065</v>
      </c>
      <c r="BP1013" s="113">
        <f>INDEX('Gen. Plant Depreciation'!$E$7:$AD$94,MATCH($C1013,'Gen. Plant Depreciation'!$D$7:$D$94,0),MATCH(Calculation!$G1013,'Gen. Plant Depreciation'!$E$5:$AD$5,0))</f>
        <v>1675</v>
      </c>
      <c r="BQ1013" s="113"/>
      <c r="BR1013" s="113"/>
      <c r="BS1013" s="113"/>
      <c r="BT1013" s="113"/>
      <c r="BU1013" s="113"/>
      <c r="BV1013" s="175"/>
      <c r="BW1013" s="113">
        <f>INDEX('Gross Dx Plant'!$E$7:$AD$91,MATCH($C1013,'Gross Dx Plant'!$D$7:$D$91,0),MATCH(Calculation!$G1013,'Gross Dx Plant'!$E$5:$AD$5,0))</f>
        <v>609603</v>
      </c>
      <c r="BX1013" s="113">
        <f>INDEX('Gross Gen Plant'!$E$7:$AD$91,MATCH($C1013,'Gross Gen Plant'!$D$7:$D$91,0),MATCH(Calculation!$G1013,'Gross Gen Plant'!$E$5:$AD$5,0))</f>
        <v>3640</v>
      </c>
      <c r="BY1013" s="113">
        <f t="shared" si="1734"/>
        <v>390503</v>
      </c>
      <c r="BZ1013" s="113"/>
      <c r="CA1013" s="116">
        <v>2008</v>
      </c>
      <c r="CB1013" s="113"/>
      <c r="CC1013" s="113"/>
      <c r="CD1013" s="113"/>
      <c r="CE1013" s="175"/>
      <c r="CF1013" s="113">
        <f t="shared" si="1852"/>
        <v>21689</v>
      </c>
      <c r="CG1013" s="113">
        <f t="shared" si="1831"/>
        <v>38.058809227376045</v>
      </c>
      <c r="CH1013" s="178">
        <v>0.94252873563218387</v>
      </c>
      <c r="CI1013" s="61">
        <f>+CI1003*CH1013+CG1004*CH1012+CG1005*CH1011+CG1006*CH1010+CG1007*CH1009+CG1008*CH1008+CG1009*CH1007+CG1010*CH1006+CG1011*CH1005+CG1012*CH1004+CG1013</f>
        <v>1936.4757324922043</v>
      </c>
      <c r="CJ1013" s="114">
        <f t="shared" si="1832"/>
        <v>1.3194522135896947E-2</v>
      </c>
      <c r="CK1013" s="114"/>
      <c r="CL1013" s="169">
        <f t="shared" si="1833"/>
        <v>6.6327312238596194E-3</v>
      </c>
      <c r="CM1013" s="169">
        <f t="shared" si="1841"/>
        <v>6.4058420505781382E-3</v>
      </c>
      <c r="CN1013" s="114">
        <f>VLOOKUP($H1013,RoR!$E:$F,2,FALSE)</f>
        <v>5.6316666666666668E-2</v>
      </c>
      <c r="CO1013" s="169">
        <v>1.9092304698479889E-2</v>
      </c>
      <c r="CP1013" s="169">
        <f t="shared" si="1839"/>
        <v>3.7224361968186778E-2</v>
      </c>
      <c r="CQ1013" s="169">
        <f t="shared" si="1842"/>
        <v>2.4496099557955488E-2</v>
      </c>
      <c r="CR1013" s="169">
        <f t="shared" si="1843"/>
        <v>6.9030581091053131E-2</v>
      </c>
      <c r="CS1013" s="179">
        <f t="shared" si="1834"/>
        <v>0.85329623209999994</v>
      </c>
      <c r="CT1013" s="180">
        <f t="shared" si="1835"/>
        <v>0.91060168006009956</v>
      </c>
      <c r="CU1013" s="180">
        <f t="shared" si="1836"/>
        <v>0.53108168097070152</v>
      </c>
      <c r="CV1013" s="180">
        <f t="shared" si="1837"/>
        <v>0.88825329850328805</v>
      </c>
      <c r="CW1013" s="180">
        <f t="shared" si="1838"/>
        <v>0.4295627335323573</v>
      </c>
      <c r="CX1013" s="181">
        <f>INDEX('State Tax Lookup'!$D$7:$Z$91,MATCH(Calculation!$C1013,'State Tax Lookup'!$B$7:$B$91,0),MATCH($H1013,'State Tax Lookup'!$D$6:$Z$6,0))</f>
        <v>0.39649667</v>
      </c>
      <c r="CY1013" s="72">
        <v>0.37</v>
      </c>
      <c r="CZ1013" s="70">
        <f t="shared" si="1840"/>
        <v>19.640319325330641</v>
      </c>
      <c r="DA1013" s="70">
        <v>18.300102035478151</v>
      </c>
      <c r="DB1013" s="69">
        <f t="shared" si="1844"/>
        <v>0.12614184715562313</v>
      </c>
      <c r="DC1013" s="111">
        <f>VLOOKUP($H1013,RoR!$E:$F,2,FALSE)</f>
        <v>5.6316666666666668E-2</v>
      </c>
      <c r="DD1013" s="216">
        <f>HLOOKUP($H1013,'GDP-PI'!$D$8:$CQ$11,3,FALSE)</f>
        <v>1.9092304698479889E-2</v>
      </c>
      <c r="DE1013" s="111">
        <f>VLOOKUP(H1013,'HW Dx Data'!$E:$F,2,FALSE)</f>
        <v>569.88120333515076</v>
      </c>
      <c r="DF1013" s="72">
        <f t="shared" si="1856"/>
        <v>107.9</v>
      </c>
      <c r="DG1013" s="69">
        <f t="shared" si="1857"/>
        <v>3.1778595021460486E-2</v>
      </c>
      <c r="DH1013" s="66">
        <f>HLOOKUP(H1013,'GDP-PI'!$8:$9,2,FALSE)</f>
        <v>94.263999999999996</v>
      </c>
      <c r="DI1013" s="69">
        <f t="shared" si="1845"/>
        <v>1.8912333748032254E-2</v>
      </c>
      <c r="EB1013"/>
    </row>
    <row r="1014" spans="1:132" s="160" customFormat="1" ht="21">
      <c r="A1014" s="160" t="s">
        <v>220</v>
      </c>
      <c r="B1014" s="160" t="s">
        <v>221</v>
      </c>
      <c r="C1014" s="160">
        <v>4057096</v>
      </c>
      <c r="D1014" s="161" t="s">
        <v>171</v>
      </c>
      <c r="E1014" s="161" t="s">
        <v>3</v>
      </c>
      <c r="F1014" s="189"/>
      <c r="G1014" s="160" t="s">
        <v>125</v>
      </c>
      <c r="H1014" s="162">
        <v>2009</v>
      </c>
      <c r="I1014" s="163"/>
      <c r="J1014" s="159">
        <f>IFERROR(INDEX('Labor Expenditures'!$F$7:$X$91,MATCH($C1014,'Labor Expenditures'!$D$7:$D$91,0),MATCH($G1014,'Labor Expenditures'!$F$5:$X$5,0)),"NA")</f>
        <v>22462.096371369928</v>
      </c>
      <c r="K1014" s="159">
        <f t="shared" si="1846"/>
        <v>202.4980515787237</v>
      </c>
      <c r="L1014" s="165">
        <f t="shared" si="1853"/>
        <v>0.18489303102598656</v>
      </c>
      <c r="M1014" s="76">
        <f t="shared" si="1858"/>
        <v>1.8029219586070053E-3</v>
      </c>
      <c r="N1014" s="62">
        <f t="shared" si="1864"/>
        <v>117.92676554511857</v>
      </c>
      <c r="O1014" s="96">
        <f t="shared" si="1859"/>
        <v>4.58567239782081E-2</v>
      </c>
      <c r="P1014" s="96"/>
      <c r="Q1014" s="159">
        <f>IFERROR(INDEX('Non-Labor Expenditures'!$F$7:$AB$91,MATCH($C1014,'Non-Labor Expenditures'!$D$7:$D$91,0),MATCH($G1014,'Non-Labor Expenditures'!$F$5:$AB$5,0)),"NA")</f>
        <v>32529.310886642623</v>
      </c>
      <c r="R1014" s="159">
        <f t="shared" si="1847"/>
        <v>342.41740320048234</v>
      </c>
      <c r="S1014" s="165">
        <f t="shared" si="1860"/>
        <v>0.20477544720856086</v>
      </c>
      <c r="T1014" s="165">
        <f t="shared" si="1861"/>
        <v>1.9967986262499748E-3</v>
      </c>
      <c r="U1014" s="165"/>
      <c r="V1014" s="165"/>
      <c r="W1014" s="159">
        <f t="shared" si="1829"/>
        <v>36431.92804353156</v>
      </c>
      <c r="X1014" s="163"/>
      <c r="Y1014" s="167">
        <v>1948.1172441736874</v>
      </c>
      <c r="Z1014" s="168">
        <v>5.9937020957652968E-3</v>
      </c>
      <c r="AA1014" s="76">
        <f t="shared" si="1848"/>
        <v>5.8445562073593147E-5</v>
      </c>
      <c r="AB1014" s="168"/>
      <c r="AC1014" s="168"/>
      <c r="AD1014" s="163">
        <f t="shared" si="1777"/>
        <v>91423.33530154411</v>
      </c>
      <c r="AE1014" s="168">
        <f t="shared" si="1862"/>
        <v>0.108824770541168</v>
      </c>
      <c r="AF1014" s="163"/>
      <c r="AG1014" s="163"/>
      <c r="AH1014" s="163"/>
      <c r="AI1014" s="163"/>
      <c r="AJ1014" s="116">
        <f t="shared" si="1863"/>
        <v>305.63078026792402</v>
      </c>
      <c r="AK1014" s="114">
        <f>+AV1014/$AX$14</f>
        <v>8.5035120730085918E-3</v>
      </c>
      <c r="AL1014" s="115">
        <f t="shared" si="1849"/>
        <v>0.24569324994852326</v>
      </c>
      <c r="AM1014" s="115">
        <f t="shared" si="1850"/>
        <v>0.35580971509462328</v>
      </c>
      <c r="AN1014" s="115">
        <f t="shared" si="1851"/>
        <v>0.39849703495685346</v>
      </c>
      <c r="AO1014" s="115">
        <f t="shared" si="1854"/>
        <v>0.11502724571523254</v>
      </c>
      <c r="AP1014" s="166">
        <f t="shared" si="1866"/>
        <v>96.955851553511565</v>
      </c>
      <c r="AQ1014" s="168">
        <f t="shared" si="1867"/>
        <v>0.11502724571523254</v>
      </c>
      <c r="AR1014" s="69">
        <f>+AD1014/$AF$14</f>
        <v>9.751162326683941E-3</v>
      </c>
      <c r="AS1014" s="169">
        <f t="shared" si="1865"/>
        <v>1.1216493449605924E-3</v>
      </c>
      <c r="AT1014" s="115"/>
      <c r="AU1014" s="115"/>
      <c r="AV1014" s="113">
        <f>IFERROR(INDEX('Total Customers'!$F$7:$AB$91,MATCH($C1014,'Total Customers'!$D$7:$D$91,0),MATCH($G1014,'Total Customers'!$F$5:$AB$5,0)),"NA")</f>
        <v>299130</v>
      </c>
      <c r="AW1014" s="68">
        <f t="shared" si="1780"/>
        <v>4.5333772838379773E-3</v>
      </c>
      <c r="AX1014" s="114"/>
      <c r="AY1014" s="114"/>
      <c r="AZ1014" s="116">
        <v>8336812</v>
      </c>
      <c r="BA1014" s="116"/>
      <c r="BB1014" s="166"/>
      <c r="BC1014" s="166"/>
      <c r="BD1014" s="166"/>
      <c r="BE1014" s="166"/>
      <c r="BF1014" s="166"/>
      <c r="BG1014" s="166"/>
      <c r="BH1014" s="166"/>
      <c r="BI1014" s="113"/>
      <c r="BJ1014" s="113"/>
      <c r="BK1014" s="113">
        <f>INDEX('Dist. Plant Gas Additions'!$F$7:$AE$91,MATCH($C1014,'Dist. Plant Gas Additions'!$D$7:$D$91,0),MATCH(Calculation!$G1014,'Dist. Plant Gas Additions'!$F$5:$AE$5,0))</f>
        <v>13647</v>
      </c>
      <c r="BL1014" s="113">
        <f>INDEX('Gen. Plant Additions'!$F$7:$AE$91,MATCH($C1014,'Gen. Plant Additions'!$D$7:$D$91,0),MATCH(Calculation!$G1014,'Gen. Plant Additions'!$F$5:$AE$5,0))</f>
        <v>95</v>
      </c>
      <c r="BM1014" s="231">
        <f t="shared" si="1830"/>
        <v>0.99397408615040095</v>
      </c>
      <c r="BN1014" s="61">
        <f t="shared" si="1855"/>
        <v>94.427538184288096</v>
      </c>
      <c r="BO1014" s="113">
        <f>INDEX('Dist Plant Depreciation'!$E$7:$AD$94,MATCH($C1014,'Dist Plant Depreciation'!$D$7:$D$94,0),MATCH(Calculation!$G1014,'Dist Plant Depreciation'!$E$5:$AD$5,0))</f>
        <v>230003</v>
      </c>
      <c r="BP1014" s="113">
        <f>INDEX('Gen. Plant Depreciation'!$E$7:$AD$94,MATCH($C1014,'Gen. Plant Depreciation'!$D$7:$D$94,0),MATCH(Calculation!$G1014,'Gen. Plant Depreciation'!$E$5:$AD$5,0))</f>
        <v>1969</v>
      </c>
      <c r="BQ1014" s="113"/>
      <c r="BR1014" s="113"/>
      <c r="BS1014" s="113"/>
      <c r="BT1014" s="113"/>
      <c r="BU1014" s="113"/>
      <c r="BV1014" s="175"/>
      <c r="BW1014" s="113">
        <f>INDEX('Gross Dx Plant'!$E$7:$AD$91,MATCH($C1014,'Gross Dx Plant'!$D$7:$D$91,0),MATCH(Calculation!$G1014,'Gross Dx Plant'!$E$5:$AD$5,0))</f>
        <v>616088</v>
      </c>
      <c r="BX1014" s="113">
        <f>INDEX('Gross Gen Plant'!$E$7:$AD$91,MATCH($C1014,'Gross Gen Plant'!$D$7:$D$91,0),MATCH(Calculation!$G1014,'Gross Gen Plant'!$E$5:$AD$5,0))</f>
        <v>3735</v>
      </c>
      <c r="BY1014" s="113">
        <f t="shared" si="1734"/>
        <v>387851</v>
      </c>
      <c r="BZ1014" s="113"/>
      <c r="CA1014" s="116">
        <v>2009</v>
      </c>
      <c r="CB1014" s="113"/>
      <c r="CC1014" s="113"/>
      <c r="CD1014" s="113"/>
      <c r="CE1014" s="175"/>
      <c r="CF1014" s="113">
        <f t="shared" si="1852"/>
        <v>13742</v>
      </c>
      <c r="CG1014" s="113">
        <f t="shared" si="1831"/>
        <v>24.942796160206242</v>
      </c>
      <c r="CH1014" s="178">
        <v>0.93567251461988299</v>
      </c>
      <c r="CI1014" s="61">
        <f>+CI1003*CH1014+CG1004*CH1013+CG1005*CH1012+CG1006*CH1011+CG1007*CH1010+CG1008*CH1009+CG1009*CH1008+CG1010*CH1007+CG1011*CH1006+CG1012*CH1005+CG1013*CH1004+CG1014</f>
        <v>1948.1172441736874</v>
      </c>
      <c r="CJ1014" s="114">
        <f t="shared" si="1832"/>
        <v>5.9937020957652968E-3</v>
      </c>
      <c r="CK1014" s="114"/>
      <c r="CL1014" s="169">
        <f t="shared" si="1833"/>
        <v>6.8688103111959531E-3</v>
      </c>
      <c r="CM1014" s="169">
        <f t="shared" si="1841"/>
        <v>6.6347276409301744E-3</v>
      </c>
      <c r="CN1014" s="114">
        <f>VLOOKUP($H1014,RoR!$E:$F,2,FALSE)</f>
        <v>5.3133333333333324E-2</v>
      </c>
      <c r="CO1014" s="169">
        <v>7.7972502758210105E-3</v>
      </c>
      <c r="CP1014" s="169">
        <f t="shared" si="1839"/>
        <v>4.5336083057512314E-2</v>
      </c>
      <c r="CQ1014" s="169">
        <f t="shared" si="1842"/>
        <v>2.4267213967603452E-2</v>
      </c>
      <c r="CR1014" s="169">
        <f t="shared" si="1843"/>
        <v>6.3720160300892073E-2</v>
      </c>
      <c r="CS1014" s="179">
        <f t="shared" si="1834"/>
        <v>0.85329623209999994</v>
      </c>
      <c r="CT1014" s="180">
        <f t="shared" si="1835"/>
        <v>0.96515780330083989</v>
      </c>
      <c r="CU1014" s="180">
        <f t="shared" si="1836"/>
        <v>0.50448557089084056</v>
      </c>
      <c r="CV1014" s="180">
        <f t="shared" si="1837"/>
        <v>0.87391435735465484</v>
      </c>
      <c r="CW1014" s="180">
        <f t="shared" si="1838"/>
        <v>0.42551605393279146</v>
      </c>
      <c r="CX1014" s="181">
        <f>INDEX('State Tax Lookup'!$D$7:$Z$91,MATCH(Calculation!$C1014,'State Tax Lookup'!$B$7:$B$91,0),MATCH($H1014,'State Tax Lookup'!$D$6:$Z$6,0))</f>
        <v>0.39649667</v>
      </c>
      <c r="CY1014" s="72">
        <v>0.37</v>
      </c>
      <c r="CZ1014" s="70">
        <f t="shared" si="1840"/>
        <v>18.813521611574455</v>
      </c>
      <c r="DA1014" s="70">
        <v>17.478615056163342</v>
      </c>
      <c r="DB1014" s="69">
        <f t="shared" si="1844"/>
        <v>-4.3008715752541692E-2</v>
      </c>
      <c r="DC1014" s="111">
        <f>VLOOKUP($H1014,RoR!$E:$F,2,FALSE)</f>
        <v>5.3133333333333324E-2</v>
      </c>
      <c r="DD1014" s="216">
        <f>HLOOKUP($H1014,'GDP-PI'!$D$8:$CQ$11,3,FALSE)</f>
        <v>7.7972502758210105E-3</v>
      </c>
      <c r="DE1014" s="111">
        <f>VLOOKUP(H1014,'HW Dx Data'!$E:$F,2,FALSE)</f>
        <v>550.94063679692806</v>
      </c>
      <c r="DF1014" s="72">
        <f t="shared" si="1856"/>
        <v>110.925</v>
      </c>
      <c r="DG1014" s="69">
        <f t="shared" si="1857"/>
        <v>2.7649425000884052E-2</v>
      </c>
      <c r="DH1014" s="66">
        <f>HLOOKUP(H1014,'GDP-PI'!$8:$9,2,FALSE)</f>
        <v>94.998999999999995</v>
      </c>
      <c r="DI1014" s="69">
        <f t="shared" si="1845"/>
        <v>7.7670088183096342E-3</v>
      </c>
      <c r="EB1014"/>
    </row>
    <row r="1015" spans="1:132" s="160" customFormat="1" ht="21">
      <c r="A1015" s="160" t="s">
        <v>220</v>
      </c>
      <c r="B1015" s="160" t="s">
        <v>221</v>
      </c>
      <c r="C1015" s="160">
        <v>4057096</v>
      </c>
      <c r="D1015" s="161" t="s">
        <v>171</v>
      </c>
      <c r="E1015" s="161" t="s">
        <v>3</v>
      </c>
      <c r="F1015" s="189"/>
      <c r="G1015" s="160" t="s">
        <v>126</v>
      </c>
      <c r="H1015" s="162">
        <v>2010</v>
      </c>
      <c r="I1015" s="163"/>
      <c r="J1015" s="159">
        <f>IFERROR(INDEX('Labor Expenditures'!$F$7:$X$91,MATCH($C1015,'Labor Expenditures'!$D$7:$D$91,0),MATCH($G1015,'Labor Expenditures'!$F$5:$X$5,0)),"NA")</f>
        <v>22827.250276313236</v>
      </c>
      <c r="K1015" s="159">
        <f t="shared" si="1846"/>
        <v>195.22985055645273</v>
      </c>
      <c r="L1015" s="165">
        <f t="shared" si="1853"/>
        <v>-3.6552679446720901E-2</v>
      </c>
      <c r="M1015" s="76">
        <f t="shared" si="1858"/>
        <v>-3.5132969971609718E-4</v>
      </c>
      <c r="N1015" s="62">
        <f t="shared" si="1864"/>
        <v>97.601046099005458</v>
      </c>
      <c r="O1015" s="96">
        <f t="shared" si="1859"/>
        <v>-0.18917558923184613</v>
      </c>
      <c r="P1015" s="96"/>
      <c r="Q1015" s="159">
        <f>IFERROR(INDEX('Non-Labor Expenditures'!$F$7:$AB$91,MATCH($C1015,'Non-Labor Expenditures'!$D$7:$D$91,0),MATCH($G1015,'Non-Labor Expenditures'!$F$5:$AB$5,0)),"NA")</f>
        <v>33058.121942342317</v>
      </c>
      <c r="R1015" s="159">
        <f t="shared" si="1847"/>
        <v>343.96489342665433</v>
      </c>
      <c r="S1015" s="165">
        <f t="shared" si="1860"/>
        <v>4.5091280931055305E-3</v>
      </c>
      <c r="T1015" s="165">
        <f t="shared" si="1861"/>
        <v>4.3339931378800737E-5</v>
      </c>
      <c r="U1015" s="165"/>
      <c r="V1015" s="165"/>
      <c r="W1015" s="159">
        <f t="shared" si="1829"/>
        <v>37520.83064720648</v>
      </c>
      <c r="X1015" s="163"/>
      <c r="Y1015" s="167">
        <v>1969.6125553827208</v>
      </c>
      <c r="Z1015" s="168">
        <v>1.0973460656127872E-2</v>
      </c>
      <c r="AA1015" s="76">
        <f t="shared" si="1848"/>
        <v>1.0547250421910361E-4</v>
      </c>
      <c r="AB1015" s="168"/>
      <c r="AC1015" s="168"/>
      <c r="AD1015" s="163">
        <f t="shared" si="1777"/>
        <v>93406.202865862026</v>
      </c>
      <c r="AE1015" s="168">
        <f t="shared" si="1862"/>
        <v>2.1456999350646919E-2</v>
      </c>
      <c r="AF1015" s="163"/>
      <c r="AG1015" s="163"/>
      <c r="AH1015" s="163"/>
      <c r="AI1015" s="163"/>
      <c r="AJ1015" s="116">
        <f t="shared" si="1863"/>
        <v>310.02091959859945</v>
      </c>
      <c r="AK1015" s="114">
        <f>+AV1015/$AX$15</f>
        <v>8.5180532461306031E-3</v>
      </c>
      <c r="AL1015" s="115">
        <f t="shared" si="1849"/>
        <v>0.2443868777012036</v>
      </c>
      <c r="AM1015" s="115">
        <f t="shared" si="1850"/>
        <v>0.35391784408382537</v>
      </c>
      <c r="AN1015" s="115">
        <f t="shared" si="1851"/>
        <v>0.40169527821497114</v>
      </c>
      <c r="AO1015" s="115">
        <f t="shared" si="1854"/>
        <v>-2.9663052338593978E-3</v>
      </c>
      <c r="AP1015" s="166">
        <f t="shared" si="1866"/>
        <v>96.668677037799469</v>
      </c>
      <c r="AQ1015" s="168">
        <f t="shared" si="1867"/>
        <v>-2.9663052338593987E-3</v>
      </c>
      <c r="AR1015" s="69">
        <f>+AD1015/$AF$15</f>
        <v>9.6115990683581631E-3</v>
      </c>
      <c r="AS1015" s="169">
        <f t="shared" si="1865"/>
        <v>-2.851093662222894E-5</v>
      </c>
      <c r="AT1015" s="115"/>
      <c r="AU1015" s="115"/>
      <c r="AV1015" s="113">
        <f>IFERROR(INDEX('Total Customers'!$F$7:$AB$91,MATCH($C1015,'Total Customers'!$D$7:$D$91,0),MATCH($G1015,'Total Customers'!$F$5:$AB$5,0)),"NA")</f>
        <v>301290</v>
      </c>
      <c r="AW1015" s="68">
        <f t="shared" si="1780"/>
        <v>7.19499456454598E-3</v>
      </c>
      <c r="AX1015" s="114"/>
      <c r="AY1015" s="114"/>
      <c r="AZ1015" s="116">
        <v>8403441</v>
      </c>
      <c r="BA1015" s="116"/>
      <c r="BB1015" s="166"/>
      <c r="BC1015" s="166"/>
      <c r="BD1015" s="166"/>
      <c r="BE1015" s="166"/>
      <c r="BF1015" s="166"/>
      <c r="BG1015" s="166"/>
      <c r="BH1015" s="166"/>
      <c r="BI1015" s="113"/>
      <c r="BJ1015" s="113"/>
      <c r="BK1015" s="113">
        <f>INDEX('Dist. Plant Gas Additions'!$F$7:$AE$91,MATCH($C1015,'Dist. Plant Gas Additions'!$D$7:$D$91,0),MATCH(Calculation!$G1015,'Dist. Plant Gas Additions'!$F$5:$AE$5,0))</f>
        <v>20074</v>
      </c>
      <c r="BL1015" s="113">
        <f>INDEX('Gen. Plant Additions'!$F$7:$AE$91,MATCH($C1015,'Gen. Plant Additions'!$D$7:$D$91,0),MATCH(Calculation!$G1015,'Gen. Plant Additions'!$F$5:$AE$5,0))</f>
        <v>60</v>
      </c>
      <c r="BM1015" s="231">
        <f t="shared" si="1830"/>
        <v>0.99416475739284937</v>
      </c>
      <c r="BN1015" s="61">
        <f t="shared" si="1855"/>
        <v>59.649885443570966</v>
      </c>
      <c r="BO1015" s="113">
        <f>INDEX('Dist Plant Depreciation'!$E$7:$AD$94,MATCH($C1015,'Dist Plant Depreciation'!$D$7:$D$94,0),MATCH(Calculation!$G1015,'Dist Plant Depreciation'!$E$5:$AD$5,0))</f>
        <v>241400</v>
      </c>
      <c r="BP1015" s="113">
        <f>INDEX('Gen. Plant Depreciation'!$E$7:$AD$94,MATCH($C1015,'Gen. Plant Depreciation'!$D$7:$D$94,0),MATCH(Calculation!$G1015,'Gen. Plant Depreciation'!$E$5:$AD$5,0))</f>
        <v>2040</v>
      </c>
      <c r="BQ1015" s="113"/>
      <c r="BR1015" s="113"/>
      <c r="BS1015" s="113"/>
      <c r="BT1015" s="113"/>
      <c r="BU1015" s="113"/>
      <c r="BV1015" s="175"/>
      <c r="BW1015" s="113">
        <f>INDEX('Gross Dx Plant'!$E$7:$AD$91,MATCH($C1015,'Gross Dx Plant'!$D$7:$D$91,0),MATCH(Calculation!$G1015,'Gross Dx Plant'!$E$5:$AD$5,0))</f>
        <v>633956</v>
      </c>
      <c r="BX1015" s="113">
        <f>INDEX('Gross Gen Plant'!$E$7:$AD$91,MATCH($C1015,'Gross Gen Plant'!$D$7:$D$91,0),MATCH(Calculation!$G1015,'Gross Gen Plant'!$E$5:$AD$5,0))</f>
        <v>3721</v>
      </c>
      <c r="BY1015" s="113">
        <f t="shared" si="1734"/>
        <v>394237</v>
      </c>
      <c r="BZ1015" s="113"/>
      <c r="CA1015" s="116">
        <v>2010</v>
      </c>
      <c r="CB1015" s="113"/>
      <c r="CC1015" s="113"/>
      <c r="CD1015" s="113"/>
      <c r="CE1015" s="175"/>
      <c r="CF1015" s="113">
        <f t="shared" si="1852"/>
        <v>20134</v>
      </c>
      <c r="CG1015" s="113">
        <f t="shared" si="1831"/>
        <v>35.385538585415077</v>
      </c>
      <c r="CH1015" s="178">
        <v>0.9285714285714286</v>
      </c>
      <c r="CI1015" s="61">
        <f>+CI1003*CH1015+CG1004*CH1014+CG1005*CH1013+CG1006*CH1012+CG1007*CH1011+CG1008*CH1010+CG1009*CH1009+CG1010*CH1008+CG1011*CH1007+CG1012*CH1006+CG1013*CH1005+CG1014*CH1004+CG1015</f>
        <v>1969.6125553827208</v>
      </c>
      <c r="CJ1015" s="114">
        <f t="shared" si="1832"/>
        <v>1.0973460656127872E-2</v>
      </c>
      <c r="CK1015" s="114"/>
      <c r="CL1015" s="169">
        <f t="shared" si="1833"/>
        <v>7.1300777291119152E-3</v>
      </c>
      <c r="CM1015" s="169">
        <f t="shared" si="1841"/>
        <v>6.8772064213891634E-3</v>
      </c>
      <c r="CN1015" s="114">
        <f>VLOOKUP($H1015,RoR!$E:$F,2,FALSE)</f>
        <v>4.9433333333333322E-2</v>
      </c>
      <c r="CO1015" s="169">
        <v>1.1684333519300205E-2</v>
      </c>
      <c r="CP1015" s="169">
        <f t="shared" si="1839"/>
        <v>3.7748999814033117E-2</v>
      </c>
      <c r="CQ1015" s="169">
        <f t="shared" si="1842"/>
        <v>2.4024735187144462E-2</v>
      </c>
      <c r="CR1015" s="169">
        <f t="shared" si="1843"/>
        <v>4.7937530248493419E-2</v>
      </c>
      <c r="CS1015" s="179">
        <f t="shared" si="1834"/>
        <v>0.85329623209999994</v>
      </c>
      <c r="CT1015" s="180">
        <f t="shared" si="1835"/>
        <v>1.037398205301105</v>
      </c>
      <c r="CU1015" s="180">
        <f t="shared" si="1836"/>
        <v>0.46926837491571133</v>
      </c>
      <c r="CV1015" s="180">
        <f t="shared" si="1837"/>
        <v>0.8548537519972772</v>
      </c>
      <c r="CW1015" s="180">
        <f t="shared" si="1838"/>
        <v>0.41615833911547367</v>
      </c>
      <c r="CX1015" s="181">
        <f>INDEX('State Tax Lookup'!$D$7:$Z$91,MATCH(Calculation!$C1015,'State Tax Lookup'!$B$7:$B$91,0),MATCH($H1015,'State Tax Lookup'!$D$6:$Z$6,0))</f>
        <v>0.39649667</v>
      </c>
      <c r="CY1015" s="72">
        <v>0.37</v>
      </c>
      <c r="CZ1015" s="70">
        <f t="shared" si="1840"/>
        <v>19.260047494277636</v>
      </c>
      <c r="DA1015" s="70">
        <v>17.956102603965455</v>
      </c>
      <c r="DB1015" s="69">
        <f t="shared" si="1844"/>
        <v>2.3457026352300535E-2</v>
      </c>
      <c r="DC1015" s="111">
        <f>VLOOKUP($H1015,RoR!$E:$F,2,FALSE)</f>
        <v>4.9433333333333322E-2</v>
      </c>
      <c r="DD1015" s="216">
        <f>HLOOKUP($H1015,'GDP-PI'!$D$8:$CQ$11,3,FALSE)</f>
        <v>1.1684333519300205E-2</v>
      </c>
      <c r="DE1015" s="111">
        <f>VLOOKUP(H1015,'HW Dx Data'!$E:$F,2,FALSE)</f>
        <v>568.98950262971744</v>
      </c>
      <c r="DF1015" s="72">
        <f t="shared" si="1856"/>
        <v>116.925</v>
      </c>
      <c r="DG1015" s="69">
        <f t="shared" si="1857"/>
        <v>5.2678406346976722E-2</v>
      </c>
      <c r="DH1015" s="66">
        <f>HLOOKUP(H1015,'GDP-PI'!$8:$9,2,FALSE)</f>
        <v>96.108999999999995</v>
      </c>
      <c r="DI1015" s="69">
        <f t="shared" si="1845"/>
        <v>1.1616598807150427E-2</v>
      </c>
      <c r="EB1015"/>
    </row>
    <row r="1016" spans="1:132" s="160" customFormat="1" ht="21">
      <c r="A1016" s="160" t="s">
        <v>220</v>
      </c>
      <c r="B1016" s="160" t="s">
        <v>221</v>
      </c>
      <c r="C1016" s="160">
        <v>4057096</v>
      </c>
      <c r="D1016" s="161" t="s">
        <v>171</v>
      </c>
      <c r="E1016" s="161" t="s">
        <v>3</v>
      </c>
      <c r="F1016" s="189"/>
      <c r="G1016" s="160" t="s">
        <v>127</v>
      </c>
      <c r="H1016" s="162">
        <v>2011</v>
      </c>
      <c r="I1016" s="163"/>
      <c r="J1016" s="159">
        <f>IFERROR(INDEX('Labor Expenditures'!$F$7:$X$91,MATCH($C1016,'Labor Expenditures'!$D$7:$D$91,0),MATCH($G1016,'Labor Expenditures'!$F$5:$X$5,0)),"NA")</f>
        <v>25506.533852812139</v>
      </c>
      <c r="K1016" s="159">
        <f t="shared" si="1846"/>
        <v>211.01579195708078</v>
      </c>
      <c r="L1016" s="165">
        <f t="shared" si="1853"/>
        <v>7.7755388853806562E-2</v>
      </c>
      <c r="M1016" s="76">
        <f t="shared" si="1858"/>
        <v>7.8368120997576241E-4</v>
      </c>
      <c r="N1016" s="62">
        <f t="shared" si="1864"/>
        <v>118.43781205251733</v>
      </c>
      <c r="O1016" s="96">
        <f t="shared" si="1859"/>
        <v>0.19349981842836236</v>
      </c>
      <c r="P1016" s="96"/>
      <c r="Q1016" s="159">
        <f>IFERROR(INDEX('Non-Labor Expenditures'!$F$7:$AB$91,MATCH($C1016,'Non-Labor Expenditures'!$D$7:$D$91,0),MATCH($G1016,'Non-Labor Expenditures'!$F$5:$AB$5,0)),"NA")</f>
        <v>36938.224982256972</v>
      </c>
      <c r="R1016" s="159">
        <f t="shared" si="1847"/>
        <v>376.49038835470662</v>
      </c>
      <c r="S1016" s="165">
        <f t="shared" si="1860"/>
        <v>9.0352919802465792E-2</v>
      </c>
      <c r="T1016" s="165">
        <f t="shared" si="1861"/>
        <v>9.1064923678499453E-4</v>
      </c>
      <c r="U1016" s="165"/>
      <c r="V1016" s="165"/>
      <c r="W1016" s="159">
        <f t="shared" si="1829"/>
        <v>40419.666627871899</v>
      </c>
      <c r="X1016" s="163"/>
      <c r="Y1016" s="167">
        <v>1994.9850662841384</v>
      </c>
      <c r="Z1016" s="168">
        <v>1.2799713729161754E-2</v>
      </c>
      <c r="AA1016" s="76">
        <f t="shared" si="1848"/>
        <v>1.2900578712907811E-4</v>
      </c>
      <c r="AB1016" s="168"/>
      <c r="AC1016" s="168"/>
      <c r="AD1016" s="163">
        <f t="shared" si="1777"/>
        <v>102864.425462941</v>
      </c>
      <c r="AE1016" s="168">
        <f t="shared" si="1862"/>
        <v>9.6454108690599172E-2</v>
      </c>
      <c r="AF1016" s="163"/>
      <c r="AG1016" s="163"/>
      <c r="AH1016" s="163"/>
      <c r="AI1016" s="163"/>
      <c r="AJ1016" s="116">
        <f t="shared" si="1863"/>
        <v>339.44398215055867</v>
      </c>
      <c r="AK1016" s="114">
        <f>+AV1016/$AX$16</f>
        <v>8.5261346292408221E-3</v>
      </c>
      <c r="AL1016" s="115">
        <f t="shared" si="1849"/>
        <v>0.24796263370956548</v>
      </c>
      <c r="AM1016" s="115">
        <f t="shared" si="1850"/>
        <v>0.35909620664303149</v>
      </c>
      <c r="AN1016" s="115">
        <f t="shared" si="1851"/>
        <v>0.39294115964740312</v>
      </c>
      <c r="AO1016" s="115">
        <f t="shared" si="1854"/>
        <v>5.6438423989240108E-2</v>
      </c>
      <c r="AP1016" s="166">
        <f t="shared" si="1866"/>
        <v>102.28140171662115</v>
      </c>
      <c r="AQ1016" s="168">
        <f t="shared" si="1867"/>
        <v>5.6438423989240191E-2</v>
      </c>
      <c r="AR1016" s="69">
        <f>+AD1016/$AF$16</f>
        <v>1.007880253096306E-2</v>
      </c>
      <c r="AS1016" s="169">
        <f t="shared" si="1865"/>
        <v>5.6883173054632027E-4</v>
      </c>
      <c r="AT1016" s="115"/>
      <c r="AU1016" s="115"/>
      <c r="AV1016" s="113">
        <f>IFERROR(INDEX('Total Customers'!$F$7:$AB$91,MATCH($C1016,'Total Customers'!$D$7:$D$91,0),MATCH($G1016,'Total Customers'!$F$5:$AB$5,0)),"NA")</f>
        <v>303038</v>
      </c>
      <c r="AW1016" s="68">
        <f t="shared" si="1780"/>
        <v>5.7849541137706189E-3</v>
      </c>
      <c r="AX1016" s="114"/>
      <c r="AY1016" s="114"/>
      <c r="AZ1016" s="116">
        <v>8437841</v>
      </c>
      <c r="BA1016" s="116"/>
      <c r="BB1016" s="166"/>
      <c r="BC1016" s="166"/>
      <c r="BD1016" s="166"/>
      <c r="BE1016" s="166"/>
      <c r="BF1016" s="166"/>
      <c r="BG1016" s="166"/>
      <c r="BH1016" s="166"/>
      <c r="BI1016" s="113"/>
      <c r="BJ1016" s="113"/>
      <c r="BK1016" s="113">
        <f>INDEX('Dist. Plant Gas Additions'!$F$7:$AE$91,MATCH($C1016,'Dist. Plant Gas Additions'!$D$7:$D$91,0),MATCH(Calculation!$G1016,'Dist. Plant Gas Additions'!$F$5:$AE$5,0))</f>
        <v>24337</v>
      </c>
      <c r="BL1016" s="113">
        <f>INDEX('Gen. Plant Additions'!$F$7:$AE$91,MATCH($C1016,'Gen. Plant Additions'!$D$7:$D$91,0),MATCH(Calculation!$G1016,'Gen. Plant Additions'!$F$5:$AE$5,0))</f>
        <v>86</v>
      </c>
      <c r="BM1016" s="231">
        <f t="shared" si="1830"/>
        <v>0.99422846713002788</v>
      </c>
      <c r="BN1016" s="61">
        <f t="shared" si="1855"/>
        <v>85.503648173182398</v>
      </c>
      <c r="BO1016" s="113">
        <f>INDEX('Dist Plant Depreciation'!$E$7:$AD$94,MATCH($C1016,'Dist Plant Depreciation'!$D$7:$D$94,0),MATCH(Calculation!$G1016,'Dist Plant Depreciation'!$E$5:$AD$5,0))</f>
        <v>253374</v>
      </c>
      <c r="BP1016" s="113">
        <f>INDEX('Gen. Plant Depreciation'!$E$7:$AD$94,MATCH($C1016,'Gen. Plant Depreciation'!$D$7:$D$94,0),MATCH(Calculation!$G1016,'Gen. Plant Depreciation'!$E$5:$AD$5,0))</f>
        <v>2093</v>
      </c>
      <c r="BQ1016" s="113"/>
      <c r="BR1016" s="113"/>
      <c r="BS1016" s="113"/>
      <c r="BT1016" s="113"/>
      <c r="BU1016" s="113"/>
      <c r="BV1016" s="175"/>
      <c r="BW1016" s="113">
        <f>INDEX('Gross Dx Plant'!$E$7:$AD$91,MATCH($C1016,'Gross Dx Plant'!$D$7:$D$91,0),MATCH(Calculation!$G1016,'Gross Dx Plant'!$E$5:$AD$5,0))</f>
        <v>655293</v>
      </c>
      <c r="BX1016" s="113">
        <f>INDEX('Gross Gen Plant'!$E$7:$AD$91,MATCH($C1016,'Gross Gen Plant'!$D$7:$D$91,0),MATCH(Calculation!$G1016,'Gross Gen Plant'!$E$5:$AD$5,0))</f>
        <v>3804</v>
      </c>
      <c r="BY1016" s="113">
        <f t="shared" ref="BY1016:BY1085" si="1868">IF(OR(BO1016="NA",BP1016="NA"),"NA",(SUM(BW1016:BX1016)-SUM(BO1016:BP1016)))</f>
        <v>403630</v>
      </c>
      <c r="BZ1016" s="113"/>
      <c r="CA1016" s="116">
        <v>2011</v>
      </c>
      <c r="CB1016" s="113"/>
      <c r="CC1016" s="113"/>
      <c r="CD1016" s="113"/>
      <c r="CE1016" s="175"/>
      <c r="CF1016" s="113">
        <f t="shared" si="1852"/>
        <v>24423</v>
      </c>
      <c r="CG1016" s="113">
        <f t="shared" si="1831"/>
        <v>39.932238239011681</v>
      </c>
      <c r="CH1016" s="178">
        <v>0.92121212121212126</v>
      </c>
      <c r="CI1016" s="61">
        <f>+CI1003*CH1016+CG1004*CH1015+CG1005*CH1014+CG1006*CH1013+CG1007*CH1012+CG1008*CH1011+CG1009*CH1010+CG1010*CH1009+CG1011*CH1008+CG1012*CH1007+CG1013*CH1006+CG1014*CH1005+CG1015*CH1004+CG1016</f>
        <v>1994.9850662841384</v>
      </c>
      <c r="CJ1016" s="114">
        <f t="shared" si="1832"/>
        <v>1.2799713729161754E-2</v>
      </c>
      <c r="CK1016" s="114"/>
      <c r="CL1016" s="169">
        <f t="shared" si="1833"/>
        <v>7.3921783742716416E-3</v>
      </c>
      <c r="CM1016" s="169">
        <f t="shared" si="1841"/>
        <v>7.1303554715265033E-3</v>
      </c>
      <c r="CN1016" s="114">
        <f>VLOOKUP($H1016,RoR!$E:$F,2,FALSE)</f>
        <v>4.6391666666666664E-2</v>
      </c>
      <c r="CO1016" s="169">
        <v>2.0840920205183799E-2</v>
      </c>
      <c r="CP1016" s="169">
        <f t="shared" si="1839"/>
        <v>2.5550746461482865E-2</v>
      </c>
      <c r="CQ1016" s="169">
        <f t="shared" si="1842"/>
        <v>2.3771586137007122E-2</v>
      </c>
      <c r="CR1016" s="169">
        <f t="shared" si="1843"/>
        <v>2.4810540821321614E-2</v>
      </c>
      <c r="CS1016" s="179">
        <f t="shared" si="1834"/>
        <v>0.85329623209999994</v>
      </c>
      <c r="CT1016" s="180">
        <f t="shared" si="1835"/>
        <v>1.1054151524782025</v>
      </c>
      <c r="CU1016" s="180">
        <f t="shared" si="1836"/>
        <v>0.43611011316687626</v>
      </c>
      <c r="CV1016" s="180">
        <f t="shared" si="1837"/>
        <v>0.83698442246886229</v>
      </c>
      <c r="CW1016" s="180">
        <f t="shared" si="1838"/>
        <v>0.40349573304423936</v>
      </c>
      <c r="CX1016" s="181">
        <f>INDEX('State Tax Lookup'!$D$7:$Z$91,MATCH(Calculation!$C1016,'State Tax Lookup'!$B$7:$B$91,0),MATCH($H1016,'State Tax Lookup'!$D$6:$Z$6,0))</f>
        <v>0.39649667</v>
      </c>
      <c r="CY1016" s="72">
        <v>0.37</v>
      </c>
      <c r="CZ1016" s="70">
        <f t="shared" si="1840"/>
        <v>20.521633311795092</v>
      </c>
      <c r="DA1016" s="70">
        <v>19.146574949201604</v>
      </c>
      <c r="DB1016" s="69">
        <f t="shared" si="1844"/>
        <v>6.3446740905221066E-2</v>
      </c>
      <c r="DC1016" s="111">
        <f>VLOOKUP($H1016,RoR!$E:$F,2,FALSE)</f>
        <v>4.6391666666666664E-2</v>
      </c>
      <c r="DD1016" s="216">
        <f>HLOOKUP($H1016,'GDP-PI'!$D$8:$CQ$11,3,FALSE)</f>
        <v>2.0840920205183799E-2</v>
      </c>
      <c r="DE1016" s="111">
        <f>VLOOKUP(H1016,'HW Dx Data'!$E:$F,2,FALSE)</f>
        <v>611.61109612283201</v>
      </c>
      <c r="DF1016" s="72">
        <f t="shared" si="1856"/>
        <v>120.875</v>
      </c>
      <c r="DG1016" s="69">
        <f t="shared" si="1857"/>
        <v>3.3224250161508609E-2</v>
      </c>
      <c r="DH1016" s="66">
        <f>HLOOKUP(H1016,'GDP-PI'!$8:$9,2,FALSE)</f>
        <v>98.111999999999995</v>
      </c>
      <c r="DI1016" s="69">
        <f t="shared" si="1845"/>
        <v>2.0626719212849295E-2</v>
      </c>
      <c r="EB1016"/>
    </row>
    <row r="1017" spans="1:132" s="160" customFormat="1" ht="21">
      <c r="A1017" s="160" t="s">
        <v>220</v>
      </c>
      <c r="B1017" s="160" t="s">
        <v>221</v>
      </c>
      <c r="C1017" s="160">
        <v>4057096</v>
      </c>
      <c r="D1017" s="161" t="s">
        <v>171</v>
      </c>
      <c r="E1017" s="161" t="s">
        <v>3</v>
      </c>
      <c r="F1017" s="189"/>
      <c r="G1017" s="160" t="s">
        <v>128</v>
      </c>
      <c r="H1017" s="162">
        <v>2012</v>
      </c>
      <c r="I1017" s="163"/>
      <c r="J1017" s="159">
        <f>IFERROR(INDEX('Labor Expenditures'!$F$7:$X$91,MATCH($C1017,'Labor Expenditures'!$D$7:$D$91,0),MATCH($G1017,'Labor Expenditures'!$F$5:$X$5,0)),"NA")</f>
        <v>25582.794746891821</v>
      </c>
      <c r="K1017" s="159">
        <f t="shared" si="1846"/>
        <v>204.99034252317162</v>
      </c>
      <c r="L1017" s="165">
        <f t="shared" si="1853"/>
        <v>-2.8970105688277393E-2</v>
      </c>
      <c r="M1017" s="76">
        <f t="shared" si="1858"/>
        <v>-2.8931216353267954E-4</v>
      </c>
      <c r="N1017" s="62">
        <f t="shared" si="1864"/>
        <v>117.36430323367543</v>
      </c>
      <c r="O1017" s="96">
        <f t="shared" si="1859"/>
        <v>-9.1052299013662519E-3</v>
      </c>
      <c r="P1017" s="96"/>
      <c r="Q1017" s="159">
        <f>IFERROR(INDEX('Non-Labor Expenditures'!$F$7:$AB$91,MATCH($C1017,'Non-Labor Expenditures'!$D$7:$D$91,0),MATCH($G1017,'Non-Labor Expenditures'!$F$5:$AB$5,0)),"NA")</f>
        <v>37048.665000454617</v>
      </c>
      <c r="R1017" s="159">
        <f t="shared" si="1847"/>
        <v>370.48665000454616</v>
      </c>
      <c r="S1017" s="165">
        <f t="shared" si="1860"/>
        <v>-1.6075106265150886E-2</v>
      </c>
      <c r="T1017" s="165">
        <f t="shared" si="1861"/>
        <v>-1.6053527117336082E-4</v>
      </c>
      <c r="U1017" s="165"/>
      <c r="V1017" s="165"/>
      <c r="W1017" s="159">
        <f t="shared" si="1829"/>
        <v>44165.31085962127</v>
      </c>
      <c r="X1017" s="163"/>
      <c r="Y1017" s="167">
        <v>2031.3963847397963</v>
      </c>
      <c r="Z1017" s="168">
        <v>1.8086866090745942E-2</v>
      </c>
      <c r="AA1017" s="76">
        <f t="shared" si="1848"/>
        <v>1.8062586365906743E-4</v>
      </c>
      <c r="AB1017" s="168"/>
      <c r="AC1017" s="168"/>
      <c r="AD1017" s="163">
        <f t="shared" si="1777"/>
        <v>106796.77060696771</v>
      </c>
      <c r="AE1017" s="168">
        <f t="shared" si="1862"/>
        <v>3.7515824746157368E-2</v>
      </c>
      <c r="AF1017" s="163"/>
      <c r="AG1017" s="163"/>
      <c r="AH1017" s="163"/>
      <c r="AI1017" s="163"/>
      <c r="AJ1017" s="116">
        <f t="shared" si="1863"/>
        <v>350.73176618149836</v>
      </c>
      <c r="AK1017" s="114">
        <f>+AV1017/$AX$17</f>
        <v>8.5261276866982049E-3</v>
      </c>
      <c r="AL1017" s="115">
        <f t="shared" si="1849"/>
        <v>0.23954652000706406</v>
      </c>
      <c r="AM1017" s="115">
        <f t="shared" si="1850"/>
        <v>0.34690810208859874</v>
      </c>
      <c r="AN1017" s="115">
        <f t="shared" si="1851"/>
        <v>0.41354537790433715</v>
      </c>
      <c r="AO1017" s="115">
        <f t="shared" si="1854"/>
        <v>-5.4427359925005494E-3</v>
      </c>
      <c r="AP1017" s="166">
        <f t="shared" si="1866"/>
        <v>101.72622326552465</v>
      </c>
      <c r="AQ1017" s="168">
        <f t="shared" si="1867"/>
        <v>-5.4427359925005485E-3</v>
      </c>
      <c r="AR1017" s="69">
        <f>+AD1017/$AF$17</f>
        <v>9.9865760465536798E-3</v>
      </c>
      <c r="AS1017" s="169">
        <f t="shared" si="1865"/>
        <v>-5.4354296890421544E-5</v>
      </c>
      <c r="AT1017" s="115"/>
      <c r="AU1017" s="115"/>
      <c r="AV1017" s="113">
        <f>IFERROR(INDEX('Total Customers'!$F$7:$AB$91,MATCH($C1017,'Total Customers'!$D$7:$D$91,0),MATCH($G1017,'Total Customers'!$F$5:$AB$5,0)),"NA")</f>
        <v>304497</v>
      </c>
      <c r="AW1017" s="68">
        <f t="shared" si="1780"/>
        <v>4.803024697541557E-3</v>
      </c>
      <c r="AX1017" s="114"/>
      <c r="AY1017" s="114"/>
      <c r="AZ1017" s="116">
        <v>8485072</v>
      </c>
      <c r="BA1017" s="116"/>
      <c r="BB1017" s="166"/>
      <c r="BC1017" s="166"/>
      <c r="BD1017" s="166"/>
      <c r="BE1017" s="166"/>
      <c r="BF1017" s="166"/>
      <c r="BG1017" s="166"/>
      <c r="BH1017" s="166"/>
      <c r="BI1017" s="113"/>
      <c r="BJ1017" s="113"/>
      <c r="BK1017" s="113">
        <f>INDEX('Dist. Plant Gas Additions'!$F$7:$AE$91,MATCH($C1017,'Dist. Plant Gas Additions'!$D$7:$D$91,0),MATCH(Calculation!$G1017,'Dist. Plant Gas Additions'!$F$5:$AE$5,0))</f>
        <v>34218</v>
      </c>
      <c r="BL1017" s="113">
        <f>INDEX('Gen. Plant Additions'!$F$7:$AE$91,MATCH($C1017,'Gen. Plant Additions'!$D$7:$D$91,0),MATCH(Calculation!$G1017,'Gen. Plant Additions'!$F$5:$AE$5,0))</f>
        <v>362</v>
      </c>
      <c r="BM1017" s="231">
        <f t="shared" si="1830"/>
        <v>0.99396862119437512</v>
      </c>
      <c r="BN1017" s="61">
        <f t="shared" si="1855"/>
        <v>359.81664087236379</v>
      </c>
      <c r="BO1017" s="113">
        <f>INDEX('Dist Plant Depreciation'!$E$7:$AD$94,MATCH($C1017,'Dist Plant Depreciation'!$D$7:$D$94,0),MATCH(Calculation!$G1017,'Dist Plant Depreciation'!$E$5:$AD$5,0))</f>
        <v>265070</v>
      </c>
      <c r="BP1017" s="113">
        <f>INDEX('Gen. Plant Depreciation'!$E$7:$AD$94,MATCH($C1017,'Gen. Plant Depreciation'!$D$7:$D$94,0),MATCH(Calculation!$G1017,'Gen. Plant Depreciation'!$E$5:$AD$5,0))</f>
        <v>2235</v>
      </c>
      <c r="BQ1017" s="113"/>
      <c r="BR1017" s="113"/>
      <c r="BS1017" s="113"/>
      <c r="BT1017" s="113"/>
      <c r="BU1017" s="113"/>
      <c r="BV1017" s="175"/>
      <c r="BW1017" s="113">
        <f>INDEX('Gross Dx Plant'!$E$7:$AD$91,MATCH($C1017,'Gross Dx Plant'!$D$7:$D$91,0),MATCH(Calculation!$G1017,'Gross Dx Plant'!$E$5:$AD$5,0))</f>
        <v>686555</v>
      </c>
      <c r="BX1017" s="113">
        <f>INDEX('Gross Gen Plant'!$E$7:$AD$91,MATCH($C1017,'Gross Gen Plant'!$D$7:$D$91,0),MATCH(Calculation!$G1017,'Gross Gen Plant'!$E$5:$AD$5,0))</f>
        <v>4166</v>
      </c>
      <c r="BY1017" s="113">
        <f t="shared" si="1868"/>
        <v>423416</v>
      </c>
      <c r="BZ1017" s="113"/>
      <c r="CA1017" s="116">
        <v>2012</v>
      </c>
      <c r="CB1017" s="113"/>
      <c r="CC1017" s="113"/>
      <c r="CD1017" s="113"/>
      <c r="CE1017" s="175"/>
      <c r="CF1017" s="113">
        <f t="shared" si="1852"/>
        <v>34580</v>
      </c>
      <c r="CG1017" s="113">
        <f t="shared" si="1831"/>
        <v>51.695322375779703</v>
      </c>
      <c r="CH1017" s="178">
        <v>0.9135802469135802</v>
      </c>
      <c r="CI1017" s="61">
        <f>+CI1003*CH1017+CG1004*CH1016+CG1005*CH1015+CG1006*CH1014+CG1007*CH1013+CG1008*CH1012+CG1009*CH1011+CG1010*CH1010+CG1011*CH1009+CG1012*CH1008+CG1013*CH1007+CG1014*CH1006+CG1015*CH1005+CG1016*CH1004+CG1017</f>
        <v>2031.3963847397963</v>
      </c>
      <c r="CJ1017" s="114">
        <f t="shared" si="1832"/>
        <v>1.8086866090745942E-2</v>
      </c>
      <c r="CK1017" s="114"/>
      <c r="CL1017" s="169">
        <f t="shared" si="1833"/>
        <v>7.6612121957332678E-3</v>
      </c>
      <c r="CM1017" s="169">
        <f t="shared" si="1841"/>
        <v>7.3944894330389421E-3</v>
      </c>
      <c r="CN1017" s="114">
        <f>VLOOKUP($H1017,RoR!$E:$F,2,FALSE)</f>
        <v>3.6733333333333333E-2</v>
      </c>
      <c r="CO1017" s="169">
        <v>1.924331376386168E-2</v>
      </c>
      <c r="CP1017" s="169">
        <f t="shared" si="1839"/>
        <v>1.7490019569471653E-2</v>
      </c>
      <c r="CQ1017" s="169">
        <f t="shared" si="1842"/>
        <v>2.3507452175494683E-2</v>
      </c>
      <c r="CR1017" s="169">
        <f t="shared" si="1843"/>
        <v>6.7122682943869583E-2</v>
      </c>
      <c r="CS1017" s="179">
        <f t="shared" si="1834"/>
        <v>0.85329623209999994</v>
      </c>
      <c r="CT1017" s="180">
        <f t="shared" si="1835"/>
        <v>1.3960631020522127</v>
      </c>
      <c r="CU1017" s="180">
        <f t="shared" si="1836"/>
        <v>0.29441923774954631</v>
      </c>
      <c r="CV1017" s="180">
        <f t="shared" si="1837"/>
        <v>0.76377954189366437</v>
      </c>
      <c r="CW1017" s="180">
        <f t="shared" si="1838"/>
        <v>0.31393465103033691</v>
      </c>
      <c r="CX1017" s="181">
        <f>INDEX('State Tax Lookup'!$D$7:$Z$91,MATCH(Calculation!$C1017,'State Tax Lookup'!$B$7:$B$91,0),MATCH($H1017,'State Tax Lookup'!$D$6:$Z$6,0))</f>
        <v>0.39649667</v>
      </c>
      <c r="CY1017" s="72">
        <v>0.37</v>
      </c>
      <c r="CZ1017" s="70">
        <f t="shared" si="1840"/>
        <v>22.138166147721414</v>
      </c>
      <c r="DA1017" s="70">
        <v>20.759737328210988</v>
      </c>
      <c r="DB1017" s="69">
        <f t="shared" si="1844"/>
        <v>7.5823480800683879E-2</v>
      </c>
      <c r="DC1017" s="111">
        <f>VLOOKUP($H1017,RoR!$E:$F,2,FALSE)</f>
        <v>3.6733333333333333E-2</v>
      </c>
      <c r="DD1017" s="216">
        <f>HLOOKUP($H1017,'GDP-PI'!$D$8:$CQ$11,3,FALSE)</f>
        <v>1.924331376386168E-2</v>
      </c>
      <c r="DE1017" s="111">
        <f>VLOOKUP(H1017,'HW Dx Data'!$E:$F,2,FALSE)</f>
        <v>668.91932211262167</v>
      </c>
      <c r="DF1017" s="72">
        <f t="shared" si="1856"/>
        <v>124.80000000000001</v>
      </c>
      <c r="DG1017" s="69">
        <f t="shared" si="1857"/>
        <v>3.1955502161869064E-2</v>
      </c>
      <c r="DH1017" s="66">
        <f>HLOOKUP(H1017,'GDP-PI'!$8:$9,2,FALSE)</f>
        <v>100</v>
      </c>
      <c r="DI1017" s="69">
        <f t="shared" si="1845"/>
        <v>1.9060502738742411E-2</v>
      </c>
      <c r="EB1017"/>
    </row>
    <row r="1018" spans="1:132" s="160" customFormat="1" ht="21">
      <c r="A1018" s="160" t="s">
        <v>220</v>
      </c>
      <c r="B1018" s="160" t="s">
        <v>221</v>
      </c>
      <c r="C1018" s="160">
        <v>4057096</v>
      </c>
      <c r="D1018" s="161" t="s">
        <v>171</v>
      </c>
      <c r="E1018" s="161" t="s">
        <v>3</v>
      </c>
      <c r="F1018" s="189"/>
      <c r="G1018" s="160" t="s">
        <v>129</v>
      </c>
      <c r="H1018" s="162">
        <v>2013</v>
      </c>
      <c r="I1018" s="163"/>
      <c r="J1018" s="159">
        <f>IFERROR(INDEX('Labor Expenditures'!$F$7:$X$91,MATCH($C1018,'Labor Expenditures'!$D$7:$D$91,0),MATCH($G1018,'Labor Expenditures'!$F$5:$X$5,0)),"NA")</f>
        <v>26490.933150494533</v>
      </c>
      <c r="K1018" s="159">
        <f t="shared" si="1846"/>
        <v>208.91903115531966</v>
      </c>
      <c r="L1018" s="165">
        <f t="shared" si="1853"/>
        <v>1.8983897776136717E-2</v>
      </c>
      <c r="M1018" s="76">
        <f t="shared" si="1858"/>
        <v>1.8652644594104015E-4</v>
      </c>
      <c r="N1018" s="62">
        <f t="shared" si="1864"/>
        <v>107.40468084289745</v>
      </c>
      <c r="O1018" s="96">
        <f t="shared" si="1859"/>
        <v>-8.8679035723874949E-2</v>
      </c>
      <c r="P1018" s="96"/>
      <c r="Q1018" s="159">
        <f>IFERROR(INDEX('Non-Labor Expenditures'!$F$7:$AB$91,MATCH($C1018,'Non-Labor Expenditures'!$D$7:$D$91,0),MATCH($G1018,'Non-Labor Expenditures'!$F$5:$AB$5,0)),"NA")</f>
        <v>38363.819025728269</v>
      </c>
      <c r="R1018" s="159">
        <f t="shared" si="1847"/>
        <v>376.95478197290316</v>
      </c>
      <c r="S1018" s="165">
        <f t="shared" si="1860"/>
        <v>1.7307826827424353E-2</v>
      </c>
      <c r="T1018" s="165">
        <f t="shared" si="1861"/>
        <v>1.7005819685463121E-4</v>
      </c>
      <c r="U1018" s="165"/>
      <c r="V1018" s="165"/>
      <c r="W1018" s="159">
        <f t="shared" si="1829"/>
        <v>44122.255084985954</v>
      </c>
      <c r="X1018" s="163"/>
      <c r="Y1018" s="167">
        <v>2058.8091267189575</v>
      </c>
      <c r="Z1018" s="168">
        <v>1.3404290982383871E-2</v>
      </c>
      <c r="AA1018" s="76">
        <f t="shared" si="1848"/>
        <v>1.317039728504273E-4</v>
      </c>
      <c r="AB1018" s="168"/>
      <c r="AC1018" s="168"/>
      <c r="AD1018" s="163">
        <f t="shared" si="1777"/>
        <v>108977.00726120875</v>
      </c>
      <c r="AE1018" s="168">
        <f t="shared" si="1862"/>
        <v>2.0209229113465801E-2</v>
      </c>
      <c r="AF1018" s="163"/>
      <c r="AG1018" s="163"/>
      <c r="AH1018" s="163"/>
      <c r="AI1018" s="163"/>
      <c r="AJ1018" s="116">
        <f t="shared" si="1863"/>
        <v>356.39023893390265</v>
      </c>
      <c r="AK1018" s="114">
        <f>+AV1018/$AX$18</f>
        <v>8.5074838480781179E-3</v>
      </c>
      <c r="AL1018" s="115">
        <f t="shared" si="1849"/>
        <v>0.2430873614192578</v>
      </c>
      <c r="AM1018" s="115">
        <f t="shared" si="1850"/>
        <v>0.35203590179140642</v>
      </c>
      <c r="AN1018" s="115">
        <f t="shared" si="1851"/>
        <v>0.40487673678933583</v>
      </c>
      <c r="AO1018" s="115">
        <f t="shared" si="1854"/>
        <v>1.6114921110645535E-2</v>
      </c>
      <c r="AP1018" s="166">
        <f t="shared" si="1866"/>
        <v>103.37881324353094</v>
      </c>
      <c r="AQ1018" s="168">
        <f t="shared" si="1867"/>
        <v>1.6114921110645643E-2</v>
      </c>
      <c r="AR1018" s="69">
        <f>+AD1018/$AF$18</f>
        <v>9.8255083408376256E-3</v>
      </c>
      <c r="AS1018" s="169">
        <f t="shared" si="1865"/>
        <v>1.583372917845891E-4</v>
      </c>
      <c r="AT1018" s="115"/>
      <c r="AU1018" s="115"/>
      <c r="AV1018" s="113">
        <f>IFERROR(INDEX('Total Customers'!$F$7:$AB$91,MATCH($C1018,'Total Customers'!$D$7:$D$91,0),MATCH($G1018,'Total Customers'!$F$5:$AB$5,0)),"NA")</f>
        <v>305780</v>
      </c>
      <c r="AW1018" s="68">
        <f t="shared" si="1780"/>
        <v>4.2046542477980654E-3</v>
      </c>
      <c r="AX1018" s="114"/>
      <c r="AY1018" s="114"/>
      <c r="AZ1018" s="116">
        <v>8534921</v>
      </c>
      <c r="BA1018" s="116"/>
      <c r="BB1018" s="166"/>
      <c r="BC1018" s="166"/>
      <c r="BD1018" s="166"/>
      <c r="BE1018" s="166"/>
      <c r="BF1018" s="166"/>
      <c r="BG1018" s="166"/>
      <c r="BH1018" s="166"/>
      <c r="BI1018" s="113"/>
      <c r="BJ1018" s="113"/>
      <c r="BK1018" s="113">
        <f>INDEX('Dist. Plant Gas Additions'!$F$7:$AE$91,MATCH($C1018,'Dist. Plant Gas Additions'!$D$7:$D$91,0),MATCH(Calculation!$G1018,'Dist. Plant Gas Additions'!$F$5:$AE$5,0))</f>
        <v>27676</v>
      </c>
      <c r="BL1018" s="113">
        <f>INDEX('Gen. Plant Additions'!$F$7:$AE$91,MATCH($C1018,'Gen. Plant Additions'!$D$7:$D$91,0),MATCH(Calculation!$G1018,'Gen. Plant Additions'!$F$5:$AE$5,0))</f>
        <v>1185</v>
      </c>
      <c r="BM1018" s="231">
        <f t="shared" si="1830"/>
        <v>0.9925295099017849</v>
      </c>
      <c r="BN1018" s="61">
        <f t="shared" si="1855"/>
        <v>1176.1474692336151</v>
      </c>
      <c r="BO1018" s="113">
        <f>INDEX('Dist Plant Depreciation'!$E$7:$AD$94,MATCH($C1018,'Dist Plant Depreciation'!$D$7:$D$94,0),MATCH(Calculation!$G1018,'Dist Plant Depreciation'!$E$5:$AD$5,0))</f>
        <v>277246</v>
      </c>
      <c r="BP1018" s="113">
        <f>INDEX('Gen. Plant Depreciation'!$E$7:$AD$94,MATCH($C1018,'Gen. Plant Depreciation'!$D$7:$D$94,0),MATCH(Calculation!$G1018,'Gen. Plant Depreciation'!$E$5:$AD$5,0))</f>
        <v>2405</v>
      </c>
      <c r="BQ1018" s="113"/>
      <c r="BR1018" s="113"/>
      <c r="BS1018" s="113"/>
      <c r="BT1018" s="113"/>
      <c r="BU1018" s="113"/>
      <c r="BV1018" s="175"/>
      <c r="BW1018" s="113">
        <f>INDEX('Gross Dx Plant'!$E$7:$AD$91,MATCH($C1018,'Gross Dx Plant'!$D$7:$D$91,0),MATCH(Calculation!$G1018,'Gross Dx Plant'!$E$5:$AD$5,0))</f>
        <v>710934</v>
      </c>
      <c r="BX1018" s="113">
        <f>INDEX('Gross Gen Plant'!$E$7:$AD$91,MATCH($C1018,'Gross Gen Plant'!$D$7:$D$91,0),MATCH(Calculation!$G1018,'Gross Gen Plant'!$E$5:$AD$5,0))</f>
        <v>5351</v>
      </c>
      <c r="BY1018" s="113">
        <f t="shared" si="1868"/>
        <v>436634</v>
      </c>
      <c r="BZ1018" s="113"/>
      <c r="CA1018" s="116">
        <v>2013</v>
      </c>
      <c r="CB1018" s="113"/>
      <c r="CC1018" s="113"/>
      <c r="CD1018" s="113"/>
      <c r="CE1018" s="175"/>
      <c r="CF1018" s="113">
        <f t="shared" si="1852"/>
        <v>28861</v>
      </c>
      <c r="CG1018" s="113">
        <f t="shared" si="1831"/>
        <v>43.514616486345801</v>
      </c>
      <c r="CH1018" s="178">
        <v>0.90566037735849059</v>
      </c>
      <c r="CI1018" s="61">
        <f>+CI1003*CH1018+CG1004*CH1017+CG1005*CH1016+CG1006*CH1015+CG1007*CH1014+CG1008*CH1013+CG1009*CH1012+CG1010*CH1011+CG1011*CH1010+CG1012*CH1009+CG1013*CH1008+CG1014*CH1007+CG1015*CH1006+CG1016*CH1005+CG1017*CH1004+CG1018</f>
        <v>2058.8091267189575</v>
      </c>
      <c r="CJ1018" s="114">
        <f t="shared" si="1832"/>
        <v>1.3404290982383871E-2</v>
      </c>
      <c r="CK1018" s="114"/>
      <c r="CL1018" s="169">
        <f t="shared" si="1833"/>
        <v>7.9265054462756297E-3</v>
      </c>
      <c r="CM1018" s="169">
        <f t="shared" si="1841"/>
        <v>7.65996533876018E-3</v>
      </c>
      <c r="CN1018" s="114">
        <f>VLOOKUP($H1018,RoR!$E:$F,2,FALSE)</f>
        <v>4.2350000000000006E-2</v>
      </c>
      <c r="CO1018" s="169">
        <v>1.7730000000000024E-2</v>
      </c>
      <c r="CP1018" s="169">
        <f t="shared" si="1839"/>
        <v>2.4619999999999982E-2</v>
      </c>
      <c r="CQ1018" s="169">
        <f t="shared" si="1842"/>
        <v>2.3241976269773444E-2</v>
      </c>
      <c r="CR1018" s="169">
        <f t="shared" si="1843"/>
        <v>5.3376742735721204E-2</v>
      </c>
      <c r="CS1018" s="179">
        <f t="shared" si="1834"/>
        <v>0.85329623209999994</v>
      </c>
      <c r="CT1018" s="180">
        <f t="shared" si="1835"/>
        <v>1.2109103018193925</v>
      </c>
      <c r="CU1018" s="180">
        <f t="shared" si="1836"/>
        <v>0.38468122786304604</v>
      </c>
      <c r="CV1018" s="180">
        <f t="shared" si="1837"/>
        <v>0.80969194503422559</v>
      </c>
      <c r="CW1018" s="180">
        <f t="shared" si="1838"/>
        <v>0.37716621754800816</v>
      </c>
      <c r="CX1018" s="181">
        <f>INDEX('State Tax Lookup'!$D$7:$Z$91,MATCH(Calculation!$C1018,'State Tax Lookup'!$B$7:$B$91,0),MATCH($H1018,'State Tax Lookup'!$D$6:$Z$6,0))</f>
        <v>0.39649667</v>
      </c>
      <c r="CY1018" s="72">
        <v>0.37</v>
      </c>
      <c r="CZ1018" s="70">
        <f t="shared" si="1840"/>
        <v>21.720160287987134</v>
      </c>
      <c r="DA1018" s="70">
        <v>20.339519021246105</v>
      </c>
      <c r="DB1018" s="69">
        <f t="shared" si="1844"/>
        <v>-1.9062219246945223E-2</v>
      </c>
      <c r="DC1018" s="111">
        <f>VLOOKUP($H1018,RoR!$E:$F,2,FALSE)</f>
        <v>4.2350000000000006E-2</v>
      </c>
      <c r="DD1018" s="216">
        <f>HLOOKUP($H1018,'GDP-PI'!$D$8:$CQ$11,3,FALSE)</f>
        <v>1.7730000000000024E-2</v>
      </c>
      <c r="DE1018" s="111">
        <f>VLOOKUP(H1018,'HW Dx Data'!$E:$F,2,FALSE)</f>
        <v>663.24840548821396</v>
      </c>
      <c r="DF1018" s="72">
        <f t="shared" si="1856"/>
        <v>126.8</v>
      </c>
      <c r="DG1018" s="69">
        <f t="shared" si="1857"/>
        <v>1.5898586067798204E-2</v>
      </c>
      <c r="DH1018" s="66">
        <f>HLOOKUP(H1018,'GDP-PI'!$8:$9,2,FALSE)</f>
        <v>101.773</v>
      </c>
      <c r="DI1018" s="69">
        <f t="shared" si="1845"/>
        <v>1.7574657016510519E-2</v>
      </c>
      <c r="EB1018"/>
    </row>
    <row r="1019" spans="1:132" s="160" customFormat="1" ht="21">
      <c r="A1019" s="160" t="s">
        <v>220</v>
      </c>
      <c r="B1019" s="160" t="s">
        <v>221</v>
      </c>
      <c r="C1019" s="160">
        <v>4057096</v>
      </c>
      <c r="D1019" s="161" t="s">
        <v>171</v>
      </c>
      <c r="E1019" s="161" t="s">
        <v>3</v>
      </c>
      <c r="F1019" s="189"/>
      <c r="G1019" s="160" t="s">
        <v>130</v>
      </c>
      <c r="H1019" s="162">
        <v>2014</v>
      </c>
      <c r="I1019" s="163"/>
      <c r="J1019" s="159">
        <f>IFERROR(INDEX('Labor Expenditures'!$F$7:$X$91,MATCH($C1019,'Labor Expenditures'!$D$7:$D$91,0),MATCH($G1019,'Labor Expenditures'!$F$5:$X$5,0)),"NA")</f>
        <v>26923.615199322128</v>
      </c>
      <c r="K1019" s="159">
        <f t="shared" si="1846"/>
        <v>208.06503245225755</v>
      </c>
      <c r="L1019" s="165">
        <f t="shared" si="1853"/>
        <v>-4.0960793067066599E-3</v>
      </c>
      <c r="M1019" s="76">
        <f t="shared" si="1858"/>
        <v>-4.0138132898619892E-5</v>
      </c>
      <c r="N1019" s="62">
        <f t="shared" si="1864"/>
        <v>121.3404375617297</v>
      </c>
      <c r="O1019" s="96">
        <f t="shared" si="1859"/>
        <v>0.12199636419526277</v>
      </c>
      <c r="P1019" s="96"/>
      <c r="Q1019" s="159">
        <f>IFERROR(INDEX('Non-Labor Expenditures'!$F$7:$AB$91,MATCH($C1019,'Non-Labor Expenditures'!$D$7:$D$91,0),MATCH($G1019,'Non-Labor Expenditures'!$F$5:$AB$5,0)),"NA")</f>
        <v>38990.423446289933</v>
      </c>
      <c r="R1019" s="159">
        <f t="shared" si="1847"/>
        <v>376.18477569336238</v>
      </c>
      <c r="S1019" s="165">
        <f t="shared" si="1860"/>
        <v>-2.0447911412879655E-3</v>
      </c>
      <c r="T1019" s="165">
        <f t="shared" si="1861"/>
        <v>-2.003723376267498E-5</v>
      </c>
      <c r="U1019" s="165"/>
      <c r="V1019" s="165"/>
      <c r="W1019" s="159">
        <f t="shared" si="1829"/>
        <v>45646.853456852972</v>
      </c>
      <c r="X1019" s="163"/>
      <c r="Y1019" s="167">
        <v>2087.2280984428694</v>
      </c>
      <c r="Z1019" s="168">
        <v>1.3709195201297509E-2</v>
      </c>
      <c r="AA1019" s="76">
        <f t="shared" si="1848"/>
        <v>1.3433858519825003E-4</v>
      </c>
      <c r="AB1019" s="168"/>
      <c r="AC1019" s="168"/>
      <c r="AD1019" s="163">
        <f t="shared" si="1777"/>
        <v>111560.89210246503</v>
      </c>
      <c r="AE1019" s="168">
        <f t="shared" si="1862"/>
        <v>2.3433641923257378E-2</v>
      </c>
      <c r="AF1019" s="163"/>
      <c r="AG1019" s="163"/>
      <c r="AH1019" s="163"/>
      <c r="AI1019" s="163"/>
      <c r="AJ1019" s="116">
        <f t="shared" si="1863"/>
        <v>363.13385034833698</v>
      </c>
      <c r="AK1019" s="114">
        <f>+AV1019/$AX$19</f>
        <v>8.5017892342641888E-3</v>
      </c>
      <c r="AL1019" s="115">
        <f t="shared" si="1849"/>
        <v>0.24133560329182083</v>
      </c>
      <c r="AM1019" s="115">
        <f t="shared" si="1850"/>
        <v>0.34949902883959105</v>
      </c>
      <c r="AN1019" s="115">
        <f t="shared" si="1851"/>
        <v>0.40916536786858809</v>
      </c>
      <c r="AO1019" s="115">
        <f t="shared" si="1854"/>
        <v>3.8705674109628324E-3</v>
      </c>
      <c r="AP1019" s="166">
        <f t="shared" si="1866"/>
        <v>103.77972328321012</v>
      </c>
      <c r="AQ1019" s="168">
        <f t="shared" si="1867"/>
        <v>3.8705674109628793E-3</v>
      </c>
      <c r="AR1019" s="69">
        <f>+AD1019/$AF$19</f>
        <v>9.7991591209916924E-3</v>
      </c>
      <c r="AS1019" s="169">
        <f t="shared" si="1865"/>
        <v>3.7928305948550098E-5</v>
      </c>
      <c r="AT1019" s="115"/>
      <c r="AU1019" s="115"/>
      <c r="AV1019" s="113">
        <f>IFERROR(INDEX('Total Customers'!$F$7:$AB$91,MATCH($C1019,'Total Customers'!$D$7:$D$91,0),MATCH($G1019,'Total Customers'!$F$5:$AB$5,0)),"NA")</f>
        <v>307217</v>
      </c>
      <c r="AW1019" s="68">
        <f t="shared" si="1780"/>
        <v>4.6884491515955589E-3</v>
      </c>
      <c r="AX1019" s="114"/>
      <c r="AY1019" s="114"/>
      <c r="AZ1019" s="116">
        <v>8599754</v>
      </c>
      <c r="BA1019" s="116"/>
      <c r="BB1019" s="166"/>
      <c r="BC1019" s="166"/>
      <c r="BD1019" s="166"/>
      <c r="BE1019" s="166"/>
      <c r="BF1019" s="166"/>
      <c r="BG1019" s="166"/>
      <c r="BH1019" s="166"/>
      <c r="BI1019" s="113"/>
      <c r="BJ1019" s="113"/>
      <c r="BK1019" s="113">
        <f>INDEX('Dist. Plant Gas Additions'!$F$7:$AE$91,MATCH($C1019,'Dist. Plant Gas Additions'!$D$7:$D$91,0),MATCH(Calculation!$G1019,'Dist. Plant Gas Additions'!$F$5:$AE$5,0))</f>
        <v>30330</v>
      </c>
      <c r="BL1019" s="113">
        <f>INDEX('Gen. Plant Additions'!$F$7:$AE$91,MATCH($C1019,'Gen. Plant Additions'!$D$7:$D$91,0),MATCH(Calculation!$G1019,'Gen. Plant Additions'!$F$5:$AE$5,0))</f>
        <v>702</v>
      </c>
      <c r="BM1019" s="231">
        <f t="shared" si="1830"/>
        <v>0.99237496712766604</v>
      </c>
      <c r="BN1019" s="61">
        <f t="shared" si="1855"/>
        <v>696.64722692362159</v>
      </c>
      <c r="BO1019" s="113">
        <f>INDEX('Dist Plant Depreciation'!$E$7:$AD$94,MATCH($C1019,'Dist Plant Depreciation'!$D$7:$D$94,0),MATCH(Calculation!$G1019,'Dist Plant Depreciation'!$E$5:$AD$5,0))</f>
        <v>289087</v>
      </c>
      <c r="BP1019" s="113">
        <f>INDEX('Gen. Plant Depreciation'!$E$7:$AD$94,MATCH($C1019,'Gen. Plant Depreciation'!$D$7:$D$94,0),MATCH(Calculation!$G1019,'Gen. Plant Depreciation'!$E$5:$AD$5,0))</f>
        <v>2195</v>
      </c>
      <c r="BQ1019" s="113"/>
      <c r="BR1019" s="113"/>
      <c r="BS1019" s="113"/>
      <c r="BT1019" s="113"/>
      <c r="BU1019" s="113"/>
      <c r="BV1019" s="175"/>
      <c r="BW1019" s="113">
        <f>INDEX('Gross Dx Plant'!$E$7:$AD$91,MATCH($C1019,'Gross Dx Plant'!$D$7:$D$91,0),MATCH(Calculation!$G1019,'Gross Dx Plant'!$E$5:$AD$5,0))</f>
        <v>735851</v>
      </c>
      <c r="BX1019" s="113">
        <f>INDEX('Gross Gen Plant'!$E$7:$AD$91,MATCH($C1019,'Gross Gen Plant'!$D$7:$D$91,0),MATCH(Calculation!$G1019,'Gross Gen Plant'!$E$5:$AD$5,0))</f>
        <v>5654</v>
      </c>
      <c r="BY1019" s="113">
        <f t="shared" si="1868"/>
        <v>450223</v>
      </c>
      <c r="BZ1019" s="113"/>
      <c r="CA1019" s="116">
        <v>2014</v>
      </c>
      <c r="CB1019" s="113"/>
      <c r="CC1019" s="113"/>
      <c r="CD1019" s="113"/>
      <c r="CE1019" s="175"/>
      <c r="CF1019" s="113">
        <f t="shared" si="1852"/>
        <v>31032</v>
      </c>
      <c r="CG1019" s="113">
        <f t="shared" si="1831"/>
        <v>45.337325026471142</v>
      </c>
      <c r="CH1019" s="178">
        <v>0.89743589743589747</v>
      </c>
      <c r="CI1019" s="61">
        <f>+CI1003*CH1019+CG1004*CH1018+CG1005*CH1017+CG1006*CH1016+CG1007*CH1015+CG1008*CH1014+CG1009*CH1013+CG1010*CH1012+CG1011*CH1011+CG1012*CH1010+CG1013*CH1009+CG1014*CH1008+CG1015*CH1007+CG1016*CH1006+CG1017*CH1005+CG1018*CH1004+CG1019</f>
        <v>2087.2280984428694</v>
      </c>
      <c r="CJ1019" s="114">
        <f t="shared" si="1832"/>
        <v>1.3709195201297509E-2</v>
      </c>
      <c r="CK1019" s="114"/>
      <c r="CL1019" s="169">
        <f t="shared" si="1833"/>
        <v>8.21754337640874E-3</v>
      </c>
      <c r="CM1019" s="169">
        <f t="shared" si="1841"/>
        <v>7.9350870061392128E-3</v>
      </c>
      <c r="CN1019" s="114">
        <f>VLOOKUP($H1019,RoR!$E:$F,2,FALSE)</f>
        <v>4.1625000000000002E-2</v>
      </c>
      <c r="CO1019" s="169">
        <v>1.841352814597208E-2</v>
      </c>
      <c r="CP1019" s="169">
        <f t="shared" si="1839"/>
        <v>2.3211471854027922E-2</v>
      </c>
      <c r="CQ1019" s="169">
        <f t="shared" si="1842"/>
        <v>2.2966854602394414E-2</v>
      </c>
      <c r="CR1019" s="169">
        <f t="shared" si="1843"/>
        <v>3.9072621432650924E-2</v>
      </c>
      <c r="CS1019" s="179">
        <f t="shared" si="1834"/>
        <v>0.85329623209999994</v>
      </c>
      <c r="CT1019" s="180">
        <f t="shared" si="1835"/>
        <v>1.2320012320012319</v>
      </c>
      <c r="CU1019" s="180">
        <f t="shared" si="1836"/>
        <v>0.37439939939939942</v>
      </c>
      <c r="CV1019" s="180">
        <f t="shared" si="1837"/>
        <v>0.80432100613819935</v>
      </c>
      <c r="CW1019" s="180">
        <f t="shared" si="1838"/>
        <v>0.37100152660040037</v>
      </c>
      <c r="CX1019" s="181">
        <f>INDEX('State Tax Lookup'!$D$7:$Z$91,MATCH(Calculation!$C1019,'State Tax Lookup'!$B$7:$B$91,0),MATCH($H1019,'State Tax Lookup'!$D$6:$Z$6,0))</f>
        <v>0.39649667</v>
      </c>
      <c r="CY1019" s="72">
        <v>0.37</v>
      </c>
      <c r="CZ1019" s="70">
        <f t="shared" si="1840"/>
        <v>22.171483924592152</v>
      </c>
      <c r="DA1019" s="70">
        <v>20.763592984765573</v>
      </c>
      <c r="DB1019" s="69">
        <f t="shared" si="1844"/>
        <v>2.0566080509476076E-2</v>
      </c>
      <c r="DC1019" s="111">
        <f>VLOOKUP($H1019,RoR!$E:$F,2,FALSE)</f>
        <v>4.1625000000000002E-2</v>
      </c>
      <c r="DD1019" s="216">
        <f>HLOOKUP($H1019,'GDP-PI'!$D$8:$CQ$11,3,FALSE)</f>
        <v>1.841352814597208E-2</v>
      </c>
      <c r="DE1019" s="111">
        <f>VLOOKUP(H1019,'HW Dx Data'!$E:$F,2,FALSE)</f>
        <v>684.46914285042885</v>
      </c>
      <c r="DF1019" s="72">
        <f t="shared" si="1856"/>
        <v>129.4</v>
      </c>
      <c r="DG1019" s="69">
        <f t="shared" si="1857"/>
        <v>2.0297340063674733E-2</v>
      </c>
      <c r="DH1019" s="66">
        <f>HLOOKUP(H1019,'GDP-PI'!$8:$9,2,FALSE)</f>
        <v>103.64700000000001</v>
      </c>
      <c r="DI1019" s="69">
        <f t="shared" si="1845"/>
        <v>1.8246051898256087E-2</v>
      </c>
      <c r="EB1019"/>
    </row>
    <row r="1020" spans="1:132" s="160" customFormat="1" ht="21">
      <c r="A1020" s="160" t="s">
        <v>220</v>
      </c>
      <c r="B1020" s="160" t="s">
        <v>221</v>
      </c>
      <c r="C1020" s="160">
        <v>4057096</v>
      </c>
      <c r="D1020" s="161" t="s">
        <v>171</v>
      </c>
      <c r="E1020" s="161" t="s">
        <v>3</v>
      </c>
      <c r="F1020" s="189"/>
      <c r="G1020" s="160" t="s">
        <v>132</v>
      </c>
      <c r="H1020" s="162">
        <v>2015</v>
      </c>
      <c r="I1020" s="163"/>
      <c r="J1020" s="159">
        <f>IFERROR(INDEX('Labor Expenditures'!$F$7:$X$91,MATCH($C1020,'Labor Expenditures'!$D$7:$D$91,0),MATCH($G1020,'Labor Expenditures'!$F$5:$X$5,0)),"NA")</f>
        <v>29570.99715815932</v>
      </c>
      <c r="K1020" s="159">
        <f t="shared" si="1846"/>
        <v>221.505596690332</v>
      </c>
      <c r="L1020" s="165">
        <f t="shared" si="1853"/>
        <v>6.2597169535875796E-2</v>
      </c>
      <c r="M1020" s="76">
        <f t="shared" si="1858"/>
        <v>6.4030485242514519E-4</v>
      </c>
      <c r="N1020" s="62">
        <f t="shared" si="1864"/>
        <v>121.24506097658781</v>
      </c>
      <c r="O1020" s="96">
        <f t="shared" si="1859"/>
        <v>-7.8633381328249837E-4</v>
      </c>
      <c r="P1020" s="96"/>
      <c r="Q1020" s="159">
        <f>IFERROR(INDEX('Non-Labor Expenditures'!$F$7:$AB$91,MATCH($C1020,'Non-Labor Expenditures'!$D$7:$D$91,0),MATCH($G1020,'Non-Labor Expenditures'!$F$5:$AB$5,0)),"NA")</f>
        <v>42824.326985430154</v>
      </c>
      <c r="R1020" s="159">
        <f t="shared" si="1847"/>
        <v>409.2578004895895</v>
      </c>
      <c r="S1020" s="165">
        <f t="shared" si="1860"/>
        <v>8.4264829123936819E-2</v>
      </c>
      <c r="T1020" s="165">
        <f t="shared" si="1861"/>
        <v>8.6194279033510539E-4</v>
      </c>
      <c r="U1020" s="165"/>
      <c r="V1020" s="165"/>
      <c r="W1020" s="159">
        <f t="shared" si="1829"/>
        <v>45210.440946179348</v>
      </c>
      <c r="X1020" s="163"/>
      <c r="Y1020" s="167">
        <v>2103.7069659496556</v>
      </c>
      <c r="Z1020" s="168">
        <v>7.8640934207028692E-3</v>
      </c>
      <c r="AA1020" s="76">
        <f t="shared" si="1848"/>
        <v>8.0441611250725936E-5</v>
      </c>
      <c r="AB1020" s="168"/>
      <c r="AC1020" s="168"/>
      <c r="AD1020" s="163">
        <f t="shared" si="1777"/>
        <v>117605.76508976883</v>
      </c>
      <c r="AE1020" s="168">
        <f t="shared" si="1862"/>
        <v>5.2767497791956018E-2</v>
      </c>
      <c r="AF1020" s="163"/>
      <c r="AG1020" s="163"/>
      <c r="AH1020" s="163"/>
      <c r="AI1020" s="163"/>
      <c r="AJ1020" s="116">
        <f t="shared" si="1863"/>
        <v>380.94884357170241</v>
      </c>
      <c r="AK1020" s="114">
        <f>+AV1020/$AX$20</f>
        <v>8.4738588872668632E-3</v>
      </c>
      <c r="AL1020" s="115">
        <f t="shared" si="1849"/>
        <v>0.25144173107149714</v>
      </c>
      <c r="AM1020" s="115">
        <f t="shared" si="1850"/>
        <v>0.3641345894288619</v>
      </c>
      <c r="AN1020" s="115">
        <f t="shared" si="1851"/>
        <v>0.3844236794996409</v>
      </c>
      <c r="AO1020" s="115">
        <f t="shared" si="1854"/>
        <v>4.8610769824607936E-2</v>
      </c>
      <c r="AP1020" s="166">
        <f t="shared" si="1866"/>
        <v>108.94916283046167</v>
      </c>
      <c r="AQ1020" s="168">
        <f t="shared" si="1867"/>
        <v>4.8610769824607956E-2</v>
      </c>
      <c r="AR1020" s="69">
        <f>+AD1020/$AF$20</f>
        <v>1.0228974523491394E-2</v>
      </c>
      <c r="AS1020" s="169">
        <f t="shared" si="1865"/>
        <v>4.9723832610321897E-4</v>
      </c>
      <c r="AT1020" s="115"/>
      <c r="AU1020" s="115"/>
      <c r="AV1020" s="113">
        <f>IFERROR(INDEX('Total Customers'!$F$7:$AB$91,MATCH($C1020,'Total Customers'!$D$7:$D$91,0),MATCH($G1020,'Total Customers'!$F$5:$AB$5,0)),"NA")</f>
        <v>308718</v>
      </c>
      <c r="AW1020" s="68">
        <f t="shared" si="1780"/>
        <v>4.8739005620454766E-3</v>
      </c>
      <c r="AX1020" s="114"/>
      <c r="AY1020" s="114"/>
      <c r="AZ1020" s="116">
        <v>8659109</v>
      </c>
      <c r="BA1020" s="116"/>
      <c r="BB1020" s="166"/>
      <c r="BC1020" s="166"/>
      <c r="BD1020" s="166"/>
      <c r="BE1020" s="166"/>
      <c r="BF1020" s="166"/>
      <c r="BG1020" s="166"/>
      <c r="BH1020" s="166"/>
      <c r="BI1020" s="113"/>
      <c r="BJ1020" s="113"/>
      <c r="BK1020" s="113">
        <f>INDEX('Dist. Plant Gas Additions'!$F$7:$AE$91,MATCH($C1020,'Dist. Plant Gas Additions'!$D$7:$D$91,0),MATCH(Calculation!$G1020,'Dist. Plant Gas Additions'!$F$5:$AE$5,0))</f>
        <v>22894</v>
      </c>
      <c r="BL1020" s="113">
        <f>INDEX('Gen. Plant Additions'!$F$7:$AE$91,MATCH($C1020,'Gen. Plant Additions'!$D$7:$D$91,0),MATCH(Calculation!$G1020,'Gen. Plant Additions'!$F$5:$AE$5,0))</f>
        <v>255</v>
      </c>
      <c r="BM1020" s="231">
        <f t="shared" si="1830"/>
        <v>0.99223364517918211</v>
      </c>
      <c r="BN1020" s="61">
        <f t="shared" si="1855"/>
        <v>253.01957952069145</v>
      </c>
      <c r="BO1020" s="113">
        <f>INDEX('Dist Plant Depreciation'!$E$7:$AD$94,MATCH($C1020,'Dist Plant Depreciation'!$D$7:$D$94,0),MATCH(Calculation!$G1020,'Dist Plant Depreciation'!$E$5:$AD$5,0))</f>
        <v>307261</v>
      </c>
      <c r="BP1020" s="113">
        <f>INDEX('Gen. Plant Depreciation'!$E$7:$AD$94,MATCH($C1020,'Gen. Plant Depreciation'!$D$7:$D$94,0),MATCH(Calculation!$G1020,'Gen. Plant Depreciation'!$E$5:$AD$5,0))</f>
        <v>4307</v>
      </c>
      <c r="BQ1020" s="113"/>
      <c r="BR1020" s="113"/>
      <c r="BS1020" s="113"/>
      <c r="BT1020" s="113"/>
      <c r="BU1020" s="113"/>
      <c r="BV1020" s="175"/>
      <c r="BW1020" s="113">
        <f>INDEX('Gross Dx Plant'!$E$7:$AD$91,MATCH($C1020,'Gross Dx Plant'!$D$7:$D$91,0),MATCH(Calculation!$G1020,'Gross Dx Plant'!$E$5:$AD$5,0))</f>
        <v>754937</v>
      </c>
      <c r="BX1020" s="113">
        <f>INDEX('Gross Gen Plant'!$E$7:$AD$91,MATCH($C1020,'Gross Gen Plant'!$D$7:$D$91,0),MATCH(Calculation!$G1020,'Gross Gen Plant'!$E$5:$AD$5,0))</f>
        <v>5909</v>
      </c>
      <c r="BY1020" s="113">
        <f t="shared" si="1868"/>
        <v>449278</v>
      </c>
      <c r="BZ1020" s="113"/>
      <c r="CA1020" s="116">
        <v>2015</v>
      </c>
      <c r="CB1020" s="113"/>
      <c r="CC1020" s="113"/>
      <c r="CD1020" s="113"/>
      <c r="CE1020" s="175"/>
      <c r="CF1020" s="113">
        <f t="shared" si="1852"/>
        <v>23149</v>
      </c>
      <c r="CG1020" s="113">
        <f t="shared" si="1831"/>
        <v>34.263615478900959</v>
      </c>
      <c r="CH1020" s="178">
        <v>0.88888888888888884</v>
      </c>
      <c r="CI1020" s="61">
        <f>+CI1003*CH1020+CG1004*CH1019+CG1005*CH1018+CG1006*CH1017+CG1007*CH1016+CG1008*CH1015+CG1009*CH1014+CG1010*CH1013+CG1011*CH1012+CG1012*CH1011+CG1013*CH1010+CG1014*CH1009+CG1015*CH1008+CG1016*CH1007+CG1017*CH1006+CG1018*CH1005+CG1019*CH1004+CG1020</f>
        <v>2103.7069659496556</v>
      </c>
      <c r="CJ1020" s="114">
        <f t="shared" si="1832"/>
        <v>7.8640934207028692E-3</v>
      </c>
      <c r="CK1020" s="114"/>
      <c r="CL1020" s="169">
        <f t="shared" si="1833"/>
        <v>8.5207495938669602E-3</v>
      </c>
      <c r="CM1020" s="169">
        <f t="shared" si="1841"/>
        <v>8.221599472183776E-3</v>
      </c>
      <c r="CN1020" s="114">
        <f>VLOOKUP($H1020,RoR!$E:$F,2,FALSE)</f>
        <v>3.8866666666666674E-2</v>
      </c>
      <c r="CO1020" s="169">
        <v>9.5709475431029478E-3</v>
      </c>
      <c r="CP1020" s="169">
        <f t="shared" si="1839"/>
        <v>2.9295719123563727E-2</v>
      </c>
      <c r="CQ1020" s="169">
        <f t="shared" si="1842"/>
        <v>2.2680342136349847E-2</v>
      </c>
      <c r="CR1020" s="169">
        <f t="shared" si="1843"/>
        <v>3.5270373279175926E-3</v>
      </c>
      <c r="CS1020" s="179">
        <f t="shared" si="1834"/>
        <v>0.85329623209999994</v>
      </c>
      <c r="CT1020" s="180">
        <f t="shared" si="1835"/>
        <v>1.3194352816994324</v>
      </c>
      <c r="CU1020" s="180">
        <f t="shared" si="1836"/>
        <v>0.33177530017152673</v>
      </c>
      <c r="CV1020" s="180">
        <f t="shared" si="1837"/>
        <v>0.78242572977668579</v>
      </c>
      <c r="CW1020" s="180">
        <f t="shared" si="1838"/>
        <v>0.34251158643433932</v>
      </c>
      <c r="CX1020" s="181">
        <f>INDEX('State Tax Lookup'!$D$7:$Z$91,MATCH(Calculation!$C1020,'State Tax Lookup'!$B$7:$B$91,0),MATCH($H1020,'State Tax Lookup'!$D$6:$Z$6,0))</f>
        <v>0.39649667</v>
      </c>
      <c r="CY1020" s="72">
        <v>0.37</v>
      </c>
      <c r="CZ1020" s="70">
        <f t="shared" si="1840"/>
        <v>21.660517592642414</v>
      </c>
      <c r="DA1020" s="70">
        <v>20.279488671080099</v>
      </c>
      <c r="DB1020" s="69">
        <f t="shared" si="1844"/>
        <v>-2.3315817758348834E-2</v>
      </c>
      <c r="DC1020" s="111">
        <f>VLOOKUP($H1020,RoR!$E:$F,2,FALSE)</f>
        <v>3.8866666666666674E-2</v>
      </c>
      <c r="DD1020" s="216">
        <f>HLOOKUP($H1020,'GDP-PI'!$D$8:$CQ$11,3,FALSE)</f>
        <v>9.5709475431029478E-3</v>
      </c>
      <c r="DE1020" s="111">
        <f>VLOOKUP(H1020,'HW Dx Data'!$E:$F,2,FALSE)</f>
        <v>675.61463308665782</v>
      </c>
      <c r="DF1020" s="72">
        <f t="shared" si="1856"/>
        <v>133.5</v>
      </c>
      <c r="DG1020" s="69">
        <f t="shared" si="1857"/>
        <v>3.1193095773504077E-2</v>
      </c>
      <c r="DH1020" s="66">
        <f>HLOOKUP(H1020,'GDP-PI'!$8:$9,2,FALSE)</f>
        <v>104.639</v>
      </c>
      <c r="DI1020" s="69">
        <f t="shared" si="1845"/>
        <v>9.5254361854427965E-3</v>
      </c>
      <c r="EB1020"/>
    </row>
    <row r="1021" spans="1:132" s="160" customFormat="1" ht="21">
      <c r="A1021" s="160" t="s">
        <v>220</v>
      </c>
      <c r="B1021" s="160" t="s">
        <v>221</v>
      </c>
      <c r="C1021" s="160">
        <v>4057096</v>
      </c>
      <c r="D1021" s="161" t="s">
        <v>171</v>
      </c>
      <c r="E1021" s="161" t="s">
        <v>3</v>
      </c>
      <c r="F1021" s="189"/>
      <c r="G1021" s="160" t="s">
        <v>133</v>
      </c>
      <c r="H1021" s="162">
        <v>2016</v>
      </c>
      <c r="I1021" s="163"/>
      <c r="J1021" s="159">
        <f>IFERROR(INDEX('Labor Expenditures'!$F$7:$X$91,MATCH($C1021,'Labor Expenditures'!$D$7:$D$91,0),MATCH($G1021,'Labor Expenditures'!$F$5:$X$5,0)),"NA")</f>
        <v>29351.934835500797</v>
      </c>
      <c r="K1021" s="159">
        <f t="shared" si="1846"/>
        <v>214.32592066813288</v>
      </c>
      <c r="L1021" s="165">
        <f t="shared" si="1853"/>
        <v>-3.2950006171612846E-2</v>
      </c>
      <c r="M1021" s="76">
        <f t="shared" si="1858"/>
        <v>-3.2269908884775177E-4</v>
      </c>
      <c r="N1021" s="62">
        <f t="shared" si="1864"/>
        <v>300.26909402083123</v>
      </c>
      <c r="O1021" s="96">
        <f t="shared" si="1859"/>
        <v>0.90686525790519312</v>
      </c>
      <c r="P1021" s="96"/>
      <c r="Q1021" s="159">
        <f>IFERROR(INDEX('Non-Labor Expenditures'!$F$7:$AB$91,MATCH($C1021,'Non-Labor Expenditures'!$D$7:$D$91,0),MATCH($G1021,'Non-Labor Expenditures'!$F$5:$AB$5,0)),"NA")</f>
        <v>42507.083827022565</v>
      </c>
      <c r="R1021" s="159">
        <f t="shared" si="1847"/>
        <v>402.01146087446625</v>
      </c>
      <c r="S1021" s="165">
        <f t="shared" si="1860"/>
        <v>-1.7864678670034807E-2</v>
      </c>
      <c r="T1021" s="165">
        <f t="shared" si="1861"/>
        <v>-1.7495946736254935E-4</v>
      </c>
      <c r="U1021" s="165"/>
      <c r="V1021" s="165"/>
      <c r="W1021" s="159">
        <f t="shared" si="1829"/>
        <v>44662.685089133847</v>
      </c>
      <c r="X1021" s="163"/>
      <c r="Y1021" s="167">
        <v>2138.6458759751144</v>
      </c>
      <c r="Z1021" s="168">
        <v>1.6471850078439924E-2</v>
      </c>
      <c r="AA1021" s="76">
        <f t="shared" si="1848"/>
        <v>1.6131866513969606E-4</v>
      </c>
      <c r="AB1021" s="168"/>
      <c r="AC1021" s="168"/>
      <c r="AD1021" s="163">
        <f t="shared" si="1777"/>
        <v>116521.70375165722</v>
      </c>
      <c r="AE1021" s="168">
        <f t="shared" si="1862"/>
        <v>-9.2605031832594716E-3</v>
      </c>
      <c r="AF1021" s="163"/>
      <c r="AG1021" s="163"/>
      <c r="AH1021" s="163"/>
      <c r="AI1021" s="163"/>
      <c r="AJ1021" s="116">
        <f t="shared" si="1863"/>
        <v>375.12621129243843</v>
      </c>
      <c r="AK1021" s="114">
        <f>+AV1021/$AX$21</f>
        <v>8.4523888760662975E-3</v>
      </c>
      <c r="AL1021" s="115">
        <f t="shared" si="1849"/>
        <v>0.25190100977289687</v>
      </c>
      <c r="AM1021" s="115">
        <f t="shared" si="1850"/>
        <v>0.36479971076991752</v>
      </c>
      <c r="AN1021" s="115">
        <f t="shared" si="1851"/>
        <v>0.38329927945718556</v>
      </c>
      <c r="AO1021" s="115">
        <f t="shared" si="1854"/>
        <v>-8.4807529900820314E-3</v>
      </c>
      <c r="AP1021" s="166">
        <f t="shared" si="1866"/>
        <v>108.02909882429282</v>
      </c>
      <c r="AQ1021" s="168">
        <f t="shared" si="1867"/>
        <v>-8.4807529900820106E-3</v>
      </c>
      <c r="AR1021" s="69">
        <f>+AD1021/$AF$21</f>
        <v>9.7935972201960951E-3</v>
      </c>
      <c r="AS1021" s="169">
        <f t="shared" si="1865"/>
        <v>-8.3057078908836904E-5</v>
      </c>
      <c r="AT1021" s="115"/>
      <c r="AU1021" s="115"/>
      <c r="AV1021" s="113">
        <f>IFERROR(INDEX('Total Customers'!$F$7:$AB$91,MATCH($C1021,'Total Customers'!$D$7:$D$91,0),MATCH($G1021,'Total Customers'!$F$5:$AB$5,0)),"NA")</f>
        <v>310620</v>
      </c>
      <c r="AW1021" s="68">
        <f t="shared" si="1780"/>
        <v>6.1420612957563602E-3</v>
      </c>
      <c r="AX1021" s="114"/>
      <c r="AY1021" s="114"/>
      <c r="AZ1021" s="116">
        <v>8759079</v>
      </c>
      <c r="BA1021" s="116"/>
      <c r="BB1021" s="166"/>
      <c r="BC1021" s="166"/>
      <c r="BD1021" s="166"/>
      <c r="BE1021" s="166"/>
      <c r="BF1021" s="166"/>
      <c r="BG1021" s="166"/>
      <c r="BH1021" s="166"/>
      <c r="BI1021" s="113"/>
      <c r="BJ1021" s="113"/>
      <c r="BK1021" s="113">
        <f>INDEX('Dist. Plant Gas Additions'!$F$7:$AE$91,MATCH($C1021,'Dist. Plant Gas Additions'!$D$7:$D$91,0),MATCH(Calculation!$G1021,'Dist. Plant Gas Additions'!$F$5:$AE$5,0))</f>
        <v>35666</v>
      </c>
      <c r="BL1021" s="113">
        <f>INDEX('Gen. Plant Additions'!$F$7:$AE$91,MATCH($C1021,'Gen. Plant Additions'!$D$7:$D$91,0),MATCH(Calculation!$G1021,'Gen. Plant Additions'!$F$5:$AE$5,0))</f>
        <v>310</v>
      </c>
      <c r="BM1021" s="231">
        <f t="shared" si="1830"/>
        <v>0.99215695175264385</v>
      </c>
      <c r="BN1021" s="61">
        <f t="shared" si="1855"/>
        <v>307.56865504331961</v>
      </c>
      <c r="BO1021" s="113">
        <f>INDEX('Dist Plant Depreciation'!$E$7:$AD$94,MATCH($C1021,'Dist Plant Depreciation'!$D$7:$D$94,0),MATCH(Calculation!$G1021,'Dist Plant Depreciation'!$E$5:$AD$5,0))</f>
        <v>316284</v>
      </c>
      <c r="BP1021" s="113">
        <f>INDEX('Gen. Plant Depreciation'!$E$7:$AD$94,MATCH($C1021,'Gen. Plant Depreciation'!$D$7:$D$94,0),MATCH(Calculation!$G1021,'Gen. Plant Depreciation'!$E$5:$AD$5,0))</f>
        <v>2686</v>
      </c>
      <c r="BQ1021" s="113"/>
      <c r="BR1021" s="113"/>
      <c r="BS1021" s="113"/>
      <c r="BT1021" s="113"/>
      <c r="BU1021" s="113"/>
      <c r="BV1021" s="175"/>
      <c r="BW1021" s="113">
        <f>INDEX('Gross Dx Plant'!$E$7:$AD$91,MATCH($C1021,'Gross Dx Plant'!$D$7:$D$91,0),MATCH(Calculation!$G1021,'Gross Dx Plant'!$E$5:$AD$5,0))</f>
        <v>786839</v>
      </c>
      <c r="BX1021" s="113">
        <f>INDEX('Gross Gen Plant'!$E$7:$AD$91,MATCH($C1021,'Gross Gen Plant'!$D$7:$D$91,0),MATCH(Calculation!$G1021,'Gross Gen Plant'!$E$5:$AD$5,0))</f>
        <v>6220</v>
      </c>
      <c r="BY1021" s="113">
        <f t="shared" si="1868"/>
        <v>474089</v>
      </c>
      <c r="BZ1021" s="113"/>
      <c r="CA1021" s="116">
        <v>2016</v>
      </c>
      <c r="CB1021" s="113"/>
      <c r="CC1021" s="113"/>
      <c r="CD1021" s="113"/>
      <c r="CE1021" s="175"/>
      <c r="CF1021" s="113">
        <f t="shared" si="1852"/>
        <v>35976</v>
      </c>
      <c r="CG1021" s="113">
        <f t="shared" si="1831"/>
        <v>53.579056404840024</v>
      </c>
      <c r="CH1021" s="178">
        <v>0.88</v>
      </c>
      <c r="CI1021" s="61">
        <f>+CI1003*CH1021+CG1004*CH1020+CG1005*CH1019+CG1006*CH1018+CG1007*CH1017+CG1008*CH1016+CG1009*CH1015+CG1010*CH1014+CG1011*CH1013+CG1012*CH1012+CG1013*CH1011+CG1014*CH1010+CG1015*CH1009+CG1016*CH1008+CG1017*CH1007+CG1018*CH1006+CG1019*CH1005+CG1020*CH1004+CG1021</f>
        <v>2138.6458759751144</v>
      </c>
      <c r="CJ1021" s="114">
        <f t="shared" si="1832"/>
        <v>1.6471850078439924E-2</v>
      </c>
      <c r="CK1021" s="114"/>
      <c r="CL1021" s="169">
        <f t="shared" si="1833"/>
        <v>8.8606192217301552E-3</v>
      </c>
      <c r="CM1021" s="169">
        <f t="shared" si="1841"/>
        <v>8.5329707306686185E-3</v>
      </c>
      <c r="CN1021" s="114">
        <f>VLOOKUP($H1021,RoR!$E:$F,2,FALSE)</f>
        <v>3.6658333333333334E-2</v>
      </c>
      <c r="CO1021" s="169">
        <v>1.0483662879041455E-2</v>
      </c>
      <c r="CP1021" s="169">
        <f t="shared" si="1839"/>
        <v>2.6174670454291879E-2</v>
      </c>
      <c r="CQ1021" s="169">
        <f t="shared" si="1842"/>
        <v>2.2368970877865005E-2</v>
      </c>
      <c r="CR1021" s="169">
        <f t="shared" si="1843"/>
        <v>4.301363574220729E-3</v>
      </c>
      <c r="CS1021" s="179">
        <f t="shared" si="1834"/>
        <v>0.85329623209999994</v>
      </c>
      <c r="CT1021" s="180">
        <f t="shared" si="1835"/>
        <v>1.3989193348138562</v>
      </c>
      <c r="CU1021" s="180">
        <f t="shared" si="1836"/>
        <v>0.29302682427824522</v>
      </c>
      <c r="CV1021" s="180">
        <f t="shared" si="1837"/>
        <v>0.76309497491941802</v>
      </c>
      <c r="CW1021" s="180">
        <f t="shared" si="1838"/>
        <v>0.31280857135128509</v>
      </c>
      <c r="CX1021" s="181">
        <f>INDEX('State Tax Lookup'!$D$7:$Z$91,MATCH(Calculation!$C1021,'State Tax Lookup'!$B$7:$B$91,0),MATCH($H1021,'State Tax Lookup'!$D$6:$Z$6,0))</f>
        <v>0.39649667</v>
      </c>
      <c r="CY1021" s="72">
        <v>0.37</v>
      </c>
      <c r="CZ1021" s="70">
        <f t="shared" si="1840"/>
        <v>21.230468792488033</v>
      </c>
      <c r="DA1021" s="70">
        <v>19.909765876209278</v>
      </c>
      <c r="DB1021" s="69">
        <f t="shared" si="1844"/>
        <v>-2.0053780454189075E-2</v>
      </c>
      <c r="DC1021" s="111">
        <f>VLOOKUP($H1021,RoR!$E:$F,2,FALSE)</f>
        <v>3.6658333333333334E-2</v>
      </c>
      <c r="DD1021" s="216">
        <f>HLOOKUP($H1021,'GDP-PI'!$D$8:$CQ$11,3,FALSE)</f>
        <v>1.0483662879041455E-2</v>
      </c>
      <c r="DE1021" s="111">
        <f>VLOOKUP(H1021,'HW Dx Data'!$E:$F,2,FALSE)</f>
        <v>671.45639385971219</v>
      </c>
      <c r="DF1021" s="72">
        <f t="shared" si="1856"/>
        <v>136.94999999999999</v>
      </c>
      <c r="DG1021" s="69">
        <f t="shared" si="1857"/>
        <v>2.5514417868782811E-2</v>
      </c>
      <c r="DH1021" s="66">
        <f>HLOOKUP(H1021,'GDP-PI'!$8:$9,2,FALSE)</f>
        <v>105.736</v>
      </c>
      <c r="DI1021" s="69">
        <f t="shared" si="1845"/>
        <v>1.0429090367205095E-2</v>
      </c>
      <c r="EB1021"/>
    </row>
    <row r="1022" spans="1:132" s="160" customFormat="1" ht="21">
      <c r="A1022" s="160" t="s">
        <v>220</v>
      </c>
      <c r="B1022" s="160" t="s">
        <v>221</v>
      </c>
      <c r="C1022" s="160">
        <v>4057096</v>
      </c>
      <c r="D1022" s="161" t="s">
        <v>171</v>
      </c>
      <c r="E1022" s="161" t="s">
        <v>3</v>
      </c>
      <c r="F1022" s="189"/>
      <c r="G1022" s="160" t="s">
        <v>135</v>
      </c>
      <c r="H1022" s="162">
        <v>2017</v>
      </c>
      <c r="I1022" s="163"/>
      <c r="J1022" s="159">
        <f>IFERROR(INDEX('Labor Expenditures'!$F$7:$X$91,MATCH($C1022,'Labor Expenditures'!$D$7:$D$91,0),MATCH($G1022,'Labor Expenditures'!$F$5:$X$5,0)),"NA")</f>
        <v>29187.325427550655</v>
      </c>
      <c r="K1022" s="159">
        <f t="shared" si="1846"/>
        <v>207.81292579245752</v>
      </c>
      <c r="L1022" s="165">
        <f t="shared" si="1853"/>
        <v>-3.0859570445156165E-2</v>
      </c>
      <c r="M1022" s="76">
        <f t="shared" si="1858"/>
        <v>-2.9271099831799105E-4</v>
      </c>
      <c r="N1022" s="62">
        <f t="shared" si="1864"/>
        <v>169.44379336529607</v>
      </c>
      <c r="O1022" s="96">
        <f t="shared" si="1859"/>
        <v>-0.57215778341582402</v>
      </c>
      <c r="P1022" s="96"/>
      <c r="Q1022" s="159">
        <f>IFERROR(INDEX('Non-Labor Expenditures'!$F$7:$AB$91,MATCH($C1022,'Non-Labor Expenditures'!$D$7:$D$91,0),MATCH($G1022,'Non-Labor Expenditures'!$F$5:$AB$5,0)),"NA")</f>
        <v>42268.698659514273</v>
      </c>
      <c r="R1022" s="159">
        <f t="shared" si="1847"/>
        <v>392.28126569140215</v>
      </c>
      <c r="S1022" s="165">
        <f t="shared" si="1860"/>
        <v>-2.4501500831735835E-2</v>
      </c>
      <c r="T1022" s="165">
        <f t="shared" si="1861"/>
        <v>-2.3240306541182613E-4</v>
      </c>
      <c r="U1022" s="165"/>
      <c r="V1022" s="165"/>
      <c r="W1022" s="159">
        <f t="shared" si="1829"/>
        <v>40856.730017611007</v>
      </c>
      <c r="X1022" s="163"/>
      <c r="Y1022" s="167">
        <v>2234.7534698876148</v>
      </c>
      <c r="Z1022" s="168">
        <v>4.395805716520234E-2</v>
      </c>
      <c r="AA1022" s="76">
        <f t="shared" si="1848"/>
        <v>4.1695352888378753E-4</v>
      </c>
      <c r="AB1022" s="168"/>
      <c r="AC1022" s="168"/>
      <c r="AD1022" s="163">
        <f t="shared" si="1777"/>
        <v>112312.75410467593</v>
      </c>
      <c r="AE1022" s="168">
        <f t="shared" si="1862"/>
        <v>-3.6790126931621987E-2</v>
      </c>
      <c r="AF1022" s="163"/>
      <c r="AG1022" s="163"/>
      <c r="AH1022" s="163"/>
      <c r="AI1022" s="163"/>
      <c r="AJ1022" s="116">
        <f t="shared" si="1863"/>
        <v>358.77740152207821</v>
      </c>
      <c r="AK1022" s="114">
        <f>+AV1022/$AX$22</f>
        <v>8.4543224658989221E-3</v>
      </c>
      <c r="AL1022" s="115">
        <f t="shared" si="1849"/>
        <v>0.25987543142560598</v>
      </c>
      <c r="AM1022" s="115">
        <f t="shared" si="1850"/>
        <v>0.37634816273955563</v>
      </c>
      <c r="AN1022" s="115">
        <f t="shared" si="1851"/>
        <v>0.36377640583483845</v>
      </c>
      <c r="AO1022" s="115">
        <f t="shared" si="1854"/>
        <v>-5.5622034888430996E-4</v>
      </c>
      <c r="AP1022" s="166">
        <f t="shared" si="1866"/>
        <v>107.96902754923664</v>
      </c>
      <c r="AQ1022" s="168">
        <f t="shared" si="1867"/>
        <v>-5.5622034888428015E-4</v>
      </c>
      <c r="AR1022" s="69">
        <f>+AD1022/$AF$22</f>
        <v>9.4852583524517621E-3</v>
      </c>
      <c r="AS1022" s="169">
        <f t="shared" si="1865"/>
        <v>-5.2758937100582513E-6</v>
      </c>
      <c r="AT1022" s="115"/>
      <c r="AU1022" s="115"/>
      <c r="AV1022" s="113">
        <f>IFERROR(INDEX('Total Customers'!$F$7:$AB$91,MATCH($C1022,'Total Customers'!$D$7:$D$91,0),MATCH($G1022,'Total Customers'!$F$5:$AB$5,0)),"NA")</f>
        <v>313043</v>
      </c>
      <c r="AW1022" s="68">
        <f t="shared" si="1780"/>
        <v>7.770261154187089E-3</v>
      </c>
      <c r="AX1022" s="114"/>
      <c r="AY1022" s="114"/>
      <c r="AZ1022" s="116">
        <v>8824403</v>
      </c>
      <c r="BA1022" s="116"/>
      <c r="BB1022" s="166"/>
      <c r="BC1022" s="166"/>
      <c r="BD1022" s="166"/>
      <c r="BE1022" s="166"/>
      <c r="BF1022" s="166"/>
      <c r="BG1022" s="166"/>
      <c r="BH1022" s="166"/>
      <c r="BI1022" s="113"/>
      <c r="BJ1022" s="113"/>
      <c r="BK1022" s="113">
        <f>INDEX('Dist. Plant Gas Additions'!$F$7:$AE$91,MATCH($C1022,'Dist. Plant Gas Additions'!$D$7:$D$91,0),MATCH(Calculation!$G1022,'Dist. Plant Gas Additions'!$F$5:$AE$5,0))</f>
        <v>82147</v>
      </c>
      <c r="BL1022" s="113">
        <f>INDEX('Gen. Plant Additions'!$F$7:$AE$91,MATCH($C1022,'Gen. Plant Additions'!$D$7:$D$91,0),MATCH(Calculation!$G1022,'Gen. Plant Additions'!$F$5:$AE$5,0))</f>
        <v>313</v>
      </c>
      <c r="BM1022" s="231">
        <f t="shared" si="1830"/>
        <v>0.99256825874130672</v>
      </c>
      <c r="BN1022" s="61">
        <f t="shared" si="1855"/>
        <v>310.673864986029</v>
      </c>
      <c r="BO1022" s="113">
        <f>INDEX('Dist Plant Depreciation'!$E$7:$AD$94,MATCH($C1022,'Dist Plant Depreciation'!$D$7:$D$94,0),MATCH(Calculation!$G1022,'Dist Plant Depreciation'!$E$5:$AD$5,0))</f>
        <v>333608</v>
      </c>
      <c r="BP1022" s="113">
        <f>INDEX('Gen. Plant Depreciation'!$E$7:$AD$94,MATCH($C1022,'Gen. Plant Depreciation'!$D$7:$D$94,0),MATCH(Calculation!$G1022,'Gen. Plant Depreciation'!$E$5:$AD$5,0))</f>
        <v>2889</v>
      </c>
      <c r="BQ1022" s="113"/>
      <c r="BR1022" s="113"/>
      <c r="BS1022" s="113"/>
      <c r="BT1022" s="113"/>
      <c r="BU1022" s="113"/>
      <c r="BV1022" s="175"/>
      <c r="BW1022" s="113">
        <f>INDEX('Gross Dx Plant'!$E$7:$AD$91,MATCH($C1022,'Gross Dx Plant'!$D$7:$D$91,0),MATCH(Calculation!$G1022,'Gross Dx Plant'!$E$5:$AD$5,0))</f>
        <v>867459</v>
      </c>
      <c r="BX1022" s="113">
        <f>INDEX('Gross Gen Plant'!$E$7:$AD$91,MATCH($C1022,'Gross Gen Plant'!$D$7:$D$91,0),MATCH(Calculation!$G1022,'Gross Gen Plant'!$E$5:$AD$5,0))</f>
        <v>6495</v>
      </c>
      <c r="BY1022" s="113">
        <f t="shared" si="1868"/>
        <v>537457</v>
      </c>
      <c r="BZ1022" s="113"/>
      <c r="CA1022" s="116">
        <v>2017</v>
      </c>
      <c r="CB1022" s="113"/>
      <c r="CC1022" s="113"/>
      <c r="CD1022" s="113"/>
      <c r="CE1022" s="175"/>
      <c r="CF1022" s="113">
        <f t="shared" si="1852"/>
        <v>82460</v>
      </c>
      <c r="CG1022" s="113">
        <f t="shared" si="1831"/>
        <v>115.74493484171823</v>
      </c>
      <c r="CH1022" s="178">
        <v>0.87074829931972786</v>
      </c>
      <c r="CI1022" s="61">
        <f>+CI1003*CH1022+CG1004*CH1021+CG1005*CH1020+CG1006*CH1019+CG1007*CH1018+CG1008*CH1017+CG1009*CH1016+CG1010*CH1015+CG1011*CH1014+CG1012*CH1013+CG1013*CH1012+CG1014*CH1011+CG1015*CH1010+CG1016*CH1009+CG1017*CH1008+CG1018*CH1007+CG1019*CH1006+CG1020*CH1005+CG1021*CH1004+CG1022</f>
        <v>2234.7534698876148</v>
      </c>
      <c r="CJ1022" s="114">
        <f t="shared" si="1832"/>
        <v>4.395805716520234E-2</v>
      </c>
      <c r="CK1022" s="114"/>
      <c r="CL1022" s="169">
        <f t="shared" si="1833"/>
        <v>9.1821377020935239E-3</v>
      </c>
      <c r="CM1022" s="169">
        <f t="shared" si="1841"/>
        <v>8.8545021725635453E-3</v>
      </c>
      <c r="CN1022" s="114">
        <f>VLOOKUP($H1022,RoR!$E:$F,2,FALSE)</f>
        <v>3.7433333333333339E-2</v>
      </c>
      <c r="CO1022" s="169">
        <v>1.9056896421275615E-2</v>
      </c>
      <c r="CP1022" s="169">
        <f t="shared" si="1839"/>
        <v>1.8376436912057724E-2</v>
      </c>
      <c r="CQ1022" s="169">
        <f t="shared" si="1842"/>
        <v>2.2047439435970081E-2</v>
      </c>
      <c r="CR1022" s="169">
        <f t="shared" si="1843"/>
        <v>1.3976271617800498E-2</v>
      </c>
      <c r="CS1022" s="179">
        <f t="shared" si="1834"/>
        <v>0.90509623210000001</v>
      </c>
      <c r="CT1022" s="180">
        <f t="shared" si="1835"/>
        <v>1.3699568463593395</v>
      </c>
      <c r="CU1022" s="180">
        <f t="shared" si="1836"/>
        <v>0.30714603739982199</v>
      </c>
      <c r="CV1022" s="180">
        <f t="shared" si="1837"/>
        <v>0.77007188472689425</v>
      </c>
      <c r="CW1022" s="180">
        <f t="shared" si="1838"/>
        <v>0.32402839633793828</v>
      </c>
      <c r="CX1022" s="181">
        <f>INDEX('State Tax Lookup'!$D$7:$Z$91,MATCH(Calculation!$C1022,'State Tax Lookup'!$B$7:$B$91,0),MATCH($H1022,'State Tax Lookup'!$D$6:$Z$6,0))</f>
        <v>0.25649666999999998</v>
      </c>
      <c r="CY1022" s="72">
        <v>0.37</v>
      </c>
      <c r="CZ1022" s="70">
        <f t="shared" si="1840"/>
        <v>19.104018330749781</v>
      </c>
      <c r="DA1022" s="70">
        <v>18.231812616449311</v>
      </c>
      <c r="DB1022" s="69">
        <f t="shared" si="1844"/>
        <v>-0.10553866034312039</v>
      </c>
      <c r="DC1022" s="111">
        <f>VLOOKUP($H1022,RoR!$E:$F,2,FALSE)</f>
        <v>3.7433333333333339E-2</v>
      </c>
      <c r="DD1022" s="216">
        <f>HLOOKUP($H1022,'GDP-PI'!$D$8:$CQ$11,3,FALSE)</f>
        <v>1.9056896421275615E-2</v>
      </c>
      <c r="DE1022" s="111">
        <f>VLOOKUP(H1022,'HW Dx Data'!$E:$F,2,FALSE)</f>
        <v>712.42858370229726</v>
      </c>
      <c r="DF1022" s="72">
        <f t="shared" si="1856"/>
        <v>140.44999999999999</v>
      </c>
      <c r="DG1022" s="69">
        <f t="shared" si="1857"/>
        <v>2.5235657841165486E-2</v>
      </c>
      <c r="DH1022" s="66">
        <f>HLOOKUP(H1022,'GDP-PI'!$8:$9,2,FALSE)</f>
        <v>107.751</v>
      </c>
      <c r="DI1022" s="69">
        <f t="shared" si="1845"/>
        <v>1.8877588227745139E-2</v>
      </c>
      <c r="EB1022"/>
    </row>
    <row r="1023" spans="1:132" s="160" customFormat="1" ht="21">
      <c r="A1023" s="160" t="s">
        <v>220</v>
      </c>
      <c r="B1023" s="160" t="s">
        <v>221</v>
      </c>
      <c r="C1023" s="160">
        <v>4057096</v>
      </c>
      <c r="D1023" s="161" t="s">
        <v>171</v>
      </c>
      <c r="E1023" s="161" t="s">
        <v>3</v>
      </c>
      <c r="F1023" s="189"/>
      <c r="G1023" s="160" t="s">
        <v>136</v>
      </c>
      <c r="H1023" s="162">
        <v>2018</v>
      </c>
      <c r="I1023" s="163"/>
      <c r="J1023" s="159">
        <f>IFERROR(INDEX('Labor Expenditures'!$F$7:$X$91,MATCH($C1023,'Labor Expenditures'!$D$7:$D$91,0),MATCH($G1023,'Labor Expenditures'!$F$5:$X$5,0)),"NA")</f>
        <v>31606.737606217204</v>
      </c>
      <c r="K1023" s="159">
        <f t="shared" si="1846"/>
        <v>218.80746006380897</v>
      </c>
      <c r="L1023" s="165">
        <f t="shared" si="1853"/>
        <v>5.1553885548023995E-2</v>
      </c>
      <c r="M1023" s="76">
        <f t="shared" si="1858"/>
        <v>4.8855342026745969E-4</v>
      </c>
      <c r="N1023" s="62">
        <f t="shared" si="1864"/>
        <v>116.66842342438761</v>
      </c>
      <c r="O1023" s="96">
        <f t="shared" si="1859"/>
        <v>-0.37318534563828953</v>
      </c>
      <c r="P1023" s="96"/>
      <c r="Q1023" s="159">
        <f>IFERROR(INDEX('Non-Labor Expenditures'!$F$7:$AB$91,MATCH($C1023,'Non-Labor Expenditures'!$D$7:$D$91,0),MATCH($G1023,'Non-Labor Expenditures'!$F$5:$AB$5,0)),"NA")</f>
        <v>45772.459378085776</v>
      </c>
      <c r="R1023" s="159">
        <f t="shared" si="1847"/>
        <v>414.89874529183459</v>
      </c>
      <c r="S1023" s="165">
        <f t="shared" si="1860"/>
        <v>5.6055406193506796E-2</v>
      </c>
      <c r="T1023" s="165">
        <f t="shared" si="1861"/>
        <v>5.3121234469918953E-4</v>
      </c>
      <c r="U1023" s="165"/>
      <c r="V1023" s="165"/>
      <c r="W1023" s="159">
        <f t="shared" si="1829"/>
        <v>44589.476914532592</v>
      </c>
      <c r="X1023" s="163"/>
      <c r="Y1023" s="167">
        <v>2265.6368725434545</v>
      </c>
      <c r="Z1023" s="168">
        <v>1.3724981661492362E-2</v>
      </c>
      <c r="AA1023" s="76">
        <f t="shared" si="1848"/>
        <v>1.3006559374819548E-4</v>
      </c>
      <c r="AB1023" s="168"/>
      <c r="AC1023" s="168"/>
      <c r="AD1023" s="163">
        <f t="shared" si="1777"/>
        <v>121968.67389883558</v>
      </c>
      <c r="AE1023" s="168">
        <f t="shared" si="1862"/>
        <v>8.2476813420589698E-2</v>
      </c>
      <c r="AF1023" s="163"/>
      <c r="AG1023" s="163"/>
      <c r="AH1023" s="163"/>
      <c r="AI1023" s="163"/>
      <c r="AJ1023" s="116">
        <f t="shared" si="1863"/>
        <v>378.44973827151614</v>
      </c>
      <c r="AK1023" s="114">
        <f>+AV1023/$AX$23</f>
        <v>8.627692417739169E-3</v>
      </c>
      <c r="AL1023" s="115">
        <f t="shared" si="1849"/>
        <v>0.25913815897049736</v>
      </c>
      <c r="AM1023" s="115">
        <f t="shared" si="1850"/>
        <v>0.37528045452105846</v>
      </c>
      <c r="AN1023" s="115">
        <f t="shared" si="1851"/>
        <v>0.36558138650844413</v>
      </c>
      <c r="AO1023" s="115">
        <f t="shared" si="1854"/>
        <v>3.9450218504467699E-2</v>
      </c>
      <c r="AP1023" s="166">
        <f t="shared" si="1866"/>
        <v>112.31356225705156</v>
      </c>
      <c r="AQ1023" s="168">
        <f t="shared" si="1867"/>
        <v>3.9450218504467768E-2</v>
      </c>
      <c r="AR1023" s="69">
        <f>+AD1023/$AF$23</f>
        <v>9.4765586545820582E-3</v>
      </c>
      <c r="AS1023" s="169">
        <f t="shared" si="1865"/>
        <v>3.7385230959366731E-4</v>
      </c>
      <c r="AT1023" s="115"/>
      <c r="AU1023" s="115"/>
      <c r="AV1023" s="113">
        <f>IFERROR(INDEX('Total Customers'!$F$7:$AB$91,MATCH($C1023,'Total Customers'!$D$7:$D$91,0),MATCH($G1023,'Total Customers'!$F$5:$AB$5,0)),"NA")</f>
        <v>322285</v>
      </c>
      <c r="AW1023" s="68">
        <f t="shared" si="1780"/>
        <v>2.9095685952071348E-2</v>
      </c>
      <c r="AX1023" s="114"/>
      <c r="AY1023" s="114"/>
      <c r="AZ1023" s="116">
        <v>8911356</v>
      </c>
      <c r="BA1023" s="116"/>
      <c r="BB1023" s="166"/>
      <c r="BC1023" s="166"/>
      <c r="BD1023" s="166"/>
      <c r="BE1023" s="166"/>
      <c r="BF1023" s="166"/>
      <c r="BG1023" s="166"/>
      <c r="BH1023" s="166"/>
      <c r="BI1023" s="113"/>
      <c r="BJ1023" s="113"/>
      <c r="BK1023" s="113">
        <f>INDEX('Dist. Plant Gas Additions'!$F$7:$AE$91,MATCH($C1023,'Dist. Plant Gas Additions'!$D$7:$D$91,0),MATCH(Calculation!$G1023,'Dist. Plant Gas Additions'!$F$5:$AE$5,0))</f>
        <v>38809</v>
      </c>
      <c r="BL1023" s="113">
        <f>INDEX('Gen. Plant Additions'!$F$7:$AE$91,MATCH($C1023,'Gen. Plant Additions'!$D$7:$D$91,0),MATCH(Calculation!$G1023,'Gen. Plant Additions'!$F$5:$AE$5,0))</f>
        <v>367</v>
      </c>
      <c r="BM1023" s="231">
        <f t="shared" si="1830"/>
        <v>0.99246485539154861</v>
      </c>
      <c r="BN1023" s="61">
        <f t="shared" si="1855"/>
        <v>364.23460192869834</v>
      </c>
      <c r="BO1023" s="113">
        <f>INDEX('Dist Plant Depreciation'!$E$7:$AD$94,MATCH($C1023,'Dist Plant Depreciation'!$D$7:$D$94,0),MATCH(Calculation!$G1023,'Dist Plant Depreciation'!$E$5:$AD$5,0))</f>
        <v>348281</v>
      </c>
      <c r="BP1023" s="113">
        <f>INDEX('Gen. Plant Depreciation'!$E$7:$AD$94,MATCH($C1023,'Gen. Plant Depreciation'!$D$7:$D$94,0),MATCH(Calculation!$G1023,'Gen. Plant Depreciation'!$E$5:$AD$5,0))</f>
        <v>3136</v>
      </c>
      <c r="BQ1023" s="113"/>
      <c r="BR1023" s="113"/>
      <c r="BS1023" s="113"/>
      <c r="BT1023" s="113"/>
      <c r="BU1023" s="113"/>
      <c r="BV1023" s="175"/>
      <c r="BW1023" s="113">
        <f>INDEX('Gross Dx Plant'!$E$7:$AD$91,MATCH($C1023,'Gross Dx Plant'!$D$7:$D$91,0),MATCH(Calculation!$G1023,'Gross Dx Plant'!$E$5:$AD$5,0))</f>
        <v>903804</v>
      </c>
      <c r="BX1023" s="113">
        <f>INDEX('Gross Gen Plant'!$E$7:$AD$91,MATCH($C1023,'Gross Gen Plant'!$D$7:$D$91,0),MATCH(Calculation!$G1023,'Gross Gen Plant'!$E$5:$AD$5,0))</f>
        <v>6862</v>
      </c>
      <c r="BY1023" s="113">
        <f t="shared" si="1868"/>
        <v>559249</v>
      </c>
      <c r="BZ1023" s="113"/>
      <c r="CA1023" s="116">
        <v>2018</v>
      </c>
      <c r="CB1023" s="113"/>
      <c r="CC1023" s="113"/>
      <c r="CD1023" s="113"/>
      <c r="CE1023" s="175"/>
      <c r="CF1023" s="113">
        <f t="shared" si="1852"/>
        <v>39176</v>
      </c>
      <c r="CG1023" s="113">
        <f t="shared" si="1831"/>
        <v>51.879347482329294</v>
      </c>
      <c r="CH1023" s="178">
        <v>0.86111111111111116</v>
      </c>
      <c r="CI1023" s="61">
        <f>+CI1003*CH1023++CG1004*CH1022+CG1005*CH1021+CG1006*CH1020+CG1007*CH1019+CG1008*CH1018+CG1009*CH1017+CG1010*CH1016+CG1011*CH1015+CG1012*CH1014+CG1013*CH1013+CG1014*CH1012+CG1015*CH1011+CG1016*CH1010+CG1017*CH1009+CG1018*CH1008+CG1019*CH1007+CG1020*CH1006+CG1021*CH1005+CG1022*CH1004+CG1023</f>
        <v>2265.6368725434545</v>
      </c>
      <c r="CJ1023" s="114">
        <f t="shared" si="1832"/>
        <v>1.3724981661492362E-2</v>
      </c>
      <c r="CK1023" s="114"/>
      <c r="CL1023" s="169">
        <f t="shared" si="1833"/>
        <v>9.3951950894813601E-3</v>
      </c>
      <c r="CM1023" s="169">
        <f t="shared" si="1841"/>
        <v>9.1459840044350125E-3</v>
      </c>
      <c r="CN1023" s="114">
        <f>VLOOKUP($H1023,RoR!$E:$F,2,FALSE)</f>
        <v>3.9299999999999995E-2</v>
      </c>
      <c r="CO1023" s="169">
        <v>2.386056741932796E-2</v>
      </c>
      <c r="CP1023" s="169">
        <f t="shared" si="1839"/>
        <v>1.5439432580672034E-2</v>
      </c>
      <c r="CQ1023" s="169">
        <f t="shared" si="1842"/>
        <v>2.1755957604098611E-2</v>
      </c>
      <c r="CR1023" s="169">
        <f t="shared" si="1843"/>
        <v>3.8270792163076606E-2</v>
      </c>
      <c r="CS1023" s="179">
        <f t="shared" si="1834"/>
        <v>0.90509623210000001</v>
      </c>
      <c r="CT1023" s="180">
        <f t="shared" si="1835"/>
        <v>1.3048868010700074</v>
      </c>
      <c r="CU1023" s="180">
        <f t="shared" si="1836"/>
        <v>0.33886768447837151</v>
      </c>
      <c r="CV1023" s="180">
        <f t="shared" si="1837"/>
        <v>0.78602506232557801</v>
      </c>
      <c r="CW1023" s="180">
        <f t="shared" si="1838"/>
        <v>0.34756768162358759</v>
      </c>
      <c r="CX1023" s="181">
        <f>INDEX('State Tax Lookup'!$D$7:$Z$91,MATCH(Calculation!$C1023,'State Tax Lookup'!$B$7:$B$91,0),MATCH($H1023,'State Tax Lookup'!$D$6:$Z$6,0))</f>
        <v>0.25649666999999998</v>
      </c>
      <c r="CY1023" s="72">
        <v>0.37</v>
      </c>
      <c r="CZ1023" s="70">
        <f t="shared" si="1840"/>
        <v>19.952749829167953</v>
      </c>
      <c r="DA1023" s="70">
        <v>19.050901628905343</v>
      </c>
      <c r="DB1023" s="69">
        <f t="shared" si="1844"/>
        <v>4.3468273151972936E-2</v>
      </c>
      <c r="DC1023" s="111">
        <f>VLOOKUP($H1023,RoR!$E:$F,2,FALSE)</f>
        <v>3.9299999999999995E-2</v>
      </c>
      <c r="DD1023" s="216">
        <f>HLOOKUP($H1023,'GDP-PI'!$D$8:$CQ$11,3,FALSE)</f>
        <v>2.386056741932796E-2</v>
      </c>
      <c r="DE1023" s="111">
        <f>VLOOKUP(H1023,'HW Dx Data'!$E:$F,2,FALSE)</f>
        <v>755.13671434174842</v>
      </c>
      <c r="DF1023" s="72">
        <f t="shared" si="1856"/>
        <v>144.44999999999999</v>
      </c>
      <c r="DG1023" s="69">
        <f t="shared" si="1857"/>
        <v>2.80818733619915E-2</v>
      </c>
      <c r="DH1023" s="66">
        <f>HLOOKUP(H1023,'GDP-PI'!$8:$9,2,FALSE)</f>
        <v>110.322</v>
      </c>
      <c r="DI1023" s="69">
        <f t="shared" si="1845"/>
        <v>2.3580352716508712E-2</v>
      </c>
      <c r="EB1023"/>
    </row>
    <row r="1024" spans="1:132" s="160" customFormat="1" ht="21">
      <c r="A1024" s="160" t="s">
        <v>220</v>
      </c>
      <c r="B1024" s="160" t="s">
        <v>221</v>
      </c>
      <c r="C1024" s="160">
        <v>4057096</v>
      </c>
      <c r="D1024" s="161" t="s">
        <v>171</v>
      </c>
      <c r="E1024" s="161" t="s">
        <v>3</v>
      </c>
      <c r="F1024" s="189"/>
      <c r="G1024" s="160" t="s">
        <v>140</v>
      </c>
      <c r="H1024" s="162">
        <v>2019</v>
      </c>
      <c r="I1024" s="163"/>
      <c r="J1024" s="159">
        <f>IFERROR(INDEX('Labor Expenditures'!$F$7:$X$91,MATCH($C1024,'Labor Expenditures'!$D$7:$D$91,0),MATCH($G1024,'Labor Expenditures'!$F$5:$X$5,0)),"NA")</f>
        <v>29157.391305276218</v>
      </c>
      <c r="K1024" s="159">
        <f t="shared" si="1846"/>
        <v>194.80468552046912</v>
      </c>
      <c r="L1024" s="165">
        <f t="shared" si="1853"/>
        <v>-0.11619472142322226</v>
      </c>
      <c r="M1024" s="76">
        <f t="shared" si="1858"/>
        <v>-1.024772828011445E-3</v>
      </c>
      <c r="N1024" s="62">
        <f t="shared" si="1864"/>
        <v>116.57542699901067</v>
      </c>
      <c r="O1024" s="96">
        <f t="shared" si="1859"/>
        <v>-7.9741806813743259E-4</v>
      </c>
      <c r="P1024" s="96"/>
      <c r="Q1024" s="159">
        <f>IFERROR(INDEX('Non-Labor Expenditures'!$F$7:$AB$91,MATCH($C1024,'Non-Labor Expenditures'!$D$7:$D$91,0),MATCH($G1024,'Non-Labor Expenditures'!$F$5:$AB$5,0)),"NA")</f>
        <v>42225.348459538058</v>
      </c>
      <c r="R1024" s="159">
        <f t="shared" si="1847"/>
        <v>375.94462561244018</v>
      </c>
      <c r="S1024" s="165">
        <f t="shared" si="1860"/>
        <v>-9.8592642975452366E-2</v>
      </c>
      <c r="T1024" s="165">
        <f t="shared" si="1861"/>
        <v>-8.6953228447505485E-4</v>
      </c>
      <c r="U1024" s="165"/>
      <c r="V1024" s="165"/>
      <c r="W1024" s="159">
        <f t="shared" si="1829"/>
        <v>45645.4886523284</v>
      </c>
      <c r="X1024" s="163"/>
      <c r="Y1024" s="167">
        <v>2357.6696803012496</v>
      </c>
      <c r="Z1024" s="168">
        <v>3.9817808270302707E-2</v>
      </c>
      <c r="AA1024" s="76">
        <f t="shared" si="1848"/>
        <v>3.5117092658411097E-4</v>
      </c>
      <c r="AB1024" s="168"/>
      <c r="AC1024" s="168"/>
      <c r="AD1024" s="163">
        <f t="shared" si="1777"/>
        <v>117028.22841714267</v>
      </c>
      <c r="AE1024" s="168">
        <f t="shared" si="1862"/>
        <v>-4.1349066221063172E-2</v>
      </c>
      <c r="AF1024" s="163"/>
      <c r="AG1024" s="163"/>
      <c r="AH1024" s="163"/>
      <c r="AI1024" s="163"/>
      <c r="AJ1024" s="116">
        <f t="shared" si="1863"/>
        <v>368.40487189888205</v>
      </c>
      <c r="AK1024" s="114">
        <f>+AV1024/$AX$24</f>
        <v>8.4337994584890216E-3</v>
      </c>
      <c r="AL1024" s="115">
        <f t="shared" si="1849"/>
        <v>0.249148361037696</v>
      </c>
      <c r="AM1024" s="115">
        <f t="shared" si="1850"/>
        <v>0.36081336127748093</v>
      </c>
      <c r="AN1024" s="115">
        <f t="shared" si="1851"/>
        <v>0.39003827768482313</v>
      </c>
      <c r="AO1024" s="115">
        <f t="shared" si="1854"/>
        <v>-5.077326322943844E-2</v>
      </c>
      <c r="AP1024" s="166">
        <f t="shared" si="1866"/>
        <v>106.75338479824254</v>
      </c>
      <c r="AQ1024" s="168">
        <f t="shared" si="1867"/>
        <v>-5.0773263229438356E-2</v>
      </c>
      <c r="AR1024" s="69">
        <f>+AD1024/$AF$24</f>
        <v>8.8194439081174785E-3</v>
      </c>
      <c r="AS1024" s="169">
        <f t="shared" si="1865"/>
        <v>-4.477919470841153E-4</v>
      </c>
      <c r="AT1024" s="115"/>
      <c r="AU1024" s="115"/>
      <c r="AV1024" s="113">
        <f>IFERROR(INDEX('Total Customers'!$F$7:$AB$91,MATCH($C1024,'Total Customers'!$D$7:$D$91,0),MATCH($G1024,'Total Customers'!$F$5:$AB$5,0)),"NA")</f>
        <v>317662</v>
      </c>
      <c r="AW1024" s="68">
        <f t="shared" si="1780"/>
        <v>-1.4448322821143469E-2</v>
      </c>
      <c r="AX1024" s="114"/>
      <c r="AY1024" s="114"/>
      <c r="AZ1024" s="116">
        <v>8963640</v>
      </c>
      <c r="BA1024" s="116"/>
      <c r="BB1024" s="166"/>
      <c r="BC1024" s="166"/>
      <c r="BD1024" s="166"/>
      <c r="BE1024" s="166"/>
      <c r="BF1024" s="166"/>
      <c r="BG1024" s="166"/>
      <c r="BH1024" s="166"/>
      <c r="BI1024" s="113"/>
      <c r="BJ1024" s="113"/>
      <c r="BK1024" s="113">
        <f>INDEX('Dist. Plant Gas Additions'!$F$7:$AE$91,MATCH($C1024,'Dist. Plant Gas Additions'!$D$7:$D$91,0),MATCH(Calculation!$G1024,'Dist. Plant Gas Additions'!$F$5:$AE$5,0))</f>
        <v>87764</v>
      </c>
      <c r="BL1024" s="113">
        <f>INDEX('Gen. Plant Additions'!$F$7:$AE$91,MATCH($C1024,'Gen. Plant Additions'!$D$7:$D$91,0),MATCH(Calculation!$G1024,'Gen. Plant Additions'!$F$5:$AE$5,0))</f>
        <v>524</v>
      </c>
      <c r="BM1024" s="231">
        <f t="shared" si="1830"/>
        <v>0.99256216573299327</v>
      </c>
      <c r="BN1024" s="61">
        <f t="shared" si="1855"/>
        <v>520.10257484408851</v>
      </c>
      <c r="BO1024" s="113">
        <f>INDEX('Dist Plant Depreciation'!$E$7:$AD$94,MATCH($C1024,'Dist Plant Depreciation'!$D$7:$D$94,0),MATCH(Calculation!$G1024,'Dist Plant Depreciation'!$E$5:$AD$5,0))</f>
        <v>362148</v>
      </c>
      <c r="BP1024" s="113">
        <f>INDEX('Gen. Plant Depreciation'!$E$7:$AD$94,MATCH($C1024,'Gen. Plant Depreciation'!$D$7:$D$94,0),MATCH(Calculation!$G1024,'Gen. Plant Depreciation'!$E$5:$AD$5,0))</f>
        <v>3470</v>
      </c>
      <c r="BQ1024" s="113"/>
      <c r="BR1024" s="113"/>
      <c r="BS1024" s="113"/>
      <c r="BT1024" s="113"/>
      <c r="BU1024" s="113"/>
      <c r="BV1024" s="175"/>
      <c r="BW1024" s="113">
        <f>INDEX('Gross Dx Plant'!$E$7:$AD$91,MATCH($C1024,'Gross Dx Plant'!$D$7:$D$91,0),MATCH(Calculation!$G1024,'Gross Dx Plant'!$E$5:$AD$5,0))</f>
        <v>985645</v>
      </c>
      <c r="BX1024" s="113">
        <f>INDEX('Gross Gen Plant'!$E$7:$AD$91,MATCH($C1024,'Gross Gen Plant'!$D$7:$D$91,0),MATCH(Calculation!$G1024,'Gross Gen Plant'!$E$5:$AD$5,0))</f>
        <v>7386</v>
      </c>
      <c r="BY1024" s="113">
        <f t="shared" si="1868"/>
        <v>627413</v>
      </c>
      <c r="BZ1024" s="113"/>
      <c r="CA1024" s="116">
        <v>2019</v>
      </c>
      <c r="CB1024" s="113"/>
      <c r="CC1024" s="113"/>
      <c r="CD1024" s="113"/>
      <c r="CE1024" s="175"/>
      <c r="CF1024" s="113">
        <f t="shared" si="1852"/>
        <v>88288</v>
      </c>
      <c r="CG1024" s="113">
        <f t="shared" si="1831"/>
        <v>114.13511923077249</v>
      </c>
      <c r="CH1024" s="178">
        <v>0.85106382978723405</v>
      </c>
      <c r="CI1024" s="61">
        <f>CI1003*CH1024+CG1004*CH1023+CG1005*CH1022+CG1006*CH1021+CG1007*CH1020+CG1008*CH1019+CG1009*CH1018+CG1010*CH1017+CG1011*CH1016+CG1012*CH1015+CG1013*CH1014+CG1014*CH1013+CG1015*CH1012+CG1016*CH1011+CG1017*CH1010+CG1018*CH1009+CG1019*CH1008+CG1020*CH1007+CG1021*CH1006+CG1022*CH1005+CG1023*CH1004+CG1024</f>
        <v>2357.6696803012496</v>
      </c>
      <c r="CJ1024" s="114">
        <f t="shared" si="1832"/>
        <v>3.9817808270302707E-2</v>
      </c>
      <c r="CK1024" s="114"/>
      <c r="CL1024" s="169">
        <f t="shared" si="1833"/>
        <v>9.755451873523233E-3</v>
      </c>
      <c r="CM1024" s="169">
        <f t="shared" si="1841"/>
        <v>9.4442615550327045E-3</v>
      </c>
      <c r="CN1024" s="114">
        <f>VLOOKUP($H1024,RoR!$E:$F,2,FALSE)</f>
        <v>3.3875000000000009E-2</v>
      </c>
      <c r="CO1024" s="169">
        <v>1.8092492884465461E-2</v>
      </c>
      <c r="CP1024" s="169">
        <f t="shared" si="1839"/>
        <v>1.5782507115534548E-2</v>
      </c>
      <c r="CQ1024" s="169">
        <f t="shared" si="1842"/>
        <v>2.1457680053500919E-2</v>
      </c>
      <c r="CR1024" s="169">
        <f t="shared" si="1843"/>
        <v>4.8445665544254078E-2</v>
      </c>
      <c r="CS1024" s="179">
        <f t="shared" si="1834"/>
        <v>0.90509623210000001</v>
      </c>
      <c r="CT1024" s="180">
        <f t="shared" si="1835"/>
        <v>1.513861292459078</v>
      </c>
      <c r="CU1024" s="180">
        <f t="shared" si="1836"/>
        <v>0.23699261992619944</v>
      </c>
      <c r="CV1024" s="180">
        <f t="shared" si="1837"/>
        <v>0.73619765810468829</v>
      </c>
      <c r="CW1024" s="180">
        <f t="shared" si="1838"/>
        <v>0.26412854465362851</v>
      </c>
      <c r="CX1024" s="181">
        <f>INDEX('State Tax Lookup'!$D$7:$Z$91,MATCH(Calculation!$C1024,'State Tax Lookup'!$B$7:$B$91,0),MATCH($H1024,'State Tax Lookup'!$D$6:$Z$6,0))</f>
        <v>0.25649666999999998</v>
      </c>
      <c r="CY1024" s="72">
        <v>0.37</v>
      </c>
      <c r="CZ1024" s="70">
        <f t="shared" si="1840"/>
        <v>20.146868726181065</v>
      </c>
      <c r="DA1024" s="70">
        <v>19.236104090735289</v>
      </c>
      <c r="DB1024" s="69">
        <f t="shared" si="1844"/>
        <v>9.6819082268503713E-3</v>
      </c>
      <c r="DC1024" s="111">
        <f>VLOOKUP($H1024,RoR!$E:$F,2,FALSE)</f>
        <v>3.3875000000000009E-2</v>
      </c>
      <c r="DD1024" s="216">
        <f>HLOOKUP($H1024,'GDP-PI'!$D$8:$CQ$11,3,FALSE)</f>
        <v>1.8092492884465461E-2</v>
      </c>
      <c r="DE1024" s="111">
        <f>VLOOKUP(H1024,'HW Dx Data'!$E:$F,2,FALSE)</f>
        <v>773.53929793938721</v>
      </c>
      <c r="DF1024" s="72">
        <f t="shared" si="1856"/>
        <v>149.67500000000001</v>
      </c>
      <c r="DG1024" s="69">
        <f t="shared" si="1857"/>
        <v>3.5532849899171604E-2</v>
      </c>
      <c r="DH1024" s="66">
        <f>HLOOKUP(H1024,'GDP-PI'!$8:$9,2,FALSE)</f>
        <v>112.318</v>
      </c>
      <c r="DI1024" s="69">
        <f t="shared" si="1845"/>
        <v>1.7930771451401852E-2</v>
      </c>
    </row>
    <row r="1025" spans="1:132" s="160" customFormat="1" ht="21">
      <c r="A1025" s="160" t="s">
        <v>220</v>
      </c>
      <c r="B1025" s="160" t="s">
        <v>221</v>
      </c>
      <c r="C1025" s="160">
        <v>4057096</v>
      </c>
      <c r="D1025" s="160" t="s">
        <v>171</v>
      </c>
      <c r="E1025" s="160" t="s">
        <v>3</v>
      </c>
      <c r="G1025" s="161" t="s">
        <v>141</v>
      </c>
      <c r="H1025" s="162">
        <v>2020</v>
      </c>
      <c r="I1025" s="163"/>
      <c r="J1025" s="159">
        <f>IFERROR(INDEX('Labor Expenditures'!$F$7:$X$91,MATCH($C1025,'Labor Expenditures'!$D$7:$D$91,0),MATCH($G1025,'Labor Expenditures'!$F$5:$X$5,0)),"NA")</f>
        <v>30594.627489133334</v>
      </c>
      <c r="K1025" s="159">
        <f t="shared" si="1846"/>
        <v>199.76903355620851</v>
      </c>
      <c r="L1025" s="165">
        <f t="shared" si="1853"/>
        <v>2.5164423097543961E-2</v>
      </c>
      <c r="M1025" s="76">
        <f t="shared" si="1858"/>
        <v>2.2853436640881016E-4</v>
      </c>
      <c r="N1025" s="62">
        <f t="shared" si="1864"/>
        <v>118.66264029251494</v>
      </c>
      <c r="O1025" s="96">
        <f t="shared" si="1859"/>
        <v>1.7746005931859824E-2</v>
      </c>
      <c r="P1025" s="96"/>
      <c r="Q1025" s="159">
        <f>IFERROR(INDEX('Non-Labor Expenditures'!$F$7:$AB$91,MATCH($C1025,'Non-Labor Expenditures'!$D$7:$D$91,0),MATCH($G1025,'Non-Labor Expenditures'!$F$5:$AB$5,0)),"NA")</f>
        <v>44306.734892454013</v>
      </c>
      <c r="R1025" s="159">
        <f t="shared" si="1847"/>
        <v>389.94512460024828</v>
      </c>
      <c r="S1025" s="165">
        <f t="shared" si="1860"/>
        <v>3.656416283351975E-2</v>
      </c>
      <c r="T1025" s="165">
        <f t="shared" si="1861"/>
        <v>3.3206275995425306E-4</v>
      </c>
      <c r="U1025" s="165"/>
      <c r="V1025" s="165"/>
      <c r="W1025" s="159">
        <f t="shared" si="1829"/>
        <v>49307.283175659984</v>
      </c>
      <c r="X1025" s="163"/>
      <c r="Y1025" s="167">
        <v>2390.4429328296851</v>
      </c>
      <c r="Z1025" s="168">
        <v>1.3804968703675886E-2</v>
      </c>
      <c r="AA1025" s="76">
        <f t="shared" si="1848"/>
        <v>1.2537183005383262E-4</v>
      </c>
      <c r="AB1025" s="168"/>
      <c r="AC1025" s="168"/>
      <c r="AD1025" s="163">
        <f t="shared" si="1777"/>
        <v>124208.64555724734</v>
      </c>
      <c r="AE1025" s="168">
        <f t="shared" si="1862"/>
        <v>5.9547602818677471E-2</v>
      </c>
      <c r="AF1025" s="163"/>
      <c r="AG1025" s="163"/>
      <c r="AH1025" s="163"/>
      <c r="AI1025" s="163"/>
      <c r="AJ1025" s="116">
        <f t="shared" si="1863"/>
        <v>388.47007724213995</v>
      </c>
      <c r="AK1025" s="114">
        <f>+AV1025/$AX$25</f>
        <v>8.4289713682865336E-3</v>
      </c>
      <c r="AL1025" s="115">
        <f t="shared" si="1849"/>
        <v>0.24631640858713313</v>
      </c>
      <c r="AM1025" s="115">
        <f t="shared" si="1850"/>
        <v>0.35671216519330928</v>
      </c>
      <c r="AN1025" s="115">
        <f t="shared" si="1851"/>
        <v>0.39697142621955755</v>
      </c>
      <c r="AO1025" s="115">
        <f t="shared" si="1854"/>
        <v>2.4784224805870253E-2</v>
      </c>
      <c r="AP1025" s="166">
        <f t="shared" si="1866"/>
        <v>109.4322442893376</v>
      </c>
      <c r="AQ1025" s="168">
        <f t="shared" si="1867"/>
        <v>2.4784224805870284E-2</v>
      </c>
      <c r="AR1025" s="69">
        <f>+AD1025/$AF$25</f>
        <v>9.081645365878268E-3</v>
      </c>
      <c r="AS1025" s="169">
        <f t="shared" si="1865"/>
        <v>2.2508154035511709E-4</v>
      </c>
      <c r="AT1025" s="115"/>
      <c r="AU1025" s="115"/>
      <c r="AV1025" s="113">
        <f>IFERROR(INDEX('Total Customers'!$F$7:$AB$91,MATCH($C1025,'Total Customers'!$D$7:$D$91,0),MATCH($G1025,'Total Customers'!$F$5:$AB$5,0)),"NA")</f>
        <v>319738</v>
      </c>
      <c r="AW1025" s="68">
        <f t="shared" si="1780"/>
        <v>6.5139860079484434E-3</v>
      </c>
      <c r="AX1025" s="114"/>
      <c r="AY1025" s="114"/>
      <c r="AZ1025" s="116">
        <v>9060252</v>
      </c>
      <c r="BA1025" s="116"/>
      <c r="BB1025" s="166"/>
      <c r="BC1025" s="166"/>
      <c r="BD1025" s="166"/>
      <c r="BE1025" s="166"/>
      <c r="BF1025" s="166"/>
      <c r="BG1025" s="166"/>
      <c r="BH1025" s="166"/>
      <c r="BI1025" s="113"/>
      <c r="BJ1025" s="113"/>
      <c r="BK1025" s="113">
        <f>INDEX('Dist. Plant Gas Additions'!$F$7:$AE$91,MATCH($C1025,'Dist. Plant Gas Additions'!$D$7:$D$91,0),MATCH(Calculation!$G1025,'Dist. Plant Gas Additions'!$F$5:$AE$5,0))</f>
        <v>45298</v>
      </c>
      <c r="BL1025" s="113">
        <f>INDEX('Gen. Plant Additions'!$F$7:$AE$91,MATCH($C1025,'Gen. Plant Additions'!$D$7:$D$91,0),MATCH(Calculation!$G1025,'Gen. Plant Additions'!$F$5:$AE$5,0))</f>
        <v>521</v>
      </c>
      <c r="BM1025" s="231">
        <f t="shared" si="1830"/>
        <v>0.99235681965593603</v>
      </c>
      <c r="BN1025" s="61">
        <f t="shared" si="1855"/>
        <v>517.01790304074268</v>
      </c>
      <c r="BO1025" s="113">
        <f>INDEX('Dist Plant Depreciation'!$E$7:$AD$94,MATCH($C1025,'Dist Plant Depreciation'!$D$7:$D$94,0),MATCH(Calculation!$G1025,'Dist Plant Depreciation'!$E$5:$AD$5,0))</f>
        <v>379939</v>
      </c>
      <c r="BP1025" s="113">
        <f>INDEX('Gen. Plant Depreciation'!$E$7:$AD$94,MATCH($C1025,'Gen. Plant Depreciation'!$D$7:$D$94,0),MATCH(Calculation!$G1025,'Gen. Plant Depreciation'!$E$5:$AD$5,0))</f>
        <v>3667</v>
      </c>
      <c r="BQ1025" s="113"/>
      <c r="BR1025" s="113"/>
      <c r="BS1025" s="113"/>
      <c r="BT1025" s="113"/>
      <c r="BU1025" s="113"/>
      <c r="BV1025" s="175"/>
      <c r="BW1025" s="113">
        <f>INDEX('Gross Dx Plant'!$E$7:$AD$91,MATCH($C1025,'Gross Dx Plant'!$D$7:$D$91,0),MATCH(Calculation!$G1025,'Gross Dx Plant'!$E$5:$AD$5,0))</f>
        <v>1026610</v>
      </c>
      <c r="BX1025" s="113">
        <f>INDEX('Gross Gen Plant'!$E$7:$AD$91,MATCH($C1025,'Gross Gen Plant'!$D$7:$D$91,0),MATCH(Calculation!$G1025,'Gross Gen Plant'!$E$5:$AD$5,0))</f>
        <v>7907</v>
      </c>
      <c r="BY1025" s="113">
        <f t="shared" si="1868"/>
        <v>650911</v>
      </c>
      <c r="BZ1025" s="113"/>
      <c r="CA1025" s="116">
        <v>2020</v>
      </c>
      <c r="CB1025" s="113"/>
      <c r="CC1025" s="113"/>
      <c r="CD1025" s="113"/>
      <c r="CE1025" s="175"/>
      <c r="CF1025" s="113">
        <f t="shared" si="1852"/>
        <v>45819</v>
      </c>
      <c r="CG1025" s="113">
        <f t="shared" si="1831"/>
        <v>56.352377189278499</v>
      </c>
      <c r="CH1025" s="178">
        <v>0.84057971014492749</v>
      </c>
      <c r="CI1025" s="61">
        <f>CI1003*CH1025+CG1004*CH1024+CG1005*CH1023+CG1006*CH1022+CG1007*CH1021+CG1008*CH1020+CG1009*CH1019+CG1010*CH1018+CG1011*CH1017+CG1012*CH1016+CG1013*CH1015+CG1014*CH1014+CG1015*CH1013+CG1016*CH1012+CG1017*CH1011+CG1018*CH1010+CG1019*CH1009+CG1020*CH1008+CG1021*CH1007+CG1022*CH1006+CG1023*CH1005+CG1024*CH1004+CG1025</f>
        <v>2390.4429328296851</v>
      </c>
      <c r="CJ1025" s="114">
        <f t="shared" si="1832"/>
        <v>1.3804968703675886E-2</v>
      </c>
      <c r="CK1025" s="114"/>
      <c r="CL1025" s="169">
        <f t="shared" si="1833"/>
        <v>1.0001029770137356E-2</v>
      </c>
      <c r="CM1025" s="169">
        <f t="shared" si="1841"/>
        <v>9.7172255777139838E-3</v>
      </c>
      <c r="CN1025" s="114">
        <f>VLOOKUP($H1025,RoR!$E:$F,2,FALSE)</f>
        <v>2.4766666666666666E-2</v>
      </c>
      <c r="CO1025" s="169">
        <v>1.1618796630994188E-2</v>
      </c>
      <c r="CP1025" s="169">
        <f t="shared" si="1839"/>
        <v>1.3147870035672478E-2</v>
      </c>
      <c r="CQ1025" s="169">
        <f t="shared" si="1842"/>
        <v>2.1184716030819641E-2</v>
      </c>
      <c r="CR1025" s="169">
        <f t="shared" si="1843"/>
        <v>4.5144642961987357E-2</v>
      </c>
      <c r="CS1025" s="179">
        <f t="shared" si="1834"/>
        <v>0.90509623210000001</v>
      </c>
      <c r="CT1025" s="180">
        <f t="shared" si="1835"/>
        <v>2.0706077233668081</v>
      </c>
      <c r="CU1025" s="180">
        <f t="shared" si="1836"/>
        <v>-3.4421265141318998E-2</v>
      </c>
      <c r="CV1025" s="180">
        <f t="shared" si="1837"/>
        <v>0.62416226176410472</v>
      </c>
      <c r="CW1025" s="180">
        <f t="shared" si="1838"/>
        <v>-4.4485877841158712E-2</v>
      </c>
      <c r="CX1025" s="181">
        <f>INDEX('State Tax Lookup'!$D$7:$Z$91,MATCH(Calculation!$C1025,'State Tax Lookup'!$B$7:$B$91,0),MATCH($H1025,'State Tax Lookup'!$D$6:$Z$6,0))</f>
        <v>0.25649666999999998</v>
      </c>
      <c r="CY1025" s="72">
        <v>0.37</v>
      </c>
      <c r="CZ1025" s="70">
        <f t="shared" si="1840"/>
        <v>20.913567149644042</v>
      </c>
      <c r="DA1025" s="70">
        <v>19.952659173050833</v>
      </c>
      <c r="DB1025" s="69">
        <f t="shared" si="1844"/>
        <v>3.7349216169948539E-2</v>
      </c>
      <c r="DC1025" s="111">
        <f>VLOOKUP($H1025,RoR!$E:$F,2,FALSE)</f>
        <v>2.4766666666666666E-2</v>
      </c>
      <c r="DD1025" s="216">
        <f>HLOOKUP($H1025,'GDP-PI'!$D$8:$CQ$11,3,FALSE)</f>
        <v>1.1618796630994188E-2</v>
      </c>
      <c r="DE1025" s="111">
        <f>VLOOKUP(H1025,'HW Dx Data'!$E:$F,2,FALSE)</f>
        <v>813.080162458833</v>
      </c>
      <c r="DF1025" s="72">
        <f t="shared" si="1856"/>
        <v>153.15</v>
      </c>
      <c r="DG1025" s="69">
        <f t="shared" si="1857"/>
        <v>2.2951556467368479E-2</v>
      </c>
      <c r="DH1025" s="66">
        <f>HLOOKUP(H1025,'GDP-PI'!$8:$9,2,FALSE)</f>
        <v>113.623</v>
      </c>
      <c r="DI1025" s="69">
        <f t="shared" si="1845"/>
        <v>1.1551816731392881E-2</v>
      </c>
      <c r="EB1025"/>
    </row>
    <row r="1026" spans="1:132" s="160" customFormat="1" ht="21">
      <c r="A1026" s="160" t="s">
        <v>220</v>
      </c>
      <c r="B1026" s="160" t="s">
        <v>221</v>
      </c>
      <c r="C1026" s="160">
        <v>4057096</v>
      </c>
      <c r="D1026" s="160" t="s">
        <v>171</v>
      </c>
      <c r="E1026" s="160" t="s">
        <v>3</v>
      </c>
      <c r="G1026" s="161" t="s">
        <v>142</v>
      </c>
      <c r="H1026" s="162">
        <v>2021</v>
      </c>
      <c r="I1026" s="163"/>
      <c r="J1026" s="159">
        <v>30836.281825580678</v>
      </c>
      <c r="K1026" s="159">
        <f t="shared" si="1846"/>
        <v>196.09718172070384</v>
      </c>
      <c r="L1026" s="164">
        <f t="shared" si="1853"/>
        <v>-1.8551505541033471E-2</v>
      </c>
      <c r="M1026" s="76">
        <f t="shared" si="1858"/>
        <v>-1.8362458846102575E-4</v>
      </c>
      <c r="N1026" s="166">
        <f>+N1025*EXP(O1026)</f>
        <v>120.9160518334299</v>
      </c>
      <c r="O1026" s="114">
        <f t="shared" si="1859"/>
        <v>1.8812006825908847E-2</v>
      </c>
      <c r="P1026" s="114"/>
      <c r="Q1026" s="159">
        <v>43468.011730035418</v>
      </c>
      <c r="R1026" s="159">
        <f t="shared" si="1847"/>
        <v>366.84962216250671</v>
      </c>
      <c r="S1026" s="165">
        <f t="shared" si="1860"/>
        <v>-6.1054007861885605E-2</v>
      </c>
      <c r="T1026" s="165">
        <f t="shared" si="1861"/>
        <v>-6.0431844966639988E-4</v>
      </c>
      <c r="U1026" s="165"/>
      <c r="V1026" s="165"/>
      <c r="W1026" s="159">
        <f t="shared" si="1829"/>
        <v>77357.872980187458</v>
      </c>
      <c r="X1026" s="163"/>
      <c r="Y1026" s="167">
        <v>2535.6745988543707</v>
      </c>
      <c r="Z1026" s="168"/>
      <c r="AA1026" s="76">
        <f t="shared" si="1848"/>
        <v>0</v>
      </c>
      <c r="AB1026" s="168"/>
      <c r="AC1026" s="168"/>
      <c r="AD1026" s="163">
        <f t="shared" si="1777"/>
        <v>151662.16653580355</v>
      </c>
      <c r="AE1026" s="168">
        <f t="shared" si="1862"/>
        <v>0.19969268161168688</v>
      </c>
      <c r="AF1026" s="113"/>
      <c r="AG1026" s="114"/>
      <c r="AH1026" s="114"/>
      <c r="AI1026" s="114"/>
      <c r="AJ1026" s="116">
        <f t="shared" si="1863"/>
        <v>471.51303135645441</v>
      </c>
      <c r="AK1026" s="114">
        <f>+AV1026/$AX$26</f>
        <v>8.3315470109645486E-3</v>
      </c>
      <c r="AL1026" s="115">
        <f t="shared" si="1849"/>
        <v>0.20332217671637323</v>
      </c>
      <c r="AM1026" s="115">
        <f t="shared" si="1850"/>
        <v>0.28661077922669481</v>
      </c>
      <c r="AN1026" s="115">
        <f t="shared" si="1851"/>
        <v>0.51006704405693193</v>
      </c>
      <c r="AO1026" s="115">
        <f t="shared" si="1854"/>
        <v>-2.3809458406535387E-2</v>
      </c>
      <c r="AP1026" s="166">
        <f t="shared" si="1866"/>
        <v>106.8574951441491</v>
      </c>
      <c r="AQ1026" s="168">
        <f t="shared" si="1867"/>
        <v>-2.3809458406535349E-2</v>
      </c>
      <c r="AR1026" s="69">
        <f>+AD1026/$AF$26</f>
        <v>9.898096305708046E-3</v>
      </c>
      <c r="AS1026" s="169">
        <f t="shared" si="1865"/>
        <v>-2.3566831229463692E-4</v>
      </c>
      <c r="AT1026" s="115"/>
      <c r="AU1026" s="115"/>
      <c r="AV1026" s="113">
        <f>INDEX('Total Customers'!$E$7:$E$91,MATCH(Calculation!$C1026,'Total Customers'!$D$7:$D$91,0))</f>
        <v>321650</v>
      </c>
      <c r="AW1026" s="68">
        <f t="shared" si="1780"/>
        <v>5.9620874220809488E-3</v>
      </c>
      <c r="AX1026" s="113"/>
      <c r="AY1026" s="113"/>
      <c r="AZ1026" s="116"/>
      <c r="BA1026" s="116"/>
      <c r="BB1026" s="166"/>
      <c r="BC1026" s="166"/>
      <c r="BD1026" s="166"/>
      <c r="BE1026" s="166"/>
      <c r="BF1026" s="166"/>
      <c r="BG1026" s="166"/>
      <c r="BH1026" s="166"/>
      <c r="BI1026" s="113"/>
      <c r="BJ1026" s="113"/>
      <c r="BK1026" s="113">
        <f>INDEX('Dist. Plant Gas Additions'!$E$7:$AE$91,MATCH($C1026,'Dist. Plant Gas Additions'!$D$7:$D$91,0),MATCH(Calculation!$G1026,'Dist. Plant Gas Additions'!$E$5:$AE$5,0))</f>
        <v>106714</v>
      </c>
      <c r="BL1026" s="113">
        <f>INDEX('Gen. Plant Additions'!$E$7:$AE$91,MATCH($C1026,'Gen. Plant Additions'!$D$7:$D$91,0),MATCH(Calculation!$G1026,'Gen. Plant Additions'!$E$5:$AE$5,0))</f>
        <v>319</v>
      </c>
      <c r="BM1026" s="232"/>
      <c r="BN1026" s="61">
        <f t="shared" si="1855"/>
        <v>0</v>
      </c>
      <c r="BO1026" s="113"/>
      <c r="BP1026" s="113"/>
      <c r="BQ1026" s="175"/>
      <c r="BR1026" s="175"/>
      <c r="BS1026" s="170"/>
      <c r="BT1026" s="176"/>
      <c r="BU1026" s="177"/>
      <c r="BV1026" s="177"/>
      <c r="BW1026" s="113"/>
      <c r="BX1026" s="113"/>
      <c r="BY1026" s="113"/>
      <c r="BZ1026" s="113"/>
      <c r="CA1026" s="116">
        <v>2021</v>
      </c>
      <c r="CB1026" s="113"/>
      <c r="CC1026" s="113"/>
      <c r="CD1026" s="113"/>
      <c r="CE1026" s="175"/>
      <c r="CF1026" s="113">
        <f t="shared" si="1852"/>
        <v>107033</v>
      </c>
      <c r="CG1026" s="113">
        <f t="shared" si="1831"/>
        <v>114.71641904655664</v>
      </c>
      <c r="CH1026" s="178">
        <f>+(51-23)/(51-23*0.75)</f>
        <v>0.82962962962962961</v>
      </c>
      <c r="CI1026" s="113">
        <f>CI1003*CH1026+CG1004*CH1025+CG1005*CH1024+CG1006*CH1023+CG1007*CH1022+CG1008*CH1021+CG1009*CH1020+CG1010*CH1019+CG1011*CH1018+CG1012*CH1017+CG1013*CH1016+CG1014*CH1015+CG1015*CH1014+CG1016*CH1013+CG1017*CH1012+CG1008*CH1011+CG1019*CH1010+CG1020*CH1009+CG1021*CH1008+CG1022*CH1007+CG1023*CH1006+CG1024*CH1005+CG1026+CG1025*CH1004</f>
        <v>2535.6745988543707</v>
      </c>
      <c r="CJ1026" s="114"/>
      <c r="CK1026" s="113"/>
      <c r="CL1026" s="169">
        <f t="shared" si="1833"/>
        <v>-1.2765519962447545E-2</v>
      </c>
      <c r="CM1026" s="169">
        <f t="shared" si="1841"/>
        <v>2.3303205604043482E-3</v>
      </c>
      <c r="CN1026" s="114">
        <f>VLOOKUP($H1026,RoR!$E:$F,2,FALSE)</f>
        <v>2.7033333333333336E-2</v>
      </c>
      <c r="CO1026" s="169"/>
      <c r="CP1026" s="169"/>
      <c r="CQ1026" s="169">
        <f t="shared" si="1842"/>
        <v>2.8571621048129277E-2</v>
      </c>
      <c r="CR1026" s="169">
        <f t="shared" si="1843"/>
        <v>7.433422950153494E-2</v>
      </c>
      <c r="CS1026" s="179">
        <f t="shared" si="1834"/>
        <v>0.90509623210000001</v>
      </c>
      <c r="CT1026" s="180">
        <f t="shared" si="1835"/>
        <v>1.8969932656739068</v>
      </c>
      <c r="CU1026" s="180">
        <f t="shared" si="1836"/>
        <v>5.0215782983970621E-2</v>
      </c>
      <c r="CV1026" s="180">
        <f t="shared" si="1837"/>
        <v>0.655952481704143</v>
      </c>
      <c r="CW1026" s="180">
        <f t="shared" si="1838"/>
        <v>6.2485378865697057E-2</v>
      </c>
      <c r="CX1026" s="181">
        <f>CX1025</f>
        <v>0.25649666999999998</v>
      </c>
      <c r="CY1026" s="72">
        <v>0.37</v>
      </c>
      <c r="CZ1026" s="182">
        <f t="shared" si="1840"/>
        <v>32.361313427639594</v>
      </c>
      <c r="DA1026" s="182"/>
      <c r="DB1026" s="169">
        <f>LN(CZ1027/CZ1025)</f>
        <v>0.22962612417554096</v>
      </c>
      <c r="DC1026" s="181">
        <f>VLOOKUP($H1026,RoR!$E:$F,2,FALSE)</f>
        <v>2.7033333333333336E-2</v>
      </c>
      <c r="DD1026" s="183">
        <f>HLOOKUP($H1026,'GDP-PI'!$D$8:$CR$11,3,FALSE)</f>
        <v>4.2834637353352578E-2</v>
      </c>
      <c r="DE1026" s="181">
        <f>VLOOKUP(H1026,'HW Dx Data'!$E:$F,2,FALSE)</f>
        <v>933.02249921662576</v>
      </c>
      <c r="DF1026" s="72">
        <f t="shared" si="1856"/>
        <v>157.25</v>
      </c>
      <c r="DG1026" s="69">
        <f t="shared" si="1857"/>
        <v>2.6419062301765574E-2</v>
      </c>
      <c r="DH1026" s="175">
        <f>HLOOKUP(H1026,'GDP-PI'!$8:$9,2,FALSE)</f>
        <v>118.49</v>
      </c>
      <c r="DI1026" s="169">
        <f t="shared" si="1845"/>
        <v>4.194261824609434E-2</v>
      </c>
      <c r="EB1026"/>
    </row>
    <row r="1027" spans="1:132" s="160" customFormat="1" ht="21">
      <c r="G1027" s="161" t="s">
        <v>144</v>
      </c>
      <c r="H1027" s="162"/>
      <c r="I1027" s="163"/>
      <c r="J1027" s="159">
        <v>34543.54388867876</v>
      </c>
      <c r="K1027" s="159">
        <f t="shared" si="1846"/>
        <v>212.51026692512309</v>
      </c>
      <c r="L1027" s="164">
        <f t="shared" ref="L1027" si="1869">LN(K1027/K1026)</f>
        <v>8.037994068360009E-2</v>
      </c>
      <c r="M1027" s="76">
        <f t="shared" si="1858"/>
        <v>7.4197078132677867E-4</v>
      </c>
      <c r="N1027" s="166">
        <f>+N1026*EXP(O1027)</f>
        <v>119.73462000412052</v>
      </c>
      <c r="O1027" s="114">
        <f t="shared" si="1859"/>
        <v>-9.8187244758744241E-3</v>
      </c>
      <c r="P1027" s="114"/>
      <c r="Q1027" s="163">
        <v>48693.911264764043</v>
      </c>
      <c r="R1027" s="159">
        <f t="shared" si="1847"/>
        <v>382.66334982132844</v>
      </c>
      <c r="S1027" s="165">
        <f t="shared" ref="S1027" si="1870">LN(R1027/R1026)</f>
        <v>4.2203605250981227E-2</v>
      </c>
      <c r="T1027" s="165">
        <f t="shared" si="1861"/>
        <v>3.8957284238536939E-4</v>
      </c>
      <c r="U1027" s="166"/>
      <c r="V1027" s="114"/>
      <c r="W1027" s="159">
        <f t="shared" si="1829"/>
        <v>66718.610636874699</v>
      </c>
      <c r="X1027" s="168"/>
      <c r="Y1027" s="167">
        <v>2557.6795321256172</v>
      </c>
      <c r="Z1027" s="168">
        <v>8.6406990818381942E-3</v>
      </c>
      <c r="AA1027" s="76">
        <f t="shared" si="1848"/>
        <v>7.9760524758251401E-5</v>
      </c>
      <c r="AB1027" s="166"/>
      <c r="AC1027" s="114"/>
      <c r="AD1027" s="163">
        <f t="shared" si="1777"/>
        <v>149956.06579031749</v>
      </c>
      <c r="AE1027" s="168">
        <f t="shared" si="1862"/>
        <v>-1.131310218713835E-2</v>
      </c>
      <c r="AF1027" s="113"/>
      <c r="AG1027" s="114"/>
      <c r="AH1027" s="114"/>
      <c r="AI1027" s="114"/>
      <c r="AJ1027" s="116">
        <f t="shared" si="1863"/>
        <v>464.36952902329176</v>
      </c>
      <c r="AK1027" s="114"/>
      <c r="AL1027" s="115">
        <f t="shared" si="1849"/>
        <v>0.23035776316631804</v>
      </c>
      <c r="AM1027" s="115">
        <f t="shared" si="1850"/>
        <v>0.32472118422240015</v>
      </c>
      <c r="AN1027" s="115">
        <f t="shared" si="1851"/>
        <v>0.4449210526112819</v>
      </c>
      <c r="AO1027" s="115"/>
      <c r="AP1027" s="166"/>
      <c r="AQ1027" s="168"/>
      <c r="AR1027" s="69">
        <f>+AD1027/$AF$27</f>
        <v>9.2307953329724569E-3</v>
      </c>
      <c r="AS1027" s="169"/>
      <c r="AT1027" s="166"/>
      <c r="AU1027" s="168"/>
      <c r="AV1027" s="113">
        <v>322924</v>
      </c>
      <c r="AW1027" s="68">
        <f t="shared" si="1780"/>
        <v>3.9530035619962482E-3</v>
      </c>
      <c r="AX1027" s="113"/>
      <c r="AY1027" s="113"/>
      <c r="AZ1027" s="113"/>
      <c r="BA1027" s="113"/>
      <c r="BB1027" s="171"/>
      <c r="BC1027" s="172"/>
      <c r="BD1027" s="173"/>
      <c r="BE1027" s="115"/>
      <c r="BF1027" s="174"/>
      <c r="BG1027" s="174"/>
      <c r="BH1027" s="166"/>
      <c r="BI1027" s="113"/>
      <c r="BJ1027" s="113"/>
      <c r="BK1027" s="113"/>
      <c r="BL1027" s="113"/>
      <c r="BM1027" s="232"/>
      <c r="BN1027" s="61">
        <f>+BM1027*BL1027</f>
        <v>0</v>
      </c>
      <c r="BO1027" s="113"/>
      <c r="BP1027" s="113"/>
      <c r="BQ1027" s="175"/>
      <c r="BR1027" s="175"/>
      <c r="BS1027" s="170"/>
      <c r="BT1027" s="176"/>
      <c r="BU1027" s="177"/>
      <c r="BV1027" s="177"/>
      <c r="BW1027" s="113"/>
      <c r="BX1027" s="113"/>
      <c r="BY1027" s="113"/>
      <c r="BZ1027" s="113"/>
      <c r="CA1027" s="116">
        <v>2022</v>
      </c>
      <c r="CB1027" s="113"/>
      <c r="CC1027" s="113"/>
      <c r="CD1027" s="113"/>
      <c r="CE1027" s="175"/>
      <c r="CF1027" s="238">
        <v>46598</v>
      </c>
      <c r="CG1027" s="113">
        <f>+CF1027/DE1027</f>
        <v>45.205226957441241</v>
      </c>
      <c r="CH1027" s="178">
        <f>+(51-24)/(51-24*0.75)</f>
        <v>0.81818181818181823</v>
      </c>
      <c r="CI1027" s="113">
        <f>+CI1003*CH1027+CG1004*CH1026+CG1005*CH1025+CG1006*CH1024+CG1007*CH1023+CG1008*CH1022+CG1009*CH1021+CG1010*CH1020+CG1011*CH1019+CG1012*CH1018+CG1013*CH1017+CG1014*CH1016+CG1015*CH1015+CG1016*CH1014+CG1017*CH1013+CG1018*CH1012+CG1019*CH1011+CG1020*CH1010+CG1021*CH1009+CG1022*CH1008+CG1023*CH1007+CG1024*CH1006+CG1025*CH1005+CG1026*CH1004+CG1027*CH1003</f>
        <v>2499.0508808707787</v>
      </c>
      <c r="CJ1027" s="114">
        <f t="shared" ref="CJ1027" si="1871">LN(CI1027/CI1026)</f>
        <v>-1.4548703449556307E-2</v>
      </c>
      <c r="CK1027" s="113"/>
      <c r="CL1027" s="169">
        <f t="shared" si="1833"/>
        <v>3.2271074915528997E-2</v>
      </c>
      <c r="CM1027" s="169">
        <f t="shared" si="1841"/>
        <v>9.8355282410729356E-3</v>
      </c>
      <c r="CN1027" s="114"/>
      <c r="CO1027" s="169"/>
      <c r="CP1027" s="169"/>
      <c r="CQ1027" s="69">
        <f t="shared" si="1842"/>
        <v>2.1066413367460689E-2</v>
      </c>
      <c r="CR1027" s="169">
        <f t="shared" si="1843"/>
        <v>0.10114668178709289</v>
      </c>
      <c r="CS1027" s="179">
        <f t="shared" si="1834"/>
        <v>0.90509623210000001</v>
      </c>
      <c r="CT1027" s="180">
        <f t="shared" si="1835"/>
        <v>1.2820512820512819</v>
      </c>
      <c r="CU1027" s="180">
        <f t="shared" si="1836"/>
        <v>0.35000000000000003</v>
      </c>
      <c r="CV1027" s="180">
        <f t="shared" si="1837"/>
        <v>0.79171095533705893</v>
      </c>
      <c r="CW1027" s="180">
        <f t="shared" si="1838"/>
        <v>0.35525491585637264</v>
      </c>
      <c r="CX1027" s="181">
        <f>CX1026</f>
        <v>0.25649666999999998</v>
      </c>
      <c r="CY1027" s="72">
        <v>0.37</v>
      </c>
      <c r="CZ1027" s="182">
        <f t="shared" si="1840"/>
        <v>26.311976571054689</v>
      </c>
      <c r="DA1027" s="182"/>
      <c r="DB1027" s="169">
        <f t="shared" ref="DB1027" si="1872">LN(CZ1027/CZ1026)</f>
        <v>-0.20693946090715576</v>
      </c>
      <c r="DC1027" s="181">
        <v>0.04</v>
      </c>
      <c r="DD1027" s="183">
        <v>7.0000000000000001E-3</v>
      </c>
      <c r="DE1027" s="181">
        <v>1030.81</v>
      </c>
      <c r="DF1027" s="72">
        <f t="shared" si="1856"/>
        <v>162.55000000000001</v>
      </c>
      <c r="DG1027" s="169">
        <f t="shared" si="1857"/>
        <v>3.3148751169364422E-2</v>
      </c>
      <c r="DH1027" s="175">
        <v>127.25</v>
      </c>
      <c r="DI1027" s="169">
        <f t="shared" si="1845"/>
        <v>7.1325086601983473E-2</v>
      </c>
      <c r="EB1027"/>
    </row>
    <row r="1028" spans="1:132" s="160" customFormat="1" ht="21">
      <c r="A1028" s="160" t="s">
        <v>222</v>
      </c>
      <c r="B1028" s="160" t="s">
        <v>222</v>
      </c>
      <c r="C1028" s="160">
        <v>4063023</v>
      </c>
      <c r="D1028" s="161" t="s">
        <v>196</v>
      </c>
      <c r="E1028" s="161" t="s">
        <v>3</v>
      </c>
      <c r="F1028" s="189"/>
      <c r="G1028" s="160" t="s">
        <v>100</v>
      </c>
      <c r="H1028" s="162">
        <v>1998</v>
      </c>
      <c r="I1028" s="163"/>
      <c r="J1028" s="159"/>
      <c r="K1028" s="159"/>
      <c r="L1028" s="159"/>
      <c r="M1028" s="60"/>
      <c r="N1028" s="131"/>
      <c r="O1028" s="76"/>
      <c r="P1028" s="76"/>
      <c r="Q1028" s="165"/>
      <c r="R1028" s="165"/>
      <c r="S1028" s="165"/>
      <c r="T1028" s="159"/>
      <c r="U1028" s="165"/>
      <c r="V1028" s="165"/>
      <c r="W1028" s="159"/>
      <c r="X1028" s="163"/>
      <c r="Y1028" s="167">
        <v>2134.8066542362935</v>
      </c>
      <c r="Z1028" s="168"/>
      <c r="AA1028" s="78"/>
      <c r="AB1028" s="168"/>
      <c r="AC1028" s="168"/>
      <c r="AD1028" s="163">
        <f t="shared" si="1777"/>
        <v>0</v>
      </c>
      <c r="AE1028" s="163"/>
      <c r="AF1028" s="163"/>
      <c r="AG1028" s="114"/>
      <c r="AH1028" s="114"/>
      <c r="AI1028" s="114"/>
      <c r="AJ1028" s="166">
        <f>+(AJ1025+AJ1026+AJ1027)/3</f>
        <v>441.45087920729537</v>
      </c>
      <c r="AK1028" s="168"/>
      <c r="AL1028" s="115"/>
      <c r="AM1028" s="115"/>
      <c r="AN1028" s="115"/>
      <c r="AO1028" s="115"/>
      <c r="AP1028" s="115"/>
      <c r="AQ1028" s="168">
        <f>AVERAGE(AQ1037:AQ1051)</f>
        <v>3.9840691010519562E-2</v>
      </c>
      <c r="AR1028" s="79"/>
      <c r="AS1028" s="115"/>
      <c r="AT1028" s="115"/>
      <c r="AU1028" s="115"/>
      <c r="AV1028" s="113">
        <f>IFERROR(INDEX('Total Customers'!$F$7:$AB$91,MATCH($C1028,'Total Customers'!$D$7:$D$91,0),MATCH($G1028,'Total Customers'!$F$5:$AB$5,0)),"NA")</f>
        <v>274696</v>
      </c>
      <c r="AW1028" s="68"/>
      <c r="AX1028" s="114"/>
      <c r="AY1028" s="114"/>
      <c r="AZ1028" s="116"/>
      <c r="BA1028" s="116"/>
      <c r="BB1028" s="166"/>
      <c r="BC1028" s="166"/>
      <c r="BD1028" s="166"/>
      <c r="BE1028" s="166"/>
      <c r="BF1028" s="166"/>
      <c r="BG1028" s="166"/>
      <c r="BH1028" s="166"/>
      <c r="BI1028" s="113">
        <f>INDEX('Gross Dx Plant'!$E$7:$AD$91,MATCH($C1028,'Gross Dx Plant'!$D$7:$D$91,0),MATCH(Calculation!$G1028,'Gross Dx Plant'!$E$5:$AD$5,0))</f>
        <v>549557</v>
      </c>
      <c r="BJ1028" s="113">
        <f>INDEX('Gross Gen Plant'!$E$7:$AD$91,MATCH($C1028,'Gross Gen Plant'!$D$7:$D$91,0),MATCH(Calculation!$G1028,'Gross Gen Plant'!$E$5:$AD$5,0))</f>
        <v>29087</v>
      </c>
      <c r="BK1028" s="113">
        <f>INDEX('Dist. Plant Gas Additions'!$F$7:$AE$91,MATCH($C1028,'Dist. Plant Gas Additions'!$D$7:$D$91,0),MATCH(Calculation!$G1028,'Dist. Plant Gas Additions'!$F$5:$AE$5,0))</f>
        <v>36447</v>
      </c>
      <c r="BL1028" s="113">
        <f>INDEX('Gen. Plant Additions'!$F$7:$AE$91,MATCH($C1028,'Gen. Plant Additions'!$D$7:$D$91,0),MATCH(Calculation!$G1028,'Gen. Plant Additions'!$F$5:$AE$5,0))</f>
        <v>7220</v>
      </c>
      <c r="BM1028" s="231">
        <f>+(BW1028/(BW1028+BX1028))</f>
        <v>0.94973247800029037</v>
      </c>
      <c r="BN1028" s="61">
        <f t="shared" ref="BN1028:BN1044" si="1873">+BM1028*BL1028</f>
        <v>6857.0684911620965</v>
      </c>
      <c r="BO1028" s="113">
        <f>INDEX('Dist Plant Depreciation'!$E$7:$AD$94,MATCH($C1028,'Dist Plant Depreciation'!$D$7:$D$94,0),MATCH(Calculation!$G1028,'Dist Plant Depreciation'!$E$5:$AD$5,0))</f>
        <v>139892</v>
      </c>
      <c r="BP1028" s="113">
        <f>INDEX('Gen. Plant Depreciation'!$E$7:$AD$94,MATCH($C1028,'Gen. Plant Depreciation'!$D$7:$D$94,0),MATCH(Calculation!$G1028,'Gen. Plant Depreciation'!$E$5:$AD$5,0))</f>
        <v>8120</v>
      </c>
      <c r="BQ1028" s="113"/>
      <c r="BR1028" s="113"/>
      <c r="BS1028" s="113"/>
      <c r="BT1028" s="113"/>
      <c r="BU1028" s="113"/>
      <c r="BV1028" s="175"/>
      <c r="BW1028" s="113">
        <f>INDEX('Gross Dx Plant'!$E$7:$AD$91,MATCH($C1028,'Gross Dx Plant'!$D$7:$D$91,0),MATCH(Calculation!$G1028,'Gross Dx Plant'!$E$5:$AD$5,0))</f>
        <v>549557</v>
      </c>
      <c r="BX1028" s="113">
        <f>INDEX('Gross Gen Plant'!$E$7:$AD$91,MATCH($C1028,'Gross Gen Plant'!$D$7:$D$91,0),MATCH(Calculation!$G1028,'Gross Gen Plant'!$E$5:$AD$5,0))</f>
        <v>29087</v>
      </c>
      <c r="BY1028" s="113">
        <f t="shared" si="1868"/>
        <v>430632</v>
      </c>
      <c r="BZ1028" s="113"/>
      <c r="CA1028" s="116">
        <v>1998</v>
      </c>
      <c r="CB1028" s="113">
        <f>BI1028+BJ1028</f>
        <v>578644</v>
      </c>
      <c r="CC1028" s="113">
        <f>139892+8120</f>
        <v>148012</v>
      </c>
      <c r="CD1028" s="113">
        <f>+CB1028-CC1028</f>
        <v>430632</v>
      </c>
      <c r="CE1028" s="113">
        <f>CD1028/$BV$3</f>
        <v>2134.8066542362935</v>
      </c>
      <c r="CF1028" s="175"/>
      <c r="CG1028" s="175"/>
      <c r="CH1028" s="178">
        <v>1</v>
      </c>
      <c r="CI1028" s="113">
        <f>+CE1028</f>
        <v>2134.8066542362935</v>
      </c>
      <c r="CJ1028" s="114"/>
      <c r="CK1028" s="114"/>
      <c r="CL1028" s="169"/>
      <c r="CM1028" s="169"/>
      <c r="CN1028" s="114" t="e">
        <f>VLOOKUP($H1028,RoR!$E:$F,2,FALSE)</f>
        <v>#N/A</v>
      </c>
      <c r="CO1028" s="169">
        <v>1.1028127770464469E-2</v>
      </c>
      <c r="CP1028" s="169"/>
      <c r="CQ1028" s="169"/>
      <c r="CR1028" s="169"/>
      <c r="CS1028" s="179"/>
      <c r="CT1028" s="182" t="e">
        <f>2/(DC1028*39)</f>
        <v>#N/A</v>
      </c>
      <c r="CU1028" s="180" t="e">
        <f>+(DC1028*40-(1+DC1028))/(DC1028*40)</f>
        <v>#N/A</v>
      </c>
      <c r="CV1028" s="180" t="e">
        <f>+(1-(1/(1+DC1028)^40))</f>
        <v>#N/A</v>
      </c>
      <c r="CW1028" s="180" t="e">
        <f>+CV1028*CU1028*CT1028</f>
        <v>#N/A</v>
      </c>
      <c r="CX1028" s="181">
        <f>INDEX('State Tax Lookup'!$D$7:$Z$91,MATCH(Calculation!$C1028,'State Tax Lookup'!$B$7:$B$91,0),MATCH($H1028,'State Tax Lookup'!$D$6:$Z$6,0))</f>
        <v>0.40849999999999997</v>
      </c>
      <c r="CY1028" s="72">
        <v>0.37</v>
      </c>
      <c r="CZ1028" s="66"/>
      <c r="DA1028" s="66"/>
      <c r="DB1028" s="69"/>
      <c r="DC1028" s="111" t="e">
        <f>VLOOKUP($H1028,RoR!$E:$F,2,FALSE)</f>
        <v>#N/A</v>
      </c>
      <c r="DD1028" s="216">
        <f>HLOOKUP($H1028,'GDP-PI'!$D$8:$CQ$11,3,FALSE)</f>
        <v>1.1028127770464469E-2</v>
      </c>
      <c r="DE1028" s="111">
        <f>VLOOKUP(H1028,'HW Dx Data'!$E:$F,2,FALSE)</f>
        <v>329.24564746449528</v>
      </c>
      <c r="DF1028" s="72" t="e">
        <f t="shared" si="1856"/>
        <v>#N/A</v>
      </c>
      <c r="DG1028" s="169" t="e">
        <f t="shared" si="1857"/>
        <v>#N/A</v>
      </c>
      <c r="DH1028" s="66">
        <f>HLOOKUP(H1028,'GDP-PI'!$8:$9,2,FALSE)</f>
        <v>75.266999999999996</v>
      </c>
      <c r="DI1028"/>
      <c r="EB1028"/>
    </row>
    <row r="1029" spans="1:132" s="160" customFormat="1" ht="21">
      <c r="A1029" s="160" t="s">
        <v>222</v>
      </c>
      <c r="B1029" s="160" t="s">
        <v>222</v>
      </c>
      <c r="C1029" s="160">
        <v>4063023</v>
      </c>
      <c r="D1029" s="161" t="s">
        <v>196</v>
      </c>
      <c r="E1029" s="161" t="s">
        <v>3</v>
      </c>
      <c r="F1029" s="189"/>
      <c r="G1029" s="160" t="s">
        <v>106</v>
      </c>
      <c r="H1029" s="162">
        <v>1999</v>
      </c>
      <c r="I1029" s="163"/>
      <c r="J1029" s="159"/>
      <c r="K1029" s="163"/>
      <c r="L1029" s="163"/>
      <c r="M1029" s="60"/>
      <c r="N1029" s="152"/>
      <c r="O1029" s="60"/>
      <c r="P1029" s="59"/>
      <c r="Q1029" s="169"/>
      <c r="R1029" s="169"/>
      <c r="S1029" s="169"/>
      <c r="T1029" s="187"/>
      <c r="U1029" s="169"/>
      <c r="V1029" s="169"/>
      <c r="W1029" s="159">
        <f t="shared" ref="W1029:W1052" si="1874">+CI1028*CZ1029</f>
        <v>0</v>
      </c>
      <c r="X1029" s="163"/>
      <c r="Y1029" s="167">
        <v>2247.1351062066201</v>
      </c>
      <c r="Z1029" s="168">
        <v>5.128003626528771E-2</v>
      </c>
      <c r="AA1029" s="78"/>
      <c r="AB1029" s="168"/>
      <c r="AC1029" s="168"/>
      <c r="AD1029" s="163">
        <f t="shared" si="1777"/>
        <v>0</v>
      </c>
      <c r="AE1029" s="168"/>
      <c r="AF1029" s="163"/>
      <c r="AG1029" s="114"/>
      <c r="AH1029" s="114"/>
      <c r="AI1029" s="114"/>
      <c r="AJ1029" s="167"/>
      <c r="AK1029" s="168"/>
      <c r="AL1029" s="115"/>
      <c r="AM1029" s="115"/>
      <c r="AN1029" s="115"/>
      <c r="AO1029" s="115"/>
      <c r="AP1029" s="115"/>
      <c r="AQ1029" s="168"/>
      <c r="AR1029" s="79"/>
      <c r="AS1029" s="115"/>
      <c r="AT1029" s="115"/>
      <c r="AU1029" s="115"/>
      <c r="AV1029" s="113">
        <f>IFERROR(INDEX('Total Customers'!$F$7:$AB$91,MATCH($C1029,'Total Customers'!$D$7:$D$91,0),MATCH($G1029,'Total Customers'!$F$5:$AB$5,0)),"NA")</f>
        <v>270524</v>
      </c>
      <c r="AW1029" s="68">
        <f t="shared" ref="AW1029:AW1091" si="1875">LN(AV1029/AV1028)</f>
        <v>-1.5304212720721008E-2</v>
      </c>
      <c r="AX1029" s="114"/>
      <c r="AY1029" s="114"/>
      <c r="AZ1029" s="116"/>
      <c r="BA1029" s="116"/>
      <c r="BB1029" s="166"/>
      <c r="BC1029" s="166"/>
      <c r="BD1029" s="166"/>
      <c r="BE1029" s="166"/>
      <c r="BF1029" s="166"/>
      <c r="BG1029" s="166"/>
      <c r="BH1029" s="166"/>
      <c r="BI1029" s="113"/>
      <c r="BJ1029" s="113"/>
      <c r="BK1029" s="113">
        <f>INDEX('Dist. Plant Gas Additions'!$F$7:$AE$91,MATCH($C1029,'Dist. Plant Gas Additions'!$D$7:$D$91,0),MATCH(Calculation!$G1029,'Dist. Plant Gas Additions'!$F$5:$AE$5,0))</f>
        <v>35223</v>
      </c>
      <c r="BL1029" s="113">
        <f>INDEX('Gen. Plant Additions'!$F$7:$AE$91,MATCH($C1029,'Gen. Plant Additions'!$D$7:$D$91,0),MATCH(Calculation!$G1029,'Gen. Plant Additions'!$F$5:$AE$5,0))</f>
        <v>6005</v>
      </c>
      <c r="BM1029" s="231">
        <f t="shared" ref="BM1029:BM1049" si="1876">+(BW1029/(BW1029+BX1029))</f>
        <v>0.95228564396859572</v>
      </c>
      <c r="BN1029" s="61">
        <f t="shared" si="1873"/>
        <v>5718.4752920314177</v>
      </c>
      <c r="BO1029" s="113">
        <f>INDEX('Dist Plant Depreciation'!$E$7:$AD$94,MATCH($C1029,'Dist Plant Depreciation'!$D$7:$D$94,0),MATCH(Calculation!$G1029,'Dist Plant Depreciation'!$E$5:$AD$5,0))</f>
        <v>150323</v>
      </c>
      <c r="BP1029" s="113">
        <f>INDEX('Gen. Plant Depreciation'!$E$7:$AD$94,MATCH($C1029,'Gen. Plant Depreciation'!$D$7:$D$94,0),MATCH(Calculation!$G1029,'Gen. Plant Depreciation'!$E$5:$AD$5,0))</f>
        <v>7896</v>
      </c>
      <c r="BQ1029" s="113"/>
      <c r="BR1029" s="113"/>
      <c r="BS1029" s="113"/>
      <c r="BT1029" s="113"/>
      <c r="BU1029" s="113"/>
      <c r="BV1029" s="175"/>
      <c r="BW1029" s="113">
        <f>INDEX('Gross Dx Plant'!$E$7:$AD$91,MATCH($C1029,'Gross Dx Plant'!$D$7:$D$91,0),MATCH(Calculation!$G1029,'Gross Dx Plant'!$E$5:$AD$5,0))</f>
        <v>584272</v>
      </c>
      <c r="BX1029" s="113">
        <f>INDEX('Gross Gen Plant'!$E$7:$AD$91,MATCH($C1029,'Gross Gen Plant'!$D$7:$D$91,0),MATCH(Calculation!$G1029,'Gross Gen Plant'!$E$5:$AD$5,0))</f>
        <v>29275</v>
      </c>
      <c r="BY1029" s="113">
        <f t="shared" si="1868"/>
        <v>455328</v>
      </c>
      <c r="BZ1029" s="113"/>
      <c r="CA1029" s="116">
        <v>1999</v>
      </c>
      <c r="CB1029" s="113"/>
      <c r="CC1029" s="113"/>
      <c r="CD1029" s="113"/>
      <c r="CE1029" s="175"/>
      <c r="CF1029" s="113">
        <f t="shared" ref="CF1029:CF1049" si="1877">+BL1029+BK1029</f>
        <v>41228</v>
      </c>
      <c r="CG1029" s="113">
        <f t="shared" ref="CG1029:CG1051" si="1878">+CF1029/$DE1029</f>
        <v>122.94938059836777</v>
      </c>
      <c r="CH1029" s="178">
        <v>0.99502487562189057</v>
      </c>
      <c r="CI1029" s="61">
        <f>+CI1028*CH1029+CG1029</f>
        <v>2247.1351062066201</v>
      </c>
      <c r="CJ1029" s="114">
        <f t="shared" ref="CJ1029:CJ1050" si="1879">LN(CI1029/CI1028)</f>
        <v>5.128003626528771E-2</v>
      </c>
      <c r="CK1029" s="114"/>
      <c r="CL1029" s="169">
        <f t="shared" ref="CL1029:CL1052" si="1880">+(CI1028-CI1029+CG1029)/CI1028</f>
        <v>4.9751243781094232E-3</v>
      </c>
      <c r="CM1029" s="169"/>
      <c r="CN1029" s="114">
        <f>VLOOKUP($H1029,RoR!$E:$F,2,FALSE)</f>
        <v>7.0416666666666669E-2</v>
      </c>
      <c r="CO1029" s="169">
        <v>1.4335631817396832E-2</v>
      </c>
      <c r="CP1029" s="169">
        <f>+CN1029-CO1029</f>
        <v>5.6081034849269837E-2</v>
      </c>
      <c r="CQ1029" s="169"/>
      <c r="CR1029" s="169"/>
      <c r="CS1029" s="179">
        <f t="shared" ref="CS1029:CS1052" si="1881">1-CX1029*CY1029</f>
        <v>0.84885500000000003</v>
      </c>
      <c r="CT1029" s="180">
        <f t="shared" ref="CT1029:CT1052" si="1882">2/(DC1029*39)</f>
        <v>0.72826581702321336</v>
      </c>
      <c r="CU1029" s="180">
        <f t="shared" ref="CU1029:CU1052" si="1883">+(DC1029*40-(1+DC1029))/(DC1029*40)</f>
        <v>0.61997041420118348</v>
      </c>
      <c r="CV1029" s="180">
        <f t="shared" ref="CV1029:CV1052" si="1884">+(1-(1/(1+DC1029)^40))</f>
        <v>0.93425155319585029</v>
      </c>
      <c r="CW1029" s="180">
        <f t="shared" ref="CW1029:CW1052" si="1885">+CV1029*CU1029*CT1029</f>
        <v>0.42181762214141483</v>
      </c>
      <c r="CX1029" s="181">
        <f>INDEX('State Tax Lookup'!$D$7:$Z$91,MATCH(Calculation!$C1029,'State Tax Lookup'!$B$7:$B$91,0),MATCH($H1029,'State Tax Lookup'!$D$6:$Z$6,0))</f>
        <v>0.40849999999999997</v>
      </c>
      <c r="CY1029" s="72">
        <v>0.37</v>
      </c>
      <c r="CZ1029" s="70"/>
      <c r="DA1029" s="70"/>
      <c r="DB1029" s="69"/>
      <c r="DC1029" s="111">
        <f>VLOOKUP($H1029,RoR!$E:$F,2,FALSE)</f>
        <v>7.0416666666666669E-2</v>
      </c>
      <c r="DD1029" s="216">
        <f>HLOOKUP($H1029,'GDP-PI'!$D$8:$CQ$11,3,FALSE)</f>
        <v>1.4335631817396832E-2</v>
      </c>
      <c r="DE1029" s="111">
        <f>VLOOKUP(H1029,'HW Dx Data'!$E:$F,2,FALSE)</f>
        <v>335.32499146683239</v>
      </c>
      <c r="DF1029" s="66"/>
      <c r="DG1029" s="69"/>
      <c r="DH1029" s="66">
        <f>HLOOKUP(H1029,'GDP-PI'!$8:$9,2,FALSE)</f>
        <v>76.346000000000004</v>
      </c>
      <c r="DI1029"/>
      <c r="EB1029"/>
    </row>
    <row r="1030" spans="1:132" s="160" customFormat="1" ht="21">
      <c r="A1030" s="160" t="s">
        <v>222</v>
      </c>
      <c r="B1030" s="160" t="s">
        <v>222</v>
      </c>
      <c r="C1030" s="160">
        <v>4063023</v>
      </c>
      <c r="D1030" s="161" t="s">
        <v>196</v>
      </c>
      <c r="E1030" s="161" t="s">
        <v>3</v>
      </c>
      <c r="F1030" s="189"/>
      <c r="G1030" s="160" t="s">
        <v>107</v>
      </c>
      <c r="H1030" s="162">
        <v>2000</v>
      </c>
      <c r="I1030" s="163"/>
      <c r="J1030" s="159"/>
      <c r="K1030" s="159"/>
      <c r="L1030" s="159"/>
      <c r="M1030" s="60"/>
      <c r="N1030" s="152"/>
      <c r="O1030" s="60"/>
      <c r="P1030" s="60"/>
      <c r="Q1030" s="159"/>
      <c r="R1030" s="159"/>
      <c r="S1030" s="159"/>
      <c r="T1030" s="159"/>
      <c r="U1030" s="159"/>
      <c r="V1030" s="159"/>
      <c r="W1030" s="159">
        <f t="shared" si="1874"/>
        <v>0</v>
      </c>
      <c r="X1030" s="163"/>
      <c r="Y1030" s="167">
        <v>2367.5504848287942</v>
      </c>
      <c r="Z1030" s="168">
        <v>5.21997511916652E-2</v>
      </c>
      <c r="AA1030" s="78"/>
      <c r="AB1030" s="168"/>
      <c r="AC1030" s="168"/>
      <c r="AD1030" s="163">
        <f t="shared" ref="AD1030:AD1095" si="1886">+J1030+Q1030+W1030</f>
        <v>0</v>
      </c>
      <c r="AE1030" s="168"/>
      <c r="AF1030" s="163"/>
      <c r="AG1030" s="163"/>
      <c r="AH1030" s="163"/>
      <c r="AI1030" s="163"/>
      <c r="AJ1030" s="167"/>
      <c r="AK1030" s="168"/>
      <c r="AL1030" s="115"/>
      <c r="AM1030" s="115"/>
      <c r="AN1030" s="115"/>
      <c r="AO1030" s="115"/>
      <c r="AP1030" s="115"/>
      <c r="AQ1030" s="168"/>
      <c r="AR1030" s="79"/>
      <c r="AS1030" s="115"/>
      <c r="AT1030" s="115"/>
      <c r="AU1030" s="115"/>
      <c r="AV1030" s="113">
        <f>IFERROR(INDEX('Total Customers'!$F$7:$AB$91,MATCH($C1030,'Total Customers'!$D$7:$D$91,0),MATCH($G1030,'Total Customers'!$F$5:$AB$5,0)),"NA")</f>
        <v>329912</v>
      </c>
      <c r="AW1030" s="68">
        <f t="shared" si="1875"/>
        <v>0.19846513329713486</v>
      </c>
      <c r="AX1030" s="114"/>
      <c r="AY1030" s="114"/>
      <c r="AZ1030" s="116"/>
      <c r="BA1030" s="116"/>
      <c r="BB1030" s="166"/>
      <c r="BC1030" s="166"/>
      <c r="BD1030" s="166"/>
      <c r="BE1030" s="166"/>
      <c r="BF1030" s="166"/>
      <c r="BG1030" s="166"/>
      <c r="BH1030" s="166"/>
      <c r="BI1030" s="113"/>
      <c r="BJ1030" s="113"/>
      <c r="BK1030" s="113">
        <f>INDEX('Dist. Plant Gas Additions'!$F$7:$AE$91,MATCH($C1030,'Dist. Plant Gas Additions'!$D$7:$D$91,0),MATCH(Calculation!$G1030,'Dist. Plant Gas Additions'!$F$5:$AE$5,0))</f>
        <v>38416</v>
      </c>
      <c r="BL1030" s="113">
        <f>INDEX('Gen. Plant Additions'!$F$7:$AE$91,MATCH($C1030,'Gen. Plant Additions'!$D$7:$D$91,0),MATCH(Calculation!$G1030,'Gen. Plant Additions'!$F$5:$AE$5,0))</f>
        <v>7316</v>
      </c>
      <c r="BM1030" s="231">
        <f t="shared" si="1876"/>
        <v>0.95109229399303219</v>
      </c>
      <c r="BN1030" s="61">
        <f t="shared" si="1873"/>
        <v>6958.1912228530236</v>
      </c>
      <c r="BO1030" s="113">
        <f>INDEX('Dist Plant Depreciation'!$E$7:$AD$94,MATCH($C1030,'Dist Plant Depreciation'!$D$7:$D$94,0),MATCH(Calculation!$G1030,'Dist Plant Depreciation'!$E$5:$AD$5,0))</f>
        <v>162149</v>
      </c>
      <c r="BP1030" s="113">
        <f>INDEX('Gen. Plant Depreciation'!$E$7:$AD$94,MATCH($C1030,'Gen. Plant Depreciation'!$D$7:$D$94,0),MATCH(Calculation!$G1030,'Gen. Plant Depreciation'!$E$5:$AD$5,0))</f>
        <v>9263</v>
      </c>
      <c r="BQ1030" s="113"/>
      <c r="BR1030" s="113"/>
      <c r="BS1030" s="113"/>
      <c r="BT1030" s="113"/>
      <c r="BU1030" s="113"/>
      <c r="BV1030" s="175"/>
      <c r="BW1030" s="113">
        <f>INDEX('Gross Dx Plant'!$E$7:$AD$91,MATCH($C1030,'Gross Dx Plant'!$D$7:$D$91,0),MATCH(Calculation!$G1030,'Gross Dx Plant'!$E$5:$AD$5,0))</f>
        <v>622702</v>
      </c>
      <c r="BX1030" s="113">
        <f>INDEX('Gross Gen Plant'!$E$7:$AD$91,MATCH($C1030,'Gross Gen Plant'!$D$7:$D$91,0),MATCH(Calculation!$G1030,'Gross Gen Plant'!$E$5:$AD$5,0))</f>
        <v>32021</v>
      </c>
      <c r="BY1030" s="113">
        <f t="shared" si="1868"/>
        <v>483311</v>
      </c>
      <c r="BZ1030" s="113"/>
      <c r="CA1030" s="116">
        <v>2000</v>
      </c>
      <c r="CB1030" s="113"/>
      <c r="CC1030" s="113"/>
      <c r="CD1030" s="113"/>
      <c r="CE1030" s="175"/>
      <c r="CF1030" s="113">
        <f t="shared" si="1877"/>
        <v>45732</v>
      </c>
      <c r="CG1030" s="113">
        <f t="shared" si="1878"/>
        <v>131.96984203296537</v>
      </c>
      <c r="CH1030" s="178">
        <v>0.98989898989898994</v>
      </c>
      <c r="CI1030" s="61">
        <f>+CI1028*CH1030+CG1029*CH1029+CG1030</f>
        <v>2367.5504848287942</v>
      </c>
      <c r="CJ1030" s="114">
        <f t="shared" si="1879"/>
        <v>5.21997511916652E-2</v>
      </c>
      <c r="CK1030" s="114"/>
      <c r="CL1030" s="169">
        <f t="shared" si="1880"/>
        <v>5.1418641357511945E-3</v>
      </c>
      <c r="CM1030" s="169"/>
      <c r="CN1030" s="114">
        <f>VLOOKUP($H1030,RoR!$E:$F,2,FALSE)</f>
        <v>7.6225000000000001E-2</v>
      </c>
      <c r="CO1030" s="169">
        <v>2.2568307442433211E-2</v>
      </c>
      <c r="CP1030" s="169">
        <f t="shared" ref="CP1030:CP1050" si="1887">+CN1030-CO1030</f>
        <v>5.365669255756679E-2</v>
      </c>
      <c r="CQ1030" s="169"/>
      <c r="CR1030" s="169"/>
      <c r="CS1030" s="179">
        <f t="shared" si="1881"/>
        <v>0.84885500000000003</v>
      </c>
      <c r="CT1030" s="180">
        <f t="shared" si="1882"/>
        <v>0.67277207323124022</v>
      </c>
      <c r="CU1030" s="180">
        <f t="shared" si="1883"/>
        <v>0.6470236142997704</v>
      </c>
      <c r="CV1030" s="180">
        <f t="shared" si="1884"/>
        <v>0.94704866037543145</v>
      </c>
      <c r="CW1030" s="180">
        <f t="shared" si="1885"/>
        <v>0.41224973107878493</v>
      </c>
      <c r="CX1030" s="181">
        <f>INDEX('State Tax Lookup'!$D$7:$Z$91,MATCH(Calculation!$C1030,'State Tax Lookup'!$B$7:$B$91,0),MATCH($H1030,'State Tax Lookup'!$D$6:$Z$6,0))</f>
        <v>0.40849999999999997</v>
      </c>
      <c r="CY1030" s="72">
        <v>0.37</v>
      </c>
      <c r="CZ1030" s="70"/>
      <c r="DA1030" s="70"/>
      <c r="DB1030" s="69"/>
      <c r="DC1030" s="111">
        <f>VLOOKUP($H1030,RoR!$E:$F,2,FALSE)</f>
        <v>7.6225000000000001E-2</v>
      </c>
      <c r="DD1030" s="216">
        <f>HLOOKUP($H1030,'GDP-PI'!$D$8:$CQ$11,3,FALSE)</f>
        <v>2.2568307442433211E-2</v>
      </c>
      <c r="DE1030" s="111">
        <f>VLOOKUP(H1030,'HW Dx Data'!$E:$F,2,FALSE)</f>
        <v>346.53371782150339</v>
      </c>
      <c r="DF1030" s="66"/>
      <c r="DG1030" s="69"/>
      <c r="DH1030" s="66">
        <f>HLOOKUP(H1030,'GDP-PI'!$8:$9,2,FALSE)</f>
        <v>78.069000000000003</v>
      </c>
      <c r="DI1030"/>
      <c r="EB1030"/>
    </row>
    <row r="1031" spans="1:132" s="160" customFormat="1" ht="21">
      <c r="A1031" s="160" t="s">
        <v>222</v>
      </c>
      <c r="B1031" s="160" t="s">
        <v>222</v>
      </c>
      <c r="C1031" s="160">
        <v>4063023</v>
      </c>
      <c r="D1031" s="161" t="s">
        <v>196</v>
      </c>
      <c r="E1031" s="161" t="s">
        <v>3</v>
      </c>
      <c r="F1031" s="189"/>
      <c r="G1031" s="160" t="s">
        <v>111</v>
      </c>
      <c r="H1031" s="162">
        <v>2001</v>
      </c>
      <c r="I1031" s="163"/>
      <c r="J1031" s="159"/>
      <c r="K1031" s="159"/>
      <c r="L1031" s="159"/>
      <c r="M1031" s="60"/>
      <c r="N1031" s="152"/>
      <c r="O1031" s="60"/>
      <c r="P1031" s="60"/>
      <c r="Q1031" s="159"/>
      <c r="R1031" s="159"/>
      <c r="S1031" s="159"/>
      <c r="T1031" s="159"/>
      <c r="U1031" s="159"/>
      <c r="V1031" s="159"/>
      <c r="W1031" s="159">
        <f t="shared" si="1874"/>
        <v>30964.991313493596</v>
      </c>
      <c r="X1031" s="163"/>
      <c r="Y1031" s="167">
        <v>2480.3297835424942</v>
      </c>
      <c r="Z1031" s="168">
        <v>4.6535658611026785E-2</v>
      </c>
      <c r="AA1031" s="78"/>
      <c r="AB1031" s="168"/>
      <c r="AC1031" s="168"/>
      <c r="AD1031" s="163">
        <f t="shared" si="1886"/>
        <v>30964.991313493596</v>
      </c>
      <c r="AE1031" s="168"/>
      <c r="AF1031" s="163"/>
      <c r="AG1031" s="163"/>
      <c r="AH1031" s="163"/>
      <c r="AI1031" s="163"/>
      <c r="AJ1031" s="167"/>
      <c r="AK1031" s="168"/>
      <c r="AL1031" s="115"/>
      <c r="AM1031" s="115"/>
      <c r="AN1031" s="115"/>
      <c r="AO1031" s="115"/>
      <c r="AP1031" s="115"/>
      <c r="AQ1031" s="168"/>
      <c r="AR1031" s="79"/>
      <c r="AS1031" s="115"/>
      <c r="AT1031" s="115"/>
      <c r="AU1031" s="115"/>
      <c r="AV1031" s="113">
        <f>IFERROR(INDEX('Total Customers'!$F$7:$AB$91,MATCH($C1031,'Total Customers'!$D$7:$D$91,0),MATCH($G1031,'Total Customers'!$F$5:$AB$5,0)),"NA")</f>
        <v>330278</v>
      </c>
      <c r="AW1031" s="68">
        <f t="shared" si="1875"/>
        <v>1.10877183082437E-3</v>
      </c>
      <c r="AX1031" s="114"/>
      <c r="AY1031" s="114"/>
      <c r="AZ1031" s="116"/>
      <c r="BA1031" s="116"/>
      <c r="BB1031" s="166"/>
      <c r="BC1031" s="166"/>
      <c r="BD1031" s="166"/>
      <c r="BE1031" s="166"/>
      <c r="BF1031" s="166"/>
      <c r="BG1031" s="166"/>
      <c r="BH1031" s="166"/>
      <c r="BI1031" s="113"/>
      <c r="BJ1031" s="113"/>
      <c r="BK1031" s="113">
        <f>INDEX('Dist. Plant Gas Additions'!$F$7:$AE$91,MATCH($C1031,'Dist. Plant Gas Additions'!$D$7:$D$91,0),MATCH(Calculation!$G1031,'Dist. Plant Gas Additions'!$F$5:$AE$5,0))</f>
        <v>36892</v>
      </c>
      <c r="BL1031" s="113">
        <f>INDEX('Gen. Plant Additions'!$F$7:$AE$91,MATCH($C1031,'Gen. Plant Additions'!$D$7:$D$91,0),MATCH(Calculation!$G1031,'Gen. Plant Additions'!$F$5:$AE$5,0))</f>
        <v>7179</v>
      </c>
      <c r="BM1031" s="231">
        <f t="shared" si="1876"/>
        <v>0.95285522454578608</v>
      </c>
      <c r="BN1031" s="61">
        <f t="shared" si="1873"/>
        <v>6840.5476570141982</v>
      </c>
      <c r="BO1031" s="113">
        <f>INDEX('Dist Plant Depreciation'!$E$7:$AD$94,MATCH($C1031,'Dist Plant Depreciation'!$D$7:$D$94,0),MATCH(Calculation!$G1031,'Dist Plant Depreciation'!$E$5:$AD$5,0))</f>
        <v>172896</v>
      </c>
      <c r="BP1031" s="113">
        <f>INDEX('Gen. Plant Depreciation'!$E$7:$AD$94,MATCH($C1031,'Gen. Plant Depreciation'!$D$7:$D$94,0),MATCH(Calculation!$G1031,'Gen. Plant Depreciation'!$E$5:$AD$5,0))</f>
        <v>9085</v>
      </c>
      <c r="BQ1031" s="113"/>
      <c r="BR1031" s="113"/>
      <c r="BS1031" s="113"/>
      <c r="BT1031" s="113"/>
      <c r="BU1031" s="113"/>
      <c r="BV1031" s="175"/>
      <c r="BW1031" s="113">
        <f>INDEX('Gross Dx Plant'!$E$7:$AD$91,MATCH($C1031,'Gross Dx Plant'!$D$7:$D$91,0),MATCH(Calculation!$G1031,'Gross Dx Plant'!$E$5:$AD$5,0))</f>
        <v>658503</v>
      </c>
      <c r="BX1031" s="113">
        <f>INDEX('Gross Gen Plant'!$E$7:$AD$91,MATCH($C1031,'Gross Gen Plant'!$D$7:$D$91,0),MATCH(Calculation!$G1031,'Gross Gen Plant'!$E$5:$AD$5,0))</f>
        <v>32581</v>
      </c>
      <c r="BY1031" s="113">
        <f t="shared" si="1868"/>
        <v>509103</v>
      </c>
      <c r="BZ1031" s="113"/>
      <c r="CA1031" s="116">
        <v>2001</v>
      </c>
      <c r="CB1031" s="113"/>
      <c r="CC1031" s="113"/>
      <c r="CD1031" s="113"/>
      <c r="CE1031" s="175"/>
      <c r="CF1031" s="113">
        <f t="shared" si="1877"/>
        <v>44071</v>
      </c>
      <c r="CG1031" s="113">
        <f t="shared" si="1878"/>
        <v>124.68899890614679</v>
      </c>
      <c r="CH1031" s="178">
        <v>0.98461538461538467</v>
      </c>
      <c r="CI1031" s="61">
        <f>+CI1028*CH1031+CG1029*CH1030+CG1030*CH1028+CG1031</f>
        <v>2480.3297835424942</v>
      </c>
      <c r="CJ1031" s="114">
        <f t="shared" si="1879"/>
        <v>4.6535658611026785E-2</v>
      </c>
      <c r="CK1031" s="114"/>
      <c r="CL1031" s="169">
        <f t="shared" si="1880"/>
        <v>5.0303891168377987E-3</v>
      </c>
      <c r="CM1031" s="169">
        <f>+(CL1031+CL1030+CL1029)/3</f>
        <v>5.0491258768994721E-3</v>
      </c>
      <c r="CN1031" s="114">
        <f>VLOOKUP($H1031,RoR!$E:$F,2,FALSE)</f>
        <v>7.0824999999999999E-2</v>
      </c>
      <c r="CO1031" s="169">
        <v>2.2454495382290052E-2</v>
      </c>
      <c r="CP1031" s="169">
        <f t="shared" si="1887"/>
        <v>4.8370504617709947E-2</v>
      </c>
      <c r="CQ1031" s="169">
        <f>+$CP$2-CM1031</f>
        <v>2.5852815731634154E-2</v>
      </c>
      <c r="CR1031" s="169">
        <f>+((DE1029/DE1028-1)+(DE1030/DE1029-1)+(DE1031/DE1030-1))/3</f>
        <v>2.3947275901631187E-2</v>
      </c>
      <c r="CS1031" s="179">
        <f t="shared" si="1881"/>
        <v>0.84885500000000003</v>
      </c>
      <c r="CT1031" s="180">
        <f t="shared" si="1882"/>
        <v>0.72406708481540816</v>
      </c>
      <c r="CU1031" s="180">
        <f t="shared" si="1883"/>
        <v>0.62201729615248857</v>
      </c>
      <c r="CV1031" s="180">
        <f t="shared" si="1884"/>
        <v>0.9352469954311422</v>
      </c>
      <c r="CW1031" s="180">
        <f t="shared" si="1885"/>
        <v>0.42121864641655071</v>
      </c>
      <c r="CX1031" s="181">
        <f>INDEX('State Tax Lookup'!$D$7:$Z$91,MATCH(Calculation!$C1031,'State Tax Lookup'!$B$7:$B$91,0),MATCH($H1031,'State Tax Lookup'!$D$6:$Z$6,0))</f>
        <v>0.40849999999999997</v>
      </c>
      <c r="CY1031" s="72">
        <v>0.37</v>
      </c>
      <c r="CZ1031" s="70">
        <f t="shared" ref="CZ1031:CZ1052" si="1888">+(DE1031*CQ1031-CR1031)*CS1031/(1-CX1031)</f>
        <v>13.078914900407195</v>
      </c>
      <c r="DA1031" s="70"/>
      <c r="DB1031" s="69"/>
      <c r="DC1031" s="111">
        <f>VLOOKUP($H1031,RoR!$E:$F,2,FALSE)</f>
        <v>7.0824999999999999E-2</v>
      </c>
      <c r="DD1031" s="216">
        <f>HLOOKUP($H1031,'GDP-PI'!$D$8:$CQ$11,3,FALSE)</f>
        <v>2.2454495382290052E-2</v>
      </c>
      <c r="DE1031" s="111">
        <f>VLOOKUP(H1031,'HW Dx Data'!$E:$F,2,FALSE)</f>
        <v>353.44738017483138</v>
      </c>
      <c r="DF1031" s="66"/>
      <c r="DG1031" s="69"/>
      <c r="DH1031" s="66">
        <f>HLOOKUP(H1031,'GDP-PI'!$8:$9,2,FALSE)</f>
        <v>79.822000000000003</v>
      </c>
      <c r="DI1031"/>
      <c r="EB1031"/>
    </row>
    <row r="1032" spans="1:132" s="160" customFormat="1" ht="21">
      <c r="A1032" s="160" t="s">
        <v>222</v>
      </c>
      <c r="B1032" s="160" t="s">
        <v>222</v>
      </c>
      <c r="C1032" s="160">
        <v>4063023</v>
      </c>
      <c r="D1032" s="161" t="s">
        <v>196</v>
      </c>
      <c r="E1032" s="161" t="s">
        <v>3</v>
      </c>
      <c r="F1032" s="189"/>
      <c r="G1032" s="160" t="s">
        <v>113</v>
      </c>
      <c r="H1032" s="162">
        <v>2002</v>
      </c>
      <c r="I1032" s="163"/>
      <c r="J1032" s="159"/>
      <c r="K1032" s="159"/>
      <c r="L1032" s="159"/>
      <c r="M1032" s="60"/>
      <c r="N1032" s="152"/>
      <c r="O1032" s="60"/>
      <c r="P1032" s="60"/>
      <c r="Q1032" s="159"/>
      <c r="R1032" s="159"/>
      <c r="S1032" s="159"/>
      <c r="T1032" s="159"/>
      <c r="U1032" s="159"/>
      <c r="V1032" s="159"/>
      <c r="W1032" s="159">
        <f t="shared" si="1874"/>
        <v>32834.90026928889</v>
      </c>
      <c r="X1032" s="163"/>
      <c r="Y1032" s="167">
        <v>2592.6459144834562</v>
      </c>
      <c r="Z1032" s="168">
        <v>4.4287414277500513E-2</v>
      </c>
      <c r="AA1032" s="78"/>
      <c r="AB1032" s="168"/>
      <c r="AC1032" s="168"/>
      <c r="AD1032" s="163">
        <f t="shared" si="1886"/>
        <v>32834.90026928889</v>
      </c>
      <c r="AE1032" s="168"/>
      <c r="AF1032" s="163"/>
      <c r="AG1032" s="163"/>
      <c r="AH1032" s="163"/>
      <c r="AI1032" s="163"/>
      <c r="AJ1032" s="167"/>
      <c r="AK1032" s="168"/>
      <c r="AL1032" s="115"/>
      <c r="AM1032" s="115"/>
      <c r="AN1032" s="115"/>
      <c r="AO1032" s="115"/>
      <c r="AP1032" s="115"/>
      <c r="AQ1032" s="168"/>
      <c r="AR1032" s="79"/>
      <c r="AS1032" s="115"/>
      <c r="AT1032" s="115"/>
      <c r="AU1032" s="115"/>
      <c r="AV1032" s="113">
        <f>IFERROR(INDEX('Total Customers'!$F$7:$AB$91,MATCH($C1032,'Total Customers'!$D$7:$D$91,0),MATCH($G1032,'Total Customers'!$F$5:$AB$5,0)),"NA")</f>
        <v>296378</v>
      </c>
      <c r="AW1032" s="68">
        <f t="shared" si="1875"/>
        <v>-0.10829905741720537</v>
      </c>
      <c r="AX1032" s="114"/>
      <c r="AY1032" s="114"/>
      <c r="AZ1032" s="116"/>
      <c r="BA1032" s="116"/>
      <c r="BB1032" s="166"/>
      <c r="BC1032" s="166"/>
      <c r="BD1032" s="166"/>
      <c r="BE1032" s="166"/>
      <c r="BF1032" s="166"/>
      <c r="BG1032" s="166"/>
      <c r="BH1032" s="166"/>
      <c r="BI1032" s="113"/>
      <c r="BJ1032" s="113"/>
      <c r="BK1032" s="113">
        <f>INDEX('Dist. Plant Gas Additions'!$F$7:$AE$91,MATCH($C1032,'Dist. Plant Gas Additions'!$D$7:$D$91,0),MATCH(Calculation!$G1032,'Dist. Plant Gas Additions'!$F$5:$AE$5,0))</f>
        <v>38906</v>
      </c>
      <c r="BL1032" s="113">
        <f>INDEX('Gen. Plant Additions'!$F$7:$AE$91,MATCH($C1032,'Gen. Plant Additions'!$D$7:$D$91,0),MATCH(Calculation!$G1032,'Gen. Plant Additions'!$F$5:$AE$5,0))</f>
        <v>6823</v>
      </c>
      <c r="BM1032" s="231">
        <f t="shared" si="1876"/>
        <v>0.95398266187926828</v>
      </c>
      <c r="BN1032" s="61">
        <f t="shared" si="1873"/>
        <v>6509.0237020022478</v>
      </c>
      <c r="BO1032" s="113">
        <f>INDEX('Dist Plant Depreciation'!$E$7:$AD$94,MATCH($C1032,'Dist Plant Depreciation'!$D$7:$D$94,0),MATCH(Calculation!$G1032,'Dist Plant Depreciation'!$E$5:$AD$5,0))</f>
        <v>184972</v>
      </c>
      <c r="BP1032" s="113">
        <f>INDEX('Gen. Plant Depreciation'!$E$7:$AD$94,MATCH($C1032,'Gen. Plant Depreciation'!$D$7:$D$94,0),MATCH(Calculation!$G1032,'Gen. Plant Depreciation'!$E$5:$AD$5,0))</f>
        <v>9966</v>
      </c>
      <c r="BQ1032" s="113"/>
      <c r="BR1032" s="113"/>
      <c r="BS1032" s="113"/>
      <c r="BT1032" s="113"/>
      <c r="BU1032" s="113"/>
      <c r="BV1032" s="175"/>
      <c r="BW1032" s="113">
        <f>INDEX('Gross Dx Plant'!$E$7:$AD$91,MATCH($C1032,'Gross Dx Plant'!$D$7:$D$91,0),MATCH(Calculation!$G1032,'Gross Dx Plant'!$E$5:$AD$5,0))</f>
        <v>696912</v>
      </c>
      <c r="BX1032" s="113">
        <f>INDEX('Gross Gen Plant'!$E$7:$AD$91,MATCH($C1032,'Gross Gen Plant'!$D$7:$D$91,0),MATCH(Calculation!$G1032,'Gross Gen Plant'!$E$5:$AD$5,0))</f>
        <v>33617</v>
      </c>
      <c r="BY1032" s="113">
        <f t="shared" si="1868"/>
        <v>535591</v>
      </c>
      <c r="BZ1032" s="113"/>
      <c r="CA1032" s="116">
        <v>2002</v>
      </c>
      <c r="CB1032" s="113"/>
      <c r="CC1032" s="113"/>
      <c r="CD1032" s="113"/>
      <c r="CE1032" s="175"/>
      <c r="CF1032" s="113">
        <f t="shared" si="1877"/>
        <v>45729</v>
      </c>
      <c r="CG1032" s="113">
        <f t="shared" si="1878"/>
        <v>126.55107825743158</v>
      </c>
      <c r="CH1032" s="178">
        <v>0.97916666666666663</v>
      </c>
      <c r="CI1032" s="61">
        <f>+CI1028*CH1032+CG1029*CH1031+CG1030*CH1030+CG1031*CH1029+CG1032</f>
        <v>2592.6459144834562</v>
      </c>
      <c r="CJ1032" s="114">
        <f t="shared" si="1879"/>
        <v>4.4287414277500513E-2</v>
      </c>
      <c r="CK1032" s="114"/>
      <c r="CL1032" s="169">
        <f t="shared" si="1880"/>
        <v>5.739134937185135E-3</v>
      </c>
      <c r="CM1032" s="169">
        <f t="shared" ref="CM1032:CM1052" si="1889">+(CL1032+CL1031+CL1030)/3</f>
        <v>5.3037960632580433E-3</v>
      </c>
      <c r="CN1032" s="114">
        <f>VLOOKUP($H1032,RoR!$E:$F,2,FALSE)</f>
        <v>6.4916666666666664E-2</v>
      </c>
      <c r="CO1032" s="169">
        <v>1.5246423291824351E-2</v>
      </c>
      <c r="CP1032" s="169">
        <f t="shared" si="1887"/>
        <v>4.9670243374842313E-2</v>
      </c>
      <c r="CQ1032" s="169">
        <f t="shared" ref="CQ1032:CQ1052" si="1890">+$CP$2-CM1032</f>
        <v>2.5598145545275581E-2</v>
      </c>
      <c r="CR1032" s="169">
        <f t="shared" ref="CR1032:CR1052" si="1891">+((DE1030/DE1029-1)+(DE1031/DE1030-1)+(DE1032/DE1031-1))/3</f>
        <v>2.5243621214759093E-2</v>
      </c>
      <c r="CS1032" s="179">
        <f t="shared" si="1881"/>
        <v>0.84885500000000003</v>
      </c>
      <c r="CT1032" s="180">
        <f t="shared" si="1882"/>
        <v>0.78996741384417901</v>
      </c>
      <c r="CU1032" s="180">
        <f t="shared" si="1883"/>
        <v>0.58989088575096271</v>
      </c>
      <c r="CV1032" s="180">
        <f t="shared" si="1884"/>
        <v>0.91920675783645744</v>
      </c>
      <c r="CW1032" s="180">
        <f t="shared" si="1885"/>
        <v>0.42834536472275586</v>
      </c>
      <c r="CX1032" s="181">
        <f>INDEX('State Tax Lookup'!$D$7:$Z$91,MATCH(Calculation!$C1032,'State Tax Lookup'!$B$7:$B$91,0),MATCH($H1032,'State Tax Lookup'!$D$6:$Z$6,0))</f>
        <v>0.40849999999999997</v>
      </c>
      <c r="CY1032" s="72">
        <v>0.37</v>
      </c>
      <c r="CZ1032" s="70">
        <f t="shared" si="1888"/>
        <v>13.238118772412969</v>
      </c>
      <c r="DA1032" s="70"/>
      <c r="DB1032" s="69">
        <f>LN(CZ1032/CZ1031)</f>
        <v>1.2099069834511053E-2</v>
      </c>
      <c r="DC1032" s="111">
        <f>VLOOKUP($H1032,RoR!$E:$F,2,FALSE)</f>
        <v>6.4916666666666664E-2</v>
      </c>
      <c r="DD1032" s="216">
        <f>HLOOKUP($H1032,'GDP-PI'!$D$8:$CQ$11,3,FALSE)</f>
        <v>1.5246423291824351E-2</v>
      </c>
      <c r="DE1032" s="111">
        <f>VLOOKUP(H1032,'HW Dx Data'!$E:$F,2,FALSE)</f>
        <v>361.34816573413599</v>
      </c>
      <c r="DF1032" s="66"/>
      <c r="DG1032" s="69"/>
      <c r="DH1032" s="66">
        <f>HLOOKUP(H1032,'GDP-PI'!$8:$9,2,FALSE)</f>
        <v>81.039000000000001</v>
      </c>
      <c r="DI1032" s="69">
        <f>LN(DH1032/DH1031)</f>
        <v>1.513136459537477E-2</v>
      </c>
      <c r="EB1032"/>
    </row>
    <row r="1033" spans="1:132" s="160" customFormat="1" ht="21">
      <c r="A1033" s="160" t="s">
        <v>222</v>
      </c>
      <c r="B1033" s="160" t="s">
        <v>222</v>
      </c>
      <c r="C1033" s="160">
        <v>4063023</v>
      </c>
      <c r="D1033" s="161" t="s">
        <v>196</v>
      </c>
      <c r="E1033" s="161" t="s">
        <v>3</v>
      </c>
      <c r="F1033" s="189"/>
      <c r="G1033" s="160" t="s">
        <v>114</v>
      </c>
      <c r="H1033" s="162">
        <v>2003</v>
      </c>
      <c r="I1033" s="163"/>
      <c r="J1033" s="159"/>
      <c r="K1033" s="159"/>
      <c r="L1033" s="159"/>
      <c r="M1033" s="76"/>
      <c r="N1033" s="152"/>
      <c r="O1033" s="76"/>
      <c r="P1033" s="76"/>
      <c r="Q1033" s="159"/>
      <c r="R1033" s="159"/>
      <c r="S1033" s="159"/>
      <c r="T1033" s="159"/>
      <c r="U1033" s="159"/>
      <c r="V1033" s="159"/>
      <c r="W1033" s="159">
        <f t="shared" si="1874"/>
        <v>34856.42070062289</v>
      </c>
      <c r="X1033" s="163"/>
      <c r="Y1033" s="167">
        <v>2707.2090018821123</v>
      </c>
      <c r="Z1033" s="168">
        <v>4.3239272738969395E-2</v>
      </c>
      <c r="AA1033" s="78"/>
      <c r="AB1033" s="168"/>
      <c r="AC1033" s="168"/>
      <c r="AD1033" s="163">
        <f t="shared" si="1886"/>
        <v>34856.42070062289</v>
      </c>
      <c r="AE1033" s="168"/>
      <c r="AF1033" s="163"/>
      <c r="AG1033" s="163"/>
      <c r="AH1033" s="163"/>
      <c r="AI1033" s="163"/>
      <c r="AJ1033" s="167"/>
      <c r="AK1033" s="168"/>
      <c r="AL1033" s="115"/>
      <c r="AM1033" s="115"/>
      <c r="AN1033" s="115"/>
      <c r="AO1033" s="115"/>
      <c r="AP1033" s="115"/>
      <c r="AQ1033" s="168"/>
      <c r="AR1033" s="79"/>
      <c r="AS1033" s="115"/>
      <c r="AT1033" s="115"/>
      <c r="AU1033" s="115"/>
      <c r="AV1033" s="113">
        <f>IFERROR(INDEX('Total Customers'!$F$7:$AB$91,MATCH($C1033,'Total Customers'!$D$7:$D$91,0),MATCH($G1033,'Total Customers'!$F$5:$AB$5,0)),"NA")</f>
        <v>414506</v>
      </c>
      <c r="AW1033" s="68">
        <f t="shared" si="1875"/>
        <v>0.3354517830963949</v>
      </c>
      <c r="AX1033" s="114"/>
      <c r="AY1033" s="114"/>
      <c r="AZ1033" s="116"/>
      <c r="BA1033" s="116"/>
      <c r="BB1033" s="166"/>
      <c r="BC1033" s="166"/>
      <c r="BD1033" s="166"/>
      <c r="BE1033" s="166"/>
      <c r="BF1033" s="166"/>
      <c r="BG1033" s="166"/>
      <c r="BH1033" s="166"/>
      <c r="BI1033" s="113"/>
      <c r="BJ1033" s="113"/>
      <c r="BK1033" s="113">
        <f>INDEX('Dist. Plant Gas Additions'!$F$7:$AE$91,MATCH($C1033,'Dist. Plant Gas Additions'!$D$7:$D$91,0),MATCH(Calculation!$G1033,'Dist. Plant Gas Additions'!$F$5:$AE$5,0))</f>
        <v>39065</v>
      </c>
      <c r="BL1033" s="113">
        <f>INDEX('Gen. Plant Additions'!$F$7:$AE$91,MATCH($C1033,'Gen. Plant Additions'!$D$7:$D$91,0),MATCH(Calculation!$G1033,'Gen. Plant Additions'!$F$5:$AE$5,0))</f>
        <v>8640</v>
      </c>
      <c r="BM1033" s="231">
        <f t="shared" si="1876"/>
        <v>0.95294646163087859</v>
      </c>
      <c r="BN1033" s="61">
        <f t="shared" si="1873"/>
        <v>8233.4574284907903</v>
      </c>
      <c r="BO1033" s="113">
        <f>INDEX('Dist Plant Depreciation'!$E$7:$AD$94,MATCH($C1033,'Dist Plant Depreciation'!$D$7:$D$94,0),MATCH(Calculation!$G1033,'Dist Plant Depreciation'!$E$5:$AD$5,0))</f>
        <v>198766</v>
      </c>
      <c r="BP1033" s="113">
        <f>INDEX('Gen. Plant Depreciation'!$E$7:$AD$94,MATCH($C1033,'Gen. Plant Depreciation'!$D$7:$D$94,0),MATCH(Calculation!$G1033,'Gen. Plant Depreciation'!$E$5:$AD$5,0))</f>
        <v>11130</v>
      </c>
      <c r="BQ1033" s="113"/>
      <c r="BR1033" s="113"/>
      <c r="BS1033" s="113"/>
      <c r="BT1033" s="113"/>
      <c r="BU1033" s="113"/>
      <c r="BV1033" s="175"/>
      <c r="BW1033" s="113">
        <f>INDEX('Gross Dx Plant'!$E$7:$AD$91,MATCH($C1033,'Gross Dx Plant'!$D$7:$D$91,0),MATCH(Calculation!$G1033,'Gross Dx Plant'!$E$5:$AD$5,0))</f>
        <v>736073</v>
      </c>
      <c r="BX1033" s="113">
        <f>INDEX('Gross Gen Plant'!$E$7:$AD$91,MATCH($C1033,'Gross Gen Plant'!$D$7:$D$91,0),MATCH(Calculation!$G1033,'Gross Gen Plant'!$E$5:$AD$5,0))</f>
        <v>36345</v>
      </c>
      <c r="BY1033" s="113">
        <f t="shared" si="1868"/>
        <v>562522</v>
      </c>
      <c r="BZ1033" s="113"/>
      <c r="CA1033" s="116">
        <v>2003</v>
      </c>
      <c r="CB1033" s="113"/>
      <c r="CC1033" s="113"/>
      <c r="CD1033" s="113"/>
      <c r="CE1033" s="175"/>
      <c r="CF1033" s="113">
        <f t="shared" si="1877"/>
        <v>47705</v>
      </c>
      <c r="CG1033" s="113">
        <f t="shared" si="1878"/>
        <v>129.20025724822378</v>
      </c>
      <c r="CH1033" s="178">
        <v>0.97354497354497349</v>
      </c>
      <c r="CI1033" s="61">
        <f>+CI1028*CH1033+CG1029*CH1032+CG1030*CH1031+CG1031*CH1030+CG1032*CH1029+CG1033</f>
        <v>2707.2090018821123</v>
      </c>
      <c r="CJ1033" s="114">
        <f t="shared" si="1879"/>
        <v>4.3239272738969395E-2</v>
      </c>
      <c r="CK1033" s="114"/>
      <c r="CL1033" s="169">
        <f t="shared" si="1880"/>
        <v>5.645649399248537E-3</v>
      </c>
      <c r="CM1033" s="169">
        <f t="shared" si="1889"/>
        <v>5.4717244844238238E-3</v>
      </c>
      <c r="CN1033" s="114">
        <f>VLOOKUP($H1033,RoR!$E:$F,2,FALSE)</f>
        <v>5.6666666666666671E-2</v>
      </c>
      <c r="CO1033" s="169">
        <v>1.8855119140166909E-2</v>
      </c>
      <c r="CP1033" s="169">
        <f t="shared" si="1887"/>
        <v>3.7811547526499761E-2</v>
      </c>
      <c r="CQ1033" s="169">
        <f t="shared" si="1890"/>
        <v>2.54302171241098E-2</v>
      </c>
      <c r="CR1033" s="169">
        <f t="shared" si="1891"/>
        <v>2.1375012817671957E-2</v>
      </c>
      <c r="CS1033" s="179">
        <f t="shared" si="1881"/>
        <v>0.84885500000000003</v>
      </c>
      <c r="CT1033" s="180">
        <f t="shared" si="1882"/>
        <v>0.90497737556561086</v>
      </c>
      <c r="CU1033" s="180">
        <f t="shared" si="1883"/>
        <v>0.5338235294117647</v>
      </c>
      <c r="CV1033" s="180">
        <f t="shared" si="1884"/>
        <v>0.88972433127405692</v>
      </c>
      <c r="CW1033" s="180">
        <f t="shared" si="1885"/>
        <v>0.42982423775949252</v>
      </c>
      <c r="CX1033" s="181">
        <f>INDEX('State Tax Lookup'!$D$7:$Z$91,MATCH(Calculation!$C1033,'State Tax Lookup'!$B$7:$B$91,0),MATCH($H1033,'State Tax Lookup'!$D$6:$Z$6,0))</f>
        <v>0.40849999999999997</v>
      </c>
      <c r="CY1033" s="72">
        <v>0.37</v>
      </c>
      <c r="CZ1033" s="70">
        <f t="shared" si="1888"/>
        <v>13.44434290309461</v>
      </c>
      <c r="DA1033" s="70"/>
      <c r="DB1033" s="69">
        <f t="shared" ref="DB1033:DB1050" si="1892">LN(CZ1033/CZ1032)</f>
        <v>1.5457961831779228E-2</v>
      </c>
      <c r="DC1033" s="111">
        <f>VLOOKUP($H1033,RoR!$E:$F,2,FALSE)</f>
        <v>5.6666666666666671E-2</v>
      </c>
      <c r="DD1033" s="216">
        <f>HLOOKUP($H1033,'GDP-PI'!$D$8:$CQ$11,3,FALSE)</f>
        <v>1.8855119140166909E-2</v>
      </c>
      <c r="DE1033" s="111">
        <f>VLOOKUP(H1033,'HW Dx Data'!$E:$F,2,FALSE)</f>
        <v>369.23301095560191</v>
      </c>
      <c r="DF1033" s="66"/>
      <c r="DG1033" s="69"/>
      <c r="DH1033" s="66">
        <f>HLOOKUP(H1033,'GDP-PI'!$8:$9,2,FALSE)</f>
        <v>82.566999999999993</v>
      </c>
      <c r="DI1033" s="69">
        <f t="shared" ref="DI1033:DI1052" si="1893">LN(DH1033/DH1032)</f>
        <v>1.8679564681853753E-2</v>
      </c>
      <c r="EB1033"/>
    </row>
    <row r="1034" spans="1:132" s="160" customFormat="1" ht="21">
      <c r="A1034" s="160" t="s">
        <v>222</v>
      </c>
      <c r="B1034" s="160" t="s">
        <v>222</v>
      </c>
      <c r="C1034" s="160">
        <v>4063023</v>
      </c>
      <c r="D1034" s="161" t="s">
        <v>196</v>
      </c>
      <c r="E1034" s="161" t="s">
        <v>3</v>
      </c>
      <c r="F1034" s="189"/>
      <c r="G1034" s="160" t="s">
        <v>115</v>
      </c>
      <c r="H1034" s="162">
        <v>2004</v>
      </c>
      <c r="I1034" s="163"/>
      <c r="J1034" s="159">
        <f>IFERROR(INDEX('Labor Expenditures'!$F$7:$X$91,MATCH($C1034,'Labor Expenditures'!$D$7:$D$91,0),MATCH($G1034,'Labor Expenditures'!$F$5:$X$5,0)),"NA")</f>
        <v>16394.03843593394</v>
      </c>
      <c r="K1034" s="159">
        <f t="shared" ref="K1034:K1052" si="1894">+J1034/DF1034</f>
        <v>173.75769407455158</v>
      </c>
      <c r="L1034" s="165"/>
      <c r="M1034" s="76"/>
      <c r="N1034" s="152"/>
      <c r="O1034" s="76"/>
      <c r="P1034" s="76"/>
      <c r="Q1034" s="159">
        <f>IFERROR(INDEX('Non-Labor Expenditures'!$F$7:$AB$91,MATCH($C1034,'Non-Labor Expenditures'!$D$7:$D$91,0),MATCH($G1034,'Non-Labor Expenditures'!$F$5:$AB$5,0)),"NA")</f>
        <v>23741.629639243645</v>
      </c>
      <c r="R1034" s="159">
        <f t="shared" ref="R1034:R1052" si="1895">+Q1034/DH1034</f>
        <v>280.04470073891389</v>
      </c>
      <c r="S1034" s="159"/>
      <c r="T1034" s="159"/>
      <c r="U1034" s="159"/>
      <c r="V1034" s="159"/>
      <c r="W1034" s="159">
        <f t="shared" si="1874"/>
        <v>40350.076107211127</v>
      </c>
      <c r="X1034" s="163"/>
      <c r="Y1034" s="167">
        <v>2815.4359751075463</v>
      </c>
      <c r="Z1034" s="168">
        <v>3.9198909716380723E-2</v>
      </c>
      <c r="AA1034" s="76">
        <f t="shared" ref="AA1034:AA1052" si="1896">+Z1034*$AR1034</f>
        <v>0</v>
      </c>
      <c r="AB1034" s="168"/>
      <c r="AC1034" s="168"/>
      <c r="AD1034" s="163">
        <f t="shared" si="1886"/>
        <v>80485.744182388706</v>
      </c>
      <c r="AE1034" s="168"/>
      <c r="AF1034" s="163"/>
      <c r="AG1034" s="163"/>
      <c r="AH1034" s="163"/>
      <c r="AI1034" s="163"/>
      <c r="AJ1034" s="167"/>
      <c r="AK1034" s="168"/>
      <c r="AL1034" s="115">
        <f t="shared" ref="AL1034:AL1052" si="1897">+J1034/AD1034</f>
        <v>0.20368872279770958</v>
      </c>
      <c r="AM1034" s="115">
        <f t="shared" ref="AM1034:AM1052" si="1898">+Q1034/AD1034</f>
        <v>0.29497931441675868</v>
      </c>
      <c r="AN1034" s="115">
        <f t="shared" ref="AN1034:AN1052" si="1899">+W1034/AD1034</f>
        <v>0.50133196278553183</v>
      </c>
      <c r="AO1034" s="115"/>
      <c r="AP1034" s="115"/>
      <c r="AQ1034" s="168"/>
      <c r="AR1034" s="79"/>
      <c r="AS1034" s="115"/>
      <c r="AT1034" s="115"/>
      <c r="AU1034" s="115"/>
      <c r="AV1034" s="113">
        <f>IFERROR(INDEX('Total Customers'!$F$7:$AB$91,MATCH($C1034,'Total Customers'!$D$7:$D$91,0),MATCH($G1034,'Total Customers'!$F$5:$AB$5,0)),"NA")</f>
        <v>405376</v>
      </c>
      <c r="AW1034" s="68">
        <f t="shared" si="1875"/>
        <v>-2.2272418265875359E-2</v>
      </c>
      <c r="AX1034" s="114"/>
      <c r="AY1034" s="114"/>
      <c r="AZ1034" s="116"/>
      <c r="BA1034" s="116"/>
      <c r="BB1034" s="166"/>
      <c r="BC1034" s="166"/>
      <c r="BD1034" s="166"/>
      <c r="BE1034" s="166"/>
      <c r="BF1034" s="166"/>
      <c r="BG1034" s="166"/>
      <c r="BH1034" s="166"/>
      <c r="BI1034" s="113"/>
      <c r="BJ1034" s="113"/>
      <c r="BK1034" s="113">
        <f>INDEX('Dist. Plant Gas Additions'!$F$7:$AE$91,MATCH($C1034,'Dist. Plant Gas Additions'!$D$7:$D$91,0),MATCH(Calculation!$G1034,'Dist. Plant Gas Additions'!$F$5:$AE$5,0))</f>
        <v>51008</v>
      </c>
      <c r="BL1034" s="113">
        <f>INDEX('Gen. Plant Additions'!$F$7:$AE$91,MATCH($C1034,'Gen. Plant Additions'!$D$7:$D$91,0),MATCH(Calculation!$G1034,'Gen. Plant Additions'!$F$5:$AE$5,0))</f>
        <v>428</v>
      </c>
      <c r="BM1034" s="231">
        <f t="shared" si="1876"/>
        <v>0.9556954830002824</v>
      </c>
      <c r="BN1034" s="61">
        <f t="shared" si="1873"/>
        <v>409.03766672412087</v>
      </c>
      <c r="BO1034" s="113">
        <f>INDEX('Dist Plant Depreciation'!$E$7:$AD$94,MATCH($C1034,'Dist Plant Depreciation'!$D$7:$D$94,0),MATCH(Calculation!$G1034,'Dist Plant Depreciation'!$E$5:$AD$5,0))</f>
        <v>165673</v>
      </c>
      <c r="BP1034" s="113">
        <f>INDEX('Gen. Plant Depreciation'!$E$7:$AD$94,MATCH($C1034,'Gen. Plant Depreciation'!$D$7:$D$94,0),MATCH(Calculation!$G1034,'Gen. Plant Depreciation'!$E$5:$AD$5,0))</f>
        <v>14449</v>
      </c>
      <c r="BQ1034" s="113"/>
      <c r="BR1034" s="113"/>
      <c r="BS1034" s="113"/>
      <c r="BT1034" s="113"/>
      <c r="BU1034" s="113"/>
      <c r="BV1034" s="175"/>
      <c r="BW1034" s="113">
        <f>INDEX('Gross Dx Plant'!$E$7:$AD$91,MATCH($C1034,'Gross Dx Plant'!$D$7:$D$91,0),MATCH(Calculation!$G1034,'Gross Dx Plant'!$E$5:$AD$5,0))</f>
        <v>781800</v>
      </c>
      <c r="BX1034" s="113">
        <f>INDEX('Gross Gen Plant'!$E$7:$AD$91,MATCH($C1034,'Gross Gen Plant'!$D$7:$D$91,0),MATCH(Calculation!$G1034,'Gross Gen Plant'!$E$5:$AD$5,0))</f>
        <v>36243</v>
      </c>
      <c r="BY1034" s="113">
        <f t="shared" si="1868"/>
        <v>637921</v>
      </c>
      <c r="BZ1034" s="113"/>
      <c r="CA1034" s="116">
        <v>2004</v>
      </c>
      <c r="CB1034" s="113"/>
      <c r="CC1034" s="113"/>
      <c r="CD1034" s="113"/>
      <c r="CE1034" s="175"/>
      <c r="CF1034" s="113">
        <f t="shared" si="1877"/>
        <v>51436</v>
      </c>
      <c r="CG1034" s="113">
        <f t="shared" si="1878"/>
        <v>123.97586879544163</v>
      </c>
      <c r="CH1034" s="178">
        <v>0.967741935483871</v>
      </c>
      <c r="CI1034" s="61">
        <f>+CI1028*CH1034+CG1029*CH1033+CG1030*CH1032+CG1031*CH1031+CG1032*CH1030+CG1033*CH1029+CG1034</f>
        <v>2815.4359751075463</v>
      </c>
      <c r="CJ1034" s="114">
        <f t="shared" si="1879"/>
        <v>3.9198909716380723E-2</v>
      </c>
      <c r="CK1034" s="114"/>
      <c r="CL1034" s="169">
        <f t="shared" si="1880"/>
        <v>5.8173918449069316E-3</v>
      </c>
      <c r="CM1034" s="169">
        <f t="shared" si="1889"/>
        <v>5.7340587271135337E-3</v>
      </c>
      <c r="CN1034" s="114">
        <f>VLOOKUP($H1034,RoR!$E:$F,2,FALSE)</f>
        <v>5.6283333333333331E-2</v>
      </c>
      <c r="CO1034" s="169">
        <v>2.6778252812867276E-2</v>
      </c>
      <c r="CP1034" s="169">
        <f t="shared" si="1887"/>
        <v>2.9505080520466055E-2</v>
      </c>
      <c r="CQ1034" s="169">
        <f t="shared" si="1890"/>
        <v>2.5167882881420092E-2</v>
      </c>
      <c r="CR1034" s="169">
        <f t="shared" si="1891"/>
        <v>5.5940039414565046E-2</v>
      </c>
      <c r="CS1034" s="179">
        <f t="shared" si="1881"/>
        <v>0.84885500000000003</v>
      </c>
      <c r="CT1034" s="180">
        <f t="shared" si="1882"/>
        <v>0.91114097628755619</v>
      </c>
      <c r="CU1034" s="180">
        <f t="shared" si="1883"/>
        <v>0.53081877405981637</v>
      </c>
      <c r="CV1034" s="180">
        <f t="shared" si="1884"/>
        <v>0.88811215519385678</v>
      </c>
      <c r="CW1034" s="180">
        <f t="shared" si="1885"/>
        <v>0.42953609753547711</v>
      </c>
      <c r="CX1034" s="181">
        <f>INDEX('State Tax Lookup'!$D$7:$Z$91,MATCH(Calculation!$C1034,'State Tax Lookup'!$B$7:$B$91,0),MATCH($H1034,'State Tax Lookup'!$D$6:$Z$6,0))</f>
        <v>0.40849999999999997</v>
      </c>
      <c r="CY1034" s="72">
        <v>0.37</v>
      </c>
      <c r="CZ1034" s="70">
        <f t="shared" si="1888"/>
        <v>14.904677133963004</v>
      </c>
      <c r="DA1034" s="70"/>
      <c r="DB1034" s="69">
        <f t="shared" si="1892"/>
        <v>0.10311664973325069</v>
      </c>
      <c r="DC1034" s="111">
        <f>VLOOKUP($H1034,RoR!$E:$F,2,FALSE)</f>
        <v>5.6283333333333331E-2</v>
      </c>
      <c r="DD1034" s="216">
        <f>HLOOKUP($H1034,'GDP-PI'!$D$8:$CQ$11,3,FALSE)</f>
        <v>2.6778252812867276E-2</v>
      </c>
      <c r="DE1034" s="111">
        <f>VLOOKUP(H1034,'HW Dx Data'!$E:$F,2,FALSE)</f>
        <v>414.88719135228365</v>
      </c>
      <c r="DF1034" s="72">
        <f>VLOOKUP(G1034,EG$8:EH$27,2,FALSE)</f>
        <v>94.35</v>
      </c>
      <c r="DG1034" s="69"/>
      <c r="DH1034" s="66">
        <f>HLOOKUP(H1034,'GDP-PI'!$8:$9,2,FALSE)</f>
        <v>84.778000000000006</v>
      </c>
      <c r="DI1034" s="69">
        <f t="shared" si="1893"/>
        <v>2.6425990216022755E-2</v>
      </c>
      <c r="EB1034"/>
    </row>
    <row r="1035" spans="1:132" s="160" customFormat="1" ht="21">
      <c r="A1035" s="160" t="s">
        <v>222</v>
      </c>
      <c r="B1035" s="160" t="s">
        <v>222</v>
      </c>
      <c r="C1035" s="160">
        <v>4063023</v>
      </c>
      <c r="D1035" s="161" t="s">
        <v>196</v>
      </c>
      <c r="E1035" s="161" t="s">
        <v>3</v>
      </c>
      <c r="F1035" s="189"/>
      <c r="G1035" s="160" t="s">
        <v>116</v>
      </c>
      <c r="H1035" s="162">
        <v>2005</v>
      </c>
      <c r="I1035" s="163"/>
      <c r="J1035" s="159">
        <f>IFERROR(INDEX('Labor Expenditures'!$F$7:$X$91,MATCH($C1035,'Labor Expenditures'!$D$7:$D$91,0),MATCH($G1035,'Labor Expenditures'!$F$5:$X$5,0)),"NA")</f>
        <v>16913.703072802837</v>
      </c>
      <c r="K1035" s="159">
        <f t="shared" si="1894"/>
        <v>170.45808085465194</v>
      </c>
      <c r="L1035" s="165">
        <f t="shared" ref="L1035:L1051" si="1900">LN(K1035/K1034)</f>
        <v>-1.9172359502918498E-2</v>
      </c>
      <c r="M1035" s="76"/>
      <c r="N1035" s="62">
        <v>100</v>
      </c>
      <c r="O1035" s="77"/>
      <c r="P1035" s="77"/>
      <c r="Q1035" s="159">
        <f>IFERROR(INDEX('Non-Labor Expenditures'!$F$7:$AB$91,MATCH($C1035,'Non-Labor Expenditures'!$D$7:$D$91,0),MATCH($G1035,'Non-Labor Expenditures'!$F$5:$AB$5,0)),"NA")</f>
        <v>24494.201093395572</v>
      </c>
      <c r="R1035" s="159">
        <f t="shared" si="1895"/>
        <v>280.23157291058578</v>
      </c>
      <c r="S1035" s="165">
        <f>LN(R1035/R1034)</f>
        <v>6.6707154091777323E-4</v>
      </c>
      <c r="T1035" s="165"/>
      <c r="U1035" s="165"/>
      <c r="V1035" s="165"/>
      <c r="W1035" s="159">
        <f t="shared" si="1874"/>
        <v>47179.099220853241</v>
      </c>
      <c r="X1035" s="163"/>
      <c r="Y1035" s="167">
        <v>2918.1548352814334</v>
      </c>
      <c r="Z1035" s="168">
        <v>3.583438551415398E-2</v>
      </c>
      <c r="AA1035" s="76">
        <f t="shared" si="1896"/>
        <v>0</v>
      </c>
      <c r="AB1035" s="168"/>
      <c r="AC1035" s="168"/>
      <c r="AD1035" s="163">
        <f t="shared" si="1886"/>
        <v>88587.003387051649</v>
      </c>
      <c r="AE1035" s="168">
        <f>LN(AD1035/AD1034)</f>
        <v>9.5905080377407984E-2</v>
      </c>
      <c r="AF1035" s="163"/>
      <c r="AG1035" s="163"/>
      <c r="AH1035" s="163"/>
      <c r="AI1035" s="163"/>
      <c r="AJ1035" s="116"/>
      <c r="AK1035" s="114"/>
      <c r="AL1035" s="115">
        <f t="shared" si="1897"/>
        <v>0.19092759012181504</v>
      </c>
      <c r="AM1035" s="115">
        <f t="shared" si="1898"/>
        <v>0.2764988108512515</v>
      </c>
      <c r="AN1035" s="115">
        <f t="shared" si="1899"/>
        <v>0.53257359902693346</v>
      </c>
      <c r="AO1035" s="115">
        <f t="shared" ref="AO1035:AO1051" si="1901">+(((AL1035+AL1034)/2)*L1035+((AM1034+AM1035)/2)*S1035+((AN1034+AN1035)/2)*Z1035)</f>
        <v>1.493243073191493E-2</v>
      </c>
      <c r="AP1035" s="166">
        <v>100</v>
      </c>
      <c r="AQ1035" s="168"/>
      <c r="AR1035" s="16"/>
      <c r="AS1035" s="115"/>
      <c r="AT1035" s="115"/>
      <c r="AU1035" s="115"/>
      <c r="AV1035" s="113">
        <f>IFERROR(INDEX('Total Customers'!$F$7:$AB$91,MATCH($C1035,'Total Customers'!$D$7:$D$91,0),MATCH($G1035,'Total Customers'!$F$5:$AB$5,0)),"NA")</f>
        <v>334010</v>
      </c>
      <c r="AW1035" s="68">
        <f t="shared" si="1875"/>
        <v>-0.19364409882785549</v>
      </c>
      <c r="AX1035" s="114"/>
      <c r="AY1035" s="114"/>
      <c r="AZ1035" s="116"/>
      <c r="BA1035" s="116"/>
      <c r="BB1035" s="166"/>
      <c r="BC1035" s="166"/>
      <c r="BD1035" s="166"/>
      <c r="BE1035" s="166"/>
      <c r="BF1035" s="166"/>
      <c r="BG1035" s="166"/>
      <c r="BH1035" s="166"/>
      <c r="BI1035" s="113"/>
      <c r="BJ1035" s="113"/>
      <c r="BK1035" s="113">
        <f>INDEX('Dist. Plant Gas Additions'!$F$7:$AE$91,MATCH($C1035,'Dist. Plant Gas Additions'!$D$7:$D$91,0),MATCH(Calculation!$G1035,'Dist. Plant Gas Additions'!$F$5:$AE$5,0))</f>
        <v>54874</v>
      </c>
      <c r="BL1035" s="113">
        <f>INDEX('Gen. Plant Additions'!$F$7:$AE$91,MATCH($C1035,'Gen. Plant Additions'!$D$7:$D$91,0),MATCH(Calculation!$G1035,'Gen. Plant Additions'!$F$5:$AE$5,0))</f>
        <v>1241</v>
      </c>
      <c r="BM1035" s="231">
        <f t="shared" si="1876"/>
        <v>0.96014215487679178</v>
      </c>
      <c r="BN1035" s="61">
        <f t="shared" si="1873"/>
        <v>1191.5364142020985</v>
      </c>
      <c r="BO1035" s="113">
        <f>INDEX('Dist Plant Depreciation'!$E$7:$AD$94,MATCH($C1035,'Dist Plant Depreciation'!$D$7:$D$94,0),MATCH(Calculation!$G1035,'Dist Plant Depreciation'!$E$5:$AD$5,0))</f>
        <v>180071</v>
      </c>
      <c r="BP1035" s="113">
        <f>INDEX('Gen. Plant Depreciation'!$E$7:$AD$94,MATCH($C1035,'Gen. Plant Depreciation'!$D$7:$D$94,0),MATCH(Calculation!$G1035,'Gen. Plant Depreciation'!$E$5:$AD$5,0))</f>
        <v>13963</v>
      </c>
      <c r="BQ1035" s="113"/>
      <c r="BR1035" s="113"/>
      <c r="BS1035" s="113"/>
      <c r="BT1035" s="113"/>
      <c r="BU1035" s="113"/>
      <c r="BV1035" s="175"/>
      <c r="BW1035" s="113">
        <f>INDEX('Gross Dx Plant'!$E$7:$AD$91,MATCH($C1035,'Gross Dx Plant'!$D$7:$D$91,0),MATCH(Calculation!$G1035,'Gross Dx Plant'!$E$5:$AD$5,0))</f>
        <v>831847</v>
      </c>
      <c r="BX1035" s="113">
        <f>INDEX('Gross Gen Plant'!$E$7:$AD$91,MATCH($C1035,'Gross Gen Plant'!$D$7:$D$91,0),MATCH(Calculation!$G1035,'Gross Gen Plant'!$E$5:$AD$5,0))</f>
        <v>34532</v>
      </c>
      <c r="BY1035" s="113">
        <f t="shared" si="1868"/>
        <v>672345</v>
      </c>
      <c r="BZ1035" s="113"/>
      <c r="CA1035" s="116">
        <v>2005</v>
      </c>
      <c r="CB1035" s="113"/>
      <c r="CC1035" s="113"/>
      <c r="CD1035" s="113"/>
      <c r="CE1035" s="175"/>
      <c r="CF1035" s="113">
        <f t="shared" si="1877"/>
        <v>56115</v>
      </c>
      <c r="CG1035" s="113">
        <f t="shared" si="1878"/>
        <v>119.59587646081131</v>
      </c>
      <c r="CH1035" s="178">
        <v>0.96174863387978138</v>
      </c>
      <c r="CI1035" s="61">
        <f>+CI1028*CH1035+CG1029*CH1034+CG1030*CH1033+CG1031*CH1032+CG1032*CH1031+CG1033*CH1030+CG1034*CH1029+CG1035</f>
        <v>2918.1548352814334</v>
      </c>
      <c r="CJ1035" s="114">
        <f t="shared" si="1879"/>
        <v>3.583438551415398E-2</v>
      </c>
      <c r="CK1035" s="114"/>
      <c r="CL1035" s="169">
        <f t="shared" si="1880"/>
        <v>5.9944592724327462E-3</v>
      </c>
      <c r="CM1035" s="169">
        <f t="shared" si="1889"/>
        <v>5.8191668388627377E-3</v>
      </c>
      <c r="CN1035" s="114">
        <f>VLOOKUP($H1035,RoR!$E:$F,2,FALSE)</f>
        <v>5.2350000000000001E-2</v>
      </c>
      <c r="CO1035" s="169">
        <v>3.1010403642454332E-2</v>
      </c>
      <c r="CP1035" s="169">
        <f t="shared" si="1887"/>
        <v>2.1339596357545669E-2</v>
      </c>
      <c r="CQ1035" s="169">
        <f t="shared" si="1890"/>
        <v>2.5082774769670888E-2</v>
      </c>
      <c r="CR1035" s="169">
        <f t="shared" si="1891"/>
        <v>9.2129610649277341E-2</v>
      </c>
      <c r="CS1035" s="179">
        <f t="shared" si="1881"/>
        <v>0.84885500000000003</v>
      </c>
      <c r="CT1035" s="180">
        <f t="shared" si="1882"/>
        <v>0.97959983346802826</v>
      </c>
      <c r="CU1035" s="180">
        <f t="shared" si="1883"/>
        <v>0.49744508118433622</v>
      </c>
      <c r="CV1035" s="180">
        <f t="shared" si="1884"/>
        <v>0.87010519444335932</v>
      </c>
      <c r="CW1035" s="180">
        <f t="shared" si="1885"/>
        <v>0.42399975420741998</v>
      </c>
      <c r="CX1035" s="181">
        <f>INDEX('State Tax Lookup'!$D$7:$Z$91,MATCH(Calculation!$C1035,'State Tax Lookup'!$B$7:$B$91,0),MATCH($H1035,'State Tax Lookup'!$D$6:$Z$6,0))</f>
        <v>0.40849999999999997</v>
      </c>
      <c r="CY1035" s="72">
        <v>0.37</v>
      </c>
      <c r="CZ1035" s="70">
        <f t="shared" si="1888"/>
        <v>16.757297852973217</v>
      </c>
      <c r="DA1035" s="70"/>
      <c r="DB1035" s="69">
        <f t="shared" si="1892"/>
        <v>0.11715879079651682</v>
      </c>
      <c r="DC1035" s="111">
        <f>VLOOKUP($H1035,RoR!$E:$F,2,FALSE)</f>
        <v>5.2350000000000001E-2</v>
      </c>
      <c r="DD1035" s="216">
        <f>HLOOKUP($H1035,'GDP-PI'!$D$8:$CQ$11,3,FALSE)</f>
        <v>3.1010403642454332E-2</v>
      </c>
      <c r="DE1035" s="111">
        <f>VLOOKUP(H1035,'HW Dx Data'!$E:$F,2,FALSE)</f>
        <v>469.20514034936258</v>
      </c>
      <c r="DF1035" s="72">
        <f t="shared" ref="DF1035:DF1053" si="1902">VLOOKUP(G1035,EG$8:EH$27,2,FALSE)</f>
        <v>99.224999999999994</v>
      </c>
      <c r="DG1035" s="69">
        <f t="shared" ref="DG1035:DG1053" si="1903">LN(DF1035/DF1034)</f>
        <v>5.0378726854569796E-2</v>
      </c>
      <c r="DH1035" s="66">
        <f>HLOOKUP(H1035,'GDP-PI'!$8:$9,2,FALSE)</f>
        <v>87.406999999999996</v>
      </c>
      <c r="DI1035" s="69">
        <f t="shared" si="1893"/>
        <v>3.0539295810733648E-2</v>
      </c>
      <c r="EB1035"/>
    </row>
    <row r="1036" spans="1:132" s="160" customFormat="1" ht="21">
      <c r="A1036" s="160" t="s">
        <v>222</v>
      </c>
      <c r="B1036" s="160" t="s">
        <v>222</v>
      </c>
      <c r="C1036" s="160">
        <v>4063023</v>
      </c>
      <c r="D1036" s="161" t="s">
        <v>196</v>
      </c>
      <c r="E1036" s="161" t="s">
        <v>3</v>
      </c>
      <c r="F1036" s="189"/>
      <c r="G1036" s="160" t="s">
        <v>117</v>
      </c>
      <c r="H1036" s="162">
        <v>2006</v>
      </c>
      <c r="I1036" s="163"/>
      <c r="J1036" s="159">
        <f>IFERROR(INDEX('Labor Expenditures'!$F$7:$X$91,MATCH($C1036,'Labor Expenditures'!$D$7:$D$91,0),MATCH($G1036,'Labor Expenditures'!$F$5:$X$5,0)),"NA")</f>
        <v>15718.729242144082</v>
      </c>
      <c r="K1036" s="159">
        <f t="shared" si="1894"/>
        <v>143.68125449857479</v>
      </c>
      <c r="L1036" s="165">
        <f t="shared" si="1900"/>
        <v>-0.17089207069091281</v>
      </c>
      <c r="M1036" s="76">
        <f t="shared" ref="M1036:M1052" si="1904">+L1036*$AR1036</f>
        <v>-1.8516055931469431E-3</v>
      </c>
      <c r="N1036" s="62">
        <f>+N1035*EXP(O1036)</f>
        <v>114.30946188878812</v>
      </c>
      <c r="O1036" s="96">
        <f t="shared" ref="O1036:O1052" si="1905">+M1036+M1061+M1086+M1111+M1136+M1161+M1186+M1211+M1236+M1261+M1286+M1311+M1336+M1361+M1386+M1411+M1436+M1461+M1486+M1511+M1536+M1561+M1586+M1611+M1636+M1661+M1686+M1711+M1736+M1761+M1786+M1811+M1836+M1861+M1886+M1911+M1936+M1961+M1986+M2011+M2036+M2061+M2086+M2111+M2136+M2161+M2186+M2211+M2236+M2261+M2286+M2311+M2336+M2361</f>
        <v>0.13373916256574955</v>
      </c>
      <c r="P1036" s="96"/>
      <c r="Q1036" s="159">
        <f>IFERROR(INDEX('Non-Labor Expenditures'!$F$7:$AB$91,MATCH($C1036,'Non-Labor Expenditures'!$D$7:$D$91,0),MATCH($G1036,'Non-Labor Expenditures'!$F$5:$AB$5,0)),"NA")</f>
        <v>22763.655796276893</v>
      </c>
      <c r="R1036" s="159">
        <f t="shared" si="1895"/>
        <v>252.72171543705056</v>
      </c>
      <c r="S1036" s="165">
        <f t="shared" ref="S1036:S1051" si="1906">LN(R1036/R1035)</f>
        <v>-0.10332736309761524</v>
      </c>
      <c r="T1036" s="165">
        <f t="shared" ref="T1036:T1052" si="1907">+S1036*AR1036</f>
        <v>-1.1195459371705241E-3</v>
      </c>
      <c r="U1036" s="165"/>
      <c r="V1036" s="165"/>
      <c r="W1036" s="159">
        <f t="shared" si="1874"/>
        <v>47759.696476550613</v>
      </c>
      <c r="X1036" s="163"/>
      <c r="Y1036" s="167">
        <v>3016.0126619366906</v>
      </c>
      <c r="Z1036" s="168">
        <v>3.2984137573684617E-2</v>
      </c>
      <c r="AA1036" s="76">
        <f t="shared" si="1896"/>
        <v>3.5738120188750377E-4</v>
      </c>
      <c r="AB1036" s="168"/>
      <c r="AC1036" s="168"/>
      <c r="AD1036" s="163">
        <f t="shared" si="1886"/>
        <v>86242.081514971593</v>
      </c>
      <c r="AE1036" s="168">
        <f t="shared" ref="AE1036:AE1052" si="1908">LN(AD1036/AD1035)</f>
        <v>-2.6826915042736554E-2</v>
      </c>
      <c r="AF1036" s="163"/>
      <c r="AG1036" s="163"/>
      <c r="AH1036" s="163"/>
      <c r="AI1036" s="163"/>
      <c r="AJ1036" s="116">
        <f t="shared" ref="AJ1036:AJ1052" si="1909">+(AD1036*1000)/AV1036</f>
        <v>245.30348324521964</v>
      </c>
      <c r="AK1036" s="114">
        <f>+AV1036/$AX$11</f>
        <v>1.0137206204965658E-2</v>
      </c>
      <c r="AL1036" s="115">
        <f t="shared" si="1897"/>
        <v>0.18226286942547085</v>
      </c>
      <c r="AM1036" s="115">
        <f t="shared" si="1898"/>
        <v>0.26395067693635305</v>
      </c>
      <c r="AN1036" s="115">
        <f t="shared" si="1899"/>
        <v>0.55378645363817602</v>
      </c>
      <c r="AO1036" s="115">
        <f t="shared" si="1901"/>
        <v>-4.1892930711508881E-2</v>
      </c>
      <c r="AP1036" s="166">
        <f>+AP1035*EXP(AO1036)</f>
        <v>95.897245157400363</v>
      </c>
      <c r="AQ1036" s="168">
        <f>LN(AP1036/AP1035)</f>
        <v>-4.1892930711508736E-2</v>
      </c>
      <c r="AR1036" s="69">
        <f>+AD1036/$AF$11</f>
        <v>1.0834941525729913E-2</v>
      </c>
      <c r="AS1036" s="169">
        <f>+AR1036*AQ1036</f>
        <v>-4.5390745460065202E-4</v>
      </c>
      <c r="AT1036" s="115"/>
      <c r="AU1036" s="115"/>
      <c r="AV1036" s="113">
        <f>IFERROR(INDEX('Total Customers'!$F$7:$AB$91,MATCH($C1036,'Total Customers'!$D$7:$D$91,0),MATCH($G1036,'Total Customers'!$F$5:$AB$5,0)),"NA")</f>
        <v>351573</v>
      </c>
      <c r="AW1036" s="68">
        <f t="shared" si="1875"/>
        <v>5.1246438405241748E-2</v>
      </c>
      <c r="AX1036" s="114"/>
      <c r="AY1036" s="114"/>
      <c r="AZ1036" s="116">
        <v>8247377</v>
      </c>
      <c r="BA1036" s="116"/>
      <c r="BB1036" s="166"/>
      <c r="BC1036" s="166"/>
      <c r="BD1036" s="166"/>
      <c r="BE1036" s="166"/>
      <c r="BF1036" s="166"/>
      <c r="BG1036" s="166"/>
      <c r="BH1036" s="166"/>
      <c r="BI1036" s="113"/>
      <c r="BJ1036" s="113"/>
      <c r="BK1036" s="113">
        <f>INDEX('Dist. Plant Gas Additions'!$F$7:$AE$91,MATCH($C1036,'Dist. Plant Gas Additions'!$D$7:$D$91,0),MATCH(Calculation!$G1036,'Dist. Plant Gas Additions'!$F$5:$AE$5,0))</f>
        <v>50256</v>
      </c>
      <c r="BL1036" s="113">
        <f>INDEX('Gen. Plant Additions'!$F$7:$AE$91,MATCH($C1036,'Gen. Plant Additions'!$D$7:$D$91,0),MATCH(Calculation!$G1036,'Gen. Plant Additions'!$F$5:$AE$5,0))</f>
        <v>3177</v>
      </c>
      <c r="BM1036" s="231">
        <f t="shared" si="1876"/>
        <v>0.96114620820089836</v>
      </c>
      <c r="BN1036" s="61">
        <f t="shared" si="1873"/>
        <v>3053.5615034542539</v>
      </c>
      <c r="BO1036" s="113">
        <f>INDEX('Dist Plant Depreciation'!$E$7:$AD$94,MATCH($C1036,'Dist Plant Depreciation'!$D$7:$D$94,0),MATCH(Calculation!$G1036,'Dist Plant Depreciation'!$E$5:$AD$5,0))</f>
        <v>193496</v>
      </c>
      <c r="BP1036" s="113">
        <f>INDEX('Gen. Plant Depreciation'!$E$7:$AD$94,MATCH($C1036,'Gen. Plant Depreciation'!$D$7:$D$94,0),MATCH(Calculation!$G1036,'Gen. Plant Depreciation'!$E$5:$AD$5,0))</f>
        <v>14445</v>
      </c>
      <c r="BQ1036" s="113"/>
      <c r="BR1036" s="113"/>
      <c r="BS1036" s="113"/>
      <c r="BT1036" s="113"/>
      <c r="BU1036" s="113"/>
      <c r="BV1036" s="175"/>
      <c r="BW1036" s="113">
        <f>INDEX('Gross Dx Plant'!$E$7:$AD$91,MATCH($C1036,'Gross Dx Plant'!$D$7:$D$91,0),MATCH(Calculation!$G1036,'Gross Dx Plant'!$E$5:$AD$5,0))</f>
        <v>878157</v>
      </c>
      <c r="BX1036" s="113">
        <f>INDEX('Gross Gen Plant'!$E$7:$AD$91,MATCH($C1036,'Gross Gen Plant'!$D$7:$D$91,0),MATCH(Calculation!$G1036,'Gross Gen Plant'!$E$5:$AD$5,0))</f>
        <v>35499</v>
      </c>
      <c r="BY1036" s="113">
        <f t="shared" si="1868"/>
        <v>705715</v>
      </c>
      <c r="BZ1036" s="114"/>
      <c r="CA1036" s="116">
        <v>2006</v>
      </c>
      <c r="CB1036" s="113"/>
      <c r="CC1036" s="113"/>
      <c r="CD1036" s="113"/>
      <c r="CE1036" s="175"/>
      <c r="CF1036" s="113">
        <f t="shared" si="1877"/>
        <v>53433</v>
      </c>
      <c r="CG1036" s="113">
        <f t="shared" si="1878"/>
        <v>115.88518828543531</v>
      </c>
      <c r="CH1036" s="178">
        <v>0.9555555555555556</v>
      </c>
      <c r="CI1036" s="61">
        <f>+CI1028*CH1036+CG1029*CH1035+CG1030*CH1034+CG1031*CH1033+CG1032*CH1032+CG1033*CH1031+CG1034*CH1030+CG1035*CH1029+CG1036</f>
        <v>3016.0126619366906</v>
      </c>
      <c r="CJ1036" s="114">
        <f t="shared" si="1879"/>
        <v>3.2984137573684617E-2</v>
      </c>
      <c r="CK1036" s="114"/>
      <c r="CL1036" s="169">
        <f t="shared" si="1880"/>
        <v>6.1776576801962236E-3</v>
      </c>
      <c r="CM1036" s="169">
        <f t="shared" si="1889"/>
        <v>5.9965029325119669E-3</v>
      </c>
      <c r="CN1036" s="114">
        <f>VLOOKUP($H1036,RoR!$E:$F,2,FALSE)</f>
        <v>5.5874999999999994E-2</v>
      </c>
      <c r="CO1036" s="169">
        <v>3.0512430354548314E-2</v>
      </c>
      <c r="CP1036" s="169">
        <f t="shared" si="1887"/>
        <v>2.536256964545168E-2</v>
      </c>
      <c r="CQ1036" s="169">
        <f t="shared" si="1890"/>
        <v>2.4905438676021657E-2</v>
      </c>
      <c r="CR1036" s="169">
        <f t="shared" si="1891"/>
        <v>7.9087823893859641E-2</v>
      </c>
      <c r="CS1036" s="179">
        <f t="shared" si="1881"/>
        <v>0.84885500000000003</v>
      </c>
      <c r="CT1036" s="180">
        <f t="shared" si="1882"/>
        <v>0.91779957551769631</v>
      </c>
      <c r="CU1036" s="180">
        <f t="shared" si="1883"/>
        <v>0.52757270693512304</v>
      </c>
      <c r="CV1036" s="180">
        <f t="shared" si="1884"/>
        <v>0.88636824549024895</v>
      </c>
      <c r="CW1036" s="180">
        <f t="shared" si="1885"/>
        <v>0.42918482841932087</v>
      </c>
      <c r="CX1036" s="181">
        <f>INDEX('State Tax Lookup'!$D$7:$Z$91,MATCH(Calculation!$C1036,'State Tax Lookup'!$B$7:$B$91,0),MATCH($H1036,'State Tax Lookup'!$D$6:$Z$6,0))</f>
        <v>0.40849999999999997</v>
      </c>
      <c r="CY1036" s="72">
        <v>0.37</v>
      </c>
      <c r="CZ1036" s="70">
        <f t="shared" si="1888"/>
        <v>16.366402460596152</v>
      </c>
      <c r="DA1036" s="70">
        <v>14.788696346247992</v>
      </c>
      <c r="DB1036" s="69">
        <f t="shared" si="1892"/>
        <v>-2.3603253034415485E-2</v>
      </c>
      <c r="DC1036" s="111">
        <f>VLOOKUP($H1036,RoR!$E:$F,2,FALSE)</f>
        <v>5.5874999999999994E-2</v>
      </c>
      <c r="DD1036" s="216">
        <f>HLOOKUP($H1036,'GDP-PI'!$D$8:$CQ$11,3,FALSE)</f>
        <v>3.0512430354548314E-2</v>
      </c>
      <c r="DE1036" s="111">
        <f>VLOOKUP(H1036,'HW Dx Data'!$E:$F,2,FALSE)</f>
        <v>461.08567272971823</v>
      </c>
      <c r="DF1036" s="72">
        <f t="shared" si="1902"/>
        <v>109.4</v>
      </c>
      <c r="DG1036" s="69">
        <f t="shared" si="1903"/>
        <v>9.7620891318751846E-2</v>
      </c>
      <c r="DH1036" s="66">
        <f>HLOOKUP(H1036,'GDP-PI'!$8:$9,2,FALSE)</f>
        <v>90.073999999999998</v>
      </c>
      <c r="DI1036" s="69">
        <f t="shared" si="1893"/>
        <v>3.005618372545445E-2</v>
      </c>
      <c r="EB1036"/>
    </row>
    <row r="1037" spans="1:132" s="160" customFormat="1" ht="21">
      <c r="A1037" s="160" t="s">
        <v>222</v>
      </c>
      <c r="B1037" s="160" t="s">
        <v>222</v>
      </c>
      <c r="C1037" s="160">
        <v>4063023</v>
      </c>
      <c r="D1037" s="161" t="s">
        <v>196</v>
      </c>
      <c r="E1037" s="161" t="s">
        <v>3</v>
      </c>
      <c r="F1037" s="189"/>
      <c r="G1037" s="160" t="s">
        <v>118</v>
      </c>
      <c r="H1037" s="162">
        <v>2007</v>
      </c>
      <c r="I1037" s="163"/>
      <c r="J1037" s="159">
        <f>IFERROR(INDEX('Labor Expenditures'!$F$7:$X$91,MATCH($C1037,'Labor Expenditures'!$D$7:$D$91,0),MATCH($G1037,'Labor Expenditures'!$F$5:$X$5,0)),"NA")</f>
        <v>16840.51978834199</v>
      </c>
      <c r="K1037" s="159">
        <f t="shared" si="1894"/>
        <v>161.11475521016015</v>
      </c>
      <c r="L1037" s="165">
        <f t="shared" si="1900"/>
        <v>0.11451954065433294</v>
      </c>
      <c r="M1037" s="76">
        <f t="shared" si="1904"/>
        <v>1.2836035307703345E-3</v>
      </c>
      <c r="N1037" s="62">
        <f t="shared" ref="N1037:N1050" si="1910">+N1036*EXP(O1037)</f>
        <v>120.38052119798385</v>
      </c>
      <c r="O1037" s="96">
        <f t="shared" si="1905"/>
        <v>5.17483871625238E-2</v>
      </c>
      <c r="P1037" s="96"/>
      <c r="Q1037" s="159">
        <f>IFERROR(INDEX('Non-Labor Expenditures'!$F$7:$AB$91,MATCH($C1037,'Non-Labor Expenditures'!$D$7:$D$91,0),MATCH($G1037,'Non-Labor Expenditures'!$F$5:$AB$5,0)),"NA")</f>
        <v>24388.218028744188</v>
      </c>
      <c r="R1037" s="159">
        <f t="shared" si="1895"/>
        <v>263.66211192397873</v>
      </c>
      <c r="S1037" s="165">
        <f t="shared" si="1906"/>
        <v>4.2379459959042569E-2</v>
      </c>
      <c r="T1037" s="165">
        <f t="shared" si="1907"/>
        <v>4.7501434361987062E-4</v>
      </c>
      <c r="U1037" s="165"/>
      <c r="V1037" s="165"/>
      <c r="W1037" s="159">
        <f t="shared" si="1874"/>
        <v>53010.313547054982</v>
      </c>
      <c r="X1037" s="163"/>
      <c r="Y1037" s="167">
        <v>3093.8553570093632</v>
      </c>
      <c r="Z1037" s="168">
        <v>2.5482353154149595E-2</v>
      </c>
      <c r="AA1037" s="76">
        <f t="shared" si="1896"/>
        <v>2.8562146070540851E-4</v>
      </c>
      <c r="AB1037" s="168"/>
      <c r="AC1037" s="168"/>
      <c r="AD1037" s="163">
        <f t="shared" si="1886"/>
        <v>94239.051364141167</v>
      </c>
      <c r="AE1037" s="168">
        <f t="shared" si="1908"/>
        <v>8.8676410507892864E-2</v>
      </c>
      <c r="AF1037" s="163"/>
      <c r="AG1037" s="163"/>
      <c r="AH1037" s="163"/>
      <c r="AI1037" s="163"/>
      <c r="AJ1037" s="116">
        <f t="shared" si="1909"/>
        <v>283.42060403162998</v>
      </c>
      <c r="AK1037" s="114">
        <f>+AV1037/$AX$12</f>
        <v>9.5152465696438093E-3</v>
      </c>
      <c r="AL1037" s="115">
        <f t="shared" si="1897"/>
        <v>0.17870001389625578</v>
      </c>
      <c r="AM1037" s="115">
        <f t="shared" si="1898"/>
        <v>0.25879099668042849</v>
      </c>
      <c r="AN1037" s="115">
        <f t="shared" si="1899"/>
        <v>0.56250898942331562</v>
      </c>
      <c r="AO1037" s="115">
        <f t="shared" si="1901"/>
        <v>4.5968324060846916E-2</v>
      </c>
      <c r="AP1037" s="166">
        <f>+AP1036*EXP(AO1037)</f>
        <v>100.40837090575705</v>
      </c>
      <c r="AQ1037" s="168">
        <f>LN(AP1037/AP1036)</f>
        <v>4.5968324060846916E-2</v>
      </c>
      <c r="AR1037" s="69">
        <f>+AD1037/$AF$12</f>
        <v>1.1208598318122648E-2</v>
      </c>
      <c r="AS1037" s="169">
        <f t="shared" ref="AS1037:AS1051" si="1911">+AR1037*AQ1037</f>
        <v>5.1524047975532556E-4</v>
      </c>
      <c r="AT1037" s="115"/>
      <c r="AU1037" s="115"/>
      <c r="AV1037" s="113">
        <f>IFERROR(INDEX('Total Customers'!$F$7:$AB$91,MATCH($C1037,'Total Customers'!$D$7:$D$91,0),MATCH($G1037,'Total Customers'!$F$5:$AB$5,0)),"NA")</f>
        <v>332506</v>
      </c>
      <c r="AW1037" s="68">
        <f t="shared" si="1875"/>
        <v>-5.5759466007626664E-2</v>
      </c>
      <c r="AX1037" s="114"/>
      <c r="AY1037" s="114"/>
      <c r="AZ1037" s="116">
        <v>8187757</v>
      </c>
      <c r="BA1037" s="116"/>
      <c r="BB1037" s="166"/>
      <c r="BC1037" s="166"/>
      <c r="BD1037" s="166"/>
      <c r="BE1037" s="166"/>
      <c r="BF1037" s="166"/>
      <c r="BG1037" s="166"/>
      <c r="BH1037" s="166"/>
      <c r="BI1037" s="113"/>
      <c r="BJ1037" s="113"/>
      <c r="BK1037" s="113">
        <f>INDEX('Dist. Plant Gas Additions'!$F$7:$AE$91,MATCH($C1037,'Dist. Plant Gas Additions'!$D$7:$D$91,0),MATCH(Calculation!$G1037,'Dist. Plant Gas Additions'!$F$5:$AE$5,0))</f>
        <v>45155</v>
      </c>
      <c r="BL1037" s="113">
        <f>INDEX('Gen. Plant Additions'!$F$7:$AE$91,MATCH($C1037,'Gen. Plant Additions'!$D$7:$D$91,0),MATCH(Calculation!$G1037,'Gen. Plant Additions'!$F$5:$AE$5,0))</f>
        <v>3177</v>
      </c>
      <c r="BM1037" s="231">
        <f t="shared" si="1876"/>
        <v>0.9612000727773119</v>
      </c>
      <c r="BN1037" s="61">
        <f t="shared" si="1873"/>
        <v>3053.7326312135201</v>
      </c>
      <c r="BO1037" s="113">
        <f>INDEX('Dist Plant Depreciation'!$E$7:$AD$94,MATCH($C1037,'Dist Plant Depreciation'!$D$7:$D$94,0),MATCH(Calculation!$G1037,'Dist Plant Depreciation'!$E$5:$AD$5,0))</f>
        <v>207527</v>
      </c>
      <c r="BP1037" s="113">
        <f>INDEX('Gen. Plant Depreciation'!$E$7:$AD$94,MATCH($C1037,'Gen. Plant Depreciation'!$D$7:$D$94,0),MATCH(Calculation!$G1037,'Gen. Plant Depreciation'!$E$5:$AD$5,0))</f>
        <v>15723</v>
      </c>
      <c r="BQ1037" s="113"/>
      <c r="BR1037" s="113"/>
      <c r="BS1037" s="113"/>
      <c r="BT1037" s="113"/>
      <c r="BU1037" s="113"/>
      <c r="BV1037" s="175"/>
      <c r="BW1037" s="113">
        <f>INDEX('Gross Dx Plant'!$E$7:$AD$91,MATCH($C1037,'Gross Dx Plant'!$D$7:$D$91,0),MATCH(Calculation!$G1037,'Gross Dx Plant'!$E$5:$AD$5,0))</f>
        <v>919236</v>
      </c>
      <c r="BX1037" s="113">
        <f>INDEX('Gross Gen Plant'!$E$7:$AD$91,MATCH($C1037,'Gross Gen Plant'!$D$7:$D$91,0),MATCH(Calculation!$G1037,'Gross Gen Plant'!$E$5:$AD$5,0))</f>
        <v>37106</v>
      </c>
      <c r="BY1037" s="113">
        <f t="shared" si="1868"/>
        <v>733092</v>
      </c>
      <c r="BZ1037" s="113"/>
      <c r="CA1037" s="116">
        <v>2007</v>
      </c>
      <c r="CB1037" s="113"/>
      <c r="CC1037" s="113"/>
      <c r="CD1037" s="113"/>
      <c r="CE1037" s="175"/>
      <c r="CF1037" s="113">
        <f t="shared" si="1877"/>
        <v>48332</v>
      </c>
      <c r="CG1037" s="113">
        <f t="shared" si="1878"/>
        <v>97.047860101775925</v>
      </c>
      <c r="CH1037" s="178">
        <v>0.94915254237288138</v>
      </c>
      <c r="CI1037" s="61">
        <f>+CI1028*CH1037+CG1029*CH1036+CG1030*CH1035+CG1031*CH1034+CG1032*CH1033+CG1033*CH1032+CG1034*CH1031+CG1035*CH1030+CG1036*CH1029+CG1037</f>
        <v>3093.8553570093632</v>
      </c>
      <c r="CJ1037" s="114">
        <f t="shared" si="1879"/>
        <v>2.5482353154149595E-2</v>
      </c>
      <c r="CK1037" s="114"/>
      <c r="CL1037" s="169">
        <f t="shared" si="1880"/>
        <v>6.367733554795839E-3</v>
      </c>
      <c r="CM1037" s="169">
        <f t="shared" si="1889"/>
        <v>6.1799501691416035E-3</v>
      </c>
      <c r="CN1037" s="114">
        <f>VLOOKUP($H1037,RoR!$E:$F,2,FALSE)</f>
        <v>5.5558333333333321E-2</v>
      </c>
      <c r="CO1037" s="169">
        <v>2.691120634145272E-2</v>
      </c>
      <c r="CP1037" s="169">
        <f t="shared" si="1887"/>
        <v>2.86471269918806E-2</v>
      </c>
      <c r="CQ1037" s="169">
        <f t="shared" si="1890"/>
        <v>2.4721991439392021E-2</v>
      </c>
      <c r="CR1037" s="169">
        <f t="shared" si="1891"/>
        <v>6.4575155250632399E-2</v>
      </c>
      <c r="CS1037" s="179">
        <f t="shared" si="1881"/>
        <v>0.84885500000000003</v>
      </c>
      <c r="CT1037" s="180">
        <f t="shared" si="1882"/>
        <v>0.92303077153834634</v>
      </c>
      <c r="CU1037" s="180">
        <f t="shared" si="1883"/>
        <v>0.52502249887505614</v>
      </c>
      <c r="CV1037" s="180">
        <f t="shared" si="1884"/>
        <v>0.88499666072084604</v>
      </c>
      <c r="CW1037" s="180">
        <f t="shared" si="1885"/>
        <v>0.42887993290280618</v>
      </c>
      <c r="CX1037" s="181">
        <f>INDEX('State Tax Lookup'!$D$7:$Z$91,MATCH(Calculation!$C1037,'State Tax Lookup'!$B$7:$B$91,0),MATCH($H1037,'State Tax Lookup'!$D$6:$Z$6,0))</f>
        <v>0.40849999999999997</v>
      </c>
      <c r="CY1037" s="72">
        <v>0.37</v>
      </c>
      <c r="CZ1037" s="70">
        <f t="shared" si="1888"/>
        <v>17.576290118429128</v>
      </c>
      <c r="DA1037" s="70">
        <v>16.108943221861779</v>
      </c>
      <c r="DB1037" s="69">
        <f t="shared" si="1892"/>
        <v>7.1320238391643101E-2</v>
      </c>
      <c r="DC1037" s="111">
        <f>VLOOKUP($H1037,RoR!$E:$F,2,FALSE)</f>
        <v>5.5558333333333321E-2</v>
      </c>
      <c r="DD1037" s="216">
        <f>HLOOKUP($H1037,'GDP-PI'!$D$8:$CQ$11,3,FALSE)</f>
        <v>2.691120634145272E-2</v>
      </c>
      <c r="DE1037" s="111">
        <f>VLOOKUP(H1037,'HW Dx Data'!$E:$F,2,FALSE)</f>
        <v>498.0223154772637</v>
      </c>
      <c r="DF1037" s="72">
        <f t="shared" si="1902"/>
        <v>104.52499999999999</v>
      </c>
      <c r="DG1037" s="69">
        <f t="shared" si="1903"/>
        <v>-4.5584612745252218E-2</v>
      </c>
      <c r="DH1037" s="66">
        <f>HLOOKUP(H1037,'GDP-PI'!$8:$9,2,FALSE)</f>
        <v>92.498000000000005</v>
      </c>
      <c r="DI1037" s="69">
        <f t="shared" si="1893"/>
        <v>2.6555467950038037E-2</v>
      </c>
      <c r="EB1037"/>
    </row>
    <row r="1038" spans="1:132" s="160" customFormat="1" ht="21">
      <c r="A1038" s="160" t="s">
        <v>222</v>
      </c>
      <c r="B1038" s="160" t="s">
        <v>222</v>
      </c>
      <c r="C1038" s="160">
        <v>4063023</v>
      </c>
      <c r="D1038" s="161" t="s">
        <v>196</v>
      </c>
      <c r="E1038" s="161" t="s">
        <v>3</v>
      </c>
      <c r="F1038" s="189"/>
      <c r="G1038" s="160" t="s">
        <v>120</v>
      </c>
      <c r="H1038" s="162">
        <v>2008</v>
      </c>
      <c r="I1038" s="163"/>
      <c r="J1038" s="159">
        <f>IFERROR(INDEX('Labor Expenditures'!$F$7:$X$91,MATCH($C1038,'Labor Expenditures'!$D$7:$D$91,0),MATCH($G1038,'Labor Expenditures'!$F$5:$X$5,0)),"NA")</f>
        <v>17334.708784259605</v>
      </c>
      <c r="K1038" s="159">
        <f t="shared" si="1894"/>
        <v>160.65531774105287</v>
      </c>
      <c r="L1038" s="165">
        <f t="shared" si="1900"/>
        <v>-2.8556899472849282E-3</v>
      </c>
      <c r="M1038" s="76">
        <f t="shared" si="1904"/>
        <v>-3.3101962444186841E-5</v>
      </c>
      <c r="N1038" s="62">
        <f t="shared" si="1910"/>
        <v>112.92812564413776</v>
      </c>
      <c r="O1038" s="96">
        <f t="shared" si="1905"/>
        <v>-6.3906175620183969E-2</v>
      </c>
      <c r="P1038" s="96"/>
      <c r="Q1038" s="159">
        <f>IFERROR(INDEX('Non-Labor Expenditures'!$F$7:$AB$91,MATCH($C1038,'Non-Labor Expenditures'!$D$7:$D$91,0),MATCH($G1038,'Non-Labor Expenditures'!$F$5:$AB$5,0)),"NA")</f>
        <v>25103.895996605275</v>
      </c>
      <c r="R1038" s="159">
        <f t="shared" si="1895"/>
        <v>266.31477548804713</v>
      </c>
      <c r="S1038" s="165">
        <f t="shared" si="1906"/>
        <v>1.0010571326143297E-2</v>
      </c>
      <c r="T1038" s="165">
        <f t="shared" si="1907"/>
        <v>1.1603835227206706E-4</v>
      </c>
      <c r="U1038" s="165"/>
      <c r="V1038" s="165"/>
      <c r="W1038" s="159">
        <f t="shared" si="1874"/>
        <v>61757.937301818398</v>
      </c>
      <c r="X1038" s="163"/>
      <c r="Y1038" s="167">
        <v>3161.9785559633319</v>
      </c>
      <c r="Z1038" s="168">
        <v>2.1779955423088703E-2</v>
      </c>
      <c r="AA1038" s="76">
        <f t="shared" si="1896"/>
        <v>2.5246412592396596E-4</v>
      </c>
      <c r="AB1038" s="168"/>
      <c r="AC1038" s="168"/>
      <c r="AD1038" s="163">
        <f t="shared" si="1886"/>
        <v>104196.54208268327</v>
      </c>
      <c r="AE1038" s="168">
        <f t="shared" si="1908"/>
        <v>0.10044428969906946</v>
      </c>
      <c r="AF1038" s="163"/>
      <c r="AG1038" s="163"/>
      <c r="AH1038" s="163"/>
      <c r="AI1038" s="163"/>
      <c r="AJ1038" s="116">
        <f t="shared" si="1909"/>
        <v>309.06565959732114</v>
      </c>
      <c r="AK1038" s="114">
        <f>+AV1038/$AX$13</f>
        <v>9.5961028779513336E-3</v>
      </c>
      <c r="AL1038" s="115">
        <f t="shared" si="1897"/>
        <v>0.16636549004192444</v>
      </c>
      <c r="AM1038" s="115">
        <f t="shared" si="1898"/>
        <v>0.2409283023680818</v>
      </c>
      <c r="AN1038" s="115">
        <f t="shared" si="1899"/>
        <v>0.59270620758999382</v>
      </c>
      <c r="AO1038" s="115">
        <f t="shared" si="1901"/>
        <v>1.4588805545224444E-2</v>
      </c>
      <c r="AP1038" s="166">
        <f t="shared" ref="AP1038:AP1051" si="1912">+AP1037*EXP(AO1038)</f>
        <v>101.88394637494048</v>
      </c>
      <c r="AQ1038" s="168">
        <f t="shared" ref="AQ1038:AQ1051" si="1913">LN(AP1038/AP1037)</f>
        <v>1.4588805545224546E-2</v>
      </c>
      <c r="AR1038" s="69">
        <f>+AD1038/$AF$13</f>
        <v>1.1591581388469297E-2</v>
      </c>
      <c r="AS1038" s="169">
        <f t="shared" si="1911"/>
        <v>1.6910732683802251E-4</v>
      </c>
      <c r="AT1038" s="115"/>
      <c r="AU1038" s="115"/>
      <c r="AV1038" s="113">
        <f>IFERROR(INDEX('Total Customers'!$F$7:$AB$91,MATCH($C1038,'Total Customers'!$D$7:$D$91,0),MATCH($G1038,'Total Customers'!$F$5:$AB$5,0)),"NA")</f>
        <v>337134</v>
      </c>
      <c r="AW1038" s="68">
        <f t="shared" si="1875"/>
        <v>1.3822572386928512E-2</v>
      </c>
      <c r="AX1038" s="114"/>
      <c r="AY1038" s="114"/>
      <c r="AZ1038" s="116">
        <v>8244107</v>
      </c>
      <c r="BA1038" s="116"/>
      <c r="BB1038" s="166"/>
      <c r="BC1038" s="166"/>
      <c r="BD1038" s="166"/>
      <c r="BE1038" s="166"/>
      <c r="BF1038" s="166"/>
      <c r="BG1038" s="166"/>
      <c r="BH1038" s="166"/>
      <c r="BI1038" s="113"/>
      <c r="BJ1038" s="113"/>
      <c r="BK1038" s="113">
        <f>INDEX('Dist. Plant Gas Additions'!$F$7:$AE$91,MATCH($C1038,'Dist. Plant Gas Additions'!$D$7:$D$91,0),MATCH(Calculation!$G1038,'Dist. Plant Gas Additions'!$F$5:$AE$5,0))</f>
        <v>47235</v>
      </c>
      <c r="BL1038" s="113">
        <f>INDEX('Gen. Plant Additions'!$F$7:$AE$91,MATCH($C1038,'Gen. Plant Additions'!$D$7:$D$91,0),MATCH(Calculation!$G1038,'Gen. Plant Additions'!$F$5:$AE$5,0))</f>
        <v>3177</v>
      </c>
      <c r="BM1038" s="231">
        <f t="shared" si="1876"/>
        <v>0.95894613903683479</v>
      </c>
      <c r="BN1038" s="61">
        <f t="shared" si="1873"/>
        <v>3046.5718837200243</v>
      </c>
      <c r="BO1038" s="113">
        <f>INDEX('Dist Plant Depreciation'!$E$7:$AD$94,MATCH($C1038,'Dist Plant Depreciation'!$D$7:$D$94,0),MATCH(Calculation!$G1038,'Dist Plant Depreciation'!$E$5:$AD$5,0))</f>
        <v>222276</v>
      </c>
      <c r="BP1038" s="113">
        <f>INDEX('Gen. Plant Depreciation'!$E$7:$AD$94,MATCH($C1038,'Gen. Plant Depreciation'!$D$7:$D$94,0),MATCH(Calculation!$G1038,'Gen. Plant Depreciation'!$E$5:$AD$5,0))</f>
        <v>17304</v>
      </c>
      <c r="BQ1038" s="113"/>
      <c r="BR1038" s="113"/>
      <c r="BS1038" s="113"/>
      <c r="BT1038" s="113"/>
      <c r="BU1038" s="113"/>
      <c r="BV1038" s="175"/>
      <c r="BW1038" s="113">
        <f>INDEX('Gross Dx Plant'!$E$7:$AD$91,MATCH($C1038,'Gross Dx Plant'!$D$7:$D$91,0),MATCH(Calculation!$G1038,'Gross Dx Plant'!$E$5:$AD$5,0))</f>
        <v>959837</v>
      </c>
      <c r="BX1038" s="113">
        <f>INDEX('Gross Gen Plant'!$E$7:$AD$91,MATCH($C1038,'Gross Gen Plant'!$D$7:$D$91,0),MATCH(Calculation!$G1038,'Gross Gen Plant'!$E$5:$AD$5,0))</f>
        <v>41092</v>
      </c>
      <c r="BY1038" s="113">
        <f t="shared" si="1868"/>
        <v>761349</v>
      </c>
      <c r="BZ1038" s="113"/>
      <c r="CA1038" s="116">
        <v>2008</v>
      </c>
      <c r="CB1038" s="113"/>
      <c r="CC1038" s="113"/>
      <c r="CD1038" s="113"/>
      <c r="CE1038" s="175"/>
      <c r="CF1038" s="113">
        <f t="shared" si="1877"/>
        <v>50412</v>
      </c>
      <c r="CG1038" s="113">
        <f t="shared" si="1878"/>
        <v>88.460541784797883</v>
      </c>
      <c r="CH1038" s="178">
        <v>0.94252873563218387</v>
      </c>
      <c r="CI1038" s="61">
        <f>+CI1028*CH1038+CG1029*CH1037+CG1030*CH1036+CG1031*CH1035+CG1032*CH1034+CG1033*CH1033+CG1034*CH1032+CG1035*CH1031+CG1036*CH1030+CG1037*CH1029+CG1038</f>
        <v>3161.9785559633319</v>
      </c>
      <c r="CJ1038" s="114">
        <f t="shared" si="1879"/>
        <v>2.1779955423088703E-2</v>
      </c>
      <c r="CK1038" s="114"/>
      <c r="CL1038" s="169">
        <f t="shared" si="1880"/>
        <v>6.5734627136828901E-3</v>
      </c>
      <c r="CM1038" s="169">
        <f t="shared" si="1889"/>
        <v>6.3729513162249845E-3</v>
      </c>
      <c r="CN1038" s="114">
        <f>VLOOKUP($H1038,RoR!$E:$F,2,FALSE)</f>
        <v>5.6316666666666668E-2</v>
      </c>
      <c r="CO1038" s="169">
        <v>1.9092304698479889E-2</v>
      </c>
      <c r="CP1038" s="169">
        <f t="shared" si="1887"/>
        <v>3.7224361968186778E-2</v>
      </c>
      <c r="CQ1038" s="169">
        <f t="shared" si="1890"/>
        <v>2.452899029230864E-2</v>
      </c>
      <c r="CR1038" s="169">
        <f t="shared" si="1891"/>
        <v>6.9030581091053131E-2</v>
      </c>
      <c r="CS1038" s="179">
        <f t="shared" si="1881"/>
        <v>0.84885500000000003</v>
      </c>
      <c r="CT1038" s="180">
        <f t="shared" si="1882"/>
        <v>0.91060168006009956</v>
      </c>
      <c r="CU1038" s="180">
        <f t="shared" si="1883"/>
        <v>0.53108168097070152</v>
      </c>
      <c r="CV1038" s="180">
        <f t="shared" si="1884"/>
        <v>0.88825329850328805</v>
      </c>
      <c r="CW1038" s="180">
        <f t="shared" si="1885"/>
        <v>0.4295627335323573</v>
      </c>
      <c r="CX1038" s="181">
        <f>INDEX('State Tax Lookup'!$D$7:$Z$91,MATCH(Calculation!$C1038,'State Tax Lookup'!$B$7:$B$91,0),MATCH($H1038,'State Tax Lookup'!$D$6:$Z$6,0))</f>
        <v>0.40849999999999997</v>
      </c>
      <c r="CY1038" s="72">
        <v>0.37</v>
      </c>
      <c r="CZ1038" s="70">
        <f t="shared" si="1888"/>
        <v>19.961481768015148</v>
      </c>
      <c r="DA1038" s="70">
        <v>18.300102035478151</v>
      </c>
      <c r="DB1038" s="69">
        <f t="shared" si="1892"/>
        <v>0.12725366354579271</v>
      </c>
      <c r="DC1038" s="111">
        <f>VLOOKUP($H1038,RoR!$E:$F,2,FALSE)</f>
        <v>5.6316666666666668E-2</v>
      </c>
      <c r="DD1038" s="216">
        <f>HLOOKUP($H1038,'GDP-PI'!$D$8:$CQ$11,3,FALSE)</f>
        <v>1.9092304698479889E-2</v>
      </c>
      <c r="DE1038" s="111">
        <f>VLOOKUP(H1038,'HW Dx Data'!$E:$F,2,FALSE)</f>
        <v>569.88120333515076</v>
      </c>
      <c r="DF1038" s="72">
        <f t="shared" si="1902"/>
        <v>107.9</v>
      </c>
      <c r="DG1038" s="69">
        <f t="shared" si="1903"/>
        <v>3.1778595021460486E-2</v>
      </c>
      <c r="DH1038" s="66">
        <f>HLOOKUP(H1038,'GDP-PI'!$8:$9,2,FALSE)</f>
        <v>94.263999999999996</v>
      </c>
      <c r="DI1038" s="69">
        <f t="shared" si="1893"/>
        <v>1.8912333748032254E-2</v>
      </c>
      <c r="EB1038"/>
    </row>
    <row r="1039" spans="1:132" s="160" customFormat="1" ht="21">
      <c r="A1039" s="160" t="s">
        <v>222</v>
      </c>
      <c r="B1039" s="160" t="s">
        <v>222</v>
      </c>
      <c r="C1039" s="160">
        <v>4063023</v>
      </c>
      <c r="D1039" s="161" t="s">
        <v>196</v>
      </c>
      <c r="E1039" s="161" t="s">
        <v>3</v>
      </c>
      <c r="F1039" s="189"/>
      <c r="G1039" s="160" t="s">
        <v>125</v>
      </c>
      <c r="H1039" s="162">
        <v>2009</v>
      </c>
      <c r="I1039" s="163"/>
      <c r="J1039" s="159">
        <f>IFERROR(INDEX('Labor Expenditures'!$F$7:$X$91,MATCH($C1039,'Labor Expenditures'!$D$7:$D$91,0),MATCH($G1039,'Labor Expenditures'!$F$5:$X$5,0)),"NA")</f>
        <v>19278.155667304527</v>
      </c>
      <c r="K1039" s="159">
        <f t="shared" si="1894"/>
        <v>173.79450680463853</v>
      </c>
      <c r="L1039" s="165">
        <f t="shared" si="1900"/>
        <v>7.8612419493156394E-2</v>
      </c>
      <c r="M1039" s="76">
        <f t="shared" si="1904"/>
        <v>9.0319400509581945E-4</v>
      </c>
      <c r="N1039" s="62">
        <f t="shared" si="1910"/>
        <v>118.01424790282569</v>
      </c>
      <c r="O1039" s="96">
        <f t="shared" si="1905"/>
        <v>4.4053802019601095E-2</v>
      </c>
      <c r="P1039" s="96"/>
      <c r="Q1039" s="159">
        <f>IFERROR(INDEX('Non-Labor Expenditures'!$F$7:$AB$91,MATCH($C1039,'Non-Labor Expenditures'!$D$7:$D$91,0),MATCH($G1039,'Non-Labor Expenditures'!$F$5:$AB$5,0)),"NA")</f>
        <v>27918.370069061995</v>
      </c>
      <c r="R1039" s="159">
        <f t="shared" si="1895"/>
        <v>293.88067315510688</v>
      </c>
      <c r="S1039" s="165">
        <f t="shared" si="1906"/>
        <v>9.8494835675730877E-2</v>
      </c>
      <c r="T1039" s="165">
        <f t="shared" si="1907"/>
        <v>1.1316271104333888E-3</v>
      </c>
      <c r="U1039" s="165"/>
      <c r="V1039" s="165"/>
      <c r="W1039" s="159">
        <f t="shared" si="1874"/>
        <v>60522.039045797719</v>
      </c>
      <c r="X1039" s="163"/>
      <c r="Y1039" s="167">
        <v>3269.3141930112533</v>
      </c>
      <c r="Z1039" s="168">
        <v>3.3382279036519025E-2</v>
      </c>
      <c r="AA1039" s="76">
        <f t="shared" si="1896"/>
        <v>3.8353576313529699E-4</v>
      </c>
      <c r="AB1039" s="168"/>
      <c r="AC1039" s="168"/>
      <c r="AD1039" s="163">
        <f t="shared" si="1886"/>
        <v>107718.56478216423</v>
      </c>
      <c r="AE1039" s="168">
        <f t="shared" si="1908"/>
        <v>3.3243000876242677E-2</v>
      </c>
      <c r="AF1039" s="163"/>
      <c r="AG1039" s="163"/>
      <c r="AH1039" s="163"/>
      <c r="AI1039" s="163"/>
      <c r="AJ1039" s="116">
        <f t="shared" si="1909"/>
        <v>315.65139801019825</v>
      </c>
      <c r="AK1039" s="114">
        <f>+AV1039/$AX$14</f>
        <v>9.7011049477176009E-3</v>
      </c>
      <c r="AL1039" s="115">
        <f t="shared" si="1897"/>
        <v>0.17896781029611858</v>
      </c>
      <c r="AM1039" s="115">
        <f t="shared" si="1898"/>
        <v>0.25917881588489794</v>
      </c>
      <c r="AN1039" s="115">
        <f t="shared" si="1899"/>
        <v>0.56185337381898359</v>
      </c>
      <c r="AO1039" s="115">
        <f t="shared" si="1901"/>
        <v>5.7473642407301018E-2</v>
      </c>
      <c r="AP1039" s="166">
        <f t="shared" si="1912"/>
        <v>107.91113100139046</v>
      </c>
      <c r="AQ1039" s="168">
        <f t="shared" si="1913"/>
        <v>5.7473642407301115E-2</v>
      </c>
      <c r="AR1039" s="69">
        <f>+AD1039/$AF$14</f>
        <v>1.148920248122432E-2</v>
      </c>
      <c r="AS1039" s="169">
        <f t="shared" si="1911"/>
        <v>6.6032631495096324E-4</v>
      </c>
      <c r="AT1039" s="115"/>
      <c r="AU1039" s="115"/>
      <c r="AV1039" s="113">
        <f>IFERROR(INDEX('Total Customers'!$F$7:$AB$91,MATCH($C1039,'Total Customers'!$D$7:$D$91,0),MATCH($G1039,'Total Customers'!$F$5:$AB$5,0)),"NA")</f>
        <v>341258</v>
      </c>
      <c r="AW1039" s="68">
        <f t="shared" si="1875"/>
        <v>1.2158312015016642E-2</v>
      </c>
      <c r="AX1039" s="114"/>
      <c r="AY1039" s="114"/>
      <c r="AZ1039" s="116">
        <v>8336812</v>
      </c>
      <c r="BA1039" s="116"/>
      <c r="BB1039" s="166"/>
      <c r="BC1039" s="166"/>
      <c r="BD1039" s="166"/>
      <c r="BE1039" s="166"/>
      <c r="BF1039" s="166"/>
      <c r="BG1039" s="166"/>
      <c r="BH1039" s="166"/>
      <c r="BI1039" s="113"/>
      <c r="BJ1039" s="113"/>
      <c r="BK1039" s="113">
        <f>INDEX('Dist. Plant Gas Additions'!$F$7:$AE$91,MATCH($C1039,'Dist. Plant Gas Additions'!$D$7:$D$91,0),MATCH(Calculation!$G1039,'Dist. Plant Gas Additions'!$F$5:$AE$5,0))</f>
        <v>65868</v>
      </c>
      <c r="BL1039" s="113">
        <f>INDEX('Gen. Plant Additions'!$F$7:$AE$91,MATCH($C1039,'Gen. Plant Additions'!$D$7:$D$91,0),MATCH(Calculation!$G1039,'Gen. Plant Additions'!$F$5:$AE$5,0))</f>
        <v>5099</v>
      </c>
      <c r="BM1039" s="231">
        <f t="shared" si="1876"/>
        <v>0.95778815483553903</v>
      </c>
      <c r="BN1039" s="61">
        <f t="shared" si="1873"/>
        <v>4883.7618015064136</v>
      </c>
      <c r="BO1039" s="113">
        <f>INDEX('Dist Plant Depreciation'!$E$7:$AD$94,MATCH($C1039,'Dist Plant Depreciation'!$D$7:$D$94,0),MATCH(Calculation!$G1039,'Dist Plant Depreciation'!$E$5:$AD$5,0))</f>
        <v>236795</v>
      </c>
      <c r="BP1039" s="113">
        <f>INDEX('Gen. Plant Depreciation'!$E$7:$AD$94,MATCH($C1039,'Gen. Plant Depreciation'!$D$7:$D$94,0),MATCH(Calculation!$G1039,'Gen. Plant Depreciation'!$E$5:$AD$5,0))</f>
        <v>20259</v>
      </c>
      <c r="BQ1039" s="113"/>
      <c r="BR1039" s="113"/>
      <c r="BS1039" s="113"/>
      <c r="BT1039" s="113"/>
      <c r="BU1039" s="113"/>
      <c r="BV1039" s="175"/>
      <c r="BW1039" s="113">
        <f>INDEX('Gross Dx Plant'!$E$7:$AD$91,MATCH($C1039,'Gross Dx Plant'!$D$7:$D$91,0),MATCH(Calculation!$G1039,'Gross Dx Plant'!$E$5:$AD$5,0))</f>
        <v>1021233</v>
      </c>
      <c r="BX1039" s="113">
        <f>INDEX('Gross Gen Plant'!$E$7:$AD$91,MATCH($C1039,'Gross Gen Plant'!$D$7:$D$91,0),MATCH(Calculation!$G1039,'Gross Gen Plant'!$E$5:$AD$5,0))</f>
        <v>45008</v>
      </c>
      <c r="BY1039" s="113">
        <f t="shared" si="1868"/>
        <v>809187</v>
      </c>
      <c r="BZ1039" s="113"/>
      <c r="CA1039" s="116">
        <v>2009</v>
      </c>
      <c r="CB1039" s="113"/>
      <c r="CC1039" s="113"/>
      <c r="CD1039" s="113"/>
      <c r="CE1039" s="175"/>
      <c r="CF1039" s="113">
        <f t="shared" si="1877"/>
        <v>70967</v>
      </c>
      <c r="CG1039" s="113">
        <f t="shared" si="1878"/>
        <v>128.81061090826347</v>
      </c>
      <c r="CH1039" s="178">
        <v>0.93567251461988299</v>
      </c>
      <c r="CI1039" s="61">
        <f>+CI1028*CH1039+CG1029*CH1038+CG1030*CH1037+CG1031*CH1036+CG1032*CH1035+CG1033*CH1034+CG1034*CH1033+CG1035*CH1032+CG1036*CH1031+CG1037*CH1030+CG1038*CH1029+CG1039</f>
        <v>3269.3141930112533</v>
      </c>
      <c r="CJ1039" s="114">
        <f t="shared" si="1879"/>
        <v>3.3382279036519025E-2</v>
      </c>
      <c r="CK1039" s="114"/>
      <c r="CL1039" s="169">
        <f t="shared" si="1880"/>
        <v>6.7916253953845904E-3</v>
      </c>
      <c r="CM1039" s="169">
        <f t="shared" si="1889"/>
        <v>6.5776072212877729E-3</v>
      </c>
      <c r="CN1039" s="114">
        <f>VLOOKUP($H1039,RoR!$E:$F,2,FALSE)</f>
        <v>5.3133333333333324E-2</v>
      </c>
      <c r="CO1039" s="169">
        <v>7.7972502758210105E-3</v>
      </c>
      <c r="CP1039" s="169">
        <f t="shared" si="1887"/>
        <v>4.5336083057512314E-2</v>
      </c>
      <c r="CQ1039" s="169">
        <f t="shared" si="1890"/>
        <v>2.4324334387245853E-2</v>
      </c>
      <c r="CR1039" s="169">
        <f t="shared" si="1891"/>
        <v>6.3720160300892073E-2</v>
      </c>
      <c r="CS1039" s="179">
        <f t="shared" si="1881"/>
        <v>0.84885500000000003</v>
      </c>
      <c r="CT1039" s="180">
        <f t="shared" si="1882"/>
        <v>0.96515780330083989</v>
      </c>
      <c r="CU1039" s="180">
        <f t="shared" si="1883"/>
        <v>0.50448557089084056</v>
      </c>
      <c r="CV1039" s="180">
        <f t="shared" si="1884"/>
        <v>0.87391435735465484</v>
      </c>
      <c r="CW1039" s="180">
        <f t="shared" si="1885"/>
        <v>0.42551605393279146</v>
      </c>
      <c r="CX1039" s="181">
        <f>INDEX('State Tax Lookup'!$D$7:$Z$91,MATCH(Calculation!$C1039,'State Tax Lookup'!$B$7:$B$91,0),MATCH($H1039,'State Tax Lookup'!$D$6:$Z$6,0))</f>
        <v>0.40849999999999997</v>
      </c>
      <c r="CY1039" s="72">
        <v>0.37</v>
      </c>
      <c r="CZ1039" s="70">
        <f t="shared" si="1888"/>
        <v>19.140559613111925</v>
      </c>
      <c r="DA1039" s="70">
        <v>17.478615056163342</v>
      </c>
      <c r="DB1039" s="69">
        <f t="shared" si="1892"/>
        <v>-4.1994881520378724E-2</v>
      </c>
      <c r="DC1039" s="111">
        <f>VLOOKUP($H1039,RoR!$E:$F,2,FALSE)</f>
        <v>5.3133333333333324E-2</v>
      </c>
      <c r="DD1039" s="216">
        <f>HLOOKUP($H1039,'GDP-PI'!$D$8:$CQ$11,3,FALSE)</f>
        <v>7.7972502758210105E-3</v>
      </c>
      <c r="DE1039" s="111">
        <f>VLOOKUP(H1039,'HW Dx Data'!$E:$F,2,FALSE)</f>
        <v>550.94063679692806</v>
      </c>
      <c r="DF1039" s="72">
        <f t="shared" si="1902"/>
        <v>110.925</v>
      </c>
      <c r="DG1039" s="69">
        <f t="shared" si="1903"/>
        <v>2.7649425000884052E-2</v>
      </c>
      <c r="DH1039" s="66">
        <f>HLOOKUP(H1039,'GDP-PI'!$8:$9,2,FALSE)</f>
        <v>94.998999999999995</v>
      </c>
      <c r="DI1039" s="69">
        <f t="shared" si="1893"/>
        <v>7.7670088183096342E-3</v>
      </c>
      <c r="EB1039"/>
    </row>
    <row r="1040" spans="1:132" s="160" customFormat="1" ht="21">
      <c r="A1040" s="160" t="s">
        <v>222</v>
      </c>
      <c r="B1040" s="160" t="s">
        <v>222</v>
      </c>
      <c r="C1040" s="160">
        <v>4063023</v>
      </c>
      <c r="D1040" s="161" t="s">
        <v>196</v>
      </c>
      <c r="E1040" s="161" t="s">
        <v>3</v>
      </c>
      <c r="F1040" s="189"/>
      <c r="G1040" s="160" t="s">
        <v>126</v>
      </c>
      <c r="H1040" s="162">
        <v>2010</v>
      </c>
      <c r="I1040" s="163"/>
      <c r="J1040" s="159">
        <f>IFERROR(INDEX('Labor Expenditures'!$F$7:$X$91,MATCH($C1040,'Labor Expenditures'!$D$7:$D$91,0),MATCH($G1040,'Labor Expenditures'!$F$5:$X$5,0)),"NA")</f>
        <v>20706.557306919542</v>
      </c>
      <c r="K1040" s="159">
        <f t="shared" si="1894"/>
        <v>177.09264320649598</v>
      </c>
      <c r="L1040" s="165">
        <f t="shared" si="1900"/>
        <v>1.8799397675674678E-2</v>
      </c>
      <c r="M1040" s="76">
        <f t="shared" si="1904"/>
        <v>2.2216946264258245E-4</v>
      </c>
      <c r="N1040" s="62">
        <f t="shared" si="1910"/>
        <v>97.707771712451844</v>
      </c>
      <c r="O1040" s="96">
        <f t="shared" si="1905"/>
        <v>-0.18882425953213003</v>
      </c>
      <c r="P1040" s="96"/>
      <c r="Q1040" s="159">
        <f>IFERROR(INDEX('Non-Labor Expenditures'!$F$7:$AB$91,MATCH($C1040,'Non-Labor Expenditures'!$D$7:$D$91,0),MATCH($G1040,'Non-Labor Expenditures'!$F$5:$AB$5,0)),"NA")</f>
        <v>29986.962431850134</v>
      </c>
      <c r="R1040" s="159">
        <f t="shared" si="1895"/>
        <v>312.00993072293056</v>
      </c>
      <c r="S1040" s="165">
        <f t="shared" si="1906"/>
        <v>5.9861205215501111E-2</v>
      </c>
      <c r="T1040" s="165">
        <f t="shared" si="1907"/>
        <v>7.0743393087927464E-4</v>
      </c>
      <c r="U1040" s="165"/>
      <c r="V1040" s="165"/>
      <c r="W1040" s="159">
        <f t="shared" si="1874"/>
        <v>64153.703844066287</v>
      </c>
      <c r="X1040" s="163"/>
      <c r="Y1040" s="167">
        <v>3374.2318468030244</v>
      </c>
      <c r="Z1040" s="168">
        <v>3.1587461466689663E-2</v>
      </c>
      <c r="AA1040" s="76">
        <f t="shared" si="1896"/>
        <v>3.7329756311173235E-4</v>
      </c>
      <c r="AB1040" s="168"/>
      <c r="AC1040" s="168"/>
      <c r="AD1040" s="163">
        <f t="shared" si="1886"/>
        <v>114847.22358283596</v>
      </c>
      <c r="AE1040" s="168">
        <f t="shared" si="1908"/>
        <v>6.4080810295328805E-2</v>
      </c>
      <c r="AF1040" s="163"/>
      <c r="AG1040" s="163"/>
      <c r="AH1040" s="163"/>
      <c r="AI1040" s="163"/>
      <c r="AJ1040" s="116">
        <f t="shared" si="1909"/>
        <v>332.81043570050093</v>
      </c>
      <c r="AK1040" s="114">
        <f>+AV1040/$AX$15</f>
        <v>9.7561663790185094E-3</v>
      </c>
      <c r="AL1040" s="115">
        <f t="shared" si="1897"/>
        <v>0.1802965423189748</v>
      </c>
      <c r="AM1040" s="115">
        <f t="shared" si="1898"/>
        <v>0.26110306802690281</v>
      </c>
      <c r="AN1040" s="115">
        <f t="shared" si="1899"/>
        <v>0.55860038965412251</v>
      </c>
      <c r="AO1040" s="115">
        <f t="shared" si="1901"/>
        <v>3.6645472068585469E-2</v>
      </c>
      <c r="AP1040" s="166">
        <f t="shared" si="1912"/>
        <v>111.9389349961892</v>
      </c>
      <c r="AQ1040" s="168">
        <f t="shared" si="1913"/>
        <v>3.6645472068585441E-2</v>
      </c>
      <c r="AR1040" s="69">
        <f>+AD1040/$AF$15</f>
        <v>1.1817903236871081E-2</v>
      </c>
      <c r="AS1040" s="169">
        <f t="shared" si="1911"/>
        <v>4.3307264297600469E-4</v>
      </c>
      <c r="AT1040" s="115"/>
      <c r="AU1040" s="115"/>
      <c r="AV1040" s="113">
        <f>IFERROR(INDEX('Total Customers'!$F$7:$AB$91,MATCH($C1040,'Total Customers'!$D$7:$D$91,0),MATCH($G1040,'Total Customers'!$F$5:$AB$5,0)),"NA")</f>
        <v>345083</v>
      </c>
      <c r="AW1040" s="68">
        <f t="shared" si="1875"/>
        <v>1.1146178359022305E-2</v>
      </c>
      <c r="AX1040" s="114"/>
      <c r="AY1040" s="114"/>
      <c r="AZ1040" s="116">
        <v>8403441</v>
      </c>
      <c r="BA1040" s="116"/>
      <c r="BB1040" s="166"/>
      <c r="BC1040" s="166"/>
      <c r="BD1040" s="166"/>
      <c r="BE1040" s="166"/>
      <c r="BF1040" s="166"/>
      <c r="BG1040" s="166"/>
      <c r="BH1040" s="166"/>
      <c r="BI1040" s="113"/>
      <c r="BJ1040" s="113"/>
      <c r="BK1040" s="113">
        <f>INDEX('Dist. Plant Gas Additions'!$F$7:$AE$91,MATCH($C1040,'Dist. Plant Gas Additions'!$D$7:$D$91,0),MATCH(Calculation!$G1040,'Dist. Plant Gas Additions'!$F$5:$AE$5,0))</f>
        <v>65494</v>
      </c>
      <c r="BL1040" s="113">
        <f>INDEX('Gen. Plant Additions'!$F$7:$AE$91,MATCH($C1040,'Gen. Plant Additions'!$D$7:$D$91,0),MATCH(Calculation!$G1040,'Gen. Plant Additions'!$F$5:$AE$5,0))</f>
        <v>7212</v>
      </c>
      <c r="BM1040" s="231">
        <f t="shared" si="1876"/>
        <v>0.95522127882857977</v>
      </c>
      <c r="BN1040" s="61">
        <f t="shared" si="1873"/>
        <v>6889.0558629117177</v>
      </c>
      <c r="BO1040" s="113">
        <f>INDEX('Dist Plant Depreciation'!$E$7:$AD$94,MATCH($C1040,'Dist Plant Depreciation'!$D$7:$D$94,0),MATCH(Calculation!$G1040,'Dist Plant Depreciation'!$E$5:$AD$5,0))</f>
        <v>253534</v>
      </c>
      <c r="BP1040" s="113">
        <f>INDEX('Gen. Plant Depreciation'!$E$7:$AD$94,MATCH($C1040,'Gen. Plant Depreciation'!$D$7:$D$94,0),MATCH(Calculation!$G1040,'Gen. Plant Depreciation'!$E$5:$AD$5,0))</f>
        <v>22897</v>
      </c>
      <c r="BQ1040" s="113"/>
      <c r="BR1040" s="113"/>
      <c r="BS1040" s="113"/>
      <c r="BT1040" s="113"/>
      <c r="BU1040" s="113"/>
      <c r="BV1040" s="175"/>
      <c r="BW1040" s="113">
        <f>INDEX('Gross Dx Plant'!$E$7:$AD$91,MATCH($C1040,'Gross Dx Plant'!$D$7:$D$91,0),MATCH(Calculation!$G1040,'Gross Dx Plant'!$E$5:$AD$5,0))</f>
        <v>1084990</v>
      </c>
      <c r="BX1040" s="113">
        <f>INDEX('Gross Gen Plant'!$E$7:$AD$91,MATCH($C1040,'Gross Gen Plant'!$D$7:$D$91,0),MATCH(Calculation!$G1040,'Gross Gen Plant'!$E$5:$AD$5,0))</f>
        <v>50862</v>
      </c>
      <c r="BY1040" s="113">
        <f t="shared" si="1868"/>
        <v>859421</v>
      </c>
      <c r="BZ1040" s="113"/>
      <c r="CA1040" s="116">
        <v>2010</v>
      </c>
      <c r="CB1040" s="113"/>
      <c r="CC1040" s="113"/>
      <c r="CD1040" s="113"/>
      <c r="CE1040" s="175"/>
      <c r="CF1040" s="113">
        <f t="shared" si="1877"/>
        <v>72706</v>
      </c>
      <c r="CG1040" s="113">
        <f t="shared" si="1878"/>
        <v>127.78091628048021</v>
      </c>
      <c r="CH1040" s="178">
        <v>0.9285714285714286</v>
      </c>
      <c r="CI1040" s="61">
        <f>+CI1028*CH1040+CG1029*CH1039+CG1030*CH1038+CG1031*CH1037+CG1032*CH1036+CG1033*CH1035+CG1034*CH1034+CG1035*CH1033+CG1036*CH1032+CG1037*CH1031+CG1038*CH1030+CG1039*CH1029+CG1040</f>
        <v>3374.2318468030244</v>
      </c>
      <c r="CJ1040" s="114">
        <f t="shared" si="1879"/>
        <v>3.1587461466689663E-2</v>
      </c>
      <c r="CK1040" s="114"/>
      <c r="CL1040" s="169">
        <f t="shared" si="1880"/>
        <v>6.9932900721452534E-3</v>
      </c>
      <c r="CM1040" s="169">
        <f t="shared" si="1889"/>
        <v>6.7861260604042441E-3</v>
      </c>
      <c r="CN1040" s="114">
        <f>VLOOKUP($H1040,RoR!$E:$F,2,FALSE)</f>
        <v>4.9433333333333322E-2</v>
      </c>
      <c r="CO1040" s="169">
        <v>1.1684333519300205E-2</v>
      </c>
      <c r="CP1040" s="169">
        <f t="shared" si="1887"/>
        <v>3.7748999814033117E-2</v>
      </c>
      <c r="CQ1040" s="169">
        <f t="shared" si="1890"/>
        <v>2.4115815548129381E-2</v>
      </c>
      <c r="CR1040" s="169">
        <f t="shared" si="1891"/>
        <v>4.7937530248493419E-2</v>
      </c>
      <c r="CS1040" s="179">
        <f t="shared" si="1881"/>
        <v>0.84885500000000003</v>
      </c>
      <c r="CT1040" s="180">
        <f t="shared" si="1882"/>
        <v>1.037398205301105</v>
      </c>
      <c r="CU1040" s="180">
        <f t="shared" si="1883"/>
        <v>0.46926837491571133</v>
      </c>
      <c r="CV1040" s="180">
        <f t="shared" si="1884"/>
        <v>0.8548537519972772</v>
      </c>
      <c r="CW1040" s="180">
        <f t="shared" si="1885"/>
        <v>0.41615833911547367</v>
      </c>
      <c r="CX1040" s="181">
        <f>INDEX('State Tax Lookup'!$D$7:$Z$91,MATCH(Calculation!$C1040,'State Tax Lookup'!$B$7:$B$91,0),MATCH($H1040,'State Tax Lookup'!$D$6:$Z$6,0))</f>
        <v>0.40849999999999997</v>
      </c>
      <c r="CY1040" s="72">
        <v>0.37</v>
      </c>
      <c r="CZ1040" s="70">
        <f t="shared" si="1888"/>
        <v>19.622985145082218</v>
      </c>
      <c r="DA1040" s="70">
        <v>17.956102603965455</v>
      </c>
      <c r="DB1040" s="69">
        <f t="shared" si="1892"/>
        <v>2.4891967149239774E-2</v>
      </c>
      <c r="DC1040" s="111">
        <f>VLOOKUP($H1040,RoR!$E:$F,2,FALSE)</f>
        <v>4.9433333333333322E-2</v>
      </c>
      <c r="DD1040" s="216">
        <f>HLOOKUP($H1040,'GDP-PI'!$D$8:$CQ$11,3,FALSE)</f>
        <v>1.1684333519300205E-2</v>
      </c>
      <c r="DE1040" s="111">
        <f>VLOOKUP(H1040,'HW Dx Data'!$E:$F,2,FALSE)</f>
        <v>568.98950262971744</v>
      </c>
      <c r="DF1040" s="72">
        <f t="shared" si="1902"/>
        <v>116.925</v>
      </c>
      <c r="DG1040" s="69">
        <f t="shared" si="1903"/>
        <v>5.2678406346976722E-2</v>
      </c>
      <c r="DH1040" s="66">
        <f>HLOOKUP(H1040,'GDP-PI'!$8:$9,2,FALSE)</f>
        <v>96.108999999999995</v>
      </c>
      <c r="DI1040" s="69">
        <f t="shared" si="1893"/>
        <v>1.1616598807150427E-2</v>
      </c>
      <c r="EB1040"/>
    </row>
    <row r="1041" spans="1:132" s="160" customFormat="1" ht="21">
      <c r="A1041" s="160" t="s">
        <v>222</v>
      </c>
      <c r="B1041" s="160" t="s">
        <v>222</v>
      </c>
      <c r="C1041" s="160">
        <v>4063023</v>
      </c>
      <c r="D1041" s="161" t="s">
        <v>196</v>
      </c>
      <c r="E1041" s="161" t="s">
        <v>3</v>
      </c>
      <c r="F1041" s="189"/>
      <c r="G1041" s="160" t="s">
        <v>127</v>
      </c>
      <c r="H1041" s="162">
        <v>2011</v>
      </c>
      <c r="I1041" s="163"/>
      <c r="J1041" s="159">
        <f>IFERROR(INDEX('Labor Expenditures'!$F$7:$X$91,MATCH($C1041,'Labor Expenditures'!$D$7:$D$91,0),MATCH($G1041,'Labor Expenditures'!$F$5:$X$5,0)),"NA")</f>
        <v>22054.841254643583</v>
      </c>
      <c r="K1041" s="159">
        <f t="shared" si="1894"/>
        <v>182.4599069670617</v>
      </c>
      <c r="L1041" s="165">
        <f t="shared" si="1900"/>
        <v>2.9857457445945517E-2</v>
      </c>
      <c r="M1041" s="76">
        <f t="shared" si="1904"/>
        <v>3.6473160231142944E-4</v>
      </c>
      <c r="N1041" s="62">
        <f t="shared" si="1910"/>
        <v>118.47443984540934</v>
      </c>
      <c r="O1041" s="96">
        <f t="shared" si="1905"/>
        <v>0.1927161372183866</v>
      </c>
      <c r="P1041" s="96"/>
      <c r="Q1041" s="159">
        <f>IFERROR(INDEX('Non-Labor Expenditures'!$F$7:$AB$91,MATCH($C1041,'Non-Labor Expenditures'!$D$7:$D$91,0),MATCH($G1041,'Non-Labor Expenditures'!$F$5:$AB$5,0)),"NA")</f>
        <v>31939.5294128594</v>
      </c>
      <c r="R1041" s="159">
        <f t="shared" si="1895"/>
        <v>325.54151798821147</v>
      </c>
      <c r="S1041" s="165">
        <f t="shared" si="1906"/>
        <v>4.2454988394604647E-2</v>
      </c>
      <c r="T1041" s="165">
        <f t="shared" si="1907"/>
        <v>5.1862004563888375E-4</v>
      </c>
      <c r="U1041" s="165"/>
      <c r="V1041" s="165"/>
      <c r="W1041" s="159">
        <f t="shared" si="1874"/>
        <v>70679.901321057725</v>
      </c>
      <c r="X1041" s="163"/>
      <c r="Y1041" s="167">
        <v>3510.6541557897112</v>
      </c>
      <c r="Z1041" s="168">
        <v>3.9634691811841198E-2</v>
      </c>
      <c r="AA1041" s="76">
        <f t="shared" si="1896"/>
        <v>4.8416797303735531E-4</v>
      </c>
      <c r="AB1041" s="168"/>
      <c r="AC1041" s="168"/>
      <c r="AD1041" s="163">
        <f t="shared" si="1886"/>
        <v>124674.27198856071</v>
      </c>
      <c r="AE1041" s="168">
        <f t="shared" si="1908"/>
        <v>8.2101757588237775E-2</v>
      </c>
      <c r="AF1041" s="163"/>
      <c r="AG1041" s="163"/>
      <c r="AH1041" s="163"/>
      <c r="AI1041" s="163"/>
      <c r="AJ1041" s="116">
        <f t="shared" si="1909"/>
        <v>357.38032881349528</v>
      </c>
      <c r="AK1041" s="114">
        <f>+AV1041/$AX$16</f>
        <v>9.815248326013359E-3</v>
      </c>
      <c r="AL1041" s="115">
        <f t="shared" si="1897"/>
        <v>0.17689969953598117</v>
      </c>
      <c r="AM1041" s="115">
        <f t="shared" si="1898"/>
        <v>0.25618380523441087</v>
      </c>
      <c r="AN1041" s="115">
        <f t="shared" si="1899"/>
        <v>0.56691649522960796</v>
      </c>
      <c r="AO1041" s="115">
        <f t="shared" si="1901"/>
        <v>3.8617947326708299E-2</v>
      </c>
      <c r="AP1041" s="166">
        <f t="shared" si="1912"/>
        <v>116.34634165712897</v>
      </c>
      <c r="AQ1041" s="168">
        <f t="shared" si="1913"/>
        <v>3.861794732670825E-2</v>
      </c>
      <c r="AR1041" s="69">
        <f>+AD1041/$AF$16</f>
        <v>1.2215762275530197E-2</v>
      </c>
      <c r="AS1041" s="169">
        <f t="shared" si="1911"/>
        <v>4.717476641120149E-4</v>
      </c>
      <c r="AT1041" s="115"/>
      <c r="AU1041" s="115"/>
      <c r="AV1041" s="113">
        <f>IFERROR(INDEX('Total Customers'!$F$7:$AB$91,MATCH($C1041,'Total Customers'!$D$7:$D$91,0),MATCH($G1041,'Total Customers'!$F$5:$AB$5,0)),"NA")</f>
        <v>348856</v>
      </c>
      <c r="AW1041" s="68">
        <f t="shared" si="1875"/>
        <v>1.0874261799847761E-2</v>
      </c>
      <c r="AX1041" s="114"/>
      <c r="AY1041" s="114"/>
      <c r="AZ1041" s="116">
        <v>8437841</v>
      </c>
      <c r="BA1041" s="116"/>
      <c r="BB1041" s="166"/>
      <c r="BC1041" s="166"/>
      <c r="BD1041" s="166"/>
      <c r="BE1041" s="166"/>
      <c r="BF1041" s="166"/>
      <c r="BG1041" s="166"/>
      <c r="BH1041" s="166"/>
      <c r="BI1041" s="113"/>
      <c r="BJ1041" s="113"/>
      <c r="BK1041" s="113">
        <f>INDEX('Dist. Plant Gas Additions'!$F$7:$AE$91,MATCH($C1041,'Dist. Plant Gas Additions'!$D$7:$D$91,0),MATCH(Calculation!$G1041,'Dist. Plant Gas Additions'!$F$5:$AE$5,0))</f>
        <v>94075</v>
      </c>
      <c r="BL1041" s="113">
        <f>INDEX('Gen. Plant Additions'!$F$7:$AE$91,MATCH($C1041,'Gen. Plant Additions'!$D$7:$D$91,0),MATCH(Calculation!$G1041,'Gen. Plant Additions'!$F$5:$AE$5,0))</f>
        <v>4228</v>
      </c>
      <c r="BM1041" s="231">
        <f t="shared" si="1876"/>
        <v>0.95783176818867999</v>
      </c>
      <c r="BN1041" s="61">
        <f t="shared" si="1873"/>
        <v>4049.7127159017391</v>
      </c>
      <c r="BO1041" s="113">
        <f>INDEX('Dist Plant Depreciation'!$E$7:$AD$94,MATCH($C1041,'Dist Plant Depreciation'!$D$7:$D$94,0),MATCH(Calculation!$G1041,'Dist Plant Depreciation'!$E$5:$AD$5,0))</f>
        <v>269608</v>
      </c>
      <c r="BP1041" s="113">
        <f>INDEX('Gen. Plant Depreciation'!$E$7:$AD$94,MATCH($C1041,'Gen. Plant Depreciation'!$D$7:$D$94,0),MATCH(Calculation!$G1041,'Gen. Plant Depreciation'!$E$5:$AD$5,0))</f>
        <v>23793</v>
      </c>
      <c r="BQ1041" s="113"/>
      <c r="BR1041" s="113"/>
      <c r="BS1041" s="113"/>
      <c r="BT1041" s="113"/>
      <c r="BU1041" s="113"/>
      <c r="BV1041" s="175"/>
      <c r="BW1041" s="113">
        <f>INDEX('Gross Dx Plant'!$E$7:$AD$91,MATCH($C1041,'Gross Dx Plant'!$D$7:$D$91,0),MATCH(Calculation!$G1041,'Gross Dx Plant'!$E$5:$AD$5,0))</f>
        <v>1172547</v>
      </c>
      <c r="BX1041" s="113">
        <f>INDEX('Gross Gen Plant'!$E$7:$AD$91,MATCH($C1041,'Gross Gen Plant'!$D$7:$D$91,0),MATCH(Calculation!$G1041,'Gross Gen Plant'!$E$5:$AD$5,0))</f>
        <v>51621</v>
      </c>
      <c r="BY1041" s="113">
        <f t="shared" si="1868"/>
        <v>930767</v>
      </c>
      <c r="BZ1041" s="113"/>
      <c r="CA1041" s="116">
        <v>2011</v>
      </c>
      <c r="CB1041" s="113"/>
      <c r="CC1041" s="113"/>
      <c r="CD1041" s="113"/>
      <c r="CE1041" s="175"/>
      <c r="CF1041" s="113">
        <f t="shared" si="1877"/>
        <v>98303</v>
      </c>
      <c r="CG1041" s="113">
        <f t="shared" si="1878"/>
        <v>160.7279537980414</v>
      </c>
      <c r="CH1041" s="178">
        <v>0.92121212121212126</v>
      </c>
      <c r="CI1041" s="61">
        <f>+CI1028*CH1041+CG1029*CH1040+CG1030*CH1039+CG1031*CH1038+CG1032*CH1037+CG1033*CH1036+CG1034*CH1035+CG1035*CH1034+CG1036*CH1033+CG1037*CH1032+CG1038*CH1031+CG1039*CH1030+CG1040*CH1029+CG1041</f>
        <v>3510.6541557897112</v>
      </c>
      <c r="CJ1041" s="114">
        <f t="shared" si="1879"/>
        <v>3.9634691811841198E-2</v>
      </c>
      <c r="CK1041" s="114"/>
      <c r="CL1041" s="169">
        <f t="shared" si="1880"/>
        <v>7.2033120173361394E-3</v>
      </c>
      <c r="CM1041" s="169">
        <f t="shared" si="1889"/>
        <v>6.9960758282886617E-3</v>
      </c>
      <c r="CN1041" s="114">
        <f>VLOOKUP($H1041,RoR!$E:$F,2,FALSE)</f>
        <v>4.6391666666666664E-2</v>
      </c>
      <c r="CO1041" s="169">
        <v>2.0840920205183799E-2</v>
      </c>
      <c r="CP1041" s="169">
        <f t="shared" si="1887"/>
        <v>2.5550746461482865E-2</v>
      </c>
      <c r="CQ1041" s="169">
        <f t="shared" si="1890"/>
        <v>2.3905865780244964E-2</v>
      </c>
      <c r="CR1041" s="169">
        <f t="shared" si="1891"/>
        <v>2.4810540821321614E-2</v>
      </c>
      <c r="CS1041" s="179">
        <f t="shared" si="1881"/>
        <v>0.84885500000000003</v>
      </c>
      <c r="CT1041" s="180">
        <f t="shared" si="1882"/>
        <v>1.1054151524782025</v>
      </c>
      <c r="CU1041" s="180">
        <f t="shared" si="1883"/>
        <v>0.43611011316687626</v>
      </c>
      <c r="CV1041" s="180">
        <f t="shared" si="1884"/>
        <v>0.83698442246886229</v>
      </c>
      <c r="CW1041" s="180">
        <f t="shared" si="1885"/>
        <v>0.40349573304423936</v>
      </c>
      <c r="CX1041" s="181">
        <f>INDEX('State Tax Lookup'!$D$7:$Z$91,MATCH(Calculation!$C1041,'State Tax Lookup'!$B$7:$B$91,0),MATCH($H1041,'State Tax Lookup'!$D$6:$Z$6,0))</f>
        <v>0.40849999999999997</v>
      </c>
      <c r="CY1041" s="72">
        <v>0.37</v>
      </c>
      <c r="CZ1041" s="70">
        <f t="shared" si="1888"/>
        <v>20.946960532076254</v>
      </c>
      <c r="DA1041" s="70">
        <v>19.146574949201604</v>
      </c>
      <c r="DB1041" s="69">
        <f t="shared" si="1892"/>
        <v>6.5291963210336576E-2</v>
      </c>
      <c r="DC1041" s="111">
        <f>VLOOKUP($H1041,RoR!$E:$F,2,FALSE)</f>
        <v>4.6391666666666664E-2</v>
      </c>
      <c r="DD1041" s="216">
        <f>HLOOKUP($H1041,'GDP-PI'!$D$8:$CQ$11,3,FALSE)</f>
        <v>2.0840920205183799E-2</v>
      </c>
      <c r="DE1041" s="111">
        <f>VLOOKUP(H1041,'HW Dx Data'!$E:$F,2,FALSE)</f>
        <v>611.61109612283201</v>
      </c>
      <c r="DF1041" s="72">
        <f t="shared" si="1902"/>
        <v>120.875</v>
      </c>
      <c r="DG1041" s="69">
        <f t="shared" si="1903"/>
        <v>3.3224250161508609E-2</v>
      </c>
      <c r="DH1041" s="66">
        <f>HLOOKUP(H1041,'GDP-PI'!$8:$9,2,FALSE)</f>
        <v>98.111999999999995</v>
      </c>
      <c r="DI1041" s="69">
        <f t="shared" si="1893"/>
        <v>2.0626719212849295E-2</v>
      </c>
      <c r="EB1041"/>
    </row>
    <row r="1042" spans="1:132" s="160" customFormat="1" ht="21">
      <c r="A1042" s="160" t="s">
        <v>222</v>
      </c>
      <c r="B1042" s="160" t="s">
        <v>222</v>
      </c>
      <c r="C1042" s="160">
        <v>4063023</v>
      </c>
      <c r="D1042" s="161" t="s">
        <v>196</v>
      </c>
      <c r="E1042" s="161" t="s">
        <v>3</v>
      </c>
      <c r="F1042" s="189"/>
      <c r="G1042" s="160" t="s">
        <v>128</v>
      </c>
      <c r="H1042" s="162">
        <v>2012</v>
      </c>
      <c r="I1042" s="163"/>
      <c r="J1042" s="159">
        <f>IFERROR(INDEX('Labor Expenditures'!$F$7:$X$91,MATCH($C1042,'Labor Expenditures'!$D$7:$D$91,0),MATCH($G1042,'Labor Expenditures'!$F$5:$X$5,0)),"NA")</f>
        <v>23749.22718317786</v>
      </c>
      <c r="K1042" s="159">
        <f t="shared" si="1894"/>
        <v>190.29829473700207</v>
      </c>
      <c r="L1042" s="165">
        <f t="shared" si="1900"/>
        <v>4.206235230644615E-2</v>
      </c>
      <c r="M1042" s="76">
        <f t="shared" si="1904"/>
        <v>5.4155797800824472E-4</v>
      </c>
      <c r="N1042" s="62">
        <f t="shared" si="1910"/>
        <v>117.4345693708978</v>
      </c>
      <c r="O1042" s="96">
        <f t="shared" si="1905"/>
        <v>-8.815917737833575E-3</v>
      </c>
      <c r="P1042" s="96"/>
      <c r="Q1042" s="159">
        <f>IFERROR(INDEX('Non-Labor Expenditures'!$F$7:$AB$91,MATCH($C1042,'Non-Labor Expenditures'!$D$7:$D$91,0),MATCH($G1042,'Non-Labor Expenditures'!$F$5:$AB$5,0)),"NA")</f>
        <v>34393.316705015095</v>
      </c>
      <c r="R1042" s="159">
        <f t="shared" si="1895"/>
        <v>343.93316705015093</v>
      </c>
      <c r="S1042" s="165">
        <f t="shared" si="1906"/>
        <v>5.495735172957248E-2</v>
      </c>
      <c r="T1042" s="165">
        <f t="shared" si="1907"/>
        <v>7.0758268730477061E-4</v>
      </c>
      <c r="U1042" s="165"/>
      <c r="V1042" s="165"/>
      <c r="W1042" s="159">
        <f t="shared" si="1874"/>
        <v>79544.446914134445</v>
      </c>
      <c r="X1042" s="163"/>
      <c r="Y1042" s="167">
        <v>3691.1033701149604</v>
      </c>
      <c r="Z1042" s="168">
        <v>5.0123040363235713E-2</v>
      </c>
      <c r="AA1042" s="76">
        <f t="shared" si="1896"/>
        <v>6.4534033172889403E-4</v>
      </c>
      <c r="AB1042" s="168"/>
      <c r="AC1042" s="168"/>
      <c r="AD1042" s="163">
        <f t="shared" si="1886"/>
        <v>137686.9908023274</v>
      </c>
      <c r="AE1042" s="168">
        <f t="shared" si="1908"/>
        <v>9.9278414201428425E-2</v>
      </c>
      <c r="AF1042" s="163"/>
      <c r="AG1042" s="163"/>
      <c r="AH1042" s="163"/>
      <c r="AI1042" s="163"/>
      <c r="AJ1042" s="116">
        <f t="shared" si="1909"/>
        <v>388.45798587179223</v>
      </c>
      <c r="AK1042" s="114">
        <f>+AV1042/$AX$17</f>
        <v>9.9247064106107626E-3</v>
      </c>
      <c r="AL1042" s="115">
        <f t="shared" si="1897"/>
        <v>0.17248708134869351</v>
      </c>
      <c r="AM1042" s="115">
        <f t="shared" si="1898"/>
        <v>0.24979350993582558</v>
      </c>
      <c r="AN1042" s="115">
        <f t="shared" si="1899"/>
        <v>0.57771940871548089</v>
      </c>
      <c r="AO1042" s="115">
        <f t="shared" si="1901"/>
        <v>4.9937917380215108E-2</v>
      </c>
      <c r="AP1042" s="166">
        <f t="shared" si="1912"/>
        <v>122.30395296771918</v>
      </c>
      <c r="AQ1042" s="168">
        <f t="shared" si="1913"/>
        <v>4.9937917380215066E-2</v>
      </c>
      <c r="AR1042" s="69">
        <f>+AD1042/$AF$17</f>
        <v>1.2875123437289306E-2</v>
      </c>
      <c r="AS1042" s="169">
        <f t="shared" si="1911"/>
        <v>6.4295685047142395E-4</v>
      </c>
      <c r="AT1042" s="115"/>
      <c r="AU1042" s="115"/>
      <c r="AV1042" s="113">
        <f>IFERROR(INDEX('Total Customers'!$F$7:$AB$91,MATCH($C1042,'Total Customers'!$D$7:$D$91,0),MATCH($G1042,'Total Customers'!$F$5:$AB$5,0)),"NA")</f>
        <v>354445</v>
      </c>
      <c r="AW1042" s="68">
        <f t="shared" si="1875"/>
        <v>1.589395623286707E-2</v>
      </c>
      <c r="AX1042" s="114"/>
      <c r="AY1042" s="114"/>
      <c r="AZ1042" s="116">
        <v>8485072</v>
      </c>
      <c r="BA1042" s="116"/>
      <c r="BB1042" s="166"/>
      <c r="BC1042" s="166"/>
      <c r="BD1042" s="166"/>
      <c r="BE1042" s="166"/>
      <c r="BF1042" s="166"/>
      <c r="BG1042" s="166"/>
      <c r="BH1042" s="166"/>
      <c r="BI1042" s="113"/>
      <c r="BJ1042" s="113"/>
      <c r="BK1042" s="113">
        <f>INDEX('Dist. Plant Gas Additions'!$F$7:$AE$91,MATCH($C1042,'Dist. Plant Gas Additions'!$D$7:$D$91,0),MATCH(Calculation!$G1042,'Dist. Plant Gas Additions'!$F$5:$AE$5,0))</f>
        <v>130046</v>
      </c>
      <c r="BL1042" s="113">
        <f>INDEX('Gen. Plant Additions'!$F$7:$AE$91,MATCH($C1042,'Gen. Plant Additions'!$D$7:$D$91,0),MATCH(Calculation!$G1042,'Gen. Plant Additions'!$F$5:$AE$5,0))</f>
        <v>8035</v>
      </c>
      <c r="BM1042" s="231">
        <f t="shared" si="1876"/>
        <v>0.96229950443374113</v>
      </c>
      <c r="BN1042" s="61">
        <f t="shared" si="1873"/>
        <v>7732.0765181251099</v>
      </c>
      <c r="BO1042" s="113">
        <f>INDEX('Dist Plant Depreciation'!$E$7:$AD$94,MATCH($C1042,'Dist Plant Depreciation'!$D$7:$D$94,0),MATCH(Calculation!$G1042,'Dist Plant Depreciation'!$E$5:$AD$5,0))</f>
        <v>286695</v>
      </c>
      <c r="BP1042" s="113">
        <f>INDEX('Gen. Plant Depreciation'!$E$7:$AD$94,MATCH($C1042,'Gen. Plant Depreciation'!$D$7:$D$94,0),MATCH(Calculation!$G1042,'Gen. Plant Depreciation'!$E$5:$AD$5,0))</f>
        <v>19523</v>
      </c>
      <c r="BQ1042" s="113"/>
      <c r="BR1042" s="113"/>
      <c r="BS1042" s="113"/>
      <c r="BT1042" s="113"/>
      <c r="BU1042" s="113"/>
      <c r="BV1042" s="175"/>
      <c r="BW1042" s="113">
        <f>INDEX('Gross Dx Plant'!$E$7:$AD$91,MATCH($C1042,'Gross Dx Plant'!$D$7:$D$91,0),MATCH(Calculation!$G1042,'Gross Dx Plant'!$E$5:$AD$5,0))</f>
        <v>1299853</v>
      </c>
      <c r="BX1042" s="113">
        <f>INDEX('Gross Gen Plant'!$E$7:$AD$91,MATCH($C1042,'Gross Gen Plant'!$D$7:$D$91,0),MATCH(Calculation!$G1042,'Gross Gen Plant'!$E$5:$AD$5,0))</f>
        <v>50925</v>
      </c>
      <c r="BY1042" s="113">
        <f t="shared" si="1868"/>
        <v>1044560</v>
      </c>
      <c r="BZ1042" s="113"/>
      <c r="CA1042" s="116">
        <v>2012</v>
      </c>
      <c r="CB1042" s="113"/>
      <c r="CC1042" s="113"/>
      <c r="CD1042" s="113"/>
      <c r="CE1042" s="175"/>
      <c r="CF1042" s="113">
        <f t="shared" si="1877"/>
        <v>138081</v>
      </c>
      <c r="CG1042" s="113">
        <f t="shared" si="1878"/>
        <v>206.42399678918557</v>
      </c>
      <c r="CH1042" s="178">
        <v>0.9135802469135802</v>
      </c>
      <c r="CI1042" s="61">
        <f>+CI1028*CH1042+CG1029*CH1041+CG1030*CH1040+CG1031*CH1039+CG1032*CH1038+CG1033*CH1037+CG1034*CH1036+CG1035*CH1035+CG1036*CH1034+CG1037*CH1033+CG1038*CH1032+CG1039*CH1031+CG1040*CH1030+CG1041*CH1029+CG1042</f>
        <v>3691.1033701149604</v>
      </c>
      <c r="CJ1042" s="114">
        <f t="shared" si="1879"/>
        <v>5.0123040363235713E-2</v>
      </c>
      <c r="CK1042" s="114"/>
      <c r="CL1042" s="169">
        <f t="shared" si="1880"/>
        <v>7.3988440077753705E-3</v>
      </c>
      <c r="CM1042" s="169">
        <f t="shared" si="1889"/>
        <v>7.1984820324189208E-3</v>
      </c>
      <c r="CN1042" s="114">
        <f>VLOOKUP($H1042,RoR!$E:$F,2,FALSE)</f>
        <v>3.6733333333333333E-2</v>
      </c>
      <c r="CO1042" s="169">
        <v>1.924331376386168E-2</v>
      </c>
      <c r="CP1042" s="169">
        <f t="shared" si="1887"/>
        <v>1.7490019569471653E-2</v>
      </c>
      <c r="CQ1042" s="169">
        <f t="shared" si="1890"/>
        <v>2.3703459576114704E-2</v>
      </c>
      <c r="CR1042" s="169">
        <f t="shared" si="1891"/>
        <v>6.7122682943869583E-2</v>
      </c>
      <c r="CS1042" s="179">
        <f t="shared" si="1881"/>
        <v>0.84885500000000003</v>
      </c>
      <c r="CT1042" s="180">
        <f t="shared" si="1882"/>
        <v>1.3960631020522127</v>
      </c>
      <c r="CU1042" s="180">
        <f t="shared" si="1883"/>
        <v>0.29441923774954631</v>
      </c>
      <c r="CV1042" s="180">
        <f t="shared" si="1884"/>
        <v>0.76377954189366437</v>
      </c>
      <c r="CW1042" s="180">
        <f t="shared" si="1885"/>
        <v>0.31393465103033691</v>
      </c>
      <c r="CX1042" s="181">
        <f>INDEX('State Tax Lookup'!$D$7:$Z$91,MATCH(Calculation!$C1042,'State Tax Lookup'!$B$7:$B$91,0),MATCH($H1042,'State Tax Lookup'!$D$6:$Z$6,0))</f>
        <v>0.40849999999999997</v>
      </c>
      <c r="CY1042" s="72">
        <v>0.37</v>
      </c>
      <c r="CZ1042" s="70">
        <f t="shared" si="1888"/>
        <v>22.658012833007515</v>
      </c>
      <c r="DA1042" s="70">
        <v>20.759737328210988</v>
      </c>
      <c r="DB1042" s="69">
        <f t="shared" si="1892"/>
        <v>7.8520002988187468E-2</v>
      </c>
      <c r="DC1042" s="111">
        <f>VLOOKUP($H1042,RoR!$E:$F,2,FALSE)</f>
        <v>3.6733333333333333E-2</v>
      </c>
      <c r="DD1042" s="216">
        <f>HLOOKUP($H1042,'GDP-PI'!$D$8:$CQ$11,3,FALSE)</f>
        <v>1.924331376386168E-2</v>
      </c>
      <c r="DE1042" s="111">
        <f>VLOOKUP(H1042,'HW Dx Data'!$E:$F,2,FALSE)</f>
        <v>668.91932211262167</v>
      </c>
      <c r="DF1042" s="72">
        <f t="shared" si="1902"/>
        <v>124.80000000000001</v>
      </c>
      <c r="DG1042" s="69">
        <f t="shared" si="1903"/>
        <v>3.1955502161869064E-2</v>
      </c>
      <c r="DH1042" s="66">
        <f>HLOOKUP(H1042,'GDP-PI'!$8:$9,2,FALSE)</f>
        <v>100</v>
      </c>
      <c r="DI1042" s="69">
        <f t="shared" si="1893"/>
        <v>1.9060502738742411E-2</v>
      </c>
      <c r="EB1042"/>
    </row>
    <row r="1043" spans="1:132" s="160" customFormat="1" ht="21">
      <c r="A1043" s="160" t="s">
        <v>222</v>
      </c>
      <c r="B1043" s="160" t="s">
        <v>222</v>
      </c>
      <c r="C1043" s="160">
        <v>4063023</v>
      </c>
      <c r="D1043" s="161" t="s">
        <v>196</v>
      </c>
      <c r="E1043" s="161" t="s">
        <v>3</v>
      </c>
      <c r="F1043" s="189"/>
      <c r="G1043" s="160" t="s">
        <v>129</v>
      </c>
      <c r="H1043" s="162">
        <v>2013</v>
      </c>
      <c r="I1043" s="163"/>
      <c r="J1043" s="159">
        <f>IFERROR(INDEX('Labor Expenditures'!$F$7:$X$91,MATCH($C1043,'Labor Expenditures'!$D$7:$D$91,0),MATCH($G1043,'Labor Expenditures'!$F$5:$X$5,0)),"NA")</f>
        <v>24119.711213013023</v>
      </c>
      <c r="K1043" s="159">
        <f t="shared" si="1894"/>
        <v>190.21854268937716</v>
      </c>
      <c r="L1043" s="165">
        <f t="shared" si="1900"/>
        <v>-4.1917750253621724E-4</v>
      </c>
      <c r="M1043" s="76">
        <f t="shared" si="1904"/>
        <v>-5.3427867648775606E-6</v>
      </c>
      <c r="N1043" s="62">
        <f t="shared" si="1910"/>
        <v>107.44894020501718</v>
      </c>
      <c r="O1043" s="96">
        <f t="shared" si="1905"/>
        <v>-8.886556216981599E-2</v>
      </c>
      <c r="P1043" s="96"/>
      <c r="Q1043" s="159">
        <f>IFERROR(INDEX('Non-Labor Expenditures'!$F$7:$AB$91,MATCH($C1043,'Non-Labor Expenditures'!$D$7:$D$91,0),MATCH($G1043,'Non-Labor Expenditures'!$F$5:$AB$5,0)),"NA")</f>
        <v>34929.846777088213</v>
      </c>
      <c r="R1043" s="159">
        <f t="shared" si="1895"/>
        <v>343.21329603223069</v>
      </c>
      <c r="S1043" s="165">
        <f t="shared" si="1906"/>
        <v>-2.0952484512481505E-3</v>
      </c>
      <c r="T1043" s="165">
        <f t="shared" si="1907"/>
        <v>-2.6705788423107501E-5</v>
      </c>
      <c r="U1043" s="165"/>
      <c r="V1043" s="165"/>
      <c r="W1043" s="159">
        <f t="shared" si="1874"/>
        <v>82317.9896232069</v>
      </c>
      <c r="X1043" s="163"/>
      <c r="Y1043" s="167">
        <v>3865.069474074654</v>
      </c>
      <c r="Z1043" s="168">
        <v>4.6054227411565188E-2</v>
      </c>
      <c r="AA1043" s="76">
        <f t="shared" si="1896"/>
        <v>5.8700172407251806E-4</v>
      </c>
      <c r="AB1043" s="168"/>
      <c r="AC1043" s="168"/>
      <c r="AD1043" s="163">
        <f t="shared" si="1886"/>
        <v>141367.54761330812</v>
      </c>
      <c r="AE1043" s="168">
        <f t="shared" si="1908"/>
        <v>2.6380293093380573E-2</v>
      </c>
      <c r="AF1043" s="163"/>
      <c r="AG1043" s="163"/>
      <c r="AH1043" s="163"/>
      <c r="AI1043" s="163"/>
      <c r="AJ1043" s="116">
        <f t="shared" si="1909"/>
        <v>393.00421899115435</v>
      </c>
      <c r="AK1043" s="114">
        <f>+AV1043/$AX$18</f>
        <v>1.0007937127974948E-2</v>
      </c>
      <c r="AL1043" s="115">
        <f t="shared" si="1897"/>
        <v>0.17061703071336601</v>
      </c>
      <c r="AM1043" s="115">
        <f t="shared" si="1898"/>
        <v>0.2470853273385919</v>
      </c>
      <c r="AN1043" s="115">
        <f t="shared" si="1899"/>
        <v>0.58229764194804223</v>
      </c>
      <c r="AO1043" s="115">
        <f t="shared" si="1901"/>
        <v>2.611939145674487E-2</v>
      </c>
      <c r="AP1043" s="166">
        <f t="shared" si="1912"/>
        <v>125.54054266449749</v>
      </c>
      <c r="AQ1043" s="168">
        <f t="shared" si="1913"/>
        <v>2.6119391456744894E-2</v>
      </c>
      <c r="AR1043" s="69">
        <f>+AD1043/$AF$18</f>
        <v>1.2745881476346503E-2</v>
      </c>
      <c r="AS1043" s="169">
        <f t="shared" si="1911"/>
        <v>3.3291466774196786E-4</v>
      </c>
      <c r="AT1043" s="115"/>
      <c r="AU1043" s="115"/>
      <c r="AV1043" s="113">
        <f>IFERROR(INDEX('Total Customers'!$F$7:$AB$91,MATCH($C1043,'Total Customers'!$D$7:$D$91,0),MATCH($G1043,'Total Customers'!$F$5:$AB$5,0)),"NA")</f>
        <v>359710</v>
      </c>
      <c r="AW1043" s="68">
        <f t="shared" si="1875"/>
        <v>1.4744965420809572E-2</v>
      </c>
      <c r="AX1043" s="114"/>
      <c r="AY1043" s="114"/>
      <c r="AZ1043" s="116">
        <v>8534921</v>
      </c>
      <c r="BA1043" s="116"/>
      <c r="BB1043" s="166"/>
      <c r="BC1043" s="166"/>
      <c r="BD1043" s="166"/>
      <c r="BE1043" s="166"/>
      <c r="BF1043" s="166"/>
      <c r="BG1043" s="166"/>
      <c r="BH1043" s="166"/>
      <c r="BI1043" s="113"/>
      <c r="BJ1043" s="113"/>
      <c r="BK1043" s="113">
        <f>INDEX('Dist. Plant Gas Additions'!$F$7:$AE$91,MATCH($C1043,'Dist. Plant Gas Additions'!$D$7:$D$91,0),MATCH(Calculation!$G1043,'Dist. Plant Gas Additions'!$F$5:$AE$5,0))</f>
        <v>126662</v>
      </c>
      <c r="BL1043" s="113">
        <f>INDEX('Gen. Plant Additions'!$F$7:$AE$91,MATCH($C1043,'Gen. Plant Additions'!$D$7:$D$91,0),MATCH(Calculation!$G1043,'Gen. Plant Additions'!$F$5:$AE$5,0))</f>
        <v>7254</v>
      </c>
      <c r="BM1043" s="231">
        <f t="shared" si="1876"/>
        <v>0.96386241587927401</v>
      </c>
      <c r="BN1043" s="61">
        <f t="shared" si="1873"/>
        <v>6991.8579647882534</v>
      </c>
      <c r="BO1043" s="113">
        <f>INDEX('Dist Plant Depreciation'!$E$7:$AD$94,MATCH($C1043,'Dist Plant Depreciation'!$D$7:$D$94,0),MATCH(Calculation!$G1043,'Dist Plant Depreciation'!$E$5:$AD$5,0))</f>
        <v>300958</v>
      </c>
      <c r="BP1043" s="113">
        <f>INDEX('Gen. Plant Depreciation'!$E$7:$AD$94,MATCH($C1043,'Gen. Plant Depreciation'!$D$7:$D$94,0),MATCH(Calculation!$G1043,'Gen. Plant Depreciation'!$E$5:$AD$5,0))</f>
        <v>19148</v>
      </c>
      <c r="BQ1043" s="113"/>
      <c r="BR1043" s="113"/>
      <c r="BS1043" s="113"/>
      <c r="BT1043" s="113"/>
      <c r="BU1043" s="113"/>
      <c r="BV1043" s="175"/>
      <c r="BW1043" s="113">
        <f>INDEX('Gross Dx Plant'!$E$7:$AD$91,MATCH($C1043,'Gross Dx Plant'!$D$7:$D$91,0),MATCH(Calculation!$G1043,'Gross Dx Plant'!$E$5:$AD$5,0))</f>
        <v>1417938</v>
      </c>
      <c r="BX1043" s="113">
        <f>INDEX('Gross Gen Plant'!$E$7:$AD$91,MATCH($C1043,'Gross Gen Plant'!$D$7:$D$91,0),MATCH(Calculation!$G1043,'Gross Gen Plant'!$E$5:$AD$5,0))</f>
        <v>53162</v>
      </c>
      <c r="BY1043" s="113">
        <f t="shared" si="1868"/>
        <v>1150994</v>
      </c>
      <c r="BZ1043" s="113"/>
      <c r="CA1043" s="116">
        <v>2013</v>
      </c>
      <c r="CB1043" s="113"/>
      <c r="CC1043" s="113"/>
      <c r="CD1043" s="113"/>
      <c r="CE1043" s="175"/>
      <c r="CF1043" s="113">
        <f t="shared" si="1877"/>
        <v>133916</v>
      </c>
      <c r="CG1043" s="113">
        <f t="shared" si="1878"/>
        <v>201.90926791814158</v>
      </c>
      <c r="CH1043" s="178">
        <v>0.90566037735849059</v>
      </c>
      <c r="CI1043" s="61">
        <f>+CI1028*CH1043+CG1029*CH1042+CG1030*CH1041+CG1031*CH1040+CG1032*CH1039+CG1033*CH1038+CG1034*CH1037+CG1035*CH1036+CG1036*CH1035+CG1037*CH1034+CG1038*CH1033+CG1039*CH1032+CG1040*CH1031+CG1041*CH1030+CG1042*CH1029+CG1043</f>
        <v>3865.069474074654</v>
      </c>
      <c r="CJ1043" s="114">
        <f t="shared" si="1879"/>
        <v>4.6054227411565188E-2</v>
      </c>
      <c r="CK1043" s="114"/>
      <c r="CL1043" s="169">
        <f t="shared" si="1880"/>
        <v>7.5704094837034403E-3</v>
      </c>
      <c r="CM1043" s="169">
        <f t="shared" si="1889"/>
        <v>7.3908551696049837E-3</v>
      </c>
      <c r="CN1043" s="114">
        <f>VLOOKUP($H1043,RoR!$E:$F,2,FALSE)</f>
        <v>4.2350000000000006E-2</v>
      </c>
      <c r="CO1043" s="169">
        <v>1.7730000000000024E-2</v>
      </c>
      <c r="CP1043" s="169">
        <f t="shared" si="1887"/>
        <v>2.4619999999999982E-2</v>
      </c>
      <c r="CQ1043" s="169">
        <f t="shared" si="1890"/>
        <v>2.351108643892864E-2</v>
      </c>
      <c r="CR1043" s="169">
        <f t="shared" si="1891"/>
        <v>5.3376742735721204E-2</v>
      </c>
      <c r="CS1043" s="179">
        <f t="shared" si="1881"/>
        <v>0.84885500000000003</v>
      </c>
      <c r="CT1043" s="180">
        <f t="shared" si="1882"/>
        <v>1.2109103018193925</v>
      </c>
      <c r="CU1043" s="180">
        <f t="shared" si="1883"/>
        <v>0.38468122786304604</v>
      </c>
      <c r="CV1043" s="180">
        <f t="shared" si="1884"/>
        <v>0.80969194503422559</v>
      </c>
      <c r="CW1043" s="180">
        <f t="shared" si="1885"/>
        <v>0.37716621754800816</v>
      </c>
      <c r="CX1043" s="181">
        <f>INDEX('State Tax Lookup'!$D$7:$Z$91,MATCH(Calculation!$C1043,'State Tax Lookup'!$B$7:$B$91,0),MATCH($H1043,'State Tax Lookup'!$D$6:$Z$6,0))</f>
        <v>0.40849999999999997</v>
      </c>
      <c r="CY1043" s="72">
        <v>0.37</v>
      </c>
      <c r="CZ1043" s="70">
        <f t="shared" si="1888"/>
        <v>22.301729691369516</v>
      </c>
      <c r="DA1043" s="70">
        <v>20.339519021246105</v>
      </c>
      <c r="DB1043" s="69">
        <f t="shared" si="1892"/>
        <v>-1.5849316736292609E-2</v>
      </c>
      <c r="DC1043" s="111">
        <f>VLOOKUP($H1043,RoR!$E:$F,2,FALSE)</f>
        <v>4.2350000000000006E-2</v>
      </c>
      <c r="DD1043" s="216">
        <f>HLOOKUP($H1043,'GDP-PI'!$D$8:$CQ$11,3,FALSE)</f>
        <v>1.7730000000000024E-2</v>
      </c>
      <c r="DE1043" s="111">
        <f>VLOOKUP(H1043,'HW Dx Data'!$E:$F,2,FALSE)</f>
        <v>663.24840548821396</v>
      </c>
      <c r="DF1043" s="72">
        <f t="shared" si="1902"/>
        <v>126.8</v>
      </c>
      <c r="DG1043" s="69">
        <f t="shared" si="1903"/>
        <v>1.5898586067798204E-2</v>
      </c>
      <c r="DH1043" s="66">
        <f>HLOOKUP(H1043,'GDP-PI'!$8:$9,2,FALSE)</f>
        <v>101.773</v>
      </c>
      <c r="DI1043" s="69">
        <f t="shared" si="1893"/>
        <v>1.7574657016510519E-2</v>
      </c>
      <c r="EB1043"/>
    </row>
    <row r="1044" spans="1:132" s="160" customFormat="1" ht="21">
      <c r="A1044" s="160" t="s">
        <v>222</v>
      </c>
      <c r="B1044" s="160" t="s">
        <v>222</v>
      </c>
      <c r="C1044" s="160">
        <v>4063023</v>
      </c>
      <c r="D1044" s="161" t="s">
        <v>196</v>
      </c>
      <c r="E1044" s="161" t="s">
        <v>3</v>
      </c>
      <c r="F1044" s="189"/>
      <c r="G1044" s="160" t="s">
        <v>130</v>
      </c>
      <c r="H1044" s="162">
        <v>2014</v>
      </c>
      <c r="I1044" s="163"/>
      <c r="J1044" s="159">
        <f>IFERROR(INDEX('Labor Expenditures'!$F$7:$X$91,MATCH($C1044,'Labor Expenditures'!$D$7:$D$91,0),MATCH($G1044,'Labor Expenditures'!$F$5:$X$5,0)),"NA")</f>
        <v>25078.813155402575</v>
      </c>
      <c r="K1044" s="159">
        <f t="shared" si="1894"/>
        <v>193.80844787791787</v>
      </c>
      <c r="L1044" s="165">
        <f t="shared" si="1900"/>
        <v>1.8696653368120854E-2</v>
      </c>
      <c r="M1044" s="76">
        <f t="shared" si="1904"/>
        <v>2.4591831300350492E-4</v>
      </c>
      <c r="N1044" s="62">
        <f t="shared" si="1910"/>
        <v>121.39531205921062</v>
      </c>
      <c r="O1044" s="96">
        <f t="shared" si="1905"/>
        <v>0.12203650232816139</v>
      </c>
      <c r="P1044" s="96"/>
      <c r="Q1044" s="159">
        <f>IFERROR(INDEX('Non-Labor Expenditures'!$F$7:$AB$91,MATCH($C1044,'Non-Labor Expenditures'!$D$7:$D$91,0),MATCH($G1044,'Non-Labor Expenditures'!$F$5:$AB$5,0)),"NA")</f>
        <v>36318.805525201256</v>
      </c>
      <c r="R1044" s="159">
        <f t="shared" si="1895"/>
        <v>350.40865172365102</v>
      </c>
      <c r="S1044" s="165">
        <f t="shared" si="1906"/>
        <v>2.0747941533539583E-2</v>
      </c>
      <c r="T1044" s="165">
        <f t="shared" si="1907"/>
        <v>2.7289904132913944E-4</v>
      </c>
      <c r="U1044" s="165"/>
      <c r="V1044" s="165"/>
      <c r="W1044" s="159">
        <f t="shared" si="1874"/>
        <v>88346.634112518223</v>
      </c>
      <c r="X1044" s="163"/>
      <c r="Y1044" s="167">
        <v>4331.8556189923565</v>
      </c>
      <c r="Z1044" s="168">
        <v>0.11401634257533287</v>
      </c>
      <c r="AA1044" s="76">
        <f t="shared" si="1896"/>
        <v>1.4996644623450942E-3</v>
      </c>
      <c r="AB1044" s="168"/>
      <c r="AC1044" s="168"/>
      <c r="AD1044" s="163">
        <f t="shared" si="1886"/>
        <v>149744.25279312205</v>
      </c>
      <c r="AE1044" s="168">
        <f t="shared" si="1908"/>
        <v>5.756563814577647E-2</v>
      </c>
      <c r="AF1044" s="163"/>
      <c r="AG1044" s="163"/>
      <c r="AH1044" s="163"/>
      <c r="AI1044" s="163"/>
      <c r="AJ1044" s="116">
        <f t="shared" si="1909"/>
        <v>411.41582697925958</v>
      </c>
      <c r="AK1044" s="114">
        <f>+AV1044/$AX$19</f>
        <v>1.0072430018400153E-2</v>
      </c>
      <c r="AL1044" s="115">
        <f t="shared" si="1897"/>
        <v>0.16747763394999876</v>
      </c>
      <c r="AM1044" s="115">
        <f t="shared" si="1898"/>
        <v>0.24253889446680271</v>
      </c>
      <c r="AN1044" s="115">
        <f t="shared" si="1899"/>
        <v>0.58998347158319853</v>
      </c>
      <c r="AO1044" s="115">
        <f t="shared" si="1901"/>
        <v>7.506956925660789E-2</v>
      </c>
      <c r="AP1044" s="166">
        <f t="shared" si="1912"/>
        <v>135.32757554286968</v>
      </c>
      <c r="AQ1044" s="168">
        <f t="shared" si="1913"/>
        <v>7.506956925660789E-2</v>
      </c>
      <c r="AR1044" s="69">
        <f>+AD1044/$AF$19</f>
        <v>1.3153065854171177E-2</v>
      </c>
      <c r="AS1044" s="169">
        <f t="shared" si="1911"/>
        <v>9.8739498807642748E-4</v>
      </c>
      <c r="AT1044" s="115"/>
      <c r="AU1044" s="115"/>
      <c r="AV1044" s="113">
        <f>IFERROR(INDEX('Total Customers'!$F$7:$AB$91,MATCH($C1044,'Total Customers'!$D$7:$D$91,0),MATCH($G1044,'Total Customers'!$F$5:$AB$5,0)),"NA")</f>
        <v>363973</v>
      </c>
      <c r="AW1044" s="68">
        <f t="shared" si="1875"/>
        <v>1.1781537801031E-2</v>
      </c>
      <c r="AX1044" s="114"/>
      <c r="AY1044" s="114"/>
      <c r="AZ1044" s="116">
        <v>8599754</v>
      </c>
      <c r="BA1044" s="116"/>
      <c r="BB1044" s="166"/>
      <c r="BC1044" s="166"/>
      <c r="BD1044" s="166"/>
      <c r="BE1044" s="166"/>
      <c r="BF1044" s="166"/>
      <c r="BG1044" s="166"/>
      <c r="BH1044" s="166"/>
      <c r="BI1044" s="113"/>
      <c r="BJ1044" s="113"/>
      <c r="BK1044" s="113">
        <f>INDEX('Dist. Plant Gas Additions'!$F$7:$AE$91,MATCH($C1044,'Dist. Plant Gas Additions'!$D$7:$D$91,0),MATCH(Calculation!$G1044,'Dist. Plant Gas Additions'!$F$5:$AE$5,0))</f>
        <v>142763</v>
      </c>
      <c r="BL1044" s="113">
        <f>INDEX('Gen. Plant Additions'!$F$7:$AE$91,MATCH($C1044,'Gen. Plant Additions'!$D$7:$D$91,0),MATCH(Calculation!$G1044,'Gen. Plant Additions'!$F$5:$AE$5,0))</f>
        <v>197253</v>
      </c>
      <c r="BM1044" s="231">
        <f t="shared" si="1876"/>
        <v>0.9372618172852728</v>
      </c>
      <c r="BN1044" s="61">
        <f t="shared" si="1873"/>
        <v>184877.7052449719</v>
      </c>
      <c r="BO1044" s="113">
        <f>INDEX('Dist Plant Depreciation'!$E$7:$AD$94,MATCH($C1044,'Dist Plant Depreciation'!$D$7:$D$94,0),MATCH(Calculation!$G1044,'Dist Plant Depreciation'!$E$5:$AD$5,0))</f>
        <v>312399</v>
      </c>
      <c r="BP1044" s="113">
        <f>INDEX('Gen. Plant Depreciation'!$E$7:$AD$94,MATCH($C1044,'Gen. Plant Depreciation'!$D$7:$D$94,0),MATCH(Calculation!$G1044,'Gen. Plant Depreciation'!$E$5:$AD$5,0))</f>
        <v>24046</v>
      </c>
      <c r="BQ1044" s="113"/>
      <c r="BR1044" s="113"/>
      <c r="BS1044" s="113"/>
      <c r="BT1044" s="113"/>
      <c r="BU1044" s="113"/>
      <c r="BV1044" s="175"/>
      <c r="BW1044" s="113">
        <f>INDEX('Gross Dx Plant'!$E$7:$AD$91,MATCH($C1044,'Gross Dx Plant'!$D$7:$D$91,0),MATCH(Calculation!$G1044,'Gross Dx Plant'!$E$5:$AD$5,0))</f>
        <v>1547214</v>
      </c>
      <c r="BX1044" s="113">
        <f>INDEX('Gross Gen Plant'!$E$7:$AD$91,MATCH($C1044,'Gross Gen Plant'!$D$7:$D$91,0),MATCH(Calculation!$G1044,'Gross Gen Plant'!$E$5:$AD$5,0))</f>
        <v>103567</v>
      </c>
      <c r="BY1044" s="113">
        <f t="shared" si="1868"/>
        <v>1314336</v>
      </c>
      <c r="BZ1044" s="113"/>
      <c r="CA1044" s="116">
        <v>2014</v>
      </c>
      <c r="CB1044" s="113"/>
      <c r="CC1044" s="113"/>
      <c r="CD1044" s="113"/>
      <c r="CE1044" s="175"/>
      <c r="CF1044" s="113">
        <f t="shared" si="1877"/>
        <v>340016</v>
      </c>
      <c r="CG1044" s="113">
        <f t="shared" si="1878"/>
        <v>496.75869767338918</v>
      </c>
      <c r="CH1044" s="178">
        <v>0.89743589743589747</v>
      </c>
      <c r="CI1044" s="61">
        <f>+CI1028*CH1044+CG1029*CH1043+CG1030*CH1042+CG1031*CH1041+CG1032*CH1040+CG1033*CH1039+CG1034*CH1038+CG1035*CH1037+CG1036*CH1036+CG1037*CH1035+CG1038*CH1034+CG1039*CH1033+CG1040*CH1032+CG1041*CH1031+CG1042*CH1030+CG1043*CH1029+CG1044</f>
        <v>4331.8556189923565</v>
      </c>
      <c r="CJ1044" s="114">
        <f t="shared" si="1879"/>
        <v>0.11401634257533287</v>
      </c>
      <c r="CK1044" s="114"/>
      <c r="CL1044" s="169">
        <f t="shared" si="1880"/>
        <v>7.7547254859791099E-3</v>
      </c>
      <c r="CM1044" s="169">
        <f t="shared" si="1889"/>
        <v>7.5746596591526397E-3</v>
      </c>
      <c r="CN1044" s="114">
        <f>VLOOKUP($H1044,RoR!$E:$F,2,FALSE)</f>
        <v>4.1625000000000002E-2</v>
      </c>
      <c r="CO1044" s="169">
        <v>1.841352814597208E-2</v>
      </c>
      <c r="CP1044" s="169">
        <f t="shared" si="1887"/>
        <v>2.3211471854027922E-2</v>
      </c>
      <c r="CQ1044" s="169">
        <f t="shared" si="1890"/>
        <v>2.3327281949380985E-2</v>
      </c>
      <c r="CR1044" s="169">
        <f t="shared" si="1891"/>
        <v>3.9072621432650924E-2</v>
      </c>
      <c r="CS1044" s="179">
        <f t="shared" si="1881"/>
        <v>0.84885500000000003</v>
      </c>
      <c r="CT1044" s="180">
        <f t="shared" si="1882"/>
        <v>1.2320012320012319</v>
      </c>
      <c r="CU1044" s="180">
        <f t="shared" si="1883"/>
        <v>0.37439939939939942</v>
      </c>
      <c r="CV1044" s="180">
        <f t="shared" si="1884"/>
        <v>0.80432100613819935</v>
      </c>
      <c r="CW1044" s="180">
        <f t="shared" si="1885"/>
        <v>0.37100152660040037</v>
      </c>
      <c r="CX1044" s="181">
        <f>INDEX('State Tax Lookup'!$D$7:$Z$91,MATCH(Calculation!$C1044,'State Tax Lookup'!$B$7:$B$91,0),MATCH($H1044,'State Tax Lookup'!$D$6:$Z$6,0))</f>
        <v>0.40849999999999997</v>
      </c>
      <c r="CY1044" s="72">
        <v>0.37</v>
      </c>
      <c r="CZ1044" s="70">
        <f t="shared" si="1888"/>
        <v>22.857709209397722</v>
      </c>
      <c r="DA1044" s="70">
        <v>20.763592984765573</v>
      </c>
      <c r="DB1044" s="69">
        <f t="shared" si="1892"/>
        <v>2.4624203689199906E-2</v>
      </c>
      <c r="DC1044" s="111">
        <f>VLOOKUP($H1044,RoR!$E:$F,2,FALSE)</f>
        <v>4.1625000000000002E-2</v>
      </c>
      <c r="DD1044" s="216">
        <f>HLOOKUP($H1044,'GDP-PI'!$D$8:$CQ$11,3,FALSE)</f>
        <v>1.841352814597208E-2</v>
      </c>
      <c r="DE1044" s="111">
        <f>VLOOKUP(H1044,'HW Dx Data'!$E:$F,2,FALSE)</f>
        <v>684.46914285042885</v>
      </c>
      <c r="DF1044" s="72">
        <f t="shared" si="1902"/>
        <v>129.4</v>
      </c>
      <c r="DG1044" s="69">
        <f t="shared" si="1903"/>
        <v>2.0297340063674733E-2</v>
      </c>
      <c r="DH1044" s="66">
        <f>HLOOKUP(H1044,'GDP-PI'!$8:$9,2,FALSE)</f>
        <v>103.64700000000001</v>
      </c>
      <c r="DI1044" s="69">
        <f t="shared" si="1893"/>
        <v>1.8246051898256087E-2</v>
      </c>
      <c r="EB1044"/>
    </row>
    <row r="1045" spans="1:132" s="160" customFormat="1" ht="21">
      <c r="A1045" s="160" t="s">
        <v>222</v>
      </c>
      <c r="B1045" s="160" t="s">
        <v>222</v>
      </c>
      <c r="C1045" s="160">
        <v>4063023</v>
      </c>
      <c r="D1045" s="161" t="s">
        <v>196</v>
      </c>
      <c r="E1045" s="161" t="s">
        <v>3</v>
      </c>
      <c r="F1045" s="189"/>
      <c r="G1045" s="160" t="s">
        <v>132</v>
      </c>
      <c r="H1045" s="162">
        <v>2015</v>
      </c>
      <c r="I1045" s="163"/>
      <c r="J1045" s="159">
        <f>IFERROR(INDEX('Labor Expenditures'!$F$7:$X$91,MATCH($C1045,'Labor Expenditures'!$D$7:$D$91,0),MATCH($G1045,'Labor Expenditures'!$F$5:$X$5,0)),"NA")</f>
        <v>26551.324088750946</v>
      </c>
      <c r="K1045" s="159">
        <f t="shared" si="1894"/>
        <v>198.88632276217936</v>
      </c>
      <c r="L1045" s="165">
        <f t="shared" si="1900"/>
        <v>2.58631298943316E-2</v>
      </c>
      <c r="M1045" s="76">
        <f t="shared" si="1904"/>
        <v>3.6547279564135032E-4</v>
      </c>
      <c r="N1045" s="62">
        <f t="shared" si="1910"/>
        <v>121.22224829227511</v>
      </c>
      <c r="O1045" s="96">
        <f t="shared" si="1905"/>
        <v>-1.4266386657076433E-3</v>
      </c>
      <c r="P1045" s="96"/>
      <c r="Q1045" s="159">
        <f>IFERROR(INDEX('Non-Labor Expenditures'!$F$7:$AB$91,MATCH($C1045,'Non-Labor Expenditures'!$D$7:$D$91,0),MATCH($G1045,'Non-Labor Expenditures'!$F$5:$AB$5,0)),"NA")</f>
        <v>38451.276383794946</v>
      </c>
      <c r="R1045" s="159">
        <f t="shared" si="1895"/>
        <v>367.46601538427302</v>
      </c>
      <c r="S1045" s="165">
        <f t="shared" si="1906"/>
        <v>4.753078948239272E-2</v>
      </c>
      <c r="T1045" s="165">
        <f t="shared" si="1907"/>
        <v>6.7165925323592758E-4</v>
      </c>
      <c r="U1045" s="165"/>
      <c r="V1045" s="165"/>
      <c r="W1045" s="159">
        <f t="shared" si="1874"/>
        <v>97466.392629911279</v>
      </c>
      <c r="X1045" s="163"/>
      <c r="Y1045" s="167">
        <v>4633.8226823530931</v>
      </c>
      <c r="Z1045" s="168">
        <v>6.7386161153837262E-2</v>
      </c>
      <c r="AA1045" s="76">
        <f t="shared" si="1896"/>
        <v>9.5223620671793169E-4</v>
      </c>
      <c r="AB1045" s="168"/>
      <c r="AC1045" s="168"/>
      <c r="AD1045" s="163">
        <f t="shared" si="1886"/>
        <v>162468.99310245717</v>
      </c>
      <c r="AE1045" s="168">
        <f t="shared" si="1908"/>
        <v>8.1558314303644283E-2</v>
      </c>
      <c r="AF1045" s="163"/>
      <c r="AG1045" s="163"/>
      <c r="AH1045" s="163"/>
      <c r="AI1045" s="163"/>
      <c r="AJ1045" s="116">
        <f t="shared" si="1909"/>
        <v>439.45695232525793</v>
      </c>
      <c r="AK1045" s="114">
        <f>+AV1045/$AX$20</f>
        <v>1.0147835649551074E-2</v>
      </c>
      <c r="AL1045" s="115">
        <f t="shared" si="1897"/>
        <v>0.16342394682046801</v>
      </c>
      <c r="AM1045" s="115">
        <f t="shared" si="1898"/>
        <v>0.23666839837892373</v>
      </c>
      <c r="AN1045" s="115">
        <f t="shared" si="1899"/>
        <v>0.59990765480060826</v>
      </c>
      <c r="AO1045" s="115">
        <f t="shared" si="1901"/>
        <v>5.5758723359201963E-2</v>
      </c>
      <c r="AP1045" s="166">
        <f t="shared" si="1912"/>
        <v>143.08760257852458</v>
      </c>
      <c r="AQ1045" s="168">
        <f t="shared" si="1913"/>
        <v>5.5758723359201956E-2</v>
      </c>
      <c r="AR1045" s="69">
        <f>+AD1045/$AF$20</f>
        <v>1.4131035073270489E-2</v>
      </c>
      <c r="AS1045" s="169">
        <f t="shared" si="1911"/>
        <v>7.8792847542966929E-4</v>
      </c>
      <c r="AT1045" s="115"/>
      <c r="AU1045" s="115"/>
      <c r="AV1045" s="113">
        <f>IFERROR(INDEX('Total Customers'!$F$7:$AB$91,MATCH($C1045,'Total Customers'!$D$7:$D$91,0),MATCH($G1045,'Total Customers'!$F$5:$AB$5,0)),"NA")</f>
        <v>369704</v>
      </c>
      <c r="AW1045" s="68">
        <f t="shared" si="1875"/>
        <v>1.5622996406098639E-2</v>
      </c>
      <c r="AX1045" s="114"/>
      <c r="AY1045" s="114"/>
      <c r="AZ1045" s="116">
        <v>8659109</v>
      </c>
      <c r="BA1045" s="116"/>
      <c r="BB1045" s="166"/>
      <c r="BC1045" s="166"/>
      <c r="BD1045" s="166"/>
      <c r="BE1045" s="166"/>
      <c r="BF1045" s="166"/>
      <c r="BG1045" s="166"/>
      <c r="BH1045" s="166"/>
      <c r="BI1045" s="113"/>
      <c r="BJ1045" s="113"/>
      <c r="BK1045" s="113">
        <f>INDEX('Dist. Plant Gas Additions'!$F$7:$AE$91,MATCH($C1045,'Dist. Plant Gas Additions'!$D$7:$D$91,0),MATCH(Calculation!$G1045,'Dist. Plant Gas Additions'!$F$5:$AE$5,0))</f>
        <v>161566</v>
      </c>
      <c r="BL1045" s="113">
        <f>INDEX('Gen. Plant Additions'!$F$7:$AE$91,MATCH($C1045,'Gen. Plant Additions'!$D$7:$D$91,0),MATCH(Calculation!$G1045,'Gen. Plant Additions'!$F$5:$AE$5,0))</f>
        <v>65119</v>
      </c>
      <c r="BM1045" s="231">
        <f t="shared" si="1876"/>
        <v>0.91217422674499327</v>
      </c>
      <c r="BN1045" s="61">
        <f>+BM1045*BL1045</f>
        <v>59399.87347140722</v>
      </c>
      <c r="BO1045" s="113">
        <f>INDEX('Dist Plant Depreciation'!$E$7:$AD$94,MATCH($C1045,'Dist Plant Depreciation'!$D$7:$D$94,0),MATCH(Calculation!$G1045,'Dist Plant Depreciation'!$E$5:$AD$5,0))</f>
        <v>329600</v>
      </c>
      <c r="BP1045" s="113">
        <f>INDEX('Gen. Plant Depreciation'!$E$7:$AD$94,MATCH($C1045,'Gen. Plant Depreciation'!$D$7:$D$94,0),MATCH(Calculation!$G1045,'Gen. Plant Depreciation'!$E$5:$AD$5,0))</f>
        <v>29423</v>
      </c>
      <c r="BQ1045" s="113"/>
      <c r="BR1045" s="113"/>
      <c r="BS1045" s="113"/>
      <c r="BT1045" s="113"/>
      <c r="BU1045" s="113"/>
      <c r="BV1045" s="175"/>
      <c r="BW1045" s="113">
        <f>INDEX('Gross Dx Plant'!$E$7:$AD$91,MATCH($C1045,'Gross Dx Plant'!$D$7:$D$91,0),MATCH(Calculation!$G1045,'Gross Dx Plant'!$E$5:$AD$5,0))</f>
        <v>1701682</v>
      </c>
      <c r="BX1045" s="113">
        <f>INDEX('Gross Gen Plant'!$E$7:$AD$91,MATCH($C1045,'Gross Gen Plant'!$D$7:$D$91,0),MATCH(Calculation!$G1045,'Gross Gen Plant'!$E$5:$AD$5,0))</f>
        <v>163841</v>
      </c>
      <c r="BY1045" s="113">
        <f t="shared" si="1868"/>
        <v>1506500</v>
      </c>
      <c r="BZ1045" s="113"/>
      <c r="CA1045" s="116">
        <v>2015</v>
      </c>
      <c r="CB1045" s="113"/>
      <c r="CC1045" s="113"/>
      <c r="CD1045" s="113"/>
      <c r="CE1045" s="175"/>
      <c r="CF1045" s="113">
        <f t="shared" si="1877"/>
        <v>226685</v>
      </c>
      <c r="CG1045" s="113">
        <f t="shared" si="1878"/>
        <v>335.52411226552607</v>
      </c>
      <c r="CH1045" s="178">
        <v>0.88888888888888884</v>
      </c>
      <c r="CI1045" s="61">
        <f>+CI1028*CH1045+CG1029*CH1044+CG1030*CH1043+CG1031*CH1042+CG1032*CH1041+CG1033*CH1040+CG1034*CH1039+CG1035*CH1038+CG1036*CH1037+CG1037*CH1036+CG1038*CH1035+CG1039*CH1034+CG1040*CH1033+CG1041*CH1032+CG1042*CH1031+CG1043*CH1030+CG1044*CH1029+CG1045</f>
        <v>4633.8226823530931</v>
      </c>
      <c r="CJ1045" s="114">
        <f t="shared" si="1879"/>
        <v>6.7386161153837262E-2</v>
      </c>
      <c r="CK1045" s="114"/>
      <c r="CL1045" s="169">
        <f t="shared" si="1880"/>
        <v>7.7465760302960615E-3</v>
      </c>
      <c r="CM1045" s="169">
        <f t="shared" si="1889"/>
        <v>7.6905703333262033E-3</v>
      </c>
      <c r="CN1045" s="114">
        <f>VLOOKUP($H1045,RoR!$E:$F,2,FALSE)</f>
        <v>3.8866666666666674E-2</v>
      </c>
      <c r="CO1045" s="169">
        <v>9.5709475431029478E-3</v>
      </c>
      <c r="CP1045" s="169">
        <f t="shared" si="1887"/>
        <v>2.9295719123563727E-2</v>
      </c>
      <c r="CQ1045" s="169">
        <f t="shared" si="1890"/>
        <v>2.3211371275207421E-2</v>
      </c>
      <c r="CR1045" s="169">
        <f t="shared" si="1891"/>
        <v>3.5270373279175926E-3</v>
      </c>
      <c r="CS1045" s="179">
        <f t="shared" si="1881"/>
        <v>0.84885500000000003</v>
      </c>
      <c r="CT1045" s="180">
        <f t="shared" si="1882"/>
        <v>1.3194352816994324</v>
      </c>
      <c r="CU1045" s="180">
        <f t="shared" si="1883"/>
        <v>0.33177530017152673</v>
      </c>
      <c r="CV1045" s="180">
        <f t="shared" si="1884"/>
        <v>0.78242572977668579</v>
      </c>
      <c r="CW1045" s="180">
        <f t="shared" si="1885"/>
        <v>0.34251158643433932</v>
      </c>
      <c r="CX1045" s="181">
        <f>INDEX('State Tax Lookup'!$D$7:$Z$91,MATCH(Calculation!$C1045,'State Tax Lookup'!$B$7:$B$91,0),MATCH($H1045,'State Tax Lookup'!$D$6:$Z$6,0))</f>
        <v>0.40849999999999997</v>
      </c>
      <c r="CY1045" s="72">
        <v>0.37</v>
      </c>
      <c r="CZ1045" s="70">
        <f t="shared" si="1888"/>
        <v>22.499917172350997</v>
      </c>
      <c r="DA1045" s="70">
        <v>20.279488671080099</v>
      </c>
      <c r="DB1045" s="69">
        <f t="shared" si="1892"/>
        <v>-1.5776815807942428E-2</v>
      </c>
      <c r="DC1045" s="111">
        <f>VLOOKUP($H1045,RoR!$E:$F,2,FALSE)</f>
        <v>3.8866666666666674E-2</v>
      </c>
      <c r="DD1045" s="216">
        <f>HLOOKUP($H1045,'GDP-PI'!$D$8:$CQ$11,3,FALSE)</f>
        <v>9.5709475431029478E-3</v>
      </c>
      <c r="DE1045" s="111">
        <f>VLOOKUP(H1045,'HW Dx Data'!$E:$F,2,FALSE)</f>
        <v>675.61463308665782</v>
      </c>
      <c r="DF1045" s="72">
        <f t="shared" si="1902"/>
        <v>133.5</v>
      </c>
      <c r="DG1045" s="69">
        <f t="shared" si="1903"/>
        <v>3.1193095773504077E-2</v>
      </c>
      <c r="DH1045" s="66">
        <f>HLOOKUP(H1045,'GDP-PI'!$8:$9,2,FALSE)</f>
        <v>104.639</v>
      </c>
      <c r="DI1045" s="69">
        <f t="shared" si="1893"/>
        <v>9.5254361854427965E-3</v>
      </c>
      <c r="EB1045"/>
    </row>
    <row r="1046" spans="1:132" s="160" customFormat="1" ht="21">
      <c r="A1046" s="160" t="s">
        <v>222</v>
      </c>
      <c r="B1046" s="160" t="s">
        <v>222</v>
      </c>
      <c r="C1046" s="160">
        <v>4063023</v>
      </c>
      <c r="D1046" s="161" t="s">
        <v>196</v>
      </c>
      <c r="E1046" s="161" t="s">
        <v>3</v>
      </c>
      <c r="F1046" s="189"/>
      <c r="G1046" s="160" t="s">
        <v>133</v>
      </c>
      <c r="H1046" s="162">
        <v>2016</v>
      </c>
      <c r="I1046" s="163"/>
      <c r="J1046" s="159">
        <f>IFERROR(INDEX('Labor Expenditures'!$F$7:$X$91,MATCH($C1046,'Labor Expenditures'!$D$7:$D$91,0),MATCH($G1046,'Labor Expenditures'!$F$5:$X$5,0)),"NA")</f>
        <v>29360.481672562935</v>
      </c>
      <c r="K1046" s="159">
        <f t="shared" si="1894"/>
        <v>214.38832911692543</v>
      </c>
      <c r="L1046" s="165">
        <f t="shared" si="1900"/>
        <v>7.5055573523755484E-2</v>
      </c>
      <c r="M1046" s="76">
        <f t="shared" si="1904"/>
        <v>1.1042488978372286E-3</v>
      </c>
      <c r="N1046" s="62">
        <f t="shared" si="1910"/>
        <v>300.30949130013641</v>
      </c>
      <c r="O1046" s="96">
        <f t="shared" si="1905"/>
        <v>0.90718795699404087</v>
      </c>
      <c r="P1046" s="96"/>
      <c r="Q1046" s="159">
        <f>IFERROR(INDEX('Non-Labor Expenditures'!$F$7:$AB$91,MATCH($C1046,'Non-Labor Expenditures'!$D$7:$D$91,0),MATCH($G1046,'Non-Labor Expenditures'!$F$5:$AB$5,0)),"NA")</f>
        <v>42519.461243417507</v>
      </c>
      <c r="R1046" s="159">
        <f t="shared" si="1895"/>
        <v>402.12852049838756</v>
      </c>
      <c r="S1046" s="165">
        <f t="shared" si="1906"/>
        <v>9.014090102533337E-2</v>
      </c>
      <c r="T1046" s="165">
        <f t="shared" si="1907"/>
        <v>1.3261905270202854E-3</v>
      </c>
      <c r="U1046" s="165"/>
      <c r="V1046" s="165"/>
      <c r="W1046" s="159">
        <f t="shared" si="1874"/>
        <v>103164.61524554722</v>
      </c>
      <c r="X1046" s="163"/>
      <c r="Y1046" s="167">
        <v>4884.0976009667447</v>
      </c>
      <c r="Z1046" s="168">
        <v>5.2602379078682399E-2</v>
      </c>
      <c r="AA1046" s="76">
        <f t="shared" si="1896"/>
        <v>7.7390813758643207E-4</v>
      </c>
      <c r="AB1046" s="168"/>
      <c r="AC1046" s="168"/>
      <c r="AD1046" s="163">
        <f t="shared" si="1886"/>
        <v>175044.55816152768</v>
      </c>
      <c r="AE1046" s="168">
        <f t="shared" si="1908"/>
        <v>7.4553387693966675E-2</v>
      </c>
      <c r="AF1046" s="163"/>
      <c r="AG1046" s="163"/>
      <c r="AH1046" s="163"/>
      <c r="AI1046" s="163"/>
      <c r="AJ1046" s="116">
        <f t="shared" si="1909"/>
        <v>466.41360131928855</v>
      </c>
      <c r="AK1046" s="114">
        <f>+AV1046/$AX$21</f>
        <v>1.0212391645093057E-2</v>
      </c>
      <c r="AL1046" s="115">
        <f t="shared" si="1897"/>
        <v>0.16773147352269963</v>
      </c>
      <c r="AM1046" s="115">
        <f t="shared" si="1898"/>
        <v>0.24290650157876592</v>
      </c>
      <c r="AN1046" s="115">
        <f t="shared" si="1899"/>
        <v>0.5893620248985344</v>
      </c>
      <c r="AO1046" s="115">
        <f t="shared" si="1901"/>
        <v>6.5321394054497259E-2</v>
      </c>
      <c r="AP1046" s="166">
        <f t="shared" si="1912"/>
        <v>152.74631023707383</v>
      </c>
      <c r="AQ1046" s="168">
        <f t="shared" si="1913"/>
        <v>6.5321394054497342E-2</v>
      </c>
      <c r="AR1046" s="69">
        <f>+AD1046/$AF$21</f>
        <v>1.4712417026401482E-2</v>
      </c>
      <c r="AS1046" s="169">
        <f t="shared" si="1911"/>
        <v>9.6103559007566721E-4</v>
      </c>
      <c r="AT1046" s="115"/>
      <c r="AU1046" s="115"/>
      <c r="AV1046" s="113">
        <f>IFERROR(INDEX('Total Customers'!$F$7:$AB$91,MATCH($C1046,'Total Customers'!$D$7:$D$91,0),MATCH($G1046,'Total Customers'!$F$5:$AB$5,0)),"NA")</f>
        <v>375299</v>
      </c>
      <c r="AW1046" s="68">
        <f t="shared" si="1875"/>
        <v>1.5020356134885646E-2</v>
      </c>
      <c r="AX1046" s="114"/>
      <c r="AY1046" s="114"/>
      <c r="AZ1046" s="116">
        <v>8759079</v>
      </c>
      <c r="BA1046" s="116"/>
      <c r="BB1046" s="166"/>
      <c r="BC1046" s="166"/>
      <c r="BD1046" s="166"/>
      <c r="BE1046" s="166"/>
      <c r="BF1046" s="166"/>
      <c r="BG1046" s="166"/>
      <c r="BH1046" s="166"/>
      <c r="BI1046" s="113"/>
      <c r="BJ1046" s="113"/>
      <c r="BK1046" s="113">
        <f>INDEX('Dist. Plant Gas Additions'!$F$7:$AE$91,MATCH($C1046,'Dist. Plant Gas Additions'!$D$7:$D$91,0),MATCH(Calculation!$G1046,'Dist. Plant Gas Additions'!$F$5:$AE$5,0))</f>
        <v>184744</v>
      </c>
      <c r="BL1046" s="113">
        <f>INDEX('Gen. Plant Additions'!$F$7:$AE$91,MATCH($C1046,'Gen. Plant Additions'!$D$7:$D$91,0),MATCH(Calculation!$G1046,'Gen. Plant Additions'!$F$5:$AE$5,0))</f>
        <v>7798</v>
      </c>
      <c r="BM1046" s="231">
        <f t="shared" si="1876"/>
        <v>0.91693002522659117</v>
      </c>
      <c r="BN1046" s="61">
        <f t="shared" ref="BN1046:BN1062" si="1914">+BM1046*BL1046</f>
        <v>7150.2203367169577</v>
      </c>
      <c r="BO1046" s="113">
        <f>INDEX('Dist Plant Depreciation'!$E$7:$AD$94,MATCH($C1046,'Dist Plant Depreciation'!$D$7:$D$94,0),MATCH(Calculation!$G1046,'Dist Plant Depreciation'!$E$5:$AD$5,0))</f>
        <v>343925</v>
      </c>
      <c r="BP1046" s="113">
        <f>INDEX('Gen. Plant Depreciation'!$E$7:$AD$94,MATCH($C1046,'Gen. Plant Depreciation'!$D$7:$D$94,0),MATCH(Calculation!$G1046,'Gen. Plant Depreciation'!$E$5:$AD$5,0))</f>
        <v>41434</v>
      </c>
      <c r="BQ1046" s="113"/>
      <c r="BR1046" s="113"/>
      <c r="BS1046" s="113"/>
      <c r="BT1046" s="113"/>
      <c r="BU1046" s="113"/>
      <c r="BV1046" s="175"/>
      <c r="BW1046" s="113">
        <f>INDEX('Gross Dx Plant'!$E$7:$AD$91,MATCH($C1046,'Gross Dx Plant'!$D$7:$D$91,0),MATCH(Calculation!$G1046,'Gross Dx Plant'!$E$5:$AD$5,0))</f>
        <v>1872273</v>
      </c>
      <c r="BX1046" s="113">
        <f>INDEX('Gross Gen Plant'!$E$7:$AD$91,MATCH($C1046,'Gross Gen Plant'!$D$7:$D$91,0),MATCH(Calculation!$G1046,'Gross Gen Plant'!$E$5:$AD$5,0))</f>
        <v>169620</v>
      </c>
      <c r="BY1046" s="113">
        <f t="shared" si="1868"/>
        <v>1656534</v>
      </c>
      <c r="BZ1046" s="113"/>
      <c r="CA1046" s="116">
        <v>2016</v>
      </c>
      <c r="CB1046" s="113"/>
      <c r="CC1046" s="113"/>
      <c r="CD1046" s="113"/>
      <c r="CE1046" s="175"/>
      <c r="CF1046" s="113">
        <f t="shared" si="1877"/>
        <v>192542</v>
      </c>
      <c r="CG1046" s="113">
        <f t="shared" si="1878"/>
        <v>286.75279848512088</v>
      </c>
      <c r="CH1046" s="178">
        <v>0.88</v>
      </c>
      <c r="CI1046" s="61">
        <f>+CI1028*CH1046+CG1029*CH1045+CG1030*CH1044+CG1031*CH1043+CG1032*CH1042+CG1033*CH1041+CG1034*CH1040+CG1035*CH1039+CG1036*CH1038+CG1037*CH1037+CG1038*CH1036+CG1039*CH1035+CG1040*CH1034+CG1041*CH1033+CG1042*CH1032+CG1043*CH1031+CG1044*CH1030+CG1045*CH1029+CG1046</f>
        <v>4884.0976009667447</v>
      </c>
      <c r="CJ1046" s="114">
        <f t="shared" si="1879"/>
        <v>5.2602379078682399E-2</v>
      </c>
      <c r="CK1046" s="114"/>
      <c r="CL1046" s="169">
        <f t="shared" si="1880"/>
        <v>7.8720923030540964E-3</v>
      </c>
      <c r="CM1046" s="169">
        <f t="shared" si="1889"/>
        <v>7.7911312731097568E-3</v>
      </c>
      <c r="CN1046" s="114">
        <f>VLOOKUP($H1046,RoR!$E:$F,2,FALSE)</f>
        <v>3.6658333333333334E-2</v>
      </c>
      <c r="CO1046" s="169">
        <v>1.0483662879041455E-2</v>
      </c>
      <c r="CP1046" s="169">
        <f t="shared" si="1887"/>
        <v>2.6174670454291879E-2</v>
      </c>
      <c r="CQ1046" s="169">
        <f t="shared" si="1890"/>
        <v>2.3110810335423868E-2</v>
      </c>
      <c r="CR1046" s="169">
        <f t="shared" si="1891"/>
        <v>4.301363574220729E-3</v>
      </c>
      <c r="CS1046" s="179">
        <f t="shared" si="1881"/>
        <v>0.84885500000000003</v>
      </c>
      <c r="CT1046" s="180">
        <f t="shared" si="1882"/>
        <v>1.3989193348138562</v>
      </c>
      <c r="CU1046" s="180">
        <f t="shared" si="1883"/>
        <v>0.29302682427824522</v>
      </c>
      <c r="CV1046" s="180">
        <f t="shared" si="1884"/>
        <v>0.76309497491941802</v>
      </c>
      <c r="CW1046" s="180">
        <f t="shared" si="1885"/>
        <v>0.31280857135128509</v>
      </c>
      <c r="CX1046" s="181">
        <f>INDEX('State Tax Lookup'!$D$7:$Z$91,MATCH(Calculation!$C1046,'State Tax Lookup'!$B$7:$B$91,0),MATCH($H1046,'State Tax Lookup'!$D$6:$Z$6,0))</f>
        <v>0.40849999999999997</v>
      </c>
      <c r="CY1046" s="72">
        <v>0.37</v>
      </c>
      <c r="CZ1046" s="70">
        <f t="shared" si="1888"/>
        <v>22.263392951661107</v>
      </c>
      <c r="DA1046" s="70">
        <v>19.909765876209278</v>
      </c>
      <c r="DB1046" s="69">
        <f t="shared" si="1892"/>
        <v>-1.0567870038215674E-2</v>
      </c>
      <c r="DC1046" s="111">
        <f>VLOOKUP($H1046,RoR!$E:$F,2,FALSE)</f>
        <v>3.6658333333333334E-2</v>
      </c>
      <c r="DD1046" s="216">
        <f>HLOOKUP($H1046,'GDP-PI'!$D$8:$CQ$11,3,FALSE)</f>
        <v>1.0483662879041455E-2</v>
      </c>
      <c r="DE1046" s="111">
        <f>VLOOKUP(H1046,'HW Dx Data'!$E:$F,2,FALSE)</f>
        <v>671.45639385971219</v>
      </c>
      <c r="DF1046" s="72">
        <f t="shared" si="1902"/>
        <v>136.94999999999999</v>
      </c>
      <c r="DG1046" s="69">
        <f t="shared" si="1903"/>
        <v>2.5514417868782811E-2</v>
      </c>
      <c r="DH1046" s="66">
        <f>HLOOKUP(H1046,'GDP-PI'!$8:$9,2,FALSE)</f>
        <v>105.736</v>
      </c>
      <c r="DI1046" s="69">
        <f t="shared" si="1893"/>
        <v>1.0429090367205095E-2</v>
      </c>
      <c r="EB1046"/>
    </row>
    <row r="1047" spans="1:132" s="160" customFormat="1" ht="21">
      <c r="A1047" s="160" t="s">
        <v>222</v>
      </c>
      <c r="B1047" s="160" t="s">
        <v>222</v>
      </c>
      <c r="C1047" s="160">
        <v>4063023</v>
      </c>
      <c r="D1047" s="161" t="s">
        <v>196</v>
      </c>
      <c r="E1047" s="161" t="s">
        <v>3</v>
      </c>
      <c r="F1047" s="189"/>
      <c r="G1047" s="160" t="s">
        <v>135</v>
      </c>
      <c r="H1047" s="162">
        <v>2017</v>
      </c>
      <c r="I1047" s="163"/>
      <c r="J1047" s="159">
        <f>IFERROR(INDEX('Labor Expenditures'!$F$7:$X$91,MATCH($C1047,'Labor Expenditures'!$D$7:$D$91,0),MATCH($G1047,'Labor Expenditures'!$F$5:$X$5,0)),"NA")</f>
        <v>31446.956585819382</v>
      </c>
      <c r="K1047" s="159">
        <f t="shared" si="1894"/>
        <v>223.90143528529288</v>
      </c>
      <c r="L1047" s="165">
        <f t="shared" si="1900"/>
        <v>4.3416941343534396E-2</v>
      </c>
      <c r="M1047" s="76">
        <f t="shared" si="1904"/>
        <v>6.4352947231158611E-4</v>
      </c>
      <c r="N1047" s="62">
        <f t="shared" si="1910"/>
        <v>169.51620180681459</v>
      </c>
      <c r="O1047" s="96">
        <f t="shared" si="1905"/>
        <v>-0.57186507241750606</v>
      </c>
      <c r="P1047" s="96"/>
      <c r="Q1047" s="159">
        <f>IFERROR(INDEX('Non-Labor Expenditures'!$F$7:$AB$91,MATCH($C1047,'Non-Labor Expenditures'!$D$7:$D$91,0),MATCH($G1047,'Non-Labor Expenditures'!$F$5:$AB$5,0)),"NA")</f>
        <v>45541.066617571647</v>
      </c>
      <c r="R1047" s="159">
        <f t="shared" si="1895"/>
        <v>422.65098808894254</v>
      </c>
      <c r="S1047" s="165">
        <f t="shared" si="1906"/>
        <v>4.9775010956954552E-2</v>
      </c>
      <c r="T1047" s="165">
        <f t="shared" si="1907"/>
        <v>7.3776930258590185E-4</v>
      </c>
      <c r="U1047" s="165"/>
      <c r="V1047" s="165"/>
      <c r="W1047" s="159">
        <f t="shared" si="1874"/>
        <v>98516.82954847526</v>
      </c>
      <c r="X1047" s="163"/>
      <c r="Y1047" s="167">
        <v>5133.3545042103469</v>
      </c>
      <c r="Z1047" s="168">
        <v>4.9774805073080922E-2</v>
      </c>
      <c r="AA1047" s="76">
        <f t="shared" si="1896"/>
        <v>7.3776625095820869E-4</v>
      </c>
      <c r="AB1047" s="168"/>
      <c r="AC1047" s="168"/>
      <c r="AD1047" s="163">
        <f t="shared" si="1886"/>
        <v>175504.85275186627</v>
      </c>
      <c r="AE1047" s="168">
        <f t="shared" si="1908"/>
        <v>2.626133951715339E-3</v>
      </c>
      <c r="AF1047" s="163"/>
      <c r="AG1047" s="163"/>
      <c r="AH1047" s="163"/>
      <c r="AI1047" s="163"/>
      <c r="AJ1047" s="116">
        <f t="shared" si="1909"/>
        <v>460.92937799068261</v>
      </c>
      <c r="AK1047" s="114">
        <f>+AV1047/$AX$22</f>
        <v>1.0283230051727946E-2</v>
      </c>
      <c r="AL1047" s="115">
        <f t="shared" si="1897"/>
        <v>0.1791799833038234</v>
      </c>
      <c r="AM1047" s="115">
        <f t="shared" si="1898"/>
        <v>0.25948608202850604</v>
      </c>
      <c r="AN1047" s="115">
        <f t="shared" si="1899"/>
        <v>0.56133393466767068</v>
      </c>
      <c r="AO1047" s="115">
        <f t="shared" si="1901"/>
        <v>4.8672048905985768E-2</v>
      </c>
      <c r="AP1047" s="166">
        <f t="shared" si="1912"/>
        <v>160.36468311344893</v>
      </c>
      <c r="AQ1047" s="168">
        <f t="shared" si="1913"/>
        <v>4.8672048905985699E-2</v>
      </c>
      <c r="AR1047" s="69">
        <f>+AD1047/$AF$22</f>
        <v>1.4822082173400725E-2</v>
      </c>
      <c r="AS1047" s="169">
        <f t="shared" si="1911"/>
        <v>7.2142110843229881E-4</v>
      </c>
      <c r="AT1047" s="115"/>
      <c r="AU1047" s="115"/>
      <c r="AV1047" s="113">
        <f>IFERROR(INDEX('Total Customers'!$F$7:$AB$91,MATCH($C1047,'Total Customers'!$D$7:$D$91,0),MATCH($G1047,'Total Customers'!$F$5:$AB$5,0)),"NA")</f>
        <v>380763</v>
      </c>
      <c r="AW1047" s="68">
        <f t="shared" si="1875"/>
        <v>1.4454092728563163E-2</v>
      </c>
      <c r="AX1047" s="114"/>
      <c r="AY1047" s="114"/>
      <c r="AZ1047" s="116">
        <v>8824403</v>
      </c>
      <c r="BA1047" s="116"/>
      <c r="BB1047" s="166"/>
      <c r="BC1047" s="166"/>
      <c r="BD1047" s="166"/>
      <c r="BE1047" s="166"/>
      <c r="BF1047" s="166"/>
      <c r="BG1047" s="166"/>
      <c r="BH1047" s="166"/>
      <c r="BI1047" s="113"/>
      <c r="BJ1047" s="113"/>
      <c r="BK1047" s="113">
        <f>INDEX('Dist. Plant Gas Additions'!$F$7:$AE$91,MATCH($C1047,'Dist. Plant Gas Additions'!$D$7:$D$91,0),MATCH(Calculation!$G1047,'Dist. Plant Gas Additions'!$F$5:$AE$5,0))</f>
        <v>196188</v>
      </c>
      <c r="BL1047" s="113">
        <f>INDEX('Gen. Plant Additions'!$F$7:$AE$91,MATCH($C1047,'Gen. Plant Additions'!$D$7:$D$91,0),MATCH(Calculation!$G1047,'Gen. Plant Additions'!$F$5:$AE$5,0))</f>
        <v>9373</v>
      </c>
      <c r="BM1047" s="231">
        <f t="shared" si="1876"/>
        <v>0.92085767575400335</v>
      </c>
      <c r="BN1047" s="61">
        <f t="shared" si="1914"/>
        <v>8631.1989948422743</v>
      </c>
      <c r="BO1047" s="113">
        <f>INDEX('Dist Plant Depreciation'!$E$7:$AD$94,MATCH($C1047,'Dist Plant Depreciation'!$D$7:$D$94,0),MATCH(Calculation!$G1047,'Dist Plant Depreciation'!$E$5:$AD$5,0))</f>
        <v>353341</v>
      </c>
      <c r="BP1047" s="113">
        <f>INDEX('Gen. Plant Depreciation'!$E$7:$AD$94,MATCH($C1047,'Gen. Plant Depreciation'!$D$7:$D$94,0),MATCH(Calculation!$G1047,'Gen. Plant Depreciation'!$E$5:$AD$5,0))</f>
        <v>53152</v>
      </c>
      <c r="BQ1047" s="113"/>
      <c r="BR1047" s="113"/>
      <c r="BS1047" s="113"/>
      <c r="BT1047" s="113"/>
      <c r="BU1047" s="113"/>
      <c r="BV1047" s="175"/>
      <c r="BW1047" s="113">
        <f>INDEX('Gross Dx Plant'!$E$7:$AD$91,MATCH($C1047,'Gross Dx Plant'!$D$7:$D$91,0),MATCH(Calculation!$G1047,'Gross Dx Plant'!$E$5:$AD$5,0))</f>
        <v>2044991</v>
      </c>
      <c r="BX1047" s="113">
        <f>INDEX('Gross Gen Plant'!$E$7:$AD$91,MATCH($C1047,'Gross Gen Plant'!$D$7:$D$91,0),MATCH(Calculation!$G1047,'Gross Gen Plant'!$E$5:$AD$5,0))</f>
        <v>175755</v>
      </c>
      <c r="BY1047" s="113">
        <f t="shared" si="1868"/>
        <v>1814253</v>
      </c>
      <c r="BZ1047" s="113"/>
      <c r="CA1047" s="116">
        <v>2017</v>
      </c>
      <c r="CB1047" s="113"/>
      <c r="CC1047" s="113"/>
      <c r="CD1047" s="113"/>
      <c r="CE1047" s="175"/>
      <c r="CF1047" s="113">
        <f t="shared" si="1877"/>
        <v>205561</v>
      </c>
      <c r="CG1047" s="113">
        <f t="shared" si="1878"/>
        <v>288.53558756971188</v>
      </c>
      <c r="CH1047" s="178">
        <v>0.87074829931972786</v>
      </c>
      <c r="CI1047" s="61">
        <f>+CI1028*CH1047+CG1029*CH1046+CG1030*CH1045+CG1031*CH1044+CG1032*CH1043+CG1033*CH1042+CG1034*CH1041+CG1035*CH1040+CG1036*CH1039+CG1037*CH1038+CG1038*CH1037+CG1039*CH1036+CG1040*CH1035+CG1041*CH1034+CG1042*CH1033+CG1043*CH1032+CG1044*CH1031+CG1045*CH1030+CG1046*CH1029+CG1047</f>
        <v>5133.3545042103469</v>
      </c>
      <c r="CJ1047" s="114">
        <f t="shared" si="1879"/>
        <v>4.9774805073080922E-2</v>
      </c>
      <c r="CK1047" s="114"/>
      <c r="CL1047" s="169">
        <f t="shared" si="1880"/>
        <v>8.0421579450695169E-3</v>
      </c>
      <c r="CM1047" s="169">
        <f t="shared" si="1889"/>
        <v>7.8869420928065585E-3</v>
      </c>
      <c r="CN1047" s="114">
        <f>VLOOKUP($H1047,RoR!$E:$F,2,FALSE)</f>
        <v>3.7433333333333339E-2</v>
      </c>
      <c r="CO1047" s="169">
        <v>1.9056896421275615E-2</v>
      </c>
      <c r="CP1047" s="169">
        <f t="shared" si="1887"/>
        <v>1.8376436912057724E-2</v>
      </c>
      <c r="CQ1047" s="169">
        <f t="shared" si="1890"/>
        <v>2.3014999515727066E-2</v>
      </c>
      <c r="CR1047" s="169">
        <f t="shared" si="1891"/>
        <v>1.3976271617800498E-2</v>
      </c>
      <c r="CS1047" s="179">
        <f t="shared" si="1881"/>
        <v>0.90065499999999998</v>
      </c>
      <c r="CT1047" s="180">
        <f t="shared" si="1882"/>
        <v>1.3699568463593395</v>
      </c>
      <c r="CU1047" s="180">
        <f t="shared" si="1883"/>
        <v>0.30714603739982199</v>
      </c>
      <c r="CV1047" s="180">
        <f t="shared" si="1884"/>
        <v>0.77007188472689425</v>
      </c>
      <c r="CW1047" s="180">
        <f t="shared" si="1885"/>
        <v>0.32402839633793828</v>
      </c>
      <c r="CX1047" s="181">
        <f>INDEX('State Tax Lookup'!$D$7:$Z$91,MATCH(Calculation!$C1047,'State Tax Lookup'!$B$7:$B$91,0),MATCH($H1047,'State Tax Lookup'!$D$6:$Z$6,0))</f>
        <v>0.26849999999999996</v>
      </c>
      <c r="CY1047" s="72">
        <v>0.37</v>
      </c>
      <c r="CZ1047" s="70">
        <f t="shared" si="1888"/>
        <v>20.170937929040385</v>
      </c>
      <c r="DA1047" s="70">
        <v>18.231812616449311</v>
      </c>
      <c r="DB1047" s="69">
        <f t="shared" si="1892"/>
        <v>-9.8700905859676752E-2</v>
      </c>
      <c r="DC1047" s="111">
        <f>VLOOKUP($H1047,RoR!$E:$F,2,FALSE)</f>
        <v>3.7433333333333339E-2</v>
      </c>
      <c r="DD1047" s="216">
        <f>HLOOKUP($H1047,'GDP-PI'!$D$8:$CQ$11,3,FALSE)</f>
        <v>1.9056896421275615E-2</v>
      </c>
      <c r="DE1047" s="111">
        <f>VLOOKUP(H1047,'HW Dx Data'!$E:$F,2,FALSE)</f>
        <v>712.42858370229726</v>
      </c>
      <c r="DF1047" s="72">
        <f t="shared" si="1902"/>
        <v>140.44999999999999</v>
      </c>
      <c r="DG1047" s="69">
        <f t="shared" si="1903"/>
        <v>2.5235657841165486E-2</v>
      </c>
      <c r="DH1047" s="66">
        <f>HLOOKUP(H1047,'GDP-PI'!$8:$9,2,FALSE)</f>
        <v>107.751</v>
      </c>
      <c r="DI1047" s="69">
        <f t="shared" si="1893"/>
        <v>1.8877588227745139E-2</v>
      </c>
      <c r="EB1047"/>
    </row>
    <row r="1048" spans="1:132" s="160" customFormat="1" ht="21">
      <c r="A1048" s="160" t="s">
        <v>222</v>
      </c>
      <c r="B1048" s="160" t="s">
        <v>222</v>
      </c>
      <c r="C1048" s="160">
        <v>4063023</v>
      </c>
      <c r="D1048" s="161" t="s">
        <v>196</v>
      </c>
      <c r="E1048" s="161" t="s">
        <v>3</v>
      </c>
      <c r="F1048" s="189"/>
      <c r="G1048" s="160" t="s">
        <v>136</v>
      </c>
      <c r="H1048" s="162">
        <v>2018</v>
      </c>
      <c r="I1048" s="163"/>
      <c r="J1048" s="159">
        <f>IFERROR(INDEX('Labor Expenditures'!$F$7:$X$91,MATCH($C1048,'Labor Expenditures'!$D$7:$D$91,0),MATCH($G1048,'Labor Expenditures'!$F$5:$X$5,0)),"NA")</f>
        <v>34009.76470657553</v>
      </c>
      <c r="K1048" s="159">
        <f t="shared" si="1894"/>
        <v>235.4431616931501</v>
      </c>
      <c r="L1048" s="165">
        <f t="shared" si="1900"/>
        <v>5.0263598735468512E-2</v>
      </c>
      <c r="M1048" s="76">
        <f t="shared" si="1904"/>
        <v>7.5024128048530112E-4</v>
      </c>
      <c r="N1048" s="62">
        <f t="shared" si="1910"/>
        <v>116.6612701717514</v>
      </c>
      <c r="O1048" s="96">
        <f t="shared" si="1905"/>
        <v>-0.37367389905855697</v>
      </c>
      <c r="P1048" s="96"/>
      <c r="Q1048" s="159">
        <f>IFERROR(INDEX('Non-Labor Expenditures'!$F$7:$AB$91,MATCH($C1048,'Non-Labor Expenditures'!$D$7:$D$91,0),MATCH($G1048,'Non-Labor Expenditures'!$F$5:$AB$5,0)),"NA")</f>
        <v>49252.491442956496</v>
      </c>
      <c r="R1048" s="159">
        <f t="shared" si="1895"/>
        <v>446.44306161016385</v>
      </c>
      <c r="S1048" s="165">
        <f t="shared" si="1906"/>
        <v>5.4765119380951605E-2</v>
      </c>
      <c r="T1048" s="165">
        <f t="shared" si="1907"/>
        <v>8.1743158715180556E-4</v>
      </c>
      <c r="U1048" s="165"/>
      <c r="V1048" s="165"/>
      <c r="W1048" s="159">
        <f t="shared" si="1874"/>
        <v>108845.55510305447</v>
      </c>
      <c r="X1048" s="163"/>
      <c r="Y1048" s="167">
        <v>5471.0846583373068</v>
      </c>
      <c r="Z1048" s="168">
        <v>6.3717544037404442E-2</v>
      </c>
      <c r="AA1048" s="76">
        <f t="shared" si="1896"/>
        <v>9.5105668974450699E-4</v>
      </c>
      <c r="AB1048" s="168"/>
      <c r="AC1048" s="168"/>
      <c r="AD1048" s="163">
        <f t="shared" si="1886"/>
        <v>192107.81125258649</v>
      </c>
      <c r="AE1048" s="168">
        <f t="shared" si="1908"/>
        <v>9.0390037845266155E-2</v>
      </c>
      <c r="AF1048" s="163"/>
      <c r="AG1048" s="163"/>
      <c r="AH1048" s="163"/>
      <c r="AI1048" s="163"/>
      <c r="AJ1048" s="116">
        <f t="shared" si="1909"/>
        <v>490.09220107144057</v>
      </c>
      <c r="AK1048" s="114">
        <f>+AV1048/$AX$23</f>
        <v>1.0493534470988884E-2</v>
      </c>
      <c r="AL1048" s="115">
        <f t="shared" si="1897"/>
        <v>0.1770347831502746</v>
      </c>
      <c r="AM1048" s="115">
        <f t="shared" si="1898"/>
        <v>0.25637943153804671</v>
      </c>
      <c r="AN1048" s="115">
        <f t="shared" si="1899"/>
        <v>0.5665857853116788</v>
      </c>
      <c r="AO1048" s="115">
        <f t="shared" si="1901"/>
        <v>5.9012173474063331E-2</v>
      </c>
      <c r="AP1048" s="166">
        <f t="shared" si="1912"/>
        <v>170.11295618894334</v>
      </c>
      <c r="AQ1048" s="168">
        <f t="shared" si="1913"/>
        <v>5.9012173474063317E-2</v>
      </c>
      <c r="AR1048" s="69">
        <f>+AD1048/$AF$23</f>
        <v>1.4926135401361409E-2</v>
      </c>
      <c r="AS1048" s="169">
        <f t="shared" si="1911"/>
        <v>8.8082369160249715E-4</v>
      </c>
      <c r="AT1048" s="115"/>
      <c r="AU1048" s="115"/>
      <c r="AV1048" s="113">
        <f>IFERROR(INDEX('Total Customers'!$F$7:$AB$91,MATCH($C1048,'Total Customers'!$D$7:$D$91,0),MATCH($G1048,'Total Customers'!$F$5:$AB$5,0)),"NA")</f>
        <v>391983</v>
      </c>
      <c r="AW1048" s="68">
        <f t="shared" si="1875"/>
        <v>2.9041337172183244E-2</v>
      </c>
      <c r="AX1048" s="114"/>
      <c r="AY1048" s="114"/>
      <c r="AZ1048" s="116">
        <v>8911356</v>
      </c>
      <c r="BA1048" s="116"/>
      <c r="BB1048" s="166"/>
      <c r="BC1048" s="166"/>
      <c r="BD1048" s="166"/>
      <c r="BE1048" s="166"/>
      <c r="BF1048" s="166"/>
      <c r="BG1048" s="166"/>
      <c r="BH1048" s="166"/>
      <c r="BI1048" s="113"/>
      <c r="BJ1048" s="113"/>
      <c r="BK1048" s="113">
        <f>INDEX('Dist. Plant Gas Additions'!$F$7:$AE$91,MATCH($C1048,'Dist. Plant Gas Additions'!$D$7:$D$91,0),MATCH(Calculation!$G1048,'Dist. Plant Gas Additions'!$F$5:$AE$5,0))</f>
        <v>209117</v>
      </c>
      <c r="BL1048" s="113">
        <f>INDEX('Gen. Plant Additions'!$F$7:$AE$91,MATCH($C1048,'Gen. Plant Additions'!$D$7:$D$91,0),MATCH(Calculation!$G1048,'Gen. Plant Additions'!$F$5:$AE$5,0))</f>
        <v>77791</v>
      </c>
      <c r="BM1048" s="231">
        <f t="shared" si="1876"/>
        <v>0.90171559960434311</v>
      </c>
      <c r="BN1048" s="61">
        <f t="shared" si="1914"/>
        <v>70145.358208821461</v>
      </c>
      <c r="BO1048" s="113">
        <f>INDEX('Dist Plant Depreciation'!$E$7:$AD$94,MATCH($C1048,'Dist Plant Depreciation'!$D$7:$D$94,0),MATCH(Calculation!$G1048,'Dist Plant Depreciation'!$E$5:$AD$5,0))</f>
        <v>369649</v>
      </c>
      <c r="BP1048" s="113">
        <f>INDEX('Gen. Plant Depreciation'!$E$7:$AD$94,MATCH($C1048,'Gen. Plant Depreciation'!$D$7:$D$94,0),MATCH(Calculation!$G1048,'Gen. Plant Depreciation'!$E$5:$AD$5,0))</f>
        <v>56557</v>
      </c>
      <c r="BQ1048" s="113"/>
      <c r="BR1048" s="113"/>
      <c r="BS1048" s="113"/>
      <c r="BT1048" s="113"/>
      <c r="BU1048" s="113"/>
      <c r="BV1048" s="175"/>
      <c r="BW1048" s="113">
        <f>INDEX('Gross Dx Plant'!$E$7:$AD$91,MATCH($C1048,'Gross Dx Plant'!$D$7:$D$91,0),MATCH(Calculation!$G1048,'Gross Dx Plant'!$E$5:$AD$5,0))</f>
        <v>2213398</v>
      </c>
      <c r="BX1048" s="113">
        <f>INDEX('Gross Gen Plant'!$E$7:$AD$91,MATCH($C1048,'Gross Gen Plant'!$D$7:$D$91,0),MATCH(Calculation!$G1048,'Gross Gen Plant'!$E$5:$AD$5,0))</f>
        <v>241254</v>
      </c>
      <c r="BY1048" s="113">
        <f t="shared" si="1868"/>
        <v>2028446</v>
      </c>
      <c r="BZ1048" s="113"/>
      <c r="CA1048" s="116">
        <v>2018</v>
      </c>
      <c r="CB1048" s="113"/>
      <c r="CC1048" s="113"/>
      <c r="CD1048" s="113"/>
      <c r="CE1048" s="175"/>
      <c r="CF1048" s="113">
        <f t="shared" si="1877"/>
        <v>286908</v>
      </c>
      <c r="CG1048" s="113">
        <f t="shared" si="1878"/>
        <v>379.94179669849228</v>
      </c>
      <c r="CH1048" s="178">
        <v>0.86111111111111116</v>
      </c>
      <c r="CI1048" s="61">
        <f>+CI1028*CH1048++CG1029*CH1047+CG1030*CH1046+CG1031*CH1045+CG1032*CH1044+CG1033*CH1043+CG1034*CH1042+CG1035*CH1041+CG1036*CH1040+CG1037*CH1039+CG1038*CH1038+CG1039*CH1037+CG1040*CH1036+CG1041*CH1035+CG1042*CH1034+CG1043*CH1033+CG1044*CH1032+CG1045*CH1031+CG1046*CH1030+CG1047*CH1029+CG1048</f>
        <v>5471.0846583373068</v>
      </c>
      <c r="CJ1048" s="114">
        <f t="shared" si="1879"/>
        <v>6.3717544037404442E-2</v>
      </c>
      <c r="CK1048" s="114"/>
      <c r="CL1048" s="169">
        <f t="shared" si="1880"/>
        <v>8.2230133408691501E-3</v>
      </c>
      <c r="CM1048" s="169">
        <f t="shared" si="1889"/>
        <v>8.0457545296642539E-3</v>
      </c>
      <c r="CN1048" s="114">
        <f>VLOOKUP($H1048,RoR!$E:$F,2,FALSE)</f>
        <v>3.9299999999999995E-2</v>
      </c>
      <c r="CO1048" s="169">
        <v>2.386056741932796E-2</v>
      </c>
      <c r="CP1048" s="169">
        <f t="shared" si="1887"/>
        <v>1.5439432580672034E-2</v>
      </c>
      <c r="CQ1048" s="169">
        <f t="shared" si="1890"/>
        <v>2.2856187078869369E-2</v>
      </c>
      <c r="CR1048" s="169">
        <f t="shared" si="1891"/>
        <v>3.8270792163076606E-2</v>
      </c>
      <c r="CS1048" s="179">
        <f t="shared" si="1881"/>
        <v>0.90065499999999998</v>
      </c>
      <c r="CT1048" s="180">
        <f t="shared" si="1882"/>
        <v>1.3048868010700074</v>
      </c>
      <c r="CU1048" s="180">
        <f t="shared" si="1883"/>
        <v>0.33886768447837151</v>
      </c>
      <c r="CV1048" s="180">
        <f t="shared" si="1884"/>
        <v>0.78602506232557801</v>
      </c>
      <c r="CW1048" s="180">
        <f t="shared" si="1885"/>
        <v>0.34756768162358759</v>
      </c>
      <c r="CX1048" s="181">
        <f>INDEX('State Tax Lookup'!$D$7:$Z$91,MATCH(Calculation!$C1048,'State Tax Lookup'!$B$7:$B$91,0),MATCH($H1048,'State Tax Lookup'!$D$6:$Z$6,0))</f>
        <v>0.26849999999999996</v>
      </c>
      <c r="CY1048" s="72">
        <v>0.37</v>
      </c>
      <c r="CZ1048" s="70">
        <f t="shared" si="1888"/>
        <v>21.20359211774289</v>
      </c>
      <c r="DA1048" s="70">
        <v>19.050901628905343</v>
      </c>
      <c r="DB1048" s="69">
        <f t="shared" si="1892"/>
        <v>4.9927754764025709E-2</v>
      </c>
      <c r="DC1048" s="111">
        <f>VLOOKUP($H1048,RoR!$E:$F,2,FALSE)</f>
        <v>3.9299999999999995E-2</v>
      </c>
      <c r="DD1048" s="216">
        <f>HLOOKUP($H1048,'GDP-PI'!$D$8:$CQ$11,3,FALSE)</f>
        <v>2.386056741932796E-2</v>
      </c>
      <c r="DE1048" s="111">
        <f>VLOOKUP(H1048,'HW Dx Data'!$E:$F,2,FALSE)</f>
        <v>755.13671434174842</v>
      </c>
      <c r="DF1048" s="72">
        <f t="shared" si="1902"/>
        <v>144.44999999999999</v>
      </c>
      <c r="DG1048" s="69">
        <f t="shared" si="1903"/>
        <v>2.80818733619915E-2</v>
      </c>
      <c r="DH1048" s="66">
        <f>HLOOKUP(H1048,'GDP-PI'!$8:$9,2,FALSE)</f>
        <v>110.322</v>
      </c>
      <c r="DI1048" s="69">
        <f t="shared" si="1893"/>
        <v>2.3580352716508712E-2</v>
      </c>
      <c r="EB1048"/>
    </row>
    <row r="1049" spans="1:132" s="160" customFormat="1" ht="21">
      <c r="A1049" s="160" t="s">
        <v>222</v>
      </c>
      <c r="B1049" s="160" t="s">
        <v>222</v>
      </c>
      <c r="C1049" s="160">
        <v>4063023</v>
      </c>
      <c r="D1049" s="161" t="s">
        <v>196</v>
      </c>
      <c r="E1049" s="161" t="s">
        <v>3</v>
      </c>
      <c r="F1049" s="189"/>
      <c r="G1049" s="160" t="s">
        <v>140</v>
      </c>
      <c r="H1049" s="162">
        <v>2019</v>
      </c>
      <c r="I1049" s="163"/>
      <c r="J1049" s="159">
        <f>IFERROR(INDEX('Labor Expenditures'!$F$7:$X$91,MATCH($C1049,'Labor Expenditures'!$D$7:$D$91,0),MATCH($G1049,'Labor Expenditures'!$F$5:$X$5,0)),"NA")</f>
        <v>32510.614303611354</v>
      </c>
      <c r="K1049" s="159">
        <f t="shared" si="1894"/>
        <v>217.20804612401102</v>
      </c>
      <c r="L1049" s="165">
        <f t="shared" si="1900"/>
        <v>-8.0613900561551405E-2</v>
      </c>
      <c r="M1049" s="76">
        <f t="shared" si="1904"/>
        <v>-1.1999627661847942E-3</v>
      </c>
      <c r="N1049" s="62">
        <f t="shared" si="1910"/>
        <v>116.68779668216783</v>
      </c>
      <c r="O1049" s="96">
        <f t="shared" si="1905"/>
        <v>2.2735475987401346E-4</v>
      </c>
      <c r="P1049" s="96"/>
      <c r="Q1049" s="159">
        <f>IFERROR(INDEX('Non-Labor Expenditures'!$F$7:$AB$91,MATCH($C1049,'Non-Labor Expenditures'!$D$7:$D$91,0),MATCH($G1049,'Non-Labor Expenditures'!$F$5:$AB$5,0)),"NA")</f>
        <v>47081.441656792522</v>
      </c>
      <c r="R1049" s="159">
        <f t="shared" si="1895"/>
        <v>419.17984345156185</v>
      </c>
      <c r="S1049" s="165">
        <f t="shared" si="1906"/>
        <v>-6.3011822113781576E-2</v>
      </c>
      <c r="T1049" s="165">
        <f t="shared" si="1907"/>
        <v>-9.3795040110068056E-4</v>
      </c>
      <c r="U1049" s="165"/>
      <c r="V1049" s="165"/>
      <c r="W1049" s="159">
        <f t="shared" si="1874"/>
        <v>117926.20963360835</v>
      </c>
      <c r="X1049" s="163"/>
      <c r="Y1049" s="167">
        <v>5752.1111447745643</v>
      </c>
      <c r="Z1049" s="168">
        <v>5.0090054059903522E-2</v>
      </c>
      <c r="AA1049" s="76">
        <f t="shared" si="1896"/>
        <v>7.4560589934703151E-4</v>
      </c>
      <c r="AB1049" s="168"/>
      <c r="AC1049" s="168"/>
      <c r="AD1049" s="163">
        <f t="shared" si="1886"/>
        <v>197518.26559401222</v>
      </c>
      <c r="AE1049" s="168">
        <f t="shared" si="1908"/>
        <v>2.7774332708418541E-2</v>
      </c>
      <c r="AF1049" s="163"/>
      <c r="AG1049" s="163"/>
      <c r="AH1049" s="163"/>
      <c r="AI1049" s="163"/>
      <c r="AJ1049" s="116">
        <f t="shared" si="1909"/>
        <v>501.6706388381931</v>
      </c>
      <c r="AK1049" s="114">
        <f>+AV1049/$AX$24</f>
        <v>1.0453135586238694E-2</v>
      </c>
      <c r="AL1049" s="115">
        <f t="shared" si="1897"/>
        <v>0.16459548288275833</v>
      </c>
      <c r="AM1049" s="115">
        <f t="shared" si="1898"/>
        <v>0.23836500140987366</v>
      </c>
      <c r="AN1049" s="115">
        <f t="shared" si="1899"/>
        <v>0.59703951570736802</v>
      </c>
      <c r="AO1049" s="115">
        <f t="shared" si="1901"/>
        <v>-2.1442113099290339E-4</v>
      </c>
      <c r="AP1049" s="166">
        <f t="shared" si="1912"/>
        <v>170.07648428679377</v>
      </c>
      <c r="AQ1049" s="168">
        <f t="shared" si="1913"/>
        <v>-2.144211309927755E-4</v>
      </c>
      <c r="AR1049" s="69">
        <f>+AD1049/$AF$24</f>
        <v>1.488530833796564E-2</v>
      </c>
      <c r="AS1049" s="169">
        <f t="shared" si="1911"/>
        <v>-3.191724649002784E-6</v>
      </c>
      <c r="AT1049" s="115"/>
      <c r="AU1049" s="115"/>
      <c r="AV1049" s="113">
        <f>IFERROR(INDEX('Total Customers'!$F$7:$AB$91,MATCH($C1049,'Total Customers'!$D$7:$D$91,0),MATCH($G1049,'Total Customers'!$F$5:$AB$5,0)),"NA")</f>
        <v>393721</v>
      </c>
      <c r="AW1049" s="68">
        <f t="shared" si="1875"/>
        <v>4.4240651307060688E-3</v>
      </c>
      <c r="AX1049" s="114"/>
      <c r="AY1049" s="114"/>
      <c r="AZ1049" s="116">
        <v>8963640</v>
      </c>
      <c r="BA1049" s="116"/>
      <c r="BB1049" s="166"/>
      <c r="BC1049" s="166"/>
      <c r="BD1049" s="166"/>
      <c r="BE1049" s="166"/>
      <c r="BF1049" s="166"/>
      <c r="BG1049" s="166"/>
      <c r="BH1049" s="166"/>
      <c r="BI1049" s="113"/>
      <c r="BJ1049" s="113"/>
      <c r="BK1049" s="113">
        <f>INDEX('Dist. Plant Gas Additions'!$F$7:$AE$91,MATCH($C1049,'Dist. Plant Gas Additions'!$D$7:$D$91,0),MATCH(Calculation!$G1049,'Dist. Plant Gas Additions'!$F$5:$AE$5,0))</f>
        <v>245163</v>
      </c>
      <c r="BL1049" s="113">
        <f>INDEX('Gen. Plant Additions'!$F$7:$AE$91,MATCH($C1049,'Gen. Plant Additions'!$D$7:$D$91,0),MATCH(Calculation!$G1049,'Gen. Plant Additions'!$F$5:$AE$5,0))</f>
        <v>7597</v>
      </c>
      <c r="BM1049" s="231">
        <f t="shared" si="1876"/>
        <v>0.91104335115484036</v>
      </c>
      <c r="BN1049" s="61">
        <f t="shared" si="1914"/>
        <v>6921.1963387233227</v>
      </c>
      <c r="BO1049" s="113">
        <f>INDEX('Dist Plant Depreciation'!$E$7:$AD$94,MATCH($C1049,'Dist Plant Depreciation'!$D$7:$D$94,0),MATCH(Calculation!$G1049,'Dist Plant Depreciation'!$E$5:$AD$5,0))</f>
        <v>392979</v>
      </c>
      <c r="BP1049" s="113">
        <f>INDEX('Gen. Plant Depreciation'!$E$7:$AD$94,MATCH($C1049,'Gen. Plant Depreciation'!$D$7:$D$94,0),MATCH(Calculation!$G1049,'Gen. Plant Depreciation'!$E$5:$AD$5,0))</f>
        <v>64475</v>
      </c>
      <c r="BQ1049" s="113"/>
      <c r="BR1049" s="113"/>
      <c r="BS1049" s="113"/>
      <c r="BT1049" s="113"/>
      <c r="BU1049" s="113"/>
      <c r="BV1049" s="175"/>
      <c r="BW1049" s="113">
        <f>INDEX('Gross Dx Plant'!$E$7:$AD$91,MATCH($C1049,'Gross Dx Plant'!$D$7:$D$91,0),MATCH(Calculation!$G1049,'Gross Dx Plant'!$E$5:$AD$5,0))</f>
        <v>2441342</v>
      </c>
      <c r="BX1049" s="113">
        <f>INDEX('Gross Gen Plant'!$E$7:$AD$91,MATCH($C1049,'Gross Gen Plant'!$D$7:$D$91,0),MATCH(Calculation!$G1049,'Gross Gen Plant'!$E$5:$AD$5,0))</f>
        <v>238379</v>
      </c>
      <c r="BY1049" s="113">
        <f t="shared" si="1868"/>
        <v>2222267</v>
      </c>
      <c r="BZ1049" s="113"/>
      <c r="CA1049" s="116">
        <v>2019</v>
      </c>
      <c r="CB1049" s="113"/>
      <c r="CC1049" s="113"/>
      <c r="CD1049" s="113"/>
      <c r="CE1049" s="175"/>
      <c r="CF1049" s="113">
        <f t="shared" si="1877"/>
        <v>252760</v>
      </c>
      <c r="CG1049" s="113">
        <f t="shared" si="1878"/>
        <v>326.75780102358254</v>
      </c>
      <c r="CH1049" s="178">
        <v>0.85106382978723405</v>
      </c>
      <c r="CI1049" s="61">
        <f>CI1028*CH1049+CG1029*CH1048+CG1030*CH1047+CG1031*CH1046+CG1032*CH1045+CG1033*CH1044+CG1034*CH1043+CG1035*CH1042+CG1036*CH1041+CG1037*CH1040+CG1038*CH1039+CG1039*CH1038+CG1040*CH1037+CG1041*CH1036+CG1042*CH1035+CG1043*CH1034+CG1044*CH1033+CG1045*CH1032+CG1046*CH1031+CG1047*CH1030+CG1048*CH1029+CG1049</f>
        <v>5752.1111447745643</v>
      </c>
      <c r="CJ1049" s="114">
        <f t="shared" si="1879"/>
        <v>5.0090054059903522E-2</v>
      </c>
      <c r="CK1049" s="114"/>
      <c r="CL1049" s="169">
        <f t="shared" si="1880"/>
        <v>8.3587291080637442E-3</v>
      </c>
      <c r="CM1049" s="169">
        <f t="shared" si="1889"/>
        <v>8.2079667980008032E-3</v>
      </c>
      <c r="CN1049" s="114">
        <f>VLOOKUP($H1049,RoR!$E:$F,2,FALSE)</f>
        <v>3.3875000000000009E-2</v>
      </c>
      <c r="CO1049" s="169">
        <v>1.8092492884465461E-2</v>
      </c>
      <c r="CP1049" s="169">
        <f t="shared" si="1887"/>
        <v>1.5782507115534548E-2</v>
      </c>
      <c r="CQ1049" s="169">
        <f t="shared" si="1890"/>
        <v>2.269397481053282E-2</v>
      </c>
      <c r="CR1049" s="169">
        <f t="shared" si="1891"/>
        <v>4.8445665544254078E-2</v>
      </c>
      <c r="CS1049" s="179">
        <f t="shared" si="1881"/>
        <v>0.90065499999999998</v>
      </c>
      <c r="CT1049" s="180">
        <f t="shared" si="1882"/>
        <v>1.513861292459078</v>
      </c>
      <c r="CU1049" s="180">
        <f t="shared" si="1883"/>
        <v>0.23699261992619944</v>
      </c>
      <c r="CV1049" s="180">
        <f t="shared" si="1884"/>
        <v>0.73619765810468829</v>
      </c>
      <c r="CW1049" s="180">
        <f t="shared" si="1885"/>
        <v>0.26412854465362851</v>
      </c>
      <c r="CX1049" s="181">
        <f>INDEX('State Tax Lookup'!$D$7:$Z$91,MATCH(Calculation!$C1049,'State Tax Lookup'!$B$7:$B$91,0),MATCH($H1049,'State Tax Lookup'!$D$6:$Z$6,0))</f>
        <v>0.26849999999999996</v>
      </c>
      <c r="CY1049" s="72">
        <v>0.37</v>
      </c>
      <c r="CZ1049" s="70">
        <f t="shared" si="1888"/>
        <v>21.554447974754385</v>
      </c>
      <c r="DA1049" s="70">
        <v>19.236104090735289</v>
      </c>
      <c r="DB1049" s="69">
        <f t="shared" si="1892"/>
        <v>1.6411590951602349E-2</v>
      </c>
      <c r="DC1049" s="111">
        <f>VLOOKUP($H1049,RoR!$E:$F,2,FALSE)</f>
        <v>3.3875000000000009E-2</v>
      </c>
      <c r="DD1049" s="216">
        <f>HLOOKUP($H1049,'GDP-PI'!$D$8:$CQ$11,3,FALSE)</f>
        <v>1.8092492884465461E-2</v>
      </c>
      <c r="DE1049" s="111">
        <f>VLOOKUP(H1049,'HW Dx Data'!$E:$F,2,FALSE)</f>
        <v>773.53929793938721</v>
      </c>
      <c r="DF1049" s="72">
        <f t="shared" si="1902"/>
        <v>149.67500000000001</v>
      </c>
      <c r="DG1049" s="69">
        <f t="shared" si="1903"/>
        <v>3.5532849899171604E-2</v>
      </c>
      <c r="DH1049" s="66">
        <f>HLOOKUP(H1049,'GDP-PI'!$8:$9,2,FALSE)</f>
        <v>112.318</v>
      </c>
      <c r="DI1049" s="69">
        <f t="shared" si="1893"/>
        <v>1.7930771451401852E-2</v>
      </c>
      <c r="EB1049"/>
    </row>
    <row r="1050" spans="1:132" s="160" customFormat="1" ht="21">
      <c r="A1050" s="160" t="s">
        <v>222</v>
      </c>
      <c r="B1050" s="160" t="s">
        <v>222</v>
      </c>
      <c r="C1050" s="160">
        <v>4063023</v>
      </c>
      <c r="D1050" s="160" t="s">
        <v>196</v>
      </c>
      <c r="E1050" s="160" t="s">
        <v>3</v>
      </c>
      <c r="G1050" s="161" t="s">
        <v>141</v>
      </c>
      <c r="H1050" s="162">
        <v>2020</v>
      </c>
      <c r="I1050" s="163"/>
      <c r="J1050" s="159">
        <v>32511</v>
      </c>
      <c r="K1050" s="159">
        <f t="shared" si="1894"/>
        <v>212.2820763956905</v>
      </c>
      <c r="L1050" s="165">
        <f t="shared" si="1900"/>
        <v>-2.2939692831167424E-2</v>
      </c>
      <c r="M1050" s="76">
        <f t="shared" si="1904"/>
        <v>-3.5053459498809254E-4</v>
      </c>
      <c r="N1050" s="62">
        <f t="shared" si="1910"/>
        <v>118.74988035770096</v>
      </c>
      <c r="O1050" s="96">
        <f t="shared" si="1905"/>
        <v>1.7517471565451012E-2</v>
      </c>
      <c r="P1050" s="96"/>
      <c r="Q1050" s="159">
        <v>47081</v>
      </c>
      <c r="R1050" s="159">
        <f t="shared" si="1895"/>
        <v>414.36152891580048</v>
      </c>
      <c r="S1050" s="165">
        <f t="shared" si="1906"/>
        <v>-1.1561197473539304E-2</v>
      </c>
      <c r="T1050" s="165">
        <f t="shared" si="1907"/>
        <v>-1.7666320572777338E-4</v>
      </c>
      <c r="U1050" s="165"/>
      <c r="V1050" s="165"/>
      <c r="W1050" s="159">
        <f t="shared" si="1874"/>
        <v>129400.43916276957</v>
      </c>
      <c r="X1050" s="163"/>
      <c r="Y1050" s="167">
        <v>6013.8370741259223</v>
      </c>
      <c r="Z1050" s="168">
        <v>4.4496050062488635E-2</v>
      </c>
      <c r="AA1050" s="76">
        <f t="shared" si="1896"/>
        <v>6.7993085182172321E-4</v>
      </c>
      <c r="AB1050" s="168"/>
      <c r="AC1050" s="168"/>
      <c r="AD1050" s="163">
        <f t="shared" si="1886"/>
        <v>208992.43916276959</v>
      </c>
      <c r="AE1050" s="168">
        <f t="shared" si="1908"/>
        <v>5.6467010970635396E-2</v>
      </c>
      <c r="AF1050" s="163"/>
      <c r="AG1050" s="163"/>
      <c r="AH1050" s="163"/>
      <c r="AI1050" s="163"/>
      <c r="AJ1050" s="116">
        <f t="shared" si="1909"/>
        <v>530.81354350611116</v>
      </c>
      <c r="AK1050" s="114">
        <f>+AV1050/$AX$25</f>
        <v>1.037932005608699E-2</v>
      </c>
      <c r="AL1050" s="115">
        <f t="shared" si="1897"/>
        <v>0.15556065152519444</v>
      </c>
      <c r="AM1050" s="115">
        <f t="shared" si="1898"/>
        <v>0.22527609222902031</v>
      </c>
      <c r="AN1050" s="115">
        <f t="shared" si="1899"/>
        <v>0.61916325624578517</v>
      </c>
      <c r="AO1050" s="115">
        <f t="shared" si="1901"/>
        <v>2.0705844902612791E-2</v>
      </c>
      <c r="AP1050" s="166">
        <f t="shared" si="1912"/>
        <v>173.63477315224719</v>
      </c>
      <c r="AQ1050" s="168">
        <f t="shared" si="1913"/>
        <v>2.0705844902612871E-2</v>
      </c>
      <c r="AR1050" s="69">
        <f>+AD1050/$AF$25</f>
        <v>1.52807013401606E-2</v>
      </c>
      <c r="AS1050" s="169">
        <f t="shared" si="1911"/>
        <v>3.1639983195251402E-4</v>
      </c>
      <c r="AT1050" s="115"/>
      <c r="AU1050" s="115"/>
      <c r="AV1050" s="113">
        <v>393721</v>
      </c>
      <c r="AW1050" s="68">
        <f t="shared" si="1875"/>
        <v>0</v>
      </c>
      <c r="AX1050" s="114"/>
      <c r="AY1050" s="114"/>
      <c r="AZ1050" s="116">
        <v>9060252</v>
      </c>
      <c r="BA1050" s="116"/>
      <c r="BB1050" s="166"/>
      <c r="BC1050" s="166"/>
      <c r="BD1050" s="166"/>
      <c r="BE1050" s="166"/>
      <c r="BF1050" s="166"/>
      <c r="BG1050" s="166"/>
      <c r="BH1050" s="166"/>
      <c r="BI1050" s="113"/>
      <c r="BJ1050" s="113"/>
      <c r="BK1050" s="113"/>
      <c r="BL1050" s="113"/>
      <c r="BM1050" s="231"/>
      <c r="BN1050" s="61">
        <f t="shared" si="1914"/>
        <v>0</v>
      </c>
      <c r="BO1050" s="113"/>
      <c r="BP1050" s="113"/>
      <c r="BQ1050" s="113"/>
      <c r="BR1050" s="113"/>
      <c r="BS1050" s="113"/>
      <c r="BT1050" s="113"/>
      <c r="BU1050" s="113"/>
      <c r="BV1050" s="175"/>
      <c r="BW1050" s="113"/>
      <c r="BX1050" s="113"/>
      <c r="BY1050" s="113">
        <f t="shared" si="1868"/>
        <v>0</v>
      </c>
      <c r="BZ1050" s="113"/>
      <c r="CA1050" s="116">
        <v>2020</v>
      </c>
      <c r="CB1050" s="113"/>
      <c r="CC1050" s="113"/>
      <c r="CD1050" s="113"/>
      <c r="CE1050" s="175"/>
      <c r="CF1050" s="238">
        <v>252760</v>
      </c>
      <c r="CG1050" s="113">
        <f t="shared" si="1878"/>
        <v>310.86725721560998</v>
      </c>
      <c r="CH1050" s="178">
        <v>0.84057971014492749</v>
      </c>
      <c r="CI1050" s="61">
        <f>CI1028*CH1050+CG1029*CH1049+CG1030*CH1048+CG1031*CH1047+CG1032*CH1046+CG1033*CH1045+CG1034*CH1044+CG1035*CH1043+CG1036*CH1042+CG1037*CH1041+CG1038*CH1040+CG1039*CH1039+CG1040*CH1038+CG1041*CH1037+CG1042*CH1036+CG1043*CH1035+CG1044*CH1034+CG1045*CH1033+CG1046*CH1032+CG1047*CH1031+CG1048*CH1030+CG1049*CH1029+CG1050</f>
        <v>6013.8370741259223</v>
      </c>
      <c r="CJ1050" s="114">
        <f t="shared" si="1879"/>
        <v>4.4496050062488635E-2</v>
      </c>
      <c r="CK1050" s="114"/>
      <c r="CL1050" s="169">
        <f t="shared" si="1880"/>
        <v>8.5431812125003597E-3</v>
      </c>
      <c r="CM1050" s="169">
        <f t="shared" si="1889"/>
        <v>8.3749745538110841E-3</v>
      </c>
      <c r="CN1050" s="114">
        <f>VLOOKUP($H1050,RoR!$E:$F,2,FALSE)</f>
        <v>2.4766666666666666E-2</v>
      </c>
      <c r="CO1050" s="169">
        <v>1.1618796630994188E-2</v>
      </c>
      <c r="CP1050" s="169">
        <f t="shared" si="1887"/>
        <v>1.3147870035672478E-2</v>
      </c>
      <c r="CQ1050" s="169">
        <f t="shared" si="1890"/>
        <v>2.2526967054722541E-2</v>
      </c>
      <c r="CR1050" s="169">
        <f t="shared" si="1891"/>
        <v>4.5144642961987357E-2</v>
      </c>
      <c r="CS1050" s="179">
        <f t="shared" si="1881"/>
        <v>0.90065499999999998</v>
      </c>
      <c r="CT1050" s="180">
        <f t="shared" si="1882"/>
        <v>2.0706077233668081</v>
      </c>
      <c r="CU1050" s="180">
        <f t="shared" si="1883"/>
        <v>-3.4421265141318998E-2</v>
      </c>
      <c r="CV1050" s="180">
        <f t="shared" si="1884"/>
        <v>0.62416226176410472</v>
      </c>
      <c r="CW1050" s="180">
        <f t="shared" si="1885"/>
        <v>-4.4485877841158712E-2</v>
      </c>
      <c r="CX1050" s="181">
        <f>INDEX('State Tax Lookup'!$D$7:$Z$91,MATCH(Calculation!$C1050,'State Tax Lookup'!$B$7:$B$91,0),MATCH($H1050,'State Tax Lookup'!$D$6:$Z$6,0))</f>
        <v>0.26849999999999996</v>
      </c>
      <c r="CY1050" s="72">
        <v>0.37</v>
      </c>
      <c r="CZ1050" s="70">
        <f t="shared" si="1888"/>
        <v>22.496164609114313</v>
      </c>
      <c r="DA1050" s="70">
        <v>19.952659173050833</v>
      </c>
      <c r="DB1050" s="69">
        <f t="shared" si="1892"/>
        <v>4.2762635070476229E-2</v>
      </c>
      <c r="DC1050" s="111">
        <f>VLOOKUP($H1050,RoR!$E:$F,2,FALSE)</f>
        <v>2.4766666666666666E-2</v>
      </c>
      <c r="DD1050" s="216">
        <f>HLOOKUP($H1050,'GDP-PI'!$D$8:$CQ$11,3,FALSE)</f>
        <v>1.1618796630994188E-2</v>
      </c>
      <c r="DE1050" s="111">
        <f>VLOOKUP(H1050,'HW Dx Data'!$E:$F,2,FALSE)</f>
        <v>813.080162458833</v>
      </c>
      <c r="DF1050" s="72">
        <f t="shared" si="1902"/>
        <v>153.15</v>
      </c>
      <c r="DG1050" s="69">
        <f t="shared" si="1903"/>
        <v>2.2951556467368479E-2</v>
      </c>
      <c r="DH1050" s="66">
        <f>HLOOKUP(H1050,'GDP-PI'!$8:$9,2,FALSE)</f>
        <v>113.623</v>
      </c>
      <c r="DI1050" s="69">
        <f t="shared" si="1893"/>
        <v>1.1551816731392881E-2</v>
      </c>
    </row>
    <row r="1051" spans="1:132" s="160" customFormat="1" ht="21">
      <c r="A1051" s="160" t="s">
        <v>222</v>
      </c>
      <c r="B1051" s="160" t="s">
        <v>222</v>
      </c>
      <c r="C1051" s="160">
        <v>4063023</v>
      </c>
      <c r="D1051" s="160" t="s">
        <v>196</v>
      </c>
      <c r="E1051" s="160" t="s">
        <v>3</v>
      </c>
      <c r="G1051" s="161" t="s">
        <v>142</v>
      </c>
      <c r="H1051" s="162">
        <v>2021</v>
      </c>
      <c r="I1051" s="163"/>
      <c r="J1051" s="159">
        <f>IFERROR(INDEX('Labor Expenditures'!$E$7:$X$91,MATCH($C1051,'Labor Expenditures'!$D$7:$D$91,0),MATCH($G1051,'Labor Expenditures'!$E$5:$X$5,0)),"NA")</f>
        <v>34574.510450574562</v>
      </c>
      <c r="K1051" s="159">
        <f t="shared" si="1894"/>
        <v>219.86970079856638</v>
      </c>
      <c r="L1051" s="164">
        <f t="shared" si="1900"/>
        <v>3.5119162481990152E-2</v>
      </c>
      <c r="M1051" s="76">
        <f t="shared" si="1904"/>
        <v>4.8262852684148437E-4</v>
      </c>
      <c r="N1051" s="166">
        <f>+N1050*EXP(O1051)</f>
        <v>121.0271701173705</v>
      </c>
      <c r="O1051" s="114">
        <f t="shared" si="1905"/>
        <v>1.8995631414369871E-2</v>
      </c>
      <c r="P1051" s="114"/>
      <c r="Q1051" s="159">
        <f>IFERROR(INDEX('Non-Labor Expenditures'!$E$7:$AB$91,MATCH($C1051,'Non-Labor Expenditures'!$D$7:$D$91,0),MATCH($G1051,'Non-Labor Expenditures'!$E$5:$AB$5,0)),"NA")</f>
        <v>48737.562924303907</v>
      </c>
      <c r="R1051" s="159">
        <f t="shared" si="1895"/>
        <v>411.32216156894174</v>
      </c>
      <c r="S1051" s="165">
        <f t="shared" si="1906"/>
        <v>-7.3620954605146914E-3</v>
      </c>
      <c r="T1051" s="165">
        <f t="shared" si="1907"/>
        <v>-1.0117431725191963E-4</v>
      </c>
      <c r="U1051" s="165"/>
      <c r="V1051" s="165"/>
      <c r="W1051" s="159">
        <f t="shared" si="1874"/>
        <v>127256.91883196714</v>
      </c>
      <c r="X1051" s="163"/>
      <c r="Y1051" s="167">
        <v>6152.8674143905164</v>
      </c>
      <c r="Z1051" s="168"/>
      <c r="AA1051" s="76">
        <f t="shared" si="1896"/>
        <v>0</v>
      </c>
      <c r="AB1051" s="168"/>
      <c r="AC1051" s="168"/>
      <c r="AD1051" s="163">
        <f t="shared" si="1886"/>
        <v>210568.99220684561</v>
      </c>
      <c r="AE1051" s="168">
        <f t="shared" si="1908"/>
        <v>7.515278318859937E-3</v>
      </c>
      <c r="AF1051" s="113"/>
      <c r="AG1051" s="114"/>
      <c r="AH1051" s="114"/>
      <c r="AI1051" s="114"/>
      <c r="AJ1051" s="116">
        <f t="shared" si="1909"/>
        <v>515.80085148295132</v>
      </c>
      <c r="AK1051" s="114">
        <f>+AV1051/$AX$26</f>
        <v>1.0574368901337275E-2</v>
      </c>
      <c r="AL1051" s="115">
        <f t="shared" si="1897"/>
        <v>0.16419564005231793</v>
      </c>
      <c r="AM1051" s="115">
        <f t="shared" si="1898"/>
        <v>0.23145650465206266</v>
      </c>
      <c r="AN1051" s="115">
        <f t="shared" si="1899"/>
        <v>0.60434785529561941</v>
      </c>
      <c r="AO1051" s="115">
        <f t="shared" si="1901"/>
        <v>3.9335320901909849E-3</v>
      </c>
      <c r="AP1051" s="166">
        <f t="shared" si="1912"/>
        <v>174.31911616463003</v>
      </c>
      <c r="AQ1051" s="168">
        <f t="shared" si="1913"/>
        <v>3.9335320901910196E-3</v>
      </c>
      <c r="AR1051" s="69">
        <f>+AD1051/$AF$26</f>
        <v>1.3742597850645967E-2</v>
      </c>
      <c r="AS1051" s="169">
        <f t="shared" si="1911"/>
        <v>5.4056949648106048E-5</v>
      </c>
      <c r="AT1051" s="115"/>
      <c r="AU1051" s="115"/>
      <c r="AV1051" s="113">
        <f>INDEX('Total Customers'!$E$7:$E$91,MATCH(Calculation!$C1051,'Total Customers'!$D$7:$D$91,0))</f>
        <v>408237</v>
      </c>
      <c r="AW1051" s="68">
        <f t="shared" si="1875"/>
        <v>3.620535147641598E-2</v>
      </c>
      <c r="AX1051" s="113"/>
      <c r="AY1051" s="113"/>
      <c r="AZ1051" s="116"/>
      <c r="BA1051" s="116"/>
      <c r="BB1051" s="166"/>
      <c r="BC1051" s="166"/>
      <c r="BD1051" s="166"/>
      <c r="BE1051" s="166"/>
      <c r="BF1051" s="166"/>
      <c r="BG1051" s="166"/>
      <c r="BH1051" s="166"/>
      <c r="BI1051" s="113"/>
      <c r="BJ1051" s="113"/>
      <c r="BK1051" s="113">
        <f>INDEX('Dist. Plant Gas Additions'!$E$7:$AE$91,MATCH($C1051,'Dist. Plant Gas Additions'!$D$7:$D$91,0),MATCH(Calculation!$G1051,'Dist. Plant Gas Additions'!$E$5:$AE$5,0))</f>
        <v>239351.49900000001</v>
      </c>
      <c r="BL1051" s="113">
        <f>INDEX('Gen. Plant Additions'!$E$7:$AE$91,MATCH($C1051,'Gen. Plant Additions'!$D$7:$D$91,0),MATCH(Calculation!$G1051,'Gen. Plant Additions'!$E$5:$AE$5,0))</f>
        <v>4295.9070000000002</v>
      </c>
      <c r="BM1051" s="232"/>
      <c r="BN1051" s="61">
        <f t="shared" si="1914"/>
        <v>0</v>
      </c>
      <c r="BO1051" s="113"/>
      <c r="BP1051" s="113"/>
      <c r="BQ1051" s="175"/>
      <c r="BR1051" s="175"/>
      <c r="BS1051" s="170"/>
      <c r="BT1051" s="176"/>
      <c r="BU1051" s="177"/>
      <c r="BV1051" s="177"/>
      <c r="BW1051" s="113"/>
      <c r="BX1051" s="113"/>
      <c r="BY1051" s="113"/>
      <c r="BZ1051" s="113"/>
      <c r="CA1051" s="116">
        <v>2021</v>
      </c>
      <c r="CB1051" s="113"/>
      <c r="CC1051" s="113"/>
      <c r="CD1051" s="113"/>
      <c r="CE1051" s="175"/>
      <c r="CF1051" s="113">
        <f t="shared" ref="CF1051" si="1915">+BL1051+BK1051</f>
        <v>243647.40600000002</v>
      </c>
      <c r="CG1051" s="113">
        <f t="shared" si="1878"/>
        <v>261.13776056265374</v>
      </c>
      <c r="CH1051" s="178">
        <f>+(51-23)/(51-23*0.75)</f>
        <v>0.82962962962962961</v>
      </c>
      <c r="CI1051" s="113">
        <f>CI1028*CH1051+CG1029*CH1050+CG1030*CH1049+CG1031*CH1048+CG1032*CH1047+CG1033*CH1046+CG1034*CH1045+CG1035*CH1044+CG1036*CH1043+CG1037*CH1042+CG1038*CH1041+CG1039*CH1040+CG1040*CH1039+CG1041*CH1038+CG1042*CH1037+CG1033*CH1036+CG1044*CH1035+CG1045*CH1034+CG1046*CH1033+CG1047*CH1032+CG1048*CH1031+CG1049*CH1030+CG1051+CG1050*CH1029</f>
        <v>6152.8674143905164</v>
      </c>
      <c r="CJ1051" s="114"/>
      <c r="CK1051" s="113"/>
      <c r="CL1051" s="169">
        <f t="shared" si="1880"/>
        <v>2.0304411109409261E-2</v>
      </c>
      <c r="CM1051" s="169">
        <f t="shared" si="1889"/>
        <v>1.2402107143324454E-2</v>
      </c>
      <c r="CN1051" s="114">
        <f>VLOOKUP($H1051,RoR!$E:$F,2,FALSE)</f>
        <v>2.7033333333333336E-2</v>
      </c>
      <c r="CO1051" s="169"/>
      <c r="CP1051" s="169"/>
      <c r="CQ1051" s="169">
        <f t="shared" si="1890"/>
        <v>1.849983446520917E-2</v>
      </c>
      <c r="CR1051" s="169">
        <f t="shared" si="1891"/>
        <v>7.433422950153494E-2</v>
      </c>
      <c r="CS1051" s="179">
        <f t="shared" si="1881"/>
        <v>0.90065499999999998</v>
      </c>
      <c r="CT1051" s="180">
        <f t="shared" si="1882"/>
        <v>1.8969932656739068</v>
      </c>
      <c r="CU1051" s="180">
        <f t="shared" si="1883"/>
        <v>5.0215782983970621E-2</v>
      </c>
      <c r="CV1051" s="180">
        <f t="shared" si="1884"/>
        <v>0.655952481704143</v>
      </c>
      <c r="CW1051" s="180">
        <f t="shared" si="1885"/>
        <v>6.2485378865697057E-2</v>
      </c>
      <c r="CX1051" s="181">
        <f>CX1050</f>
        <v>0.26849999999999996</v>
      </c>
      <c r="CY1051" s="72">
        <v>0.37</v>
      </c>
      <c r="CZ1051" s="182">
        <f t="shared" si="1888"/>
        <v>21.160686141545199</v>
      </c>
      <c r="DA1051" s="182"/>
      <c r="DB1051" s="169">
        <f>LN(CZ1052/CZ1050)</f>
        <v>0.21224472439102784</v>
      </c>
      <c r="DC1051" s="181">
        <f>VLOOKUP($H1051,RoR!$E:$F,2,FALSE)</f>
        <v>2.7033333333333336E-2</v>
      </c>
      <c r="DD1051" s="183">
        <f>HLOOKUP($H1051,'GDP-PI'!$D$8:$CR$11,3,FALSE)</f>
        <v>4.2834637353352578E-2</v>
      </c>
      <c r="DE1051" s="181">
        <f>VLOOKUP(H1051,'HW Dx Data'!$E:$F,2,FALSE)</f>
        <v>933.02249921662576</v>
      </c>
      <c r="DF1051" s="72">
        <f t="shared" si="1902"/>
        <v>157.25</v>
      </c>
      <c r="DG1051" s="69">
        <f t="shared" si="1903"/>
        <v>2.6419062301765574E-2</v>
      </c>
      <c r="DH1051" s="175">
        <f>HLOOKUP(H1051,'GDP-PI'!$8:$9,2,FALSE)</f>
        <v>118.49</v>
      </c>
      <c r="DI1051" s="169">
        <f t="shared" si="1893"/>
        <v>4.194261824609434E-2</v>
      </c>
    </row>
    <row r="1052" spans="1:132" s="160" customFormat="1" ht="21">
      <c r="G1052" s="161" t="s">
        <v>144</v>
      </c>
      <c r="H1052" s="162"/>
      <c r="I1052" s="163"/>
      <c r="J1052" s="159">
        <v>34575</v>
      </c>
      <c r="K1052" s="159">
        <f t="shared" si="1894"/>
        <v>212.70378345124576</v>
      </c>
      <c r="L1052" s="164">
        <f t="shared" ref="L1052" si="1916">LN(K1052/K1051)</f>
        <v>-3.3134592011266284E-2</v>
      </c>
      <c r="M1052" s="76">
        <f t="shared" si="1904"/>
        <v>-5.1900535077692976E-4</v>
      </c>
      <c r="N1052" s="166">
        <f>+N1051*EXP(O1052)</f>
        <v>119.75576433687104</v>
      </c>
      <c r="O1052" s="114">
        <f t="shared" si="1905"/>
        <v>-1.0560695257201203E-2</v>
      </c>
      <c r="P1052" s="114"/>
      <c r="Q1052" s="163">
        <v>48738</v>
      </c>
      <c r="R1052" s="159">
        <f t="shared" si="1895"/>
        <v>383.00982318271122</v>
      </c>
      <c r="S1052" s="165">
        <f t="shared" ref="S1052" si="1917">LN(R1052/R1051)</f>
        <v>-7.13161186989935E-2</v>
      </c>
      <c r="T1052" s="165">
        <f t="shared" si="1907"/>
        <v>-1.117063617045145E-3</v>
      </c>
      <c r="U1052" s="166"/>
      <c r="V1052" s="114"/>
      <c r="W1052" s="159">
        <f t="shared" si="1874"/>
        <v>171144.42259983975</v>
      </c>
      <c r="X1052" s="168"/>
      <c r="Y1052" s="167">
        <v>8342.8935663038174</v>
      </c>
      <c r="Z1052" s="168">
        <v>0.30449188719164472</v>
      </c>
      <c r="AA1052" s="76">
        <f t="shared" si="1896"/>
        <v>4.7694240106199342E-3</v>
      </c>
      <c r="AB1052" s="166"/>
      <c r="AC1052" s="114"/>
      <c r="AD1052" s="163">
        <f t="shared" si="1886"/>
        <v>254457.42259983975</v>
      </c>
      <c r="AE1052" s="168">
        <f t="shared" si="1908"/>
        <v>0.18932017038760696</v>
      </c>
      <c r="AF1052" s="113"/>
      <c r="AG1052" s="114"/>
      <c r="AH1052" s="114"/>
      <c r="AI1052" s="114"/>
      <c r="AJ1052" s="116">
        <f t="shared" si="1909"/>
        <v>623.3080847640947</v>
      </c>
      <c r="AK1052" s="114"/>
      <c r="AL1052" s="115">
        <f t="shared" si="1897"/>
        <v>0.1358773489361822</v>
      </c>
      <c r="AM1052" s="115">
        <f t="shared" si="1898"/>
        <v>0.19153695538544174</v>
      </c>
      <c r="AN1052" s="115">
        <f t="shared" si="1899"/>
        <v>0.67258569567837601</v>
      </c>
      <c r="AO1052" s="115"/>
      <c r="AP1052" s="166"/>
      <c r="AQ1052" s="168"/>
      <c r="AR1052" s="69">
        <f>+AD1052/$AF$27</f>
        <v>1.5663550364539262E-2</v>
      </c>
      <c r="AS1052" s="169"/>
      <c r="AT1052" s="166"/>
      <c r="AU1052" s="168"/>
      <c r="AV1052" s="113">
        <v>408237</v>
      </c>
      <c r="AW1052" s="68">
        <f t="shared" si="1875"/>
        <v>0</v>
      </c>
      <c r="AX1052" s="113"/>
      <c r="AY1052" s="113"/>
      <c r="AZ1052" s="113"/>
      <c r="BA1052" s="113"/>
      <c r="BB1052" s="171"/>
      <c r="BC1052" s="172"/>
      <c r="BD1052" s="173"/>
      <c r="BE1052" s="115"/>
      <c r="BF1052" s="174"/>
      <c r="BG1052" s="174"/>
      <c r="BH1052" s="166"/>
      <c r="BI1052" s="113"/>
      <c r="BJ1052" s="113"/>
      <c r="BK1052" s="113"/>
      <c r="BL1052" s="113"/>
      <c r="BM1052" s="232"/>
      <c r="BN1052" s="61">
        <f t="shared" si="1914"/>
        <v>0</v>
      </c>
      <c r="BO1052" s="113"/>
      <c r="BP1052" s="113"/>
      <c r="BQ1052" s="175"/>
      <c r="BR1052" s="175"/>
      <c r="BS1052" s="170"/>
      <c r="BT1052" s="176"/>
      <c r="BU1052" s="177"/>
      <c r="BV1052" s="177"/>
      <c r="BW1052" s="113"/>
      <c r="BX1052" s="113"/>
      <c r="BY1052" s="113"/>
      <c r="BZ1052" s="113"/>
      <c r="CA1052" s="116">
        <v>2022</v>
      </c>
      <c r="CB1052" s="113"/>
      <c r="CC1052" s="113"/>
      <c r="CD1052" s="113"/>
      <c r="CE1052" s="175"/>
      <c r="CF1052" s="113">
        <v>243647</v>
      </c>
      <c r="CG1052" s="113">
        <f>+CF1052/DE1052</f>
        <v>236.36460647452006</v>
      </c>
      <c r="CH1052" s="178">
        <f>+(51-24)/(51-24*0.75)</f>
        <v>0.81818181818181823</v>
      </c>
      <c r="CI1052" s="113">
        <f>+CI1028*CH1052+CG1029*CH1051+CG1030*CH1050+CG1031*CH1049+CG1032*CH1048+CG1033*CH1047+CG1034*CH1046+CG1035*CH1045+CG1036*CH1044+CG1037*CH1043+CG1038*CH1042+CG1039*CH1041+CG1040*CH1040+CG1041*CH1039+CG1042*CH1038+CG1043*CH1037+CG1044*CH1036+CG1045*CH1035+CG1046*CH1034+CG1047*CH1033+CG1048*CH1032+CG1049*CH1031+CG1050*CH1030+CG1051*CH1029+CG1052*CH1028</f>
        <v>6402.6717989558092</v>
      </c>
      <c r="CJ1052" s="114">
        <f t="shared" ref="CJ1052" si="1918">LN(CI1052/CI1051)</f>
        <v>3.9797152434924453E-2</v>
      </c>
      <c r="CK1052" s="113"/>
      <c r="CL1052" s="169">
        <f t="shared" si="1880"/>
        <v>-2.1843113439011207E-3</v>
      </c>
      <c r="CM1052" s="169">
        <f t="shared" si="1889"/>
        <v>8.8877603260028321E-3</v>
      </c>
      <c r="CN1052" s="114"/>
      <c r="CO1052" s="169"/>
      <c r="CP1052" s="169"/>
      <c r="CQ1052" s="69">
        <f t="shared" si="1890"/>
        <v>2.2014181282530791E-2</v>
      </c>
      <c r="CR1052" s="169">
        <f t="shared" si="1891"/>
        <v>0.10114668178709289</v>
      </c>
      <c r="CS1052" s="179">
        <f t="shared" si="1881"/>
        <v>0.90065499999999998</v>
      </c>
      <c r="CT1052" s="180">
        <f t="shared" si="1882"/>
        <v>1.2820512820512819</v>
      </c>
      <c r="CU1052" s="180">
        <f t="shared" si="1883"/>
        <v>0.35000000000000003</v>
      </c>
      <c r="CV1052" s="180">
        <f t="shared" si="1884"/>
        <v>0.79171095533705893</v>
      </c>
      <c r="CW1052" s="180">
        <f t="shared" si="1885"/>
        <v>0.35525491585637264</v>
      </c>
      <c r="CX1052" s="181">
        <f>CX1051</f>
        <v>0.26849999999999996</v>
      </c>
      <c r="CY1052" s="72">
        <v>0.37</v>
      </c>
      <c r="CZ1052" s="182">
        <f t="shared" si="1888"/>
        <v>27.81539257607955</v>
      </c>
      <c r="DA1052" s="182"/>
      <c r="DB1052" s="169">
        <f t="shared" ref="DB1052" si="1919">LN(CZ1052/CZ1051)</f>
        <v>0.27344452444060102</v>
      </c>
      <c r="DC1052" s="181">
        <v>0.04</v>
      </c>
      <c r="DD1052" s="183">
        <v>7.0000000000000001E-3</v>
      </c>
      <c r="DE1052" s="181">
        <v>1030.81</v>
      </c>
      <c r="DF1052" s="72">
        <f t="shared" si="1902"/>
        <v>162.55000000000001</v>
      </c>
      <c r="DG1052" s="169">
        <f t="shared" si="1903"/>
        <v>3.3148751169364422E-2</v>
      </c>
      <c r="DH1052" s="175">
        <v>127.25</v>
      </c>
      <c r="DI1052" s="169">
        <f t="shared" si="1893"/>
        <v>7.1325086601983473E-2</v>
      </c>
    </row>
    <row r="1053" spans="1:132" s="160" customFormat="1" ht="21">
      <c r="A1053" s="160" t="s">
        <v>223</v>
      </c>
      <c r="B1053" s="160" t="s">
        <v>223</v>
      </c>
      <c r="C1053" s="160">
        <v>4057146</v>
      </c>
      <c r="D1053" s="161" t="s">
        <v>209</v>
      </c>
      <c r="E1053" s="161"/>
      <c r="F1053" s="189"/>
      <c r="G1053" s="160" t="s">
        <v>100</v>
      </c>
      <c r="H1053" s="162">
        <v>1998</v>
      </c>
      <c r="I1053" s="163"/>
      <c r="J1053" s="159"/>
      <c r="K1053" s="159"/>
      <c r="L1053" s="159"/>
      <c r="M1053" s="60"/>
      <c r="N1053" s="131"/>
      <c r="O1053" s="76"/>
      <c r="P1053" s="76"/>
      <c r="Q1053" s="165"/>
      <c r="R1053" s="165"/>
      <c r="S1053" s="165"/>
      <c r="T1053" s="159"/>
      <c r="U1053" s="165"/>
      <c r="V1053" s="165"/>
      <c r="W1053" s="159">
        <f>+CI1051*CZ1053</f>
        <v>0</v>
      </c>
      <c r="X1053" s="163"/>
      <c r="Y1053" s="167">
        <v>11467.576030575954</v>
      </c>
      <c r="Z1053" s="168"/>
      <c r="AA1053" s="78"/>
      <c r="AB1053" s="168"/>
      <c r="AC1053" s="168"/>
      <c r="AD1053" s="163">
        <f t="shared" si="1886"/>
        <v>0</v>
      </c>
      <c r="AE1053" s="163"/>
      <c r="AF1053" s="163"/>
      <c r="AG1053" s="114"/>
      <c r="AH1053" s="114"/>
      <c r="AI1053" s="114"/>
      <c r="AJ1053" s="166">
        <f>+(AJ1050+AJ1051+AJ1052)/3</f>
        <v>556.64082658438576</v>
      </c>
      <c r="AK1053" s="168"/>
      <c r="AL1053" s="115"/>
      <c r="AM1053" s="115"/>
      <c r="AN1053" s="115"/>
      <c r="AO1053" s="115"/>
      <c r="AP1053" s="115"/>
      <c r="AQ1053" s="168">
        <f>AVERAGE(AQ1062:AQ1076)</f>
        <v>2.5858396032147478E-2</v>
      </c>
      <c r="AR1053" s="79"/>
      <c r="AS1053" s="115"/>
      <c r="AT1053" s="115"/>
      <c r="AU1053" s="115"/>
      <c r="AV1053" s="113">
        <f>IFERROR(INDEX('Total Customers'!$F$7:$AB$91,MATCH($C1053,'Total Customers'!$D$7:$D$91,0),MATCH($G1053,'Total Customers'!$F$5:$AB$5,0)),"NA")</f>
        <v>4864772</v>
      </c>
      <c r="AW1053" s="68"/>
      <c r="AX1053" s="114"/>
      <c r="AY1053" s="114"/>
      <c r="AZ1053" s="116"/>
      <c r="BA1053" s="116"/>
      <c r="BB1053" s="166"/>
      <c r="BC1053" s="166"/>
      <c r="BD1053" s="166"/>
      <c r="BE1053" s="166"/>
      <c r="BF1053" s="166"/>
      <c r="BG1053" s="166"/>
      <c r="BH1053" s="166"/>
      <c r="BI1053" s="113">
        <f>INDEX('Gross Dx Plant'!$E$7:$AD$91,MATCH($C1053,'Gross Dx Plant'!$D$7:$D$91,0),MATCH(Calculation!$G1053,'Gross Dx Plant'!$E$5:$AD$5,0))</f>
        <v>4200349</v>
      </c>
      <c r="BJ1053" s="113">
        <f>INDEX('Gross Gen Plant'!$E$7:$AD$91,MATCH($C1053,'Gross Gen Plant'!$D$7:$D$91,0),MATCH(Calculation!$G1053,'Gross Gen Plant'!$E$5:$AD$5,0))</f>
        <v>438322</v>
      </c>
      <c r="BK1053" s="113">
        <f>INDEX('Dist. Plant Gas Additions'!$F$7:$AE$91,MATCH($C1053,'Dist. Plant Gas Additions'!$D$7:$D$91,0),MATCH(Calculation!$G1053,'Dist. Plant Gas Additions'!$F$5:$AE$5,0))</f>
        <v>95686</v>
      </c>
      <c r="BL1053" s="113">
        <f>INDEX('Gen. Plant Additions'!$F$7:$AE$91,MATCH($C1053,'Gen. Plant Additions'!$D$7:$D$91,0),MATCH(Calculation!$G1053,'Gen. Plant Additions'!$F$5:$AE$5,0))</f>
        <v>33419</v>
      </c>
      <c r="BM1053" s="231">
        <f>+(BW1053/(BW1053+BX1053))</f>
        <v>0.90550698680721264</v>
      </c>
      <c r="BN1053" s="61">
        <f t="shared" si="1914"/>
        <v>30261.137992110238</v>
      </c>
      <c r="BO1053" s="113">
        <f>INDEX('Dist Plant Depreciation'!$E$7:$AD$94,MATCH($C1053,'Dist Plant Depreciation'!$D$7:$D$94,0),MATCH(Calculation!$G1053,'Dist Plant Depreciation'!$E$5:$AD$5,0))</f>
        <v>2198338</v>
      </c>
      <c r="BP1053" s="113">
        <f>INDEX('Gen. Plant Depreciation'!$E$7:$AD$94,MATCH($C1053,'Gen. Plant Depreciation'!$D$7:$D$94,0),MATCH(Calculation!$G1053,'Gen. Plant Depreciation'!$E$5:$AD$5,0))</f>
        <v>127100</v>
      </c>
      <c r="BQ1053" s="113"/>
      <c r="BR1053" s="113"/>
      <c r="BS1053" s="113"/>
      <c r="BT1053" s="113"/>
      <c r="BU1053" s="113"/>
      <c r="BV1053" s="175"/>
      <c r="BW1053" s="113">
        <f>INDEX('Gross Dx Plant'!$E$7:$AD$91,MATCH($C1053,'Gross Dx Plant'!$D$7:$D$91,0),MATCH(Calculation!$G1053,'Gross Dx Plant'!$E$5:$AD$5,0))</f>
        <v>4200349</v>
      </c>
      <c r="BX1053" s="113">
        <f>INDEX('Gross Gen Plant'!$E$7:$AD$91,MATCH($C1053,'Gross Gen Plant'!$D$7:$D$91,0),MATCH(Calculation!$G1053,'Gross Gen Plant'!$E$5:$AD$5,0))</f>
        <v>438322</v>
      </c>
      <c r="BY1053" s="113">
        <f t="shared" si="1868"/>
        <v>2313233</v>
      </c>
      <c r="BZ1053" s="113"/>
      <c r="CA1053" s="116">
        <v>1998</v>
      </c>
      <c r="CB1053" s="113">
        <f>BI1053+BJ1053</f>
        <v>4638671</v>
      </c>
      <c r="CC1053" s="113">
        <f>2198338+127100</f>
        <v>2325438</v>
      </c>
      <c r="CD1053" s="113">
        <f>+CB1053-CC1053</f>
        <v>2313233</v>
      </c>
      <c r="CE1053" s="113">
        <f>CD1053/$BV$3</f>
        <v>11467.576030575954</v>
      </c>
      <c r="CF1053" s="175"/>
      <c r="CG1053" s="175"/>
      <c r="CH1053" s="178">
        <v>1</v>
      </c>
      <c r="CI1053" s="113">
        <f>+CE1053</f>
        <v>11467.576030575954</v>
      </c>
      <c r="CJ1053" s="114"/>
      <c r="CK1053" s="114"/>
      <c r="CL1053" s="169"/>
      <c r="CM1053" s="169"/>
      <c r="CN1053" s="114" t="e">
        <f>VLOOKUP($H1053,RoR!$E:$F,2,FALSE)</f>
        <v>#N/A</v>
      </c>
      <c r="CO1053" s="169">
        <v>1.1028127770464469E-2</v>
      </c>
      <c r="CP1053" s="169"/>
      <c r="CQ1053" s="169"/>
      <c r="CR1053" s="169"/>
      <c r="CS1053" s="179"/>
      <c r="CT1053" s="182" t="e">
        <f>2/(DC1053*39)</f>
        <v>#N/A</v>
      </c>
      <c r="CU1053" s="180" t="e">
        <f>+(DC1053*40-(1+DC1053))/(DC1053*40)</f>
        <v>#N/A</v>
      </c>
      <c r="CV1053" s="180" t="e">
        <f>+(1-(1/(1+DC1053)^40))</f>
        <v>#N/A</v>
      </c>
      <c r="CW1053" s="180" t="e">
        <f>+CV1053*CU1053*CT1053</f>
        <v>#N/A</v>
      </c>
      <c r="CX1053" s="181">
        <f>INDEX('State Tax Lookup'!$D$7:$Z$91,MATCH(Calculation!$C1053,'State Tax Lookup'!$B$7:$B$91,0),MATCH($H1053,'State Tax Lookup'!$D$6:$Z$6,0))</f>
        <v>0.40745999999999999</v>
      </c>
      <c r="CY1053" s="72">
        <v>0.37</v>
      </c>
      <c r="CZ1053" s="66"/>
      <c r="DA1053" s="66"/>
      <c r="DB1053" s="69"/>
      <c r="DC1053" s="111" t="e">
        <f>VLOOKUP($H1053,RoR!$E:$F,2,FALSE)</f>
        <v>#N/A</v>
      </c>
      <c r="DD1053" s="216">
        <f>HLOOKUP($H1053,'GDP-PI'!$D$8:$CQ$11,3,FALSE)</f>
        <v>1.1028127770464469E-2</v>
      </c>
      <c r="DE1053" s="111">
        <f>VLOOKUP(H1053,'HW Dx Data'!$E:$F,2,FALSE)</f>
        <v>329.24564746449528</v>
      </c>
      <c r="DF1053" s="72" t="e">
        <f t="shared" si="1902"/>
        <v>#N/A</v>
      </c>
      <c r="DG1053" s="169" t="e">
        <f t="shared" si="1903"/>
        <v>#N/A</v>
      </c>
      <c r="DH1053" s="66">
        <f>HLOOKUP(H1053,'GDP-PI'!$8:$9,2,FALSE)</f>
        <v>75.266999999999996</v>
      </c>
      <c r="DI1053"/>
    </row>
    <row r="1054" spans="1:132" s="160" customFormat="1" ht="21">
      <c r="A1054" s="160" t="s">
        <v>223</v>
      </c>
      <c r="B1054" s="160" t="s">
        <v>223</v>
      </c>
      <c r="C1054" s="160">
        <v>4057146</v>
      </c>
      <c r="D1054" s="161" t="s">
        <v>209</v>
      </c>
      <c r="E1054" s="161"/>
      <c r="F1054" s="189"/>
      <c r="G1054" s="160" t="s">
        <v>106</v>
      </c>
      <c r="H1054" s="162">
        <v>1999</v>
      </c>
      <c r="I1054" s="163"/>
      <c r="J1054" s="159"/>
      <c r="K1054" s="163"/>
      <c r="L1054" s="163"/>
      <c r="M1054" s="60"/>
      <c r="N1054" s="152"/>
      <c r="O1054" s="60"/>
      <c r="P1054" s="59"/>
      <c r="Q1054" s="169"/>
      <c r="R1054" s="169"/>
      <c r="S1054" s="169"/>
      <c r="T1054" s="187"/>
      <c r="U1054" s="169"/>
      <c r="V1054" s="169"/>
      <c r="W1054" s="159">
        <f t="shared" ref="W1054:W1077" si="1920">+CI1053*CZ1054</f>
        <v>0</v>
      </c>
      <c r="X1054" s="163"/>
      <c r="Y1054" s="167">
        <v>11793.814260509635</v>
      </c>
      <c r="Z1054" s="168">
        <v>2.8051601252882707E-2</v>
      </c>
      <c r="AA1054" s="78"/>
      <c r="AB1054" s="168"/>
      <c r="AC1054" s="168"/>
      <c r="AD1054" s="163">
        <f t="shared" si="1886"/>
        <v>0</v>
      </c>
      <c r="AE1054" s="168"/>
      <c r="AF1054" s="163"/>
      <c r="AG1054" s="114"/>
      <c r="AH1054" s="114"/>
      <c r="AI1054" s="114"/>
      <c r="AJ1054" s="167"/>
      <c r="AK1054" s="168"/>
      <c r="AL1054" s="115"/>
      <c r="AM1054" s="115"/>
      <c r="AN1054" s="115"/>
      <c r="AO1054" s="115"/>
      <c r="AP1054" s="115"/>
      <c r="AQ1054" s="168"/>
      <c r="AR1054" s="79"/>
      <c r="AS1054" s="115"/>
      <c r="AT1054" s="115"/>
      <c r="AU1054" s="115"/>
      <c r="AV1054" s="113">
        <f>IFERROR(INDEX('Total Customers'!$F$7:$AB$91,MATCH($C1054,'Total Customers'!$D$7:$D$91,0),MATCH($G1054,'Total Customers'!$F$5:$AB$5,0)),"NA")</f>
        <v>4939388</v>
      </c>
      <c r="AW1054" s="68">
        <f t="shared" si="1875"/>
        <v>1.5221587710669594E-2</v>
      </c>
      <c r="AX1054" s="114"/>
      <c r="AY1054" s="114"/>
      <c r="AZ1054" s="116"/>
      <c r="BA1054" s="116"/>
      <c r="BB1054" s="166"/>
      <c r="BC1054" s="166"/>
      <c r="BD1054" s="166"/>
      <c r="BE1054" s="166"/>
      <c r="BF1054" s="166"/>
      <c r="BG1054" s="166"/>
      <c r="BH1054" s="166"/>
      <c r="BI1054" s="113"/>
      <c r="BJ1054" s="113"/>
      <c r="BK1054" s="113">
        <f>INDEX('Dist. Plant Gas Additions'!$F$7:$AE$91,MATCH($C1054,'Dist. Plant Gas Additions'!$D$7:$D$91,0),MATCH(Calculation!$G1054,'Dist. Plant Gas Additions'!$F$5:$AE$5,0))</f>
        <v>97757</v>
      </c>
      <c r="BL1054" s="113">
        <f>INDEX('Gen. Plant Additions'!$F$7:$AE$91,MATCH($C1054,'Gen. Plant Additions'!$D$7:$D$91,0),MATCH(Calculation!$G1054,'Gen. Plant Additions'!$F$5:$AE$5,0))</f>
        <v>30770</v>
      </c>
      <c r="BM1054" s="231">
        <f t="shared" ref="BM1054:BM1074" si="1921">+(BW1054/(BW1054+BX1054))</f>
        <v>0.90444323126365489</v>
      </c>
      <c r="BN1054" s="61">
        <f t="shared" si="1914"/>
        <v>27829.718225982662</v>
      </c>
      <c r="BO1054" s="113">
        <f>INDEX('Dist Plant Depreciation'!$E$7:$AD$94,MATCH($C1054,'Dist Plant Depreciation'!$D$7:$D$94,0),MATCH(Calculation!$G1054,'Dist Plant Depreciation'!$E$5:$AD$5,0))</f>
        <v>2359644</v>
      </c>
      <c r="BP1054" s="113">
        <f>INDEX('Gen. Plant Depreciation'!$E$7:$AD$94,MATCH($C1054,'Gen. Plant Depreciation'!$D$7:$D$94,0),MATCH(Calculation!$G1054,'Gen. Plant Depreciation'!$E$5:$AD$5,0))</f>
        <v>152975</v>
      </c>
      <c r="BQ1054" s="113"/>
      <c r="BR1054" s="113"/>
      <c r="BS1054" s="113"/>
      <c r="BT1054" s="113"/>
      <c r="BU1054" s="113"/>
      <c r="BV1054" s="175"/>
      <c r="BW1054" s="113">
        <f>INDEX('Gross Dx Plant'!$E$7:$AD$91,MATCH($C1054,'Gross Dx Plant'!$D$7:$D$91,0),MATCH(Calculation!$G1054,'Gross Dx Plant'!$E$5:$AD$5,0))</f>
        <v>4285877</v>
      </c>
      <c r="BX1054" s="113">
        <f>INDEX('Gross Gen Plant'!$E$7:$AD$91,MATCH($C1054,'Gross Gen Plant'!$D$7:$D$91,0),MATCH(Calculation!$G1054,'Gross Gen Plant'!$E$5:$AD$5,0))</f>
        <v>452814</v>
      </c>
      <c r="BY1054" s="113">
        <f t="shared" si="1868"/>
        <v>2226072</v>
      </c>
      <c r="BZ1054" s="113"/>
      <c r="CA1054" s="116">
        <v>1999</v>
      </c>
      <c r="CB1054" s="113"/>
      <c r="CC1054" s="113"/>
      <c r="CD1054" s="113"/>
      <c r="CE1054" s="175"/>
      <c r="CF1054" s="113">
        <f t="shared" ref="CF1054:CF1074" si="1922">+BL1054+BK1054</f>
        <v>128527</v>
      </c>
      <c r="CG1054" s="113">
        <f t="shared" ref="CG1054:CG1076" si="1923">+CF1054/$DE1054</f>
        <v>383.2908470012228</v>
      </c>
      <c r="CH1054" s="178">
        <v>0.99502487562189057</v>
      </c>
      <c r="CI1054" s="61">
        <f>+CI1053*CH1054+CG1054</f>
        <v>11793.814260509635</v>
      </c>
      <c r="CJ1054" s="114">
        <f t="shared" ref="CJ1054:CJ1075" si="1924">LN(CI1054/CI1053)</f>
        <v>2.8051601252882707E-2</v>
      </c>
      <c r="CK1054" s="114"/>
      <c r="CL1054" s="169">
        <f t="shared" ref="CL1054:CL1077" si="1925">+(CI1053-CI1054+CG1054)/CI1053</f>
        <v>4.9751243781094752E-3</v>
      </c>
      <c r="CM1054" s="169"/>
      <c r="CN1054" s="114">
        <f>VLOOKUP($H1054,RoR!$E:$F,2,FALSE)</f>
        <v>7.0416666666666669E-2</v>
      </c>
      <c r="CO1054" s="169">
        <v>1.4335631817396832E-2</v>
      </c>
      <c r="CP1054" s="169">
        <f>+CN1054-CO1054</f>
        <v>5.6081034849269837E-2</v>
      </c>
      <c r="CQ1054" s="169"/>
      <c r="CR1054" s="169"/>
      <c r="CS1054" s="179">
        <f t="shared" ref="CS1054:CS1077" si="1926">1-CX1054*CY1054</f>
        <v>0.84923979999999999</v>
      </c>
      <c r="CT1054" s="180">
        <f t="shared" ref="CT1054:CT1077" si="1927">2/(DC1054*39)</f>
        <v>0.72826581702321336</v>
      </c>
      <c r="CU1054" s="180">
        <f t="shared" ref="CU1054:CU1077" si="1928">+(DC1054*40-(1+DC1054))/(DC1054*40)</f>
        <v>0.61997041420118348</v>
      </c>
      <c r="CV1054" s="180">
        <f t="shared" ref="CV1054:CV1077" si="1929">+(1-(1/(1+DC1054)^40))</f>
        <v>0.93425155319585029</v>
      </c>
      <c r="CW1054" s="180">
        <f t="shared" ref="CW1054:CW1077" si="1930">+CV1054*CU1054*CT1054</f>
        <v>0.42181762214141483</v>
      </c>
      <c r="CX1054" s="181">
        <f>INDEX('State Tax Lookup'!$D$7:$Z$91,MATCH(Calculation!$C1054,'State Tax Lookup'!$B$7:$B$91,0),MATCH($H1054,'State Tax Lookup'!$D$6:$Z$6,0))</f>
        <v>0.40745999999999999</v>
      </c>
      <c r="CY1054" s="72">
        <v>0.37</v>
      </c>
      <c r="CZ1054" s="70"/>
      <c r="DA1054" s="70"/>
      <c r="DB1054" s="69"/>
      <c r="DC1054" s="111">
        <f>VLOOKUP($H1054,RoR!$E:$F,2,FALSE)</f>
        <v>7.0416666666666669E-2</v>
      </c>
      <c r="DD1054" s="216">
        <f>HLOOKUP($H1054,'GDP-PI'!$D$8:$CQ$11,3,FALSE)</f>
        <v>1.4335631817396832E-2</v>
      </c>
      <c r="DE1054" s="111">
        <f>VLOOKUP(H1054,'HW Dx Data'!$E:$F,2,FALSE)</f>
        <v>335.32499146683239</v>
      </c>
      <c r="DF1054" s="66"/>
      <c r="DG1054" s="69"/>
      <c r="DH1054" s="66">
        <f>HLOOKUP(H1054,'GDP-PI'!$8:$9,2,FALSE)</f>
        <v>76.346000000000004</v>
      </c>
      <c r="DI1054"/>
    </row>
    <row r="1055" spans="1:132" s="160" customFormat="1" ht="21">
      <c r="A1055" s="160" t="s">
        <v>223</v>
      </c>
      <c r="B1055" s="160" t="s">
        <v>223</v>
      </c>
      <c r="C1055" s="160">
        <v>4057146</v>
      </c>
      <c r="D1055" s="161" t="s">
        <v>209</v>
      </c>
      <c r="E1055" s="161"/>
      <c r="F1055" s="189"/>
      <c r="G1055" s="160" t="s">
        <v>107</v>
      </c>
      <c r="H1055" s="162">
        <v>2000</v>
      </c>
      <c r="I1055" s="163"/>
      <c r="J1055" s="159"/>
      <c r="K1055" s="159"/>
      <c r="L1055" s="159"/>
      <c r="M1055" s="60"/>
      <c r="N1055" s="152"/>
      <c r="O1055" s="60"/>
      <c r="P1055" s="60"/>
      <c r="Q1055" s="159"/>
      <c r="R1055" s="159"/>
      <c r="S1055" s="159"/>
      <c r="T1055" s="159"/>
      <c r="U1055" s="159"/>
      <c r="V1055" s="159"/>
      <c r="W1055" s="159">
        <f t="shared" si="1920"/>
        <v>0</v>
      </c>
      <c r="X1055" s="163"/>
      <c r="Y1055" s="167">
        <v>12172.205784994709</v>
      </c>
      <c r="Z1055" s="168">
        <v>3.1579959504218914E-2</v>
      </c>
      <c r="AA1055" s="78"/>
      <c r="AB1055" s="168"/>
      <c r="AC1055" s="168"/>
      <c r="AD1055" s="163">
        <f t="shared" si="1886"/>
        <v>0</v>
      </c>
      <c r="AE1055" s="168"/>
      <c r="AF1055" s="163"/>
      <c r="AG1055" s="163"/>
      <c r="AH1055" s="163"/>
      <c r="AI1055" s="163"/>
      <c r="AJ1055" s="167"/>
      <c r="AK1055" s="168"/>
      <c r="AL1055" s="115"/>
      <c r="AM1055" s="115"/>
      <c r="AN1055" s="115"/>
      <c r="AO1055" s="115"/>
      <c r="AP1055" s="115"/>
      <c r="AQ1055" s="168"/>
      <c r="AR1055" s="79"/>
      <c r="AS1055" s="115"/>
      <c r="AT1055" s="115"/>
      <c r="AU1055" s="115"/>
      <c r="AV1055" s="113">
        <f>IFERROR(INDEX('Total Customers'!$F$7:$AB$91,MATCH($C1055,'Total Customers'!$D$7:$D$91,0),MATCH($G1055,'Total Customers'!$F$5:$AB$5,0)),"NA")</f>
        <v>5008662</v>
      </c>
      <c r="AW1055" s="68">
        <f t="shared" si="1875"/>
        <v>1.3927376674498768E-2</v>
      </c>
      <c r="AX1055" s="114"/>
      <c r="AY1055" s="114"/>
      <c r="AZ1055" s="116"/>
      <c r="BA1055" s="116"/>
      <c r="BB1055" s="166"/>
      <c r="BC1055" s="166"/>
      <c r="BD1055" s="166"/>
      <c r="BE1055" s="166"/>
      <c r="BF1055" s="166"/>
      <c r="BG1055" s="166"/>
      <c r="BH1055" s="166"/>
      <c r="BI1055" s="113"/>
      <c r="BJ1055" s="113"/>
      <c r="BK1055" s="113">
        <f>INDEX('Dist. Plant Gas Additions'!$F$7:$AE$91,MATCH($C1055,'Dist. Plant Gas Additions'!$D$7:$D$91,0),MATCH(Calculation!$G1055,'Dist. Plant Gas Additions'!$F$5:$AE$5,0))</f>
        <v>124796</v>
      </c>
      <c r="BL1055" s="113">
        <f>INDEX('Gen. Plant Additions'!$F$7:$AE$91,MATCH($C1055,'Gen. Plant Additions'!$D$7:$D$91,0),MATCH(Calculation!$G1055,'Gen. Plant Additions'!$F$5:$AE$5,0))</f>
        <v>27360</v>
      </c>
      <c r="BM1055" s="231">
        <f t="shared" si="1921"/>
        <v>0.90370398899043414</v>
      </c>
      <c r="BN1055" s="61">
        <f t="shared" si="1914"/>
        <v>24725.341138778276</v>
      </c>
      <c r="BO1055" s="113">
        <f>INDEX('Dist Plant Depreciation'!$E$7:$AD$94,MATCH($C1055,'Dist Plant Depreciation'!$D$7:$D$94,0),MATCH(Calculation!$G1055,'Dist Plant Depreciation'!$E$5:$AD$5,0))</f>
        <v>2508327</v>
      </c>
      <c r="BP1055" s="113">
        <f>INDEX('Gen. Plant Depreciation'!$E$7:$AD$94,MATCH($C1055,'Gen. Plant Depreciation'!$D$7:$D$94,0),MATCH(Calculation!$G1055,'Gen. Plant Depreciation'!$E$5:$AD$5,0))</f>
        <v>184022</v>
      </c>
      <c r="BQ1055" s="113"/>
      <c r="BR1055" s="113"/>
      <c r="BS1055" s="113"/>
      <c r="BT1055" s="113"/>
      <c r="BU1055" s="113"/>
      <c r="BV1055" s="175"/>
      <c r="BW1055" s="113">
        <f>INDEX('Gross Dx Plant'!$E$7:$AD$91,MATCH($C1055,'Gross Dx Plant'!$D$7:$D$91,0),MATCH(Calculation!$G1055,'Gross Dx Plant'!$E$5:$AD$5,0))</f>
        <v>4387857</v>
      </c>
      <c r="BX1055" s="113">
        <f>INDEX('Gross Gen Plant'!$E$7:$AD$91,MATCH($C1055,'Gross Gen Plant'!$D$7:$D$91,0),MATCH(Calculation!$G1055,'Gross Gen Plant'!$E$5:$AD$5,0))</f>
        <v>467557</v>
      </c>
      <c r="BY1055" s="113">
        <f t="shared" si="1868"/>
        <v>2163065</v>
      </c>
      <c r="BZ1055" s="113"/>
      <c r="CA1055" s="116">
        <v>2000</v>
      </c>
      <c r="CB1055" s="113"/>
      <c r="CC1055" s="113"/>
      <c r="CD1055" s="113"/>
      <c r="CE1055" s="175"/>
      <c r="CF1055" s="113">
        <f t="shared" si="1922"/>
        <v>152156</v>
      </c>
      <c r="CG1055" s="113">
        <f t="shared" si="1923"/>
        <v>439.07992837330272</v>
      </c>
      <c r="CH1055" s="178">
        <v>0.98989898989898994</v>
      </c>
      <c r="CI1055" s="61">
        <f>+CI1053*CH1055+CG1054*CH1054+CG1055</f>
        <v>12172.205784994709</v>
      </c>
      <c r="CJ1055" s="114">
        <f t="shared" si="1924"/>
        <v>3.1579959504218914E-2</v>
      </c>
      <c r="CK1055" s="114"/>
      <c r="CL1055" s="169">
        <f t="shared" si="1925"/>
        <v>5.1457825727710023E-3</v>
      </c>
      <c r="CM1055" s="169"/>
      <c r="CN1055" s="114">
        <f>VLOOKUP($H1055,RoR!$E:$F,2,FALSE)</f>
        <v>7.6225000000000001E-2</v>
      </c>
      <c r="CO1055" s="169">
        <v>2.2568307442433211E-2</v>
      </c>
      <c r="CP1055" s="169">
        <f t="shared" ref="CP1055:CP1075" si="1931">+CN1055-CO1055</f>
        <v>5.365669255756679E-2</v>
      </c>
      <c r="CQ1055" s="169"/>
      <c r="CR1055" s="169"/>
      <c r="CS1055" s="179">
        <f t="shared" si="1926"/>
        <v>0.84923979999999999</v>
      </c>
      <c r="CT1055" s="180">
        <f t="shared" si="1927"/>
        <v>0.67277207323124022</v>
      </c>
      <c r="CU1055" s="180">
        <f t="shared" si="1928"/>
        <v>0.6470236142997704</v>
      </c>
      <c r="CV1055" s="180">
        <f t="shared" si="1929"/>
        <v>0.94704866037543145</v>
      </c>
      <c r="CW1055" s="180">
        <f t="shared" si="1930"/>
        <v>0.41224973107878493</v>
      </c>
      <c r="CX1055" s="181">
        <f>INDEX('State Tax Lookup'!$D$7:$Z$91,MATCH(Calculation!$C1055,'State Tax Lookup'!$B$7:$B$91,0),MATCH($H1055,'State Tax Lookup'!$D$6:$Z$6,0))</f>
        <v>0.40745999999999999</v>
      </c>
      <c r="CY1055" s="72">
        <v>0.37</v>
      </c>
      <c r="CZ1055" s="70"/>
      <c r="DA1055" s="70"/>
      <c r="DB1055" s="69"/>
      <c r="DC1055" s="111">
        <f>VLOOKUP($H1055,RoR!$E:$F,2,FALSE)</f>
        <v>7.6225000000000001E-2</v>
      </c>
      <c r="DD1055" s="216">
        <f>HLOOKUP($H1055,'GDP-PI'!$D$8:$CQ$11,3,FALSE)</f>
        <v>2.2568307442433211E-2</v>
      </c>
      <c r="DE1055" s="111">
        <f>VLOOKUP(H1055,'HW Dx Data'!$E:$F,2,FALSE)</f>
        <v>346.53371782150339</v>
      </c>
      <c r="DF1055" s="66"/>
      <c r="DG1055" s="69"/>
      <c r="DH1055" s="66">
        <f>HLOOKUP(H1055,'GDP-PI'!$8:$9,2,FALSE)</f>
        <v>78.069000000000003</v>
      </c>
      <c r="DI1055"/>
    </row>
    <row r="1056" spans="1:132" s="160" customFormat="1" ht="21">
      <c r="A1056" s="160" t="s">
        <v>223</v>
      </c>
      <c r="B1056" s="160" t="s">
        <v>223</v>
      </c>
      <c r="C1056" s="160">
        <v>4057146</v>
      </c>
      <c r="D1056" s="161" t="s">
        <v>209</v>
      </c>
      <c r="E1056" s="161"/>
      <c r="F1056" s="189"/>
      <c r="G1056" s="160" t="s">
        <v>111</v>
      </c>
      <c r="H1056" s="162">
        <v>2001</v>
      </c>
      <c r="I1056" s="163"/>
      <c r="J1056" s="159"/>
      <c r="K1056" s="159"/>
      <c r="L1056" s="159"/>
      <c r="M1056" s="60"/>
      <c r="N1056" s="152"/>
      <c r="O1056" s="60"/>
      <c r="P1056" s="60"/>
      <c r="Q1056" s="159"/>
      <c r="R1056" s="159"/>
      <c r="S1056" s="159"/>
      <c r="T1056" s="159"/>
      <c r="U1056" s="159"/>
      <c r="V1056" s="159"/>
      <c r="W1056" s="159">
        <f t="shared" si="1920"/>
        <v>158760.25988845565</v>
      </c>
      <c r="X1056" s="163"/>
      <c r="Y1056" s="167">
        <v>12548.386680572978</v>
      </c>
      <c r="Z1056" s="168">
        <v>3.0436967649634404E-2</v>
      </c>
      <c r="AA1056" s="78"/>
      <c r="AB1056" s="168"/>
      <c r="AC1056" s="168"/>
      <c r="AD1056" s="163">
        <f t="shared" si="1886"/>
        <v>158760.25988845565</v>
      </c>
      <c r="AE1056" s="168"/>
      <c r="AF1056" s="163"/>
      <c r="AG1056" s="163"/>
      <c r="AH1056" s="163"/>
      <c r="AI1056" s="163"/>
      <c r="AJ1056" s="167"/>
      <c r="AK1056" s="168"/>
      <c r="AL1056" s="115"/>
      <c r="AM1056" s="115"/>
      <c r="AN1056" s="115"/>
      <c r="AO1056" s="115"/>
      <c r="AP1056" s="115"/>
      <c r="AQ1056" s="168"/>
      <c r="AR1056" s="79"/>
      <c r="AS1056" s="115"/>
      <c r="AT1056" s="115"/>
      <c r="AU1056" s="115"/>
      <c r="AV1056" s="113">
        <f>IFERROR(INDEX('Total Customers'!$F$7:$AB$91,MATCH($C1056,'Total Customers'!$D$7:$D$91,0),MATCH($G1056,'Total Customers'!$F$5:$AB$5,0)),"NA")</f>
        <v>5064323</v>
      </c>
      <c r="AW1056" s="68">
        <f t="shared" si="1875"/>
        <v>1.1051652818019481E-2</v>
      </c>
      <c r="AX1056" s="114"/>
      <c r="AY1056" s="114"/>
      <c r="AZ1056" s="116"/>
      <c r="BA1056" s="116"/>
      <c r="BB1056" s="166"/>
      <c r="BC1056" s="166"/>
      <c r="BD1056" s="166"/>
      <c r="BE1056" s="166"/>
      <c r="BF1056" s="166"/>
      <c r="BG1056" s="166"/>
      <c r="BH1056" s="166"/>
      <c r="BI1056" s="113"/>
      <c r="BJ1056" s="113"/>
      <c r="BK1056" s="113">
        <f>INDEX('Dist. Plant Gas Additions'!$F$7:$AE$91,MATCH($C1056,'Dist. Plant Gas Additions'!$D$7:$D$91,0),MATCH(Calculation!$G1056,'Dist. Plant Gas Additions'!$F$5:$AE$5,0))</f>
        <v>133617</v>
      </c>
      <c r="BL1056" s="113">
        <f>INDEX('Gen. Plant Additions'!$F$7:$AE$91,MATCH($C1056,'Gen. Plant Additions'!$D$7:$D$91,0),MATCH(Calculation!$G1056,'Gen. Plant Additions'!$F$5:$AE$5,0))</f>
        <v>21453</v>
      </c>
      <c r="BM1056" s="231">
        <f t="shared" si="1921"/>
        <v>0.90585656998036657</v>
      </c>
      <c r="BN1056" s="61">
        <f t="shared" si="1914"/>
        <v>19433.340995788803</v>
      </c>
      <c r="BO1056" s="113">
        <f>INDEX('Dist Plant Depreciation'!$E$7:$AD$94,MATCH($C1056,'Dist Plant Depreciation'!$D$7:$D$94,0),MATCH(Calculation!$G1056,'Dist Plant Depreciation'!$E$5:$AD$5,0))</f>
        <v>2664859</v>
      </c>
      <c r="BP1056" s="113">
        <f>INDEX('Gen. Plant Depreciation'!$E$7:$AD$94,MATCH($C1056,'Gen. Plant Depreciation'!$D$7:$D$94,0),MATCH(Calculation!$G1056,'Gen. Plant Depreciation'!$E$5:$AD$5,0))</f>
        <v>203946</v>
      </c>
      <c r="BQ1056" s="113"/>
      <c r="BR1056" s="113"/>
      <c r="BS1056" s="113"/>
      <c r="BT1056" s="113"/>
      <c r="BU1056" s="113"/>
      <c r="BV1056" s="175"/>
      <c r="BW1056" s="113">
        <f>INDEX('Gross Dx Plant'!$E$7:$AD$91,MATCH($C1056,'Gross Dx Plant'!$D$7:$D$91,0),MATCH(Calculation!$G1056,'Gross Dx Plant'!$E$5:$AD$5,0))</f>
        <v>4505409</v>
      </c>
      <c r="BX1056" s="113">
        <f>INDEX('Gross Gen Plant'!$E$7:$AD$91,MATCH($C1056,'Gross Gen Plant'!$D$7:$D$91,0),MATCH(Calculation!$G1056,'Gross Gen Plant'!$E$5:$AD$5,0))</f>
        <v>468236</v>
      </c>
      <c r="BY1056" s="113">
        <f t="shared" si="1868"/>
        <v>2104840</v>
      </c>
      <c r="BZ1056" s="113"/>
      <c r="CA1056" s="116">
        <v>2001</v>
      </c>
      <c r="CB1056" s="113"/>
      <c r="CC1056" s="113"/>
      <c r="CD1056" s="113"/>
      <c r="CE1056" s="175"/>
      <c r="CF1056" s="113">
        <f t="shared" si="1922"/>
        <v>155070</v>
      </c>
      <c r="CG1056" s="113">
        <f t="shared" si="1923"/>
        <v>438.73574596392604</v>
      </c>
      <c r="CH1056" s="178">
        <v>0.98461538461538467</v>
      </c>
      <c r="CI1056" s="61">
        <f>+CI1053*CH1056+CG1054*CH1055+CG1055*CH1053+CG1056</f>
        <v>12548.386680572978</v>
      </c>
      <c r="CJ1056" s="114">
        <f t="shared" si="1924"/>
        <v>3.0436967649634404E-2</v>
      </c>
      <c r="CK1056" s="114"/>
      <c r="CL1056" s="169">
        <f t="shared" si="1925"/>
        <v>5.1391548492198168E-3</v>
      </c>
      <c r="CM1056" s="169">
        <f>+(CL1056+CL1055+CL1054)/3</f>
        <v>5.0866872667000981E-3</v>
      </c>
      <c r="CN1056" s="114">
        <f>VLOOKUP($H1056,RoR!$E:$F,2,FALSE)</f>
        <v>7.0824999999999999E-2</v>
      </c>
      <c r="CO1056" s="169">
        <v>2.2454495382290052E-2</v>
      </c>
      <c r="CP1056" s="169">
        <f t="shared" si="1931"/>
        <v>4.8370504617709947E-2</v>
      </c>
      <c r="CQ1056" s="169">
        <f>+$CP$2-CM1056</f>
        <v>2.5815254341833526E-2</v>
      </c>
      <c r="CR1056" s="169">
        <f>+((DE1054/DE1053-1)+(DE1055/DE1054-1)+(DE1056/DE1055-1))/3</f>
        <v>2.3947275901631187E-2</v>
      </c>
      <c r="CS1056" s="179">
        <f t="shared" si="1926"/>
        <v>0.84923979999999999</v>
      </c>
      <c r="CT1056" s="180">
        <f t="shared" si="1927"/>
        <v>0.72406708481540816</v>
      </c>
      <c r="CU1056" s="180">
        <f t="shared" si="1928"/>
        <v>0.62201729615248857</v>
      </c>
      <c r="CV1056" s="180">
        <f t="shared" si="1929"/>
        <v>0.9352469954311422</v>
      </c>
      <c r="CW1056" s="180">
        <f t="shared" si="1930"/>
        <v>0.42121864641655071</v>
      </c>
      <c r="CX1056" s="181">
        <f>INDEX('State Tax Lookup'!$D$7:$Z$91,MATCH(Calculation!$C1056,'State Tax Lookup'!$B$7:$B$91,0),MATCH($H1056,'State Tax Lookup'!$D$6:$Z$6,0))</f>
        <v>0.40745999999999999</v>
      </c>
      <c r="CY1056" s="72">
        <v>0.37</v>
      </c>
      <c r="CZ1056" s="70">
        <f t="shared" ref="CZ1056:CZ1077" si="1932">+(DE1056*CQ1056-CR1056)*CS1056/(1-CX1056)</f>
        <v>13.042850465456919</v>
      </c>
      <c r="DA1056" s="70"/>
      <c r="DB1056" s="69"/>
      <c r="DC1056" s="111">
        <f>VLOOKUP($H1056,RoR!$E:$F,2,FALSE)</f>
        <v>7.0824999999999999E-2</v>
      </c>
      <c r="DD1056" s="216">
        <f>HLOOKUP($H1056,'GDP-PI'!$D$8:$CQ$11,3,FALSE)</f>
        <v>2.2454495382290052E-2</v>
      </c>
      <c r="DE1056" s="111">
        <f>VLOOKUP(H1056,'HW Dx Data'!$E:$F,2,FALSE)</f>
        <v>353.44738017483138</v>
      </c>
      <c r="DF1056" s="66"/>
      <c r="DG1056" s="69"/>
      <c r="DH1056" s="66">
        <f>HLOOKUP(H1056,'GDP-PI'!$8:$9,2,FALSE)</f>
        <v>79.822000000000003</v>
      </c>
      <c r="DI1056"/>
    </row>
    <row r="1057" spans="1:113" s="160" customFormat="1" ht="21">
      <c r="A1057" s="160" t="s">
        <v>223</v>
      </c>
      <c r="B1057" s="160" t="s">
        <v>223</v>
      </c>
      <c r="C1057" s="160">
        <v>4057146</v>
      </c>
      <c r="D1057" s="161" t="s">
        <v>209</v>
      </c>
      <c r="E1057" s="161"/>
      <c r="F1057" s="189"/>
      <c r="G1057" s="160" t="s">
        <v>113</v>
      </c>
      <c r="H1057" s="162">
        <v>2002</v>
      </c>
      <c r="I1057" s="163"/>
      <c r="J1057" s="159"/>
      <c r="K1057" s="159"/>
      <c r="L1057" s="159"/>
      <c r="M1057" s="60"/>
      <c r="N1057" s="152"/>
      <c r="O1057" s="60"/>
      <c r="P1057" s="60"/>
      <c r="Q1057" s="159"/>
      <c r="R1057" s="159"/>
      <c r="S1057" s="159"/>
      <c r="T1057" s="159"/>
      <c r="U1057" s="159"/>
      <c r="V1057" s="159"/>
      <c r="W1057" s="159">
        <f t="shared" si="1920"/>
        <v>165810.22296515288</v>
      </c>
      <c r="X1057" s="163"/>
      <c r="Y1057" s="167">
        <v>13032.464166635671</v>
      </c>
      <c r="Z1057" s="168">
        <v>3.7851382151956998E-2</v>
      </c>
      <c r="AA1057" s="78"/>
      <c r="AB1057" s="168"/>
      <c r="AC1057" s="168"/>
      <c r="AD1057" s="163">
        <f t="shared" si="1886"/>
        <v>165810.22296515288</v>
      </c>
      <c r="AE1057" s="168"/>
      <c r="AF1057" s="163"/>
      <c r="AG1057" s="163"/>
      <c r="AH1057" s="163"/>
      <c r="AI1057" s="163"/>
      <c r="AJ1057" s="167"/>
      <c r="AK1057" s="168"/>
      <c r="AL1057" s="115"/>
      <c r="AM1057" s="115"/>
      <c r="AN1057" s="115"/>
      <c r="AO1057" s="115"/>
      <c r="AP1057" s="115"/>
      <c r="AQ1057" s="168"/>
      <c r="AR1057" s="79"/>
      <c r="AS1057" s="115"/>
      <c r="AT1057" s="115"/>
      <c r="AU1057" s="115"/>
      <c r="AV1057" s="113">
        <f>IFERROR(INDEX('Total Customers'!$F$7:$AB$91,MATCH($C1057,'Total Customers'!$D$7:$D$91,0),MATCH($G1057,'Total Customers'!$F$5:$AB$5,0)),"NA")</f>
        <v>5143877</v>
      </c>
      <c r="AW1057" s="68">
        <f t="shared" si="1875"/>
        <v>1.5586608918314796E-2</v>
      </c>
      <c r="AX1057" s="114"/>
      <c r="AY1057" s="114"/>
      <c r="AZ1057" s="116"/>
      <c r="BA1057" s="116"/>
      <c r="BB1057" s="166"/>
      <c r="BC1057" s="166"/>
      <c r="BD1057" s="166"/>
      <c r="BE1057" s="166"/>
      <c r="BF1057" s="166"/>
      <c r="BG1057" s="166"/>
      <c r="BH1057" s="166"/>
      <c r="BI1057" s="113"/>
      <c r="BJ1057" s="113"/>
      <c r="BK1057" s="113">
        <f>INDEX('Dist. Plant Gas Additions'!$F$7:$AE$91,MATCH($C1057,'Dist. Plant Gas Additions'!$D$7:$D$91,0),MATCH(Calculation!$G1057,'Dist. Plant Gas Additions'!$F$5:$AE$5,0))</f>
        <v>172199</v>
      </c>
      <c r="BL1057" s="113">
        <f>INDEX('Gen. Plant Additions'!$F$7:$AE$91,MATCH($C1057,'Gen. Plant Additions'!$D$7:$D$91,0),MATCH(Calculation!$G1057,'Gen. Plant Additions'!$F$5:$AE$5,0))</f>
        <v>28423</v>
      </c>
      <c r="BM1057" s="231">
        <f t="shared" si="1921"/>
        <v>0.9075677914185788</v>
      </c>
      <c r="BN1057" s="61">
        <f t="shared" si="1914"/>
        <v>25795.799335490265</v>
      </c>
      <c r="BO1057" s="113">
        <f>INDEX('Dist Plant Depreciation'!$E$7:$AD$94,MATCH($C1057,'Dist Plant Depreciation'!$D$7:$D$94,0),MATCH(Calculation!$G1057,'Dist Plant Depreciation'!$E$5:$AD$5,0))</f>
        <v>2817573</v>
      </c>
      <c r="BP1057" s="113">
        <f>INDEX('Gen. Plant Depreciation'!$E$7:$AD$94,MATCH($C1057,'Gen. Plant Depreciation'!$D$7:$D$94,0),MATCH(Calculation!$G1057,'Gen. Plant Depreciation'!$E$5:$AD$5,0))</f>
        <v>222865</v>
      </c>
      <c r="BQ1057" s="113"/>
      <c r="BR1057" s="113"/>
      <c r="BS1057" s="113"/>
      <c r="BT1057" s="113"/>
      <c r="BU1057" s="113"/>
      <c r="BV1057" s="175"/>
      <c r="BW1057" s="113">
        <f>INDEX('Gross Dx Plant'!$E$7:$AD$91,MATCH($C1057,'Gross Dx Plant'!$D$7:$D$91,0),MATCH(Calculation!$G1057,'Gross Dx Plant'!$E$5:$AD$5,0))</f>
        <v>4654819</v>
      </c>
      <c r="BX1057" s="113">
        <f>INDEX('Gross Gen Plant'!$E$7:$AD$91,MATCH($C1057,'Gross Gen Plant'!$D$7:$D$91,0),MATCH(Calculation!$G1057,'Gross Gen Plant'!$E$5:$AD$5,0))</f>
        <v>474075</v>
      </c>
      <c r="BY1057" s="113">
        <f t="shared" si="1868"/>
        <v>2088456</v>
      </c>
      <c r="BZ1057" s="113"/>
      <c r="CA1057" s="116">
        <v>2002</v>
      </c>
      <c r="CB1057" s="113"/>
      <c r="CC1057" s="113"/>
      <c r="CD1057" s="113"/>
      <c r="CE1057" s="175"/>
      <c r="CF1057" s="113">
        <f t="shared" si="1922"/>
        <v>200622</v>
      </c>
      <c r="CG1057" s="113">
        <f t="shared" si="1923"/>
        <v>555.20414665010037</v>
      </c>
      <c r="CH1057" s="178">
        <v>0.97916666666666663</v>
      </c>
      <c r="CI1057" s="61">
        <f>+CI1053*CH1057+CG1054*CH1056+CG1055*CH1055+CG1056*CH1054+CG1057</f>
        <v>13032.464166635671</v>
      </c>
      <c r="CJ1057" s="114">
        <f t="shared" si="1924"/>
        <v>3.7851382151956998E-2</v>
      </c>
      <c r="CK1057" s="114"/>
      <c r="CL1057" s="169">
        <f t="shared" si="1925"/>
        <v>5.6681916486940138E-3</v>
      </c>
      <c r="CM1057" s="169">
        <f t="shared" ref="CM1057:CM1077" si="1933">+(CL1057+CL1056+CL1055)/3</f>
        <v>5.3177096902282776E-3</v>
      </c>
      <c r="CN1057" s="114">
        <f>VLOOKUP($H1057,RoR!$E:$F,2,FALSE)</f>
        <v>6.4916666666666664E-2</v>
      </c>
      <c r="CO1057" s="169">
        <v>1.5246423291824351E-2</v>
      </c>
      <c r="CP1057" s="169">
        <f t="shared" si="1931"/>
        <v>4.9670243374842313E-2</v>
      </c>
      <c r="CQ1057" s="169">
        <f t="shared" ref="CQ1057:CQ1077" si="1934">+$CP$2-CM1057</f>
        <v>2.5584231918305347E-2</v>
      </c>
      <c r="CR1057" s="169">
        <f t="shared" ref="CR1057:CR1077" si="1935">+((DE1055/DE1054-1)+(DE1056/DE1055-1)+(DE1057/DE1056-1))/3</f>
        <v>2.5243621214759093E-2</v>
      </c>
      <c r="CS1057" s="179">
        <f t="shared" si="1926"/>
        <v>0.84923979999999999</v>
      </c>
      <c r="CT1057" s="180">
        <f t="shared" si="1927"/>
        <v>0.78996741384417901</v>
      </c>
      <c r="CU1057" s="180">
        <f t="shared" si="1928"/>
        <v>0.58989088575096271</v>
      </c>
      <c r="CV1057" s="180">
        <f t="shared" si="1929"/>
        <v>0.91920675783645744</v>
      </c>
      <c r="CW1057" s="180">
        <f t="shared" si="1930"/>
        <v>0.42834536472275586</v>
      </c>
      <c r="CX1057" s="181">
        <f>INDEX('State Tax Lookup'!$D$7:$Z$91,MATCH(Calculation!$C1057,'State Tax Lookup'!$B$7:$B$91,0),MATCH($H1057,'State Tax Lookup'!$D$6:$Z$6,0))</f>
        <v>0.40745999999999999</v>
      </c>
      <c r="CY1057" s="72">
        <v>0.37</v>
      </c>
      <c r="CZ1057" s="70">
        <f t="shared" si="1932"/>
        <v>13.213668592302396</v>
      </c>
      <c r="DA1057" s="70"/>
      <c r="DB1057" s="69">
        <f>LN(CZ1057/CZ1056)</f>
        <v>1.3011666662390555E-2</v>
      </c>
      <c r="DC1057" s="111">
        <f>VLOOKUP($H1057,RoR!$E:$F,2,FALSE)</f>
        <v>6.4916666666666664E-2</v>
      </c>
      <c r="DD1057" s="216">
        <f>HLOOKUP($H1057,'GDP-PI'!$D$8:$CQ$11,3,FALSE)</f>
        <v>1.5246423291824351E-2</v>
      </c>
      <c r="DE1057" s="111">
        <f>VLOOKUP(H1057,'HW Dx Data'!$E:$F,2,FALSE)</f>
        <v>361.34816573413599</v>
      </c>
      <c r="DF1057" s="66"/>
      <c r="DG1057" s="69"/>
      <c r="DH1057" s="66">
        <f>HLOOKUP(H1057,'GDP-PI'!$8:$9,2,FALSE)</f>
        <v>81.039000000000001</v>
      </c>
      <c r="DI1057" s="69">
        <f>LN(DH1057/DH1056)</f>
        <v>1.513136459537477E-2</v>
      </c>
    </row>
    <row r="1058" spans="1:113" s="160" customFormat="1" ht="21">
      <c r="A1058" s="160" t="s">
        <v>223</v>
      </c>
      <c r="B1058" s="160" t="s">
        <v>223</v>
      </c>
      <c r="C1058" s="160">
        <v>4057146</v>
      </c>
      <c r="D1058" s="161" t="s">
        <v>209</v>
      </c>
      <c r="E1058" s="161"/>
      <c r="F1058" s="189"/>
      <c r="G1058" s="160" t="s">
        <v>114</v>
      </c>
      <c r="H1058" s="162">
        <v>2003</v>
      </c>
      <c r="I1058" s="163"/>
      <c r="J1058" s="159"/>
      <c r="K1058" s="159"/>
      <c r="L1058" s="159"/>
      <c r="M1058" s="76"/>
      <c r="N1058" s="152"/>
      <c r="O1058" s="76"/>
      <c r="P1058" s="76"/>
      <c r="Q1058" s="159"/>
      <c r="R1058" s="159"/>
      <c r="S1058" s="159"/>
      <c r="T1058" s="159"/>
      <c r="U1058" s="159"/>
      <c r="V1058" s="159"/>
      <c r="W1058" s="159">
        <f t="shared" si="1920"/>
        <v>174843.05330480842</v>
      </c>
      <c r="X1058" s="163"/>
      <c r="Y1058" s="167">
        <v>13688.336180002032</v>
      </c>
      <c r="Z1058" s="168">
        <v>4.9100608369608036E-2</v>
      </c>
      <c r="AA1058" s="78"/>
      <c r="AB1058" s="168"/>
      <c r="AC1058" s="168"/>
      <c r="AD1058" s="163">
        <f t="shared" si="1886"/>
        <v>174843.05330480842</v>
      </c>
      <c r="AE1058" s="168"/>
      <c r="AF1058" s="163"/>
      <c r="AG1058" s="163"/>
      <c r="AH1058" s="163"/>
      <c r="AI1058" s="163"/>
      <c r="AJ1058" s="167"/>
      <c r="AK1058" s="168"/>
      <c r="AL1058" s="115"/>
      <c r="AM1058" s="115"/>
      <c r="AN1058" s="115"/>
      <c r="AO1058" s="115"/>
      <c r="AP1058" s="115"/>
      <c r="AQ1058" s="168"/>
      <c r="AR1058" s="79"/>
      <c r="AS1058" s="115"/>
      <c r="AT1058" s="115"/>
      <c r="AU1058" s="115"/>
      <c r="AV1058" s="113">
        <f>IFERROR(INDEX('Total Customers'!$F$7:$AB$91,MATCH($C1058,'Total Customers'!$D$7:$D$91,0),MATCH($G1058,'Total Customers'!$F$5:$AB$5,0)),"NA")</f>
        <v>5198353</v>
      </c>
      <c r="AW1058" s="68">
        <f t="shared" si="1875"/>
        <v>1.0534769351962398E-2</v>
      </c>
      <c r="AX1058" s="114"/>
      <c r="AY1058" s="114"/>
      <c r="AZ1058" s="116"/>
      <c r="BA1058" s="116"/>
      <c r="BB1058" s="166"/>
      <c r="BC1058" s="166"/>
      <c r="BD1058" s="166"/>
      <c r="BE1058" s="166"/>
      <c r="BF1058" s="166"/>
      <c r="BG1058" s="166"/>
      <c r="BH1058" s="166"/>
      <c r="BI1058" s="113"/>
      <c r="BJ1058" s="113"/>
      <c r="BK1058" s="113">
        <f>INDEX('Dist. Plant Gas Additions'!$F$7:$AE$91,MATCH($C1058,'Dist. Plant Gas Additions'!$D$7:$D$91,0),MATCH(Calculation!$G1058,'Dist. Plant Gas Additions'!$F$5:$AE$5,0))</f>
        <v>212920</v>
      </c>
      <c r="BL1058" s="113">
        <f>INDEX('Gen. Plant Additions'!$F$7:$AE$91,MATCH($C1058,'Gen. Plant Additions'!$D$7:$D$91,0),MATCH(Calculation!$G1058,'Gen. Plant Additions'!$F$5:$AE$5,0))</f>
        <v>56531</v>
      </c>
      <c r="BM1058" s="231">
        <f t="shared" si="1921"/>
        <v>0.89406210332844327</v>
      </c>
      <c r="BN1058" s="61">
        <f t="shared" si="1914"/>
        <v>50542.224763260223</v>
      </c>
      <c r="BO1058" s="113">
        <f>INDEX('Dist Plant Depreciation'!$E$7:$AD$94,MATCH($C1058,'Dist Plant Depreciation'!$D$7:$D$94,0),MATCH(Calculation!$G1058,'Dist Plant Depreciation'!$E$5:$AD$5,0))</f>
        <v>2967760</v>
      </c>
      <c r="BP1058" s="113">
        <f>INDEX('Gen. Plant Depreciation'!$E$7:$AD$94,MATCH($C1058,'Gen. Plant Depreciation'!$D$7:$D$94,0),MATCH(Calculation!$G1058,'Gen. Plant Depreciation'!$E$5:$AD$5,0))</f>
        <v>268886</v>
      </c>
      <c r="BQ1058" s="113"/>
      <c r="BR1058" s="113"/>
      <c r="BS1058" s="113"/>
      <c r="BT1058" s="113"/>
      <c r="BU1058" s="113"/>
      <c r="BV1058" s="175"/>
      <c r="BW1058" s="113">
        <f>INDEX('Gross Dx Plant'!$E$7:$AD$91,MATCH($C1058,'Gross Dx Plant'!$D$7:$D$91,0),MATCH(Calculation!$G1058,'Gross Dx Plant'!$E$5:$AD$5,0))</f>
        <v>4839568</v>
      </c>
      <c r="BX1058" s="113">
        <f>INDEX('Gross Gen Plant'!$E$7:$AD$91,MATCH($C1058,'Gross Gen Plant'!$D$7:$D$91,0),MATCH(Calculation!$G1058,'Gross Gen Plant'!$E$5:$AD$5,0))</f>
        <v>573443</v>
      </c>
      <c r="BY1058" s="113">
        <f t="shared" si="1868"/>
        <v>2176365</v>
      </c>
      <c r="BZ1058" s="113"/>
      <c r="CA1058" s="116">
        <v>2003</v>
      </c>
      <c r="CB1058" s="113"/>
      <c r="CC1058" s="113"/>
      <c r="CD1058" s="113"/>
      <c r="CE1058" s="175"/>
      <c r="CF1058" s="113">
        <f t="shared" si="1922"/>
        <v>269451</v>
      </c>
      <c r="CG1058" s="113">
        <f t="shared" si="1923"/>
        <v>729.75869438824338</v>
      </c>
      <c r="CH1058" s="178">
        <v>0.97354497354497349</v>
      </c>
      <c r="CI1058" s="61">
        <f>+CI1053*CH1058+CG1054*CH1057+CG1055*CH1056+CG1056*CH1055+CG1057*CH1054+CG1058</f>
        <v>13688.336180002032</v>
      </c>
      <c r="CJ1058" s="114">
        <f t="shared" si="1924"/>
        <v>4.9100608369608036E-2</v>
      </c>
      <c r="CK1058" s="114"/>
      <c r="CL1058" s="169">
        <f t="shared" si="1925"/>
        <v>5.6694328929013452E-3</v>
      </c>
      <c r="CM1058" s="169">
        <f t="shared" si="1933"/>
        <v>5.4922597969383922E-3</v>
      </c>
      <c r="CN1058" s="114">
        <f>VLOOKUP($H1058,RoR!$E:$F,2,FALSE)</f>
        <v>5.6666666666666671E-2</v>
      </c>
      <c r="CO1058" s="169">
        <v>1.8855119140166909E-2</v>
      </c>
      <c r="CP1058" s="169">
        <f t="shared" si="1931"/>
        <v>3.7811547526499761E-2</v>
      </c>
      <c r="CQ1058" s="169">
        <f t="shared" si="1934"/>
        <v>2.5409681811595232E-2</v>
      </c>
      <c r="CR1058" s="169">
        <f t="shared" si="1935"/>
        <v>2.1375012817671957E-2</v>
      </c>
      <c r="CS1058" s="179">
        <f t="shared" si="1926"/>
        <v>0.84923979999999999</v>
      </c>
      <c r="CT1058" s="180">
        <f t="shared" si="1927"/>
        <v>0.90497737556561086</v>
      </c>
      <c r="CU1058" s="180">
        <f t="shared" si="1928"/>
        <v>0.5338235294117647</v>
      </c>
      <c r="CV1058" s="180">
        <f t="shared" si="1929"/>
        <v>0.88972433127405692</v>
      </c>
      <c r="CW1058" s="180">
        <f t="shared" si="1930"/>
        <v>0.42982423775949252</v>
      </c>
      <c r="CX1058" s="181">
        <f>INDEX('State Tax Lookup'!$D$7:$Z$91,MATCH(Calculation!$C1058,'State Tax Lookup'!$B$7:$B$91,0),MATCH($H1058,'State Tax Lookup'!$D$6:$Z$6,0))</f>
        <v>0.40745999999999999</v>
      </c>
      <c r="CY1058" s="72">
        <v>0.37</v>
      </c>
      <c r="CZ1058" s="70">
        <f t="shared" si="1932"/>
        <v>13.41596271198067</v>
      </c>
      <c r="DA1058" s="70"/>
      <c r="DB1058" s="69">
        <f t="shared" ref="DB1058:DB1075" si="1936">LN(CZ1058/CZ1057)</f>
        <v>1.5193451898212626E-2</v>
      </c>
      <c r="DC1058" s="111">
        <f>VLOOKUP($H1058,RoR!$E:$F,2,FALSE)</f>
        <v>5.6666666666666671E-2</v>
      </c>
      <c r="DD1058" s="216">
        <f>HLOOKUP($H1058,'GDP-PI'!$D$8:$CQ$11,3,FALSE)</f>
        <v>1.8855119140166909E-2</v>
      </c>
      <c r="DE1058" s="111">
        <f>VLOOKUP(H1058,'HW Dx Data'!$E:$F,2,FALSE)</f>
        <v>369.23301095560191</v>
      </c>
      <c r="DF1058" s="66"/>
      <c r="DG1058" s="69"/>
      <c r="DH1058" s="66">
        <f>HLOOKUP(H1058,'GDP-PI'!$8:$9,2,FALSE)</f>
        <v>82.566999999999993</v>
      </c>
      <c r="DI1058" s="69">
        <f t="shared" ref="DI1058:DI1077" si="1937">LN(DH1058/DH1057)</f>
        <v>1.8679564681853753E-2</v>
      </c>
    </row>
    <row r="1059" spans="1:113" s="160" customFormat="1" ht="21">
      <c r="A1059" s="160" t="s">
        <v>223</v>
      </c>
      <c r="B1059" s="160" t="s">
        <v>223</v>
      </c>
      <c r="C1059" s="160">
        <v>4057146</v>
      </c>
      <c r="D1059" s="161" t="s">
        <v>209</v>
      </c>
      <c r="E1059" s="161"/>
      <c r="F1059" s="189"/>
      <c r="G1059" s="160" t="s">
        <v>115</v>
      </c>
      <c r="H1059" s="162">
        <v>2004</v>
      </c>
      <c r="I1059" s="163"/>
      <c r="J1059" s="159">
        <f>IFERROR(INDEX('Labor Expenditures'!$F$7:$X$91,MATCH($C1059,'Labor Expenditures'!$D$7:$D$91,0),MATCH($G1059,'Labor Expenditures'!$F$5:$X$5,0)),"NA")</f>
        <v>272951.65671141096</v>
      </c>
      <c r="K1059" s="159">
        <f t="shared" ref="K1059:K1077" si="1938">+J1059/DF1059</f>
        <v>2892.96933451416</v>
      </c>
      <c r="L1059" s="165"/>
      <c r="M1059" s="76"/>
      <c r="N1059" s="152"/>
      <c r="O1059" s="76"/>
      <c r="P1059" s="76"/>
      <c r="Q1059" s="159">
        <f>IFERROR(INDEX('Non-Labor Expenditures'!$F$7:$AB$91,MATCH($C1059,'Non-Labor Expenditures'!$D$7:$D$91,0),MATCH($G1059,'Non-Labor Expenditures'!$F$5:$AB$5,0)),"NA")</f>
        <v>395284.97925539478</v>
      </c>
      <c r="R1059" s="159">
        <f t="shared" ref="R1059:R1077" si="1939">+Q1059/DH1059</f>
        <v>4662.589106317615</v>
      </c>
      <c r="S1059" s="159"/>
      <c r="T1059" s="159"/>
      <c r="U1059" s="159"/>
      <c r="V1059" s="159"/>
      <c r="W1059" s="159">
        <f t="shared" si="1920"/>
        <v>203831.24295671316</v>
      </c>
      <c r="X1059" s="163"/>
      <c r="Y1059" s="167">
        <v>14249.648376237126</v>
      </c>
      <c r="Z1059" s="168">
        <v>4.0188134571279073E-2</v>
      </c>
      <c r="AA1059" s="76">
        <f t="shared" ref="AA1059:AA1077" si="1940">+Z1059*$AR1059</f>
        <v>0</v>
      </c>
      <c r="AB1059" s="168"/>
      <c r="AC1059" s="168"/>
      <c r="AD1059" s="163">
        <f t="shared" si="1886"/>
        <v>872067.87892351893</v>
      </c>
      <c r="AE1059" s="168"/>
      <c r="AF1059" s="163"/>
      <c r="AG1059" s="163"/>
      <c r="AH1059" s="163"/>
      <c r="AI1059" s="163"/>
      <c r="AJ1059" s="167"/>
      <c r="AK1059" s="168"/>
      <c r="AL1059" s="115">
        <f t="shared" ref="AL1059:AL1077" si="1941">+J1059/AD1059</f>
        <v>0.31299359064611193</v>
      </c>
      <c r="AM1059" s="115">
        <f t="shared" ref="AM1059:AM1077" si="1942">+Q1059/AD1059</f>
        <v>0.45327317839447862</v>
      </c>
      <c r="AN1059" s="115">
        <f t="shared" ref="AN1059:AN1077" si="1943">+W1059/AD1059</f>
        <v>0.23373323095940945</v>
      </c>
      <c r="AO1059" s="115"/>
      <c r="AP1059" s="115"/>
      <c r="AQ1059" s="168"/>
      <c r="AR1059" s="79"/>
      <c r="AS1059" s="115"/>
      <c r="AT1059" s="115"/>
      <c r="AU1059" s="115"/>
      <c r="AV1059" s="113">
        <f>IFERROR(INDEX('Total Customers'!$F$7:$AB$91,MATCH($C1059,'Total Customers'!$D$7:$D$91,0),MATCH($G1059,'Total Customers'!$F$5:$AB$5,0)),"NA")</f>
        <v>5266356</v>
      </c>
      <c r="AW1059" s="68">
        <f t="shared" si="1875"/>
        <v>1.2996817634850517E-2</v>
      </c>
      <c r="AX1059" s="114"/>
      <c r="AY1059" s="114"/>
      <c r="AZ1059" s="116"/>
      <c r="BA1059" s="116"/>
      <c r="BB1059" s="166"/>
      <c r="BC1059" s="166"/>
      <c r="BD1059" s="166"/>
      <c r="BE1059" s="166"/>
      <c r="BF1059" s="166"/>
      <c r="BG1059" s="166"/>
      <c r="BH1059" s="166"/>
      <c r="BI1059" s="113"/>
      <c r="BJ1059" s="113"/>
      <c r="BK1059" s="113">
        <f>INDEX('Dist. Plant Gas Additions'!$F$7:$AE$91,MATCH($C1059,'Dist. Plant Gas Additions'!$D$7:$D$91,0),MATCH(Calculation!$G1059,'Dist. Plant Gas Additions'!$F$5:$AE$5,0))</f>
        <v>238031</v>
      </c>
      <c r="BL1059" s="113">
        <f>INDEX('Gen. Plant Additions'!$F$7:$AE$91,MATCH($C1059,'Gen. Plant Additions'!$D$7:$D$91,0),MATCH(Calculation!$G1059,'Gen. Plant Additions'!$F$5:$AE$5,0))</f>
        <v>27995</v>
      </c>
      <c r="BM1059" s="231">
        <f t="shared" si="1921"/>
        <v>0.89576297315076747</v>
      </c>
      <c r="BN1059" s="61">
        <f t="shared" si="1914"/>
        <v>25076.884433355735</v>
      </c>
      <c r="BO1059" s="113">
        <f>INDEX('Dist Plant Depreciation'!$E$7:$AD$94,MATCH($C1059,'Dist Plant Depreciation'!$D$7:$D$94,0),MATCH(Calculation!$G1059,'Dist Plant Depreciation'!$E$5:$AD$5,0))</f>
        <v>3085745</v>
      </c>
      <c r="BP1059" s="113">
        <f>INDEX('Gen. Plant Depreciation'!$E$7:$AD$94,MATCH($C1059,'Gen. Plant Depreciation'!$D$7:$D$94,0),MATCH(Calculation!$G1059,'Gen. Plant Depreciation'!$E$5:$AD$5,0))</f>
        <v>306755</v>
      </c>
      <c r="BQ1059" s="113"/>
      <c r="BR1059" s="113"/>
      <c r="BS1059" s="113"/>
      <c r="BT1059" s="113"/>
      <c r="BU1059" s="113"/>
      <c r="BV1059" s="175"/>
      <c r="BW1059" s="113">
        <f>INDEX('Gross Dx Plant'!$E$7:$AD$91,MATCH($C1059,'Gross Dx Plant'!$D$7:$D$91,0),MATCH(Calculation!$G1059,'Gross Dx Plant'!$E$5:$AD$5,0))</f>
        <v>5043640</v>
      </c>
      <c r="BX1059" s="113">
        <f>INDEX('Gross Gen Plant'!$E$7:$AD$91,MATCH($C1059,'Gross Gen Plant'!$D$7:$D$91,0),MATCH(Calculation!$G1059,'Gross Gen Plant'!$E$5:$AD$5,0))</f>
        <v>586912</v>
      </c>
      <c r="BY1059" s="113">
        <f t="shared" si="1868"/>
        <v>2238052</v>
      </c>
      <c r="BZ1059" s="113"/>
      <c r="CA1059" s="116">
        <v>2004</v>
      </c>
      <c r="CB1059" s="113"/>
      <c r="CC1059" s="113"/>
      <c r="CD1059" s="113"/>
      <c r="CE1059" s="175"/>
      <c r="CF1059" s="113">
        <f t="shared" si="1922"/>
        <v>266026</v>
      </c>
      <c r="CG1059" s="113">
        <f t="shared" si="1923"/>
        <v>641.20080239863432</v>
      </c>
      <c r="CH1059" s="178">
        <v>0.967741935483871</v>
      </c>
      <c r="CI1059" s="61">
        <f>+CI1053*CH1059+CG1054*CH1058+CG1055*CH1057+CG1056*CH1056+CG1057*CH1055+CG1058*CH1054+CG1059</f>
        <v>14249.648376237126</v>
      </c>
      <c r="CJ1059" s="114">
        <f t="shared" si="1924"/>
        <v>4.0188134571279073E-2</v>
      </c>
      <c r="CK1059" s="114"/>
      <c r="CL1059" s="169">
        <f t="shared" si="1925"/>
        <v>5.8362539546810161E-3</v>
      </c>
      <c r="CM1059" s="169">
        <f t="shared" si="1933"/>
        <v>5.7246261654254581E-3</v>
      </c>
      <c r="CN1059" s="114">
        <f>VLOOKUP($H1059,RoR!$E:$F,2,FALSE)</f>
        <v>5.6283333333333331E-2</v>
      </c>
      <c r="CO1059" s="169">
        <v>2.6778252812867276E-2</v>
      </c>
      <c r="CP1059" s="169">
        <f t="shared" si="1931"/>
        <v>2.9505080520466055E-2</v>
      </c>
      <c r="CQ1059" s="169">
        <f t="shared" si="1934"/>
        <v>2.5177315443108167E-2</v>
      </c>
      <c r="CR1059" s="169">
        <f t="shared" si="1935"/>
        <v>5.5940039414565046E-2</v>
      </c>
      <c r="CS1059" s="179">
        <f t="shared" si="1926"/>
        <v>0.84923979999999999</v>
      </c>
      <c r="CT1059" s="180">
        <f t="shared" si="1927"/>
        <v>0.91114097628755619</v>
      </c>
      <c r="CU1059" s="180">
        <f t="shared" si="1928"/>
        <v>0.53081877405981637</v>
      </c>
      <c r="CV1059" s="180">
        <f t="shared" si="1929"/>
        <v>0.88811215519385678</v>
      </c>
      <c r="CW1059" s="180">
        <f t="shared" si="1930"/>
        <v>0.42953609753547711</v>
      </c>
      <c r="CX1059" s="181">
        <f>INDEX('State Tax Lookup'!$D$7:$Z$91,MATCH(Calculation!$C1059,'State Tax Lookup'!$B$7:$B$91,0),MATCH($H1059,'State Tax Lookup'!$D$6:$Z$6,0))</f>
        <v>0.40745999999999999</v>
      </c>
      <c r="CY1059" s="72">
        <v>0.37</v>
      </c>
      <c r="CZ1059" s="70">
        <f t="shared" si="1932"/>
        <v>14.890870612492723</v>
      </c>
      <c r="DA1059" s="70"/>
      <c r="DB1059" s="69">
        <f t="shared" si="1936"/>
        <v>0.10430306944893905</v>
      </c>
      <c r="DC1059" s="111">
        <f>VLOOKUP($H1059,RoR!$E:$F,2,FALSE)</f>
        <v>5.6283333333333331E-2</v>
      </c>
      <c r="DD1059" s="216">
        <f>HLOOKUP($H1059,'GDP-PI'!$D$8:$CQ$11,3,FALSE)</f>
        <v>2.6778252812867276E-2</v>
      </c>
      <c r="DE1059" s="111">
        <f>VLOOKUP(H1059,'HW Dx Data'!$E:$F,2,FALSE)</f>
        <v>414.88719135228365</v>
      </c>
      <c r="DF1059" s="72">
        <f>VLOOKUP(G1059,EG$8:EH$27,2,FALSE)</f>
        <v>94.35</v>
      </c>
      <c r="DG1059" s="69"/>
      <c r="DH1059" s="66">
        <f>HLOOKUP(H1059,'GDP-PI'!$8:$9,2,FALSE)</f>
        <v>84.778000000000006</v>
      </c>
      <c r="DI1059" s="69">
        <f t="shared" si="1937"/>
        <v>2.6425990216022755E-2</v>
      </c>
    </row>
    <row r="1060" spans="1:113" s="160" customFormat="1" ht="21">
      <c r="A1060" s="160" t="s">
        <v>223</v>
      </c>
      <c r="B1060" s="160" t="s">
        <v>223</v>
      </c>
      <c r="C1060" s="160">
        <v>4057146</v>
      </c>
      <c r="D1060" s="161" t="s">
        <v>209</v>
      </c>
      <c r="E1060" s="161"/>
      <c r="F1060" s="189"/>
      <c r="G1060" s="160" t="s">
        <v>116</v>
      </c>
      <c r="H1060" s="162">
        <v>2005</v>
      </c>
      <c r="I1060" s="163"/>
      <c r="J1060" s="159">
        <f>IFERROR(INDEX('Labor Expenditures'!$F$7:$X$91,MATCH($C1060,'Labor Expenditures'!$D$7:$D$91,0),MATCH($G1060,'Labor Expenditures'!$F$5:$X$5,0)),"NA")</f>
        <v>280114.03470691532</v>
      </c>
      <c r="K1060" s="159">
        <f t="shared" si="1938"/>
        <v>2823.01874232215</v>
      </c>
      <c r="L1060" s="165">
        <f t="shared" ref="L1060:L1076" si="1944">LN(K1060/K1059)</f>
        <v>-2.4476637646496564E-2</v>
      </c>
      <c r="M1060" s="76"/>
      <c r="N1060" s="62">
        <v>100</v>
      </c>
      <c r="O1060" s="77"/>
      <c r="P1060" s="77"/>
      <c r="Q1060" s="159">
        <f>IFERROR(INDEX('Non-Labor Expenditures'!$F$7:$AB$91,MATCH($C1060,'Non-Labor Expenditures'!$D$7:$D$91,0),MATCH($G1060,'Non-Labor Expenditures'!$F$5:$AB$5,0)),"NA")</f>
        <v>405657.44034056639</v>
      </c>
      <c r="R1060" s="159">
        <f t="shared" si="1939"/>
        <v>4641.0177713520243</v>
      </c>
      <c r="S1060" s="165">
        <f>LN(R1060/R1059)</f>
        <v>-4.6372066026603882E-3</v>
      </c>
      <c r="T1060" s="165"/>
      <c r="U1060" s="165"/>
      <c r="V1060" s="165"/>
      <c r="W1060" s="159">
        <f t="shared" si="1920"/>
        <v>238280.71015952469</v>
      </c>
      <c r="X1060" s="163"/>
      <c r="Y1060" s="167">
        <v>14991.655118246415</v>
      </c>
      <c r="Z1060" s="168">
        <v>5.07614897871125E-2</v>
      </c>
      <c r="AA1060" s="76">
        <f t="shared" si="1940"/>
        <v>0</v>
      </c>
      <c r="AB1060" s="168"/>
      <c r="AC1060" s="168"/>
      <c r="AD1060" s="163">
        <f t="shared" si="1886"/>
        <v>924052.18520700641</v>
      </c>
      <c r="AE1060" s="168">
        <f>LN(AD1060/AD1059)</f>
        <v>5.7901283862064064E-2</v>
      </c>
      <c r="AF1060" s="163"/>
      <c r="AG1060" s="163"/>
      <c r="AH1060" s="163"/>
      <c r="AI1060" s="163"/>
      <c r="AJ1060" s="116"/>
      <c r="AK1060" s="114"/>
      <c r="AL1060" s="115">
        <f t="shared" si="1941"/>
        <v>0.30313659681911159</v>
      </c>
      <c r="AM1060" s="115">
        <f t="shared" si="1942"/>
        <v>0.43899841030048636</v>
      </c>
      <c r="AN1060" s="115">
        <f t="shared" si="1943"/>
        <v>0.2578649928804021</v>
      </c>
      <c r="AO1060" s="115">
        <f t="shared" ref="AO1060:AO1076" si="1945">+(((AL1060+AL1059)/2)*L1060+((AM1059+AM1060)/2)*S1060+((AN1059+AN1060)/2)*Z1060)</f>
        <v>2.8679075873451997E-3</v>
      </c>
      <c r="AP1060" s="166">
        <v>100</v>
      </c>
      <c r="AQ1060" s="168"/>
      <c r="AR1060" s="16"/>
      <c r="AS1060" s="115"/>
      <c r="AT1060" s="115"/>
      <c r="AU1060" s="115"/>
      <c r="AV1060" s="113">
        <f>IFERROR(INDEX('Total Customers'!$F$7:$AB$91,MATCH($C1060,'Total Customers'!$D$7:$D$91,0),MATCH($G1060,'Total Customers'!$F$5:$AB$5,0)),"NA")</f>
        <v>5328609</v>
      </c>
      <c r="AW1060" s="68">
        <f t="shared" si="1875"/>
        <v>1.1751566224719042E-2</v>
      </c>
      <c r="AX1060" s="114"/>
      <c r="AY1060" s="114"/>
      <c r="AZ1060" s="116"/>
      <c r="BA1060" s="116"/>
      <c r="BB1060" s="166"/>
      <c r="BC1060" s="166"/>
      <c r="BD1060" s="166"/>
      <c r="BE1060" s="166"/>
      <c r="BF1060" s="166"/>
      <c r="BG1060" s="166"/>
      <c r="BH1060" s="166"/>
      <c r="BI1060" s="113"/>
      <c r="BJ1060" s="113"/>
      <c r="BK1060" s="113">
        <f>INDEX('Dist. Plant Gas Additions'!$F$7:$AE$91,MATCH($C1060,'Dist. Plant Gas Additions'!$D$7:$D$91,0),MATCH(Calculation!$G1060,'Dist. Plant Gas Additions'!$F$5:$AE$5,0))</f>
        <v>333799</v>
      </c>
      <c r="BL1060" s="113">
        <f>INDEX('Gen. Plant Additions'!$F$7:$AE$91,MATCH($C1060,'Gen. Plant Additions'!$D$7:$D$91,0),MATCH(Calculation!$G1060,'Gen. Plant Additions'!$F$5:$AE$5,0))</f>
        <v>54554</v>
      </c>
      <c r="BM1060" s="231">
        <f t="shared" si="1921"/>
        <v>0.90091721054855645</v>
      </c>
      <c r="BN1060" s="61">
        <f t="shared" si="1914"/>
        <v>49148.637504265949</v>
      </c>
      <c r="BO1060" s="113">
        <f>INDEX('Dist Plant Depreciation'!$E$7:$AD$94,MATCH($C1060,'Dist Plant Depreciation'!$D$7:$D$94,0),MATCH(Calculation!$G1060,'Dist Plant Depreciation'!$E$5:$AD$5,0))</f>
        <v>2018755</v>
      </c>
      <c r="BP1060" s="113">
        <f>INDEX('Gen. Plant Depreciation'!$E$7:$AD$94,MATCH($C1060,'Gen. Plant Depreciation'!$D$7:$D$94,0),MATCH(Calculation!$G1060,'Gen. Plant Depreciation'!$E$5:$AD$5,0))</f>
        <v>303875</v>
      </c>
      <c r="BQ1060" s="113"/>
      <c r="BR1060" s="113"/>
      <c r="BS1060" s="113"/>
      <c r="BT1060" s="113"/>
      <c r="BU1060" s="113"/>
      <c r="BV1060" s="175"/>
      <c r="BW1060" s="113">
        <f>INDEX('Gross Dx Plant'!$E$7:$AD$91,MATCH($C1060,'Gross Dx Plant'!$D$7:$D$91,0),MATCH(Calculation!$G1060,'Gross Dx Plant'!$E$5:$AD$5,0))</f>
        <v>5319299</v>
      </c>
      <c r="BX1060" s="113">
        <f>INDEX('Gross Gen Plant'!$E$7:$AD$91,MATCH($C1060,'Gross Gen Plant'!$D$7:$D$91,0),MATCH(Calculation!$G1060,'Gross Gen Plant'!$E$5:$AD$5,0))</f>
        <v>585016</v>
      </c>
      <c r="BY1060" s="113">
        <f t="shared" si="1868"/>
        <v>3581685</v>
      </c>
      <c r="BZ1060" s="113"/>
      <c r="CA1060" s="116">
        <v>2005</v>
      </c>
      <c r="CB1060" s="113"/>
      <c r="CC1060" s="113"/>
      <c r="CD1060" s="113"/>
      <c r="CE1060" s="175"/>
      <c r="CF1060" s="113">
        <f t="shared" si="1922"/>
        <v>388353</v>
      </c>
      <c r="CG1060" s="113">
        <f t="shared" si="1923"/>
        <v>827.68274812769232</v>
      </c>
      <c r="CH1060" s="178">
        <v>0.96174863387978138</v>
      </c>
      <c r="CI1060" s="61">
        <f>+CI1053*CH1060+CG1054*CH1059+CG1055*CH1058+CG1056*CH1057+CG1057*CH1056+CG1058*CH1055+CG1059*CH1054+CG1060</f>
        <v>14991.655118246415</v>
      </c>
      <c r="CJ1060" s="114">
        <f t="shared" si="1924"/>
        <v>5.07614897871125E-2</v>
      </c>
      <c r="CK1060" s="114"/>
      <c r="CL1060" s="169">
        <f t="shared" si="1925"/>
        <v>6.0124996670989743E-3</v>
      </c>
      <c r="CM1060" s="169">
        <f t="shared" si="1933"/>
        <v>5.8393955048937794E-3</v>
      </c>
      <c r="CN1060" s="114">
        <f>VLOOKUP($H1060,RoR!$E:$F,2,FALSE)</f>
        <v>5.2350000000000001E-2</v>
      </c>
      <c r="CO1060" s="169">
        <v>3.1010403642454332E-2</v>
      </c>
      <c r="CP1060" s="169">
        <f t="shared" si="1931"/>
        <v>2.1339596357545669E-2</v>
      </c>
      <c r="CQ1060" s="169">
        <f t="shared" si="1934"/>
        <v>2.5062546103639845E-2</v>
      </c>
      <c r="CR1060" s="169">
        <f t="shared" si="1935"/>
        <v>9.2129610649277341E-2</v>
      </c>
      <c r="CS1060" s="179">
        <f t="shared" si="1926"/>
        <v>0.84923979999999999</v>
      </c>
      <c r="CT1060" s="180">
        <f t="shared" si="1927"/>
        <v>0.97959983346802826</v>
      </c>
      <c r="CU1060" s="180">
        <f t="shared" si="1928"/>
        <v>0.49744508118433622</v>
      </c>
      <c r="CV1060" s="180">
        <f t="shared" si="1929"/>
        <v>0.87010519444335932</v>
      </c>
      <c r="CW1060" s="180">
        <f t="shared" si="1930"/>
        <v>0.42399975420741998</v>
      </c>
      <c r="CX1060" s="181">
        <f>INDEX('State Tax Lookup'!$D$7:$Z$91,MATCH(Calculation!$C1060,'State Tax Lookup'!$B$7:$B$91,0),MATCH($H1060,'State Tax Lookup'!$D$6:$Z$6,0))</f>
        <v>0.40745999999999999</v>
      </c>
      <c r="CY1060" s="72">
        <v>0.37</v>
      </c>
      <c r="CZ1060" s="70">
        <f t="shared" si="1932"/>
        <v>16.721865962453101</v>
      </c>
      <c r="DA1060" s="70"/>
      <c r="DB1060" s="69">
        <f t="shared" si="1936"/>
        <v>0.11596888745822984</v>
      </c>
      <c r="DC1060" s="111">
        <f>VLOOKUP($H1060,RoR!$E:$F,2,FALSE)</f>
        <v>5.2350000000000001E-2</v>
      </c>
      <c r="DD1060" s="216">
        <f>HLOOKUP($H1060,'GDP-PI'!$D$8:$CQ$11,3,FALSE)</f>
        <v>3.1010403642454332E-2</v>
      </c>
      <c r="DE1060" s="111">
        <f>VLOOKUP(H1060,'HW Dx Data'!$E:$F,2,FALSE)</f>
        <v>469.20514034936258</v>
      </c>
      <c r="DF1060" s="72">
        <f t="shared" ref="DF1060:DF1078" si="1946">VLOOKUP(G1060,EG$8:EH$27,2,FALSE)</f>
        <v>99.224999999999994</v>
      </c>
      <c r="DG1060" s="69">
        <f t="shared" ref="DG1060:DG1078" si="1947">LN(DF1060/DF1059)</f>
        <v>5.0378726854569796E-2</v>
      </c>
      <c r="DH1060" s="66">
        <f>HLOOKUP(H1060,'GDP-PI'!$8:$9,2,FALSE)</f>
        <v>87.406999999999996</v>
      </c>
      <c r="DI1060" s="69">
        <f t="shared" si="1937"/>
        <v>3.0539295810733648E-2</v>
      </c>
    </row>
    <row r="1061" spans="1:113" s="160" customFormat="1" ht="21">
      <c r="A1061" s="160" t="s">
        <v>223</v>
      </c>
      <c r="B1061" s="160" t="s">
        <v>223</v>
      </c>
      <c r="C1061" s="160">
        <v>4057146</v>
      </c>
      <c r="D1061" s="161" t="s">
        <v>209</v>
      </c>
      <c r="E1061" s="161"/>
      <c r="F1061" s="189"/>
      <c r="G1061" s="160" t="s">
        <v>117</v>
      </c>
      <c r="H1061" s="162">
        <v>2006</v>
      </c>
      <c r="I1061" s="163"/>
      <c r="J1061" s="159">
        <f>IFERROR(INDEX('Labor Expenditures'!$F$7:$X$91,MATCH($C1061,'Labor Expenditures'!$D$7:$D$91,0),MATCH($G1061,'Labor Expenditures'!$F$5:$X$5,0)),"NA")</f>
        <v>291385.33278508368</v>
      </c>
      <c r="K1061" s="159">
        <f t="shared" si="1938"/>
        <v>2663.4856744523186</v>
      </c>
      <c r="L1061" s="165">
        <f t="shared" si="1944"/>
        <v>-5.8171119506773131E-2</v>
      </c>
      <c r="M1061" s="76">
        <f t="shared" ref="M1061:M1077" si="1948">+L1061*$AR1061</f>
        <v>-7.0033935292572397E-3</v>
      </c>
      <c r="N1061" s="62">
        <f>+N1060*EXP(O1061)</f>
        <v>114.52131400052161</v>
      </c>
      <c r="O1061" s="96">
        <f t="shared" ref="O1061:O1077" si="1949">+M1061+M1086+M1111+M1136+M1161+M1186+M1211+M1236+M1261+M1286+M1311+M1336+M1361+M1386+M1411+M1436+M1461+M1486+M1511+M1536+M1561+M1586+M1611+M1636+M1661+M1686+M1711+M1736+M1761+M1786+M1811+M1836+M1861+M1886+M1911+M1936+M1961+M1986+M2011+M2036+M2061+M2086+M2111+M2136+M2161+M2186+M2211+M2236+M2261+M2286+M2311+M2336+M2361+M2386</f>
        <v>0.13559076815889648</v>
      </c>
      <c r="P1061" s="96"/>
      <c r="Q1061" s="159">
        <f>IFERROR(INDEX('Non-Labor Expenditures'!$F$7:$AB$91,MATCH($C1061,'Non-Labor Expenditures'!$D$7:$D$91,0),MATCH($G1061,'Non-Labor Expenditures'!$F$5:$AB$5,0)),"NA")</f>
        <v>421980.38514584652</v>
      </c>
      <c r="R1061" s="159">
        <f t="shared" si="1939"/>
        <v>4684.8189837894015</v>
      </c>
      <c r="S1061" s="165">
        <f t="shared" ref="S1061:S1076" si="1950">LN(R1061/R1060)</f>
        <v>9.3935880865243949E-3</v>
      </c>
      <c r="T1061" s="165">
        <f t="shared" ref="T1061:T1077" si="1951">+S1061*AR1061</f>
        <v>1.1309219176023071E-3</v>
      </c>
      <c r="U1061" s="165"/>
      <c r="V1061" s="165"/>
      <c r="W1061" s="159">
        <f t="shared" si="1920"/>
        <v>244917.24454276115</v>
      </c>
      <c r="X1061" s="163"/>
      <c r="Y1061" s="167">
        <v>15642.158486715804</v>
      </c>
      <c r="Z1061" s="168">
        <v>4.2476015408598251E-2</v>
      </c>
      <c r="AA1061" s="76">
        <f t="shared" si="1940"/>
        <v>5.113813417783223E-3</v>
      </c>
      <c r="AB1061" s="168"/>
      <c r="AC1061" s="168"/>
      <c r="AD1061" s="163">
        <f t="shared" si="1886"/>
        <v>958282.96247369132</v>
      </c>
      <c r="AE1061" s="168">
        <f t="shared" ref="AE1061:AE1077" si="1952">LN(AD1061/AD1060)</f>
        <v>3.6374554741300545E-2</v>
      </c>
      <c r="AF1061" s="163"/>
      <c r="AG1061" s="163"/>
      <c r="AH1061" s="163"/>
      <c r="AI1061" s="163"/>
      <c r="AJ1061" s="116">
        <f t="shared" ref="AJ1061:AJ1077" si="1953">+(AD1061*1000)/AV1061</f>
        <v>177.717663030284</v>
      </c>
      <c r="AK1061" s="114">
        <f>+AV1061/$AX$11</f>
        <v>0.15547692370062163</v>
      </c>
      <c r="AL1061" s="115">
        <f t="shared" si="1941"/>
        <v>0.30407024250218095</v>
      </c>
      <c r="AM1061" s="115">
        <f t="shared" si="1942"/>
        <v>0.4403505036305303</v>
      </c>
      <c r="AN1061" s="115">
        <f t="shared" si="1943"/>
        <v>0.2555792538672888</v>
      </c>
      <c r="AO1061" s="115">
        <f t="shared" si="1945"/>
        <v>-2.6262971986886468E-3</v>
      </c>
      <c r="AP1061" s="166">
        <f>+AP1060*EXP(AO1061)</f>
        <v>99.737714850266059</v>
      </c>
      <c r="AQ1061" s="168">
        <f>LN(AP1061/AP1060)</f>
        <v>-2.6262971986886837E-3</v>
      </c>
      <c r="AR1061" s="69">
        <f>+AD1061/$AF$11</f>
        <v>0.12039296456107919</v>
      </c>
      <c r="AS1061" s="169">
        <f>+AR1061*AQ1061</f>
        <v>-3.1618770556858826E-4</v>
      </c>
      <c r="AT1061" s="115"/>
      <c r="AU1061" s="115"/>
      <c r="AV1061" s="113">
        <f>IFERROR(INDEX('Total Customers'!$F$7:$AB$91,MATCH($C1061,'Total Customers'!$D$7:$D$91,0),MATCH($G1061,'Total Customers'!$F$5:$AB$5,0)),"NA")</f>
        <v>5392165</v>
      </c>
      <c r="AW1061" s="68">
        <f t="shared" si="1875"/>
        <v>1.1856745524079414E-2</v>
      </c>
      <c r="AX1061" s="114"/>
      <c r="AY1061" s="114"/>
      <c r="AZ1061" s="116"/>
      <c r="BA1061" s="116"/>
      <c r="BB1061" s="166"/>
      <c r="BC1061" s="166"/>
      <c r="BD1061" s="166"/>
      <c r="BE1061" s="166"/>
      <c r="BF1061" s="166"/>
      <c r="BG1061" s="166"/>
      <c r="BH1061" s="166"/>
      <c r="BI1061" s="113"/>
      <c r="BJ1061" s="113"/>
      <c r="BK1061" s="113">
        <f>INDEX('Dist. Plant Gas Additions'!$F$7:$AE$91,MATCH($C1061,'Dist. Plant Gas Additions'!$D$7:$D$91,0),MATCH(Calculation!$G1061,'Dist. Plant Gas Additions'!$F$5:$AE$5,0))</f>
        <v>305454</v>
      </c>
      <c r="BL1061" s="113">
        <f>INDEX('Gen. Plant Additions'!$F$7:$AE$91,MATCH($C1061,'Gen. Plant Additions'!$D$7:$D$91,0),MATCH(Calculation!$G1061,'Gen. Plant Additions'!$F$5:$AE$5,0))</f>
        <v>37188</v>
      </c>
      <c r="BM1061" s="231">
        <f t="shared" si="1921"/>
        <v>0.90396648397932078</v>
      </c>
      <c r="BN1061" s="61">
        <f t="shared" si="1914"/>
        <v>33616.705606222982</v>
      </c>
      <c r="BO1061" s="113">
        <f>INDEX('Dist Plant Depreciation'!$E$7:$AD$94,MATCH($C1061,'Dist Plant Depreciation'!$D$7:$D$94,0),MATCH(Calculation!$G1061,'Dist Plant Depreciation'!$E$5:$AD$5,0))</f>
        <v>2095799</v>
      </c>
      <c r="BP1061" s="113">
        <f>INDEX('Gen. Plant Depreciation'!$E$7:$AD$94,MATCH($C1061,'Gen. Plant Depreciation'!$D$7:$D$94,0),MATCH(Calculation!$G1061,'Gen. Plant Depreciation'!$E$5:$AD$5,0))</f>
        <v>329561</v>
      </c>
      <c r="BQ1061" s="113"/>
      <c r="BR1061" s="113"/>
      <c r="BS1061" s="113"/>
      <c r="BT1061" s="113"/>
      <c r="BU1061" s="113"/>
      <c r="BV1061" s="175"/>
      <c r="BW1061" s="113">
        <f>INDEX('Gross Dx Plant'!$E$7:$AD$91,MATCH($C1061,'Gross Dx Plant'!$D$7:$D$91,0),MATCH(Calculation!$G1061,'Gross Dx Plant'!$E$5:$AD$5,0))</f>
        <v>5589938</v>
      </c>
      <c r="BX1061" s="113">
        <f>INDEX('Gross Gen Plant'!$E$7:$AD$91,MATCH($C1061,'Gross Gen Plant'!$D$7:$D$91,0),MATCH(Calculation!$G1061,'Gross Gen Plant'!$E$5:$AD$5,0))</f>
        <v>593851</v>
      </c>
      <c r="BY1061" s="113">
        <f t="shared" si="1868"/>
        <v>3758429</v>
      </c>
      <c r="BZ1061" s="114"/>
      <c r="CA1061" s="116">
        <v>2006</v>
      </c>
      <c r="CB1061" s="113"/>
      <c r="CC1061" s="113"/>
      <c r="CD1061" s="113"/>
      <c r="CE1061" s="175"/>
      <c r="CF1061" s="113">
        <f t="shared" si="1922"/>
        <v>342642</v>
      </c>
      <c r="CG1061" s="113">
        <f t="shared" si="1923"/>
        <v>743.12003227402772</v>
      </c>
      <c r="CH1061" s="178">
        <v>0.9555555555555556</v>
      </c>
      <c r="CI1061" s="61">
        <f>+CI1053*CH1061+CG1054*CH1060+CG1055*CH1059+CG1056*CH1058+CG1057*CH1057+CG1058*CH1056+CG1059*CH1055+CG1060*CH1054+CG1061</f>
        <v>15642.158486715804</v>
      </c>
      <c r="CJ1061" s="114">
        <f t="shared" si="1924"/>
        <v>4.2476015408598251E-2</v>
      </c>
      <c r="CK1061" s="114"/>
      <c r="CL1061" s="169">
        <f t="shared" si="1925"/>
        <v>6.1778811661639321E-3</v>
      </c>
      <c r="CM1061" s="169">
        <f t="shared" si="1933"/>
        <v>6.008878262647975E-3</v>
      </c>
      <c r="CN1061" s="114">
        <f>VLOOKUP($H1061,RoR!$E:$F,2,FALSE)</f>
        <v>5.5874999999999994E-2</v>
      </c>
      <c r="CO1061" s="169">
        <v>3.0512430354548314E-2</v>
      </c>
      <c r="CP1061" s="169">
        <f t="shared" si="1931"/>
        <v>2.536256964545168E-2</v>
      </c>
      <c r="CQ1061" s="169">
        <f t="shared" si="1934"/>
        <v>2.489306334588565E-2</v>
      </c>
      <c r="CR1061" s="169">
        <f t="shared" si="1935"/>
        <v>7.9087823893859641E-2</v>
      </c>
      <c r="CS1061" s="179">
        <f t="shared" si="1926"/>
        <v>0.84923979999999999</v>
      </c>
      <c r="CT1061" s="180">
        <f t="shared" si="1927"/>
        <v>0.91779957551769631</v>
      </c>
      <c r="CU1061" s="180">
        <f t="shared" si="1928"/>
        <v>0.52757270693512304</v>
      </c>
      <c r="CV1061" s="180">
        <f t="shared" si="1929"/>
        <v>0.88636824549024895</v>
      </c>
      <c r="CW1061" s="180">
        <f t="shared" si="1930"/>
        <v>0.42918482841932087</v>
      </c>
      <c r="CX1061" s="181">
        <f>INDEX('State Tax Lookup'!$D$7:$Z$91,MATCH(Calculation!$C1061,'State Tax Lookup'!$B$7:$B$91,0),MATCH($H1061,'State Tax Lookup'!$D$6:$Z$6,0))</f>
        <v>0.40745999999999999</v>
      </c>
      <c r="CY1061" s="72">
        <v>0.37</v>
      </c>
      <c r="CZ1061" s="70">
        <f t="shared" si="1932"/>
        <v>16.336904938846359</v>
      </c>
      <c r="DA1061" s="70">
        <v>14.788696346247992</v>
      </c>
      <c r="DB1061" s="69">
        <f t="shared" si="1936"/>
        <v>-2.3290546791789976E-2</v>
      </c>
      <c r="DC1061" s="111">
        <f>VLOOKUP($H1061,RoR!$E:$F,2,FALSE)</f>
        <v>5.5874999999999994E-2</v>
      </c>
      <c r="DD1061" s="216">
        <f>HLOOKUP($H1061,'GDP-PI'!$D$8:$CQ$11,3,FALSE)</f>
        <v>3.0512430354548314E-2</v>
      </c>
      <c r="DE1061" s="111">
        <f>VLOOKUP(H1061,'HW Dx Data'!$E:$F,2,FALSE)</f>
        <v>461.08567272971823</v>
      </c>
      <c r="DF1061" s="72">
        <f t="shared" si="1946"/>
        <v>109.4</v>
      </c>
      <c r="DG1061" s="69">
        <f t="shared" si="1947"/>
        <v>9.7620891318751846E-2</v>
      </c>
      <c r="DH1061" s="66">
        <f>HLOOKUP(H1061,'GDP-PI'!$8:$9,2,FALSE)</f>
        <v>90.073999999999998</v>
      </c>
      <c r="DI1061" s="69">
        <f t="shared" si="1937"/>
        <v>3.005618372545445E-2</v>
      </c>
    </row>
    <row r="1062" spans="1:113" s="160" customFormat="1" ht="21">
      <c r="A1062" s="160" t="s">
        <v>223</v>
      </c>
      <c r="B1062" s="160" t="s">
        <v>223</v>
      </c>
      <c r="C1062" s="160">
        <v>4057146</v>
      </c>
      <c r="D1062" s="161" t="s">
        <v>209</v>
      </c>
      <c r="E1062" s="161"/>
      <c r="F1062" s="189"/>
      <c r="G1062" s="160" t="s">
        <v>118</v>
      </c>
      <c r="H1062" s="162">
        <v>2007</v>
      </c>
      <c r="I1062" s="163"/>
      <c r="J1062" s="159">
        <f>IFERROR(INDEX('Labor Expenditures'!$F$7:$X$91,MATCH($C1062,'Labor Expenditures'!$D$7:$D$91,0),MATCH($G1062,'Labor Expenditures'!$F$5:$X$5,0)),"NA")</f>
        <v>305008.39263993909</v>
      </c>
      <c r="K1062" s="159">
        <f t="shared" si="1938"/>
        <v>2918.042503132639</v>
      </c>
      <c r="L1062" s="165">
        <f t="shared" si="1944"/>
        <v>9.1277346945318347E-2</v>
      </c>
      <c r="M1062" s="76">
        <f t="shared" si="1948"/>
        <v>1.1087259341248807E-2</v>
      </c>
      <c r="N1062" s="62">
        <f t="shared" ref="N1062:N1075" si="1954">+N1061*EXP(O1062)</f>
        <v>120.44891700493513</v>
      </c>
      <c r="O1062" s="96">
        <f t="shared" si="1949"/>
        <v>5.0464783631753468E-2</v>
      </c>
      <c r="P1062" s="96"/>
      <c r="Q1062" s="159">
        <f>IFERROR(INDEX('Non-Labor Expenditures'!$F$7:$AB$91,MATCH($C1062,'Non-Labor Expenditures'!$D$7:$D$91,0),MATCH($G1062,'Non-Labor Expenditures'!$F$5:$AB$5,0)),"NA")</f>
        <v>441709.1202522798</v>
      </c>
      <c r="R1062" s="159">
        <f t="shared" si="1939"/>
        <v>4775.3369829864405</v>
      </c>
      <c r="S1062" s="165">
        <f t="shared" si="1950"/>
        <v>1.9137266250028252E-2</v>
      </c>
      <c r="T1062" s="165">
        <f t="shared" si="1951"/>
        <v>2.3245618009000869E-3</v>
      </c>
      <c r="U1062" s="165"/>
      <c r="V1062" s="165"/>
      <c r="W1062" s="159">
        <f t="shared" si="1920"/>
        <v>274553.01201240806</v>
      </c>
      <c r="X1062" s="163"/>
      <c r="Y1062" s="167">
        <v>16205.293731573367</v>
      </c>
      <c r="Z1062" s="168">
        <v>3.5368226159252107E-2</v>
      </c>
      <c r="AA1062" s="76">
        <f t="shared" si="1940"/>
        <v>4.296100938412312E-3</v>
      </c>
      <c r="AB1062" s="168"/>
      <c r="AC1062" s="168"/>
      <c r="AD1062" s="163">
        <f t="shared" si="1886"/>
        <v>1021270.5249046269</v>
      </c>
      <c r="AE1062" s="168">
        <f t="shared" si="1952"/>
        <v>6.3659641513130971E-2</v>
      </c>
      <c r="AF1062" s="163"/>
      <c r="AG1062" s="163"/>
      <c r="AH1062" s="163"/>
      <c r="AI1062" s="163"/>
      <c r="AJ1062" s="116">
        <f t="shared" si="1953"/>
        <v>187.52685916490333</v>
      </c>
      <c r="AK1062" s="114">
        <f>+AV1062/$AX$12</f>
        <v>0.15584679601960236</v>
      </c>
      <c r="AL1062" s="115">
        <f t="shared" si="1941"/>
        <v>0.29865582644561572</v>
      </c>
      <c r="AM1062" s="115">
        <f t="shared" si="1942"/>
        <v>0.43250941790719905</v>
      </c>
      <c r="AN1062" s="115">
        <f t="shared" si="1943"/>
        <v>0.26883475564718534</v>
      </c>
      <c r="AO1062" s="115">
        <f t="shared" si="1945"/>
        <v>4.5133491257685149E-2</v>
      </c>
      <c r="AP1062" s="166">
        <f>+AP1061*EXP(AO1062)</f>
        <v>104.34235627973464</v>
      </c>
      <c r="AQ1062" s="168">
        <f>LN(AP1062/AP1061)</f>
        <v>4.5133491257685163E-2</v>
      </c>
      <c r="AR1062" s="69">
        <f>+AD1062/$AF$12</f>
        <v>0.12146780896130634</v>
      </c>
      <c r="AS1062" s="169">
        <f t="shared" ref="AS1062:AS1076" si="1955">+AR1062*AQ1062</f>
        <v>5.4822662938452914E-3</v>
      </c>
      <c r="AT1062" s="115"/>
      <c r="AU1062" s="115"/>
      <c r="AV1062" s="113">
        <f>IFERROR(INDEX('Total Customers'!$F$7:$AB$91,MATCH($C1062,'Total Customers'!$D$7:$D$91,0),MATCH($G1062,'Total Customers'!$F$5:$AB$5,0)),"NA")</f>
        <v>5445996</v>
      </c>
      <c r="AW1062" s="68">
        <f t="shared" si="1875"/>
        <v>9.9336857352572781E-3</v>
      </c>
      <c r="AX1062" s="114"/>
      <c r="AY1062" s="114"/>
      <c r="AZ1062" s="116"/>
      <c r="BA1062" s="116"/>
      <c r="BB1062" s="166"/>
      <c r="BC1062" s="166"/>
      <c r="BD1062" s="166"/>
      <c r="BE1062" s="166"/>
      <c r="BF1062" s="166"/>
      <c r="BG1062" s="166"/>
      <c r="BH1062" s="166"/>
      <c r="BI1062" s="113"/>
      <c r="BJ1062" s="113"/>
      <c r="BK1062" s="113">
        <f>INDEX('Dist. Plant Gas Additions'!$F$7:$AE$91,MATCH($C1062,'Dist. Plant Gas Additions'!$D$7:$D$91,0),MATCH(Calculation!$G1062,'Dist. Plant Gas Additions'!$F$5:$AE$5,0))</f>
        <v>284009</v>
      </c>
      <c r="BL1062" s="113">
        <f>INDEX('Gen. Plant Additions'!$F$7:$AE$91,MATCH($C1062,'Gen. Plant Additions'!$D$7:$D$91,0),MATCH(Calculation!$G1062,'Gen. Plant Additions'!$F$5:$AE$5,0))</f>
        <v>45950</v>
      </c>
      <c r="BM1062" s="231">
        <f t="shared" si="1921"/>
        <v>0.91130522930681612</v>
      </c>
      <c r="BN1062" s="61">
        <f t="shared" si="1914"/>
        <v>41874.475286648201</v>
      </c>
      <c r="BO1062" s="113">
        <f>INDEX('Dist Plant Depreciation'!$E$7:$AD$94,MATCH($C1062,'Dist Plant Depreciation'!$D$7:$D$94,0),MATCH(Calculation!$G1062,'Dist Plant Depreciation'!$E$5:$AD$5,0))</f>
        <v>2159445</v>
      </c>
      <c r="BP1062" s="113">
        <f>INDEX('Gen. Plant Depreciation'!$E$7:$AD$94,MATCH($C1062,'Gen. Plant Depreciation'!$D$7:$D$94,0),MATCH(Calculation!$G1062,'Gen. Plant Depreciation'!$E$5:$AD$5,0))</f>
        <v>310010</v>
      </c>
      <c r="BQ1062" s="113"/>
      <c r="BR1062" s="113"/>
      <c r="BS1062" s="113"/>
      <c r="BT1062" s="113"/>
      <c r="BU1062" s="113"/>
      <c r="BV1062" s="175"/>
      <c r="BW1062" s="113">
        <f>INDEX('Gross Dx Plant'!$E$7:$AD$91,MATCH($C1062,'Gross Dx Plant'!$D$7:$D$91,0),MATCH(Calculation!$G1062,'Gross Dx Plant'!$E$5:$AD$5,0))</f>
        <v>5820039</v>
      </c>
      <c r="BX1062" s="113">
        <f>INDEX('Gross Gen Plant'!$E$7:$AD$91,MATCH($C1062,'Gross Gen Plant'!$D$7:$D$91,0),MATCH(Calculation!$G1062,'Gross Gen Plant'!$E$5:$AD$5,0))</f>
        <v>566448</v>
      </c>
      <c r="BY1062" s="113">
        <f t="shared" si="1868"/>
        <v>3917032</v>
      </c>
      <c r="BZ1062" s="113"/>
      <c r="CA1062" s="116">
        <v>2007</v>
      </c>
      <c r="CB1062" s="113"/>
      <c r="CC1062" s="113"/>
      <c r="CD1062" s="113"/>
      <c r="CE1062" s="175"/>
      <c r="CF1062" s="113">
        <f t="shared" si="1922"/>
        <v>329959</v>
      </c>
      <c r="CG1062" s="113">
        <f t="shared" si="1923"/>
        <v>662.53858460899369</v>
      </c>
      <c r="CH1062" s="178">
        <v>0.94915254237288138</v>
      </c>
      <c r="CI1062" s="61">
        <f>+CI1053*CH1062+CG1054*CH1061+CG1055*CH1060+CG1056*CH1059+CG1057*CH1058+CG1058*CH1057+CG1059*CH1056+CG1060*CH1055+CG1061*CH1054+CG1062</f>
        <v>16205.293731573367</v>
      </c>
      <c r="CJ1062" s="114">
        <f t="shared" si="1924"/>
        <v>3.5368226159252107E-2</v>
      </c>
      <c r="CK1062" s="114"/>
      <c r="CL1062" s="169">
        <f t="shared" si="1925"/>
        <v>6.3548352253206646E-3</v>
      </c>
      <c r="CM1062" s="169">
        <f t="shared" si="1933"/>
        <v>6.1817386861945239E-3</v>
      </c>
      <c r="CN1062" s="114">
        <f>VLOOKUP($H1062,RoR!$E:$F,2,FALSE)</f>
        <v>5.5558333333333321E-2</v>
      </c>
      <c r="CO1062" s="169">
        <v>2.691120634145272E-2</v>
      </c>
      <c r="CP1062" s="169">
        <f t="shared" si="1931"/>
        <v>2.86471269918806E-2</v>
      </c>
      <c r="CQ1062" s="169">
        <f t="shared" si="1934"/>
        <v>2.4720202922339101E-2</v>
      </c>
      <c r="CR1062" s="169">
        <f t="shared" si="1935"/>
        <v>6.4575155250632399E-2</v>
      </c>
      <c r="CS1062" s="179">
        <f t="shared" si="1926"/>
        <v>0.84923979999999999</v>
      </c>
      <c r="CT1062" s="180">
        <f t="shared" si="1927"/>
        <v>0.92303077153834634</v>
      </c>
      <c r="CU1062" s="180">
        <f t="shared" si="1928"/>
        <v>0.52502249887505614</v>
      </c>
      <c r="CV1062" s="180">
        <f t="shared" si="1929"/>
        <v>0.88499666072084604</v>
      </c>
      <c r="CW1062" s="180">
        <f t="shared" si="1930"/>
        <v>0.42887993290280618</v>
      </c>
      <c r="CX1062" s="181">
        <f>INDEX('State Tax Lookup'!$D$7:$Z$91,MATCH(Calculation!$C1062,'State Tax Lookup'!$B$7:$B$91,0),MATCH($H1062,'State Tax Lookup'!$D$6:$Z$6,0))</f>
        <v>0.40745999999999999</v>
      </c>
      <c r="CY1062" s="72">
        <v>0.37</v>
      </c>
      <c r="CZ1062" s="70">
        <f t="shared" si="1932"/>
        <v>17.552118030614114</v>
      </c>
      <c r="DA1062" s="70">
        <v>16.108943221861779</v>
      </c>
      <c r="DB1062" s="69">
        <f t="shared" si="1936"/>
        <v>7.1747972871978219E-2</v>
      </c>
      <c r="DC1062" s="111">
        <f>VLOOKUP($H1062,RoR!$E:$F,2,FALSE)</f>
        <v>5.5558333333333321E-2</v>
      </c>
      <c r="DD1062" s="216">
        <f>HLOOKUP($H1062,'GDP-PI'!$D$8:$CQ$11,3,FALSE)</f>
        <v>2.691120634145272E-2</v>
      </c>
      <c r="DE1062" s="111">
        <f>VLOOKUP(H1062,'HW Dx Data'!$E:$F,2,FALSE)</f>
        <v>498.0223154772637</v>
      </c>
      <c r="DF1062" s="72">
        <f t="shared" si="1946"/>
        <v>104.52499999999999</v>
      </c>
      <c r="DG1062" s="69">
        <f t="shared" si="1947"/>
        <v>-4.5584612745252218E-2</v>
      </c>
      <c r="DH1062" s="66">
        <f>HLOOKUP(H1062,'GDP-PI'!$8:$9,2,FALSE)</f>
        <v>92.498000000000005</v>
      </c>
      <c r="DI1062" s="69">
        <f t="shared" si="1937"/>
        <v>2.6555467950038037E-2</v>
      </c>
    </row>
    <row r="1063" spans="1:113" s="160" customFormat="1" ht="21">
      <c r="A1063" s="160" t="s">
        <v>223</v>
      </c>
      <c r="B1063" s="160" t="s">
        <v>223</v>
      </c>
      <c r="C1063" s="160">
        <v>4057146</v>
      </c>
      <c r="D1063" s="161" t="s">
        <v>209</v>
      </c>
      <c r="E1063" s="161"/>
      <c r="F1063" s="189"/>
      <c r="G1063" s="160" t="s">
        <v>120</v>
      </c>
      <c r="H1063" s="162">
        <v>2008</v>
      </c>
      <c r="I1063" s="163"/>
      <c r="J1063" s="159">
        <f>IFERROR(INDEX('Labor Expenditures'!$F$7:$X$91,MATCH($C1063,'Labor Expenditures'!$D$7:$D$91,0),MATCH($G1063,'Labor Expenditures'!$F$5:$X$5,0)),"NA")</f>
        <v>283641.88649414602</v>
      </c>
      <c r="K1063" s="159">
        <f t="shared" si="1938"/>
        <v>2628.7477895657648</v>
      </c>
      <c r="L1063" s="165">
        <f t="shared" si="1944"/>
        <v>-0.10440540867298519</v>
      </c>
      <c r="M1063" s="76">
        <f t="shared" si="1948"/>
        <v>-1.1819836184378582E-2</v>
      </c>
      <c r="N1063" s="62">
        <f t="shared" si="1954"/>
        <v>112.99602760100314</v>
      </c>
      <c r="O1063" s="96">
        <f t="shared" si="1949"/>
        <v>-6.3873073657739782E-2</v>
      </c>
      <c r="P1063" s="96"/>
      <c r="Q1063" s="159">
        <f>IFERROR(INDEX('Non-Labor Expenditures'!$F$7:$AB$91,MATCH($C1063,'Non-Labor Expenditures'!$D$7:$D$91,0),MATCH($G1063,'Non-Labor Expenditures'!$F$5:$AB$5,0)),"NA")</f>
        <v>410766.42864030035</v>
      </c>
      <c r="R1063" s="159">
        <f t="shared" si="1939"/>
        <v>4357.6172095423526</v>
      </c>
      <c r="S1063" s="165">
        <f t="shared" si="1950"/>
        <v>-9.1539147399557111E-2</v>
      </c>
      <c r="T1063" s="165">
        <f t="shared" si="1951"/>
        <v>-1.0363234438451181E-2</v>
      </c>
      <c r="U1063" s="165"/>
      <c r="V1063" s="165"/>
      <c r="W1063" s="159">
        <f t="shared" si="1920"/>
        <v>323243.18577589287</v>
      </c>
      <c r="X1063" s="163"/>
      <c r="Y1063" s="167">
        <v>16611.598118635491</v>
      </c>
      <c r="Z1063" s="168">
        <v>2.4763170830077202E-2</v>
      </c>
      <c r="AA1063" s="76">
        <f t="shared" si="1940"/>
        <v>2.8034622567693632E-3</v>
      </c>
      <c r="AB1063" s="168"/>
      <c r="AC1063" s="168"/>
      <c r="AD1063" s="163">
        <f t="shared" si="1886"/>
        <v>1017651.5009103392</v>
      </c>
      <c r="AE1063" s="168">
        <f t="shared" si="1952"/>
        <v>-3.5499423215519786E-3</v>
      </c>
      <c r="AF1063" s="163"/>
      <c r="AG1063" s="163"/>
      <c r="AH1063" s="163"/>
      <c r="AI1063" s="163"/>
      <c r="AJ1063" s="116">
        <f t="shared" si="1953"/>
        <v>186.13075955290992</v>
      </c>
      <c r="AK1063" s="114">
        <f>+AV1063/$AX$13</f>
        <v>0.15562281606427711</v>
      </c>
      <c r="AL1063" s="115">
        <f t="shared" si="1941"/>
        <v>0.27872202442625443</v>
      </c>
      <c r="AM1063" s="115">
        <f t="shared" si="1942"/>
        <v>0.40364154946251213</v>
      </c>
      <c r="AN1063" s="115">
        <f t="shared" si="1943"/>
        <v>0.31763642611123355</v>
      </c>
      <c r="AO1063" s="115">
        <f t="shared" si="1945"/>
        <v>-6.1149515534272378E-2</v>
      </c>
      <c r="AP1063" s="166">
        <f t="shared" ref="AP1063:AP1076" si="1956">+AP1062*EXP(AO1063)</f>
        <v>98.153037180013087</v>
      </c>
      <c r="AQ1063" s="168">
        <f t="shared" ref="AQ1063:AQ1076" si="1957">LN(AP1063/AP1062)</f>
        <v>-6.1149515534272531E-2</v>
      </c>
      <c r="AR1063" s="69">
        <f>+AD1063/$AF$13</f>
        <v>0.11321095654536674</v>
      </c>
      <c r="AS1063" s="169">
        <f t="shared" si="1955"/>
        <v>-6.9227951459207562E-3</v>
      </c>
      <c r="AT1063" s="115"/>
      <c r="AU1063" s="115"/>
      <c r="AV1063" s="113">
        <f>IFERROR(INDEX('Total Customers'!$F$7:$AB$91,MATCH($C1063,'Total Customers'!$D$7:$D$91,0),MATCH($G1063,'Total Customers'!$F$5:$AB$5,0)),"NA")</f>
        <v>5467401</v>
      </c>
      <c r="AW1063" s="68">
        <f t="shared" si="1875"/>
        <v>3.9227066416943155E-3</v>
      </c>
      <c r="AX1063" s="114"/>
      <c r="AY1063" s="114"/>
      <c r="AZ1063" s="116"/>
      <c r="BA1063" s="116"/>
      <c r="BB1063" s="166"/>
      <c r="BC1063" s="166"/>
      <c r="BD1063" s="166"/>
      <c r="BE1063" s="166"/>
      <c r="BF1063" s="166"/>
      <c r="BG1063" s="166"/>
      <c r="BH1063" s="166"/>
      <c r="BI1063" s="113"/>
      <c r="BJ1063" s="113"/>
      <c r="BK1063" s="113">
        <f>INDEX('Dist. Plant Gas Additions'!$F$7:$AE$91,MATCH($C1063,'Dist. Plant Gas Additions'!$D$7:$D$91,0),MATCH(Calculation!$G1063,'Dist. Plant Gas Additions'!$F$5:$AE$5,0))</f>
        <v>243215</v>
      </c>
      <c r="BL1063" s="113">
        <f>INDEX('Gen. Plant Additions'!$F$7:$AE$91,MATCH($C1063,'Gen. Plant Additions'!$D$7:$D$91,0),MATCH(Calculation!$G1063,'Gen. Plant Additions'!$F$5:$AE$5,0))</f>
        <v>48771</v>
      </c>
      <c r="BM1063" s="231">
        <f t="shared" si="1921"/>
        <v>0.91098887054608213</v>
      </c>
      <c r="BN1063" s="61">
        <f>+BM1063*BL1063</f>
        <v>44429.838205402972</v>
      </c>
      <c r="BO1063" s="113">
        <f>INDEX('Dist Plant Depreciation'!$E$7:$AD$94,MATCH($C1063,'Dist Plant Depreciation'!$D$7:$D$94,0),MATCH(Calculation!$G1063,'Dist Plant Depreciation'!$E$5:$AD$5,0))</f>
        <v>2197951</v>
      </c>
      <c r="BP1063" s="113">
        <f>INDEX('Gen. Plant Depreciation'!$E$7:$AD$94,MATCH($C1063,'Gen. Plant Depreciation'!$D$7:$D$94,0),MATCH(Calculation!$G1063,'Gen. Plant Depreciation'!$E$5:$AD$5,0))</f>
        <v>345452</v>
      </c>
      <c r="BQ1063" s="113"/>
      <c r="BR1063" s="113"/>
      <c r="BS1063" s="113"/>
      <c r="BT1063" s="113"/>
      <c r="BU1063" s="113"/>
      <c r="BV1063" s="175"/>
      <c r="BW1063" s="113">
        <f>INDEX('Gross Dx Plant'!$E$7:$AD$91,MATCH($C1063,'Gross Dx Plant'!$D$7:$D$91,0),MATCH(Calculation!$G1063,'Gross Dx Plant'!$E$5:$AD$5,0))</f>
        <v>6023217</v>
      </c>
      <c r="BX1063" s="113">
        <f>INDEX('Gross Gen Plant'!$E$7:$AD$91,MATCH($C1063,'Gross Gen Plant'!$D$7:$D$91,0),MATCH(Calculation!$G1063,'Gross Gen Plant'!$E$5:$AD$5,0))</f>
        <v>588518</v>
      </c>
      <c r="BY1063" s="113">
        <f t="shared" si="1868"/>
        <v>4068332</v>
      </c>
      <c r="BZ1063" s="113"/>
      <c r="CA1063" s="116">
        <v>2008</v>
      </c>
      <c r="CB1063" s="113"/>
      <c r="CC1063" s="113"/>
      <c r="CD1063" s="113"/>
      <c r="CE1063" s="175"/>
      <c r="CF1063" s="113">
        <f t="shared" si="1922"/>
        <v>291986</v>
      </c>
      <c r="CG1063" s="113">
        <f t="shared" si="1923"/>
        <v>512.36292457303807</v>
      </c>
      <c r="CH1063" s="178">
        <v>0.94252873563218387</v>
      </c>
      <c r="CI1063" s="61">
        <f>+CI1053*CH1063+CG1054*CH1062+CG1055*CH1061+CG1056*CH1060+CG1057*CH1059+CG1058*CH1058+CG1059*CH1057+CG1060*CH1056+CG1061*CH1055+CG1062*CH1054+CG1063</f>
        <v>16611.598118635491</v>
      </c>
      <c r="CJ1063" s="114">
        <f t="shared" si="1924"/>
        <v>2.4763170830077202E-2</v>
      </c>
      <c r="CK1063" s="114"/>
      <c r="CL1063" s="169">
        <f t="shared" si="1925"/>
        <v>6.5446846732729229E-3</v>
      </c>
      <c r="CM1063" s="169">
        <f t="shared" si="1933"/>
        <v>6.3591336882525065E-3</v>
      </c>
      <c r="CN1063" s="114">
        <f>VLOOKUP($H1063,RoR!$E:$F,2,FALSE)</f>
        <v>5.6316666666666668E-2</v>
      </c>
      <c r="CO1063" s="169">
        <v>1.9092304698479889E-2</v>
      </c>
      <c r="CP1063" s="169">
        <f t="shared" si="1931"/>
        <v>3.7224361968186778E-2</v>
      </c>
      <c r="CQ1063" s="169">
        <f t="shared" si="1934"/>
        <v>2.4542807920281118E-2</v>
      </c>
      <c r="CR1063" s="169">
        <f t="shared" si="1935"/>
        <v>6.9030581091053131E-2</v>
      </c>
      <c r="CS1063" s="179">
        <f t="shared" si="1926"/>
        <v>0.84923979999999999</v>
      </c>
      <c r="CT1063" s="180">
        <f t="shared" si="1927"/>
        <v>0.91060168006009956</v>
      </c>
      <c r="CU1063" s="180">
        <f t="shared" si="1928"/>
        <v>0.53108168097070152</v>
      </c>
      <c r="CV1063" s="180">
        <f t="shared" si="1929"/>
        <v>0.88825329850328805</v>
      </c>
      <c r="CW1063" s="180">
        <f t="shared" si="1930"/>
        <v>0.4295627335323573</v>
      </c>
      <c r="CX1063" s="181">
        <f>INDEX('State Tax Lookup'!$D$7:$Z$91,MATCH(Calculation!$C1063,'State Tax Lookup'!$B$7:$B$91,0),MATCH($H1063,'State Tax Lookup'!$D$6:$Z$6,0))</f>
        <v>0.40745999999999999</v>
      </c>
      <c r="CY1063" s="72">
        <v>0.37</v>
      </c>
      <c r="CZ1063" s="70">
        <f t="shared" si="1932"/>
        <v>19.946764997298775</v>
      </c>
      <c r="DA1063" s="70">
        <v>18.300102035478151</v>
      </c>
      <c r="DB1063" s="69">
        <f t="shared" si="1936"/>
        <v>0.12789234652833037</v>
      </c>
      <c r="DC1063" s="111">
        <f>VLOOKUP($H1063,RoR!$E:$F,2,FALSE)</f>
        <v>5.6316666666666668E-2</v>
      </c>
      <c r="DD1063" s="216">
        <f>HLOOKUP($H1063,'GDP-PI'!$D$8:$CQ$11,3,FALSE)</f>
        <v>1.9092304698479889E-2</v>
      </c>
      <c r="DE1063" s="111">
        <f>VLOOKUP(H1063,'HW Dx Data'!$E:$F,2,FALSE)</f>
        <v>569.88120333515076</v>
      </c>
      <c r="DF1063" s="72">
        <f t="shared" si="1946"/>
        <v>107.9</v>
      </c>
      <c r="DG1063" s="69">
        <f t="shared" si="1947"/>
        <v>3.1778595021460486E-2</v>
      </c>
      <c r="DH1063" s="66">
        <f>HLOOKUP(H1063,'GDP-PI'!$8:$9,2,FALSE)</f>
        <v>94.263999999999996</v>
      </c>
      <c r="DI1063" s="69">
        <f t="shared" si="1937"/>
        <v>1.8912333748032254E-2</v>
      </c>
    </row>
    <row r="1064" spans="1:113" s="160" customFormat="1" ht="21">
      <c r="A1064" s="160" t="s">
        <v>223</v>
      </c>
      <c r="B1064" s="160" t="s">
        <v>223</v>
      </c>
      <c r="C1064" s="160">
        <v>4057146</v>
      </c>
      <c r="D1064" s="161" t="s">
        <v>209</v>
      </c>
      <c r="E1064" s="161"/>
      <c r="F1064" s="189"/>
      <c r="G1064" s="160" t="s">
        <v>125</v>
      </c>
      <c r="H1064" s="162">
        <v>2009</v>
      </c>
      <c r="I1064" s="163"/>
      <c r="J1064" s="159">
        <f>IFERROR(INDEX('Labor Expenditures'!$F$7:$X$91,MATCH($C1064,'Labor Expenditures'!$D$7:$D$91,0),MATCH($G1064,'Labor Expenditures'!$F$5:$X$5,0)),"NA")</f>
        <v>339606.26198429655</v>
      </c>
      <c r="K1064" s="159">
        <f t="shared" si="1938"/>
        <v>3061.5845119161286</v>
      </c>
      <c r="L1064" s="165">
        <f t="shared" si="1944"/>
        <v>0.1524249891309013</v>
      </c>
      <c r="M1064" s="76">
        <f t="shared" si="1948"/>
        <v>1.8684746201760527E-2</v>
      </c>
      <c r="N1064" s="62">
        <f t="shared" si="1954"/>
        <v>117.97860236535546</v>
      </c>
      <c r="O1064" s="96">
        <f t="shared" si="1949"/>
        <v>4.3150608014505279E-2</v>
      </c>
      <c r="P1064" s="96"/>
      <c r="Q1064" s="159">
        <f>IFERROR(INDEX('Non-Labor Expenditures'!$F$7:$AB$91,MATCH($C1064,'Non-Labor Expenditures'!$D$7:$D$91,0),MATCH($G1064,'Non-Labor Expenditures'!$F$5:$AB$5,0)),"NA")</f>
        <v>491813.29705353925</v>
      </c>
      <c r="R1064" s="159">
        <f t="shared" si="1939"/>
        <v>5177.0365693695649</v>
      </c>
      <c r="S1064" s="165">
        <f t="shared" si="1950"/>
        <v>0.17230740531347602</v>
      </c>
      <c r="T1064" s="165">
        <f t="shared" si="1951"/>
        <v>2.1121996828231925E-2</v>
      </c>
      <c r="U1064" s="165"/>
      <c r="V1064" s="165"/>
      <c r="W1064" s="159">
        <f t="shared" si="1920"/>
        <v>317875.93869643315</v>
      </c>
      <c r="X1064" s="163"/>
      <c r="Y1064" s="167">
        <v>17080.357266694209</v>
      </c>
      <c r="Z1064" s="168">
        <v>2.7827972151942961E-2</v>
      </c>
      <c r="AA1064" s="76">
        <f t="shared" si="1940"/>
        <v>3.4112424736483199E-3</v>
      </c>
      <c r="AB1064" s="168"/>
      <c r="AC1064" s="168"/>
      <c r="AD1064" s="163">
        <f t="shared" si="1886"/>
        <v>1149295.4977342689</v>
      </c>
      <c r="AE1064" s="168">
        <f t="shared" si="1952"/>
        <v>0.12165162149232739</v>
      </c>
      <c r="AF1064" s="163"/>
      <c r="AG1064" s="163"/>
      <c r="AH1064" s="163"/>
      <c r="AI1064" s="163"/>
      <c r="AJ1064" s="116">
        <f t="shared" si="1953"/>
        <v>209.15455545506788</v>
      </c>
      <c r="AK1064" s="114">
        <f>+AV1064/$AX$14</f>
        <v>0.15620780828962372</v>
      </c>
      <c r="AL1064" s="115">
        <f t="shared" si="1941"/>
        <v>0.29549081385405168</v>
      </c>
      <c r="AM1064" s="115">
        <f t="shared" si="1942"/>
        <v>0.42792588853180424</v>
      </c>
      <c r="AN1064" s="115">
        <f t="shared" si="1943"/>
        <v>0.27658329761414407</v>
      </c>
      <c r="AO1064" s="115">
        <f t="shared" si="1945"/>
        <v>0.12367277157082009</v>
      </c>
      <c r="AP1064" s="166">
        <f t="shared" si="1956"/>
        <v>111.07444321148476</v>
      </c>
      <c r="AQ1064" s="168">
        <f t="shared" si="1957"/>
        <v>0.12367277157082003</v>
      </c>
      <c r="AR1064" s="69">
        <f>+AD1064/$AF$14</f>
        <v>0.12258322148026676</v>
      </c>
      <c r="AS1064" s="169">
        <f t="shared" si="1955"/>
        <v>1.5160206748544271E-2</v>
      </c>
      <c r="AT1064" s="115"/>
      <c r="AU1064" s="115"/>
      <c r="AV1064" s="113">
        <f>IFERROR(INDEX('Total Customers'!$F$7:$AB$91,MATCH($C1064,'Total Customers'!$D$7:$D$91,0),MATCH($G1064,'Total Customers'!$F$5:$AB$5,0)),"NA")</f>
        <v>5494958</v>
      </c>
      <c r="AW1064" s="68">
        <f t="shared" si="1875"/>
        <v>5.0275781053051071E-3</v>
      </c>
      <c r="AX1064" s="114"/>
      <c r="AY1064" s="114"/>
      <c r="AZ1064" s="116"/>
      <c r="BA1064" s="116"/>
      <c r="BB1064" s="166"/>
      <c r="BC1064" s="166"/>
      <c r="BD1064" s="166"/>
      <c r="BE1064" s="166"/>
      <c r="BF1064" s="166"/>
      <c r="BG1064" s="166"/>
      <c r="BH1064" s="166"/>
      <c r="BI1064" s="113"/>
      <c r="BJ1064" s="113"/>
      <c r="BK1064" s="113">
        <f>INDEX('Dist. Plant Gas Additions'!$F$7:$AE$91,MATCH($C1064,'Dist. Plant Gas Additions'!$D$7:$D$91,0),MATCH(Calculation!$G1064,'Dist. Plant Gas Additions'!$F$5:$AE$5,0))</f>
        <v>250929</v>
      </c>
      <c r="BL1064" s="113">
        <f>INDEX('Gen. Plant Additions'!$F$7:$AE$91,MATCH($C1064,'Gen. Plant Additions'!$D$7:$D$91,0),MATCH(Calculation!$G1064,'Gen. Plant Additions'!$F$5:$AE$5,0))</f>
        <v>69167</v>
      </c>
      <c r="BM1064" s="231">
        <f t="shared" si="1921"/>
        <v>0.90887337945444613</v>
      </c>
      <c r="BN1064" s="61">
        <f t="shared" ref="BN1064:BN1080" si="1958">+BM1064*BL1064</f>
        <v>62864.045036725678</v>
      </c>
      <c r="BO1064" s="113">
        <f>INDEX('Dist Plant Depreciation'!$E$7:$AD$94,MATCH($C1064,'Dist Plant Depreciation'!$D$7:$D$94,0),MATCH(Calculation!$G1064,'Dist Plant Depreciation'!$E$5:$AD$5,0))</f>
        <v>2368859</v>
      </c>
      <c r="BP1064" s="113">
        <f>INDEX('Gen. Plant Depreciation'!$E$7:$AD$94,MATCH($C1064,'Gen. Plant Depreciation'!$D$7:$D$94,0),MATCH(Calculation!$G1064,'Gen. Plant Depreciation'!$E$5:$AD$5,0))</f>
        <v>382593</v>
      </c>
      <c r="BQ1064" s="113"/>
      <c r="BR1064" s="113"/>
      <c r="BS1064" s="113"/>
      <c r="BT1064" s="113"/>
      <c r="BU1064" s="113"/>
      <c r="BV1064" s="175"/>
      <c r="BW1064" s="113">
        <f>INDEX('Gross Dx Plant'!$E$7:$AD$91,MATCH($C1064,'Gross Dx Plant'!$D$7:$D$91,0),MATCH(Calculation!$G1064,'Gross Dx Plant'!$E$5:$AD$5,0))</f>
        <v>6249766</v>
      </c>
      <c r="BX1064" s="113">
        <f>INDEX('Gross Gen Plant'!$E$7:$AD$91,MATCH($C1064,'Gross Gen Plant'!$D$7:$D$91,0),MATCH(Calculation!$G1064,'Gross Gen Plant'!$E$5:$AD$5,0))</f>
        <v>626622</v>
      </c>
      <c r="BY1064" s="113">
        <f t="shared" si="1868"/>
        <v>4124936</v>
      </c>
      <c r="BZ1064" s="113"/>
      <c r="CA1064" s="116">
        <v>2009</v>
      </c>
      <c r="CB1064" s="113"/>
      <c r="CC1064" s="113"/>
      <c r="CD1064" s="113"/>
      <c r="CE1064" s="175"/>
      <c r="CF1064" s="113">
        <f t="shared" si="1922"/>
        <v>320096</v>
      </c>
      <c r="CG1064" s="113">
        <f t="shared" si="1923"/>
        <v>580.99907434852116</v>
      </c>
      <c r="CH1064" s="178">
        <v>0.93567251461988299</v>
      </c>
      <c r="CI1064" s="61">
        <f>+CI1053*CH1064+CG1054*CH1063+CG1055*CH1062+CG1056*CH1061+CG1057*CH1060+CG1058*CH1059+CG1059*CH1058+CG1060*CH1057+CG1061*CH1056+CG1062*CH1055+CG1063*CH1054+CG1064</f>
        <v>17080.357266694209</v>
      </c>
      <c r="CJ1064" s="114">
        <f t="shared" si="1924"/>
        <v>2.7827972151942961E-2</v>
      </c>
      <c r="CK1064" s="114"/>
      <c r="CL1064" s="169">
        <f t="shared" si="1925"/>
        <v>6.756720544779396E-3</v>
      </c>
      <c r="CM1064" s="169">
        <f t="shared" si="1933"/>
        <v>6.5520801477909939E-3</v>
      </c>
      <c r="CN1064" s="114">
        <f>VLOOKUP($H1064,RoR!$E:$F,2,FALSE)</f>
        <v>5.3133333333333324E-2</v>
      </c>
      <c r="CO1064" s="169">
        <v>7.7972502758210105E-3</v>
      </c>
      <c r="CP1064" s="169">
        <f t="shared" si="1931"/>
        <v>4.5336083057512314E-2</v>
      </c>
      <c r="CQ1064" s="169">
        <f t="shared" si="1934"/>
        <v>2.4349861460742632E-2</v>
      </c>
      <c r="CR1064" s="169">
        <f t="shared" si="1935"/>
        <v>6.3720160300892073E-2</v>
      </c>
      <c r="CS1064" s="179">
        <f t="shared" si="1926"/>
        <v>0.84923979999999999</v>
      </c>
      <c r="CT1064" s="180">
        <f t="shared" si="1927"/>
        <v>0.96515780330083989</v>
      </c>
      <c r="CU1064" s="180">
        <f t="shared" si="1928"/>
        <v>0.50448557089084056</v>
      </c>
      <c r="CV1064" s="180">
        <f t="shared" si="1929"/>
        <v>0.87391435735465484</v>
      </c>
      <c r="CW1064" s="180">
        <f t="shared" si="1930"/>
        <v>0.42551605393279146</v>
      </c>
      <c r="CX1064" s="181">
        <f>INDEX('State Tax Lookup'!$D$7:$Z$91,MATCH(Calculation!$C1064,'State Tax Lookup'!$B$7:$B$91,0),MATCH($H1064,'State Tax Lookup'!$D$6:$Z$6,0))</f>
        <v>0.40745999999999999</v>
      </c>
      <c r="CY1064" s="72">
        <v>0.37</v>
      </c>
      <c r="CZ1064" s="70">
        <f t="shared" si="1932"/>
        <v>19.135783109261983</v>
      </c>
      <c r="DA1064" s="70">
        <v>17.478615056163342</v>
      </c>
      <c r="DB1064" s="69">
        <f t="shared" si="1936"/>
        <v>-4.1506931132566517E-2</v>
      </c>
      <c r="DC1064" s="111">
        <f>VLOOKUP($H1064,RoR!$E:$F,2,FALSE)</f>
        <v>5.3133333333333324E-2</v>
      </c>
      <c r="DD1064" s="216">
        <f>HLOOKUP($H1064,'GDP-PI'!$D$8:$CQ$11,3,FALSE)</f>
        <v>7.7972502758210105E-3</v>
      </c>
      <c r="DE1064" s="111">
        <f>VLOOKUP(H1064,'HW Dx Data'!$E:$F,2,FALSE)</f>
        <v>550.94063679692806</v>
      </c>
      <c r="DF1064" s="72">
        <f t="shared" si="1946"/>
        <v>110.925</v>
      </c>
      <c r="DG1064" s="69">
        <f t="shared" si="1947"/>
        <v>2.7649425000884052E-2</v>
      </c>
      <c r="DH1064" s="66">
        <f>HLOOKUP(H1064,'GDP-PI'!$8:$9,2,FALSE)</f>
        <v>94.998999999999995</v>
      </c>
      <c r="DI1064" s="69">
        <f t="shared" si="1937"/>
        <v>7.7670088183096342E-3</v>
      </c>
    </row>
    <row r="1065" spans="1:113" s="160" customFormat="1" ht="21">
      <c r="A1065" s="160" t="s">
        <v>223</v>
      </c>
      <c r="B1065" s="160" t="s">
        <v>223</v>
      </c>
      <c r="C1065" s="160">
        <v>4057146</v>
      </c>
      <c r="D1065" s="161" t="s">
        <v>209</v>
      </c>
      <c r="E1065" s="161"/>
      <c r="F1065" s="189"/>
      <c r="G1065" s="160" t="s">
        <v>126</v>
      </c>
      <c r="H1065" s="162">
        <v>2010</v>
      </c>
      <c r="I1065" s="163"/>
      <c r="J1065" s="159">
        <f>IFERROR(INDEX('Labor Expenditures'!$F$7:$X$91,MATCH($C1065,'Labor Expenditures'!$D$7:$D$91,0),MATCH($G1065,'Labor Expenditures'!$F$5:$X$5,0)),"NA")</f>
        <v>319774.51322437549</v>
      </c>
      <c r="K1065" s="159">
        <f t="shared" si="1938"/>
        <v>2734.8686185535644</v>
      </c>
      <c r="L1065" s="165">
        <f t="shared" si="1944"/>
        <v>-0.11284919866818298</v>
      </c>
      <c r="M1065" s="76">
        <f t="shared" si="1948"/>
        <v>-1.2982648312870295E-2</v>
      </c>
      <c r="N1065" s="62">
        <f t="shared" si="1954"/>
        <v>97.65656091552998</v>
      </c>
      <c r="O1065" s="96">
        <f t="shared" si="1949"/>
        <v>-0.18904642899477261</v>
      </c>
      <c r="P1065" s="96"/>
      <c r="Q1065" s="159">
        <f>IFERROR(INDEX('Non-Labor Expenditures'!$F$7:$AB$91,MATCH($C1065,'Non-Labor Expenditures'!$D$7:$D$91,0),MATCH($G1065,'Non-Labor Expenditures'!$F$5:$AB$5,0)),"NA")</f>
        <v>463093.22078944131</v>
      </c>
      <c r="R1065" s="159">
        <f t="shared" si="1939"/>
        <v>4818.4168058084188</v>
      </c>
      <c r="S1065" s="165">
        <f t="shared" si="1950"/>
        <v>-7.1787391128356831E-2</v>
      </c>
      <c r="T1065" s="165">
        <f t="shared" si="1951"/>
        <v>-8.2587245927931412E-3</v>
      </c>
      <c r="U1065" s="165"/>
      <c r="V1065" s="165"/>
      <c r="W1065" s="159">
        <f t="shared" si="1920"/>
        <v>335140.19605235703</v>
      </c>
      <c r="X1065" s="163"/>
      <c r="Y1065" s="167">
        <v>17721.254910113905</v>
      </c>
      <c r="Z1065" s="168">
        <v>3.6835656129164139E-2</v>
      </c>
      <c r="AA1065" s="76">
        <f t="shared" si="1940"/>
        <v>4.2377294171570849E-3</v>
      </c>
      <c r="AB1065" s="168"/>
      <c r="AC1065" s="168"/>
      <c r="AD1065" s="163">
        <f t="shared" si="1886"/>
        <v>1118007.9300661739</v>
      </c>
      <c r="AE1065" s="168">
        <f t="shared" si="1952"/>
        <v>-2.7600676196523479E-2</v>
      </c>
      <c r="AF1065" s="163"/>
      <c r="AG1065" s="163"/>
      <c r="AH1065" s="163"/>
      <c r="AI1065" s="163"/>
      <c r="AJ1065" s="116">
        <f t="shared" si="1953"/>
        <v>202.65268857599318</v>
      </c>
      <c r="AK1065" s="114">
        <f>+AV1065/$AX$15</f>
        <v>0.15597254093338911</v>
      </c>
      <c r="AL1065" s="115">
        <f t="shared" si="1941"/>
        <v>0.28602168609434492</v>
      </c>
      <c r="AM1065" s="115">
        <f t="shared" si="1942"/>
        <v>0.41421282294664158</v>
      </c>
      <c r="AN1065" s="115">
        <f t="shared" si="1943"/>
        <v>0.2997654909590135</v>
      </c>
      <c r="AO1065" s="115">
        <f t="shared" si="1945"/>
        <v>-5.2423987456800415E-2</v>
      </c>
      <c r="AP1065" s="166">
        <f t="shared" si="1956"/>
        <v>105.40147692991073</v>
      </c>
      <c r="AQ1065" s="168">
        <f t="shared" si="1957"/>
        <v>-5.2423987456800471E-2</v>
      </c>
      <c r="AR1065" s="69">
        <f>+AD1065/$AF$15</f>
        <v>0.11504422243213198</v>
      </c>
      <c r="AS1065" s="169">
        <f t="shared" si="1955"/>
        <v>-6.0310768737594509E-3</v>
      </c>
      <c r="AT1065" s="115"/>
      <c r="AU1065" s="115"/>
      <c r="AV1065" s="113">
        <f>IFERROR(INDEX('Total Customers'!$F$7:$AB$91,MATCH($C1065,'Total Customers'!$D$7:$D$91,0),MATCH($G1065,'Total Customers'!$F$5:$AB$5,0)),"NA")</f>
        <v>5516867</v>
      </c>
      <c r="AW1065" s="68">
        <f t="shared" si="1875"/>
        <v>3.9791821807409486E-3</v>
      </c>
      <c r="AX1065" s="114"/>
      <c r="AY1065" s="114"/>
      <c r="AZ1065" s="116"/>
      <c r="BA1065" s="116"/>
      <c r="BB1065" s="166"/>
      <c r="BC1065" s="166"/>
      <c r="BD1065" s="166"/>
      <c r="BE1065" s="166"/>
      <c r="BF1065" s="166"/>
      <c r="BG1065" s="166"/>
      <c r="BH1065" s="166"/>
      <c r="BI1065" s="113"/>
      <c r="BJ1065" s="113"/>
      <c r="BK1065" s="113">
        <f>INDEX('Dist. Plant Gas Additions'!$F$7:$AE$91,MATCH($C1065,'Dist. Plant Gas Additions'!$D$7:$D$91,0),MATCH(Calculation!$G1065,'Dist. Plant Gas Additions'!$F$5:$AE$5,0))</f>
        <v>264309</v>
      </c>
      <c r="BL1065" s="113">
        <f>INDEX('Gen. Plant Additions'!$F$7:$AE$91,MATCH($C1065,'Gen. Plant Additions'!$D$7:$D$91,0),MATCH(Calculation!$G1065,'Gen. Plant Additions'!$F$5:$AE$5,0))</f>
        <v>168082</v>
      </c>
      <c r="BM1065" s="231">
        <f t="shared" si="1921"/>
        <v>0.89449847917644787</v>
      </c>
      <c r="BN1065" s="61">
        <f t="shared" si="1958"/>
        <v>150349.09337693572</v>
      </c>
      <c r="BO1065" s="113">
        <f>INDEX('Dist Plant Depreciation'!$E$7:$AD$94,MATCH($C1065,'Dist Plant Depreciation'!$D$7:$D$94,0),MATCH(Calculation!$G1065,'Dist Plant Depreciation'!$E$5:$AD$5,0))</f>
        <v>2473715</v>
      </c>
      <c r="BP1065" s="113">
        <f>INDEX('Gen. Plant Depreciation'!$E$7:$AD$94,MATCH($C1065,'Gen. Plant Depreciation'!$D$7:$D$94,0),MATCH(Calculation!$G1065,'Gen. Plant Depreciation'!$E$5:$AD$5,0))</f>
        <v>425482</v>
      </c>
      <c r="BQ1065" s="113"/>
      <c r="BR1065" s="113"/>
      <c r="BS1065" s="113"/>
      <c r="BT1065" s="113"/>
      <c r="BU1065" s="113"/>
      <c r="BV1065" s="175"/>
      <c r="BW1065" s="113">
        <f>INDEX('Gross Dx Plant'!$E$7:$AD$91,MATCH($C1065,'Gross Dx Plant'!$D$7:$D$91,0),MATCH(Calculation!$G1065,'Gross Dx Plant'!$E$5:$AD$5,0))</f>
        <v>6473956</v>
      </c>
      <c r="BX1065" s="113">
        <f>INDEX('Gross Gen Plant'!$E$7:$AD$91,MATCH($C1065,'Gross Gen Plant'!$D$7:$D$91,0),MATCH(Calculation!$G1065,'Gross Gen Plant'!$E$5:$AD$5,0))</f>
        <v>763570</v>
      </c>
      <c r="BY1065" s="113">
        <f t="shared" si="1868"/>
        <v>4338329</v>
      </c>
      <c r="BZ1065" s="113"/>
      <c r="CA1065" s="116">
        <v>2010</v>
      </c>
      <c r="CB1065" s="113"/>
      <c r="CC1065" s="113"/>
      <c r="CD1065" s="113"/>
      <c r="CE1065" s="175"/>
      <c r="CF1065" s="113">
        <f t="shared" si="1922"/>
        <v>432391</v>
      </c>
      <c r="CG1065" s="113">
        <f t="shared" si="1923"/>
        <v>759.92790376905782</v>
      </c>
      <c r="CH1065" s="178">
        <v>0.9285714285714286</v>
      </c>
      <c r="CI1065" s="61">
        <f>+CI1053*CH1065+CG1054*CH1064+CG1055*CH1063+CG1056*CH1062+CG1057*CH1061+CG1058*CH1060+CG1059*CH1059+CG1060*CH1058+CG1061*CH1057+CG1062*CH1056+CG1063*CH1055+CG1064*CH1054+CG1065</f>
        <v>17721.254910113905</v>
      </c>
      <c r="CJ1065" s="114">
        <f t="shared" si="1924"/>
        <v>3.6835656129164139E-2</v>
      </c>
      <c r="CK1065" s="114"/>
      <c r="CL1065" s="169">
        <f t="shared" si="1925"/>
        <v>6.9688390289976455E-3</v>
      </c>
      <c r="CM1065" s="169">
        <f t="shared" si="1933"/>
        <v>6.7567480823499879E-3</v>
      </c>
      <c r="CN1065" s="114">
        <f>VLOOKUP($H1065,RoR!$E:$F,2,FALSE)</f>
        <v>4.9433333333333322E-2</v>
      </c>
      <c r="CO1065" s="169">
        <v>1.1684333519300205E-2</v>
      </c>
      <c r="CP1065" s="169">
        <f t="shared" si="1931"/>
        <v>3.7748999814033117E-2</v>
      </c>
      <c r="CQ1065" s="169">
        <f t="shared" si="1934"/>
        <v>2.4145193526183637E-2</v>
      </c>
      <c r="CR1065" s="169">
        <f t="shared" si="1935"/>
        <v>4.7937530248493419E-2</v>
      </c>
      <c r="CS1065" s="179">
        <f t="shared" si="1926"/>
        <v>0.84923979999999999</v>
      </c>
      <c r="CT1065" s="180">
        <f t="shared" si="1927"/>
        <v>1.037398205301105</v>
      </c>
      <c r="CU1065" s="180">
        <f t="shared" si="1928"/>
        <v>0.46926837491571133</v>
      </c>
      <c r="CV1065" s="180">
        <f t="shared" si="1929"/>
        <v>0.8548537519972772</v>
      </c>
      <c r="CW1065" s="180">
        <f t="shared" si="1930"/>
        <v>0.41615833911547367</v>
      </c>
      <c r="CX1065" s="181">
        <f>INDEX('State Tax Lookup'!$D$7:$Z$91,MATCH(Calculation!$C1065,'State Tax Lookup'!$B$7:$B$91,0),MATCH($H1065,'State Tax Lookup'!$D$6:$Z$6,0))</f>
        <v>0.40745999999999999</v>
      </c>
      <c r="CY1065" s="72">
        <v>0.37</v>
      </c>
      <c r="CZ1065" s="70">
        <f t="shared" si="1932"/>
        <v>19.621380912556358</v>
      </c>
      <c r="DA1065" s="70">
        <v>17.956102603965455</v>
      </c>
      <c r="DB1065" s="69">
        <f t="shared" si="1936"/>
        <v>2.5059791032624446E-2</v>
      </c>
      <c r="DC1065" s="111">
        <f>VLOOKUP($H1065,RoR!$E:$F,2,FALSE)</f>
        <v>4.9433333333333322E-2</v>
      </c>
      <c r="DD1065" s="216">
        <f>HLOOKUP($H1065,'GDP-PI'!$D$8:$CQ$11,3,FALSE)</f>
        <v>1.1684333519300205E-2</v>
      </c>
      <c r="DE1065" s="111">
        <f>VLOOKUP(H1065,'HW Dx Data'!$E:$F,2,FALSE)</f>
        <v>568.98950262971744</v>
      </c>
      <c r="DF1065" s="72">
        <f t="shared" si="1946"/>
        <v>116.925</v>
      </c>
      <c r="DG1065" s="69">
        <f t="shared" si="1947"/>
        <v>5.2678406346976722E-2</v>
      </c>
      <c r="DH1065" s="66">
        <f>HLOOKUP(H1065,'GDP-PI'!$8:$9,2,FALSE)</f>
        <v>96.108999999999995</v>
      </c>
      <c r="DI1065" s="69">
        <f t="shared" si="1937"/>
        <v>1.1616598807150427E-2</v>
      </c>
    </row>
    <row r="1066" spans="1:113" s="160" customFormat="1" ht="21">
      <c r="A1066" s="160" t="s">
        <v>223</v>
      </c>
      <c r="B1066" s="160" t="s">
        <v>223</v>
      </c>
      <c r="C1066" s="160">
        <v>4057146</v>
      </c>
      <c r="D1066" s="161" t="s">
        <v>209</v>
      </c>
      <c r="E1066" s="161"/>
      <c r="F1066" s="189"/>
      <c r="G1066" s="160" t="s">
        <v>127</v>
      </c>
      <c r="H1066" s="162">
        <v>2011</v>
      </c>
      <c r="I1066" s="163"/>
      <c r="J1066" s="159">
        <f>IFERROR(INDEX('Labor Expenditures'!$F$7:$X$91,MATCH($C1066,'Labor Expenditures'!$D$7:$D$91,0),MATCH($G1066,'Labor Expenditures'!$F$5:$X$5,0)),"NA")</f>
        <v>340529.74706638954</v>
      </c>
      <c r="K1066" s="159">
        <f t="shared" si="1938"/>
        <v>2817.2057668367283</v>
      </c>
      <c r="L1066" s="165">
        <f t="shared" si="1944"/>
        <v>2.9662133268884821E-2</v>
      </c>
      <c r="M1066" s="76">
        <f t="shared" si="1948"/>
        <v>3.5018448766303322E-3</v>
      </c>
      <c r="N1066" s="62">
        <f t="shared" si="1954"/>
        <v>118.36916393090418</v>
      </c>
      <c r="O1066" s="96">
        <f t="shared" si="1949"/>
        <v>0.19235140561607517</v>
      </c>
      <c r="P1066" s="96"/>
      <c r="Q1066" s="159">
        <f>IFERROR(INDEX('Non-Labor Expenditures'!$F$7:$AB$91,MATCH($C1066,'Non-Labor Expenditures'!$D$7:$D$91,0),MATCH($G1066,'Non-Labor Expenditures'!$F$5:$AB$5,0)),"NA")</f>
        <v>493150.67593563092</v>
      </c>
      <c r="R1066" s="159">
        <f t="shared" si="1939"/>
        <v>5026.4052912552079</v>
      </c>
      <c r="S1066" s="165">
        <f t="shared" si="1950"/>
        <v>4.2259664217543985E-2</v>
      </c>
      <c r="T1066" s="165">
        <f t="shared" si="1951"/>
        <v>4.9890811050856123E-3</v>
      </c>
      <c r="U1066" s="165"/>
      <c r="V1066" s="165"/>
      <c r="W1066" s="159">
        <f t="shared" si="1920"/>
        <v>371218.9836618363</v>
      </c>
      <c r="X1066" s="163"/>
      <c r="Y1066" s="167">
        <v>18672.004328881005</v>
      </c>
      <c r="Z1066" s="168">
        <v>5.2260545857688676E-2</v>
      </c>
      <c r="AA1066" s="76">
        <f t="shared" si="1940"/>
        <v>6.1697627443952213E-3</v>
      </c>
      <c r="AB1066" s="168"/>
      <c r="AC1066" s="168"/>
      <c r="AD1066" s="163">
        <f t="shared" si="1886"/>
        <v>1204899.4066638567</v>
      </c>
      <c r="AE1066" s="168">
        <f t="shared" si="1952"/>
        <v>7.4847615720769659E-2</v>
      </c>
      <c r="AF1066" s="163"/>
      <c r="AG1066" s="163"/>
      <c r="AH1066" s="163"/>
      <c r="AI1066" s="163"/>
      <c r="AJ1066" s="116">
        <f t="shared" si="1953"/>
        <v>217.12250401599465</v>
      </c>
      <c r="AK1066" s="114">
        <f>+AV1066/$AX$16</f>
        <v>0.1561352800156231</v>
      </c>
      <c r="AL1066" s="115">
        <f t="shared" si="1941"/>
        <v>0.28262089364725751</v>
      </c>
      <c r="AM1066" s="115">
        <f t="shared" si="1942"/>
        <v>0.40928784030284637</v>
      </c>
      <c r="AN1066" s="115">
        <f t="shared" si="1943"/>
        <v>0.30809126604989617</v>
      </c>
      <c r="AO1066" s="115">
        <f t="shared" si="1945"/>
        <v>4.1717469709538019E-2</v>
      </c>
      <c r="AP1066" s="166">
        <f t="shared" si="1956"/>
        <v>109.89156625987474</v>
      </c>
      <c r="AQ1066" s="168">
        <f t="shared" si="1957"/>
        <v>4.1717469709538026E-2</v>
      </c>
      <c r="AR1066" s="69">
        <f>+AD1066/$AF$16</f>
        <v>0.11805775548529816</v>
      </c>
      <c r="AS1066" s="169">
        <f t="shared" si="1955"/>
        <v>4.9250708384339726E-3</v>
      </c>
      <c r="AT1066" s="115"/>
      <c r="AU1066" s="115"/>
      <c r="AV1066" s="113">
        <f>IFERROR(INDEX('Total Customers'!$F$7:$AB$91,MATCH($C1066,'Total Customers'!$D$7:$D$91,0),MATCH($G1066,'Total Customers'!$F$5:$AB$5,0)),"NA")</f>
        <v>5549399</v>
      </c>
      <c r="AW1066" s="68">
        <f t="shared" si="1875"/>
        <v>5.8795069114414107E-3</v>
      </c>
      <c r="AX1066" s="114"/>
      <c r="AY1066" s="114"/>
      <c r="AZ1066" s="116"/>
      <c r="BA1066" s="116"/>
      <c r="BB1066" s="166"/>
      <c r="BC1066" s="166"/>
      <c r="BD1066" s="166"/>
      <c r="BE1066" s="166"/>
      <c r="BF1066" s="166"/>
      <c r="BG1066" s="166"/>
      <c r="BH1066" s="166"/>
      <c r="BI1066" s="113"/>
      <c r="BJ1066" s="113"/>
      <c r="BK1066" s="113">
        <f>INDEX('Dist. Plant Gas Additions'!$F$7:$AE$91,MATCH($C1066,'Dist. Plant Gas Additions'!$D$7:$D$91,0),MATCH(Calculation!$G1066,'Dist. Plant Gas Additions'!$F$5:$AE$5,0))</f>
        <v>499476</v>
      </c>
      <c r="BL1066" s="113">
        <f>INDEX('Gen. Plant Additions'!$F$7:$AE$91,MATCH($C1066,'Gen. Plant Additions'!$D$7:$D$91,0),MATCH(Calculation!$G1066,'Gen. Plant Additions'!$F$5:$AE$5,0))</f>
        <v>159691</v>
      </c>
      <c r="BM1066" s="231">
        <f t="shared" si="1921"/>
        <v>0.89496525379282532</v>
      </c>
      <c r="BN1066" s="61">
        <f t="shared" si="1958"/>
        <v>142917.89634343007</v>
      </c>
      <c r="BO1066" s="113">
        <f>INDEX('Dist Plant Depreciation'!$E$7:$AD$94,MATCH($C1066,'Dist Plant Depreciation'!$D$7:$D$94,0),MATCH(Calculation!$G1066,'Dist Plant Depreciation'!$E$5:$AD$5,0))</f>
        <v>2637203</v>
      </c>
      <c r="BP1066" s="113">
        <f>INDEX('Gen. Plant Depreciation'!$E$7:$AD$94,MATCH($C1066,'Gen. Plant Depreciation'!$D$7:$D$94,0),MATCH(Calculation!$G1066,'Gen. Plant Depreciation'!$E$5:$AD$5,0))</f>
        <v>399254</v>
      </c>
      <c r="BQ1066" s="113"/>
      <c r="BR1066" s="113"/>
      <c r="BS1066" s="113"/>
      <c r="BT1066" s="113"/>
      <c r="BU1066" s="113"/>
      <c r="BV1066" s="175"/>
      <c r="BW1066" s="113">
        <f>INDEX('Gross Dx Plant'!$E$7:$AD$91,MATCH($C1066,'Gross Dx Plant'!$D$7:$D$91,0),MATCH(Calculation!$G1066,'Gross Dx Plant'!$E$5:$AD$5,0))</f>
        <v>6931522</v>
      </c>
      <c r="BX1066" s="113">
        <f>INDEX('Gross Gen Plant'!$E$7:$AD$91,MATCH($C1066,'Gross Gen Plant'!$D$7:$D$91,0),MATCH(Calculation!$G1066,'Gross Gen Plant'!$E$5:$AD$5,0))</f>
        <v>813496</v>
      </c>
      <c r="BY1066" s="113">
        <f t="shared" si="1868"/>
        <v>4708561</v>
      </c>
      <c r="BZ1066" s="113"/>
      <c r="CA1066" s="116">
        <v>2011</v>
      </c>
      <c r="CB1066" s="113"/>
      <c r="CC1066" s="113"/>
      <c r="CD1066" s="113"/>
      <c r="CE1066" s="175"/>
      <c r="CF1066" s="113">
        <f t="shared" si="1922"/>
        <v>659167</v>
      </c>
      <c r="CG1066" s="113">
        <f t="shared" si="1923"/>
        <v>1077.7551358676089</v>
      </c>
      <c r="CH1066" s="178">
        <v>0.92121212121212126</v>
      </c>
      <c r="CI1066" s="61">
        <f>+CI1053*CH1066+CG1054*CH1065+CG1055*CH1064+CG1056*CH1063+CG1057*CH1062+CG1058*CH1061+CG1059*CH1060+CG1060*CH1059+CG1061*CH1058+CG1062*CH1057+CG1063*CH1056+CG1064*CH1055+CG1065*CH1054+CG1066</f>
        <v>18672.004328881005</v>
      </c>
      <c r="CJ1066" s="114">
        <f t="shared" si="1924"/>
        <v>5.2260545857688676E-2</v>
      </c>
      <c r="CK1066" s="114"/>
      <c r="CL1066" s="169">
        <f t="shared" si="1925"/>
        <v>7.1668579761822639E-3</v>
      </c>
      <c r="CM1066" s="169">
        <f t="shared" si="1933"/>
        <v>6.9641391833197676E-3</v>
      </c>
      <c r="CN1066" s="114">
        <f>VLOOKUP($H1066,RoR!$E:$F,2,FALSE)</f>
        <v>4.6391666666666664E-2</v>
      </c>
      <c r="CO1066" s="169">
        <v>2.0840920205183799E-2</v>
      </c>
      <c r="CP1066" s="169">
        <f t="shared" si="1931"/>
        <v>2.5550746461482865E-2</v>
      </c>
      <c r="CQ1066" s="169">
        <f t="shared" si="1934"/>
        <v>2.3937802425213858E-2</v>
      </c>
      <c r="CR1066" s="169">
        <f t="shared" si="1935"/>
        <v>2.4810540821321614E-2</v>
      </c>
      <c r="CS1066" s="179">
        <f t="shared" si="1926"/>
        <v>0.84923979999999999</v>
      </c>
      <c r="CT1066" s="180">
        <f t="shared" si="1927"/>
        <v>1.1054151524782025</v>
      </c>
      <c r="CU1066" s="180">
        <f t="shared" si="1928"/>
        <v>0.43611011316687626</v>
      </c>
      <c r="CV1066" s="180">
        <f t="shared" si="1929"/>
        <v>0.83698442246886229</v>
      </c>
      <c r="CW1066" s="180">
        <f t="shared" si="1930"/>
        <v>0.40349573304423936</v>
      </c>
      <c r="CX1066" s="181">
        <f>INDEX('State Tax Lookup'!$D$7:$Z$91,MATCH(Calculation!$C1066,'State Tax Lookup'!$B$7:$B$91,0),MATCH($H1066,'State Tax Lookup'!$D$6:$Z$6,0))</f>
        <v>0.40745999999999999</v>
      </c>
      <c r="CY1066" s="72">
        <v>0.37</v>
      </c>
      <c r="CZ1066" s="70">
        <f t="shared" si="1932"/>
        <v>20.947669086909503</v>
      </c>
      <c r="DA1066" s="70">
        <v>19.146574949201604</v>
      </c>
      <c r="DB1066" s="69">
        <f t="shared" si="1936"/>
        <v>6.5407544846734431E-2</v>
      </c>
      <c r="DC1066" s="111">
        <f>VLOOKUP($H1066,RoR!$E:$F,2,FALSE)</f>
        <v>4.6391666666666664E-2</v>
      </c>
      <c r="DD1066" s="216">
        <f>HLOOKUP($H1066,'GDP-PI'!$D$8:$CQ$11,3,FALSE)</f>
        <v>2.0840920205183799E-2</v>
      </c>
      <c r="DE1066" s="111">
        <f>VLOOKUP(H1066,'HW Dx Data'!$E:$F,2,FALSE)</f>
        <v>611.61109612283201</v>
      </c>
      <c r="DF1066" s="72">
        <f t="shared" si="1946"/>
        <v>120.875</v>
      </c>
      <c r="DG1066" s="69">
        <f t="shared" si="1947"/>
        <v>3.3224250161508609E-2</v>
      </c>
      <c r="DH1066" s="66">
        <f>HLOOKUP(H1066,'GDP-PI'!$8:$9,2,FALSE)</f>
        <v>98.111999999999995</v>
      </c>
      <c r="DI1066" s="69">
        <f t="shared" si="1937"/>
        <v>2.0626719212849295E-2</v>
      </c>
    </row>
    <row r="1067" spans="1:113" s="160" customFormat="1" ht="21">
      <c r="A1067" s="160" t="s">
        <v>223</v>
      </c>
      <c r="B1067" s="160" t="s">
        <v>223</v>
      </c>
      <c r="C1067" s="160">
        <v>4057146</v>
      </c>
      <c r="D1067" s="161" t="s">
        <v>209</v>
      </c>
      <c r="E1067" s="161"/>
      <c r="F1067" s="189"/>
      <c r="G1067" s="160" t="s">
        <v>128</v>
      </c>
      <c r="H1067" s="162">
        <v>2012</v>
      </c>
      <c r="I1067" s="163"/>
      <c r="J1067" s="159">
        <f>IFERROR(INDEX('Labor Expenditures'!$F$7:$X$91,MATCH($C1067,'Labor Expenditures'!$D$7:$D$91,0),MATCH($G1067,'Labor Expenditures'!$F$5:$X$5,0)),"NA")</f>
        <v>332448.70543668472</v>
      </c>
      <c r="K1067" s="159">
        <f t="shared" si="1938"/>
        <v>2663.8518063836914</v>
      </c>
      <c r="L1067" s="165">
        <f t="shared" si="1944"/>
        <v>-5.5972408000593617E-2</v>
      </c>
      <c r="M1067" s="76">
        <f t="shared" si="1948"/>
        <v>-6.4753719944261818E-3</v>
      </c>
      <c r="N1067" s="62">
        <f t="shared" si="1954"/>
        <v>117.26669356830206</v>
      </c>
      <c r="O1067" s="96">
        <f t="shared" si="1949"/>
        <v>-9.3574757158418169E-3</v>
      </c>
      <c r="P1067" s="96"/>
      <c r="Q1067" s="159">
        <f>IFERROR(INDEX('Non-Labor Expenditures'!$F$7:$AB$91,MATCH($C1067,'Non-Labor Expenditures'!$D$7:$D$91,0),MATCH($G1067,'Non-Labor Expenditures'!$F$5:$AB$5,0)),"NA")</f>
        <v>481447.81832543825</v>
      </c>
      <c r="R1067" s="159">
        <f t="shared" si="1939"/>
        <v>4814.4781832543822</v>
      </c>
      <c r="S1067" s="165">
        <f t="shared" si="1950"/>
        <v>-4.3077408577467002E-2</v>
      </c>
      <c r="T1067" s="165">
        <f t="shared" si="1951"/>
        <v>-4.9835669941522918E-3</v>
      </c>
      <c r="U1067" s="165"/>
      <c r="V1067" s="165"/>
      <c r="W1067" s="159">
        <f t="shared" si="1920"/>
        <v>423281.61810540629</v>
      </c>
      <c r="X1067" s="163"/>
      <c r="Y1067" s="167">
        <v>19422.077899915847</v>
      </c>
      <c r="Z1067" s="168">
        <v>3.9385147692969073E-2</v>
      </c>
      <c r="AA1067" s="76">
        <f t="shared" si="1940"/>
        <v>4.5564143383769748E-3</v>
      </c>
      <c r="AB1067" s="168"/>
      <c r="AC1067" s="168"/>
      <c r="AD1067" s="163">
        <f t="shared" si="1886"/>
        <v>1237178.1418675291</v>
      </c>
      <c r="AE1067" s="168">
        <f t="shared" si="1952"/>
        <v>2.6437010741378802E-2</v>
      </c>
      <c r="AF1067" s="163"/>
      <c r="AG1067" s="163"/>
      <c r="AH1067" s="163"/>
      <c r="AI1067" s="163"/>
      <c r="AJ1067" s="116">
        <f t="shared" si="1953"/>
        <v>221.85232785295247</v>
      </c>
      <c r="AK1067" s="114">
        <f>+AV1067/$AX$17</f>
        <v>0.15614822884822585</v>
      </c>
      <c r="AL1067" s="115">
        <f t="shared" si="1941"/>
        <v>0.26871530799505644</v>
      </c>
      <c r="AM1067" s="115">
        <f t="shared" si="1942"/>
        <v>0.38914995507331657</v>
      </c>
      <c r="AN1067" s="115">
        <f t="shared" si="1943"/>
        <v>0.3421347369316271</v>
      </c>
      <c r="AO1067" s="115">
        <f t="shared" si="1945"/>
        <v>-1.9822499398847938E-2</v>
      </c>
      <c r="AP1067" s="166">
        <f t="shared" si="1956"/>
        <v>107.73468873047609</v>
      </c>
      <c r="AQ1067" s="168">
        <f t="shared" si="1957"/>
        <v>-1.9822499398847969E-2</v>
      </c>
      <c r="AR1067" s="69">
        <f>+AD1067/$AF$17</f>
        <v>0.11568864420407832</v>
      </c>
      <c r="AS1067" s="169">
        <f t="shared" si="1955"/>
        <v>-2.2932380801888789E-3</v>
      </c>
      <c r="AT1067" s="115"/>
      <c r="AU1067" s="115"/>
      <c r="AV1067" s="113">
        <f>IFERROR(INDEX('Total Customers'!$F$7:$AB$91,MATCH($C1067,'Total Customers'!$D$7:$D$91,0),MATCH($G1067,'Total Customers'!$F$5:$AB$5,0)),"NA")</f>
        <v>5576584</v>
      </c>
      <c r="AW1067" s="68">
        <f t="shared" si="1875"/>
        <v>4.8867689442425857E-3</v>
      </c>
      <c r="AX1067" s="114"/>
      <c r="AY1067" s="114"/>
      <c r="AZ1067" s="116"/>
      <c r="BA1067" s="116"/>
      <c r="BB1067" s="166"/>
      <c r="BC1067" s="166"/>
      <c r="BD1067" s="166"/>
      <c r="BE1067" s="166"/>
      <c r="BF1067" s="166"/>
      <c r="BG1067" s="166"/>
      <c r="BH1067" s="166"/>
      <c r="BI1067" s="113"/>
      <c r="BJ1067" s="113"/>
      <c r="BK1067" s="113">
        <f>INDEX('Dist. Plant Gas Additions'!$F$7:$AE$91,MATCH($C1067,'Dist. Plant Gas Additions'!$D$7:$D$91,0),MATCH(Calculation!$G1067,'Dist. Plant Gas Additions'!$F$5:$AE$5,0))</f>
        <v>338643</v>
      </c>
      <c r="BL1067" s="113">
        <f>INDEX('Gen. Plant Additions'!$F$7:$AE$91,MATCH($C1067,'Gen. Plant Additions'!$D$7:$D$91,0),MATCH(Calculation!$G1067,'Gen. Plant Additions'!$F$5:$AE$5,0))</f>
        <v>254673</v>
      </c>
      <c r="BM1067" s="231">
        <f t="shared" si="1921"/>
        <v>0.87625299282833291</v>
      </c>
      <c r="BN1067" s="61">
        <f t="shared" si="1958"/>
        <v>223157.97844257002</v>
      </c>
      <c r="BO1067" s="113">
        <f>INDEX('Dist Plant Depreciation'!$E$7:$AD$94,MATCH($C1067,'Dist Plant Depreciation'!$D$7:$D$94,0),MATCH(Calculation!$G1067,'Dist Plant Depreciation'!$E$5:$AD$5,0))</f>
        <v>2807443</v>
      </c>
      <c r="BP1067" s="113">
        <f>INDEX('Gen. Plant Depreciation'!$E$7:$AD$94,MATCH($C1067,'Gen. Plant Depreciation'!$D$7:$D$94,0),MATCH(Calculation!$G1067,'Gen. Plant Depreciation'!$E$5:$AD$5,0))</f>
        <v>460539</v>
      </c>
      <c r="BQ1067" s="113"/>
      <c r="BR1067" s="113"/>
      <c r="BS1067" s="113"/>
      <c r="BT1067" s="113"/>
      <c r="BU1067" s="113"/>
      <c r="BV1067" s="175"/>
      <c r="BW1067" s="113">
        <f>INDEX('Gross Dx Plant'!$E$7:$AD$91,MATCH($C1067,'Gross Dx Plant'!$D$7:$D$91,0),MATCH(Calculation!$G1067,'Gross Dx Plant'!$E$5:$AD$5,0))</f>
        <v>7248972</v>
      </c>
      <c r="BX1067" s="113">
        <f>INDEX('Gross Gen Plant'!$E$7:$AD$91,MATCH($C1067,'Gross Gen Plant'!$D$7:$D$91,0),MATCH(Calculation!$G1067,'Gross Gen Plant'!$E$5:$AD$5,0))</f>
        <v>1023721</v>
      </c>
      <c r="BY1067" s="113">
        <f t="shared" si="1868"/>
        <v>5004711</v>
      </c>
      <c r="BZ1067" s="113"/>
      <c r="CA1067" s="116">
        <v>2012</v>
      </c>
      <c r="CB1067" s="113"/>
      <c r="CC1067" s="113"/>
      <c r="CD1067" s="113"/>
      <c r="CE1067" s="175"/>
      <c r="CF1067" s="113">
        <f t="shared" si="1922"/>
        <v>593316</v>
      </c>
      <c r="CG1067" s="113">
        <f t="shared" si="1923"/>
        <v>886.976919916371</v>
      </c>
      <c r="CH1067" s="178">
        <v>0.9135802469135802</v>
      </c>
      <c r="CI1067" s="61">
        <f>+CI1053*CH1067+CG1054*CH1066+CG1055*CH1065+CG1056*CH1064+CG1057*CH1063+CG1058*CH1062+CG1059*CH1061+CG1060*CH1060+CG1061*CH1059+CG1062*CH1058+CG1063*CH1057+CG1064*CH1056+CG1065*CH1055+CG1066*CH1054+CG1067</f>
        <v>19422.077899915847</v>
      </c>
      <c r="CJ1067" s="114">
        <f t="shared" si="1924"/>
        <v>3.9385147692969073E-2</v>
      </c>
      <c r="CK1067" s="114"/>
      <c r="CL1067" s="169">
        <f t="shared" si="1925"/>
        <v>7.332011415066641E-3</v>
      </c>
      <c r="CM1067" s="169">
        <f t="shared" si="1933"/>
        <v>7.1559028067488505E-3</v>
      </c>
      <c r="CN1067" s="114">
        <f>VLOOKUP($H1067,RoR!$E:$F,2,FALSE)</f>
        <v>3.6733333333333333E-2</v>
      </c>
      <c r="CO1067" s="169">
        <v>1.924331376386168E-2</v>
      </c>
      <c r="CP1067" s="169">
        <f t="shared" si="1931"/>
        <v>1.7490019569471653E-2</v>
      </c>
      <c r="CQ1067" s="169">
        <f t="shared" si="1934"/>
        <v>2.3746038801784775E-2</v>
      </c>
      <c r="CR1067" s="169">
        <f t="shared" si="1935"/>
        <v>6.7122682943869583E-2</v>
      </c>
      <c r="CS1067" s="179">
        <f t="shared" si="1926"/>
        <v>0.84923979999999999</v>
      </c>
      <c r="CT1067" s="180">
        <f t="shared" si="1927"/>
        <v>1.3960631020522127</v>
      </c>
      <c r="CU1067" s="180">
        <f t="shared" si="1928"/>
        <v>0.29441923774954631</v>
      </c>
      <c r="CV1067" s="180">
        <f t="shared" si="1929"/>
        <v>0.76377954189366437</v>
      </c>
      <c r="CW1067" s="180">
        <f t="shared" si="1930"/>
        <v>0.31393465103033691</v>
      </c>
      <c r="CX1067" s="181">
        <f>INDEX('State Tax Lookup'!$D$7:$Z$91,MATCH(Calculation!$C1067,'State Tax Lookup'!$B$7:$B$91,0),MATCH($H1067,'State Tax Lookup'!$D$6:$Z$6,0))</f>
        <v>0.40745999999999999</v>
      </c>
      <c r="CY1067" s="72">
        <v>0.37</v>
      </c>
      <c r="CZ1067" s="70">
        <f t="shared" si="1932"/>
        <v>22.669318764600625</v>
      </c>
      <c r="DA1067" s="70">
        <v>20.759737328210988</v>
      </c>
      <c r="DB1067" s="69">
        <f t="shared" si="1936"/>
        <v>7.8985034573975724E-2</v>
      </c>
      <c r="DC1067" s="111">
        <f>VLOOKUP($H1067,RoR!$E:$F,2,FALSE)</f>
        <v>3.6733333333333333E-2</v>
      </c>
      <c r="DD1067" s="216">
        <f>HLOOKUP($H1067,'GDP-PI'!$D$8:$CQ$11,3,FALSE)</f>
        <v>1.924331376386168E-2</v>
      </c>
      <c r="DE1067" s="111">
        <f>VLOOKUP(H1067,'HW Dx Data'!$E:$F,2,FALSE)</f>
        <v>668.91932211262167</v>
      </c>
      <c r="DF1067" s="72">
        <f t="shared" si="1946"/>
        <v>124.80000000000001</v>
      </c>
      <c r="DG1067" s="69">
        <f t="shared" si="1947"/>
        <v>3.1955502161869064E-2</v>
      </c>
      <c r="DH1067" s="66">
        <f>HLOOKUP(H1067,'GDP-PI'!$8:$9,2,FALSE)</f>
        <v>100</v>
      </c>
      <c r="DI1067" s="69">
        <f t="shared" si="1937"/>
        <v>1.9060502738742411E-2</v>
      </c>
    </row>
    <row r="1068" spans="1:113" s="160" customFormat="1" ht="21">
      <c r="A1068" s="160" t="s">
        <v>223</v>
      </c>
      <c r="B1068" s="160" t="s">
        <v>223</v>
      </c>
      <c r="C1068" s="160">
        <v>4057146</v>
      </c>
      <c r="D1068" s="161" t="s">
        <v>209</v>
      </c>
      <c r="E1068" s="161"/>
      <c r="F1068" s="189"/>
      <c r="G1068" s="160" t="s">
        <v>129</v>
      </c>
      <c r="H1068" s="162">
        <v>2013</v>
      </c>
      <c r="I1068" s="163"/>
      <c r="J1068" s="159">
        <f>IFERROR(INDEX('Labor Expenditures'!$F$7:$X$91,MATCH($C1068,'Labor Expenditures'!$D$7:$D$91,0),MATCH($G1068,'Labor Expenditures'!$F$5:$X$5,0)),"NA")</f>
        <v>342855.63172203489</v>
      </c>
      <c r="K1068" s="159">
        <f t="shared" si="1938"/>
        <v>2703.9087675239343</v>
      </c>
      <c r="L1068" s="165">
        <f t="shared" si="1944"/>
        <v>1.4925294894001934E-2</v>
      </c>
      <c r="M1068" s="76">
        <f t="shared" si="1948"/>
        <v>1.7128350924756242E-3</v>
      </c>
      <c r="N1068" s="62">
        <f t="shared" si="1954"/>
        <v>107.29591237934304</v>
      </c>
      <c r="O1068" s="96">
        <f t="shared" si="1949"/>
        <v>-8.8860219383051109E-2</v>
      </c>
      <c r="P1068" s="96"/>
      <c r="Q1068" s="159">
        <f>IFERROR(INDEX('Non-Labor Expenditures'!$F$7:$AB$91,MATCH($C1068,'Non-Labor Expenditures'!$D$7:$D$91,0),MATCH($G1068,'Non-Labor Expenditures'!$F$5:$AB$5,0)),"NA")</f>
        <v>496518.9913323361</v>
      </c>
      <c r="R1068" s="159">
        <f t="shared" si="1939"/>
        <v>4878.6907267382912</v>
      </c>
      <c r="S1068" s="165">
        <f t="shared" si="1950"/>
        <v>1.324922394528957E-2</v>
      </c>
      <c r="T1068" s="165">
        <f t="shared" si="1951"/>
        <v>1.5204882638989131E-3</v>
      </c>
      <c r="U1068" s="165"/>
      <c r="V1068" s="165"/>
      <c r="W1068" s="159">
        <f t="shared" si="1920"/>
        <v>433461.46440643037</v>
      </c>
      <c r="X1068" s="163"/>
      <c r="Y1068" s="167">
        <v>20185.587540694563</v>
      </c>
      <c r="Z1068" s="168">
        <v>3.8558406593730242E-2</v>
      </c>
      <c r="AA1068" s="76">
        <f t="shared" si="1940"/>
        <v>4.4249840551040635E-3</v>
      </c>
      <c r="AB1068" s="168"/>
      <c r="AC1068" s="168"/>
      <c r="AD1068" s="163">
        <f t="shared" si="1886"/>
        <v>1272836.0874608015</v>
      </c>
      <c r="AE1068" s="168">
        <f t="shared" si="1952"/>
        <v>2.8414456200487184E-2</v>
      </c>
      <c r="AF1068" s="163"/>
      <c r="AG1068" s="163"/>
      <c r="AH1068" s="163"/>
      <c r="AI1068" s="163"/>
      <c r="AJ1068" s="116">
        <f t="shared" si="1953"/>
        <v>227.03487930655749</v>
      </c>
      <c r="AK1068" s="114">
        <f>+AV1068/$AX$18</f>
        <v>0.1559810911169382</v>
      </c>
      <c r="AL1068" s="115">
        <f t="shared" si="1941"/>
        <v>0.26936353792891149</v>
      </c>
      <c r="AM1068" s="115">
        <f t="shared" si="1942"/>
        <v>0.39008871309018961</v>
      </c>
      <c r="AN1068" s="115">
        <f t="shared" si="1943"/>
        <v>0.34054774898089879</v>
      </c>
      <c r="AO1068" s="115">
        <f t="shared" si="1945"/>
        <v>2.233922096960031E-2</v>
      </c>
      <c r="AP1068" s="166">
        <f t="shared" si="1956"/>
        <v>110.16848104767234</v>
      </c>
      <c r="AQ1068" s="168">
        <f t="shared" si="1957"/>
        <v>2.2339220969600334E-2</v>
      </c>
      <c r="AR1068" s="69">
        <f>+AD1068/$AF$18</f>
        <v>0.11476055278237521</v>
      </c>
      <c r="AS1068" s="169">
        <f t="shared" si="1955"/>
        <v>2.5636613471989624E-3</v>
      </c>
      <c r="AT1068" s="115"/>
      <c r="AU1068" s="115"/>
      <c r="AV1068" s="113">
        <f>IFERROR(INDEX('Total Customers'!$F$7:$AB$91,MATCH($C1068,'Total Customers'!$D$7:$D$91,0),MATCH($G1068,'Total Customers'!$F$5:$AB$5,0)),"NA")</f>
        <v>5606346</v>
      </c>
      <c r="AW1068" s="68">
        <f t="shared" si="1875"/>
        <v>5.3227678734814798E-3</v>
      </c>
      <c r="AX1068" s="114"/>
      <c r="AY1068" s="114"/>
      <c r="AZ1068" s="116"/>
      <c r="BA1068" s="116"/>
      <c r="BB1068" s="166"/>
      <c r="BC1068" s="166"/>
      <c r="BD1068" s="166"/>
      <c r="BE1068" s="166"/>
      <c r="BF1068" s="166"/>
      <c r="BG1068" s="166"/>
      <c r="BH1068" s="166"/>
      <c r="BI1068" s="113"/>
      <c r="BJ1068" s="113"/>
      <c r="BK1068" s="113">
        <f>INDEX('Dist. Plant Gas Additions'!$F$7:$AE$91,MATCH($C1068,'Dist. Plant Gas Additions'!$D$7:$D$91,0),MATCH(Calculation!$G1068,'Dist. Plant Gas Additions'!$F$5:$AE$5,0))</f>
        <v>368615</v>
      </c>
      <c r="BL1068" s="113">
        <f>INDEX('Gen. Plant Additions'!$F$7:$AE$91,MATCH($C1068,'Gen. Plant Additions'!$D$7:$D$91,0),MATCH(Calculation!$G1068,'Gen. Plant Additions'!$F$5:$AE$5,0))</f>
        <v>234790</v>
      </c>
      <c r="BM1068" s="231">
        <f t="shared" si="1921"/>
        <v>0.86050364815969804</v>
      </c>
      <c r="BN1068" s="61">
        <f t="shared" si="1958"/>
        <v>202037.6515514155</v>
      </c>
      <c r="BO1068" s="113">
        <f>INDEX('Dist Plant Depreciation'!$E$7:$AD$94,MATCH($C1068,'Dist Plant Depreciation'!$D$7:$D$94,0),MATCH(Calculation!$G1068,'Dist Plant Depreciation'!$E$5:$AD$5,0))</f>
        <v>2811114</v>
      </c>
      <c r="BP1068" s="113">
        <f>INDEX('Gen. Plant Depreciation'!$E$7:$AD$94,MATCH($C1068,'Gen. Plant Depreciation'!$D$7:$D$94,0),MATCH(Calculation!$G1068,'Gen. Plant Depreciation'!$E$5:$AD$5,0))</f>
        <v>570350</v>
      </c>
      <c r="BQ1068" s="113"/>
      <c r="BR1068" s="113"/>
      <c r="BS1068" s="113"/>
      <c r="BT1068" s="113"/>
      <c r="BU1068" s="113"/>
      <c r="BV1068" s="175"/>
      <c r="BW1068" s="113">
        <f>INDEX('Gross Dx Plant'!$E$7:$AD$91,MATCH($C1068,'Gross Dx Plant'!$D$7:$D$91,0),MATCH(Calculation!$G1068,'Gross Dx Plant'!$E$5:$AD$5,0))</f>
        <v>7548301</v>
      </c>
      <c r="BX1068" s="113">
        <f>INDEX('Gross Gen Plant'!$E$7:$AD$91,MATCH($C1068,'Gross Gen Plant'!$D$7:$D$91,0),MATCH(Calculation!$G1068,'Gross Gen Plant'!$E$5:$AD$5,0))</f>
        <v>1223656</v>
      </c>
      <c r="BY1068" s="113">
        <f t="shared" si="1868"/>
        <v>5390493</v>
      </c>
      <c r="BZ1068" s="113"/>
      <c r="CA1068" s="116">
        <v>2013</v>
      </c>
      <c r="CB1068" s="113"/>
      <c r="CC1068" s="113"/>
      <c r="CD1068" s="113"/>
      <c r="CE1068" s="175"/>
      <c r="CF1068" s="113">
        <f t="shared" si="1922"/>
        <v>603405</v>
      </c>
      <c r="CG1068" s="113">
        <f t="shared" si="1923"/>
        <v>909.77225879018351</v>
      </c>
      <c r="CH1068" s="178">
        <v>0.90566037735849059</v>
      </c>
      <c r="CI1068" s="61">
        <f>+CI1053*CH1068+CG1054*CH1067+CG1055*CH1066+CG1056*CH1065+CG1057*CH1064+CG1058*CH1063+CG1059*CH1062+CG1060*CH1061+CG1061*CH1060+CG1062*CH1059+CG1063*CH1058+CG1064*CH1057+CG1065*CH1056+CG1066*CH1055+CG1067*CH1054+CG1068</f>
        <v>20185.587540694563</v>
      </c>
      <c r="CJ1068" s="114">
        <f t="shared" si="1924"/>
        <v>3.8558406593730242E-2</v>
      </c>
      <c r="CK1068" s="114"/>
      <c r="CL1068" s="169">
        <f t="shared" si="1925"/>
        <v>7.5307399530150374E-3</v>
      </c>
      <c r="CM1068" s="169">
        <f t="shared" si="1933"/>
        <v>7.3432031147546472E-3</v>
      </c>
      <c r="CN1068" s="114">
        <f>VLOOKUP($H1068,RoR!$E:$F,2,FALSE)</f>
        <v>4.2350000000000006E-2</v>
      </c>
      <c r="CO1068" s="169">
        <v>1.7730000000000024E-2</v>
      </c>
      <c r="CP1068" s="169">
        <f t="shared" si="1931"/>
        <v>2.4619999999999982E-2</v>
      </c>
      <c r="CQ1068" s="169">
        <f t="shared" si="1934"/>
        <v>2.3558738493778979E-2</v>
      </c>
      <c r="CR1068" s="169">
        <f t="shared" si="1935"/>
        <v>5.3376742735721204E-2</v>
      </c>
      <c r="CS1068" s="179">
        <f t="shared" si="1926"/>
        <v>0.84923979999999999</v>
      </c>
      <c r="CT1068" s="180">
        <f t="shared" si="1927"/>
        <v>1.2109103018193925</v>
      </c>
      <c r="CU1068" s="180">
        <f t="shared" si="1928"/>
        <v>0.38468122786304604</v>
      </c>
      <c r="CV1068" s="180">
        <f t="shared" si="1929"/>
        <v>0.80969194503422559</v>
      </c>
      <c r="CW1068" s="180">
        <f t="shared" si="1930"/>
        <v>0.37716621754800816</v>
      </c>
      <c r="CX1068" s="181">
        <f>INDEX('State Tax Lookup'!$D$7:$Z$91,MATCH(Calculation!$C1068,'State Tax Lookup'!$B$7:$B$91,0),MATCH($H1068,'State Tax Lookup'!$D$6:$Z$6,0))</f>
        <v>0.40745999999999999</v>
      </c>
      <c r="CY1068" s="72">
        <v>0.37</v>
      </c>
      <c r="CZ1068" s="70">
        <f t="shared" si="1932"/>
        <v>22.317975792297101</v>
      </c>
      <c r="DA1068" s="70">
        <v>20.339519021246105</v>
      </c>
      <c r="DB1068" s="69">
        <f t="shared" si="1936"/>
        <v>-1.5619970892915426E-2</v>
      </c>
      <c r="DC1068" s="111">
        <f>VLOOKUP($H1068,RoR!$E:$F,2,FALSE)</f>
        <v>4.2350000000000006E-2</v>
      </c>
      <c r="DD1068" s="216">
        <f>HLOOKUP($H1068,'GDP-PI'!$D$8:$CQ$11,3,FALSE)</f>
        <v>1.7730000000000024E-2</v>
      </c>
      <c r="DE1068" s="111">
        <f>VLOOKUP(H1068,'HW Dx Data'!$E:$F,2,FALSE)</f>
        <v>663.24840548821396</v>
      </c>
      <c r="DF1068" s="72">
        <f t="shared" si="1946"/>
        <v>126.8</v>
      </c>
      <c r="DG1068" s="69">
        <f t="shared" si="1947"/>
        <v>1.5898586067798204E-2</v>
      </c>
      <c r="DH1068" s="66">
        <f>HLOOKUP(H1068,'GDP-PI'!$8:$9,2,FALSE)</f>
        <v>101.773</v>
      </c>
      <c r="DI1068" s="69">
        <f t="shared" si="1937"/>
        <v>1.7574657016510519E-2</v>
      </c>
    </row>
    <row r="1069" spans="1:113" s="160" customFormat="1" ht="21">
      <c r="A1069" s="160" t="s">
        <v>223</v>
      </c>
      <c r="B1069" s="160" t="s">
        <v>223</v>
      </c>
      <c r="C1069" s="160">
        <v>4057146</v>
      </c>
      <c r="D1069" s="161" t="s">
        <v>209</v>
      </c>
      <c r="E1069" s="161"/>
      <c r="F1069" s="189"/>
      <c r="G1069" s="160" t="s">
        <v>130</v>
      </c>
      <c r="H1069" s="162">
        <v>2014</v>
      </c>
      <c r="I1069" s="163"/>
      <c r="J1069" s="159">
        <f>IFERROR(INDEX('Labor Expenditures'!$F$7:$X$91,MATCH($C1069,'Labor Expenditures'!$D$7:$D$91,0),MATCH($G1069,'Labor Expenditures'!$F$5:$X$5,0)),"NA")</f>
        <v>325151.92945943767</v>
      </c>
      <c r="K1069" s="159">
        <f t="shared" si="1938"/>
        <v>2512.7660700111101</v>
      </c>
      <c r="L1069" s="165">
        <f t="shared" si="1944"/>
        <v>-7.3314251500259733E-2</v>
      </c>
      <c r="M1069" s="76">
        <f t="shared" si="1948"/>
        <v>-8.0989362472286205E-3</v>
      </c>
      <c r="N1069" s="62">
        <f t="shared" si="1954"/>
        <v>121.19261478640348</v>
      </c>
      <c r="O1069" s="96">
        <f t="shared" si="1949"/>
        <v>0.12179058401515788</v>
      </c>
      <c r="P1069" s="96"/>
      <c r="Q1069" s="159">
        <f>IFERROR(INDEX('Non-Labor Expenditures'!$F$7:$AB$91,MATCH($C1069,'Non-Labor Expenditures'!$D$7:$D$91,0),MATCH($G1069,'Non-Labor Expenditures'!$F$5:$AB$5,0)),"NA")</f>
        <v>470880.72386062267</v>
      </c>
      <c r="R1069" s="159">
        <f t="shared" si="1939"/>
        <v>4543.1196644439551</v>
      </c>
      <c r="S1069" s="165">
        <f t="shared" si="1950"/>
        <v>-7.1262963334841362E-2</v>
      </c>
      <c r="T1069" s="165">
        <f t="shared" si="1951"/>
        <v>-7.8723329370064717E-3</v>
      </c>
      <c r="U1069" s="165"/>
      <c r="V1069" s="165"/>
      <c r="W1069" s="159">
        <f t="shared" si="1920"/>
        <v>461625.88577245385</v>
      </c>
      <c r="X1069" s="163"/>
      <c r="Y1069" s="167">
        <v>20985.243312652434</v>
      </c>
      <c r="Z1069" s="168">
        <v>3.885062964800326E-2</v>
      </c>
      <c r="AA1069" s="76">
        <f t="shared" si="1940"/>
        <v>4.2917818329326297E-3</v>
      </c>
      <c r="AB1069" s="168"/>
      <c r="AC1069" s="168"/>
      <c r="AD1069" s="163">
        <f t="shared" si="1886"/>
        <v>1257658.5390925142</v>
      </c>
      <c r="AE1069" s="168">
        <f t="shared" si="1952"/>
        <v>-1.1995860582777398E-2</v>
      </c>
      <c r="AF1069" s="163"/>
      <c r="AG1069" s="163"/>
      <c r="AH1069" s="163"/>
      <c r="AI1069" s="163"/>
      <c r="AJ1069" s="116">
        <f t="shared" si="1953"/>
        <v>223.04328162913939</v>
      </c>
      <c r="AK1069" s="114">
        <f>+AV1069/$AX$19</f>
        <v>0.15604098676179731</v>
      </c>
      <c r="AL1069" s="115">
        <f t="shared" si="1941"/>
        <v>0.25853752775698308</v>
      </c>
      <c r="AM1069" s="115">
        <f t="shared" si="1942"/>
        <v>0.3744106283414535</v>
      </c>
      <c r="AN1069" s="115">
        <f t="shared" si="1943"/>
        <v>0.36705184390156342</v>
      </c>
      <c r="AO1069" s="115">
        <f t="shared" si="1945"/>
        <v>-3.284623515637497E-2</v>
      </c>
      <c r="AP1069" s="166">
        <f t="shared" si="1956"/>
        <v>106.6086448663405</v>
      </c>
      <c r="AQ1069" s="168">
        <f t="shared" si="1957"/>
        <v>-3.2846235156374921E-2</v>
      </c>
      <c r="AR1069" s="69">
        <f>+AD1069/$AF$19</f>
        <v>0.11046878446545864</v>
      </c>
      <c r="AS1069" s="169">
        <f t="shared" si="1955"/>
        <v>-3.6284836719913515E-3</v>
      </c>
      <c r="AT1069" s="115"/>
      <c r="AU1069" s="115"/>
      <c r="AV1069" s="113">
        <f>IFERROR(INDEX('Total Customers'!$F$7:$AB$91,MATCH($C1069,'Total Customers'!$D$7:$D$91,0),MATCH($G1069,'Total Customers'!$F$5:$AB$5,0)),"NA")</f>
        <v>5638630</v>
      </c>
      <c r="AW1069" s="68">
        <f t="shared" si="1875"/>
        <v>5.7419577774918198E-3</v>
      </c>
      <c r="AX1069" s="114"/>
      <c r="AY1069" s="114"/>
      <c r="AZ1069" s="116"/>
      <c r="BA1069" s="116"/>
      <c r="BB1069" s="166"/>
      <c r="BC1069" s="166"/>
      <c r="BD1069" s="166"/>
      <c r="BE1069" s="166"/>
      <c r="BF1069" s="166"/>
      <c r="BG1069" s="166"/>
      <c r="BH1069" s="166"/>
      <c r="BI1069" s="113"/>
      <c r="BJ1069" s="113"/>
      <c r="BK1069" s="113">
        <f>INDEX('Dist. Plant Gas Additions'!$F$7:$AE$91,MATCH($C1069,'Dist. Plant Gas Additions'!$D$7:$D$91,0),MATCH(Calculation!$G1069,'Dist. Plant Gas Additions'!$F$5:$AE$5,0))</f>
        <v>537091</v>
      </c>
      <c r="BL1069" s="113">
        <f>INDEX('Gen. Plant Additions'!$F$7:$AE$91,MATCH($C1069,'Gen. Plant Additions'!$D$7:$D$91,0),MATCH(Calculation!$G1069,'Gen. Plant Additions'!$F$5:$AE$5,0))</f>
        <v>117124</v>
      </c>
      <c r="BM1069" s="231">
        <f t="shared" si="1921"/>
        <v>0.86150791469215604</v>
      </c>
      <c r="BN1069" s="61">
        <f t="shared" si="1958"/>
        <v>100903.25300040409</v>
      </c>
      <c r="BO1069" s="113">
        <f>INDEX('Dist Plant Depreciation'!$E$7:$AD$94,MATCH($C1069,'Dist Plant Depreciation'!$D$7:$D$94,0),MATCH(Calculation!$G1069,'Dist Plant Depreciation'!$E$5:$AD$5,0))</f>
        <v>2958030</v>
      </c>
      <c r="BP1069" s="113">
        <f>INDEX('Gen. Plant Depreciation'!$E$7:$AD$94,MATCH($C1069,'Gen. Plant Depreciation'!$D$7:$D$94,0),MATCH(Calculation!$G1069,'Gen. Plant Depreciation'!$E$5:$AD$5,0))</f>
        <v>675741</v>
      </c>
      <c r="BQ1069" s="113"/>
      <c r="BR1069" s="113"/>
      <c r="BS1069" s="113"/>
      <c r="BT1069" s="113"/>
      <c r="BU1069" s="113"/>
      <c r="BV1069" s="175"/>
      <c r="BW1069" s="113">
        <f>INDEX('Gross Dx Plant'!$E$7:$AD$91,MATCH($C1069,'Gross Dx Plant'!$D$7:$D$91,0),MATCH(Calculation!$G1069,'Gross Dx Plant'!$E$5:$AD$5,0))</f>
        <v>8054732</v>
      </c>
      <c r="BX1069" s="113">
        <f>INDEX('Gross Gen Plant'!$E$7:$AD$91,MATCH($C1069,'Gross Gen Plant'!$D$7:$D$91,0),MATCH(Calculation!$G1069,'Gross Gen Plant'!$E$5:$AD$5,0))</f>
        <v>1294842</v>
      </c>
      <c r="BY1069" s="113">
        <f t="shared" si="1868"/>
        <v>5715803</v>
      </c>
      <c r="BZ1069" s="113"/>
      <c r="CA1069" s="116">
        <v>2014</v>
      </c>
      <c r="CB1069" s="113"/>
      <c r="CC1069" s="113"/>
      <c r="CD1069" s="113"/>
      <c r="CE1069" s="175"/>
      <c r="CF1069" s="113">
        <f t="shared" si="1922"/>
        <v>654215</v>
      </c>
      <c r="CG1069" s="113">
        <f t="shared" si="1923"/>
        <v>955.79911356640946</v>
      </c>
      <c r="CH1069" s="178">
        <v>0.89743589743589747</v>
      </c>
      <c r="CI1069" s="61">
        <f>+CI1053*CH1069+CG1054*CH1068+CG1055*CH1067+CG1056*CH1066+CG1057*CH1065+CG1058*CH1064+CG1059*CH1063+CG1060*CH1062+CG1061*CH1061+CG1062*CH1060+CG1063*CH1059+CG1064*CH1058+CG1065*CH1057+CG1066*CH1056+CG1067*CH1055+CG1068*CH1054+CG1069</f>
        <v>20985.243312652434</v>
      </c>
      <c r="CJ1069" s="114">
        <f t="shared" si="1924"/>
        <v>3.885062964800326E-2</v>
      </c>
      <c r="CK1069" s="114"/>
      <c r="CL1069" s="169">
        <f t="shared" si="1925"/>
        <v>7.735387503274343E-3</v>
      </c>
      <c r="CM1069" s="169">
        <f t="shared" si="1933"/>
        <v>7.5327129571186738E-3</v>
      </c>
      <c r="CN1069" s="114">
        <f>VLOOKUP($H1069,RoR!$E:$F,2,FALSE)</f>
        <v>4.1625000000000002E-2</v>
      </c>
      <c r="CO1069" s="169">
        <v>1.841352814597208E-2</v>
      </c>
      <c r="CP1069" s="169">
        <f t="shared" si="1931"/>
        <v>2.3211471854027922E-2</v>
      </c>
      <c r="CQ1069" s="169">
        <f t="shared" si="1934"/>
        <v>2.3369228651414952E-2</v>
      </c>
      <c r="CR1069" s="169">
        <f t="shared" si="1935"/>
        <v>3.9072621432650924E-2</v>
      </c>
      <c r="CS1069" s="179">
        <f t="shared" si="1926"/>
        <v>0.84923979999999999</v>
      </c>
      <c r="CT1069" s="180">
        <f t="shared" si="1927"/>
        <v>1.2320012320012319</v>
      </c>
      <c r="CU1069" s="180">
        <f t="shared" si="1928"/>
        <v>0.37439939939939942</v>
      </c>
      <c r="CV1069" s="180">
        <f t="shared" si="1929"/>
        <v>0.80432100613819935</v>
      </c>
      <c r="CW1069" s="180">
        <f t="shared" si="1930"/>
        <v>0.37100152660040037</v>
      </c>
      <c r="CX1069" s="181">
        <f>INDEX('State Tax Lookup'!$D$7:$Z$91,MATCH(Calculation!$C1069,'State Tax Lookup'!$B$7:$B$91,0),MATCH($H1069,'State Tax Lookup'!$D$6:$Z$6,0))</f>
        <v>0.40745999999999999</v>
      </c>
      <c r="CY1069" s="72">
        <v>0.37</v>
      </c>
      <c r="CZ1069" s="70">
        <f t="shared" si="1932"/>
        <v>22.869083440935594</v>
      </c>
      <c r="DA1069" s="70">
        <v>20.763592984765573</v>
      </c>
      <c r="DB1069" s="69">
        <f t="shared" si="1936"/>
        <v>2.4393487224560292E-2</v>
      </c>
      <c r="DC1069" s="111">
        <f>VLOOKUP($H1069,RoR!$E:$F,2,FALSE)</f>
        <v>4.1625000000000002E-2</v>
      </c>
      <c r="DD1069" s="216">
        <f>HLOOKUP($H1069,'GDP-PI'!$D$8:$CQ$11,3,FALSE)</f>
        <v>1.841352814597208E-2</v>
      </c>
      <c r="DE1069" s="111">
        <f>VLOOKUP(H1069,'HW Dx Data'!$E:$F,2,FALSE)</f>
        <v>684.46914285042885</v>
      </c>
      <c r="DF1069" s="72">
        <f t="shared" si="1946"/>
        <v>129.4</v>
      </c>
      <c r="DG1069" s="69">
        <f t="shared" si="1947"/>
        <v>2.0297340063674733E-2</v>
      </c>
      <c r="DH1069" s="66">
        <f>HLOOKUP(H1069,'GDP-PI'!$8:$9,2,FALSE)</f>
        <v>103.64700000000001</v>
      </c>
      <c r="DI1069" s="69">
        <f t="shared" si="1937"/>
        <v>1.8246051898256087E-2</v>
      </c>
    </row>
    <row r="1070" spans="1:113" s="160" customFormat="1" ht="21">
      <c r="A1070" s="160" t="s">
        <v>223</v>
      </c>
      <c r="B1070" s="160" t="s">
        <v>223</v>
      </c>
      <c r="C1070" s="160">
        <v>4057146</v>
      </c>
      <c r="D1070" s="161" t="s">
        <v>209</v>
      </c>
      <c r="E1070" s="161"/>
      <c r="F1070" s="189"/>
      <c r="G1070" s="160" t="s">
        <v>132</v>
      </c>
      <c r="H1070" s="162">
        <v>2015</v>
      </c>
      <c r="I1070" s="163"/>
      <c r="J1070" s="159">
        <f>IFERROR(INDEX('Labor Expenditures'!$F$7:$X$91,MATCH($C1070,'Labor Expenditures'!$D$7:$D$91,0),MATCH($G1070,'Labor Expenditures'!$F$5:$X$5,0)),"NA")</f>
        <v>329477.68537948874</v>
      </c>
      <c r="K1070" s="159">
        <f t="shared" si="1938"/>
        <v>2467.9976432920507</v>
      </c>
      <c r="L1070" s="165">
        <f t="shared" si="1944"/>
        <v>-1.7977015153517871E-2</v>
      </c>
      <c r="M1070" s="76">
        <f t="shared" si="1948"/>
        <v>-1.99707366697045E-3</v>
      </c>
      <c r="N1070" s="62">
        <f t="shared" si="1954"/>
        <v>120.97561861115683</v>
      </c>
      <c r="O1070" s="96">
        <f t="shared" si="1949"/>
        <v>-1.7921114613489934E-3</v>
      </c>
      <c r="P1070" s="96"/>
      <c r="Q1070" s="159">
        <f>IFERROR(INDEX('Non-Labor Expenditures'!$F$7:$AB$91,MATCH($C1070,'Non-Labor Expenditures'!$D$7:$D$91,0),MATCH($G1070,'Non-Labor Expenditures'!$F$5:$AB$5,0)),"NA")</f>
        <v>477145.22637261578</v>
      </c>
      <c r="R1070" s="159">
        <f t="shared" si="1939"/>
        <v>4559.9176824378656</v>
      </c>
      <c r="S1070" s="165">
        <f t="shared" si="1950"/>
        <v>3.690644434543343E-3</v>
      </c>
      <c r="T1070" s="165">
        <f t="shared" si="1951"/>
        <v>4.0999513831612068E-4</v>
      </c>
      <c r="U1070" s="165"/>
      <c r="V1070" s="165"/>
      <c r="W1070" s="159">
        <f t="shared" si="1920"/>
        <v>470618.57108664559</v>
      </c>
      <c r="X1070" s="163"/>
      <c r="Y1070" s="167">
        <v>22146.856408188247</v>
      </c>
      <c r="Z1070" s="168">
        <v>5.387607222127163E-2</v>
      </c>
      <c r="AA1070" s="76">
        <f t="shared" si="1940"/>
        <v>5.9851140021898947E-3</v>
      </c>
      <c r="AB1070" s="168"/>
      <c r="AC1070" s="168"/>
      <c r="AD1070" s="163">
        <f t="shared" si="1886"/>
        <v>1277241.4828387501</v>
      </c>
      <c r="AE1070" s="168">
        <f t="shared" si="1952"/>
        <v>1.5450970977702818E-2</v>
      </c>
      <c r="AF1070" s="163"/>
      <c r="AG1070" s="163"/>
      <c r="AH1070" s="163"/>
      <c r="AI1070" s="163"/>
      <c r="AJ1070" s="116">
        <f t="shared" si="1953"/>
        <v>225.3671462777516</v>
      </c>
      <c r="AK1070" s="114">
        <f>+AV1070/$AX$20</f>
        <v>0.15556134353804235</v>
      </c>
      <c r="AL1070" s="115">
        <f t="shared" si="1941"/>
        <v>0.25796036991157201</v>
      </c>
      <c r="AM1070" s="115">
        <f t="shared" si="1942"/>
        <v>0.37357479598308246</v>
      </c>
      <c r="AN1070" s="115">
        <f t="shared" si="1943"/>
        <v>0.36846483410534553</v>
      </c>
      <c r="AO1070" s="115">
        <f t="shared" si="1945"/>
        <v>1.6551103687252582E-2</v>
      </c>
      <c r="AP1070" s="166">
        <f t="shared" si="1956"/>
        <v>108.38781863096577</v>
      </c>
      <c r="AQ1070" s="168">
        <f t="shared" si="1957"/>
        <v>1.6551103687252509E-2</v>
      </c>
      <c r="AR1070" s="69">
        <f>+AD1070/$AF$20</f>
        <v>0.11109039236581209</v>
      </c>
      <c r="AS1070" s="169">
        <f t="shared" si="1955"/>
        <v>1.8386686027041205E-3</v>
      </c>
      <c r="AT1070" s="115"/>
      <c r="AU1070" s="115"/>
      <c r="AV1070" s="113">
        <f>IFERROR(INDEX('Total Customers'!$F$7:$AB$91,MATCH($C1070,'Total Customers'!$D$7:$D$91,0),MATCH($G1070,'Total Customers'!$F$5:$AB$5,0)),"NA")</f>
        <v>5667381</v>
      </c>
      <c r="AW1070" s="68">
        <f t="shared" si="1875"/>
        <v>5.0859780652192455E-3</v>
      </c>
      <c r="AX1070" s="114"/>
      <c r="AY1070" s="114"/>
      <c r="AZ1070" s="116"/>
      <c r="BA1070" s="116"/>
      <c r="BB1070" s="166"/>
      <c r="BC1070" s="166"/>
      <c r="BD1070" s="166"/>
      <c r="BE1070" s="166"/>
      <c r="BF1070" s="166"/>
      <c r="BG1070" s="166"/>
      <c r="BH1070" s="166"/>
      <c r="BI1070" s="113"/>
      <c r="BJ1070" s="113"/>
      <c r="BK1070" s="113">
        <f>INDEX('Dist. Plant Gas Additions'!$F$7:$AE$91,MATCH($C1070,'Dist. Plant Gas Additions'!$D$7:$D$91,0),MATCH(Calculation!$G1070,'Dist. Plant Gas Additions'!$F$5:$AE$5,0))</f>
        <v>692498</v>
      </c>
      <c r="BL1070" s="113">
        <f>INDEX('Gen. Plant Additions'!$F$7:$AE$91,MATCH($C1070,'Gen. Plant Additions'!$D$7:$D$91,0),MATCH(Calculation!$G1070,'Gen. Plant Additions'!$F$5:$AE$5,0))</f>
        <v>204924</v>
      </c>
      <c r="BM1070" s="231">
        <f t="shared" si="1921"/>
        <v>0.85880568819423342</v>
      </c>
      <c r="BN1070" s="61">
        <f t="shared" si="1958"/>
        <v>175989.89684751508</v>
      </c>
      <c r="BO1070" s="113">
        <f>INDEX('Dist Plant Depreciation'!$E$7:$AD$94,MATCH($C1070,'Dist Plant Depreciation'!$D$7:$D$94,0),MATCH(Calculation!$G1070,'Dist Plant Depreciation'!$E$5:$AD$5,0))</f>
        <v>3090323</v>
      </c>
      <c r="BP1070" s="113">
        <f>INDEX('Gen. Plant Depreciation'!$E$7:$AD$94,MATCH($C1070,'Gen. Plant Depreciation'!$D$7:$D$94,0),MATCH(Calculation!$G1070,'Gen. Plant Depreciation'!$E$5:$AD$5,0))</f>
        <v>766104</v>
      </c>
      <c r="BQ1070" s="113"/>
      <c r="BR1070" s="113"/>
      <c r="BS1070" s="113"/>
      <c r="BT1070" s="113"/>
      <c r="BU1070" s="113"/>
      <c r="BV1070" s="175"/>
      <c r="BW1070" s="113">
        <f>INDEX('Gross Dx Plant'!$E$7:$AD$91,MATCH($C1070,'Gross Dx Plant'!$D$7:$D$91,0),MATCH(Calculation!$G1070,'Gross Dx Plant'!$E$5:$AD$5,0))</f>
        <v>8744904</v>
      </c>
      <c r="BX1070" s="113">
        <f>INDEX('Gross Gen Plant'!$E$7:$AD$91,MATCH($C1070,'Gross Gen Plant'!$D$7:$D$91,0),MATCH(Calculation!$G1070,'Gross Gen Plant'!$E$5:$AD$5,0))</f>
        <v>1437730</v>
      </c>
      <c r="BY1070" s="113">
        <f t="shared" si="1868"/>
        <v>6326207</v>
      </c>
      <c r="BZ1070" s="113"/>
      <c r="CA1070" s="116">
        <v>2015</v>
      </c>
      <c r="CB1070" s="113"/>
      <c r="CC1070" s="113"/>
      <c r="CD1070" s="113"/>
      <c r="CE1070" s="175"/>
      <c r="CF1070" s="113">
        <f t="shared" si="1922"/>
        <v>897422</v>
      </c>
      <c r="CG1070" s="113">
        <f t="shared" si="1923"/>
        <v>1328.3045630613096</v>
      </c>
      <c r="CH1070" s="178">
        <v>0.88888888888888884</v>
      </c>
      <c r="CI1070" s="61">
        <f>+CI1053*CH1070+CG1054*CH1069+CG1055*CH1068+CG1056*CH1067+CG1057*CH1066+CG1058*CH1065+CG1059*CH1064+CG1060*CH1063+CG1061*CH1062+CG1062*CH1061+CG1063*CH1060+CG1064*CH1059+CG1065*CH1058+CG1066*CH1057+CG1067*CH1056+CG1068*CH1055+CG1069*CH1054+CG1070</f>
        <v>22146.856408188247</v>
      </c>
      <c r="CJ1070" s="114">
        <f t="shared" si="1924"/>
        <v>5.387607222127163E-2</v>
      </c>
      <c r="CK1070" s="114"/>
      <c r="CL1070" s="169">
        <f t="shared" si="1925"/>
        <v>7.9432706612934476E-3</v>
      </c>
      <c r="CM1070" s="169">
        <f t="shared" si="1933"/>
        <v>7.7364660391942763E-3</v>
      </c>
      <c r="CN1070" s="114">
        <f>VLOOKUP($H1070,RoR!$E:$F,2,FALSE)</f>
        <v>3.8866666666666674E-2</v>
      </c>
      <c r="CO1070" s="169">
        <v>9.5709475431029478E-3</v>
      </c>
      <c r="CP1070" s="169">
        <f t="shared" si="1931"/>
        <v>2.9295719123563727E-2</v>
      </c>
      <c r="CQ1070" s="169">
        <f t="shared" si="1934"/>
        <v>2.3165475569339348E-2</v>
      </c>
      <c r="CR1070" s="169">
        <f t="shared" si="1935"/>
        <v>3.5270373279175926E-3</v>
      </c>
      <c r="CS1070" s="179">
        <f t="shared" si="1926"/>
        <v>0.84923979999999999</v>
      </c>
      <c r="CT1070" s="180">
        <f t="shared" si="1927"/>
        <v>1.3194352816994324</v>
      </c>
      <c r="CU1070" s="180">
        <f t="shared" si="1928"/>
        <v>0.33177530017152673</v>
      </c>
      <c r="CV1070" s="180">
        <f t="shared" si="1929"/>
        <v>0.78242572977668579</v>
      </c>
      <c r="CW1070" s="180">
        <f t="shared" si="1930"/>
        <v>0.34251158643433932</v>
      </c>
      <c r="CX1070" s="181">
        <f>INDEX('State Tax Lookup'!$D$7:$Z$91,MATCH(Calculation!$C1070,'State Tax Lookup'!$B$7:$B$91,0),MATCH($H1070,'State Tax Lookup'!$D$6:$Z$6,0))</f>
        <v>0.40745999999999999</v>
      </c>
      <c r="CY1070" s="72">
        <v>0.37</v>
      </c>
      <c r="CZ1070" s="70">
        <f t="shared" si="1932"/>
        <v>22.426167001023046</v>
      </c>
      <c r="DA1070" s="70">
        <v>20.279488671080099</v>
      </c>
      <c r="DB1070" s="69">
        <f t="shared" si="1936"/>
        <v>-1.9557483545569406E-2</v>
      </c>
      <c r="DC1070" s="111">
        <f>VLOOKUP($H1070,RoR!$E:$F,2,FALSE)</f>
        <v>3.8866666666666674E-2</v>
      </c>
      <c r="DD1070" s="216">
        <f>HLOOKUP($H1070,'GDP-PI'!$D$8:$CQ$11,3,FALSE)</f>
        <v>9.5709475431029478E-3</v>
      </c>
      <c r="DE1070" s="111">
        <f>VLOOKUP(H1070,'HW Dx Data'!$E:$F,2,FALSE)</f>
        <v>675.61463308665782</v>
      </c>
      <c r="DF1070" s="72">
        <f t="shared" si="1946"/>
        <v>133.5</v>
      </c>
      <c r="DG1070" s="69">
        <f t="shared" si="1947"/>
        <v>3.1193095773504077E-2</v>
      </c>
      <c r="DH1070" s="66">
        <f>HLOOKUP(H1070,'GDP-PI'!$8:$9,2,FALSE)</f>
        <v>104.639</v>
      </c>
      <c r="DI1070" s="69">
        <f t="shared" si="1937"/>
        <v>9.5254361854427965E-3</v>
      </c>
    </row>
    <row r="1071" spans="1:113" s="160" customFormat="1" ht="21">
      <c r="A1071" s="160" t="s">
        <v>223</v>
      </c>
      <c r="B1071" s="160" t="s">
        <v>223</v>
      </c>
      <c r="C1071" s="160">
        <v>4057146</v>
      </c>
      <c r="D1071" s="161" t="s">
        <v>209</v>
      </c>
      <c r="E1071" s="161"/>
      <c r="F1071" s="189"/>
      <c r="G1071" s="160" t="s">
        <v>133</v>
      </c>
      <c r="H1071" s="162">
        <v>2016</v>
      </c>
      <c r="I1071" s="163"/>
      <c r="J1071" s="159">
        <f>IFERROR(INDEX('Labor Expenditures'!$F$7:$X$91,MATCH($C1071,'Labor Expenditures'!$D$7:$D$91,0),MATCH($G1071,'Labor Expenditures'!$F$5:$X$5,0)),"NA")</f>
        <v>333336.84980707971</v>
      </c>
      <c r="K1071" s="159">
        <f t="shared" si="1938"/>
        <v>2434.0040146555657</v>
      </c>
      <c r="L1071" s="165">
        <f t="shared" si="1944"/>
        <v>-1.3869507166174622E-2</v>
      </c>
      <c r="M1071" s="76">
        <f t="shared" si="1948"/>
        <v>-1.5219209929993403E-3</v>
      </c>
      <c r="N1071" s="62">
        <f t="shared" si="1954"/>
        <v>299.3677450768933</v>
      </c>
      <c r="O1071" s="96">
        <f t="shared" si="1949"/>
        <v>0.90608370809620364</v>
      </c>
      <c r="P1071" s="96"/>
      <c r="Q1071" s="159">
        <f>IFERROR(INDEX('Non-Labor Expenditures'!$F$7:$AB$91,MATCH($C1071,'Non-Labor Expenditures'!$D$7:$D$91,0),MATCH($G1071,'Non-Labor Expenditures'!$F$5:$AB$5,0)),"NA")</f>
        <v>482734.01725625683</v>
      </c>
      <c r="R1071" s="159">
        <f t="shared" si="1939"/>
        <v>4565.4650947289174</v>
      </c>
      <c r="S1071" s="165">
        <f t="shared" si="1950"/>
        <v>1.2158203354033729E-3</v>
      </c>
      <c r="T1071" s="165">
        <f t="shared" si="1951"/>
        <v>1.3341371614693429E-4</v>
      </c>
      <c r="U1071" s="165"/>
      <c r="V1071" s="165"/>
      <c r="W1071" s="159">
        <f t="shared" si="1920"/>
        <v>489485.61568626598</v>
      </c>
      <c r="X1071" s="163"/>
      <c r="Y1071" s="167">
        <v>23321.376648173467</v>
      </c>
      <c r="Z1071" s="168">
        <v>5.1674829142211595E-2</v>
      </c>
      <c r="AA1071" s="76">
        <f t="shared" si="1940"/>
        <v>5.6703534119069325E-3</v>
      </c>
      <c r="AB1071" s="168"/>
      <c r="AC1071" s="168"/>
      <c r="AD1071" s="163">
        <f t="shared" si="1886"/>
        <v>1305556.4827496025</v>
      </c>
      <c r="AE1071" s="168">
        <f t="shared" si="1952"/>
        <v>2.1926712597123182E-2</v>
      </c>
      <c r="AF1071" s="163"/>
      <c r="AG1071" s="163"/>
      <c r="AH1071" s="163"/>
      <c r="AI1071" s="163"/>
      <c r="AJ1071" s="116">
        <f t="shared" si="1953"/>
        <v>228.9893967411426</v>
      </c>
      <c r="AK1071" s="114">
        <f>+AV1071/$AX$21</f>
        <v>0.15514234337705998</v>
      </c>
      <c r="AL1071" s="115">
        <f t="shared" si="1941"/>
        <v>0.25532166107822973</v>
      </c>
      <c r="AM1071" s="115">
        <f t="shared" si="1942"/>
        <v>0.36975345274957527</v>
      </c>
      <c r="AN1071" s="115">
        <f t="shared" si="1943"/>
        <v>0.37492488617219499</v>
      </c>
      <c r="AO1071" s="115">
        <f t="shared" si="1945"/>
        <v>1.60996607875128E-2</v>
      </c>
      <c r="AP1071" s="166">
        <f t="shared" si="1956"/>
        <v>110.14694844415496</v>
      </c>
      <c r="AQ1071" s="168">
        <f t="shared" si="1957"/>
        <v>1.6099660787512762E-2</v>
      </c>
      <c r="AR1071" s="69">
        <f>+AD1071/$AF$21</f>
        <v>0.10973143996861313</v>
      </c>
      <c r="AS1071" s="169">
        <f t="shared" si="1955"/>
        <v>1.7666389612199915E-3</v>
      </c>
      <c r="AT1071" s="115"/>
      <c r="AU1071" s="115"/>
      <c r="AV1071" s="113">
        <f>IFERROR(INDEX('Total Customers'!$F$7:$AB$91,MATCH($C1071,'Total Customers'!$D$7:$D$91,0),MATCH($G1071,'Total Customers'!$F$5:$AB$5,0)),"NA")</f>
        <v>5701384</v>
      </c>
      <c r="AW1071" s="68">
        <f t="shared" si="1875"/>
        <v>5.9818461183052656E-3</v>
      </c>
      <c r="AX1071" s="114"/>
      <c r="AY1071" s="114"/>
      <c r="AZ1071" s="116"/>
      <c r="BA1071" s="116"/>
      <c r="BB1071" s="166"/>
      <c r="BC1071" s="166"/>
      <c r="BD1071" s="166"/>
      <c r="BE1071" s="166"/>
      <c r="BF1071" s="166"/>
      <c r="BG1071" s="166"/>
      <c r="BH1071" s="166"/>
      <c r="BI1071" s="113"/>
      <c r="BJ1071" s="113"/>
      <c r="BK1071" s="113">
        <f>INDEX('Dist. Plant Gas Additions'!$F$7:$AE$91,MATCH($C1071,'Dist. Plant Gas Additions'!$D$7:$D$91,0),MATCH(Calculation!$G1071,'Dist. Plant Gas Additions'!$F$5:$AE$5,0))</f>
        <v>736668</v>
      </c>
      <c r="BL1071" s="113">
        <f>INDEX('Gen. Plant Additions'!$F$7:$AE$91,MATCH($C1071,'Gen. Plant Additions'!$D$7:$D$91,0),MATCH(Calculation!$G1071,'Gen. Plant Additions'!$F$5:$AE$5,0))</f>
        <v>172543</v>
      </c>
      <c r="BM1071" s="231">
        <f t="shared" si="1921"/>
        <v>0.85882820138018023</v>
      </c>
      <c r="BN1071" s="61">
        <f t="shared" si="1958"/>
        <v>148184.79435074044</v>
      </c>
      <c r="BO1071" s="113">
        <f>INDEX('Dist Plant Depreciation'!$E$7:$AD$94,MATCH($C1071,'Dist Plant Depreciation'!$D$7:$D$94,0),MATCH(Calculation!$G1071,'Dist Plant Depreciation'!$E$5:$AD$5,0))</f>
        <v>3198494</v>
      </c>
      <c r="BP1071" s="113">
        <f>INDEX('Gen. Plant Depreciation'!$E$7:$AD$94,MATCH($C1071,'Gen. Plant Depreciation'!$D$7:$D$94,0),MATCH(Calculation!$G1071,'Gen. Plant Depreciation'!$E$5:$AD$5,0))</f>
        <v>876767</v>
      </c>
      <c r="BQ1071" s="113"/>
      <c r="BR1071" s="113"/>
      <c r="BS1071" s="113"/>
      <c r="BT1071" s="113"/>
      <c r="BU1071" s="113"/>
      <c r="BV1071" s="175"/>
      <c r="BW1071" s="113">
        <f>INDEX('Gross Dx Plant'!$E$7:$AD$91,MATCH($C1071,'Gross Dx Plant'!$D$7:$D$91,0),MATCH(Calculation!$G1071,'Gross Dx Plant'!$E$5:$AD$5,0))</f>
        <v>9452970</v>
      </c>
      <c r="BX1071" s="113">
        <f>INDEX('Gross Gen Plant'!$E$7:$AD$91,MATCH($C1071,'Gross Gen Plant'!$D$7:$D$91,0),MATCH(Calculation!$G1071,'Gross Gen Plant'!$E$5:$AD$5,0))</f>
        <v>1553853</v>
      </c>
      <c r="BY1071" s="113">
        <f t="shared" si="1868"/>
        <v>6931562</v>
      </c>
      <c r="BZ1071" s="113"/>
      <c r="CA1071" s="116">
        <v>2016</v>
      </c>
      <c r="CB1071" s="113"/>
      <c r="CC1071" s="113"/>
      <c r="CD1071" s="113"/>
      <c r="CE1071" s="175"/>
      <c r="CF1071" s="113">
        <f t="shared" si="1922"/>
        <v>909211</v>
      </c>
      <c r="CG1071" s="113">
        <f t="shared" si="1923"/>
        <v>1354.0879323132367</v>
      </c>
      <c r="CH1071" s="178">
        <v>0.88</v>
      </c>
      <c r="CI1071" s="61">
        <f>+CI1053*CH1071+CG1054*CH1070+CG1055*CH1069+CG1056*CH1068+CG1057*CH1067+CG1058*CH1066+CG1059*CH1065+CG1060*CH1064+CG1061*CH1063+CG1062*CH1062+CG1063*CH1061+CG1064*CH1060+CG1065*CH1059+CG1066*CH1058+CG1067*CH1057+CG1068*CH1056+CG1069*CH1055+CG1070*CH1054+CG1071</f>
        <v>23321.376648173467</v>
      </c>
      <c r="CJ1071" s="114">
        <f t="shared" si="1924"/>
        <v>5.1674829142211595E-2</v>
      </c>
      <c r="CK1071" s="114"/>
      <c r="CL1071" s="169">
        <f t="shared" si="1925"/>
        <v>8.1080442758289396E-3</v>
      </c>
      <c r="CM1071" s="169">
        <f t="shared" si="1933"/>
        <v>7.928900813465577E-3</v>
      </c>
      <c r="CN1071" s="114">
        <f>VLOOKUP($H1071,RoR!$E:$F,2,FALSE)</f>
        <v>3.6658333333333334E-2</v>
      </c>
      <c r="CO1071" s="169">
        <v>1.0483662879041455E-2</v>
      </c>
      <c r="CP1071" s="169">
        <f t="shared" si="1931"/>
        <v>2.6174670454291879E-2</v>
      </c>
      <c r="CQ1071" s="169">
        <f t="shared" si="1934"/>
        <v>2.2973040795068046E-2</v>
      </c>
      <c r="CR1071" s="169">
        <f t="shared" si="1935"/>
        <v>4.301363574220729E-3</v>
      </c>
      <c r="CS1071" s="179">
        <f t="shared" si="1926"/>
        <v>0.84923979999999999</v>
      </c>
      <c r="CT1071" s="180">
        <f t="shared" si="1927"/>
        <v>1.3989193348138562</v>
      </c>
      <c r="CU1071" s="180">
        <f t="shared" si="1928"/>
        <v>0.29302682427824522</v>
      </c>
      <c r="CV1071" s="180">
        <f t="shared" si="1929"/>
        <v>0.76309497491941802</v>
      </c>
      <c r="CW1071" s="180">
        <f t="shared" si="1930"/>
        <v>0.31280857135128509</v>
      </c>
      <c r="CX1071" s="181">
        <f>INDEX('State Tax Lookup'!$D$7:$Z$91,MATCH(Calculation!$C1071,'State Tax Lookup'!$B$7:$B$91,0),MATCH($H1071,'State Tax Lookup'!$D$6:$Z$6,0))</f>
        <v>0.40745999999999999</v>
      </c>
      <c r="CY1071" s="72">
        <v>0.37</v>
      </c>
      <c r="CZ1071" s="70">
        <f t="shared" si="1932"/>
        <v>22.101810146982796</v>
      </c>
      <c r="DA1071" s="70">
        <v>19.909765876209278</v>
      </c>
      <c r="DB1071" s="69">
        <f t="shared" si="1936"/>
        <v>-1.4568934497419229E-2</v>
      </c>
      <c r="DC1071" s="111">
        <f>VLOOKUP($H1071,RoR!$E:$F,2,FALSE)</f>
        <v>3.6658333333333334E-2</v>
      </c>
      <c r="DD1071" s="216">
        <f>HLOOKUP($H1071,'GDP-PI'!$D$8:$CQ$11,3,FALSE)</f>
        <v>1.0483662879041455E-2</v>
      </c>
      <c r="DE1071" s="111">
        <f>VLOOKUP(H1071,'HW Dx Data'!$E:$F,2,FALSE)</f>
        <v>671.45639385971219</v>
      </c>
      <c r="DF1071" s="72">
        <f t="shared" si="1946"/>
        <v>136.94999999999999</v>
      </c>
      <c r="DG1071" s="69">
        <f t="shared" si="1947"/>
        <v>2.5514417868782811E-2</v>
      </c>
      <c r="DH1071" s="66">
        <f>HLOOKUP(H1071,'GDP-PI'!$8:$9,2,FALSE)</f>
        <v>105.736</v>
      </c>
      <c r="DI1071" s="69">
        <f t="shared" si="1937"/>
        <v>1.0429090367205095E-2</v>
      </c>
    </row>
    <row r="1072" spans="1:113" s="160" customFormat="1" ht="21">
      <c r="A1072" s="160" t="s">
        <v>223</v>
      </c>
      <c r="B1072" s="160" t="s">
        <v>223</v>
      </c>
      <c r="C1072" s="160">
        <v>4057146</v>
      </c>
      <c r="D1072" s="161" t="s">
        <v>209</v>
      </c>
      <c r="E1072" s="161"/>
      <c r="F1072" s="189"/>
      <c r="G1072" s="160" t="s">
        <v>135</v>
      </c>
      <c r="H1072" s="162">
        <v>2017</v>
      </c>
      <c r="I1072" s="163"/>
      <c r="J1072" s="159">
        <f>IFERROR(INDEX('Labor Expenditures'!$F$7:$X$91,MATCH($C1072,'Labor Expenditures'!$D$7:$D$91,0),MATCH($G1072,'Labor Expenditures'!$F$5:$X$5,0)),"NA")</f>
        <v>353436.48538048775</v>
      </c>
      <c r="K1072" s="159">
        <f t="shared" si="1938"/>
        <v>2516.4577100782326</v>
      </c>
      <c r="L1072" s="165">
        <f t="shared" si="1944"/>
        <v>3.3314598067194688E-2</v>
      </c>
      <c r="M1072" s="76">
        <f t="shared" si="1948"/>
        <v>3.7438443173657991E-3</v>
      </c>
      <c r="N1072" s="62">
        <f t="shared" si="1954"/>
        <v>168.87590114266658</v>
      </c>
      <c r="O1072" s="96">
        <f t="shared" si="1949"/>
        <v>-0.57250860188981756</v>
      </c>
      <c r="P1072" s="96"/>
      <c r="Q1072" s="159">
        <f>IFERROR(INDEX('Non-Labor Expenditures'!$F$7:$AB$91,MATCH($C1072,'Non-Labor Expenditures'!$D$7:$D$91,0),MATCH($G1072,'Non-Labor Expenditures'!$F$5:$AB$5,0)),"NA")</f>
        <v>511842.04366063885</v>
      </c>
      <c r="R1072" s="159">
        <f t="shared" si="1939"/>
        <v>4750.2301014435025</v>
      </c>
      <c r="S1072" s="165">
        <f t="shared" si="1950"/>
        <v>3.9672667680614865E-2</v>
      </c>
      <c r="T1072" s="165">
        <f t="shared" si="1951"/>
        <v>4.4583545973219908E-3</v>
      </c>
      <c r="U1072" s="165"/>
      <c r="V1072" s="165"/>
      <c r="W1072" s="159">
        <f t="shared" si="1920"/>
        <v>465369.2565967316</v>
      </c>
      <c r="X1072" s="163"/>
      <c r="Y1072" s="167">
        <v>24437.60590302795</v>
      </c>
      <c r="Z1072" s="168">
        <v>4.6752778683477138E-2</v>
      </c>
      <c r="AA1072" s="76">
        <f t="shared" si="1940"/>
        <v>5.2540068003268537E-3</v>
      </c>
      <c r="AB1072" s="168"/>
      <c r="AC1072" s="168"/>
      <c r="AD1072" s="163">
        <f t="shared" si="1886"/>
        <v>1330647.7856378583</v>
      </c>
      <c r="AE1072" s="168">
        <f t="shared" si="1952"/>
        <v>1.9036507085653583E-2</v>
      </c>
      <c r="AF1072" s="163"/>
      <c r="AG1072" s="163"/>
      <c r="AH1072" s="163"/>
      <c r="AI1072" s="163"/>
      <c r="AJ1072" s="116">
        <f t="shared" si="1953"/>
        <v>231.65700285284396</v>
      </c>
      <c r="AK1072" s="114">
        <f>+AV1072/$AX$22</f>
        <v>0.15512882185511076</v>
      </c>
      <c r="AL1072" s="115">
        <f t="shared" si="1941"/>
        <v>0.26561235001121253</v>
      </c>
      <c r="AM1072" s="115">
        <f t="shared" si="1942"/>
        <v>0.38465629236010235</v>
      </c>
      <c r="AN1072" s="115">
        <f t="shared" si="1943"/>
        <v>0.34973135762868501</v>
      </c>
      <c r="AO1072" s="115">
        <f t="shared" si="1945"/>
        <v>4.0581923649876159E-2</v>
      </c>
      <c r="AP1072" s="166">
        <f t="shared" si="1956"/>
        <v>114.70886306690026</v>
      </c>
      <c r="AQ1072" s="168">
        <f t="shared" si="1957"/>
        <v>4.0581923649876117E-2</v>
      </c>
      <c r="AR1072" s="69">
        <f>+AD1072/$AF$22</f>
        <v>0.11237849275007195</v>
      </c>
      <c r="AS1072" s="169">
        <f t="shared" si="1955"/>
        <v>4.5605354126715767E-3</v>
      </c>
      <c r="AT1072" s="115"/>
      <c r="AU1072" s="115"/>
      <c r="AV1072" s="113">
        <f>IFERROR(INDEX('Total Customers'!$F$7:$AB$91,MATCH($C1072,'Total Customers'!$D$7:$D$91,0),MATCH($G1072,'Total Customers'!$F$5:$AB$5,0)),"NA")</f>
        <v>5744043</v>
      </c>
      <c r="AW1072" s="68">
        <f t="shared" si="1875"/>
        <v>7.454365405130745E-3</v>
      </c>
      <c r="AX1072" s="114"/>
      <c r="AY1072" s="114"/>
      <c r="AZ1072" s="116"/>
      <c r="BA1072" s="116"/>
      <c r="BB1072" s="166"/>
      <c r="BC1072" s="166"/>
      <c r="BD1072" s="166"/>
      <c r="BE1072" s="166"/>
      <c r="BF1072" s="166"/>
      <c r="BG1072" s="166"/>
      <c r="BH1072" s="166"/>
      <c r="BI1072" s="113"/>
      <c r="BJ1072" s="113"/>
      <c r="BK1072" s="113">
        <f>INDEX('Dist. Plant Gas Additions'!$F$7:$AE$91,MATCH($C1072,'Dist. Plant Gas Additions'!$D$7:$D$91,0),MATCH(Calculation!$G1072,'Dist. Plant Gas Additions'!$F$5:$AE$5,0))</f>
        <v>720721</v>
      </c>
      <c r="BL1072" s="113">
        <f>INDEX('Gen. Plant Additions'!$F$7:$AE$91,MATCH($C1072,'Gen. Plant Additions'!$D$7:$D$91,0),MATCH(Calculation!$G1072,'Gen. Plant Additions'!$F$5:$AE$5,0))</f>
        <v>212108</v>
      </c>
      <c r="BM1072" s="231">
        <f t="shared" si="1921"/>
        <v>0.85726393069391471</v>
      </c>
      <c r="BN1072" s="61">
        <f t="shared" si="1958"/>
        <v>181832.53781162488</v>
      </c>
      <c r="BO1072" s="113">
        <f>INDEX('Dist Plant Depreciation'!$E$7:$AD$94,MATCH($C1072,'Dist Plant Depreciation'!$D$7:$D$94,0),MATCH(Calculation!$G1072,'Dist Plant Depreciation'!$E$5:$AD$5,0))</f>
        <v>3344614</v>
      </c>
      <c r="BP1072" s="113">
        <f>INDEX('Gen. Plant Depreciation'!$E$7:$AD$94,MATCH($C1072,'Gen. Plant Depreciation'!$D$7:$D$94,0),MATCH(Calculation!$G1072,'Gen. Plant Depreciation'!$E$5:$AD$5,0))</f>
        <v>964742</v>
      </c>
      <c r="BQ1072" s="113"/>
      <c r="BR1072" s="113"/>
      <c r="BS1072" s="113"/>
      <c r="BT1072" s="113"/>
      <c r="BU1072" s="113"/>
      <c r="BV1072" s="175"/>
      <c r="BW1072" s="113">
        <f>INDEX('Gross Dx Plant'!$E$7:$AD$91,MATCH($C1072,'Gross Dx Plant'!$D$7:$D$91,0),MATCH(Calculation!$G1072,'Gross Dx Plant'!$E$5:$AD$5,0))</f>
        <v>10180779</v>
      </c>
      <c r="BX1072" s="113">
        <f>INDEX('Gross Gen Plant'!$E$7:$AD$91,MATCH($C1072,'Gross Gen Plant'!$D$7:$D$91,0),MATCH(Calculation!$G1072,'Gross Gen Plant'!$E$5:$AD$5,0))</f>
        <v>1695119</v>
      </c>
      <c r="BY1072" s="113">
        <f t="shared" si="1868"/>
        <v>7566542</v>
      </c>
      <c r="BZ1072" s="113"/>
      <c r="CA1072" s="116">
        <v>2017</v>
      </c>
      <c r="CB1072" s="113"/>
      <c r="CC1072" s="113"/>
      <c r="CD1072" s="113"/>
      <c r="CE1072" s="175"/>
      <c r="CF1072" s="113">
        <f t="shared" si="1922"/>
        <v>932829</v>
      </c>
      <c r="CG1072" s="113">
        <f t="shared" si="1923"/>
        <v>1309.3649263093037</v>
      </c>
      <c r="CH1072" s="178">
        <v>0.87074829931972786</v>
      </c>
      <c r="CI1072" s="61">
        <f>+CI1053*CH1072+CG1054*CH1071+CG1055*CH1070+CG1056*CH1069+CG1057*CH1068+CG1058*CH1067+CG1059*CH1066+CG1060*CH1065+CG1061*CH1064+CG1062*CH1063+CG1063*CH1062+CG1064*CH1061+CG1065*CH1060+CG1066*CH1059+CG1067*CH1058+CG1068*CH1057+CG1069*CH1056+CG1070*CH1055+CG1071*CH1054+CG1072</f>
        <v>24437.60590302795</v>
      </c>
      <c r="CJ1072" s="114">
        <f t="shared" si="1924"/>
        <v>4.6752778683477138E-2</v>
      </c>
      <c r="CK1072" s="114"/>
      <c r="CL1072" s="169">
        <f t="shared" si="1925"/>
        <v>8.281486739332225E-3</v>
      </c>
      <c r="CM1072" s="169">
        <f t="shared" si="1933"/>
        <v>8.1109338921515357E-3</v>
      </c>
      <c r="CN1072" s="114">
        <f>VLOOKUP($H1072,RoR!$E:$F,2,FALSE)</f>
        <v>3.7433333333333339E-2</v>
      </c>
      <c r="CO1072" s="169">
        <v>1.9056896421275615E-2</v>
      </c>
      <c r="CP1072" s="169">
        <f t="shared" si="1931"/>
        <v>1.8376436912057724E-2</v>
      </c>
      <c r="CQ1072" s="169">
        <f t="shared" si="1934"/>
        <v>2.2791007716382088E-2</v>
      </c>
      <c r="CR1072" s="169">
        <f t="shared" si="1935"/>
        <v>1.3976271617800498E-2</v>
      </c>
      <c r="CS1072" s="179">
        <f t="shared" si="1926"/>
        <v>0.90103980000000006</v>
      </c>
      <c r="CT1072" s="180">
        <f t="shared" si="1927"/>
        <v>1.3699568463593395</v>
      </c>
      <c r="CU1072" s="180">
        <f t="shared" si="1928"/>
        <v>0.30714603739982199</v>
      </c>
      <c r="CV1072" s="180">
        <f t="shared" si="1929"/>
        <v>0.77007188472689425</v>
      </c>
      <c r="CW1072" s="180">
        <f t="shared" si="1930"/>
        <v>0.32402839633793828</v>
      </c>
      <c r="CX1072" s="181">
        <f>INDEX('State Tax Lookup'!$D$7:$Z$91,MATCH(Calculation!$C1072,'State Tax Lookup'!$B$7:$B$91,0),MATCH($H1072,'State Tax Lookup'!$D$6:$Z$6,0))</f>
        <v>0.26745999999999998</v>
      </c>
      <c r="CY1072" s="72">
        <v>0.37</v>
      </c>
      <c r="CZ1072" s="70">
        <f t="shared" si="1932"/>
        <v>19.954622045572055</v>
      </c>
      <c r="DA1072" s="70">
        <v>18.231812616449311</v>
      </c>
      <c r="DB1072" s="69">
        <f t="shared" si="1936"/>
        <v>-0.10219871428862651</v>
      </c>
      <c r="DC1072" s="111">
        <f>VLOOKUP($H1072,RoR!$E:$F,2,FALSE)</f>
        <v>3.7433333333333339E-2</v>
      </c>
      <c r="DD1072" s="216">
        <f>HLOOKUP($H1072,'GDP-PI'!$D$8:$CQ$11,3,FALSE)</f>
        <v>1.9056896421275615E-2</v>
      </c>
      <c r="DE1072" s="111">
        <f>VLOOKUP(H1072,'HW Dx Data'!$E:$F,2,FALSE)</f>
        <v>712.42858370229726</v>
      </c>
      <c r="DF1072" s="72">
        <f t="shared" si="1946"/>
        <v>140.44999999999999</v>
      </c>
      <c r="DG1072" s="69">
        <f t="shared" si="1947"/>
        <v>2.5235657841165486E-2</v>
      </c>
      <c r="DH1072" s="66">
        <f>HLOOKUP(H1072,'GDP-PI'!$8:$9,2,FALSE)</f>
        <v>107.751</v>
      </c>
      <c r="DI1072" s="69">
        <f t="shared" si="1937"/>
        <v>1.8877588227745139E-2</v>
      </c>
    </row>
    <row r="1073" spans="1:113" s="160" customFormat="1" ht="21">
      <c r="A1073" s="160" t="s">
        <v>223</v>
      </c>
      <c r="B1073" s="160" t="s">
        <v>223</v>
      </c>
      <c r="C1073" s="160">
        <v>4057146</v>
      </c>
      <c r="D1073" s="161" t="s">
        <v>209</v>
      </c>
      <c r="E1073" s="161"/>
      <c r="F1073" s="189"/>
      <c r="G1073" s="160" t="s">
        <v>136</v>
      </c>
      <c r="H1073" s="162">
        <v>2018</v>
      </c>
      <c r="I1073" s="163"/>
      <c r="J1073" s="159">
        <f>IFERROR(INDEX('Labor Expenditures'!$F$7:$X$91,MATCH($C1073,'Labor Expenditures'!$D$7:$D$91,0),MATCH($G1073,'Labor Expenditures'!$F$5:$X$5,0)),"NA")</f>
        <v>365021.44782177889</v>
      </c>
      <c r="K1073" s="159">
        <f t="shared" si="1938"/>
        <v>2526.9743705211417</v>
      </c>
      <c r="L1073" s="165">
        <f t="shared" si="1944"/>
        <v>4.1704440617074835E-3</v>
      </c>
      <c r="M1073" s="76">
        <f t="shared" si="1948"/>
        <v>4.555192737873393E-4</v>
      </c>
      <c r="N1073" s="62">
        <f t="shared" si="1954"/>
        <v>116.13345362068253</v>
      </c>
      <c r="O1073" s="96">
        <f t="shared" si="1949"/>
        <v>-0.37442414033904231</v>
      </c>
      <c r="P1073" s="96"/>
      <c r="Q1073" s="159">
        <f>IFERROR(INDEX('Non-Labor Expenditures'!$F$7:$AB$91,MATCH($C1073,'Non-Labor Expenditures'!$D$7:$D$91,0),MATCH($G1073,'Non-Labor Expenditures'!$F$5:$AB$5,0)),"NA")</f>
        <v>528619.23304814287</v>
      </c>
      <c r="R1073" s="159">
        <f t="shared" si="1939"/>
        <v>4791.6030623823253</v>
      </c>
      <c r="S1073" s="165">
        <f t="shared" si="1950"/>
        <v>8.6719647071906592E-3</v>
      </c>
      <c r="T1073" s="165">
        <f t="shared" si="1951"/>
        <v>9.4720058758241592E-4</v>
      </c>
      <c r="U1073" s="165"/>
      <c r="V1073" s="165"/>
      <c r="W1073" s="159">
        <f t="shared" si="1920"/>
        <v>512154.67434095824</v>
      </c>
      <c r="X1073" s="163"/>
      <c r="Y1073" s="167">
        <v>25222.738318619908</v>
      </c>
      <c r="Z1073" s="168">
        <v>3.1622730543617847E-2</v>
      </c>
      <c r="AA1073" s="76">
        <f t="shared" si="1940"/>
        <v>3.4540118604309599E-3</v>
      </c>
      <c r="AB1073" s="168"/>
      <c r="AC1073" s="168"/>
      <c r="AD1073" s="163">
        <f t="shared" si="1886"/>
        <v>1405795.3552108801</v>
      </c>
      <c r="AE1073" s="168">
        <f t="shared" si="1952"/>
        <v>5.4937351205236865E-2</v>
      </c>
      <c r="AF1073" s="163"/>
      <c r="AG1073" s="163"/>
      <c r="AH1073" s="163"/>
      <c r="AI1073" s="163"/>
      <c r="AJ1073" s="116">
        <f t="shared" si="1953"/>
        <v>243.34029104184887</v>
      </c>
      <c r="AK1073" s="114">
        <f>+AV1073/$AX$23</f>
        <v>0.15465452876150898</v>
      </c>
      <c r="AL1073" s="115">
        <f t="shared" si="1941"/>
        <v>0.25965475449093578</v>
      </c>
      <c r="AM1073" s="115">
        <f t="shared" si="1942"/>
        <v>0.37602858132138722</v>
      </c>
      <c r="AN1073" s="115">
        <f t="shared" si="1943"/>
        <v>0.36431666418767694</v>
      </c>
      <c r="AO1073" s="115">
        <f t="shared" si="1945"/>
        <v>1.5683688821871551E-2</v>
      </c>
      <c r="AP1073" s="166">
        <f t="shared" si="1956"/>
        <v>116.5221031590751</v>
      </c>
      <c r="AQ1073" s="168">
        <f t="shared" si="1957"/>
        <v>1.5683688821871478E-2</v>
      </c>
      <c r="AR1073" s="69">
        <f>+AD1073/$AF$23</f>
        <v>0.10922560452731223</v>
      </c>
      <c r="AS1073" s="169">
        <f t="shared" si="1955"/>
        <v>1.7130603927871615E-3</v>
      </c>
      <c r="AT1073" s="115"/>
      <c r="AU1073" s="115"/>
      <c r="AV1073" s="113">
        <f>IFERROR(INDEX('Total Customers'!$F$7:$AB$91,MATCH($C1073,'Total Customers'!$D$7:$D$91,0),MATCH($G1073,'Total Customers'!$F$5:$AB$5,0)),"NA")</f>
        <v>5777076</v>
      </c>
      <c r="AW1073" s="68">
        <f t="shared" si="1875"/>
        <v>5.7343545393703718E-3</v>
      </c>
      <c r="AX1073" s="114"/>
      <c r="AY1073" s="114"/>
      <c r="AZ1073" s="116"/>
      <c r="BA1073" s="116"/>
      <c r="BB1073" s="166"/>
      <c r="BC1073" s="166"/>
      <c r="BD1073" s="166"/>
      <c r="BE1073" s="166"/>
      <c r="BF1073" s="166"/>
      <c r="BG1073" s="166"/>
      <c r="BH1073" s="166"/>
      <c r="BI1073" s="113"/>
      <c r="BJ1073" s="113"/>
      <c r="BK1073" s="113">
        <f>INDEX('Dist. Plant Gas Additions'!$F$7:$AE$91,MATCH($C1073,'Dist. Plant Gas Additions'!$D$7:$D$91,0),MATCH(Calculation!$G1073,'Dist. Plant Gas Additions'!$F$5:$AE$5,0))</f>
        <v>588006</v>
      </c>
      <c r="BL1073" s="113">
        <f>INDEX('Gen. Plant Additions'!$F$7:$AE$91,MATCH($C1073,'Gen. Plant Additions'!$D$7:$D$91,0),MATCH(Calculation!$G1073,'Gen. Plant Additions'!$F$5:$AE$5,0))</f>
        <v>161255</v>
      </c>
      <c r="BM1073" s="231">
        <f t="shared" si="1921"/>
        <v>0.85509932064541938</v>
      </c>
      <c r="BN1073" s="61">
        <f t="shared" si="1958"/>
        <v>137889.0409506771</v>
      </c>
      <c r="BO1073" s="113">
        <f>INDEX('Dist Plant Depreciation'!$E$7:$AD$94,MATCH($C1073,'Dist Plant Depreciation'!$D$7:$D$94,0),MATCH(Calculation!$G1073,'Dist Plant Depreciation'!$E$5:$AD$5,0))</f>
        <v>3482276</v>
      </c>
      <c r="BP1073" s="113">
        <f>INDEX('Gen. Plant Depreciation'!$E$7:$AD$94,MATCH($C1073,'Gen. Plant Depreciation'!$D$7:$D$94,0),MATCH(Calculation!$G1073,'Gen. Plant Depreciation'!$E$5:$AD$5,0))</f>
        <v>1102814</v>
      </c>
      <c r="BQ1073" s="113"/>
      <c r="BR1073" s="113"/>
      <c r="BS1073" s="113"/>
      <c r="BT1073" s="113"/>
      <c r="BU1073" s="113"/>
      <c r="BV1073" s="175"/>
      <c r="BW1073" s="113">
        <f>INDEX('Gross Dx Plant'!$E$7:$AD$91,MATCH($C1073,'Gross Dx Plant'!$D$7:$D$91,0),MATCH(Calculation!$G1073,'Gross Dx Plant'!$E$5:$AD$5,0))</f>
        <v>10767621</v>
      </c>
      <c r="BX1073" s="113">
        <f>INDEX('Gross Gen Plant'!$E$7:$AD$91,MATCH($C1073,'Gross Gen Plant'!$D$7:$D$91,0),MATCH(Calculation!$G1073,'Gross Gen Plant'!$E$5:$AD$5,0))</f>
        <v>1824625</v>
      </c>
      <c r="BY1073" s="113">
        <f t="shared" si="1868"/>
        <v>8007156</v>
      </c>
      <c r="BZ1073" s="113"/>
      <c r="CA1073" s="116">
        <v>2018</v>
      </c>
      <c r="CB1073" s="113"/>
      <c r="CC1073" s="113"/>
      <c r="CD1073" s="113"/>
      <c r="CE1073" s="175"/>
      <c r="CF1073" s="113">
        <f t="shared" si="1922"/>
        <v>749261</v>
      </c>
      <c r="CG1073" s="113">
        <f t="shared" si="1923"/>
        <v>992.21900586985726</v>
      </c>
      <c r="CH1073" s="178">
        <v>0.86111111111111116</v>
      </c>
      <c r="CI1073" s="61">
        <f>+CI1053*CH1073++CG1054*CH1072+CG1055*CH1071+CG1056*CH1070+CG1057*CH1069+CG1058*CH1068+CG1059*CH1067+CG1060*CH1066+CG1061*CH1065+CG1062*CH1064+CG1063*CH1063+CG1064*CH1062+CG1065*CH1061+CG1066*CH1060+CG1067*CH1059+CG1068*CH1058+CG1069*CH1057+CG1070*CH1056+CG1071*CH1055+CG1072*CH1054+CG1073</f>
        <v>25222.738318619908</v>
      </c>
      <c r="CJ1073" s="114">
        <f t="shared" si="1924"/>
        <v>3.1622730543617847E-2</v>
      </c>
      <c r="CK1073" s="114"/>
      <c r="CL1073" s="169">
        <f t="shared" si="1925"/>
        <v>8.4740948479016392E-3</v>
      </c>
      <c r="CM1073" s="169">
        <f t="shared" si="1933"/>
        <v>8.2878752876876013E-3</v>
      </c>
      <c r="CN1073" s="114">
        <f>VLOOKUP($H1073,RoR!$E:$F,2,FALSE)</f>
        <v>3.9299999999999995E-2</v>
      </c>
      <c r="CO1073" s="169">
        <v>2.386056741932796E-2</v>
      </c>
      <c r="CP1073" s="169">
        <f t="shared" si="1931"/>
        <v>1.5439432580672034E-2</v>
      </c>
      <c r="CQ1073" s="169">
        <f t="shared" si="1934"/>
        <v>2.2614066320846025E-2</v>
      </c>
      <c r="CR1073" s="169">
        <f t="shared" si="1935"/>
        <v>3.8270792163076606E-2</v>
      </c>
      <c r="CS1073" s="179">
        <f t="shared" si="1926"/>
        <v>0.90103980000000006</v>
      </c>
      <c r="CT1073" s="180">
        <f t="shared" si="1927"/>
        <v>1.3048868010700074</v>
      </c>
      <c r="CU1073" s="180">
        <f t="shared" si="1928"/>
        <v>0.33886768447837151</v>
      </c>
      <c r="CV1073" s="180">
        <f t="shared" si="1929"/>
        <v>0.78602506232557801</v>
      </c>
      <c r="CW1073" s="180">
        <f t="shared" si="1930"/>
        <v>0.34756768162358759</v>
      </c>
      <c r="CX1073" s="181">
        <f>INDEX('State Tax Lookup'!$D$7:$Z$91,MATCH(Calculation!$C1073,'State Tax Lookup'!$B$7:$B$91,0),MATCH($H1073,'State Tax Lookup'!$D$6:$Z$6,0))</f>
        <v>0.26745999999999998</v>
      </c>
      <c r="CY1073" s="72">
        <v>0.37</v>
      </c>
      <c r="CZ1073" s="70">
        <f t="shared" si="1932"/>
        <v>20.957645211779912</v>
      </c>
      <c r="DA1073" s="70">
        <v>19.050901628905343</v>
      </c>
      <c r="DB1073" s="69">
        <f t="shared" si="1936"/>
        <v>4.9042708391074219E-2</v>
      </c>
      <c r="DC1073" s="111">
        <f>VLOOKUP($H1073,RoR!$E:$F,2,FALSE)</f>
        <v>3.9299999999999995E-2</v>
      </c>
      <c r="DD1073" s="216">
        <f>HLOOKUP($H1073,'GDP-PI'!$D$8:$CQ$11,3,FALSE)</f>
        <v>2.386056741932796E-2</v>
      </c>
      <c r="DE1073" s="111">
        <f>VLOOKUP(H1073,'HW Dx Data'!$E:$F,2,FALSE)</f>
        <v>755.13671434174842</v>
      </c>
      <c r="DF1073" s="72">
        <f t="shared" si="1946"/>
        <v>144.44999999999999</v>
      </c>
      <c r="DG1073" s="69">
        <f t="shared" si="1947"/>
        <v>2.80818733619915E-2</v>
      </c>
      <c r="DH1073" s="66">
        <f>HLOOKUP(H1073,'GDP-PI'!$8:$9,2,FALSE)</f>
        <v>110.322</v>
      </c>
      <c r="DI1073" s="69">
        <f t="shared" si="1937"/>
        <v>2.3580352716508712E-2</v>
      </c>
    </row>
    <row r="1074" spans="1:113" s="160" customFormat="1" ht="21">
      <c r="A1074" s="160" t="s">
        <v>223</v>
      </c>
      <c r="B1074" s="160" t="s">
        <v>223</v>
      </c>
      <c r="C1074" s="160">
        <v>4057146</v>
      </c>
      <c r="D1074" s="161" t="s">
        <v>209</v>
      </c>
      <c r="E1074" s="161"/>
      <c r="F1074" s="189"/>
      <c r="G1074" s="160" t="s">
        <v>140</v>
      </c>
      <c r="H1074" s="162">
        <v>2019</v>
      </c>
      <c r="I1074" s="163"/>
      <c r="J1074" s="159">
        <f>IFERROR(INDEX('Labor Expenditures'!$F$7:$X$91,MATCH($C1074,'Labor Expenditures'!$D$7:$D$91,0),MATCH($G1074,'Labor Expenditures'!$F$5:$X$5,0)),"NA")</f>
        <v>390454.18876962253</v>
      </c>
      <c r="K1074" s="159">
        <f t="shared" si="1938"/>
        <v>2608.68006527224</v>
      </c>
      <c r="L1074" s="165">
        <f t="shared" si="1944"/>
        <v>3.1821685196689278E-2</v>
      </c>
      <c r="M1074" s="76">
        <f t="shared" si="1948"/>
        <v>3.5784115571511278E-3</v>
      </c>
      <c r="N1074" s="62">
        <f t="shared" si="1954"/>
        <v>116.29933128628574</v>
      </c>
      <c r="O1074" s="96">
        <f t="shared" si="1949"/>
        <v>1.4273175260588068E-3</v>
      </c>
      <c r="P1074" s="96"/>
      <c r="Q1074" s="159">
        <f>IFERROR(INDEX('Non-Labor Expenditures'!$F$7:$AB$91,MATCH($C1074,'Non-Labor Expenditures'!$D$7:$D$91,0),MATCH($G1074,'Non-Labor Expenditures'!$F$5:$AB$5,0)),"NA")</f>
        <v>565450.59212139202</v>
      </c>
      <c r="R1074" s="159">
        <f t="shared" si="1939"/>
        <v>5034.371980638829</v>
      </c>
      <c r="S1074" s="165">
        <f t="shared" si="1950"/>
        <v>4.9423763644458836E-2</v>
      </c>
      <c r="T1074" s="165">
        <f t="shared" si="1951"/>
        <v>5.5578001582907233E-3</v>
      </c>
      <c r="U1074" s="165"/>
      <c r="V1074" s="165"/>
      <c r="W1074" s="159">
        <f t="shared" si="1920"/>
        <v>536259.16071588593</v>
      </c>
      <c r="X1074" s="163"/>
      <c r="Y1074" s="167">
        <v>25955.284025264853</v>
      </c>
      <c r="Z1074" s="168">
        <v>2.8629310300199756E-2</v>
      </c>
      <c r="AA1074" s="76">
        <f t="shared" si="1940"/>
        <v>3.2194226741379256E-3</v>
      </c>
      <c r="AB1074" s="168"/>
      <c r="AC1074" s="168"/>
      <c r="AD1074" s="163">
        <f t="shared" si="1886"/>
        <v>1492163.9416069004</v>
      </c>
      <c r="AE1074" s="168">
        <f t="shared" si="1952"/>
        <v>5.9624144442964128E-2</v>
      </c>
      <c r="AF1074" s="163"/>
      <c r="AG1074" s="163"/>
      <c r="AH1074" s="163"/>
      <c r="AI1074" s="163"/>
      <c r="AJ1074" s="116">
        <f t="shared" si="1953"/>
        <v>256.72808164275887</v>
      </c>
      <c r="AK1074" s="114">
        <f>+AV1074/$AX$24</f>
        <v>0.15431252210088375</v>
      </c>
      <c r="AL1074" s="115">
        <f t="shared" si="1941"/>
        <v>0.26166976555481247</v>
      </c>
      <c r="AM1074" s="115">
        <f t="shared" si="1942"/>
        <v>0.37894669369403366</v>
      </c>
      <c r="AN1074" s="115">
        <f t="shared" si="1943"/>
        <v>0.35938354075115392</v>
      </c>
      <c r="AO1074" s="115">
        <f t="shared" si="1945"/>
        <v>3.7311091021747671E-2</v>
      </c>
      <c r="AP1074" s="166">
        <f t="shared" si="1956"/>
        <v>120.95179438674722</v>
      </c>
      <c r="AQ1074" s="168">
        <f t="shared" si="1957"/>
        <v>3.7311091021747678E-2</v>
      </c>
      <c r="AR1074" s="69">
        <f>+AD1074/$AF$24</f>
        <v>0.11245198156643901</v>
      </c>
      <c r="AS1074" s="169">
        <f t="shared" si="1955"/>
        <v>4.1957061198012978E-3</v>
      </c>
      <c r="AT1074" s="115"/>
      <c r="AU1074" s="115"/>
      <c r="AV1074" s="113">
        <f>IFERROR(INDEX('Total Customers'!$F$7:$AB$91,MATCH($C1074,'Total Customers'!$D$7:$D$91,0),MATCH($G1074,'Total Customers'!$F$5:$AB$5,0)),"NA")</f>
        <v>5812235</v>
      </c>
      <c r="AW1074" s="68">
        <f t="shared" si="1875"/>
        <v>6.0675061466093951E-3</v>
      </c>
      <c r="AX1074" s="114"/>
      <c r="AY1074" s="114"/>
      <c r="AZ1074" s="116"/>
      <c r="BA1074" s="116"/>
      <c r="BB1074" s="166"/>
      <c r="BC1074" s="166"/>
      <c r="BD1074" s="166"/>
      <c r="BE1074" s="166"/>
      <c r="BF1074" s="166"/>
      <c r="BG1074" s="166"/>
      <c r="BH1074" s="166"/>
      <c r="BI1074" s="113"/>
      <c r="BJ1074" s="113"/>
      <c r="BK1074" s="113">
        <f>INDEX('Dist. Plant Gas Additions'!$F$7:$AE$91,MATCH($C1074,'Dist. Plant Gas Additions'!$D$7:$D$91,0),MATCH(Calculation!$G1074,'Dist. Plant Gas Additions'!$F$5:$AE$5,0))</f>
        <v>590467</v>
      </c>
      <c r="BL1074" s="113">
        <f>INDEX('Gen. Plant Additions'!$F$7:$AE$91,MATCH($C1074,'Gen. Plant Additions'!$D$7:$D$91,0),MATCH(Calculation!$G1074,'Gen. Plant Additions'!$F$5:$AE$5,0))</f>
        <v>146442</v>
      </c>
      <c r="BM1074" s="231">
        <f t="shared" si="1921"/>
        <v>0.85677321670503304</v>
      </c>
      <c r="BN1074" s="61">
        <f t="shared" si="1958"/>
        <v>125467.58340071845</v>
      </c>
      <c r="BO1074" s="113">
        <f>INDEX('Dist Plant Depreciation'!$E$7:$AD$94,MATCH($C1074,'Dist Plant Depreciation'!$D$7:$D$94,0),MATCH(Calculation!$G1074,'Dist Plant Depreciation'!$E$5:$AD$5,0))</f>
        <v>3677301</v>
      </c>
      <c r="BP1074" s="113">
        <f>INDEX('Gen. Plant Depreciation'!$E$7:$AD$94,MATCH($C1074,'Gen. Plant Depreciation'!$D$7:$D$94,0),MATCH(Calculation!$G1074,'Gen. Plant Depreciation'!$E$5:$AD$5,0))</f>
        <v>1213595</v>
      </c>
      <c r="BQ1074" s="113"/>
      <c r="BR1074" s="113"/>
      <c r="BS1074" s="113"/>
      <c r="BT1074" s="113"/>
      <c r="BU1074" s="113"/>
      <c r="BV1074" s="175"/>
      <c r="BW1074" s="113">
        <f>INDEX('Gross Dx Plant'!$E$7:$AD$91,MATCH($C1074,'Gross Dx Plant'!$D$7:$D$91,0),MATCH(Calculation!$G1074,'Gross Dx Plant'!$E$5:$AD$5,0))</f>
        <v>11397559</v>
      </c>
      <c r="BX1074" s="113">
        <f>INDEX('Gross Gen Plant'!$E$7:$AD$91,MATCH($C1074,'Gross Gen Plant'!$D$7:$D$91,0),MATCH(Calculation!$G1074,'Gross Gen Plant'!$E$5:$AD$5,0))</f>
        <v>1905330</v>
      </c>
      <c r="BY1074" s="113">
        <f t="shared" si="1868"/>
        <v>8411993</v>
      </c>
      <c r="BZ1074" s="113"/>
      <c r="CA1074" s="116">
        <v>2019</v>
      </c>
      <c r="CB1074" s="113"/>
      <c r="CC1074" s="113"/>
      <c r="CD1074" s="113"/>
      <c r="CE1074" s="175"/>
      <c r="CF1074" s="113">
        <f t="shared" si="1922"/>
        <v>736909</v>
      </c>
      <c r="CG1074" s="113">
        <f t="shared" si="1923"/>
        <v>952.64584742240527</v>
      </c>
      <c r="CH1074" s="178">
        <v>0.85106382978723405</v>
      </c>
      <c r="CI1074" s="61">
        <f>CI1053*CH1074+CG1054*CH1073+CG1055*CH1072+CG1056*CH1071+CG1057*CH1070+CG1058*CH1069+CG1059*CH1068+CG1060*CH1067+CG1061*CH1066+CG1062*CH1065+CG1063*CH1064+CG1064*CH1063+CG1065*CH1062+CG1066*CH1061+CG1067*CH1060+CG1068*CH1059+CG1069*CH1058+CG1070*CH1057+CG1071*CH1056+CG1072*CH1055+CG1073*CH1054+CG1074</f>
        <v>25955.284025264853</v>
      </c>
      <c r="CJ1074" s="114">
        <f t="shared" si="1924"/>
        <v>2.8629310300199756E-2</v>
      </c>
      <c r="CK1074" s="114"/>
      <c r="CL1074" s="169">
        <f t="shared" si="1925"/>
        <v>8.7262587430872972E-3</v>
      </c>
      <c r="CM1074" s="169">
        <f t="shared" si="1933"/>
        <v>8.4939467767737205E-3</v>
      </c>
      <c r="CN1074" s="114">
        <f>VLOOKUP($H1074,RoR!$E:$F,2,FALSE)</f>
        <v>3.3875000000000009E-2</v>
      </c>
      <c r="CO1074" s="169">
        <v>1.8092492884465461E-2</v>
      </c>
      <c r="CP1074" s="169">
        <f t="shared" si="1931"/>
        <v>1.5782507115534548E-2</v>
      </c>
      <c r="CQ1074" s="169">
        <f t="shared" si="1934"/>
        <v>2.2407994831759905E-2</v>
      </c>
      <c r="CR1074" s="169">
        <f t="shared" si="1935"/>
        <v>4.8445665544254078E-2</v>
      </c>
      <c r="CS1074" s="179">
        <f t="shared" si="1926"/>
        <v>0.90103980000000006</v>
      </c>
      <c r="CT1074" s="180">
        <f t="shared" si="1927"/>
        <v>1.513861292459078</v>
      </c>
      <c r="CU1074" s="180">
        <f t="shared" si="1928"/>
        <v>0.23699261992619944</v>
      </c>
      <c r="CV1074" s="180">
        <f t="shared" si="1929"/>
        <v>0.73619765810468829</v>
      </c>
      <c r="CW1074" s="180">
        <f t="shared" si="1930"/>
        <v>0.26412854465362851</v>
      </c>
      <c r="CX1074" s="181">
        <f>INDEX('State Tax Lookup'!$D$7:$Z$91,MATCH(Calculation!$C1074,'State Tax Lookup'!$B$7:$B$91,0),MATCH($H1074,'State Tax Lookup'!$D$6:$Z$6,0))</f>
        <v>0.26745999999999998</v>
      </c>
      <c r="CY1074" s="72">
        <v>0.37</v>
      </c>
      <c r="CZ1074" s="70">
        <f t="shared" si="1932"/>
        <v>21.260941375267297</v>
      </c>
      <c r="DA1074" s="70">
        <v>19.236104090735289</v>
      </c>
      <c r="DB1074" s="69">
        <f t="shared" si="1936"/>
        <v>1.4368144733582656E-2</v>
      </c>
      <c r="DC1074" s="111">
        <f>VLOOKUP($H1074,RoR!$E:$F,2,FALSE)</f>
        <v>3.3875000000000009E-2</v>
      </c>
      <c r="DD1074" s="216">
        <f>HLOOKUP($H1074,'GDP-PI'!$D$8:$CQ$11,3,FALSE)</f>
        <v>1.8092492884465461E-2</v>
      </c>
      <c r="DE1074" s="111">
        <f>VLOOKUP(H1074,'HW Dx Data'!$E:$F,2,FALSE)</f>
        <v>773.53929793938721</v>
      </c>
      <c r="DF1074" s="72">
        <f t="shared" si="1946"/>
        <v>149.67500000000001</v>
      </c>
      <c r="DG1074" s="69">
        <f t="shared" si="1947"/>
        <v>3.5532849899171604E-2</v>
      </c>
      <c r="DH1074" s="66">
        <f>HLOOKUP(H1074,'GDP-PI'!$8:$9,2,FALSE)</f>
        <v>112.318</v>
      </c>
      <c r="DI1074" s="69">
        <f t="shared" si="1937"/>
        <v>1.7930771451401852E-2</v>
      </c>
    </row>
    <row r="1075" spans="1:113" s="160" customFormat="1" ht="21">
      <c r="A1075" s="160" t="s">
        <v>223</v>
      </c>
      <c r="B1075" s="160" t="s">
        <v>223</v>
      </c>
      <c r="C1075" s="160">
        <v>4057146</v>
      </c>
      <c r="D1075" s="160" t="s">
        <v>209</v>
      </c>
      <c r="G1075" s="161" t="s">
        <v>141</v>
      </c>
      <c r="H1075" s="162">
        <v>2020</v>
      </c>
      <c r="I1075" s="163"/>
      <c r="J1075" s="159">
        <v>499454</v>
      </c>
      <c r="K1075" s="159">
        <f t="shared" si="1938"/>
        <v>3261.2079660463596</v>
      </c>
      <c r="L1075" s="165">
        <f t="shared" si="1944"/>
        <v>0.22325329718086875</v>
      </c>
      <c r="M1075" s="76">
        <f t="shared" si="1948"/>
        <v>2.933886084572938E-2</v>
      </c>
      <c r="N1075" s="62">
        <f t="shared" si="1954"/>
        <v>118.39604471464118</v>
      </c>
      <c r="O1075" s="96">
        <f t="shared" si="1949"/>
        <v>1.7868006160439105E-2</v>
      </c>
      <c r="P1075" s="96"/>
      <c r="Q1075" s="159">
        <v>723302</v>
      </c>
      <c r="R1075" s="159">
        <f t="shared" si="1939"/>
        <v>6365.8062188113317</v>
      </c>
      <c r="S1075" s="165">
        <f t="shared" si="1950"/>
        <v>0.23465210073917844</v>
      </c>
      <c r="T1075" s="165">
        <f t="shared" si="1951"/>
        <v>3.0836836085638676E-2</v>
      </c>
      <c r="U1075" s="165"/>
      <c r="V1075" s="165"/>
      <c r="W1075" s="159">
        <f t="shared" si="1920"/>
        <v>574593.98665520991</v>
      </c>
      <c r="X1075" s="163"/>
      <c r="Y1075" s="167">
        <v>26628.046922826896</v>
      </c>
      <c r="Z1075" s="168">
        <v>2.5589843690292591E-2</v>
      </c>
      <c r="AA1075" s="76">
        <f t="shared" si="1940"/>
        <v>3.3628926093092286E-3</v>
      </c>
      <c r="AB1075" s="168"/>
      <c r="AC1075" s="168"/>
      <c r="AD1075" s="163">
        <f t="shared" si="1886"/>
        <v>1797349.9866552099</v>
      </c>
      <c r="AE1075" s="168">
        <f t="shared" si="1952"/>
        <v>0.1860859742924959</v>
      </c>
      <c r="AF1075" s="163"/>
      <c r="AG1075" s="163"/>
      <c r="AH1075" s="163"/>
      <c r="AI1075" s="163"/>
      <c r="AJ1075" s="116">
        <f t="shared" si="1953"/>
        <v>309.23560156380637</v>
      </c>
      <c r="AK1075" s="114">
        <f>+AV1075/$AX$25</f>
        <v>0.15322283369744252</v>
      </c>
      <c r="AL1075" s="115">
        <f t="shared" si="1941"/>
        <v>0.27788355284630023</v>
      </c>
      <c r="AM1075" s="115">
        <f t="shared" si="1942"/>
        <v>0.40242690926658836</v>
      </c>
      <c r="AN1075" s="115">
        <f t="shared" si="1943"/>
        <v>0.31968953788711141</v>
      </c>
      <c r="AO1075" s="115">
        <f t="shared" si="1945"/>
        <v>0.16059269433570858</v>
      </c>
      <c r="AP1075" s="166">
        <f t="shared" si="1956"/>
        <v>142.02239650841528</v>
      </c>
      <c r="AQ1075" s="168">
        <f t="shared" si="1957"/>
        <v>0.16059269433570861</v>
      </c>
      <c r="AR1075" s="69">
        <f>+AD1075/$AF$25</f>
        <v>0.13141512898669752</v>
      </c>
      <c r="AS1075" s="169">
        <f t="shared" si="1955"/>
        <v>2.1104309640448436E-2</v>
      </c>
      <c r="AT1075" s="115"/>
      <c r="AU1075" s="115"/>
      <c r="AV1075" s="113">
        <v>5812235</v>
      </c>
      <c r="AW1075" s="68">
        <f t="shared" si="1875"/>
        <v>0</v>
      </c>
      <c r="AX1075" s="114"/>
      <c r="AY1075" s="114"/>
      <c r="AZ1075" s="116"/>
      <c r="BA1075" s="116"/>
      <c r="BB1075" s="166"/>
      <c r="BC1075" s="166"/>
      <c r="BD1075" s="166"/>
      <c r="BE1075" s="166"/>
      <c r="BF1075" s="166"/>
      <c r="BG1075" s="166"/>
      <c r="BH1075" s="166"/>
      <c r="BI1075" s="113"/>
      <c r="BJ1075" s="113"/>
      <c r="BK1075" s="113"/>
      <c r="BL1075" s="113"/>
      <c r="BM1075" s="231"/>
      <c r="BN1075" s="61">
        <f t="shared" si="1958"/>
        <v>0</v>
      </c>
      <c r="BO1075" s="113"/>
      <c r="BP1075" s="113"/>
      <c r="BQ1075" s="113"/>
      <c r="BR1075" s="113"/>
      <c r="BS1075" s="113"/>
      <c r="BT1075" s="113"/>
      <c r="BU1075" s="113"/>
      <c r="BV1075" s="175"/>
      <c r="BW1075" s="113"/>
      <c r="BX1075" s="113"/>
      <c r="BY1075" s="113"/>
      <c r="BZ1075" s="113"/>
      <c r="CA1075" s="116">
        <v>2020</v>
      </c>
      <c r="CB1075" s="113"/>
      <c r="CC1075" s="113"/>
      <c r="CD1075" s="113"/>
      <c r="CE1075" s="175"/>
      <c r="CF1075" s="238">
        <v>736909</v>
      </c>
      <c r="CG1075" s="113">
        <f t="shared" si="1923"/>
        <v>906.31777040472366</v>
      </c>
      <c r="CH1075" s="178">
        <v>0.84057971014492749</v>
      </c>
      <c r="CI1075" s="61">
        <f>CI1053*CH1075+CG1054*CH1074+CG1055*CH1073+CG1056*CH1072+CG1057*CH1071+CG1058*CH1070+CG1059*CH1069+CG1060*CH1068+CG1061*CH1067+CG1062*CH1066+CG1063*CH1065+CG1064*CH1064+CG1065*CH1063+CG1066*CH1062+CG1067*CH1061+CG1068*CH1060+CG1069*CH1059+CG1070*CH1058+CG1071*CH1057+CG1072*CH1056+CG1073*CH1055+CG1074*CH1054+CG1075</f>
        <v>26628.046922826896</v>
      </c>
      <c r="CJ1075" s="114">
        <f t="shared" si="1924"/>
        <v>2.5589843690292591E-2</v>
      </c>
      <c r="CK1075" s="114"/>
      <c r="CL1075" s="169">
        <f t="shared" si="1925"/>
        <v>8.9983555030774751E-3</v>
      </c>
      <c r="CM1075" s="169">
        <f t="shared" si="1933"/>
        <v>8.7329030313554705E-3</v>
      </c>
      <c r="CN1075" s="114">
        <f>VLOOKUP($H1075,RoR!$E:$F,2,FALSE)</f>
        <v>2.4766666666666666E-2</v>
      </c>
      <c r="CO1075" s="169">
        <v>1.1618796630994188E-2</v>
      </c>
      <c r="CP1075" s="169">
        <f t="shared" si="1931"/>
        <v>1.3147870035672478E-2</v>
      </c>
      <c r="CQ1075" s="169">
        <f t="shared" si="1934"/>
        <v>2.2169038577178155E-2</v>
      </c>
      <c r="CR1075" s="169">
        <f t="shared" si="1935"/>
        <v>4.5144642961987357E-2</v>
      </c>
      <c r="CS1075" s="179">
        <f t="shared" si="1926"/>
        <v>0.90065499999999998</v>
      </c>
      <c r="CT1075" s="180">
        <f t="shared" si="1927"/>
        <v>2.0706077233668081</v>
      </c>
      <c r="CU1075" s="180">
        <f t="shared" si="1928"/>
        <v>-3.4421265141318998E-2</v>
      </c>
      <c r="CV1075" s="180">
        <f t="shared" si="1929"/>
        <v>0.62416226176410472</v>
      </c>
      <c r="CW1075" s="180">
        <f t="shared" si="1930"/>
        <v>-4.4485877841158712E-2</v>
      </c>
      <c r="CX1075" s="181">
        <v>0.26849999999999996</v>
      </c>
      <c r="CY1075" s="72">
        <v>0.37</v>
      </c>
      <c r="CZ1075" s="70">
        <f t="shared" si="1932"/>
        <v>22.137842379066267</v>
      </c>
      <c r="DA1075" s="70">
        <v>19.952659173050833</v>
      </c>
      <c r="DB1075" s="69">
        <f t="shared" si="1936"/>
        <v>4.0416817902717998E-2</v>
      </c>
      <c r="DC1075" s="111">
        <f>VLOOKUP($H1075,RoR!$E:$F,2,FALSE)</f>
        <v>2.4766666666666666E-2</v>
      </c>
      <c r="DD1075" s="216">
        <f>HLOOKUP($H1075,'GDP-PI'!$D$8:$CQ$11,3,FALSE)</f>
        <v>1.1618796630994188E-2</v>
      </c>
      <c r="DE1075" s="111">
        <f>VLOOKUP(H1075,'HW Dx Data'!$E:$F,2,FALSE)</f>
        <v>813.080162458833</v>
      </c>
      <c r="DF1075" s="72">
        <f t="shared" si="1946"/>
        <v>153.15</v>
      </c>
      <c r="DG1075" s="69">
        <f t="shared" si="1947"/>
        <v>2.2951556467368479E-2</v>
      </c>
      <c r="DH1075" s="66">
        <f>HLOOKUP(H1075,'GDP-PI'!$8:$9,2,FALSE)</f>
        <v>113.623</v>
      </c>
      <c r="DI1075" s="69">
        <f t="shared" si="1937"/>
        <v>1.1551816731392881E-2</v>
      </c>
    </row>
    <row r="1076" spans="1:113" s="160" customFormat="1" ht="21">
      <c r="A1076" s="160" t="s">
        <v>223</v>
      </c>
      <c r="B1076" s="160" t="s">
        <v>223</v>
      </c>
      <c r="C1076" s="160">
        <v>4057146</v>
      </c>
      <c r="D1076" s="160" t="s">
        <v>209</v>
      </c>
      <c r="G1076" s="161" t="s">
        <v>142</v>
      </c>
      <c r="H1076" s="162">
        <v>2021</v>
      </c>
      <c r="I1076" s="163"/>
      <c r="J1076" s="159">
        <v>552931</v>
      </c>
      <c r="K1076" s="159">
        <f t="shared" si="1938"/>
        <v>3516.2543720190779</v>
      </c>
      <c r="L1076" s="164">
        <f t="shared" si="1944"/>
        <v>7.5298655719654939E-2</v>
      </c>
      <c r="M1076" s="76">
        <f t="shared" si="1948"/>
        <v>9.5035221354914413E-3</v>
      </c>
      <c r="N1076" s="166">
        <f>+N1075*EXP(O1076)</f>
        <v>120.60832583119813</v>
      </c>
      <c r="O1076" s="114">
        <f t="shared" si="1949"/>
        <v>1.8513002887528388E-2</v>
      </c>
      <c r="P1076" s="114"/>
      <c r="Q1076" s="159">
        <v>779432</v>
      </c>
      <c r="R1076" s="159">
        <f t="shared" si="1939"/>
        <v>6578.0403409570426</v>
      </c>
      <c r="S1076" s="165">
        <f t="shared" si="1950"/>
        <v>3.2795992083400179E-2</v>
      </c>
      <c r="T1076" s="165">
        <f t="shared" si="1951"/>
        <v>4.1392164805757565E-3</v>
      </c>
      <c r="U1076" s="165"/>
      <c r="V1076" s="165"/>
      <c r="W1076" s="159">
        <f t="shared" si="1920"/>
        <v>601487.72804376238</v>
      </c>
      <c r="X1076" s="163"/>
      <c r="Y1076" s="167">
        <v>27302.497888456684</v>
      </c>
      <c r="Z1076" s="168"/>
      <c r="AA1076" s="76">
        <f t="shared" si="1940"/>
        <v>0</v>
      </c>
      <c r="AB1076" s="168"/>
      <c r="AC1076" s="168"/>
      <c r="AD1076" s="163">
        <f t="shared" si="1886"/>
        <v>1933850.7280437625</v>
      </c>
      <c r="AE1076" s="168">
        <f t="shared" si="1952"/>
        <v>7.3199860563405383E-2</v>
      </c>
      <c r="AF1076" s="113"/>
      <c r="AG1076" s="114"/>
      <c r="AH1076" s="114"/>
      <c r="AI1076" s="114"/>
      <c r="AJ1076" s="116">
        <f t="shared" si="1953"/>
        <v>317.18767118118757</v>
      </c>
      <c r="AK1076" s="114">
        <f>+AV1076/$AX$26</f>
        <v>0.15792422104321899</v>
      </c>
      <c r="AL1076" s="115">
        <f t="shared" si="1941"/>
        <v>0.28592227516925872</v>
      </c>
      <c r="AM1076" s="115">
        <f t="shared" si="1942"/>
        <v>0.40304662024687649</v>
      </c>
      <c r="AN1076" s="115">
        <f t="shared" si="1943"/>
        <v>0.31103110458386468</v>
      </c>
      <c r="AO1076" s="115">
        <f t="shared" si="1945"/>
        <v>3.4435062216895268E-2</v>
      </c>
      <c r="AP1076" s="166">
        <f t="shared" si="1956"/>
        <v>146.99812465841552</v>
      </c>
      <c r="AQ1076" s="168">
        <f t="shared" si="1957"/>
        <v>3.4435062216895372E-2</v>
      </c>
      <c r="AR1076" s="69">
        <f>+AD1076/$AF$26</f>
        <v>0.12621104646109599</v>
      </c>
      <c r="AS1076" s="169">
        <f t="shared" si="1955"/>
        <v>4.3460852373473132E-3</v>
      </c>
      <c r="AT1076" s="115"/>
      <c r="AU1076" s="115"/>
      <c r="AV1076" s="113">
        <v>6096866</v>
      </c>
      <c r="AW1076" s="68">
        <f t="shared" si="1875"/>
        <v>4.7809690185874838E-2</v>
      </c>
      <c r="AX1076" s="113"/>
      <c r="AY1076" s="113"/>
      <c r="AZ1076" s="116"/>
      <c r="BA1076" s="116"/>
      <c r="BB1076" s="166"/>
      <c r="BC1076" s="166"/>
      <c r="BD1076" s="166"/>
      <c r="BE1076" s="166"/>
      <c r="BF1076" s="166"/>
      <c r="BG1076" s="166"/>
      <c r="BH1076" s="166"/>
      <c r="BI1076" s="113"/>
      <c r="BJ1076" s="113"/>
      <c r="BK1076" s="113">
        <f>INDEX('Dist. Plant Gas Additions'!$E$7:$AE$91,MATCH($C1076,'Dist. Plant Gas Additions'!$D$7:$D$91,0),MATCH(Calculation!$G1076,'Dist. Plant Gas Additions'!$E$5:$AE$5,0))</f>
        <v>773734.55299999996</v>
      </c>
      <c r="BL1076" s="113">
        <f>INDEX('Gen. Plant Additions'!$E$7:$AE$91,MATCH($C1076,'Gen. Plant Additions'!$D$7:$D$91,0),MATCH(Calculation!$G1076,'Gen. Plant Additions'!$E$5:$AE$5,0))</f>
        <v>246919.97399999999</v>
      </c>
      <c r="BM1076" s="232"/>
      <c r="BN1076" s="61">
        <f t="shared" si="1958"/>
        <v>0</v>
      </c>
      <c r="BO1076" s="113"/>
      <c r="BP1076" s="113"/>
      <c r="BQ1076" s="175"/>
      <c r="BR1076" s="175"/>
      <c r="BS1076" s="170"/>
      <c r="BT1076" s="176"/>
      <c r="BU1076" s="177"/>
      <c r="BV1076" s="177"/>
      <c r="BW1076" s="113"/>
      <c r="BX1076" s="113"/>
      <c r="BY1076" s="113"/>
      <c r="BZ1076" s="113"/>
      <c r="CA1076" s="116">
        <v>2021</v>
      </c>
      <c r="CB1076" s="113"/>
      <c r="CC1076" s="113"/>
      <c r="CD1076" s="113"/>
      <c r="CE1076" s="175"/>
      <c r="CF1076" s="113">
        <f t="shared" ref="CF1076" si="1959">+BL1076+BK1076</f>
        <v>1020654.527</v>
      </c>
      <c r="CG1076" s="113">
        <f t="shared" si="1923"/>
        <v>1093.922738044314</v>
      </c>
      <c r="CH1076" s="178">
        <f>+(51-23)/(51-23*0.75)</f>
        <v>0.82962962962962961</v>
      </c>
      <c r="CI1076" s="113">
        <f>CI1053*CH1076+CG1054*CH1075+CG1055*CH1074+CG1056*CH1073+CG1057*CH1072+CG1058*CH1071+CG1059*CH1070+CG1060*CH1069+CG1061*CH1068+CG1062*CH1067+CG1063*CH1066+CG1064*CH1065+CG1065*CH1064+CG1066*CH1063+CG1067*CH1062+CG1058*CH1061+CG1069*CH1060+CG1070*CH1059+CG1071*CH1058+CG1072*CH1057+CG1073*CH1056+CG1074*CH1055+CG1076+CG1075*CH1054</f>
        <v>27302.497888456684</v>
      </c>
      <c r="CJ1076" s="114"/>
      <c r="CK1076" s="113"/>
      <c r="CL1076" s="169">
        <f t="shared" si="1925"/>
        <v>1.5753005604588036E-2</v>
      </c>
      <c r="CM1076" s="169">
        <f t="shared" si="1933"/>
        <v>1.1159206616917603E-2</v>
      </c>
      <c r="CN1076" s="114">
        <f>VLOOKUP($H1076,RoR!$E:$F,2,FALSE)</f>
        <v>2.7033333333333336E-2</v>
      </c>
      <c r="CO1076" s="169"/>
      <c r="CP1076" s="169"/>
      <c r="CQ1076" s="169">
        <f t="shared" si="1934"/>
        <v>1.9742734991616023E-2</v>
      </c>
      <c r="CR1076" s="169">
        <f t="shared" si="1935"/>
        <v>7.433422950153494E-2</v>
      </c>
      <c r="CS1076" s="179">
        <f t="shared" si="1926"/>
        <v>0.90065499999999998</v>
      </c>
      <c r="CT1076" s="180">
        <f t="shared" si="1927"/>
        <v>1.8969932656739068</v>
      </c>
      <c r="CU1076" s="180">
        <f t="shared" si="1928"/>
        <v>5.0215782983970621E-2</v>
      </c>
      <c r="CV1076" s="180">
        <f t="shared" si="1929"/>
        <v>0.655952481704143</v>
      </c>
      <c r="CW1076" s="180">
        <f t="shared" si="1930"/>
        <v>6.2485378865697057E-2</v>
      </c>
      <c r="CX1076" s="181">
        <f>CX1075</f>
        <v>0.26849999999999996</v>
      </c>
      <c r="CY1076" s="72">
        <v>0.37</v>
      </c>
      <c r="CZ1076" s="182">
        <f t="shared" si="1932"/>
        <v>22.5885033846826</v>
      </c>
      <c r="DA1076" s="182"/>
      <c r="DB1076" s="169">
        <f>LN(CZ1077/CZ1075)</f>
        <v>0.20644511179583741</v>
      </c>
      <c r="DC1076" s="181">
        <f>VLOOKUP($H1076,RoR!$E:$F,2,FALSE)</f>
        <v>2.7033333333333336E-2</v>
      </c>
      <c r="DD1076" s="183">
        <f>HLOOKUP($H1076,'GDP-PI'!$D$8:$CR$11,3,FALSE)</f>
        <v>4.2834637353352578E-2</v>
      </c>
      <c r="DE1076" s="181">
        <f>VLOOKUP(H1076,'HW Dx Data'!$E:$F,2,FALSE)</f>
        <v>933.02249921662576</v>
      </c>
      <c r="DF1076" s="72">
        <f t="shared" si="1946"/>
        <v>157.25</v>
      </c>
      <c r="DG1076" s="69">
        <f t="shared" si="1947"/>
        <v>2.6419062301765574E-2</v>
      </c>
      <c r="DH1076" s="175">
        <f>HLOOKUP(H1076,'GDP-PI'!$8:$9,2,FALSE)</f>
        <v>118.49</v>
      </c>
      <c r="DI1076" s="169">
        <f t="shared" si="1937"/>
        <v>4.194261824609434E-2</v>
      </c>
    </row>
    <row r="1077" spans="1:113" s="160" customFormat="1" ht="21">
      <c r="G1077" s="161" t="s">
        <v>144</v>
      </c>
      <c r="H1077" s="162"/>
      <c r="I1077" s="163"/>
      <c r="J1077" s="159">
        <v>518026.25397634279</v>
      </c>
      <c r="K1077" s="159">
        <f t="shared" si="1938"/>
        <v>3186.8732942254246</v>
      </c>
      <c r="L1077" s="164">
        <f t="shared" ref="L1077" si="1960">LN(K1077/K1076)</f>
        <v>-9.8356046619425624E-2</v>
      </c>
      <c r="M1077" s="76">
        <f t="shared" si="1948"/>
        <v>-1.205607114558796E-2</v>
      </c>
      <c r="N1077" s="166">
        <f>+N1076*EXP(O1077)</f>
        <v>119.40327492281915</v>
      </c>
      <c r="O1077" s="114">
        <f t="shared" si="1949"/>
        <v>-1.0041689906424272E-2</v>
      </c>
      <c r="P1077" s="114"/>
      <c r="Q1077" s="163">
        <v>730229.7797015917</v>
      </c>
      <c r="R1077" s="159">
        <f t="shared" si="1939"/>
        <v>5738.5444377335298</v>
      </c>
      <c r="S1077" s="165">
        <f t="shared" ref="S1077" si="1961">LN(R1077/R1076)</f>
        <v>-0.13653128455897623</v>
      </c>
      <c r="T1077" s="165">
        <f t="shared" si="1951"/>
        <v>-1.6735431494218231E-2</v>
      </c>
      <c r="U1077" s="166"/>
      <c r="V1077" s="114"/>
      <c r="W1077" s="159">
        <f t="shared" si="1920"/>
        <v>743011.68884946522</v>
      </c>
      <c r="X1077" s="168"/>
      <c r="Y1077" s="167">
        <v>28201.638429280029</v>
      </c>
      <c r="Z1077" s="168">
        <v>3.24018808344715E-2</v>
      </c>
      <c r="AA1077" s="76">
        <f t="shared" si="1940"/>
        <v>3.9716864800673967E-3</v>
      </c>
      <c r="AB1077" s="166"/>
      <c r="AC1077" s="114"/>
      <c r="AD1077" s="163">
        <f t="shared" si="1886"/>
        <v>1991267.7225273997</v>
      </c>
      <c r="AE1077" s="168">
        <f t="shared" si="1952"/>
        <v>2.9258271369961338E-2</v>
      </c>
      <c r="AF1077" s="113"/>
      <c r="AG1077" s="114"/>
      <c r="AH1077" s="114"/>
      <c r="AI1077" s="114"/>
      <c r="AJ1077" s="116">
        <f t="shared" si="1953"/>
        <v>324.81289435399054</v>
      </c>
      <c r="AK1077" s="114"/>
      <c r="AL1077" s="115">
        <f t="shared" si="1941"/>
        <v>0.26014897349857224</v>
      </c>
      <c r="AM1077" s="115">
        <f t="shared" si="1942"/>
        <v>0.36671602288352956</v>
      </c>
      <c r="AN1077" s="115">
        <f t="shared" si="1943"/>
        <v>0.3731350036178982</v>
      </c>
      <c r="AO1077" s="115"/>
      <c r="AP1077" s="166"/>
      <c r="AQ1077" s="168"/>
      <c r="AR1077" s="69">
        <f>+AD1077/$AF$27</f>
        <v>0.12257580047149687</v>
      </c>
      <c r="AS1077" s="169"/>
      <c r="AT1077" s="166"/>
      <c r="AU1077" s="168"/>
      <c r="AV1077" s="113">
        <v>6130507</v>
      </c>
      <c r="AW1077" s="68">
        <f t="shared" si="1875"/>
        <v>5.5025858592965791E-3</v>
      </c>
      <c r="AX1077" s="113"/>
      <c r="AY1077" s="113"/>
      <c r="AZ1077" s="113"/>
      <c r="BA1077" s="113"/>
      <c r="BB1077" s="171"/>
      <c r="BC1077" s="172"/>
      <c r="BD1077" s="173"/>
      <c r="BE1077" s="115"/>
      <c r="BF1077" s="174"/>
      <c r="BG1077" s="174"/>
      <c r="BH1077" s="166"/>
      <c r="BI1077" s="113"/>
      <c r="BJ1077" s="113"/>
      <c r="BK1077" s="113"/>
      <c r="BL1077" s="113"/>
      <c r="BM1077" s="232"/>
      <c r="BN1077" s="61">
        <f t="shared" si="1958"/>
        <v>0</v>
      </c>
      <c r="BO1077" s="113"/>
      <c r="BP1077" s="113"/>
      <c r="BQ1077" s="175"/>
      <c r="BR1077" s="175"/>
      <c r="BS1077" s="170"/>
      <c r="BT1077" s="176"/>
      <c r="BU1077" s="177"/>
      <c r="BV1077" s="177"/>
      <c r="BW1077" s="113"/>
      <c r="BX1077" s="113"/>
      <c r="BY1077" s="113"/>
      <c r="BZ1077" s="113"/>
      <c r="CA1077" s="116">
        <v>2022</v>
      </c>
      <c r="CB1077" s="113"/>
      <c r="CC1077" s="113"/>
      <c r="CD1077" s="113"/>
      <c r="CE1077" s="175"/>
      <c r="CF1077" s="238">
        <v>1211115.325</v>
      </c>
      <c r="CG1077" s="113">
        <f>+CF1077/DE1077</f>
        <v>1174.9161581668784</v>
      </c>
      <c r="CH1077" s="178">
        <f>+(51-24)/(51-24*0.75)</f>
        <v>0.81818181818181823</v>
      </c>
      <c r="CI1077" s="113">
        <f>+CI1053*CH1077+CG1054*CH1076+CG1055*CH1075+CG1056*CH1074+CG1057*CH1073+CG1058*CH1072+CG1059*CH1071+CG1060*CH1070+CG1061*CH1069+CG1062*CH1068+CG1063*CH1067+CG1064*CH1066+CG1065*CH1065+CG1066*CH1064+CG1067*CH1063+CG1068*CH1062+CG1069*CH1061+CG1070*CH1060+CG1071*CH1059+CG1072*CH1058+CG1073*CH1057+CG1074*CH1056+CG1075*CH1055+CG1076*CH1054+CG1077*CH1053</f>
        <v>28386.406063470615</v>
      </c>
      <c r="CJ1077" s="114">
        <f t="shared" ref="CJ1077" si="1962">LN(CI1077/CI1076)</f>
        <v>3.8932175085152357E-2</v>
      </c>
      <c r="CK1077" s="113"/>
      <c r="CL1077" s="169">
        <f t="shared" si="1925"/>
        <v>3.3333207651826493E-3</v>
      </c>
      <c r="CM1077" s="169">
        <f t="shared" si="1933"/>
        <v>9.3615606242827207E-3</v>
      </c>
      <c r="CN1077" s="114"/>
      <c r="CO1077" s="169"/>
      <c r="CP1077" s="169"/>
      <c r="CQ1077" s="69">
        <f t="shared" si="1934"/>
        <v>2.1540380984250904E-2</v>
      </c>
      <c r="CR1077" s="169">
        <f t="shared" si="1935"/>
        <v>0.10114668178709289</v>
      </c>
      <c r="CS1077" s="179">
        <f t="shared" si="1926"/>
        <v>0.90065499999999998</v>
      </c>
      <c r="CT1077" s="180">
        <f t="shared" si="1927"/>
        <v>1.2820512820512819</v>
      </c>
      <c r="CU1077" s="180">
        <f t="shared" si="1928"/>
        <v>0.35000000000000003</v>
      </c>
      <c r="CV1077" s="180">
        <f t="shared" si="1929"/>
        <v>0.79171095533705893</v>
      </c>
      <c r="CW1077" s="180">
        <f t="shared" si="1930"/>
        <v>0.35525491585637264</v>
      </c>
      <c r="CX1077" s="181">
        <f>CX1076</f>
        <v>0.26849999999999996</v>
      </c>
      <c r="CY1077" s="72">
        <v>0.37</v>
      </c>
      <c r="CZ1077" s="182">
        <f t="shared" si="1932"/>
        <v>27.21405535438593</v>
      </c>
      <c r="DA1077" s="182"/>
      <c r="DB1077" s="169">
        <f t="shared" ref="DB1077" si="1963">LN(CZ1077/CZ1076)</f>
        <v>0.18629250375358455</v>
      </c>
      <c r="DC1077" s="181">
        <v>0.04</v>
      </c>
      <c r="DD1077" s="183">
        <v>7.0000000000000001E-3</v>
      </c>
      <c r="DE1077" s="181">
        <v>1030.81</v>
      </c>
      <c r="DF1077" s="72">
        <f t="shared" si="1946"/>
        <v>162.55000000000001</v>
      </c>
      <c r="DG1077" s="169">
        <f t="shared" si="1947"/>
        <v>3.3148751169364422E-2</v>
      </c>
      <c r="DH1077" s="175">
        <v>127.25</v>
      </c>
      <c r="DI1077" s="169">
        <f t="shared" si="1937"/>
        <v>7.1325086601983473E-2</v>
      </c>
    </row>
    <row r="1078" spans="1:113" s="160" customFormat="1" ht="21">
      <c r="A1078" s="160" t="s">
        <v>224</v>
      </c>
      <c r="B1078" s="160" t="s">
        <v>225</v>
      </c>
      <c r="C1078" s="160">
        <v>4063060</v>
      </c>
      <c r="D1078" s="161" t="s">
        <v>181</v>
      </c>
      <c r="E1078" s="161" t="s">
        <v>3</v>
      </c>
      <c r="F1078" s="189"/>
      <c r="G1078" s="160" t="s">
        <v>100</v>
      </c>
      <c r="H1078" s="162">
        <v>1998</v>
      </c>
      <c r="I1078" s="163"/>
      <c r="J1078" s="159"/>
      <c r="K1078" s="159"/>
      <c r="L1078" s="159"/>
      <c r="M1078" s="60"/>
      <c r="N1078" s="131"/>
      <c r="O1078" s="76"/>
      <c r="P1078" s="76"/>
      <c r="Q1078" s="165"/>
      <c r="R1078" s="165"/>
      <c r="S1078" s="165"/>
      <c r="T1078" s="159"/>
      <c r="U1078" s="165"/>
      <c r="V1078" s="165"/>
      <c r="W1078" s="159"/>
      <c r="X1078" s="163"/>
      <c r="Y1078" s="167">
        <v>1304.554492673321</v>
      </c>
      <c r="Z1078" s="168"/>
      <c r="AA1078" s="78"/>
      <c r="AB1078" s="168"/>
      <c r="AC1078" s="168"/>
      <c r="AD1078" s="163">
        <f t="shared" si="1886"/>
        <v>0</v>
      </c>
      <c r="AE1078" s="163"/>
      <c r="AF1078" s="163"/>
      <c r="AG1078" s="114"/>
      <c r="AH1078" s="114"/>
      <c r="AI1078" s="114"/>
      <c r="AJ1078" s="166">
        <f>+(AJ1075+AJ1076+AJ1077)/3</f>
        <v>317.07872236632812</v>
      </c>
      <c r="AK1078" s="168"/>
      <c r="AL1078" s="115"/>
      <c r="AM1078" s="115"/>
      <c r="AN1078" s="115"/>
      <c r="AO1078" s="115"/>
      <c r="AP1078" s="115"/>
      <c r="AQ1078" s="168">
        <f>AVERAGE(AQ1087:AQ1101)</f>
        <v>9.8341697087294226E-3</v>
      </c>
      <c r="AR1078" s="79"/>
      <c r="AS1078" s="115"/>
      <c r="AT1078" s="115"/>
      <c r="AU1078" s="115"/>
      <c r="AV1078" s="113">
        <f>IFERROR(INDEX('Total Customers'!$F$7:$AB$91,MATCH($C1078,'Total Customers'!$D$7:$D$91,0),MATCH($G1078,'Total Customers'!$F$5:$AB$5,0)),"NA")</f>
        <v>157317</v>
      </c>
      <c r="AW1078" s="68"/>
      <c r="AX1078" s="114"/>
      <c r="AY1078" s="114"/>
      <c r="AZ1078" s="116"/>
      <c r="BA1078" s="116"/>
      <c r="BB1078" s="166"/>
      <c r="BC1078" s="166"/>
      <c r="BD1078" s="166"/>
      <c r="BE1078" s="166"/>
      <c r="BF1078" s="166"/>
      <c r="BG1078" s="166"/>
      <c r="BH1078" s="166"/>
      <c r="BI1078" s="113">
        <f>INDEX('Gross Dx Plant'!$E$7:$AD$91,MATCH($C1078,'Gross Dx Plant'!$D$7:$D$91,0),MATCH(Calculation!$G1078,'Gross Dx Plant'!$E$5:$AD$5,0))</f>
        <v>369400</v>
      </c>
      <c r="BJ1078" s="113">
        <f>INDEX('Gross Gen Plant'!$E$7:$AD$91,MATCH($C1078,'Gross Gen Plant'!$D$7:$D$91,0),MATCH(Calculation!$G1078,'Gross Gen Plant'!$E$5:$AD$5,0))</f>
        <v>27404</v>
      </c>
      <c r="BK1078" s="113">
        <f>INDEX('Dist. Plant Gas Additions'!$F$7:$AE$91,MATCH($C1078,'Dist. Plant Gas Additions'!$D$7:$D$91,0),MATCH(Calculation!$G1078,'Dist. Plant Gas Additions'!$F$5:$AE$5,0))</f>
        <v>17352</v>
      </c>
      <c r="BL1078" s="113">
        <f>INDEX('Gen. Plant Additions'!$F$7:$AE$91,MATCH($C1078,'Gen. Plant Additions'!$D$7:$D$91,0),MATCH(Calculation!$G1078,'Gen. Plant Additions'!$F$5:$AE$5,0))</f>
        <v>3041</v>
      </c>
      <c r="BM1078" s="231">
        <f>+(BW1078/(BW1078+BX1078))</f>
        <v>0.93093819618753848</v>
      </c>
      <c r="BN1078" s="61">
        <f t="shared" si="1958"/>
        <v>2830.9830546063044</v>
      </c>
      <c r="BO1078" s="113">
        <f>INDEX('Dist Plant Depreciation'!$E$7:$AD$94,MATCH($C1078,'Dist Plant Depreciation'!$D$7:$D$94,0),MATCH(Calculation!$G1078,'Dist Plant Depreciation'!$E$5:$AD$5,0))</f>
        <v>124149</v>
      </c>
      <c r="BP1078" s="113">
        <f>INDEX('Gen. Plant Depreciation'!$E$7:$AD$94,MATCH($C1078,'Gen. Plant Depreciation'!$D$7:$D$94,0),MATCH(Calculation!$G1078,'Gen. Plant Depreciation'!$E$5:$AD$5,0))</f>
        <v>9501</v>
      </c>
      <c r="BQ1078" s="113"/>
      <c r="BR1078" s="113"/>
      <c r="BS1078" s="113"/>
      <c r="BT1078" s="113"/>
      <c r="BU1078" s="113"/>
      <c r="BV1078" s="175"/>
      <c r="BW1078" s="113">
        <f>INDEX('Gross Dx Plant'!$E$7:$AD$91,MATCH($C1078,'Gross Dx Plant'!$D$7:$D$91,0),MATCH(Calculation!$G1078,'Gross Dx Plant'!$E$5:$AD$5,0))</f>
        <v>369400</v>
      </c>
      <c r="BX1078" s="113">
        <f>INDEX('Gross Gen Plant'!$E$7:$AD$91,MATCH($C1078,'Gross Gen Plant'!$D$7:$D$91,0),MATCH(Calculation!$G1078,'Gross Gen Plant'!$E$5:$AD$5,0))</f>
        <v>27404</v>
      </c>
      <c r="BY1078" s="113">
        <f t="shared" si="1868"/>
        <v>263154</v>
      </c>
      <c r="BZ1078" s="113"/>
      <c r="CA1078" s="116">
        <v>1998</v>
      </c>
      <c r="CB1078" s="113">
        <f>BI1078+BJ1078</f>
        <v>396804</v>
      </c>
      <c r="CC1078" s="113">
        <f>124149+9501</f>
        <v>133650</v>
      </c>
      <c r="CD1078" s="113">
        <f>+CB1078-CC1078</f>
        <v>263154</v>
      </c>
      <c r="CE1078" s="113">
        <f>CD1078/$BV$3</f>
        <v>1304.554492673321</v>
      </c>
      <c r="CF1078" s="175"/>
      <c r="CG1078" s="175"/>
      <c r="CH1078" s="178">
        <v>1</v>
      </c>
      <c r="CI1078" s="113">
        <f>+CE1078</f>
        <v>1304.554492673321</v>
      </c>
      <c r="CJ1078" s="114"/>
      <c r="CK1078" s="114"/>
      <c r="CL1078" s="169"/>
      <c r="CM1078" s="169"/>
      <c r="CN1078" s="114" t="e">
        <f>VLOOKUP($H1078,RoR!$E:$F,2,FALSE)</f>
        <v>#N/A</v>
      </c>
      <c r="CO1078" s="169">
        <v>1.1028127770464469E-2</v>
      </c>
      <c r="CP1078" s="169"/>
      <c r="CQ1078" s="169"/>
      <c r="CR1078" s="169"/>
      <c r="CS1078" s="179"/>
      <c r="CT1078" s="182" t="e">
        <f>2/(DC1078*39)</f>
        <v>#N/A</v>
      </c>
      <c r="CU1078" s="180" t="e">
        <f>+(DC1078*40-(1+DC1078))/(DC1078*40)</f>
        <v>#N/A</v>
      </c>
      <c r="CV1078" s="180" t="e">
        <f>+(1-(1/(1+DC1078)^40))</f>
        <v>#N/A</v>
      </c>
      <c r="CW1078" s="180" t="e">
        <f>+CV1078*CU1078*CT1078</f>
        <v>#N/A</v>
      </c>
      <c r="CX1078" s="181">
        <f>INDEX('State Tax Lookup'!$D$7:$Z$91,MATCH(Calculation!$C1078,'State Tax Lookup'!$B$7:$B$91,0),MATCH($H1078,'State Tax Lookup'!$D$6:$Z$6,0))</f>
        <v>0.40200000000000002</v>
      </c>
      <c r="CY1078" s="72">
        <v>0.37</v>
      </c>
      <c r="CZ1078" s="66"/>
      <c r="DA1078" s="66"/>
      <c r="DB1078" s="69"/>
      <c r="DC1078" s="111" t="e">
        <f>VLOOKUP($H1078,RoR!$E:$F,2,FALSE)</f>
        <v>#N/A</v>
      </c>
      <c r="DD1078" s="216">
        <f>HLOOKUP($H1078,'GDP-PI'!$D$8:$CQ$11,3,FALSE)</f>
        <v>1.1028127770464469E-2</v>
      </c>
      <c r="DE1078" s="111">
        <f>VLOOKUP(H1078,'HW Dx Data'!$E:$F,2,FALSE)</f>
        <v>329.24564746449528</v>
      </c>
      <c r="DF1078" s="72" t="e">
        <f t="shared" si="1946"/>
        <v>#N/A</v>
      </c>
      <c r="DG1078" s="169" t="e">
        <f t="shared" si="1947"/>
        <v>#N/A</v>
      </c>
      <c r="DH1078" s="66">
        <f>HLOOKUP(H1078,'GDP-PI'!$8:$9,2,FALSE)</f>
        <v>75.266999999999996</v>
      </c>
      <c r="DI1078"/>
    </row>
    <row r="1079" spans="1:113" s="160" customFormat="1" ht="21">
      <c r="A1079" s="160" t="s">
        <v>224</v>
      </c>
      <c r="B1079" s="160" t="s">
        <v>225</v>
      </c>
      <c r="C1079" s="160">
        <v>4063060</v>
      </c>
      <c r="D1079" s="161" t="s">
        <v>181</v>
      </c>
      <c r="E1079" s="161" t="s">
        <v>3</v>
      </c>
      <c r="F1079" s="189"/>
      <c r="G1079" s="160" t="s">
        <v>106</v>
      </c>
      <c r="H1079" s="162">
        <v>1999</v>
      </c>
      <c r="I1079" s="163"/>
      <c r="J1079" s="159"/>
      <c r="K1079" s="163"/>
      <c r="L1079" s="163"/>
      <c r="M1079" s="60"/>
      <c r="N1079" s="152"/>
      <c r="O1079" s="60"/>
      <c r="P1079" s="59"/>
      <c r="Q1079" s="169"/>
      <c r="R1079" s="169"/>
      <c r="S1079" s="169"/>
      <c r="T1079" s="187"/>
      <c r="U1079" s="169"/>
      <c r="V1079" s="169"/>
      <c r="W1079" s="159">
        <f t="shared" ref="W1079:W1102" si="1964">+CI1078*CZ1079</f>
        <v>0</v>
      </c>
      <c r="X1079" s="163"/>
      <c r="Y1079" s="167">
        <v>1317.6272827273499</v>
      </c>
      <c r="Z1079" s="168">
        <v>9.9710084828256822E-3</v>
      </c>
      <c r="AA1079" s="78"/>
      <c r="AB1079" s="168"/>
      <c r="AC1079" s="168"/>
      <c r="AD1079" s="163">
        <f t="shared" si="1886"/>
        <v>0</v>
      </c>
      <c r="AE1079" s="168"/>
      <c r="AF1079" s="163"/>
      <c r="AG1079" s="114"/>
      <c r="AH1079" s="114"/>
      <c r="AI1079" s="114"/>
      <c r="AJ1079" s="167"/>
      <c r="AK1079" s="168"/>
      <c r="AL1079" s="115"/>
      <c r="AM1079" s="115"/>
      <c r="AN1079" s="115"/>
      <c r="AO1079" s="115"/>
      <c r="AP1079" s="115"/>
      <c r="AQ1079" s="168"/>
      <c r="AR1079" s="79"/>
      <c r="AS1079" s="115"/>
      <c r="AT1079" s="115"/>
      <c r="AU1079" s="115"/>
      <c r="AV1079" s="113">
        <f>IFERROR(INDEX('Total Customers'!$F$7:$AB$91,MATCH($C1079,'Total Customers'!$D$7:$D$91,0),MATCH($G1079,'Total Customers'!$F$5:$AB$5,0)),"NA")</f>
        <v>160630</v>
      </c>
      <c r="AW1079" s="68">
        <f t="shared" si="1875"/>
        <v>2.084070560055163E-2</v>
      </c>
      <c r="AX1079" s="114"/>
      <c r="AY1079" s="114"/>
      <c r="AZ1079" s="116"/>
      <c r="BA1079" s="116"/>
      <c r="BB1079" s="166"/>
      <c r="BC1079" s="166"/>
      <c r="BD1079" s="166"/>
      <c r="BE1079" s="166"/>
      <c r="BF1079" s="166"/>
      <c r="BG1079" s="166"/>
      <c r="BH1079" s="166"/>
      <c r="BI1079" s="113"/>
      <c r="BJ1079" s="113"/>
      <c r="BK1079" s="113"/>
      <c r="BL1079" s="113"/>
      <c r="BM1079" s="231"/>
      <c r="BN1079" s="61">
        <f t="shared" si="1958"/>
        <v>0</v>
      </c>
      <c r="BO1079" s="113"/>
      <c r="BP1079" s="113"/>
      <c r="BQ1079" s="113"/>
      <c r="BR1079" s="113"/>
      <c r="BS1079" s="113"/>
      <c r="BT1079" s="113"/>
      <c r="BU1079" s="113"/>
      <c r="BV1079" s="175"/>
      <c r="BW1079" s="113"/>
      <c r="BX1079" s="113"/>
      <c r="BY1079" s="113"/>
      <c r="BZ1079" s="113"/>
      <c r="CA1079" s="116">
        <v>1999</v>
      </c>
      <c r="CB1079" s="113"/>
      <c r="CC1079" s="113"/>
      <c r="CD1079" s="113"/>
      <c r="CE1079" s="175"/>
      <c r="CF1079" s="238">
        <v>6560</v>
      </c>
      <c r="CG1079" s="113">
        <f t="shared" ref="CG1079:CG1101" si="1965">+CF1079/$DE1079</f>
        <v>19.563110913100139</v>
      </c>
      <c r="CH1079" s="178">
        <v>0.99502487562189057</v>
      </c>
      <c r="CI1079" s="61">
        <f>+CI1078*CH1079+CG1079</f>
        <v>1317.6272827273499</v>
      </c>
      <c r="CJ1079" s="114">
        <f t="shared" ref="CJ1079:CJ1100" si="1966">LN(CI1079/CI1078)</f>
        <v>9.9710084828256822E-3</v>
      </c>
      <c r="CK1079" s="114"/>
      <c r="CL1079" s="169">
        <f t="shared" ref="CL1079:CL1102" si="1967">+(CI1078-CI1079+CG1079)/CI1078</f>
        <v>4.975124378109424E-3</v>
      </c>
      <c r="CM1079" s="169"/>
      <c r="CN1079" s="114">
        <f>VLOOKUP($H1079,RoR!$E:$F,2,FALSE)</f>
        <v>7.0416666666666669E-2</v>
      </c>
      <c r="CO1079" s="169">
        <v>1.4335631817396832E-2</v>
      </c>
      <c r="CP1079" s="169">
        <f>+CN1079-CO1079</f>
        <v>5.6081034849269837E-2</v>
      </c>
      <c r="CQ1079" s="169"/>
      <c r="CR1079" s="169"/>
      <c r="CS1079" s="179">
        <f t="shared" ref="CS1079:CS1102" si="1968">1-CX1079*CY1079</f>
        <v>0.85126000000000002</v>
      </c>
      <c r="CT1079" s="180">
        <f t="shared" ref="CT1079:CT1102" si="1969">2/(DC1079*39)</f>
        <v>0.72826581702321336</v>
      </c>
      <c r="CU1079" s="180">
        <f t="shared" ref="CU1079:CU1102" si="1970">+(DC1079*40-(1+DC1079))/(DC1079*40)</f>
        <v>0.61997041420118348</v>
      </c>
      <c r="CV1079" s="180">
        <f t="shared" ref="CV1079:CV1102" si="1971">+(1-(1/(1+DC1079)^40))</f>
        <v>0.93425155319585029</v>
      </c>
      <c r="CW1079" s="180">
        <f t="shared" ref="CW1079:CW1102" si="1972">+CV1079*CU1079*CT1079</f>
        <v>0.42181762214141483</v>
      </c>
      <c r="CX1079" s="181">
        <f>INDEX('State Tax Lookup'!$D$7:$Z$91,MATCH(Calculation!$C1079,'State Tax Lookup'!$B$7:$B$91,0),MATCH($H1079,'State Tax Lookup'!$D$6:$Z$6,0))</f>
        <v>0.40200000000000002</v>
      </c>
      <c r="CY1079" s="72">
        <v>0.37</v>
      </c>
      <c r="CZ1079" s="70"/>
      <c r="DA1079" s="70"/>
      <c r="DB1079" s="69"/>
      <c r="DC1079" s="111">
        <f>VLOOKUP($H1079,RoR!$E:$F,2,FALSE)</f>
        <v>7.0416666666666669E-2</v>
      </c>
      <c r="DD1079" s="216">
        <f>HLOOKUP($H1079,'GDP-PI'!$D$8:$CQ$11,3,FALSE)</f>
        <v>1.4335631817396832E-2</v>
      </c>
      <c r="DE1079" s="111">
        <f>VLOOKUP(H1079,'HW Dx Data'!$E:$F,2,FALSE)</f>
        <v>335.32499146683239</v>
      </c>
      <c r="DF1079" s="66"/>
      <c r="DG1079" s="69"/>
      <c r="DH1079" s="66">
        <f>HLOOKUP(H1079,'GDP-PI'!$8:$9,2,FALSE)</f>
        <v>76.346000000000004</v>
      </c>
      <c r="DI1079"/>
    </row>
    <row r="1080" spans="1:113" s="160" customFormat="1" ht="21">
      <c r="A1080" s="160" t="s">
        <v>224</v>
      </c>
      <c r="B1080" s="160" t="s">
        <v>225</v>
      </c>
      <c r="C1080" s="160">
        <v>4063060</v>
      </c>
      <c r="D1080" s="161" t="s">
        <v>181</v>
      </c>
      <c r="E1080" s="161" t="s">
        <v>3</v>
      </c>
      <c r="F1080" s="189"/>
      <c r="G1080" s="160" t="s">
        <v>107</v>
      </c>
      <c r="H1080" s="162">
        <v>2000</v>
      </c>
      <c r="I1080" s="163"/>
      <c r="J1080" s="159"/>
      <c r="K1080" s="159"/>
      <c r="L1080" s="159"/>
      <c r="M1080" s="60"/>
      <c r="N1080" s="152"/>
      <c r="O1080" s="60"/>
      <c r="P1080" s="60"/>
      <c r="Q1080" s="159"/>
      <c r="R1080" s="159"/>
      <c r="S1080" s="159"/>
      <c r="T1080" s="159"/>
      <c r="U1080" s="159"/>
      <c r="V1080" s="159"/>
      <c r="W1080" s="159">
        <f t="shared" si="1964"/>
        <v>0</v>
      </c>
      <c r="X1080" s="163"/>
      <c r="Y1080" s="167">
        <v>1329.7732933948048</v>
      </c>
      <c r="Z1080" s="168">
        <v>9.1758655625142176E-3</v>
      </c>
      <c r="AA1080" s="78"/>
      <c r="AB1080" s="168"/>
      <c r="AC1080" s="168"/>
      <c r="AD1080" s="163">
        <f t="shared" si="1886"/>
        <v>0</v>
      </c>
      <c r="AE1080" s="168"/>
      <c r="AF1080" s="163"/>
      <c r="AG1080" s="163"/>
      <c r="AH1080" s="163"/>
      <c r="AI1080" s="163"/>
      <c r="AJ1080" s="167"/>
      <c r="AK1080" s="168"/>
      <c r="AL1080" s="115"/>
      <c r="AM1080" s="115"/>
      <c r="AN1080" s="115"/>
      <c r="AO1080" s="115"/>
      <c r="AP1080" s="115"/>
      <c r="AQ1080" s="168"/>
      <c r="AR1080" s="79"/>
      <c r="AS1080" s="115"/>
      <c r="AT1080" s="115"/>
      <c r="AU1080" s="115"/>
      <c r="AV1080" s="113">
        <f>IFERROR(INDEX('Total Customers'!$F$7:$AB$91,MATCH($C1080,'Total Customers'!$D$7:$D$91,0),MATCH($G1080,'Total Customers'!$F$5:$AB$5,0)),"NA")</f>
        <v>166295</v>
      </c>
      <c r="AW1080" s="68">
        <f t="shared" si="1875"/>
        <v>3.4659736031691438E-2</v>
      </c>
      <c r="AX1080" s="114"/>
      <c r="AY1080" s="114"/>
      <c r="AZ1080" s="116"/>
      <c r="BA1080" s="116"/>
      <c r="BB1080" s="166"/>
      <c r="BC1080" s="166"/>
      <c r="BD1080" s="166"/>
      <c r="BE1080" s="166"/>
      <c r="BF1080" s="166"/>
      <c r="BG1080" s="166"/>
      <c r="BH1080" s="166"/>
      <c r="BI1080" s="113"/>
      <c r="BJ1080" s="113"/>
      <c r="BK1080" s="113">
        <f>INDEX('Dist. Plant Gas Additions'!$F$7:$AE$91,MATCH($C1080,'Dist. Plant Gas Additions'!$D$7:$D$91,0),MATCH(Calculation!$G1080,'Dist. Plant Gas Additions'!$F$5:$AE$5,0))</f>
        <v>6183</v>
      </c>
      <c r="BL1080" s="113">
        <f>INDEX('Gen. Plant Additions'!$F$7:$AE$91,MATCH($C1080,'Gen. Plant Additions'!$D$7:$D$91,0),MATCH(Calculation!$G1080,'Gen. Plant Additions'!$F$5:$AE$5,0))</f>
        <v>377</v>
      </c>
      <c r="BM1080" s="231">
        <f t="shared" ref="BM1080:BM1100" si="1973">+(BW1080/(BW1080+BX1080))</f>
        <v>0.92841113001868603</v>
      </c>
      <c r="BN1080" s="61">
        <f t="shared" si="1958"/>
        <v>350.01099601704465</v>
      </c>
      <c r="BO1080" s="113">
        <f>INDEX('Dist Plant Depreciation'!$E$7:$AD$94,MATCH($C1080,'Dist Plant Depreciation'!$D$7:$D$94,0),MATCH(Calculation!$G1080,'Dist Plant Depreciation'!$E$5:$AD$5,0))</f>
        <v>146272</v>
      </c>
      <c r="BP1080" s="113">
        <f>INDEX('Gen. Plant Depreciation'!$E$7:$AD$94,MATCH($C1080,'Gen. Plant Depreciation'!$D$7:$D$94,0),MATCH(Calculation!$G1080,'Gen. Plant Depreciation'!$E$5:$AD$5,0))</f>
        <v>11305</v>
      </c>
      <c r="BQ1080" s="113"/>
      <c r="BR1080" s="113"/>
      <c r="BS1080" s="113"/>
      <c r="BT1080" s="113"/>
      <c r="BU1080" s="113"/>
      <c r="BV1080" s="175"/>
      <c r="BW1080" s="113">
        <f>INDEX('Gross Dx Plant'!$E$7:$AD$91,MATCH($C1080,'Gross Dx Plant'!$D$7:$D$91,0),MATCH(Calculation!$G1080,'Gross Dx Plant'!$E$5:$AD$5,0))</f>
        <v>400459</v>
      </c>
      <c r="BX1080" s="113">
        <f>INDEX('Gross Gen Plant'!$E$7:$AD$91,MATCH($C1080,'Gross Gen Plant'!$D$7:$D$91,0),MATCH(Calculation!$G1080,'Gross Gen Plant'!$E$5:$AD$5,0))</f>
        <v>30879</v>
      </c>
      <c r="BY1080" s="113">
        <f t="shared" si="1868"/>
        <v>273761</v>
      </c>
      <c r="BZ1080" s="113"/>
      <c r="CA1080" s="116">
        <v>2000</v>
      </c>
      <c r="CB1080" s="113"/>
      <c r="CC1080" s="113"/>
      <c r="CD1080" s="113"/>
      <c r="CE1080" s="175"/>
      <c r="CF1080" s="113">
        <f t="shared" ref="CF1080:CF1101" si="1974">+BL1080+BK1080</f>
        <v>6560</v>
      </c>
      <c r="CG1080" s="113">
        <f t="shared" si="1965"/>
        <v>18.930336826210375</v>
      </c>
      <c r="CH1080" s="178">
        <v>0.98989898989898994</v>
      </c>
      <c r="CI1080" s="61">
        <f>+CI1078*CH1080+CG1079*CH1079+CG1080</f>
        <v>1329.7732933948048</v>
      </c>
      <c r="CJ1080" s="114">
        <f t="shared" si="1966"/>
        <v>9.1758655625142176E-3</v>
      </c>
      <c r="CK1080" s="114"/>
      <c r="CL1080" s="169">
        <f t="shared" si="1967"/>
        <v>5.148896237722576E-3</v>
      </c>
      <c r="CM1080" s="169"/>
      <c r="CN1080" s="114">
        <f>VLOOKUP($H1080,RoR!$E:$F,2,FALSE)</f>
        <v>7.6225000000000001E-2</v>
      </c>
      <c r="CO1080" s="169">
        <v>2.2568307442433211E-2</v>
      </c>
      <c r="CP1080" s="169">
        <f t="shared" ref="CP1080:CP1100" si="1975">+CN1080-CO1080</f>
        <v>5.365669255756679E-2</v>
      </c>
      <c r="CQ1080" s="169"/>
      <c r="CR1080" s="169"/>
      <c r="CS1080" s="179">
        <f t="shared" si="1968"/>
        <v>0.85126000000000002</v>
      </c>
      <c r="CT1080" s="180">
        <f t="shared" si="1969"/>
        <v>0.67277207323124022</v>
      </c>
      <c r="CU1080" s="180">
        <f t="shared" si="1970"/>
        <v>0.6470236142997704</v>
      </c>
      <c r="CV1080" s="180">
        <f t="shared" si="1971"/>
        <v>0.94704866037543145</v>
      </c>
      <c r="CW1080" s="180">
        <f t="shared" si="1972"/>
        <v>0.41224973107878493</v>
      </c>
      <c r="CX1080" s="181">
        <f>INDEX('State Tax Lookup'!$D$7:$Z$91,MATCH(Calculation!$C1080,'State Tax Lookup'!$B$7:$B$91,0),MATCH($H1080,'State Tax Lookup'!$D$6:$Z$6,0))</f>
        <v>0.40200000000000002</v>
      </c>
      <c r="CY1080" s="72">
        <v>0.37</v>
      </c>
      <c r="CZ1080" s="70"/>
      <c r="DA1080" s="70"/>
      <c r="DB1080" s="69"/>
      <c r="DC1080" s="111">
        <f>VLOOKUP($H1080,RoR!$E:$F,2,FALSE)</f>
        <v>7.6225000000000001E-2</v>
      </c>
      <c r="DD1080" s="216">
        <f>HLOOKUP($H1080,'GDP-PI'!$D$8:$CQ$11,3,FALSE)</f>
        <v>2.2568307442433211E-2</v>
      </c>
      <c r="DE1080" s="111">
        <f>VLOOKUP(H1080,'HW Dx Data'!$E:$F,2,FALSE)</f>
        <v>346.53371782150339</v>
      </c>
      <c r="DF1080" s="66"/>
      <c r="DG1080" s="69"/>
      <c r="DH1080" s="66">
        <f>HLOOKUP(H1080,'GDP-PI'!$8:$9,2,FALSE)</f>
        <v>78.069000000000003</v>
      </c>
      <c r="DI1080"/>
    </row>
    <row r="1081" spans="1:113" s="160" customFormat="1" ht="21">
      <c r="A1081" s="160" t="s">
        <v>224</v>
      </c>
      <c r="B1081" s="160" t="s">
        <v>225</v>
      </c>
      <c r="C1081" s="160">
        <v>4063060</v>
      </c>
      <c r="D1081" s="161" t="s">
        <v>181</v>
      </c>
      <c r="E1081" s="161" t="s">
        <v>3</v>
      </c>
      <c r="F1081" s="189"/>
      <c r="G1081" s="160" t="s">
        <v>111</v>
      </c>
      <c r="H1081" s="162">
        <v>2001</v>
      </c>
      <c r="I1081" s="163"/>
      <c r="J1081" s="159"/>
      <c r="K1081" s="159"/>
      <c r="L1081" s="159"/>
      <c r="M1081" s="60"/>
      <c r="N1081" s="152"/>
      <c r="O1081" s="60"/>
      <c r="P1081" s="60"/>
      <c r="Q1081" s="159"/>
      <c r="R1081" s="159"/>
      <c r="S1081" s="159"/>
      <c r="T1081" s="159"/>
      <c r="U1081" s="159"/>
      <c r="V1081" s="159"/>
      <c r="W1081" s="159">
        <f t="shared" si="1964"/>
        <v>17199.177004954516</v>
      </c>
      <c r="X1081" s="163"/>
      <c r="Y1081" s="167">
        <v>1417.3063573144834</v>
      </c>
      <c r="Z1081" s="168">
        <v>6.374966708124187E-2</v>
      </c>
      <c r="AA1081" s="78"/>
      <c r="AB1081" s="168"/>
      <c r="AC1081" s="168"/>
      <c r="AD1081" s="163">
        <f t="shared" si="1886"/>
        <v>17199.177004954516</v>
      </c>
      <c r="AE1081" s="168"/>
      <c r="AF1081" s="163"/>
      <c r="AG1081" s="163"/>
      <c r="AH1081" s="163"/>
      <c r="AI1081" s="163"/>
      <c r="AJ1081" s="167"/>
      <c r="AK1081" s="168"/>
      <c r="AL1081" s="115"/>
      <c r="AM1081" s="115"/>
      <c r="AN1081" s="115"/>
      <c r="AO1081" s="115"/>
      <c r="AP1081" s="115"/>
      <c r="AQ1081" s="168"/>
      <c r="AR1081" s="79"/>
      <c r="AS1081" s="115"/>
      <c r="AT1081" s="115"/>
      <c r="AU1081" s="115"/>
      <c r="AV1081" s="113">
        <f>IFERROR(INDEX('Total Customers'!$F$7:$AB$91,MATCH($C1081,'Total Customers'!$D$7:$D$91,0),MATCH($G1081,'Total Customers'!$F$5:$AB$5,0)),"NA")</f>
        <v>166886</v>
      </c>
      <c r="AW1081" s="68">
        <f t="shared" si="1875"/>
        <v>3.5476249836743738E-3</v>
      </c>
      <c r="AX1081" s="114"/>
      <c r="AY1081" s="114"/>
      <c r="AZ1081" s="116"/>
      <c r="BA1081" s="116"/>
      <c r="BB1081" s="166"/>
      <c r="BC1081" s="166"/>
      <c r="BD1081" s="166"/>
      <c r="BE1081" s="166"/>
      <c r="BF1081" s="166"/>
      <c r="BG1081" s="166"/>
      <c r="BH1081" s="166"/>
      <c r="BI1081" s="113"/>
      <c r="BJ1081" s="113"/>
      <c r="BK1081" s="113">
        <f>INDEX('Dist. Plant Gas Additions'!$F$7:$AE$91,MATCH($C1081,'Dist. Plant Gas Additions'!$D$7:$D$91,0),MATCH(Calculation!$G1081,'Dist. Plant Gas Additions'!$F$5:$AE$5,0))</f>
        <v>24279</v>
      </c>
      <c r="BL1081" s="113">
        <f>INDEX('Gen. Plant Additions'!$F$7:$AE$91,MATCH($C1081,'Gen. Plant Additions'!$D$7:$D$91,0),MATCH(Calculation!$G1081,'Gen. Plant Additions'!$F$5:$AE$5,0))</f>
        <v>9131</v>
      </c>
      <c r="BM1081" s="231">
        <f t="shared" si="1973"/>
        <v>0.92167241856682847</v>
      </c>
      <c r="BN1081" s="61">
        <f>+BM1081*BL1081</f>
        <v>8415.7908539337113</v>
      </c>
      <c r="BO1081" s="113">
        <f>INDEX('Dist Plant Depreciation'!$E$7:$AD$94,MATCH($C1081,'Dist Plant Depreciation'!$D$7:$D$94,0),MATCH(Calculation!$G1081,'Dist Plant Depreciation'!$E$5:$AD$5,0))</f>
        <v>155339</v>
      </c>
      <c r="BP1081" s="113">
        <f>INDEX('Gen. Plant Depreciation'!$E$7:$AD$94,MATCH($C1081,'Gen. Plant Depreciation'!$D$7:$D$94,0),MATCH(Calculation!$G1081,'Gen. Plant Depreciation'!$E$5:$AD$5,0))</f>
        <v>10655</v>
      </c>
      <c r="BQ1081" s="113"/>
      <c r="BR1081" s="113"/>
      <c r="BS1081" s="113"/>
      <c r="BT1081" s="113"/>
      <c r="BU1081" s="113"/>
      <c r="BV1081" s="175"/>
      <c r="BW1081" s="113">
        <f>INDEX('Gross Dx Plant'!$E$7:$AD$91,MATCH($C1081,'Gross Dx Plant'!$D$7:$D$91,0),MATCH(Calculation!$G1081,'Gross Dx Plant'!$E$5:$AD$5,0))</f>
        <v>422761</v>
      </c>
      <c r="BX1081" s="113">
        <f>INDEX('Gross Gen Plant'!$E$7:$AD$91,MATCH($C1081,'Gross Gen Plant'!$D$7:$D$91,0),MATCH(Calculation!$G1081,'Gross Gen Plant'!$E$5:$AD$5,0))</f>
        <v>35928</v>
      </c>
      <c r="BY1081" s="113">
        <f t="shared" si="1868"/>
        <v>292695</v>
      </c>
      <c r="BZ1081" s="113"/>
      <c r="CA1081" s="116">
        <v>2001</v>
      </c>
      <c r="CB1081" s="113"/>
      <c r="CC1081" s="113"/>
      <c r="CD1081" s="113"/>
      <c r="CE1081" s="175"/>
      <c r="CF1081" s="113">
        <f t="shared" si="1974"/>
        <v>33410</v>
      </c>
      <c r="CG1081" s="113">
        <f t="shared" si="1965"/>
        <v>94.526093200843277</v>
      </c>
      <c r="CH1081" s="178">
        <v>0.98461538461538467</v>
      </c>
      <c r="CI1081" s="61">
        <f>+CI1078*CH1081+CG1079*CH1080+CG1080*CH1078+CG1081</f>
        <v>1417.3063573144834</v>
      </c>
      <c r="CJ1081" s="114">
        <f t="shared" si="1966"/>
        <v>6.374966708124187E-2</v>
      </c>
      <c r="CK1081" s="114"/>
      <c r="CL1081" s="169">
        <f t="shared" si="1967"/>
        <v>5.2588131495046112E-3</v>
      </c>
      <c r="CM1081" s="169">
        <f>+(CL1081+CL1080+CL1079)/3</f>
        <v>5.1276112551122037E-3</v>
      </c>
      <c r="CN1081" s="114">
        <f>VLOOKUP($H1081,RoR!$E:$F,2,FALSE)</f>
        <v>7.0824999999999999E-2</v>
      </c>
      <c r="CO1081" s="169">
        <v>2.2454495382290052E-2</v>
      </c>
      <c r="CP1081" s="169">
        <f t="shared" si="1975"/>
        <v>4.8370504617709947E-2</v>
      </c>
      <c r="CQ1081" s="169">
        <f>+$CP$2-CM1081</f>
        <v>2.5774330353421422E-2</v>
      </c>
      <c r="CR1081" s="169">
        <f>+((DE1079/DE1078-1)+(DE1080/DE1079-1)+(DE1081/DE1080-1))/3</f>
        <v>2.3947275901631187E-2</v>
      </c>
      <c r="CS1081" s="179">
        <f t="shared" si="1968"/>
        <v>0.85126000000000002</v>
      </c>
      <c r="CT1081" s="180">
        <f t="shared" si="1969"/>
        <v>0.72406708481540816</v>
      </c>
      <c r="CU1081" s="180">
        <f t="shared" si="1970"/>
        <v>0.62201729615248857</v>
      </c>
      <c r="CV1081" s="180">
        <f t="shared" si="1971"/>
        <v>0.9352469954311422</v>
      </c>
      <c r="CW1081" s="180">
        <f t="shared" si="1972"/>
        <v>0.42121864641655071</v>
      </c>
      <c r="CX1081" s="181">
        <f>INDEX('State Tax Lookup'!$D$7:$Z$91,MATCH(Calculation!$C1081,'State Tax Lookup'!$B$7:$B$91,0),MATCH($H1081,'State Tax Lookup'!$D$6:$Z$6,0))</f>
        <v>0.40200000000000002</v>
      </c>
      <c r="CY1081" s="72">
        <v>0.37</v>
      </c>
      <c r="CZ1081" s="70">
        <f t="shared" ref="CZ1081:CZ1102" si="1976">+(DE1081*CQ1081-CR1081)*CS1081/(1-CX1081)</f>
        <v>12.933916698722678</v>
      </c>
      <c r="DA1081" s="70"/>
      <c r="DB1081" s="69"/>
      <c r="DC1081" s="111">
        <f>VLOOKUP($H1081,RoR!$E:$F,2,FALSE)</f>
        <v>7.0824999999999999E-2</v>
      </c>
      <c r="DD1081" s="216">
        <f>HLOOKUP($H1081,'GDP-PI'!$D$8:$CQ$11,3,FALSE)</f>
        <v>2.2454495382290052E-2</v>
      </c>
      <c r="DE1081" s="111">
        <f>VLOOKUP(H1081,'HW Dx Data'!$E:$F,2,FALSE)</f>
        <v>353.44738017483138</v>
      </c>
      <c r="DF1081" s="66"/>
      <c r="DG1081" s="69"/>
      <c r="DH1081" s="66">
        <f>HLOOKUP(H1081,'GDP-PI'!$8:$9,2,FALSE)</f>
        <v>79.822000000000003</v>
      </c>
      <c r="DI1081"/>
    </row>
    <row r="1082" spans="1:113" s="160" customFormat="1" ht="21">
      <c r="A1082" s="160" t="s">
        <v>224</v>
      </c>
      <c r="B1082" s="160" t="s">
        <v>225</v>
      </c>
      <c r="C1082" s="160">
        <v>4063060</v>
      </c>
      <c r="D1082" s="161" t="s">
        <v>181</v>
      </c>
      <c r="E1082" s="161" t="s">
        <v>3</v>
      </c>
      <c r="F1082" s="189"/>
      <c r="G1082" s="160" t="s">
        <v>113</v>
      </c>
      <c r="H1082" s="162">
        <v>2002</v>
      </c>
      <c r="I1082" s="163"/>
      <c r="J1082" s="159"/>
      <c r="K1082" s="159"/>
      <c r="L1082" s="159"/>
      <c r="M1082" s="60"/>
      <c r="N1082" s="152"/>
      <c r="O1082" s="60"/>
      <c r="P1082" s="60"/>
      <c r="Q1082" s="159"/>
      <c r="R1082" s="159"/>
      <c r="S1082" s="159"/>
      <c r="T1082" s="159"/>
      <c r="U1082" s="159"/>
      <c r="V1082" s="159"/>
      <c r="W1082" s="159">
        <f t="shared" si="1964"/>
        <v>18598.66095859525</v>
      </c>
      <c r="X1082" s="163"/>
      <c r="Y1082" s="167">
        <v>1478.7626069036603</v>
      </c>
      <c r="Z1082" s="168">
        <v>4.2447522961274735E-2</v>
      </c>
      <c r="AA1082" s="78"/>
      <c r="AB1082" s="168"/>
      <c r="AC1082" s="168"/>
      <c r="AD1082" s="163">
        <f t="shared" si="1886"/>
        <v>18598.66095859525</v>
      </c>
      <c r="AE1082" s="168"/>
      <c r="AF1082" s="163"/>
      <c r="AG1082" s="163"/>
      <c r="AH1082" s="163"/>
      <c r="AI1082" s="163"/>
      <c r="AJ1082" s="167"/>
      <c r="AK1082" s="168"/>
      <c r="AL1082" s="115"/>
      <c r="AM1082" s="115"/>
      <c r="AN1082" s="115"/>
      <c r="AO1082" s="115"/>
      <c r="AP1082" s="115"/>
      <c r="AQ1082" s="168"/>
      <c r="AR1082" s="79"/>
      <c r="AS1082" s="115"/>
      <c r="AT1082" s="115"/>
      <c r="AU1082" s="115"/>
      <c r="AV1082" s="113">
        <f>IFERROR(INDEX('Total Customers'!$F$7:$AB$91,MATCH($C1082,'Total Customers'!$D$7:$D$91,0),MATCH($G1082,'Total Customers'!$F$5:$AB$5,0)),"NA")</f>
        <v>169319</v>
      </c>
      <c r="AW1082" s="68">
        <f t="shared" si="1875"/>
        <v>1.4473565073393615E-2</v>
      </c>
      <c r="AX1082" s="114"/>
      <c r="AY1082" s="114"/>
      <c r="AZ1082" s="116"/>
      <c r="BA1082" s="116"/>
      <c r="BB1082" s="166"/>
      <c r="BC1082" s="166"/>
      <c r="BD1082" s="166"/>
      <c r="BE1082" s="166"/>
      <c r="BF1082" s="166"/>
      <c r="BG1082" s="166"/>
      <c r="BH1082" s="166"/>
      <c r="BI1082" s="113"/>
      <c r="BJ1082" s="113"/>
      <c r="BK1082" s="113">
        <f>INDEX('Dist. Plant Gas Additions'!$F$7:$AE$91,MATCH($C1082,'Dist. Plant Gas Additions'!$D$7:$D$91,0),MATCH(Calculation!$G1082,'Dist. Plant Gas Additions'!$F$5:$AE$5,0))</f>
        <v>21583</v>
      </c>
      <c r="BL1082" s="113">
        <f>INDEX('Gen. Plant Additions'!$F$7:$AE$91,MATCH($C1082,'Gen. Plant Additions'!$D$7:$D$91,0),MATCH(Calculation!$G1082,'Gen. Plant Additions'!$F$5:$AE$5,0))</f>
        <v>3469</v>
      </c>
      <c r="BM1082" s="231">
        <f t="shared" si="1973"/>
        <v>0.91903040763067279</v>
      </c>
      <c r="BN1082" s="61">
        <f t="shared" ref="BN1082:BN1098" si="1977">+BM1082*BL1082</f>
        <v>3188.1164840708038</v>
      </c>
      <c r="BO1082" s="113">
        <f>INDEX('Dist Plant Depreciation'!$E$7:$AD$94,MATCH($C1082,'Dist Plant Depreciation'!$D$7:$D$94,0),MATCH(Calculation!$G1082,'Dist Plant Depreciation'!$E$5:$AD$5,0))</f>
        <v>164620</v>
      </c>
      <c r="BP1082" s="113">
        <f>INDEX('Gen. Plant Depreciation'!$E$7:$AD$94,MATCH($C1082,'Gen. Plant Depreciation'!$D$7:$D$94,0),MATCH(Calculation!$G1082,'Gen. Plant Depreciation'!$E$5:$AD$5,0))</f>
        <v>14310</v>
      </c>
      <c r="BQ1082" s="113"/>
      <c r="BR1082" s="113"/>
      <c r="BS1082" s="113"/>
      <c r="BT1082" s="113"/>
      <c r="BU1082" s="113"/>
      <c r="BV1082" s="175"/>
      <c r="BW1082" s="113">
        <f>INDEX('Gross Dx Plant'!$E$7:$AD$91,MATCH($C1082,'Gross Dx Plant'!$D$7:$D$91,0),MATCH(Calculation!$G1082,'Gross Dx Plant'!$E$5:$AD$5,0))</f>
        <v>440903</v>
      </c>
      <c r="BX1082" s="113">
        <f>INDEX('Gross Gen Plant'!$E$7:$AD$91,MATCH($C1082,'Gross Gen Plant'!$D$7:$D$91,0),MATCH(Calculation!$G1082,'Gross Gen Plant'!$E$5:$AD$5,0))</f>
        <v>38845</v>
      </c>
      <c r="BY1082" s="113">
        <f t="shared" si="1868"/>
        <v>300818</v>
      </c>
      <c r="BZ1082" s="113"/>
      <c r="CA1082" s="116">
        <v>2002</v>
      </c>
      <c r="CB1082" s="113"/>
      <c r="CC1082" s="113"/>
      <c r="CD1082" s="113"/>
      <c r="CE1082" s="175"/>
      <c r="CF1082" s="113">
        <f t="shared" si="1974"/>
        <v>25052</v>
      </c>
      <c r="CG1082" s="113">
        <f t="shared" si="1965"/>
        <v>69.32925741881904</v>
      </c>
      <c r="CH1082" s="178">
        <v>0.97916666666666663</v>
      </c>
      <c r="CI1082" s="61">
        <f>+CI1078*CH1082+CG1079*CH1081+CG1080*CH1080+CG1081*CH1079+CG1082</f>
        <v>1478.7626069036603</v>
      </c>
      <c r="CJ1082" s="114">
        <f t="shared" si="1966"/>
        <v>4.2447522961274735E-2</v>
      </c>
      <c r="CK1082" s="114"/>
      <c r="CL1082" s="169">
        <f t="shared" si="1967"/>
        <v>5.5549089926894583E-3</v>
      </c>
      <c r="CM1082" s="169">
        <f t="shared" ref="CM1082:CM1102" si="1978">+(CL1082+CL1081+CL1080)/3</f>
        <v>5.3208727933055479E-3</v>
      </c>
      <c r="CN1082" s="114">
        <f>VLOOKUP($H1082,RoR!$E:$F,2,FALSE)</f>
        <v>6.4916666666666664E-2</v>
      </c>
      <c r="CO1082" s="169">
        <v>1.5246423291824351E-2</v>
      </c>
      <c r="CP1082" s="169">
        <f t="shared" si="1975"/>
        <v>4.9670243374842313E-2</v>
      </c>
      <c r="CQ1082" s="169">
        <f t="shared" ref="CQ1082:CQ1102" si="1979">+$CP$2-CM1082</f>
        <v>2.5581068815228078E-2</v>
      </c>
      <c r="CR1082" s="169">
        <f t="shared" ref="CR1082:CR1102" si="1980">+((DE1080/DE1079-1)+(DE1081/DE1080-1)+(DE1082/DE1081-1))/3</f>
        <v>2.5243621214759093E-2</v>
      </c>
      <c r="CS1082" s="179">
        <f t="shared" si="1968"/>
        <v>0.85126000000000002</v>
      </c>
      <c r="CT1082" s="180">
        <f t="shared" si="1969"/>
        <v>0.78996741384417901</v>
      </c>
      <c r="CU1082" s="180">
        <f t="shared" si="1970"/>
        <v>0.58989088575096271</v>
      </c>
      <c r="CV1082" s="180">
        <f t="shared" si="1971"/>
        <v>0.91920675783645744</v>
      </c>
      <c r="CW1082" s="180">
        <f t="shared" si="1972"/>
        <v>0.42834536472275586</v>
      </c>
      <c r="CX1082" s="181">
        <f>INDEX('State Tax Lookup'!$D$7:$Z$91,MATCH(Calculation!$C1082,'State Tax Lookup'!$B$7:$B$91,0),MATCH($H1082,'State Tax Lookup'!$D$6:$Z$6,0))</f>
        <v>0.40200000000000002</v>
      </c>
      <c r="CY1082" s="72">
        <v>0.37</v>
      </c>
      <c r="CZ1082" s="70">
        <f t="shared" si="1976"/>
        <v>13.122541123597337</v>
      </c>
      <c r="DA1082" s="70"/>
      <c r="DB1082" s="69">
        <f>LN(CZ1082/CZ1081)</f>
        <v>1.447838544755648E-2</v>
      </c>
      <c r="DC1082" s="111">
        <f>VLOOKUP($H1082,RoR!$E:$F,2,FALSE)</f>
        <v>6.4916666666666664E-2</v>
      </c>
      <c r="DD1082" s="216">
        <f>HLOOKUP($H1082,'GDP-PI'!$D$8:$CQ$11,3,FALSE)</f>
        <v>1.5246423291824351E-2</v>
      </c>
      <c r="DE1082" s="111">
        <f>VLOOKUP(H1082,'HW Dx Data'!$E:$F,2,FALSE)</f>
        <v>361.34816573413599</v>
      </c>
      <c r="DF1082" s="66"/>
      <c r="DG1082" s="69"/>
      <c r="DH1082" s="66">
        <f>HLOOKUP(H1082,'GDP-PI'!$8:$9,2,FALSE)</f>
        <v>81.039000000000001</v>
      </c>
      <c r="DI1082" s="69">
        <f>LN(DH1082/DH1081)</f>
        <v>1.513136459537477E-2</v>
      </c>
    </row>
    <row r="1083" spans="1:113" s="160" customFormat="1" ht="21">
      <c r="A1083" s="160" t="s">
        <v>224</v>
      </c>
      <c r="B1083" s="160" t="s">
        <v>225</v>
      </c>
      <c r="C1083" s="160">
        <v>4063060</v>
      </c>
      <c r="D1083" s="161" t="s">
        <v>181</v>
      </c>
      <c r="E1083" s="161" t="s">
        <v>3</v>
      </c>
      <c r="F1083" s="189"/>
      <c r="G1083" s="160" t="s">
        <v>114</v>
      </c>
      <c r="H1083" s="162">
        <v>2003</v>
      </c>
      <c r="I1083" s="163"/>
      <c r="J1083" s="159"/>
      <c r="K1083" s="159"/>
      <c r="L1083" s="159"/>
      <c r="M1083" s="76"/>
      <c r="N1083" s="152"/>
      <c r="O1083" s="76"/>
      <c r="P1083" s="76"/>
      <c r="Q1083" s="159"/>
      <c r="R1083" s="159"/>
      <c r="S1083" s="159"/>
      <c r="T1083" s="159"/>
      <c r="U1083" s="159"/>
      <c r="V1083" s="159"/>
      <c r="W1083" s="159">
        <f t="shared" si="1964"/>
        <v>19705.426924626096</v>
      </c>
      <c r="X1083" s="163"/>
      <c r="Y1083" s="167">
        <v>1530.0542487285893</v>
      </c>
      <c r="Z1083" s="168">
        <v>3.4097529808366923E-2</v>
      </c>
      <c r="AA1083" s="78"/>
      <c r="AB1083" s="168"/>
      <c r="AC1083" s="168"/>
      <c r="AD1083" s="163">
        <f t="shared" si="1886"/>
        <v>19705.426924626096</v>
      </c>
      <c r="AE1083" s="168"/>
      <c r="AF1083" s="163"/>
      <c r="AG1083" s="163"/>
      <c r="AH1083" s="163"/>
      <c r="AI1083" s="163"/>
      <c r="AJ1083" s="167"/>
      <c r="AK1083" s="168"/>
      <c r="AL1083" s="115"/>
      <c r="AM1083" s="115"/>
      <c r="AN1083" s="115"/>
      <c r="AO1083" s="115"/>
      <c r="AP1083" s="115"/>
      <c r="AQ1083" s="168"/>
      <c r="AR1083" s="79"/>
      <c r="AS1083" s="115"/>
      <c r="AT1083" s="115"/>
      <c r="AU1083" s="115"/>
      <c r="AV1083" s="113">
        <f>IFERROR(INDEX('Total Customers'!$F$7:$AB$91,MATCH($C1083,'Total Customers'!$D$7:$D$91,0),MATCH($G1083,'Total Customers'!$F$5:$AB$5,0)),"NA")</f>
        <v>170057</v>
      </c>
      <c r="AW1083" s="68">
        <f t="shared" si="1875"/>
        <v>4.3491653109638713E-3</v>
      </c>
      <c r="AX1083" s="114"/>
      <c r="AY1083" s="114"/>
      <c r="AZ1083" s="116"/>
      <c r="BA1083" s="116"/>
      <c r="BB1083" s="166"/>
      <c r="BC1083" s="166"/>
      <c r="BD1083" s="166"/>
      <c r="BE1083" s="166"/>
      <c r="BF1083" s="166"/>
      <c r="BG1083" s="166"/>
      <c r="BH1083" s="166"/>
      <c r="BI1083" s="113"/>
      <c r="BJ1083" s="113"/>
      <c r="BK1083" s="113">
        <f>INDEX('Dist. Plant Gas Additions'!$F$7:$AE$91,MATCH($C1083,'Dist. Plant Gas Additions'!$D$7:$D$91,0),MATCH(Calculation!$G1083,'Dist. Plant Gas Additions'!$F$5:$AE$5,0))</f>
        <v>21551</v>
      </c>
      <c r="BL1083" s="113">
        <f>INDEX('Gen. Plant Additions'!$F$7:$AE$91,MATCH($C1083,'Gen. Plant Additions'!$D$7:$D$91,0),MATCH(Calculation!$G1083,'Gen. Plant Additions'!$F$5:$AE$5,0))</f>
        <v>478</v>
      </c>
      <c r="BM1083" s="231">
        <f t="shared" si="1973"/>
        <v>0.92190110910735812</v>
      </c>
      <c r="BN1083" s="61">
        <f t="shared" si="1977"/>
        <v>440.6687301533172</v>
      </c>
      <c r="BO1083" s="113">
        <f>INDEX('Dist Plant Depreciation'!$E$7:$AD$94,MATCH($C1083,'Dist Plant Depreciation'!$D$7:$D$94,0),MATCH(Calculation!$G1083,'Dist Plant Depreciation'!$E$5:$AD$5,0))</f>
        <v>174494</v>
      </c>
      <c r="BP1083" s="113">
        <f>INDEX('Gen. Plant Depreciation'!$E$7:$AD$94,MATCH($C1083,'Gen. Plant Depreciation'!$D$7:$D$94,0),MATCH(Calculation!$G1083,'Gen. Plant Depreciation'!$E$5:$AD$5,0))</f>
        <v>18049</v>
      </c>
      <c r="BQ1083" s="113"/>
      <c r="BR1083" s="113"/>
      <c r="BS1083" s="113"/>
      <c r="BT1083" s="113"/>
      <c r="BU1083" s="113"/>
      <c r="BV1083" s="175"/>
      <c r="BW1083" s="113">
        <f>INDEX('Gross Dx Plant'!$E$7:$AD$91,MATCH($C1083,'Gross Dx Plant'!$D$7:$D$91,0),MATCH(Calculation!$G1083,'Gross Dx Plant'!$E$5:$AD$5,0))</f>
        <v>459576</v>
      </c>
      <c r="BX1083" s="113">
        <f>INDEX('Gross Gen Plant'!$E$7:$AD$91,MATCH($C1083,'Gross Gen Plant'!$D$7:$D$91,0),MATCH(Calculation!$G1083,'Gross Gen Plant'!$E$5:$AD$5,0))</f>
        <v>38933</v>
      </c>
      <c r="BY1083" s="113">
        <f t="shared" si="1868"/>
        <v>305966</v>
      </c>
      <c r="BZ1083" s="113"/>
      <c r="CA1083" s="116">
        <v>2003</v>
      </c>
      <c r="CB1083" s="113"/>
      <c r="CC1083" s="113"/>
      <c r="CD1083" s="113"/>
      <c r="CE1083" s="175"/>
      <c r="CF1083" s="113">
        <f t="shared" si="1974"/>
        <v>22029</v>
      </c>
      <c r="CG1083" s="113">
        <f t="shared" si="1965"/>
        <v>59.661512774785074</v>
      </c>
      <c r="CH1083" s="178">
        <v>0.97354497354497349</v>
      </c>
      <c r="CI1083" s="61">
        <f>+CI1078*CH1083+CG1079*CH1082+CG1080*CH1081+CG1081*CH1080+CG1082*CH1079+CG1083</f>
        <v>1530.0542487285893</v>
      </c>
      <c r="CJ1083" s="114">
        <f t="shared" si="1966"/>
        <v>3.4097529808366923E-2</v>
      </c>
      <c r="CK1083" s="114"/>
      <c r="CL1083" s="169">
        <f t="shared" si="1967"/>
        <v>5.6600504440543781E-3</v>
      </c>
      <c r="CM1083" s="169">
        <f t="shared" si="1978"/>
        <v>5.491257528749482E-3</v>
      </c>
      <c r="CN1083" s="114">
        <f>VLOOKUP($H1083,RoR!$E:$F,2,FALSE)</f>
        <v>5.6666666666666671E-2</v>
      </c>
      <c r="CO1083" s="169">
        <v>1.8855119140166909E-2</v>
      </c>
      <c r="CP1083" s="169">
        <f t="shared" si="1975"/>
        <v>3.7811547526499761E-2</v>
      </c>
      <c r="CQ1083" s="169">
        <f t="shared" si="1979"/>
        <v>2.5410684079784144E-2</v>
      </c>
      <c r="CR1083" s="169">
        <f t="shared" si="1980"/>
        <v>2.1375012817671957E-2</v>
      </c>
      <c r="CS1083" s="179">
        <f t="shared" si="1968"/>
        <v>0.85126000000000002</v>
      </c>
      <c r="CT1083" s="180">
        <f t="shared" si="1969"/>
        <v>0.90497737556561086</v>
      </c>
      <c r="CU1083" s="180">
        <f t="shared" si="1970"/>
        <v>0.5338235294117647</v>
      </c>
      <c r="CV1083" s="180">
        <f t="shared" si="1971"/>
        <v>0.88972433127405692</v>
      </c>
      <c r="CW1083" s="180">
        <f t="shared" si="1972"/>
        <v>0.42982423775949252</v>
      </c>
      <c r="CX1083" s="181">
        <f>INDEX('State Tax Lookup'!$D$7:$Z$91,MATCH(Calculation!$C1083,'State Tax Lookup'!$B$7:$B$91,0),MATCH($H1083,'State Tax Lookup'!$D$6:$Z$6,0))</f>
        <v>0.40200000000000002</v>
      </c>
      <c r="CY1083" s="72">
        <v>0.37</v>
      </c>
      <c r="CZ1083" s="70">
        <f t="shared" si="1976"/>
        <v>13.32561888746074</v>
      </c>
      <c r="DA1083" s="70"/>
      <c r="DB1083" s="69">
        <f t="shared" ref="DB1083:DB1100" si="1981">LN(CZ1083/CZ1082)</f>
        <v>1.5356966598603368E-2</v>
      </c>
      <c r="DC1083" s="111">
        <f>VLOOKUP($H1083,RoR!$E:$F,2,FALSE)</f>
        <v>5.6666666666666671E-2</v>
      </c>
      <c r="DD1083" s="216">
        <f>HLOOKUP($H1083,'GDP-PI'!$D$8:$CQ$11,3,FALSE)</f>
        <v>1.8855119140166909E-2</v>
      </c>
      <c r="DE1083" s="111">
        <f>VLOOKUP(H1083,'HW Dx Data'!$E:$F,2,FALSE)</f>
        <v>369.23301095560191</v>
      </c>
      <c r="DF1083" s="66"/>
      <c r="DG1083" s="69"/>
      <c r="DH1083" s="66">
        <f>HLOOKUP(H1083,'GDP-PI'!$8:$9,2,FALSE)</f>
        <v>82.566999999999993</v>
      </c>
      <c r="DI1083" s="69">
        <f t="shared" ref="DI1083:DI1102" si="1982">LN(DH1083/DH1082)</f>
        <v>1.8679564681853753E-2</v>
      </c>
    </row>
    <row r="1084" spans="1:113" s="160" customFormat="1" ht="21">
      <c r="A1084" s="160" t="s">
        <v>224</v>
      </c>
      <c r="B1084" s="160" t="s">
        <v>225</v>
      </c>
      <c r="C1084" s="160">
        <v>4063060</v>
      </c>
      <c r="D1084" s="161" t="s">
        <v>181</v>
      </c>
      <c r="E1084" s="161" t="s">
        <v>3</v>
      </c>
      <c r="F1084" s="189"/>
      <c r="G1084" s="160" t="s">
        <v>115</v>
      </c>
      <c r="H1084" s="162">
        <v>2004</v>
      </c>
      <c r="I1084" s="163"/>
      <c r="J1084" s="159">
        <f>IFERROR(INDEX('Labor Expenditures'!$F$7:$X$91,MATCH($C1084,'Labor Expenditures'!$D$7:$D$91,0),MATCH($G1084,'Labor Expenditures'!$F$5:$X$5,0)),"NA")</f>
        <v>16337.957017161254</v>
      </c>
      <c r="K1084" s="159">
        <f t="shared" ref="K1084:K1102" si="1983">+J1084/DF1084</f>
        <v>173.16329641930318</v>
      </c>
      <c r="L1084" s="165"/>
      <c r="M1084" s="76"/>
      <c r="N1084" s="152"/>
      <c r="O1084" s="76"/>
      <c r="P1084" s="76"/>
      <c r="Q1084" s="159">
        <f>IFERROR(INDEX('Non-Labor Expenditures'!$F$7:$AB$91,MATCH($C1084,'Non-Labor Expenditures'!$D$7:$D$91,0),MATCH($G1084,'Non-Labor Expenditures'!$F$5:$AB$5,0)),"NA")</f>
        <v>23660.413270296627</v>
      </c>
      <c r="R1084" s="159">
        <f t="shared" ref="R1084:R1102" si="1984">+Q1084/DH1084</f>
        <v>279.08671200425374</v>
      </c>
      <c r="S1084" s="159"/>
      <c r="T1084" s="159"/>
      <c r="U1084" s="159"/>
      <c r="V1084" s="159"/>
      <c r="W1084" s="159">
        <f t="shared" si="1964"/>
        <v>22665.412148672214</v>
      </c>
      <c r="X1084" s="163"/>
      <c r="Y1084" s="167">
        <v>1570.1396636979371</v>
      </c>
      <c r="Z1084" s="168">
        <v>2.5861381711972463E-2</v>
      </c>
      <c r="AA1084" s="76">
        <f t="shared" ref="AA1084:AA1102" si="1985">+Z1084*$AR1084</f>
        <v>0</v>
      </c>
      <c r="AB1084" s="168"/>
      <c r="AC1084" s="168"/>
      <c r="AD1084" s="163">
        <f t="shared" si="1886"/>
        <v>62663.782436130095</v>
      </c>
      <c r="AE1084" s="168"/>
      <c r="AF1084" s="163"/>
      <c r="AG1084" s="163"/>
      <c r="AH1084" s="163"/>
      <c r="AI1084" s="163"/>
      <c r="AJ1084" s="167"/>
      <c r="AK1084" s="168"/>
      <c r="AL1084" s="115">
        <f t="shared" ref="AL1084:AL1102" si="1986">+J1084/AD1084</f>
        <v>0.26072407987522417</v>
      </c>
      <c r="AM1084" s="115">
        <f t="shared" ref="AM1084:AM1102" si="1987">+Q1084/AD1084</f>
        <v>0.37757716420026904</v>
      </c>
      <c r="AN1084" s="115">
        <f t="shared" ref="AN1084:AN1102" si="1988">+W1084/AD1084</f>
        <v>0.36169875592450679</v>
      </c>
      <c r="AO1084" s="115"/>
      <c r="AP1084" s="115"/>
      <c r="AQ1084" s="168"/>
      <c r="AR1084" s="79"/>
      <c r="AS1084" s="115"/>
      <c r="AT1084" s="115"/>
      <c r="AU1084" s="115"/>
      <c r="AV1084" s="113">
        <f>IFERROR(INDEX('Total Customers'!$F$7:$AB$91,MATCH($C1084,'Total Customers'!$D$7:$D$91,0),MATCH($G1084,'Total Customers'!$F$5:$AB$5,0)),"NA")</f>
        <v>170817</v>
      </c>
      <c r="AW1084" s="68">
        <f t="shared" si="1875"/>
        <v>4.4591330480541081E-3</v>
      </c>
      <c r="AX1084" s="114"/>
      <c r="AY1084" s="114"/>
      <c r="AZ1084" s="116"/>
      <c r="BA1084" s="116"/>
      <c r="BB1084" s="166"/>
      <c r="BC1084" s="166"/>
      <c r="BD1084" s="166"/>
      <c r="BE1084" s="166"/>
      <c r="BF1084" s="166"/>
      <c r="BG1084" s="166"/>
      <c r="BH1084" s="166"/>
      <c r="BI1084" s="113"/>
      <c r="BJ1084" s="113"/>
      <c r="BK1084" s="113">
        <f>INDEX('Dist. Plant Gas Additions'!$F$7:$AE$91,MATCH($C1084,'Dist. Plant Gas Additions'!$D$7:$D$91,0),MATCH(Calculation!$G1084,'Dist. Plant Gas Additions'!$F$5:$AE$5,0))</f>
        <v>18949</v>
      </c>
      <c r="BL1084" s="113">
        <f>INDEX('Gen. Plant Additions'!$F$7:$AE$91,MATCH($C1084,'Gen. Plant Additions'!$D$7:$D$91,0),MATCH(Calculation!$G1084,'Gen. Plant Additions'!$F$5:$AE$5,0))</f>
        <v>1389</v>
      </c>
      <c r="BM1084" s="231">
        <f t="shared" si="1973"/>
        <v>0.92340359337325972</v>
      </c>
      <c r="BN1084" s="61">
        <f t="shared" si="1977"/>
        <v>1282.6075911954576</v>
      </c>
      <c r="BO1084" s="113">
        <f>INDEX('Dist Plant Depreciation'!$E$7:$AD$94,MATCH($C1084,'Dist Plant Depreciation'!$D$7:$D$94,0),MATCH(Calculation!$G1084,'Dist Plant Depreciation'!$E$5:$AD$5,0))</f>
        <v>187598</v>
      </c>
      <c r="BP1084" s="113">
        <f>INDEX('Gen. Plant Depreciation'!$E$7:$AD$94,MATCH($C1084,'Gen. Plant Depreciation'!$D$7:$D$94,0),MATCH(Calculation!$G1084,'Gen. Plant Depreciation'!$E$5:$AD$5,0))</f>
        <v>21304</v>
      </c>
      <c r="BQ1084" s="113"/>
      <c r="BR1084" s="113"/>
      <c r="BS1084" s="113"/>
      <c r="BT1084" s="113"/>
      <c r="BU1084" s="113"/>
      <c r="BV1084" s="175"/>
      <c r="BW1084" s="113">
        <f>INDEX('Gross Dx Plant'!$E$7:$AD$91,MATCH($C1084,'Gross Dx Plant'!$D$7:$D$91,0),MATCH(Calculation!$G1084,'Gross Dx Plant'!$E$5:$AD$5,0))</f>
        <v>474888</v>
      </c>
      <c r="BX1084" s="113">
        <f>INDEX('Gross Gen Plant'!$E$7:$AD$91,MATCH($C1084,'Gross Gen Plant'!$D$7:$D$91,0),MATCH(Calculation!$G1084,'Gross Gen Plant'!$E$5:$AD$5,0))</f>
        <v>39392</v>
      </c>
      <c r="BY1084" s="113">
        <f t="shared" si="1868"/>
        <v>305378</v>
      </c>
      <c r="BZ1084" s="113"/>
      <c r="CA1084" s="116">
        <v>2004</v>
      </c>
      <c r="CB1084" s="113"/>
      <c r="CC1084" s="113"/>
      <c r="CD1084" s="113"/>
      <c r="CE1084" s="175"/>
      <c r="CF1084" s="113">
        <f t="shared" si="1974"/>
        <v>20338</v>
      </c>
      <c r="CG1084" s="113">
        <f t="shared" si="1965"/>
        <v>49.0205540781105</v>
      </c>
      <c r="CH1084" s="178">
        <v>0.967741935483871</v>
      </c>
      <c r="CI1084" s="61">
        <f>+CI1078*CH1084+CG1079*CH1083+CG1080*CH1082+CG1081*CH1081+CG1082*CH1080+CG1083*CH1079+CG1084</f>
        <v>1570.1396636979371</v>
      </c>
      <c r="CJ1084" s="114">
        <f t="shared" si="1966"/>
        <v>2.5861381711972463E-2</v>
      </c>
      <c r="CK1084" s="114"/>
      <c r="CL1084" s="169">
        <f t="shared" si="1967"/>
        <v>5.8397531435159626E-3</v>
      </c>
      <c r="CM1084" s="169">
        <f t="shared" si="1978"/>
        <v>5.684904193419933E-3</v>
      </c>
      <c r="CN1084" s="114">
        <f>VLOOKUP($H1084,RoR!$E:$F,2,FALSE)</f>
        <v>5.6283333333333331E-2</v>
      </c>
      <c r="CO1084" s="169">
        <v>2.6778252812867276E-2</v>
      </c>
      <c r="CP1084" s="169">
        <f t="shared" si="1975"/>
        <v>2.9505080520466055E-2</v>
      </c>
      <c r="CQ1084" s="169">
        <f t="shared" si="1979"/>
        <v>2.5217037415113691E-2</v>
      </c>
      <c r="CR1084" s="169">
        <f t="shared" si="1980"/>
        <v>5.5940039414565046E-2</v>
      </c>
      <c r="CS1084" s="179">
        <f t="shared" si="1968"/>
        <v>0.85126000000000002</v>
      </c>
      <c r="CT1084" s="180">
        <f t="shared" si="1969"/>
        <v>0.91114097628755619</v>
      </c>
      <c r="CU1084" s="180">
        <f t="shared" si="1970"/>
        <v>0.53081877405981637</v>
      </c>
      <c r="CV1084" s="180">
        <f t="shared" si="1971"/>
        <v>0.88811215519385678</v>
      </c>
      <c r="CW1084" s="180">
        <f t="shared" si="1972"/>
        <v>0.42953609753547711</v>
      </c>
      <c r="CX1084" s="181">
        <f>INDEX('State Tax Lookup'!$D$7:$Z$91,MATCH(Calculation!$C1084,'State Tax Lookup'!$B$7:$B$91,0),MATCH($H1084,'State Tax Lookup'!$D$6:$Z$6,0))</f>
        <v>0.40200000000000002</v>
      </c>
      <c r="CY1084" s="72">
        <v>0.37</v>
      </c>
      <c r="CZ1084" s="70">
        <f t="shared" si="1976"/>
        <v>14.813469631881496</v>
      </c>
      <c r="DA1084" s="70"/>
      <c r="DB1084" s="69">
        <f t="shared" si="1981"/>
        <v>0.10584846257170487</v>
      </c>
      <c r="DC1084" s="111">
        <f>VLOOKUP($H1084,RoR!$E:$F,2,FALSE)</f>
        <v>5.6283333333333331E-2</v>
      </c>
      <c r="DD1084" s="216">
        <f>HLOOKUP($H1084,'GDP-PI'!$D$8:$CQ$11,3,FALSE)</f>
        <v>2.6778252812867276E-2</v>
      </c>
      <c r="DE1084" s="111">
        <f>VLOOKUP(H1084,'HW Dx Data'!$E:$F,2,FALSE)</f>
        <v>414.88719135228365</v>
      </c>
      <c r="DF1084" s="72">
        <f>VLOOKUP(G1084,EG$8:EH$27,2,FALSE)</f>
        <v>94.35</v>
      </c>
      <c r="DG1084" s="69"/>
      <c r="DH1084" s="66">
        <f>HLOOKUP(H1084,'GDP-PI'!$8:$9,2,FALSE)</f>
        <v>84.778000000000006</v>
      </c>
      <c r="DI1084" s="69">
        <f t="shared" si="1982"/>
        <v>2.6425990216022755E-2</v>
      </c>
    </row>
    <row r="1085" spans="1:113" s="160" customFormat="1" ht="21">
      <c r="A1085" s="160" t="s">
        <v>224</v>
      </c>
      <c r="B1085" s="160" t="s">
        <v>225</v>
      </c>
      <c r="C1085" s="160">
        <v>4063060</v>
      </c>
      <c r="D1085" s="161" t="s">
        <v>181</v>
      </c>
      <c r="E1085" s="161" t="s">
        <v>3</v>
      </c>
      <c r="F1085" s="189"/>
      <c r="G1085" s="160" t="s">
        <v>116</v>
      </c>
      <c r="H1085" s="162">
        <v>2005</v>
      </c>
      <c r="I1085" s="163"/>
      <c r="J1085" s="159">
        <f>IFERROR(INDEX('Labor Expenditures'!$F$7:$X$91,MATCH($C1085,'Labor Expenditures'!$D$7:$D$91,0),MATCH($G1085,'Labor Expenditures'!$F$5:$X$5,0)),"NA")</f>
        <v>16966.167671511615</v>
      </c>
      <c r="K1085" s="159">
        <f t="shared" si="1983"/>
        <v>170.98682460581119</v>
      </c>
      <c r="L1085" s="165">
        <f t="shared" ref="L1085:L1101" si="1989">LN(K1085/K1084)</f>
        <v>-1.2648554787691332E-2</v>
      </c>
      <c r="M1085" s="76"/>
      <c r="N1085" s="62">
        <v>100</v>
      </c>
      <c r="O1085" s="77"/>
      <c r="P1085" s="77"/>
      <c r="Q1085" s="159">
        <f>IFERROR(INDEX('Non-Labor Expenditures'!$F$7:$AB$91,MATCH($C1085,'Non-Labor Expenditures'!$D$7:$D$91,0),MATCH($G1085,'Non-Labor Expenditures'!$F$5:$AB$5,0)),"NA")</f>
        <v>24570.179631361247</v>
      </c>
      <c r="R1085" s="159">
        <f t="shared" si="1984"/>
        <v>281.10082294737549</v>
      </c>
      <c r="S1085" s="165">
        <f>LN(R1085/R1084)</f>
        <v>7.1908762561449071E-3</v>
      </c>
      <c r="T1085" s="165"/>
      <c r="U1085" s="165"/>
      <c r="V1085" s="165"/>
      <c r="W1085" s="159">
        <f t="shared" si="1964"/>
        <v>26073.398931030795</v>
      </c>
      <c r="X1085" s="163"/>
      <c r="Y1085" s="167">
        <v>1605.5630170489383</v>
      </c>
      <c r="Z1085" s="168">
        <v>2.2309911335244015E-2</v>
      </c>
      <c r="AA1085" s="76">
        <f t="shared" si="1985"/>
        <v>0</v>
      </c>
      <c r="AB1085" s="168"/>
      <c r="AC1085" s="168"/>
      <c r="AD1085" s="163">
        <f t="shared" si="1886"/>
        <v>67609.746233903657</v>
      </c>
      <c r="AE1085" s="168">
        <f>LN(AD1085/AD1084)</f>
        <v>7.5968499567152126E-2</v>
      </c>
      <c r="AF1085" s="163"/>
      <c r="AG1085" s="163"/>
      <c r="AH1085" s="163"/>
      <c r="AI1085" s="163"/>
      <c r="AJ1085" s="116"/>
      <c r="AK1085" s="114"/>
      <c r="AL1085" s="115">
        <f t="shared" si="1986"/>
        <v>0.25094263204028627</v>
      </c>
      <c r="AM1085" s="115">
        <f t="shared" si="1987"/>
        <v>0.36341180081282803</v>
      </c>
      <c r="AN1085" s="115">
        <f t="shared" si="1988"/>
        <v>0.38564556714688569</v>
      </c>
      <c r="AO1085" s="115">
        <f t="shared" ref="AO1085:AO1101" si="1990">+(((AL1085+AL1084)/2)*L1085+((AM1084+AM1085)/2)*S1085+((AN1084+AN1085)/2)*Z1085)</f>
        <v>7.7648505502487921E-3</v>
      </c>
      <c r="AP1085" s="166">
        <v>100</v>
      </c>
      <c r="AQ1085" s="168"/>
      <c r="AR1085" s="16"/>
      <c r="AS1085" s="115"/>
      <c r="AT1085" s="115"/>
      <c r="AU1085" s="115"/>
      <c r="AV1085" s="113">
        <f>IFERROR(INDEX('Total Customers'!$F$7:$AB$91,MATCH($C1085,'Total Customers'!$D$7:$D$91,0),MATCH($G1085,'Total Customers'!$F$5:$AB$5,0)),"NA")</f>
        <v>173639</v>
      </c>
      <c r="AW1085" s="68">
        <f t="shared" si="1875"/>
        <v>1.6385623355662095E-2</v>
      </c>
      <c r="AX1085" s="114"/>
      <c r="AY1085" s="114"/>
      <c r="AZ1085" s="116"/>
      <c r="BA1085" s="116"/>
      <c r="BB1085" s="166"/>
      <c r="BC1085" s="166"/>
      <c r="BD1085" s="166"/>
      <c r="BE1085" s="166"/>
      <c r="BF1085" s="166"/>
      <c r="BG1085" s="166"/>
      <c r="BH1085" s="166"/>
      <c r="BI1085" s="113"/>
      <c r="BJ1085" s="113"/>
      <c r="BK1085" s="113">
        <f>INDEX('Dist. Plant Gas Additions'!$F$7:$AE$91,MATCH($C1085,'Dist. Plant Gas Additions'!$D$7:$D$91,0),MATCH(Calculation!$G1085,'Dist. Plant Gas Additions'!$F$5:$AE$5,0))</f>
        <v>20007</v>
      </c>
      <c r="BL1085" s="113">
        <f>INDEX('Gen. Plant Additions'!$F$7:$AE$91,MATCH($C1085,'Gen. Plant Additions'!$D$7:$D$91,0),MATCH(Calculation!$G1085,'Gen. Plant Additions'!$F$5:$AE$5,0))</f>
        <v>1057</v>
      </c>
      <c r="BM1085" s="231">
        <f t="shared" si="1973"/>
        <v>0.9253014142108873</v>
      </c>
      <c r="BN1085" s="61">
        <f t="shared" si="1977"/>
        <v>978.04359482090786</v>
      </c>
      <c r="BO1085" s="113">
        <f>INDEX('Dist Plant Depreciation'!$E$7:$AD$94,MATCH($C1085,'Dist Plant Depreciation'!$D$7:$D$94,0),MATCH(Calculation!$G1085,'Dist Plant Depreciation'!$E$5:$AD$5,0))</f>
        <v>186923</v>
      </c>
      <c r="BP1085" s="113">
        <f>INDEX('Gen. Plant Depreciation'!$E$7:$AD$94,MATCH($C1085,'Gen. Plant Depreciation'!$D$7:$D$94,0),MATCH(Calculation!$G1085,'Gen. Plant Depreciation'!$E$5:$AD$5,0))</f>
        <v>24623</v>
      </c>
      <c r="BQ1085" s="113"/>
      <c r="BR1085" s="113"/>
      <c r="BS1085" s="113"/>
      <c r="BT1085" s="113"/>
      <c r="BU1085" s="113"/>
      <c r="BV1085" s="175"/>
      <c r="BW1085" s="113">
        <f>INDEX('Gross Dx Plant'!$E$7:$AD$91,MATCH($C1085,'Gross Dx Plant'!$D$7:$D$91,0),MATCH(Calculation!$G1085,'Gross Dx Plant'!$E$5:$AD$5,0))</f>
        <v>500465</v>
      </c>
      <c r="BX1085" s="113">
        <f>INDEX('Gross Gen Plant'!$E$7:$AD$91,MATCH($C1085,'Gross Gen Plant'!$D$7:$D$91,0),MATCH(Calculation!$G1085,'Gross Gen Plant'!$E$5:$AD$5,0))</f>
        <v>40402</v>
      </c>
      <c r="BY1085" s="113">
        <f t="shared" si="1868"/>
        <v>329321</v>
      </c>
      <c r="BZ1085" s="113"/>
      <c r="CA1085" s="116">
        <v>2005</v>
      </c>
      <c r="CB1085" s="113"/>
      <c r="CC1085" s="113"/>
      <c r="CD1085" s="113"/>
      <c r="CE1085" s="175"/>
      <c r="CF1085" s="113">
        <f t="shared" si="1974"/>
        <v>21064</v>
      </c>
      <c r="CG1085" s="113">
        <f t="shared" si="1965"/>
        <v>44.892943807725736</v>
      </c>
      <c r="CH1085" s="178">
        <v>0.96174863387978138</v>
      </c>
      <c r="CI1085" s="61">
        <f>+CI1078*CH1085+CG1079*CH1084+CG1080*CH1083+CG1081*CH1082+CG1082*CH1081+CG1083*CH1080+CG1084*CH1079+CG1085</f>
        <v>1605.5630170489383</v>
      </c>
      <c r="CJ1085" s="114">
        <f t="shared" si="1966"/>
        <v>2.2309911335244015E-2</v>
      </c>
      <c r="CK1085" s="114"/>
      <c r="CL1085" s="169">
        <f t="shared" si="1967"/>
        <v>6.0310497694339472E-3</v>
      </c>
      <c r="CM1085" s="169">
        <f t="shared" si="1978"/>
        <v>5.8436177856680954E-3</v>
      </c>
      <c r="CN1085" s="114">
        <f>VLOOKUP($H1085,RoR!$E:$F,2,FALSE)</f>
        <v>5.2350000000000001E-2</v>
      </c>
      <c r="CO1085" s="169">
        <v>3.1010403642454332E-2</v>
      </c>
      <c r="CP1085" s="169">
        <f t="shared" si="1975"/>
        <v>2.1339596357545669E-2</v>
      </c>
      <c r="CQ1085" s="169">
        <f t="shared" si="1979"/>
        <v>2.505832382286553E-2</v>
      </c>
      <c r="CR1085" s="169">
        <f t="shared" si="1980"/>
        <v>9.2129610649277341E-2</v>
      </c>
      <c r="CS1085" s="179">
        <f t="shared" si="1968"/>
        <v>0.85126000000000002</v>
      </c>
      <c r="CT1085" s="180">
        <f t="shared" si="1969"/>
        <v>0.97959983346802826</v>
      </c>
      <c r="CU1085" s="180">
        <f t="shared" si="1970"/>
        <v>0.49744508118433622</v>
      </c>
      <c r="CV1085" s="180">
        <f t="shared" si="1971"/>
        <v>0.87010519444335932</v>
      </c>
      <c r="CW1085" s="180">
        <f t="shared" si="1972"/>
        <v>0.42399975420741998</v>
      </c>
      <c r="CX1085" s="181">
        <f>INDEX('State Tax Lookup'!$D$7:$Z$91,MATCH(Calculation!$C1085,'State Tax Lookup'!$B$7:$B$91,0),MATCH($H1085,'State Tax Lookup'!$D$6:$Z$6,0))</f>
        <v>0.40200000000000002</v>
      </c>
      <c r="CY1085" s="72">
        <v>0.37</v>
      </c>
      <c r="CZ1085" s="70">
        <f t="shared" si="1976"/>
        <v>16.605783252187678</v>
      </c>
      <c r="DA1085" s="70"/>
      <c r="DB1085" s="69">
        <f t="shared" si="1981"/>
        <v>0.11421414624215724</v>
      </c>
      <c r="DC1085" s="111">
        <f>VLOOKUP($H1085,RoR!$E:$F,2,FALSE)</f>
        <v>5.2350000000000001E-2</v>
      </c>
      <c r="DD1085" s="216">
        <f>HLOOKUP($H1085,'GDP-PI'!$D$8:$CQ$11,3,FALSE)</f>
        <v>3.1010403642454332E-2</v>
      </c>
      <c r="DE1085" s="111">
        <f>VLOOKUP(H1085,'HW Dx Data'!$E:$F,2,FALSE)</f>
        <v>469.20514034936258</v>
      </c>
      <c r="DF1085" s="72">
        <f t="shared" ref="DF1085:DF1103" si="1991">VLOOKUP(G1085,EG$8:EH$27,2,FALSE)</f>
        <v>99.224999999999994</v>
      </c>
      <c r="DG1085" s="69">
        <f t="shared" ref="DG1085:DG1103" si="1992">LN(DF1085/DF1084)</f>
        <v>5.0378726854569796E-2</v>
      </c>
      <c r="DH1085" s="66">
        <f>HLOOKUP(H1085,'GDP-PI'!$8:$9,2,FALSE)</f>
        <v>87.406999999999996</v>
      </c>
      <c r="DI1085" s="69">
        <f t="shared" si="1982"/>
        <v>3.0539295810733648E-2</v>
      </c>
    </row>
    <row r="1086" spans="1:113" s="160" customFormat="1" ht="21">
      <c r="A1086" s="160" t="s">
        <v>224</v>
      </c>
      <c r="B1086" s="160" t="s">
        <v>225</v>
      </c>
      <c r="C1086" s="160">
        <v>4063060</v>
      </c>
      <c r="D1086" s="161" t="s">
        <v>181</v>
      </c>
      <c r="E1086" s="161" t="s">
        <v>3</v>
      </c>
      <c r="F1086" s="189"/>
      <c r="G1086" s="160" t="s">
        <v>117</v>
      </c>
      <c r="H1086" s="162">
        <v>2006</v>
      </c>
      <c r="I1086" s="163"/>
      <c r="J1086" s="159">
        <f>IFERROR(INDEX('Labor Expenditures'!$F$7:$X$91,MATCH($C1086,'Labor Expenditures'!$D$7:$D$91,0),MATCH($G1086,'Labor Expenditures'!$F$5:$X$5,0)),"NA")</f>
        <v>17332.909498127203</v>
      </c>
      <c r="K1086" s="159">
        <f t="shared" si="1983"/>
        <v>158.43610144540403</v>
      </c>
      <c r="L1086" s="165">
        <f t="shared" si="1989"/>
        <v>-7.6235137867907837E-2</v>
      </c>
      <c r="M1086" s="76">
        <f t="shared" ref="M1086:M1102" si="1993">+L1086*$AR1086</f>
        <v>-6.5568970272353799E-4</v>
      </c>
      <c r="N1086" s="62">
        <f>+N1085*EXP(O1086)</f>
        <v>115.32616689105043</v>
      </c>
      <c r="O1086" s="96">
        <f t="shared" ref="O1086:O1102" si="1994">+M1086+M1111+M1136+M1161+M1186+M1211+M1236+M1261+M1286+M1311+M1336+M1361+M1386+M1411+M1436+M1461+M1486+M1511+M1536+M1561+M1586+M1611+M1636+M1661+M1686+M1711+M1736+M1761+M1786+M1811+M1836+M1861+M1886+M1911+M1936+M1961+M1986+M2011+M2036+M2061+M2086+M2111+M2136+M2161+M2186+M2211+M2236+M2261+M2286+M2311+M2336+M2361+M2386+M2411</f>
        <v>0.14259416168815373</v>
      </c>
      <c r="P1086" s="96"/>
      <c r="Q1086" s="159">
        <f>IFERROR(INDEX('Non-Labor Expenditures'!$F$7:$AB$91,MATCH($C1086,'Non-Labor Expenditures'!$D$7:$D$91,0),MATCH($G1086,'Non-Labor Expenditures'!$F$5:$AB$5,0)),"NA")</f>
        <v>25101.290294225266</v>
      </c>
      <c r="R1086" s="159">
        <f t="shared" si="1984"/>
        <v>278.67409345899222</v>
      </c>
      <c r="S1086" s="165">
        <f t="shared" ref="S1086:S1101" si="1995">LN(R1086/R1085)</f>
        <v>-8.6704302746102926E-3</v>
      </c>
      <c r="T1086" s="165">
        <f t="shared" ref="T1086:T1102" si="1996">+S1086*AR1086</f>
        <v>-7.4573379261082276E-5</v>
      </c>
      <c r="U1086" s="165"/>
      <c r="V1086" s="165"/>
      <c r="W1086" s="159">
        <f t="shared" si="1964"/>
        <v>26025.63258412815</v>
      </c>
      <c r="X1086" s="163"/>
      <c r="Y1086" s="167">
        <v>1646.7499276707292</v>
      </c>
      <c r="Z1086" s="168">
        <v>2.5329120107889E-2</v>
      </c>
      <c r="AA1086" s="76">
        <f t="shared" si="1985"/>
        <v>2.1785286546693446E-4</v>
      </c>
      <c r="AB1086" s="168"/>
      <c r="AC1086" s="168"/>
      <c r="AD1086" s="163">
        <f t="shared" si="1886"/>
        <v>68459.832376480626</v>
      </c>
      <c r="AE1086" s="168">
        <f t="shared" ref="AE1086:AE1102" si="1997">LN(AD1086/AD1085)</f>
        <v>1.2495036896150358E-2</v>
      </c>
      <c r="AF1086" s="163"/>
      <c r="AG1086" s="163"/>
      <c r="AH1086" s="163"/>
      <c r="AI1086" s="163"/>
      <c r="AJ1086" s="116">
        <f t="shared" ref="AJ1086:AJ1102" si="1998">+(AD1086*1000)/AV1086</f>
        <v>393.08585425172612</v>
      </c>
      <c r="AK1086" s="114">
        <f>+AV1086/$AX$11</f>
        <v>5.0217048313062123E-3</v>
      </c>
      <c r="AL1086" s="115">
        <f t="shared" si="1986"/>
        <v>0.25318363917119263</v>
      </c>
      <c r="AM1086" s="115">
        <f t="shared" si="1987"/>
        <v>0.36665719770077632</v>
      </c>
      <c r="AN1086" s="115">
        <f t="shared" si="1988"/>
        <v>0.38015916312803089</v>
      </c>
      <c r="AO1086" s="115">
        <f t="shared" si="1990"/>
        <v>-1.2682494071792633E-2</v>
      </c>
      <c r="AP1086" s="166">
        <f>+AP1085*EXP(AO1086)</f>
        <v>98.739758984404503</v>
      </c>
      <c r="AQ1086" s="168">
        <f>LN(AP1086/AP1085)</f>
        <v>-1.268249407179268E-2</v>
      </c>
      <c r="AR1086" s="69">
        <f>+AD1086/$AF$11</f>
        <v>8.6008856422565613E-3</v>
      </c>
      <c r="AS1086" s="169">
        <f>+AR1086*AQ1086</f>
        <v>-1.0908068117008562E-4</v>
      </c>
      <c r="AT1086" s="115"/>
      <c r="AU1086" s="115"/>
      <c r="AV1086" s="113">
        <f>IFERROR(INDEX('Total Customers'!$F$7:$AB$91,MATCH($C1086,'Total Customers'!$D$7:$D$91,0),MATCH($G1086,'Total Customers'!$F$5:$AB$5,0)),"NA")</f>
        <v>174160</v>
      </c>
      <c r="AW1086" s="68">
        <f t="shared" si="1875"/>
        <v>2.9959855531780078E-3</v>
      </c>
      <c r="AX1086" s="114"/>
      <c r="AY1086" s="114"/>
      <c r="AZ1086" s="116">
        <v>8247377</v>
      </c>
      <c r="BA1086" s="116"/>
      <c r="BB1086" s="166"/>
      <c r="BC1086" s="166"/>
      <c r="BD1086" s="166"/>
      <c r="BE1086" s="166"/>
      <c r="BF1086" s="166"/>
      <c r="BG1086" s="166"/>
      <c r="BH1086" s="166"/>
      <c r="BI1086" s="113"/>
      <c r="BJ1086" s="113"/>
      <c r="BK1086" s="113">
        <f>INDEX('Dist. Plant Gas Additions'!$F$7:$AE$91,MATCH($C1086,'Dist. Plant Gas Additions'!$D$7:$D$91,0),MATCH(Calculation!$G1086,'Dist. Plant Gas Additions'!$F$5:$AE$5,0))</f>
        <v>21924</v>
      </c>
      <c r="BL1086" s="113">
        <f>INDEX('Gen. Plant Additions'!$F$7:$AE$91,MATCH($C1086,'Gen. Plant Additions'!$D$7:$D$91,0),MATCH(Calculation!$G1086,'Gen. Plant Additions'!$F$5:$AE$5,0))</f>
        <v>1680</v>
      </c>
      <c r="BM1086" s="231">
        <f t="shared" si="1973"/>
        <v>0.92587993636417076</v>
      </c>
      <c r="BN1086" s="61">
        <f t="shared" si="1977"/>
        <v>1555.4782930918068</v>
      </c>
      <c r="BO1086" s="113">
        <f>INDEX('Dist Plant Depreciation'!$E$7:$AD$94,MATCH($C1086,'Dist Plant Depreciation'!$D$7:$D$94,0),MATCH(Calculation!$G1086,'Dist Plant Depreciation'!$E$5:$AD$5,0))</f>
        <v>196343</v>
      </c>
      <c r="BP1086" s="113">
        <f>INDEX('Gen. Plant Depreciation'!$E$7:$AD$94,MATCH($C1086,'Gen. Plant Depreciation'!$D$7:$D$94,0),MATCH(Calculation!$G1086,'Gen. Plant Depreciation'!$E$5:$AD$5,0))</f>
        <v>27386</v>
      </c>
      <c r="BQ1086" s="113"/>
      <c r="BR1086" s="113"/>
      <c r="BS1086" s="113"/>
      <c r="BT1086" s="113"/>
      <c r="BU1086" s="113"/>
      <c r="BV1086" s="175"/>
      <c r="BW1086" s="113">
        <f>INDEX('Gross Dx Plant'!$E$7:$AD$91,MATCH($C1086,'Gross Dx Plant'!$D$7:$D$91,0),MATCH(Calculation!$G1086,'Gross Dx Plant'!$E$5:$AD$5,0))</f>
        <v>519714</v>
      </c>
      <c r="BX1086" s="113">
        <f>INDEX('Gross Gen Plant'!$E$7:$AD$91,MATCH($C1086,'Gross Gen Plant'!$D$7:$D$91,0),MATCH(Calculation!$G1086,'Gross Gen Plant'!$E$5:$AD$5,0))</f>
        <v>41605</v>
      </c>
      <c r="BY1086" s="113">
        <f t="shared" ref="BY1086:BY1130" si="1999">IF(OR(BO1086="NA",BP1086="NA"),"NA",(SUM(BW1086:BX1086)-SUM(BO1086:BP1086)))</f>
        <v>337590</v>
      </c>
      <c r="BZ1086" s="114"/>
      <c r="CA1086" s="116">
        <v>2006</v>
      </c>
      <c r="CB1086" s="113"/>
      <c r="CC1086" s="113"/>
      <c r="CD1086" s="113"/>
      <c r="CE1086" s="175"/>
      <c r="CF1086" s="113">
        <f t="shared" si="1974"/>
        <v>23604</v>
      </c>
      <c r="CG1086" s="113">
        <f t="shared" si="1965"/>
        <v>51.192221741047945</v>
      </c>
      <c r="CH1086" s="178">
        <v>0.9555555555555556</v>
      </c>
      <c r="CI1086" s="61">
        <f>+CI1078*CH1086+CG1079*CH1085+CG1080*CH1084+CG1081*CH1083+CG1082*CH1082+CG1083*CH1081+CG1084*CH1080+CG1085*CH1079+CG1086</f>
        <v>1646.7499276707292</v>
      </c>
      <c r="CJ1086" s="114">
        <f t="shared" si="1966"/>
        <v>2.5329120107889E-2</v>
      </c>
      <c r="CK1086" s="114"/>
      <c r="CL1086" s="169">
        <f t="shared" si="1967"/>
        <v>6.2316527056328064E-3</v>
      </c>
      <c r="CM1086" s="169">
        <f t="shared" si="1978"/>
        <v>6.0341518728609057E-3</v>
      </c>
      <c r="CN1086" s="114">
        <f>VLOOKUP($H1086,RoR!$E:$F,2,FALSE)</f>
        <v>5.5874999999999994E-2</v>
      </c>
      <c r="CO1086" s="169">
        <v>3.0512430354548314E-2</v>
      </c>
      <c r="CP1086" s="169">
        <f t="shared" si="1975"/>
        <v>2.536256964545168E-2</v>
      </c>
      <c r="CQ1086" s="169">
        <f t="shared" si="1979"/>
        <v>2.4867789735672718E-2</v>
      </c>
      <c r="CR1086" s="169">
        <f t="shared" si="1980"/>
        <v>7.9087823893859641E-2</v>
      </c>
      <c r="CS1086" s="179">
        <f t="shared" si="1968"/>
        <v>0.85126000000000002</v>
      </c>
      <c r="CT1086" s="180">
        <f t="shared" si="1969"/>
        <v>0.91779957551769631</v>
      </c>
      <c r="CU1086" s="180">
        <f t="shared" si="1970"/>
        <v>0.52757270693512304</v>
      </c>
      <c r="CV1086" s="180">
        <f t="shared" si="1971"/>
        <v>0.88636824549024895</v>
      </c>
      <c r="CW1086" s="180">
        <f t="shared" si="1972"/>
        <v>0.42918482841932087</v>
      </c>
      <c r="CX1086" s="181">
        <f>INDEX('State Tax Lookup'!$D$7:$Z$91,MATCH(Calculation!$C1086,'State Tax Lookup'!$B$7:$B$91,0),MATCH($H1086,'State Tax Lookup'!$D$6:$Z$6,0))</f>
        <v>0.40200000000000002</v>
      </c>
      <c r="CY1086" s="72">
        <v>0.37</v>
      </c>
      <c r="CZ1086" s="70">
        <f t="shared" si="1976"/>
        <v>16.209661226479831</v>
      </c>
      <c r="DA1086" s="70">
        <v>14.788696346247992</v>
      </c>
      <c r="DB1086" s="69">
        <f t="shared" si="1981"/>
        <v>-2.4143586891103203E-2</v>
      </c>
      <c r="DC1086" s="111">
        <f>VLOOKUP($H1086,RoR!$E:$F,2,FALSE)</f>
        <v>5.5874999999999994E-2</v>
      </c>
      <c r="DD1086" s="216">
        <f>HLOOKUP($H1086,'GDP-PI'!$D$8:$CQ$11,3,FALSE)</f>
        <v>3.0512430354548314E-2</v>
      </c>
      <c r="DE1086" s="111">
        <f>VLOOKUP(H1086,'HW Dx Data'!$E:$F,2,FALSE)</f>
        <v>461.08567272971823</v>
      </c>
      <c r="DF1086" s="72">
        <f t="shared" si="1991"/>
        <v>109.4</v>
      </c>
      <c r="DG1086" s="69">
        <f t="shared" si="1992"/>
        <v>9.7620891318751846E-2</v>
      </c>
      <c r="DH1086" s="66">
        <f>HLOOKUP(H1086,'GDP-PI'!$8:$9,2,FALSE)</f>
        <v>90.073999999999998</v>
      </c>
      <c r="DI1086" s="69">
        <f t="shared" si="1982"/>
        <v>3.005618372545445E-2</v>
      </c>
    </row>
    <row r="1087" spans="1:113" s="160" customFormat="1" ht="21">
      <c r="A1087" s="160" t="s">
        <v>224</v>
      </c>
      <c r="B1087" s="160" t="s">
        <v>225</v>
      </c>
      <c r="C1087" s="160">
        <v>4063060</v>
      </c>
      <c r="D1087" s="161" t="s">
        <v>181</v>
      </c>
      <c r="E1087" s="161" t="s">
        <v>3</v>
      </c>
      <c r="F1087" s="189"/>
      <c r="G1087" s="160" t="s">
        <v>118</v>
      </c>
      <c r="H1087" s="162">
        <v>2007</v>
      </c>
      <c r="I1087" s="163"/>
      <c r="J1087" s="159">
        <f>IFERROR(INDEX('Labor Expenditures'!$F$7:$X$91,MATCH($C1087,'Labor Expenditures'!$D$7:$D$91,0),MATCH($G1087,'Labor Expenditures'!$F$5:$X$5,0)),"NA")</f>
        <v>18421.396064993696</v>
      </c>
      <c r="K1087" s="159">
        <f t="shared" si="1983"/>
        <v>176.23913958377133</v>
      </c>
      <c r="L1087" s="165">
        <f t="shared" si="1989"/>
        <v>0.10649045383347319</v>
      </c>
      <c r="M1087" s="76">
        <f t="shared" si="1993"/>
        <v>9.3407810818354391E-4</v>
      </c>
      <c r="N1087" s="62">
        <f t="shared" ref="N1087:N1100" si="2000">+N1086*EXP(O1087)</f>
        <v>119.95802284588321</v>
      </c>
      <c r="O1087" s="96">
        <f t="shared" si="1994"/>
        <v>3.9377524290504659E-2</v>
      </c>
      <c r="P1087" s="96"/>
      <c r="Q1087" s="159">
        <f>IFERROR(INDEX('Non-Labor Expenditures'!$F$7:$AB$91,MATCH($C1087,'Non-Labor Expenditures'!$D$7:$D$91,0),MATCH($G1087,'Non-Labor Expenditures'!$F$5:$AB$5,0)),"NA")</f>
        <v>26677.622144295365</v>
      </c>
      <c r="R1087" s="159">
        <f t="shared" si="1984"/>
        <v>288.41296184020587</v>
      </c>
      <c r="S1087" s="165">
        <f t="shared" si="1995"/>
        <v>3.4350373138182733E-2</v>
      </c>
      <c r="T1087" s="165">
        <f t="shared" si="1996"/>
        <v>3.0130336007852532E-4</v>
      </c>
      <c r="U1087" s="165"/>
      <c r="V1087" s="165"/>
      <c r="W1087" s="159">
        <f t="shared" si="1964"/>
        <v>28649.29915165509</v>
      </c>
      <c r="X1087" s="163"/>
      <c r="Y1087" s="167">
        <v>1685.1327878274133</v>
      </c>
      <c r="Z1087" s="168">
        <v>2.304076191537251E-2</v>
      </c>
      <c r="AA1087" s="76">
        <f t="shared" si="1985"/>
        <v>2.0210141403542055E-4</v>
      </c>
      <c r="AB1087" s="168"/>
      <c r="AC1087" s="168"/>
      <c r="AD1087" s="163">
        <f t="shared" si="1886"/>
        <v>73748.317360944144</v>
      </c>
      <c r="AE1087" s="168">
        <f t="shared" si="1997"/>
        <v>7.441099490423736E-2</v>
      </c>
      <c r="AF1087" s="163"/>
      <c r="AG1087" s="163"/>
      <c r="AH1087" s="163"/>
      <c r="AI1087" s="163"/>
      <c r="AJ1087" s="116">
        <f t="shared" si="1998"/>
        <v>422.41827730141097</v>
      </c>
      <c r="AK1087" s="114">
        <f>+AV1087/$AX$12</f>
        <v>4.9960868002617521E-3</v>
      </c>
      <c r="AL1087" s="115">
        <f t="shared" si="1986"/>
        <v>0.24978734056852334</v>
      </c>
      <c r="AM1087" s="115">
        <f t="shared" si="1987"/>
        <v>0.36173872298303283</v>
      </c>
      <c r="AN1087" s="115">
        <f t="shared" si="1988"/>
        <v>0.38847393644844391</v>
      </c>
      <c r="AO1087" s="115">
        <f t="shared" si="1990"/>
        <v>4.8146085906492178E-2</v>
      </c>
      <c r="AP1087" s="166">
        <f>+AP1086*EXP(AO1087)</f>
        <v>103.60999249440179</v>
      </c>
      <c r="AQ1087" s="168">
        <f>LN(AP1087/AP1086)</f>
        <v>4.8146085906492254E-2</v>
      </c>
      <c r="AR1087" s="69">
        <f>+AD1087/$AF$12</f>
        <v>8.7714726959867151E-3</v>
      </c>
      <c r="AS1087" s="169">
        <f t="shared" ref="AS1087:AS1101" si="2001">+AR1087*AQ1087</f>
        <v>4.2231207794742758E-4</v>
      </c>
      <c r="AT1087" s="115"/>
      <c r="AU1087" s="115"/>
      <c r="AV1087" s="113">
        <f>IFERROR(INDEX('Total Customers'!$F$7:$AB$91,MATCH($C1087,'Total Customers'!$D$7:$D$91,0),MATCH($G1087,'Total Customers'!$F$5:$AB$5,0)),"NA")</f>
        <v>174586</v>
      </c>
      <c r="AW1087" s="68">
        <f t="shared" si="1875"/>
        <v>2.4430399882996098E-3</v>
      </c>
      <c r="AX1087" s="114"/>
      <c r="AY1087" s="114"/>
      <c r="AZ1087" s="116">
        <v>8187757</v>
      </c>
      <c r="BA1087" s="116"/>
      <c r="BB1087" s="166"/>
      <c r="BC1087" s="166"/>
      <c r="BD1087" s="166"/>
      <c r="BE1087" s="166"/>
      <c r="BF1087" s="166"/>
      <c r="BG1087" s="166"/>
      <c r="BH1087" s="166"/>
      <c r="BI1087" s="113"/>
      <c r="BJ1087" s="113"/>
      <c r="BK1087" s="113">
        <f>INDEX('Dist. Plant Gas Additions'!$F$7:$AE$91,MATCH($C1087,'Dist. Plant Gas Additions'!$D$7:$D$91,0),MATCH(Calculation!$G1087,'Dist. Plant Gas Additions'!$F$5:$AE$5,0))</f>
        <v>21336</v>
      </c>
      <c r="BL1087" s="113">
        <f>INDEX('Gen. Plant Additions'!$F$7:$AE$91,MATCH($C1087,'Gen. Plant Additions'!$D$7:$D$91,0),MATCH(Calculation!$G1087,'Gen. Plant Additions'!$F$5:$AE$5,0))</f>
        <v>3056</v>
      </c>
      <c r="BM1087" s="231">
        <f t="shared" si="1973"/>
        <v>0.94781826043220063</v>
      </c>
      <c r="BN1087" s="61">
        <f t="shared" si="1977"/>
        <v>2896.5326038808053</v>
      </c>
      <c r="BO1087" s="113">
        <f>INDEX('Dist Plant Depreciation'!$E$7:$AD$94,MATCH($C1087,'Dist Plant Depreciation'!$D$7:$D$94,0),MATCH(Calculation!$G1087,'Dist Plant Depreciation'!$E$5:$AD$5,0))</f>
        <v>204864</v>
      </c>
      <c r="BP1087" s="113">
        <f>INDEX('Gen. Plant Depreciation'!$E$7:$AD$94,MATCH($C1087,'Gen. Plant Depreciation'!$D$7:$D$94,0),MATCH(Calculation!$G1087,'Gen. Plant Depreciation'!$E$5:$AD$5,0))</f>
        <v>14818</v>
      </c>
      <c r="BQ1087" s="113"/>
      <c r="BR1087" s="113"/>
      <c r="BS1087" s="113"/>
      <c r="BT1087" s="113"/>
      <c r="BU1087" s="113"/>
      <c r="BV1087" s="175"/>
      <c r="BW1087" s="113">
        <f>INDEX('Gross Dx Plant'!$E$7:$AD$91,MATCH($C1087,'Gross Dx Plant'!$D$7:$D$91,0),MATCH(Calculation!$G1087,'Gross Dx Plant'!$E$5:$AD$5,0))</f>
        <v>537067</v>
      </c>
      <c r="BX1087" s="113">
        <f>INDEX('Gross Gen Plant'!$E$7:$AD$91,MATCH($C1087,'Gross Gen Plant'!$D$7:$D$91,0),MATCH(Calculation!$G1087,'Gross Gen Plant'!$E$5:$AD$5,0))</f>
        <v>29568</v>
      </c>
      <c r="BY1087" s="113">
        <f t="shared" si="1999"/>
        <v>346953</v>
      </c>
      <c r="BZ1087" s="113"/>
      <c r="CA1087" s="116">
        <v>2007</v>
      </c>
      <c r="CB1087" s="113"/>
      <c r="CC1087" s="113"/>
      <c r="CD1087" s="113"/>
      <c r="CE1087" s="175"/>
      <c r="CF1087" s="113">
        <f t="shared" si="1974"/>
        <v>24392</v>
      </c>
      <c r="CG1087" s="113">
        <f t="shared" si="1965"/>
        <v>48.977724977292851</v>
      </c>
      <c r="CH1087" s="178">
        <v>0.94915254237288138</v>
      </c>
      <c r="CI1087" s="61">
        <f>+CI1078*CH1087+CG1079*CH1086+CG1080*CH1085+CG1081*CH1084+CG1082*CH1083+CG1083*CH1082+CG1084*CH1081+CG1085*CH1080+CG1086*CH1079+CG1087</f>
        <v>1685.1327878274133</v>
      </c>
      <c r="CJ1087" s="114">
        <f t="shared" si="1966"/>
        <v>2.304076191537251E-2</v>
      </c>
      <c r="CK1087" s="114"/>
      <c r="CL1087" s="169">
        <f t="shared" si="1967"/>
        <v>6.433803118846876E-3</v>
      </c>
      <c r="CM1087" s="169">
        <f t="shared" si="1978"/>
        <v>6.2321685313045426E-3</v>
      </c>
      <c r="CN1087" s="114">
        <f>VLOOKUP($H1087,RoR!$E:$F,2,FALSE)</f>
        <v>5.5558333333333321E-2</v>
      </c>
      <c r="CO1087" s="169">
        <v>2.691120634145272E-2</v>
      </c>
      <c r="CP1087" s="169">
        <f t="shared" si="1975"/>
        <v>2.86471269918806E-2</v>
      </c>
      <c r="CQ1087" s="169">
        <f t="shared" si="1979"/>
        <v>2.4669773077229083E-2</v>
      </c>
      <c r="CR1087" s="169">
        <f t="shared" si="1980"/>
        <v>6.4575155250632399E-2</v>
      </c>
      <c r="CS1087" s="179">
        <f t="shared" si="1968"/>
        <v>0.85126000000000002</v>
      </c>
      <c r="CT1087" s="180">
        <f t="shared" si="1969"/>
        <v>0.92303077153834634</v>
      </c>
      <c r="CU1087" s="180">
        <f t="shared" si="1970"/>
        <v>0.52502249887505614</v>
      </c>
      <c r="CV1087" s="180">
        <f t="shared" si="1971"/>
        <v>0.88499666072084604</v>
      </c>
      <c r="CW1087" s="180">
        <f t="shared" si="1972"/>
        <v>0.42887993290280618</v>
      </c>
      <c r="CX1087" s="181">
        <f>INDEX('State Tax Lookup'!$D$7:$Z$91,MATCH(Calculation!$C1087,'State Tax Lookup'!$B$7:$B$91,0),MATCH($H1087,'State Tax Lookup'!$D$6:$Z$6,0))</f>
        <v>0.40200000000000002</v>
      </c>
      <c r="CY1087" s="72">
        <v>0.37</v>
      </c>
      <c r="CZ1087" s="70">
        <f t="shared" si="1976"/>
        <v>17.397480133597778</v>
      </c>
      <c r="DA1087" s="70">
        <v>16.108943221861779</v>
      </c>
      <c r="DB1087" s="69">
        <f t="shared" si="1981"/>
        <v>7.0717939340742011E-2</v>
      </c>
      <c r="DC1087" s="111">
        <f>VLOOKUP($H1087,RoR!$E:$F,2,FALSE)</f>
        <v>5.5558333333333321E-2</v>
      </c>
      <c r="DD1087" s="216">
        <f>HLOOKUP($H1087,'GDP-PI'!$D$8:$CQ$11,3,FALSE)</f>
        <v>2.691120634145272E-2</v>
      </c>
      <c r="DE1087" s="111">
        <f>VLOOKUP(H1087,'HW Dx Data'!$E:$F,2,FALSE)</f>
        <v>498.0223154772637</v>
      </c>
      <c r="DF1087" s="72">
        <f t="shared" si="1991"/>
        <v>104.52499999999999</v>
      </c>
      <c r="DG1087" s="69">
        <f t="shared" si="1992"/>
        <v>-4.5584612745252218E-2</v>
      </c>
      <c r="DH1087" s="66">
        <f>HLOOKUP(H1087,'GDP-PI'!$8:$9,2,FALSE)</f>
        <v>92.498000000000005</v>
      </c>
      <c r="DI1087" s="69">
        <f t="shared" si="1982"/>
        <v>2.6555467950038037E-2</v>
      </c>
    </row>
    <row r="1088" spans="1:113" s="160" customFormat="1" ht="21">
      <c r="A1088" s="160" t="s">
        <v>224</v>
      </c>
      <c r="B1088" s="160" t="s">
        <v>225</v>
      </c>
      <c r="C1088" s="160">
        <v>4063060</v>
      </c>
      <c r="D1088" s="161" t="s">
        <v>181</v>
      </c>
      <c r="E1088" s="161" t="s">
        <v>3</v>
      </c>
      <c r="F1088" s="189"/>
      <c r="G1088" s="160" t="s">
        <v>120</v>
      </c>
      <c r="H1088" s="162">
        <v>2008</v>
      </c>
      <c r="I1088" s="163"/>
      <c r="J1088" s="159">
        <f>IFERROR(INDEX('Labor Expenditures'!$F$7:$X$91,MATCH($C1088,'Labor Expenditures'!$D$7:$D$91,0),MATCH($G1088,'Labor Expenditures'!$F$5:$X$5,0)),"NA")</f>
        <v>18740.557178305695</v>
      </c>
      <c r="K1088" s="159">
        <f t="shared" si="1983"/>
        <v>173.68449655519643</v>
      </c>
      <c r="L1088" s="165">
        <f t="shared" si="1989"/>
        <v>-1.4601405291243937E-2</v>
      </c>
      <c r="M1088" s="76">
        <f t="shared" si="1993"/>
        <v>-1.285837535884383E-4</v>
      </c>
      <c r="N1088" s="62">
        <f t="shared" si="2000"/>
        <v>113.8735513954621</v>
      </c>
      <c r="O1088" s="96">
        <f t="shared" si="1994"/>
        <v>-5.20532374733612E-2</v>
      </c>
      <c r="P1088" s="96"/>
      <c r="Q1088" s="159">
        <f>IFERROR(INDEX('Non-Labor Expenditures'!$F$7:$AB$91,MATCH($C1088,'Non-Labor Expenditures'!$D$7:$D$91,0),MATCH($G1088,'Non-Labor Expenditures'!$F$5:$AB$5,0)),"NA")</f>
        <v>27139.827047444385</v>
      </c>
      <c r="R1088" s="159">
        <f t="shared" si="1984"/>
        <v>287.9129577298267</v>
      </c>
      <c r="S1088" s="165">
        <f t="shared" si="1995"/>
        <v>-1.7351440178157939E-3</v>
      </c>
      <c r="T1088" s="165">
        <f t="shared" si="1996"/>
        <v>-1.5280127246455695E-5</v>
      </c>
      <c r="U1088" s="165"/>
      <c r="V1088" s="165"/>
      <c r="W1088" s="159">
        <f t="shared" si="1964"/>
        <v>33278.936932477562</v>
      </c>
      <c r="X1088" s="163"/>
      <c r="Y1088" s="167">
        <v>1735.1859193341413</v>
      </c>
      <c r="Z1088" s="168">
        <v>2.9270199243860973E-2</v>
      </c>
      <c r="AA1088" s="76">
        <f t="shared" si="1985"/>
        <v>2.577609491679601E-4</v>
      </c>
      <c r="AB1088" s="168"/>
      <c r="AC1088" s="168"/>
      <c r="AD1088" s="163">
        <f t="shared" si="1886"/>
        <v>79159.321158227642</v>
      </c>
      <c r="AE1088" s="168">
        <f t="shared" si="1997"/>
        <v>7.0804365617173626E-2</v>
      </c>
      <c r="AF1088" s="163"/>
      <c r="AG1088" s="163"/>
      <c r="AH1088" s="163"/>
      <c r="AI1088" s="163"/>
      <c r="AJ1088" s="116">
        <f t="shared" si="1998"/>
        <v>452.27695149366735</v>
      </c>
      <c r="AK1088" s="114">
        <f>+AV1088/$AX$13</f>
        <v>4.9818419682101309E-3</v>
      </c>
      <c r="AL1088" s="115">
        <f t="shared" si="1986"/>
        <v>0.23674479396868658</v>
      </c>
      <c r="AM1088" s="115">
        <f t="shared" si="1987"/>
        <v>0.34285067949478659</v>
      </c>
      <c r="AN1088" s="115">
        <f t="shared" si="1988"/>
        <v>0.42040452653652682</v>
      </c>
      <c r="AO1088" s="115">
        <f t="shared" si="1990"/>
        <v>7.6747084026602512E-3</v>
      </c>
      <c r="AP1088" s="166">
        <f t="shared" ref="AP1088:AP1101" si="2002">+AP1087*EXP(AO1088)</f>
        <v>104.40822816933967</v>
      </c>
      <c r="AQ1088" s="168">
        <f t="shared" ref="AQ1088:AQ1101" si="2003">LN(AP1088/AP1087)</f>
        <v>7.6747084026603388E-3</v>
      </c>
      <c r="AR1088" s="69">
        <f>+AD1088/$AF$13</f>
        <v>8.8062587828821141E-3</v>
      </c>
      <c r="AS1088" s="169">
        <f t="shared" si="2001"/>
        <v>6.7585468276986765E-5</v>
      </c>
      <c r="AT1088" s="115"/>
      <c r="AU1088" s="115"/>
      <c r="AV1088" s="113">
        <f>IFERROR(INDEX('Total Customers'!$F$7:$AB$91,MATCH($C1088,'Total Customers'!$D$7:$D$91,0),MATCH($G1088,'Total Customers'!$F$5:$AB$5,0)),"NA")</f>
        <v>175024</v>
      </c>
      <c r="AW1088" s="68">
        <f t="shared" si="1875"/>
        <v>2.505650462843421E-3</v>
      </c>
      <c r="AX1088" s="114"/>
      <c r="AY1088" s="114"/>
      <c r="AZ1088" s="116">
        <v>8244107</v>
      </c>
      <c r="BA1088" s="116"/>
      <c r="BB1088" s="166"/>
      <c r="BC1088" s="166"/>
      <c r="BD1088" s="166"/>
      <c r="BE1088" s="166"/>
      <c r="BF1088" s="166"/>
      <c r="BG1088" s="166"/>
      <c r="BH1088" s="166"/>
      <c r="BI1088" s="113"/>
      <c r="BJ1088" s="113"/>
      <c r="BK1088" s="113">
        <f>INDEX('Dist. Plant Gas Additions'!$F$7:$AE$91,MATCH($C1088,'Dist. Plant Gas Additions'!$D$7:$D$91,0),MATCH(Calculation!$G1088,'Dist. Plant Gas Additions'!$F$5:$AE$5,0))</f>
        <v>20247</v>
      </c>
      <c r="BL1088" s="113">
        <f>INDEX('Gen. Plant Additions'!$F$7:$AE$91,MATCH($C1088,'Gen. Plant Additions'!$D$7:$D$91,0),MATCH(Calculation!$G1088,'Gen. Plant Additions'!$F$5:$AE$5,0))</f>
        <v>14659</v>
      </c>
      <c r="BM1088" s="231">
        <f t="shared" si="1973"/>
        <v>0.93100810096243358</v>
      </c>
      <c r="BN1088" s="61">
        <f t="shared" si="1977"/>
        <v>13647.647752008314</v>
      </c>
      <c r="BO1088" s="113">
        <f>INDEX('Dist Plant Depreciation'!$E$7:$AD$94,MATCH($C1088,'Dist Plant Depreciation'!$D$7:$D$94,0),MATCH(Calculation!$G1088,'Dist Plant Depreciation'!$E$5:$AD$5,0))</f>
        <v>213241</v>
      </c>
      <c r="BP1088" s="113">
        <f>INDEX('Gen. Plant Depreciation'!$E$7:$AD$94,MATCH($C1088,'Gen. Plant Depreciation'!$D$7:$D$94,0),MATCH(Calculation!$G1088,'Gen. Plant Depreciation'!$E$5:$AD$5,0))</f>
        <v>13566</v>
      </c>
      <c r="BQ1088" s="113"/>
      <c r="BR1088" s="113"/>
      <c r="BS1088" s="113"/>
      <c r="BT1088" s="113"/>
      <c r="BU1088" s="113"/>
      <c r="BV1088" s="175"/>
      <c r="BW1088" s="113">
        <f>INDEX('Gross Dx Plant'!$E$7:$AD$91,MATCH($C1088,'Gross Dx Plant'!$D$7:$D$91,0),MATCH(Calculation!$G1088,'Gross Dx Plant'!$E$5:$AD$5,0))</f>
        <v>550034</v>
      </c>
      <c r="BX1088" s="113">
        <f>INDEX('Gross Gen Plant'!$E$7:$AD$91,MATCH($C1088,'Gross Gen Plant'!$D$7:$D$91,0),MATCH(Calculation!$G1088,'Gross Gen Plant'!$E$5:$AD$5,0))</f>
        <v>40760</v>
      </c>
      <c r="BY1088" s="113">
        <f t="shared" si="1999"/>
        <v>363987</v>
      </c>
      <c r="BZ1088" s="113"/>
      <c r="CA1088" s="116">
        <v>2008</v>
      </c>
      <c r="CB1088" s="113"/>
      <c r="CC1088" s="113"/>
      <c r="CD1088" s="113"/>
      <c r="CE1088" s="175"/>
      <c r="CF1088" s="113">
        <f t="shared" si="1974"/>
        <v>34906</v>
      </c>
      <c r="CG1088" s="113">
        <f t="shared" si="1965"/>
        <v>61.25136220622381</v>
      </c>
      <c r="CH1088" s="178">
        <v>0.94252873563218387</v>
      </c>
      <c r="CI1088" s="61">
        <f>+CI1078*CH1088+CG1079*CH1087+CG1080*CH1086+CG1081*CH1085+CG1082*CH1084+CG1083*CH1083+CG1084*CH1082+CG1085*CH1081+CG1086*CH1080+CG1087*CH1079+CG1088</f>
        <v>1735.1859193341413</v>
      </c>
      <c r="CJ1088" s="114">
        <f t="shared" si="1966"/>
        <v>2.9270199243860973E-2</v>
      </c>
      <c r="CK1088" s="114"/>
      <c r="CL1088" s="169">
        <f t="shared" si="1967"/>
        <v>6.6453105537951545E-3</v>
      </c>
      <c r="CM1088" s="169">
        <f t="shared" si="1978"/>
        <v>6.4369221260916114E-3</v>
      </c>
      <c r="CN1088" s="114">
        <f>VLOOKUP($H1088,RoR!$E:$F,2,FALSE)</f>
        <v>5.6316666666666668E-2</v>
      </c>
      <c r="CO1088" s="169">
        <v>1.9092304698479889E-2</v>
      </c>
      <c r="CP1088" s="169">
        <f t="shared" si="1975"/>
        <v>3.7224361968186778E-2</v>
      </c>
      <c r="CQ1088" s="169">
        <f t="shared" si="1979"/>
        <v>2.4465019482442014E-2</v>
      </c>
      <c r="CR1088" s="169">
        <f t="shared" si="1980"/>
        <v>6.9030581091053131E-2</v>
      </c>
      <c r="CS1088" s="179">
        <f t="shared" si="1968"/>
        <v>0.85126000000000002</v>
      </c>
      <c r="CT1088" s="180">
        <f t="shared" si="1969"/>
        <v>0.91060168006009956</v>
      </c>
      <c r="CU1088" s="180">
        <f t="shared" si="1970"/>
        <v>0.53108168097070152</v>
      </c>
      <c r="CV1088" s="180">
        <f t="shared" si="1971"/>
        <v>0.88825329850328805</v>
      </c>
      <c r="CW1088" s="180">
        <f t="shared" si="1972"/>
        <v>0.4295627335323573</v>
      </c>
      <c r="CX1088" s="181">
        <f>INDEX('State Tax Lookup'!$D$7:$Z$91,MATCH(Calculation!$C1088,'State Tax Lookup'!$B$7:$B$91,0),MATCH($H1088,'State Tax Lookup'!$D$6:$Z$6,0))</f>
        <v>0.40200000000000002</v>
      </c>
      <c r="CY1088" s="72">
        <v>0.37</v>
      </c>
      <c r="CZ1088" s="70">
        <f t="shared" si="1976"/>
        <v>19.748554637871006</v>
      </c>
      <c r="DA1088" s="70">
        <v>18.300102035478151</v>
      </c>
      <c r="DB1088" s="69">
        <f t="shared" si="1981"/>
        <v>0.12675492995163079</v>
      </c>
      <c r="DC1088" s="111">
        <f>VLOOKUP($H1088,RoR!$E:$F,2,FALSE)</f>
        <v>5.6316666666666668E-2</v>
      </c>
      <c r="DD1088" s="216">
        <f>HLOOKUP($H1088,'GDP-PI'!$D$8:$CQ$11,3,FALSE)</f>
        <v>1.9092304698479889E-2</v>
      </c>
      <c r="DE1088" s="111">
        <f>VLOOKUP(H1088,'HW Dx Data'!$E:$F,2,FALSE)</f>
        <v>569.88120333515076</v>
      </c>
      <c r="DF1088" s="72">
        <f t="shared" si="1991"/>
        <v>107.9</v>
      </c>
      <c r="DG1088" s="69">
        <f t="shared" si="1992"/>
        <v>3.1778595021460486E-2</v>
      </c>
      <c r="DH1088" s="66">
        <f>HLOOKUP(H1088,'GDP-PI'!$8:$9,2,FALSE)</f>
        <v>94.263999999999996</v>
      </c>
      <c r="DI1088" s="69">
        <f t="shared" si="1982"/>
        <v>1.8912333748032254E-2</v>
      </c>
    </row>
    <row r="1089" spans="1:113" s="160" customFormat="1" ht="21">
      <c r="A1089" s="160" t="s">
        <v>224</v>
      </c>
      <c r="B1089" s="160" t="s">
        <v>225</v>
      </c>
      <c r="C1089" s="160">
        <v>4063060</v>
      </c>
      <c r="D1089" s="161" t="s">
        <v>181</v>
      </c>
      <c r="E1089" s="161" t="s">
        <v>3</v>
      </c>
      <c r="F1089" s="189"/>
      <c r="G1089" s="160" t="s">
        <v>125</v>
      </c>
      <c r="H1089" s="162">
        <v>2009</v>
      </c>
      <c r="I1089" s="163"/>
      <c r="J1089" s="159">
        <f>IFERROR(INDEX('Labor Expenditures'!$F$7:$X$91,MATCH($C1089,'Labor Expenditures'!$D$7:$D$91,0),MATCH($G1089,'Labor Expenditures'!$F$5:$X$5,0)),"NA")</f>
        <v>21985.0094955288</v>
      </c>
      <c r="K1089" s="159">
        <f t="shared" si="1983"/>
        <v>198.19706554454632</v>
      </c>
      <c r="L1089" s="165">
        <f t="shared" si="1989"/>
        <v>0.13202140113954899</v>
      </c>
      <c r="M1089" s="76">
        <f t="shared" si="1993"/>
        <v>1.2205438625380266E-3</v>
      </c>
      <c r="N1089" s="62">
        <f t="shared" si="2000"/>
        <v>116.69392674152643</v>
      </c>
      <c r="O1089" s="96">
        <f t="shared" si="1994"/>
        <v>2.4465861812744745E-2</v>
      </c>
      <c r="P1089" s="96"/>
      <c r="Q1089" s="159">
        <f>IFERROR(INDEX('Non-Labor Expenditures'!$F$7:$AB$91,MATCH($C1089,'Non-Labor Expenditures'!$D$7:$D$91,0),MATCH($G1089,'Non-Labor Expenditures'!$F$5:$AB$5,0)),"NA")</f>
        <v>31838.399982887706</v>
      </c>
      <c r="R1089" s="159">
        <f t="shared" si="1984"/>
        <v>335.1445802891368</v>
      </c>
      <c r="S1089" s="165">
        <f t="shared" si="1995"/>
        <v>0.1519038173221233</v>
      </c>
      <c r="T1089" s="165">
        <f t="shared" si="1996"/>
        <v>1.4043577051014514E-3</v>
      </c>
      <c r="U1089" s="165"/>
      <c r="V1089" s="165"/>
      <c r="W1089" s="159">
        <f t="shared" si="1964"/>
        <v>32854.759514502002</v>
      </c>
      <c r="X1089" s="163"/>
      <c r="Y1089" s="167">
        <v>1760.6769286756651</v>
      </c>
      <c r="Z1089" s="168">
        <v>1.4583787893556641E-2</v>
      </c>
      <c r="AA1089" s="76">
        <f t="shared" si="1985"/>
        <v>1.3482778286243039E-4</v>
      </c>
      <c r="AB1089" s="168"/>
      <c r="AC1089" s="168"/>
      <c r="AD1089" s="163">
        <f t="shared" si="1886"/>
        <v>86678.168992918509</v>
      </c>
      <c r="AE1089" s="168">
        <f t="shared" si="1997"/>
        <v>9.0739507558069255E-2</v>
      </c>
      <c r="AF1089" s="163"/>
      <c r="AG1089" s="163"/>
      <c r="AH1089" s="163"/>
      <c r="AI1089" s="163"/>
      <c r="AJ1089" s="116">
        <f t="shared" si="1998"/>
        <v>493.27435120031021</v>
      </c>
      <c r="AK1089" s="114">
        <f>+AV1089/$AX$14</f>
        <v>4.9952767742087708E-3</v>
      </c>
      <c r="AL1089" s="115">
        <f t="shared" si="1986"/>
        <v>0.25363952366512205</v>
      </c>
      <c r="AM1089" s="115">
        <f t="shared" si="1987"/>
        <v>0.36731740359546428</v>
      </c>
      <c r="AN1089" s="115">
        <f t="shared" si="1988"/>
        <v>0.37904307273941368</v>
      </c>
      <c r="AO1089" s="115">
        <f t="shared" si="1990"/>
        <v>9.2138720846237185E-2</v>
      </c>
      <c r="AP1089" s="166">
        <f t="shared" si="2002"/>
        <v>114.48538890918539</v>
      </c>
      <c r="AQ1089" s="168">
        <f t="shared" si="2003"/>
        <v>9.213872084623724E-2</v>
      </c>
      <c r="AR1089" s="69">
        <f>+AD1089/$AF$14</f>
        <v>9.2450455153698131E-3</v>
      </c>
      <c r="AS1089" s="169">
        <f t="shared" si="2001"/>
        <v>8.518266679514167E-4</v>
      </c>
      <c r="AT1089" s="115"/>
      <c r="AU1089" s="115"/>
      <c r="AV1089" s="113">
        <f>IFERROR(INDEX('Total Customers'!$F$7:$AB$91,MATCH($C1089,'Total Customers'!$D$7:$D$91,0),MATCH($G1089,'Total Customers'!$F$5:$AB$5,0)),"NA")</f>
        <v>175720</v>
      </c>
      <c r="AW1089" s="68">
        <f t="shared" si="1875"/>
        <v>3.9687117301437933E-3</v>
      </c>
      <c r="AX1089" s="114"/>
      <c r="AY1089" s="114"/>
      <c r="AZ1089" s="116">
        <v>8336812</v>
      </c>
      <c r="BA1089" s="116"/>
      <c r="BB1089" s="166"/>
      <c r="BC1089" s="166"/>
      <c r="BD1089" s="166"/>
      <c r="BE1089" s="166"/>
      <c r="BF1089" s="166"/>
      <c r="BG1089" s="166"/>
      <c r="BH1089" s="166"/>
      <c r="BI1089" s="113"/>
      <c r="BJ1089" s="113"/>
      <c r="BK1089" s="113">
        <f>INDEX('Dist. Plant Gas Additions'!$F$7:$AE$91,MATCH($C1089,'Dist. Plant Gas Additions'!$D$7:$D$91,0),MATCH(Calculation!$G1089,'Dist. Plant Gas Additions'!$F$5:$AE$5,0))</f>
        <v>20092</v>
      </c>
      <c r="BL1089" s="113">
        <f>INDEX('Gen. Plant Additions'!$F$7:$AE$91,MATCH($C1089,'Gen. Plant Additions'!$D$7:$D$91,0),MATCH(Calculation!$G1089,'Gen. Plant Additions'!$F$5:$AE$5,0))</f>
        <v>502</v>
      </c>
      <c r="BM1089" s="231">
        <f t="shared" si="1973"/>
        <v>0.93325587910548602</v>
      </c>
      <c r="BN1089" s="61">
        <f t="shared" si="1977"/>
        <v>468.49445131095399</v>
      </c>
      <c r="BO1089" s="113">
        <f>INDEX('Dist Plant Depreciation'!$E$7:$AD$94,MATCH($C1089,'Dist Plant Depreciation'!$D$7:$D$94,0),MATCH(Calculation!$G1089,'Dist Plant Depreciation'!$E$5:$AD$5,0))</f>
        <v>234072</v>
      </c>
      <c r="BP1089" s="113">
        <f>INDEX('Gen. Plant Depreciation'!$E$7:$AD$94,MATCH($C1089,'Gen. Plant Depreciation'!$D$7:$D$94,0),MATCH(Calculation!$G1089,'Gen. Plant Depreciation'!$E$5:$AD$5,0))</f>
        <v>15445</v>
      </c>
      <c r="BQ1089" s="113"/>
      <c r="BR1089" s="113"/>
      <c r="BS1089" s="113"/>
      <c r="BT1089" s="113"/>
      <c r="BU1089" s="113"/>
      <c r="BV1089" s="175"/>
      <c r="BW1089" s="113">
        <f>INDEX('Gross Dx Plant'!$E$7:$AD$91,MATCH($C1089,'Gross Dx Plant'!$D$7:$D$91,0),MATCH(Calculation!$G1089,'Gross Dx Plant'!$E$5:$AD$5,0))</f>
        <v>566309</v>
      </c>
      <c r="BX1089" s="113">
        <f>INDEX('Gross Gen Plant'!$E$7:$AD$91,MATCH($C1089,'Gross Gen Plant'!$D$7:$D$91,0),MATCH(Calculation!$G1089,'Gross Gen Plant'!$E$5:$AD$5,0))</f>
        <v>40501</v>
      </c>
      <c r="BY1089" s="113">
        <f t="shared" si="1999"/>
        <v>357293</v>
      </c>
      <c r="BZ1089" s="113"/>
      <c r="CA1089" s="116">
        <v>2009</v>
      </c>
      <c r="CB1089" s="113"/>
      <c r="CC1089" s="113"/>
      <c r="CD1089" s="113"/>
      <c r="CE1089" s="175"/>
      <c r="CF1089" s="113">
        <f t="shared" si="1974"/>
        <v>20594</v>
      </c>
      <c r="CG1089" s="113">
        <f t="shared" si="1965"/>
        <v>37.37970776621215</v>
      </c>
      <c r="CH1089" s="178">
        <v>0.93567251461988299</v>
      </c>
      <c r="CI1089" s="61">
        <f>+CI1078*CH1089+CG1079*CH1088+CG1080*CH1087+CG1081*CH1086+CG1082*CH1085+CG1083*CH1084+CG1084*CH1083+CG1085*CH1082+CG1086*CH1081+CG1087*CH1080+CG1088*CH1079+CG1089</f>
        <v>1760.6769286756651</v>
      </c>
      <c r="CJ1089" s="114">
        <f t="shared" si="1966"/>
        <v>1.4583787893556641E-2</v>
      </c>
      <c r="CK1089" s="114"/>
      <c r="CL1089" s="169">
        <f t="shared" si="1967"/>
        <v>6.8515415508042842E-3</v>
      </c>
      <c r="CM1089" s="169">
        <f t="shared" si="1978"/>
        <v>6.6435517411487718E-3</v>
      </c>
      <c r="CN1089" s="114">
        <f>VLOOKUP($H1089,RoR!$E:$F,2,FALSE)</f>
        <v>5.3133333333333324E-2</v>
      </c>
      <c r="CO1089" s="169">
        <v>7.7972502758210105E-3</v>
      </c>
      <c r="CP1089" s="169">
        <f t="shared" si="1975"/>
        <v>4.5336083057512314E-2</v>
      </c>
      <c r="CQ1089" s="169">
        <f t="shared" si="1979"/>
        <v>2.4258389867384853E-2</v>
      </c>
      <c r="CR1089" s="169">
        <f t="shared" si="1980"/>
        <v>6.3720160300892073E-2</v>
      </c>
      <c r="CS1089" s="179">
        <f t="shared" si="1968"/>
        <v>0.85126000000000002</v>
      </c>
      <c r="CT1089" s="180">
        <f t="shared" si="1969"/>
        <v>0.96515780330083989</v>
      </c>
      <c r="CU1089" s="180">
        <f t="shared" si="1970"/>
        <v>0.50448557089084056</v>
      </c>
      <c r="CV1089" s="180">
        <f t="shared" si="1971"/>
        <v>0.87391435735465484</v>
      </c>
      <c r="CW1089" s="180">
        <f t="shared" si="1972"/>
        <v>0.42551605393279146</v>
      </c>
      <c r="CX1089" s="181">
        <f>INDEX('State Tax Lookup'!$D$7:$Z$91,MATCH(Calculation!$C1089,'State Tax Lookup'!$B$7:$B$91,0),MATCH($H1089,'State Tax Lookup'!$D$6:$Z$6,0))</f>
        <v>0.40200000000000002</v>
      </c>
      <c r="CY1089" s="72">
        <v>0.37</v>
      </c>
      <c r="CZ1089" s="70">
        <f t="shared" si="1976"/>
        <v>18.934431837200279</v>
      </c>
      <c r="DA1089" s="70">
        <v>17.478615056163342</v>
      </c>
      <c r="DB1089" s="69">
        <f t="shared" si="1981"/>
        <v>-4.209825083016195E-2</v>
      </c>
      <c r="DC1089" s="111">
        <f>VLOOKUP($H1089,RoR!$E:$F,2,FALSE)</f>
        <v>5.3133333333333324E-2</v>
      </c>
      <c r="DD1089" s="216">
        <f>HLOOKUP($H1089,'GDP-PI'!$D$8:$CQ$11,3,FALSE)</f>
        <v>7.7972502758210105E-3</v>
      </c>
      <c r="DE1089" s="111">
        <f>VLOOKUP(H1089,'HW Dx Data'!$E:$F,2,FALSE)</f>
        <v>550.94063679692806</v>
      </c>
      <c r="DF1089" s="72">
        <f t="shared" si="1991"/>
        <v>110.925</v>
      </c>
      <c r="DG1089" s="69">
        <f t="shared" si="1992"/>
        <v>2.7649425000884052E-2</v>
      </c>
      <c r="DH1089" s="66">
        <f>HLOOKUP(H1089,'GDP-PI'!$8:$9,2,FALSE)</f>
        <v>94.998999999999995</v>
      </c>
      <c r="DI1089" s="69">
        <f t="shared" si="1982"/>
        <v>7.7670088183096342E-3</v>
      </c>
    </row>
    <row r="1090" spans="1:113" s="160" customFormat="1" ht="21">
      <c r="A1090" s="160" t="s">
        <v>224</v>
      </c>
      <c r="B1090" s="160" t="s">
        <v>225</v>
      </c>
      <c r="C1090" s="160">
        <v>4063060</v>
      </c>
      <c r="D1090" s="161" t="s">
        <v>181</v>
      </c>
      <c r="E1090" s="161" t="s">
        <v>3</v>
      </c>
      <c r="F1090" s="189"/>
      <c r="G1090" s="160" t="s">
        <v>126</v>
      </c>
      <c r="H1090" s="162">
        <v>2010</v>
      </c>
      <c r="I1090" s="163"/>
      <c r="J1090" s="159">
        <f>IFERROR(INDEX('Labor Expenditures'!$F$7:$X$91,MATCH($C1090,'Labor Expenditures'!$D$7:$D$91,0),MATCH($G1090,'Labor Expenditures'!$F$5:$X$5,0)),"NA")</f>
        <v>19376.118294045609</v>
      </c>
      <c r="K1090" s="159">
        <f t="shared" si="1983"/>
        <v>165.7140756386197</v>
      </c>
      <c r="L1090" s="165">
        <f t="shared" si="1989"/>
        <v>-0.17899794891296428</v>
      </c>
      <c r="M1090" s="76">
        <f t="shared" si="1993"/>
        <v>-1.5029408713873882E-3</v>
      </c>
      <c r="N1090" s="62">
        <f t="shared" si="2000"/>
        <v>97.855384029501053</v>
      </c>
      <c r="O1090" s="96">
        <f t="shared" si="1994"/>
        <v>-0.17606378068190232</v>
      </c>
      <c r="P1090" s="96"/>
      <c r="Q1090" s="159">
        <f>IFERROR(INDEX('Non-Labor Expenditures'!$F$7:$AB$91,MATCH($C1090,'Non-Labor Expenditures'!$D$7:$D$91,0),MATCH($G1090,'Non-Labor Expenditures'!$F$5:$AB$5,0)),"NA")</f>
        <v>28060.238249477898</v>
      </c>
      <c r="R1090" s="159">
        <f t="shared" si="1984"/>
        <v>291.96264917414499</v>
      </c>
      <c r="S1090" s="165">
        <f t="shared" si="1995"/>
        <v>-0.13793614137313759</v>
      </c>
      <c r="T1090" s="165">
        <f t="shared" si="1996"/>
        <v>-1.1581689386393999E-3</v>
      </c>
      <c r="U1090" s="165"/>
      <c r="V1090" s="165"/>
      <c r="W1090" s="159">
        <f t="shared" si="1964"/>
        <v>34160.590764971959</v>
      </c>
      <c r="X1090" s="163"/>
      <c r="Y1090" s="167">
        <v>1782.5355952655013</v>
      </c>
      <c r="Z1090" s="168">
        <v>1.2338488731320303E-2</v>
      </c>
      <c r="AA1090" s="76">
        <f t="shared" si="1985"/>
        <v>1.0359905863765414E-4</v>
      </c>
      <c r="AB1090" s="168"/>
      <c r="AC1090" s="168"/>
      <c r="AD1090" s="163">
        <f t="shared" si="1886"/>
        <v>81596.947308495466</v>
      </c>
      <c r="AE1090" s="168">
        <f t="shared" si="1997"/>
        <v>-6.0410201854901681E-2</v>
      </c>
      <c r="AF1090" s="163"/>
      <c r="AG1090" s="163"/>
      <c r="AH1090" s="163"/>
      <c r="AI1090" s="163"/>
      <c r="AJ1090" s="116">
        <f t="shared" si="1998"/>
        <v>464.69626924060015</v>
      </c>
      <c r="AK1090" s="114">
        <f>+AV1090/$AX$15</f>
        <v>4.9643267469699119E-3</v>
      </c>
      <c r="AL1090" s="115">
        <f t="shared" si="1986"/>
        <v>0.23746131360515083</v>
      </c>
      <c r="AM1090" s="115">
        <f t="shared" si="1987"/>
        <v>0.34388833375579486</v>
      </c>
      <c r="AN1090" s="115">
        <f t="shared" si="1988"/>
        <v>0.41865035263905431</v>
      </c>
      <c r="AO1090" s="115">
        <f t="shared" si="1990"/>
        <v>-8.8082343186703799E-2</v>
      </c>
      <c r="AP1090" s="166">
        <f t="shared" si="2002"/>
        <v>104.83260751310013</v>
      </c>
      <c r="AQ1090" s="168">
        <f t="shared" si="2003"/>
        <v>-8.8082343186703799E-2</v>
      </c>
      <c r="AR1090" s="69">
        <f>+AD1090/$AF$15</f>
        <v>8.3964139282857158E-3</v>
      </c>
      <c r="AS1090" s="169">
        <f t="shared" si="2001"/>
        <v>-7.3957581316888218E-4</v>
      </c>
      <c r="AT1090" s="115"/>
      <c r="AU1090" s="115"/>
      <c r="AV1090" s="113">
        <f>IFERROR(INDEX('Total Customers'!$F$7:$AB$91,MATCH($C1090,'Total Customers'!$D$7:$D$91,0),MATCH($G1090,'Total Customers'!$F$5:$AB$5,0)),"NA")</f>
        <v>175592</v>
      </c>
      <c r="AW1090" s="68">
        <f t="shared" si="1875"/>
        <v>-7.2869703092402229E-4</v>
      </c>
      <c r="AX1090" s="114"/>
      <c r="AY1090" s="114"/>
      <c r="AZ1090" s="116">
        <v>8403441</v>
      </c>
      <c r="BA1090" s="116"/>
      <c r="BB1090" s="166"/>
      <c r="BC1090" s="166"/>
      <c r="BD1090" s="166"/>
      <c r="BE1090" s="166"/>
      <c r="BF1090" s="166"/>
      <c r="BG1090" s="166"/>
      <c r="BH1090" s="166"/>
      <c r="BI1090" s="113"/>
      <c r="BJ1090" s="113"/>
      <c r="BK1090" s="113">
        <f>INDEX('Dist. Plant Gas Additions'!$F$7:$AE$91,MATCH($C1090,'Dist. Plant Gas Additions'!$D$7:$D$91,0),MATCH(Calculation!$G1090,'Dist. Plant Gas Additions'!$F$5:$AE$5,0))</f>
        <v>19771</v>
      </c>
      <c r="BL1090" s="113">
        <f>INDEX('Gen. Plant Additions'!$F$7:$AE$91,MATCH($C1090,'Gen. Plant Additions'!$D$7:$D$91,0),MATCH(Calculation!$G1090,'Gen. Plant Additions'!$F$5:$AE$5,0))</f>
        <v>-227</v>
      </c>
      <c r="BM1090" s="231">
        <f t="shared" si="1973"/>
        <v>0.95501796651291848</v>
      </c>
      <c r="BN1090" s="61">
        <f t="shared" si="1977"/>
        <v>-216.78907839843251</v>
      </c>
      <c r="BO1090" s="113">
        <f>INDEX('Dist Plant Depreciation'!$E$7:$AD$94,MATCH($C1090,'Dist Plant Depreciation'!$D$7:$D$94,0),MATCH(Calculation!$G1090,'Dist Plant Depreciation'!$E$5:$AD$5,0))</f>
        <v>243628</v>
      </c>
      <c r="BP1090" s="113">
        <f>INDEX('Gen. Plant Depreciation'!$E$7:$AD$94,MATCH($C1090,'Gen. Plant Depreciation'!$D$7:$D$94,0),MATCH(Calculation!$G1090,'Gen. Plant Depreciation'!$E$5:$AD$5,0))</f>
        <v>15098</v>
      </c>
      <c r="BQ1090" s="113"/>
      <c r="BR1090" s="113"/>
      <c r="BS1090" s="113"/>
      <c r="BT1090" s="113"/>
      <c r="BU1090" s="113"/>
      <c r="BV1090" s="175"/>
      <c r="BW1090" s="113">
        <f>INDEX('Gross Dx Plant'!$E$7:$AD$91,MATCH($C1090,'Gross Dx Plant'!$D$7:$D$91,0),MATCH(Calculation!$G1090,'Gross Dx Plant'!$E$5:$AD$5,0))</f>
        <v>580989</v>
      </c>
      <c r="BX1090" s="113">
        <f>INDEX('Gross Gen Plant'!$E$7:$AD$91,MATCH($C1090,'Gross Gen Plant'!$D$7:$D$91,0),MATCH(Calculation!$G1090,'Gross Gen Plant'!$E$5:$AD$5,0))</f>
        <v>27365</v>
      </c>
      <c r="BY1090" s="113">
        <f t="shared" si="1999"/>
        <v>349628</v>
      </c>
      <c r="BZ1090" s="113"/>
      <c r="CA1090" s="116">
        <v>2010</v>
      </c>
      <c r="CB1090" s="113"/>
      <c r="CC1090" s="113"/>
      <c r="CD1090" s="113"/>
      <c r="CE1090" s="175"/>
      <c r="CF1090" s="113">
        <f t="shared" si="1974"/>
        <v>19544</v>
      </c>
      <c r="CG1090" s="113">
        <f t="shared" si="1965"/>
        <v>34.34861260123931</v>
      </c>
      <c r="CH1090" s="178">
        <v>0.9285714285714286</v>
      </c>
      <c r="CI1090" s="61">
        <f>+CI1078*CH1090+CG1079*CH1089+CG1080*CH1088+CG1081*CH1087+CG1082*CH1086+CG1083*CH1085+CG1084*CH1084+CG1085*CH1083+CG1086*CH1082+CG1087*CH1081+CG1088*CH1080+CG1089*CH1079+CG1090</f>
        <v>1782.5355952655013</v>
      </c>
      <c r="CJ1090" s="114">
        <f t="shared" si="1966"/>
        <v>1.2338488731320303E-2</v>
      </c>
      <c r="CK1090" s="114"/>
      <c r="CL1090" s="169">
        <f t="shared" si="1967"/>
        <v>7.0938318143338452E-3</v>
      </c>
      <c r="CM1090" s="169">
        <f t="shared" si="1978"/>
        <v>6.8635613063110943E-3</v>
      </c>
      <c r="CN1090" s="114">
        <f>VLOOKUP($H1090,RoR!$E:$F,2,FALSE)</f>
        <v>4.9433333333333322E-2</v>
      </c>
      <c r="CO1090" s="169">
        <v>1.1684333519300205E-2</v>
      </c>
      <c r="CP1090" s="169">
        <f t="shared" si="1975"/>
        <v>3.7748999814033117E-2</v>
      </c>
      <c r="CQ1090" s="169">
        <f t="shared" si="1979"/>
        <v>2.403838030222253E-2</v>
      </c>
      <c r="CR1090" s="169">
        <f t="shared" si="1980"/>
        <v>4.7937530248493419E-2</v>
      </c>
      <c r="CS1090" s="179">
        <f t="shared" si="1968"/>
        <v>0.85126000000000002</v>
      </c>
      <c r="CT1090" s="180">
        <f t="shared" si="1969"/>
        <v>1.037398205301105</v>
      </c>
      <c r="CU1090" s="180">
        <f t="shared" si="1970"/>
        <v>0.46926837491571133</v>
      </c>
      <c r="CV1090" s="180">
        <f t="shared" si="1971"/>
        <v>0.8548537519972772</v>
      </c>
      <c r="CW1090" s="180">
        <f t="shared" si="1972"/>
        <v>0.41615833911547367</v>
      </c>
      <c r="CX1090" s="181">
        <f>INDEX('State Tax Lookup'!$D$7:$Z$91,MATCH(Calculation!$C1090,'State Tax Lookup'!$B$7:$B$91,0),MATCH($H1090,'State Tax Lookup'!$D$6:$Z$6,0))</f>
        <v>0.40200000000000002</v>
      </c>
      <c r="CY1090" s="72">
        <v>0.37</v>
      </c>
      <c r="CZ1090" s="70">
        <f t="shared" si="1976"/>
        <v>19.401964215358156</v>
      </c>
      <c r="DA1090" s="70">
        <v>17.956102603965455</v>
      </c>
      <c r="DB1090" s="69">
        <f t="shared" si="1981"/>
        <v>2.4392254212002751E-2</v>
      </c>
      <c r="DC1090" s="111">
        <f>VLOOKUP($H1090,RoR!$E:$F,2,FALSE)</f>
        <v>4.9433333333333322E-2</v>
      </c>
      <c r="DD1090" s="216">
        <f>HLOOKUP($H1090,'GDP-PI'!$D$8:$CQ$11,3,FALSE)</f>
        <v>1.1684333519300205E-2</v>
      </c>
      <c r="DE1090" s="111">
        <f>VLOOKUP(H1090,'HW Dx Data'!$E:$F,2,FALSE)</f>
        <v>568.98950262971744</v>
      </c>
      <c r="DF1090" s="72">
        <f t="shared" si="1991"/>
        <v>116.925</v>
      </c>
      <c r="DG1090" s="69">
        <f t="shared" si="1992"/>
        <v>5.2678406346976722E-2</v>
      </c>
      <c r="DH1090" s="66">
        <f>HLOOKUP(H1090,'GDP-PI'!$8:$9,2,FALSE)</f>
        <v>96.108999999999995</v>
      </c>
      <c r="DI1090" s="69">
        <f t="shared" si="1982"/>
        <v>1.1616598807150427E-2</v>
      </c>
    </row>
    <row r="1091" spans="1:113" s="160" customFormat="1" ht="21">
      <c r="A1091" s="160" t="s">
        <v>224</v>
      </c>
      <c r="B1091" s="160" t="s">
        <v>225</v>
      </c>
      <c r="C1091" s="160">
        <v>4063060</v>
      </c>
      <c r="D1091" s="161" t="s">
        <v>181</v>
      </c>
      <c r="E1091" s="161" t="s">
        <v>3</v>
      </c>
      <c r="F1091" s="189"/>
      <c r="G1091" s="160" t="s">
        <v>127</v>
      </c>
      <c r="H1091" s="162">
        <v>2011</v>
      </c>
      <c r="I1091" s="163"/>
      <c r="J1091" s="159">
        <f>IFERROR(INDEX('Labor Expenditures'!$F$7:$X$91,MATCH($C1091,'Labor Expenditures'!$D$7:$D$91,0),MATCH($G1091,'Labor Expenditures'!$F$5:$X$5,0)),"NA")</f>
        <v>20628.136247997336</v>
      </c>
      <c r="K1091" s="159">
        <f t="shared" si="1983"/>
        <v>170.65676316854052</v>
      </c>
      <c r="L1091" s="165">
        <f t="shared" si="1989"/>
        <v>2.9390439032048864E-2</v>
      </c>
      <c r="M1091" s="76">
        <f t="shared" si="1993"/>
        <v>2.5162810850214634E-4</v>
      </c>
      <c r="N1091" s="62">
        <f t="shared" si="2000"/>
        <v>118.1955287430676</v>
      </c>
      <c r="O1091" s="96">
        <f t="shared" si="1994"/>
        <v>0.18884956073944484</v>
      </c>
      <c r="P1091" s="96"/>
      <c r="Q1091" s="159">
        <f>IFERROR(INDEX('Non-Labor Expenditures'!$F$7:$AB$91,MATCH($C1091,'Non-Labor Expenditures'!$D$7:$D$91,0),MATCH($G1091,'Non-Labor Expenditures'!$F$5:$AB$5,0)),"NA")</f>
        <v>29873.394091497375</v>
      </c>
      <c r="R1091" s="159">
        <f t="shared" si="1984"/>
        <v>304.48257187191552</v>
      </c>
      <c r="S1091" s="165">
        <f t="shared" si="1995"/>
        <v>4.1987969980707945E-2</v>
      </c>
      <c r="T1091" s="165">
        <f t="shared" si="1996"/>
        <v>3.5948266899209745E-4</v>
      </c>
      <c r="U1091" s="165"/>
      <c r="V1091" s="165"/>
      <c r="W1091" s="159">
        <f t="shared" si="1964"/>
        <v>36877.927915977452</v>
      </c>
      <c r="X1091" s="163"/>
      <c r="Y1091" s="167">
        <v>1810.0097302681097</v>
      </c>
      <c r="Z1091" s="168">
        <v>1.5295378701680037E-2</v>
      </c>
      <c r="AA1091" s="76">
        <f t="shared" si="1985"/>
        <v>1.3095235519724248E-4</v>
      </c>
      <c r="AB1091" s="168"/>
      <c r="AC1091" s="168"/>
      <c r="AD1091" s="163">
        <f t="shared" si="1886"/>
        <v>87379.458255472156</v>
      </c>
      <c r="AE1091" s="168">
        <f t="shared" si="1997"/>
        <v>6.8468372800192065E-2</v>
      </c>
      <c r="AF1091" s="163"/>
      <c r="AG1091" s="163"/>
      <c r="AH1091" s="163"/>
      <c r="AI1091" s="163"/>
      <c r="AJ1091" s="116">
        <f t="shared" si="1998"/>
        <v>492.94793638389109</v>
      </c>
      <c r="AK1091" s="114">
        <f>+AV1091/$AX$16</f>
        <v>4.9872758474006525E-3</v>
      </c>
      <c r="AL1091" s="115">
        <f t="shared" si="1986"/>
        <v>0.23607535065835103</v>
      </c>
      <c r="AM1091" s="115">
        <f t="shared" si="1987"/>
        <v>0.34188120054665766</v>
      </c>
      <c r="AN1091" s="115">
        <f t="shared" si="1988"/>
        <v>0.42204344879499139</v>
      </c>
      <c r="AO1091" s="115">
        <f t="shared" si="1990"/>
        <v>2.7785125572770207E-2</v>
      </c>
      <c r="AP1091" s="166">
        <f t="shared" si="2002"/>
        <v>107.78623815845118</v>
      </c>
      <c r="AQ1091" s="168">
        <f t="shared" si="2003"/>
        <v>2.7785125572770113E-2</v>
      </c>
      <c r="AR1091" s="69">
        <f>+AD1091/$AF$16</f>
        <v>8.5615634467983946E-3</v>
      </c>
      <c r="AS1091" s="169">
        <f t="shared" si="2001"/>
        <v>2.378841154685319E-4</v>
      </c>
      <c r="AT1091" s="115"/>
      <c r="AU1091" s="115"/>
      <c r="AV1091" s="113">
        <f>IFERROR(INDEX('Total Customers'!$F$7:$AB$91,MATCH($C1091,'Total Customers'!$D$7:$D$91,0),MATCH($G1091,'Total Customers'!$F$5:$AB$5,0)),"NA")</f>
        <v>177259</v>
      </c>
      <c r="AW1091" s="68">
        <f t="shared" si="1875"/>
        <v>9.4488177870174477E-3</v>
      </c>
      <c r="AX1091" s="114"/>
      <c r="AY1091" s="114"/>
      <c r="AZ1091" s="116">
        <v>8437841</v>
      </c>
      <c r="BA1091" s="116"/>
      <c r="BB1091" s="166"/>
      <c r="BC1091" s="166"/>
      <c r="BD1091" s="166"/>
      <c r="BE1091" s="166"/>
      <c r="BF1091" s="166"/>
      <c r="BG1091" s="166"/>
      <c r="BH1091" s="166"/>
      <c r="BI1091" s="113"/>
      <c r="BJ1091" s="113"/>
      <c r="BK1091" s="113">
        <f>INDEX('Dist. Plant Gas Additions'!$F$7:$AE$91,MATCH($C1091,'Dist. Plant Gas Additions'!$D$7:$D$91,0),MATCH(Calculation!$G1091,'Dist. Plant Gas Additions'!$F$5:$AE$5,0))</f>
        <v>23801</v>
      </c>
      <c r="BL1091" s="113">
        <f>INDEX('Gen. Plant Additions'!$F$7:$AE$91,MATCH($C1091,'Gen. Plant Additions'!$D$7:$D$91,0),MATCH(Calculation!$G1091,'Gen. Plant Additions'!$F$5:$AE$5,0))</f>
        <v>1017</v>
      </c>
      <c r="BM1091" s="231">
        <f t="shared" si="1973"/>
        <v>0.95611989344223069</v>
      </c>
      <c r="BN1091" s="61">
        <f t="shared" si="1977"/>
        <v>972.37393163074864</v>
      </c>
      <c r="BO1091" s="113">
        <f>INDEX('Dist Plant Depreciation'!$E$7:$AD$94,MATCH($C1091,'Dist Plant Depreciation'!$D$7:$D$94,0),MATCH(Calculation!$G1091,'Dist Plant Depreciation'!$E$5:$AD$5,0))</f>
        <v>252807</v>
      </c>
      <c r="BP1091" s="113">
        <f>INDEX('Gen. Plant Depreciation'!$E$7:$AD$94,MATCH($C1091,'Gen. Plant Depreciation'!$D$7:$D$94,0),MATCH(Calculation!$G1091,'Gen. Plant Depreciation'!$E$5:$AD$5,0))</f>
        <v>6858</v>
      </c>
      <c r="BQ1091" s="113"/>
      <c r="BR1091" s="113"/>
      <c r="BS1091" s="113"/>
      <c r="BT1091" s="113"/>
      <c r="BU1091" s="113"/>
      <c r="BV1091" s="175"/>
      <c r="BW1091" s="113">
        <f>INDEX('Gross Dx Plant'!$E$7:$AD$91,MATCH($C1091,'Gross Dx Plant'!$D$7:$D$91,0),MATCH(Calculation!$G1091,'Gross Dx Plant'!$E$5:$AD$5,0))</f>
        <v>599382</v>
      </c>
      <c r="BX1091" s="113">
        <f>INDEX('Gross Gen Plant'!$E$7:$AD$91,MATCH($C1091,'Gross Gen Plant'!$D$7:$D$91,0),MATCH(Calculation!$G1091,'Gross Gen Plant'!$E$5:$AD$5,0))</f>
        <v>27508</v>
      </c>
      <c r="BY1091" s="113">
        <f t="shared" si="1999"/>
        <v>367225</v>
      </c>
      <c r="BZ1091" s="113"/>
      <c r="CA1091" s="116">
        <v>2011</v>
      </c>
      <c r="CB1091" s="113"/>
      <c r="CC1091" s="113"/>
      <c r="CD1091" s="113"/>
      <c r="CE1091" s="175"/>
      <c r="CF1091" s="113">
        <f t="shared" si="1974"/>
        <v>24818</v>
      </c>
      <c r="CG1091" s="113">
        <f t="shared" si="1965"/>
        <v>40.57807348056307</v>
      </c>
      <c r="CH1091" s="178">
        <v>0.92121212121212126</v>
      </c>
      <c r="CI1091" s="61">
        <f>+CI1078*CH1091+CG1079*CH1090+CG1080*CH1089+CG1081*CH1088+CG1082*CH1087+CG1083*CH1086+CG1084*CH1085+CG1085*CH1084+CG1086*CH1083+CG1087*CH1082+CG1088*CH1081+CG1089*CH1080+CG1090*CH1079+CG1091</f>
        <v>1810.0097302681097</v>
      </c>
      <c r="CJ1091" s="114">
        <f t="shared" si="1966"/>
        <v>1.5295378701680037E-2</v>
      </c>
      <c r="CK1091" s="114"/>
      <c r="CL1091" s="169">
        <f t="shared" si="1967"/>
        <v>7.3512913362063486E-3</v>
      </c>
      <c r="CM1091" s="169">
        <f t="shared" si="1978"/>
        <v>7.0988882337814927E-3</v>
      </c>
      <c r="CN1091" s="114">
        <f>VLOOKUP($H1091,RoR!$E:$F,2,FALSE)</f>
        <v>4.6391666666666664E-2</v>
      </c>
      <c r="CO1091" s="169">
        <v>2.0840920205183799E-2</v>
      </c>
      <c r="CP1091" s="169">
        <f t="shared" si="1975"/>
        <v>2.5550746461482865E-2</v>
      </c>
      <c r="CQ1091" s="169">
        <f t="shared" si="1979"/>
        <v>2.3803053374752133E-2</v>
      </c>
      <c r="CR1091" s="169">
        <f t="shared" si="1980"/>
        <v>2.4810540821321614E-2</v>
      </c>
      <c r="CS1091" s="179">
        <f t="shared" si="1968"/>
        <v>0.85126000000000002</v>
      </c>
      <c r="CT1091" s="180">
        <f t="shared" si="1969"/>
        <v>1.1054151524782025</v>
      </c>
      <c r="CU1091" s="180">
        <f t="shared" si="1970"/>
        <v>0.43611011316687626</v>
      </c>
      <c r="CV1091" s="180">
        <f t="shared" si="1971"/>
        <v>0.83698442246886229</v>
      </c>
      <c r="CW1091" s="180">
        <f t="shared" si="1972"/>
        <v>0.40349573304423936</v>
      </c>
      <c r="CX1091" s="181">
        <f>INDEX('State Tax Lookup'!$D$7:$Z$91,MATCH(Calculation!$C1091,'State Tax Lookup'!$B$7:$B$91,0),MATCH($H1091,'State Tax Lookup'!$D$6:$Z$6,0))</f>
        <v>0.40200000000000002</v>
      </c>
      <c r="CY1091" s="72">
        <v>0.37</v>
      </c>
      <c r="CZ1091" s="70">
        <f t="shared" si="1976"/>
        <v>20.688466482199271</v>
      </c>
      <c r="DA1091" s="70">
        <v>19.146574949201604</v>
      </c>
      <c r="DB1091" s="69">
        <f t="shared" si="1981"/>
        <v>6.4202061060430277E-2</v>
      </c>
      <c r="DC1091" s="111">
        <f>VLOOKUP($H1091,RoR!$E:$F,2,FALSE)</f>
        <v>4.6391666666666664E-2</v>
      </c>
      <c r="DD1091" s="216">
        <f>HLOOKUP($H1091,'GDP-PI'!$D$8:$CQ$11,3,FALSE)</f>
        <v>2.0840920205183799E-2</v>
      </c>
      <c r="DE1091" s="111">
        <f>VLOOKUP(H1091,'HW Dx Data'!$E:$F,2,FALSE)</f>
        <v>611.61109612283201</v>
      </c>
      <c r="DF1091" s="72">
        <f t="shared" si="1991"/>
        <v>120.875</v>
      </c>
      <c r="DG1091" s="69">
        <f t="shared" si="1992"/>
        <v>3.3224250161508609E-2</v>
      </c>
      <c r="DH1091" s="66">
        <f>HLOOKUP(H1091,'GDP-PI'!$8:$9,2,FALSE)</f>
        <v>98.111999999999995</v>
      </c>
      <c r="DI1091" s="69">
        <f t="shared" si="1982"/>
        <v>2.0626719212849295E-2</v>
      </c>
    </row>
    <row r="1092" spans="1:113" s="160" customFormat="1" ht="21">
      <c r="A1092" s="160" t="s">
        <v>224</v>
      </c>
      <c r="B1092" s="160" t="s">
        <v>225</v>
      </c>
      <c r="C1092" s="160">
        <v>4063060</v>
      </c>
      <c r="D1092" s="161" t="s">
        <v>181</v>
      </c>
      <c r="E1092" s="161" t="s">
        <v>3</v>
      </c>
      <c r="F1092" s="189"/>
      <c r="G1092" s="160" t="s">
        <v>128</v>
      </c>
      <c r="H1092" s="162">
        <v>2012</v>
      </c>
      <c r="I1092" s="163"/>
      <c r="J1092" s="159">
        <f>IFERROR(INDEX('Labor Expenditures'!$F$7:$X$91,MATCH($C1092,'Labor Expenditures'!$D$7:$D$91,0),MATCH($G1092,'Labor Expenditures'!$F$5:$X$5,0)),"NA")</f>
        <v>22392.395419090866</v>
      </c>
      <c r="K1092" s="159">
        <f t="shared" si="1983"/>
        <v>179.42624534527937</v>
      </c>
      <c r="L1092" s="165">
        <f t="shared" si="1989"/>
        <v>5.0109927670438079E-2</v>
      </c>
      <c r="M1092" s="76">
        <f t="shared" si="1993"/>
        <v>4.462543611633671E-4</v>
      </c>
      <c r="N1092" s="62">
        <f t="shared" si="2000"/>
        <v>117.85536739542857</v>
      </c>
      <c r="O1092" s="96">
        <f t="shared" si="1994"/>
        <v>-2.8821037214156351E-3</v>
      </c>
      <c r="P1092" s="96"/>
      <c r="Q1092" s="159">
        <f>IFERROR(INDEX('Non-Labor Expenditures'!$F$7:$AB$91,MATCH($C1092,'Non-Labor Expenditures'!$D$7:$D$91,0),MATCH($G1092,'Non-Labor Expenditures'!$F$5:$AB$5,0)),"NA")</f>
        <v>32428.370889400398</v>
      </c>
      <c r="R1092" s="159">
        <f t="shared" si="1984"/>
        <v>324.28370889400395</v>
      </c>
      <c r="S1092" s="165">
        <f t="shared" si="1995"/>
        <v>6.3004927093564478E-2</v>
      </c>
      <c r="T1092" s="165">
        <f t="shared" si="1996"/>
        <v>5.6109088153543795E-4</v>
      </c>
      <c r="U1092" s="165"/>
      <c r="V1092" s="165"/>
      <c r="W1092" s="159">
        <f t="shared" si="1964"/>
        <v>40415.027154038675</v>
      </c>
      <c r="X1092" s="163"/>
      <c r="Y1092" s="167">
        <v>1857.1866003144576</v>
      </c>
      <c r="Z1092" s="168">
        <v>2.5730541042289931E-2</v>
      </c>
      <c r="AA1092" s="76">
        <f t="shared" si="1985"/>
        <v>2.2914353879598221E-4</v>
      </c>
      <c r="AB1092" s="168"/>
      <c r="AC1092" s="168"/>
      <c r="AD1092" s="163">
        <f t="shared" si="1886"/>
        <v>95235.793462529939</v>
      </c>
      <c r="AE1092" s="168">
        <f t="shared" si="1997"/>
        <v>8.6095629247796304E-2</v>
      </c>
      <c r="AF1092" s="163"/>
      <c r="AG1092" s="163"/>
      <c r="AH1092" s="163"/>
      <c r="AI1092" s="163"/>
      <c r="AJ1092" s="116">
        <f t="shared" si="1998"/>
        <v>527.01190014072313</v>
      </c>
      <c r="AK1092" s="114">
        <f>+AV1092/$AX$17</f>
        <v>5.0599776291245756E-3</v>
      </c>
      <c r="AL1092" s="115">
        <f t="shared" si="1986"/>
        <v>0.23512583457291239</v>
      </c>
      <c r="AM1092" s="115">
        <f t="shared" si="1987"/>
        <v>0.34050612390980062</v>
      </c>
      <c r="AN1092" s="115">
        <f t="shared" si="1988"/>
        <v>0.42436804151728702</v>
      </c>
      <c r="AO1092" s="115">
        <f t="shared" si="1990"/>
        <v>4.4192123263630423E-2</v>
      </c>
      <c r="AP1092" s="166">
        <f t="shared" si="2002"/>
        <v>112.65635880369113</v>
      </c>
      <c r="AQ1092" s="168">
        <f t="shared" si="2003"/>
        <v>4.4192123263630513E-2</v>
      </c>
      <c r="AR1092" s="69">
        <f>+AD1092/$AF$17</f>
        <v>8.9055079883228611E-3</v>
      </c>
      <c r="AS1092" s="169">
        <f t="shared" si="2001"/>
        <v>3.9355330674521006E-4</v>
      </c>
      <c r="AT1092" s="115"/>
      <c r="AU1092" s="115"/>
      <c r="AV1092" s="113">
        <f>IFERROR(INDEX('Total Customers'!$F$7:$AB$91,MATCH($C1092,'Total Customers'!$D$7:$D$91,0),MATCH($G1092,'Total Customers'!$F$5:$AB$5,0)),"NA")</f>
        <v>180709</v>
      </c>
      <c r="AW1092" s="68">
        <f t="shared" ref="AW1092:AW1155" si="2004">LN(AV1092/AV1091)</f>
        <v>1.9276062803016813E-2</v>
      </c>
      <c r="AX1092" s="114"/>
      <c r="AY1092" s="114"/>
      <c r="AZ1092" s="116">
        <v>8485072</v>
      </c>
      <c r="BA1092" s="116"/>
      <c r="BB1092" s="166"/>
      <c r="BC1092" s="166"/>
      <c r="BD1092" s="166"/>
      <c r="BE1092" s="166"/>
      <c r="BF1092" s="166"/>
      <c r="BG1092" s="166"/>
      <c r="BH1092" s="166"/>
      <c r="BI1092" s="113"/>
      <c r="BJ1092" s="113"/>
      <c r="BK1092" s="113">
        <f>INDEX('Dist. Plant Gas Additions'!$F$7:$AE$91,MATCH($C1092,'Dist. Plant Gas Additions'!$D$7:$D$91,0),MATCH(Calculation!$G1092,'Dist. Plant Gas Additions'!$F$5:$AE$5,0))</f>
        <v>36182</v>
      </c>
      <c r="BL1092" s="113">
        <f>INDEX('Gen. Plant Additions'!$F$7:$AE$91,MATCH($C1092,'Gen. Plant Additions'!$D$7:$D$91,0),MATCH(Calculation!$G1092,'Gen. Plant Additions'!$F$5:$AE$5,0))</f>
        <v>4592</v>
      </c>
      <c r="BM1092" s="231">
        <f t="shared" si="1973"/>
        <v>0.95366527833219106</v>
      </c>
      <c r="BN1092" s="61">
        <f t="shared" si="1977"/>
        <v>4379.2309581014215</v>
      </c>
      <c r="BO1092" s="113">
        <f>INDEX('Dist Plant Depreciation'!$E$7:$AD$94,MATCH($C1092,'Dist Plant Depreciation'!$D$7:$D$94,0),MATCH(Calculation!$G1092,'Dist Plant Depreciation'!$E$5:$AD$5,0))</f>
        <v>268871</v>
      </c>
      <c r="BP1092" s="113">
        <f>INDEX('Gen. Plant Depreciation'!$E$7:$AD$94,MATCH($C1092,'Gen. Plant Depreciation'!$D$7:$D$94,0),MATCH(Calculation!$G1092,'Gen. Plant Depreciation'!$E$5:$AD$5,0))</f>
        <v>5458</v>
      </c>
      <c r="BQ1092" s="113"/>
      <c r="BR1092" s="113"/>
      <c r="BS1092" s="113"/>
      <c r="BT1092" s="113"/>
      <c r="BU1092" s="113"/>
      <c r="BV1092" s="175"/>
      <c r="BW1092" s="113">
        <f>INDEX('Gross Dx Plant'!$E$7:$AD$91,MATCH($C1092,'Gross Dx Plant'!$D$7:$D$91,0),MATCH(Calculation!$G1092,'Gross Dx Plant'!$E$5:$AD$5,0))</f>
        <v>633105</v>
      </c>
      <c r="BX1092" s="113">
        <f>INDEX('Gross Gen Plant'!$E$7:$AD$91,MATCH($C1092,'Gross Gen Plant'!$D$7:$D$91,0),MATCH(Calculation!$G1092,'Gross Gen Plant'!$E$5:$AD$5,0))</f>
        <v>30760</v>
      </c>
      <c r="BY1092" s="113">
        <f t="shared" si="1999"/>
        <v>389536</v>
      </c>
      <c r="BZ1092" s="113"/>
      <c r="CA1092" s="116">
        <v>2012</v>
      </c>
      <c r="CB1092" s="113"/>
      <c r="CC1092" s="113"/>
      <c r="CD1092" s="113"/>
      <c r="CE1092" s="175"/>
      <c r="CF1092" s="113">
        <f t="shared" si="1974"/>
        <v>40774</v>
      </c>
      <c r="CG1092" s="113">
        <f t="shared" si="1965"/>
        <v>60.955033966166617</v>
      </c>
      <c r="CH1092" s="178">
        <v>0.9135802469135802</v>
      </c>
      <c r="CI1092" s="61">
        <f>+CI1078*CH1092+CG1079*CH1091+CG1080*CH1090+CG1081*CH1089+CG1082*CH1088+CG1083*CH1087+CG1084*CH1086+CG1085*CH1085+CG1086*CH1084+CG1087*CH1083+CG1088*CH1082+CG1089*CH1081+CG1090*CH1080+CG1091*CH1079+CG1092</f>
        <v>1857.1866003144576</v>
      </c>
      <c r="CJ1092" s="114">
        <f t="shared" si="1966"/>
        <v>2.5730541042289931E-2</v>
      </c>
      <c r="CK1092" s="114"/>
      <c r="CL1092" s="169">
        <f t="shared" si="1967"/>
        <v>7.6122043375854414E-3</v>
      </c>
      <c r="CM1092" s="169">
        <f t="shared" si="1978"/>
        <v>7.3524424960418784E-3</v>
      </c>
      <c r="CN1092" s="114">
        <f>VLOOKUP($H1092,RoR!$E:$F,2,FALSE)</f>
        <v>3.6733333333333333E-2</v>
      </c>
      <c r="CO1092" s="169">
        <v>1.924331376386168E-2</v>
      </c>
      <c r="CP1092" s="169">
        <f t="shared" si="1975"/>
        <v>1.7490019569471653E-2</v>
      </c>
      <c r="CQ1092" s="169">
        <f t="shared" si="1979"/>
        <v>2.3549499112491747E-2</v>
      </c>
      <c r="CR1092" s="169">
        <f t="shared" si="1980"/>
        <v>6.7122682943869583E-2</v>
      </c>
      <c r="CS1092" s="179">
        <f t="shared" si="1968"/>
        <v>0.85126000000000002</v>
      </c>
      <c r="CT1092" s="180">
        <f t="shared" si="1969"/>
        <v>1.3960631020522127</v>
      </c>
      <c r="CU1092" s="180">
        <f t="shared" si="1970"/>
        <v>0.29441923774954631</v>
      </c>
      <c r="CV1092" s="180">
        <f t="shared" si="1971"/>
        <v>0.76377954189366437</v>
      </c>
      <c r="CW1092" s="180">
        <f t="shared" si="1972"/>
        <v>0.31393465103033691</v>
      </c>
      <c r="CX1092" s="181">
        <f>INDEX('State Tax Lookup'!$D$7:$Z$91,MATCH(Calculation!$C1092,'State Tax Lookup'!$B$7:$B$91,0),MATCH($H1092,'State Tax Lookup'!$D$6:$Z$6,0))</f>
        <v>0.40200000000000002</v>
      </c>
      <c r="CY1092" s="72">
        <v>0.37</v>
      </c>
      <c r="CZ1092" s="70">
        <f t="shared" si="1976"/>
        <v>22.328624248916139</v>
      </c>
      <c r="DA1092" s="70">
        <v>20.759737328210988</v>
      </c>
      <c r="DB1092" s="69">
        <f t="shared" si="1981"/>
        <v>7.6293083744976106E-2</v>
      </c>
      <c r="DC1092" s="111">
        <f>VLOOKUP($H1092,RoR!$E:$F,2,FALSE)</f>
        <v>3.6733333333333333E-2</v>
      </c>
      <c r="DD1092" s="216">
        <f>HLOOKUP($H1092,'GDP-PI'!$D$8:$CQ$11,3,FALSE)</f>
        <v>1.924331376386168E-2</v>
      </c>
      <c r="DE1092" s="111">
        <f>VLOOKUP(H1092,'HW Dx Data'!$E:$F,2,FALSE)</f>
        <v>668.91932211262167</v>
      </c>
      <c r="DF1092" s="72">
        <f t="shared" si="1991"/>
        <v>124.80000000000001</v>
      </c>
      <c r="DG1092" s="69">
        <f t="shared" si="1992"/>
        <v>3.1955502161869064E-2</v>
      </c>
      <c r="DH1092" s="66">
        <f>HLOOKUP(H1092,'GDP-PI'!$8:$9,2,FALSE)</f>
        <v>100</v>
      </c>
      <c r="DI1092" s="69">
        <f t="shared" si="1982"/>
        <v>1.9060502738742411E-2</v>
      </c>
    </row>
    <row r="1093" spans="1:113" s="160" customFormat="1" ht="21">
      <c r="A1093" s="160" t="s">
        <v>224</v>
      </c>
      <c r="B1093" s="160" t="s">
        <v>225</v>
      </c>
      <c r="C1093" s="160">
        <v>4063060</v>
      </c>
      <c r="D1093" s="161" t="s">
        <v>181</v>
      </c>
      <c r="E1093" s="161" t="s">
        <v>3</v>
      </c>
      <c r="F1093" s="189"/>
      <c r="G1093" s="160" t="s">
        <v>129</v>
      </c>
      <c r="H1093" s="162">
        <v>2013</v>
      </c>
      <c r="I1093" s="163"/>
      <c r="J1093" s="159">
        <f>IFERROR(INDEX('Labor Expenditures'!$F$7:$X$91,MATCH($C1093,'Labor Expenditures'!$D$7:$D$91,0),MATCH($G1093,'Labor Expenditures'!$F$5:$X$5,0)),"NA")</f>
        <v>22354.797738245295</v>
      </c>
      <c r="K1093" s="159">
        <f t="shared" si="1983"/>
        <v>176.29966670540455</v>
      </c>
      <c r="L1093" s="165">
        <f t="shared" si="1989"/>
        <v>-1.7579035143612805E-2</v>
      </c>
      <c r="M1093" s="76">
        <f t="shared" si="1993"/>
        <v>-1.5126152711723601E-4</v>
      </c>
      <c r="N1093" s="62">
        <f t="shared" si="2000"/>
        <v>107.64998862746292</v>
      </c>
      <c r="O1093" s="96">
        <f t="shared" si="1994"/>
        <v>-9.0573054475526743E-2</v>
      </c>
      <c r="P1093" s="96"/>
      <c r="Q1093" s="159">
        <f>IFERROR(INDEX('Non-Labor Expenditures'!$F$7:$AB$91,MATCH($C1093,'Non-Labor Expenditures'!$D$7:$D$91,0),MATCH($G1093,'Non-Labor Expenditures'!$F$5:$AB$5,0)),"NA")</f>
        <v>32373.922425257879</v>
      </c>
      <c r="R1093" s="159">
        <f t="shared" si="1984"/>
        <v>318.09932325133269</v>
      </c>
      <c r="S1093" s="165">
        <f t="shared" si="1995"/>
        <v>-1.9255106092324979E-2</v>
      </c>
      <c r="T1093" s="165">
        <f t="shared" si="1996"/>
        <v>-1.6568353885951039E-4</v>
      </c>
      <c r="U1093" s="165"/>
      <c r="V1093" s="165"/>
      <c r="W1093" s="159">
        <f t="shared" si="1964"/>
        <v>40707.514138802173</v>
      </c>
      <c r="X1093" s="163"/>
      <c r="Y1093" s="167">
        <v>1915.3350739310081</v>
      </c>
      <c r="Z1093" s="168">
        <v>3.0829818514371197E-2</v>
      </c>
      <c r="AA1093" s="76">
        <f t="shared" si="1985"/>
        <v>2.6527994233662013E-4</v>
      </c>
      <c r="AB1093" s="168"/>
      <c r="AC1093" s="168"/>
      <c r="AD1093" s="163">
        <f t="shared" si="1886"/>
        <v>95436.234302305355</v>
      </c>
      <c r="AE1093" s="168">
        <f t="shared" si="1997"/>
        <v>2.1024679493928606E-3</v>
      </c>
      <c r="AF1093" s="163"/>
      <c r="AG1093" s="163"/>
      <c r="AH1093" s="163"/>
      <c r="AI1093" s="163"/>
      <c r="AJ1093" s="116">
        <f t="shared" si="1998"/>
        <v>517.34807614329202</v>
      </c>
      <c r="AK1093" s="114">
        <f>+AV1093/$AX$18</f>
        <v>5.132423835511369E-3</v>
      </c>
      <c r="AL1093" s="115">
        <f t="shared" si="1986"/>
        <v>0.23423805331037975</v>
      </c>
      <c r="AM1093" s="115">
        <f t="shared" si="1987"/>
        <v>0.33922045082698588</v>
      </c>
      <c r="AN1093" s="115">
        <f t="shared" si="1988"/>
        <v>0.42654149586263423</v>
      </c>
      <c r="AO1093" s="115">
        <f t="shared" si="1990"/>
        <v>2.4471075094989522E-3</v>
      </c>
      <c r="AP1093" s="166">
        <f t="shared" si="2002"/>
        <v>112.9323786126445</v>
      </c>
      <c r="AQ1093" s="168">
        <f t="shared" si="2003"/>
        <v>2.4471075094988593E-3</v>
      </c>
      <c r="AR1093" s="69">
        <f>+AD1093/$AF$18</f>
        <v>8.6046546856239498E-3</v>
      </c>
      <c r="AS1093" s="169">
        <f t="shared" si="2001"/>
        <v>2.1056515097834913E-5</v>
      </c>
      <c r="AT1093" s="115"/>
      <c r="AU1093" s="115"/>
      <c r="AV1093" s="113">
        <f>IFERROR(INDEX('Total Customers'!$F$7:$AB$91,MATCH($C1093,'Total Customers'!$D$7:$D$91,0),MATCH($G1093,'Total Customers'!$F$5:$AB$5,0)),"NA")</f>
        <v>184472</v>
      </c>
      <c r="AW1093" s="68">
        <f t="shared" si="2004"/>
        <v>2.0609687779333433E-2</v>
      </c>
      <c r="AX1093" s="114"/>
      <c r="AY1093" s="114"/>
      <c r="AZ1093" s="116">
        <v>8534921</v>
      </c>
      <c r="BA1093" s="116"/>
      <c r="BB1093" s="166"/>
      <c r="BC1093" s="166"/>
      <c r="BD1093" s="166"/>
      <c r="BE1093" s="166"/>
      <c r="BF1093" s="166"/>
      <c r="BG1093" s="166"/>
      <c r="BH1093" s="166"/>
      <c r="BI1093" s="113"/>
      <c r="BJ1093" s="113"/>
      <c r="BK1093" s="113">
        <f>INDEX('Dist. Plant Gas Additions'!$F$7:$AE$91,MATCH($C1093,'Dist. Plant Gas Additions'!$D$7:$D$91,0),MATCH(Calculation!$G1093,'Dist. Plant Gas Additions'!$F$5:$AE$5,0))</f>
        <v>46418</v>
      </c>
      <c r="BL1093" s="113">
        <f>INDEX('Gen. Plant Additions'!$F$7:$AE$91,MATCH($C1093,'Gen. Plant Additions'!$D$7:$D$91,0),MATCH(Calculation!$G1093,'Gen. Plant Additions'!$F$5:$AE$5,0))</f>
        <v>1823</v>
      </c>
      <c r="BM1093" s="231">
        <f t="shared" si="1973"/>
        <v>0.9535681098127593</v>
      </c>
      <c r="BN1093" s="61">
        <f t="shared" si="1977"/>
        <v>1738.3546641886603</v>
      </c>
      <c r="BO1093" s="113">
        <f>INDEX('Dist Plant Depreciation'!$E$7:$AD$94,MATCH($C1093,'Dist Plant Depreciation'!$D$7:$D$94,0),MATCH(Calculation!$G1093,'Dist Plant Depreciation'!$E$5:$AD$5,0))</f>
        <v>259052</v>
      </c>
      <c r="BP1093" s="113">
        <f>INDEX('Gen. Plant Depreciation'!$E$7:$AD$94,MATCH($C1093,'Gen. Plant Depreciation'!$D$7:$D$94,0),MATCH(Calculation!$G1093,'Gen. Plant Depreciation'!$E$5:$AD$5,0))</f>
        <v>6199</v>
      </c>
      <c r="BQ1093" s="113"/>
      <c r="BR1093" s="113"/>
      <c r="BS1093" s="113"/>
      <c r="BT1093" s="113"/>
      <c r="BU1093" s="113"/>
      <c r="BV1093" s="175"/>
      <c r="BW1093" s="113">
        <f>INDEX('Gross Dx Plant'!$E$7:$AD$91,MATCH($C1093,'Gross Dx Plant'!$D$7:$D$91,0),MATCH(Calculation!$G1093,'Gross Dx Plant'!$E$5:$AD$5,0))</f>
        <v>651616</v>
      </c>
      <c r="BX1093" s="113">
        <f>INDEX('Gross Gen Plant'!$E$7:$AD$91,MATCH($C1093,'Gross Gen Plant'!$D$7:$D$91,0),MATCH(Calculation!$G1093,'Gross Gen Plant'!$E$5:$AD$5,0))</f>
        <v>31729</v>
      </c>
      <c r="BY1093" s="113">
        <f t="shared" si="1999"/>
        <v>418094</v>
      </c>
      <c r="BZ1093" s="113"/>
      <c r="CA1093" s="116">
        <v>2013</v>
      </c>
      <c r="CB1093" s="113"/>
      <c r="CC1093" s="113"/>
      <c r="CD1093" s="113"/>
      <c r="CE1093" s="175"/>
      <c r="CF1093" s="113">
        <f t="shared" si="1974"/>
        <v>48241</v>
      </c>
      <c r="CG1093" s="113">
        <f t="shared" si="1965"/>
        <v>72.734437958414745</v>
      </c>
      <c r="CH1093" s="178">
        <v>0.90566037735849059</v>
      </c>
      <c r="CI1093" s="61">
        <f>+CI1078*CH1093+CG1079*CH1092+CG1080*CH1091+CG1081*CH1090+CG1082*CH1089+CG1083*CH1088+CG1084*CH1087+CG1085*CH1086+CG1086*CH1085+CG1087*CH1084+CG1088*CH1083+CG1089*CH1082+CG1090*CH1081+CG1091*CH1080+CG1092*CH1079+CG1093</f>
        <v>1915.3350739310081</v>
      </c>
      <c r="CJ1093" s="114">
        <f t="shared" si="1966"/>
        <v>3.0829818514371197E-2</v>
      </c>
      <c r="CK1093" s="114"/>
      <c r="CL1093" s="169">
        <f t="shared" si="1967"/>
        <v>7.8537958110372653E-3</v>
      </c>
      <c r="CM1093" s="169">
        <f t="shared" si="1978"/>
        <v>7.6057638282763518E-3</v>
      </c>
      <c r="CN1093" s="114">
        <f>VLOOKUP($H1093,RoR!$E:$F,2,FALSE)</f>
        <v>4.2350000000000006E-2</v>
      </c>
      <c r="CO1093" s="169">
        <v>1.7730000000000024E-2</v>
      </c>
      <c r="CP1093" s="169">
        <f t="shared" si="1975"/>
        <v>2.4619999999999982E-2</v>
      </c>
      <c r="CQ1093" s="169">
        <f t="shared" si="1979"/>
        <v>2.3296177780257273E-2</v>
      </c>
      <c r="CR1093" s="169">
        <f t="shared" si="1980"/>
        <v>5.3376742735721204E-2</v>
      </c>
      <c r="CS1093" s="179">
        <f t="shared" si="1968"/>
        <v>0.85126000000000002</v>
      </c>
      <c r="CT1093" s="180">
        <f t="shared" si="1969"/>
        <v>1.2109103018193925</v>
      </c>
      <c r="CU1093" s="180">
        <f t="shared" si="1970"/>
        <v>0.38468122786304604</v>
      </c>
      <c r="CV1093" s="180">
        <f t="shared" si="1971"/>
        <v>0.80969194503422559</v>
      </c>
      <c r="CW1093" s="180">
        <f t="shared" si="1972"/>
        <v>0.37716621754800816</v>
      </c>
      <c r="CX1093" s="181">
        <f>INDEX('State Tax Lookup'!$D$7:$Z$91,MATCH(Calculation!$C1093,'State Tax Lookup'!$B$7:$B$91,0),MATCH($H1093,'State Tax Lookup'!$D$6:$Z$6,0))</f>
        <v>0.40200000000000002</v>
      </c>
      <c r="CY1093" s="72">
        <v>0.37</v>
      </c>
      <c r="CZ1093" s="70">
        <f t="shared" si="1976"/>
        <v>21.918914411674951</v>
      </c>
      <c r="DA1093" s="70">
        <v>20.339519021246105</v>
      </c>
      <c r="DB1093" s="69">
        <f t="shared" si="1981"/>
        <v>-1.8519518125190568E-2</v>
      </c>
      <c r="DC1093" s="111">
        <f>VLOOKUP($H1093,RoR!$E:$F,2,FALSE)</f>
        <v>4.2350000000000006E-2</v>
      </c>
      <c r="DD1093" s="216">
        <f>HLOOKUP($H1093,'GDP-PI'!$D$8:$CQ$11,3,FALSE)</f>
        <v>1.7730000000000024E-2</v>
      </c>
      <c r="DE1093" s="111">
        <f>VLOOKUP(H1093,'HW Dx Data'!$E:$F,2,FALSE)</f>
        <v>663.24840548821396</v>
      </c>
      <c r="DF1093" s="72">
        <f t="shared" si="1991"/>
        <v>126.8</v>
      </c>
      <c r="DG1093" s="69">
        <f t="shared" si="1992"/>
        <v>1.5898586067798204E-2</v>
      </c>
      <c r="DH1093" s="66">
        <f>HLOOKUP(H1093,'GDP-PI'!$8:$9,2,FALSE)</f>
        <v>101.773</v>
      </c>
      <c r="DI1093" s="69">
        <f t="shared" si="1982"/>
        <v>1.7574657016510519E-2</v>
      </c>
    </row>
    <row r="1094" spans="1:113" s="160" customFormat="1" ht="21">
      <c r="A1094" s="160" t="s">
        <v>224</v>
      </c>
      <c r="B1094" s="160" t="s">
        <v>225</v>
      </c>
      <c r="C1094" s="160">
        <v>4063060</v>
      </c>
      <c r="D1094" s="161" t="s">
        <v>181</v>
      </c>
      <c r="E1094" s="161" t="s">
        <v>3</v>
      </c>
      <c r="F1094" s="189"/>
      <c r="G1094" s="160" t="s">
        <v>130</v>
      </c>
      <c r="H1094" s="162">
        <v>2014</v>
      </c>
      <c r="I1094" s="163"/>
      <c r="J1094" s="159">
        <f>IFERROR(INDEX('Labor Expenditures'!$F$7:$X$91,MATCH($C1094,'Labor Expenditures'!$D$7:$D$91,0),MATCH($G1094,'Labor Expenditures'!$F$5:$X$5,0)),"NA")</f>
        <v>24481.773885588635</v>
      </c>
      <c r="K1094" s="159">
        <f t="shared" si="1983"/>
        <v>189.19454316529084</v>
      </c>
      <c r="L1094" s="165">
        <f t="shared" si="1989"/>
        <v>7.0590615675582988E-2</v>
      </c>
      <c r="M1094" s="76">
        <f t="shared" si="1993"/>
        <v>6.3769888785884246E-4</v>
      </c>
      <c r="N1094" s="62">
        <f t="shared" si="2000"/>
        <v>122.5813190134392</v>
      </c>
      <c r="O1094" s="96">
        <f t="shared" si="1994"/>
        <v>0.12988952026238651</v>
      </c>
      <c r="P1094" s="96"/>
      <c r="Q1094" s="159">
        <f>IFERROR(INDEX('Non-Labor Expenditures'!$F$7:$AB$91,MATCH($C1094,'Non-Labor Expenditures'!$D$7:$D$91,0),MATCH($G1094,'Non-Labor Expenditures'!$F$5:$AB$5,0)),"NA")</f>
        <v>35454.181150956916</v>
      </c>
      <c r="R1094" s="159">
        <f t="shared" si="1984"/>
        <v>342.06664110834771</v>
      </c>
      <c r="S1094" s="165">
        <f t="shared" si="1995"/>
        <v>7.2641903841001595E-2</v>
      </c>
      <c r="T1094" s="165">
        <f t="shared" si="1996"/>
        <v>6.562297388685174E-4</v>
      </c>
      <c r="U1094" s="165"/>
      <c r="V1094" s="165"/>
      <c r="W1094" s="159">
        <f t="shared" si="1964"/>
        <v>42911.099519360258</v>
      </c>
      <c r="X1094" s="163"/>
      <c r="Y1094" s="167">
        <v>1973.8602167199347</v>
      </c>
      <c r="Z1094" s="168">
        <v>3.0098545646692735E-2</v>
      </c>
      <c r="AA1094" s="76">
        <f t="shared" si="1985"/>
        <v>2.7190312623528545E-4</v>
      </c>
      <c r="AB1094" s="168"/>
      <c r="AC1094" s="168"/>
      <c r="AD1094" s="163">
        <f t="shared" si="1886"/>
        <v>102847.05455590581</v>
      </c>
      <c r="AE1094" s="168">
        <f t="shared" si="1997"/>
        <v>7.4784656605539193E-2</v>
      </c>
      <c r="AF1094" s="163"/>
      <c r="AG1094" s="163"/>
      <c r="AH1094" s="163"/>
      <c r="AI1094" s="163"/>
      <c r="AJ1094" s="116">
        <f t="shared" si="1998"/>
        <v>548.94506952563495</v>
      </c>
      <c r="AK1094" s="114">
        <f>+AV1094/$AX$19</f>
        <v>5.1847528626226182E-3</v>
      </c>
      <c r="AL1094" s="115">
        <f t="shared" si="1986"/>
        <v>0.23804059329944915</v>
      </c>
      <c r="AM1094" s="115">
        <f t="shared" si="1987"/>
        <v>0.34472723894766144</v>
      </c>
      <c r="AN1094" s="115">
        <f t="shared" si="1988"/>
        <v>0.41723216775288935</v>
      </c>
      <c r="AO1094" s="115">
        <f t="shared" si="1990"/>
        <v>5.4209031438656519E-2</v>
      </c>
      <c r="AP1094" s="166">
        <f t="shared" si="2002"/>
        <v>119.22330552497066</v>
      </c>
      <c r="AQ1094" s="168">
        <f t="shared" si="2003"/>
        <v>5.4209031438656526E-2</v>
      </c>
      <c r="AR1094" s="69">
        <f>+AD1094/$AF$19</f>
        <v>9.0337629408071586E-3</v>
      </c>
      <c r="AS1094" s="169">
        <f t="shared" si="2001"/>
        <v>4.8971153926758554E-4</v>
      </c>
      <c r="AT1094" s="115"/>
      <c r="AU1094" s="115"/>
      <c r="AV1094" s="113">
        <f>IFERROR(INDEX('Total Customers'!$F$7:$AB$91,MATCH($C1094,'Total Customers'!$D$7:$D$91,0),MATCH($G1094,'Total Customers'!$F$5:$AB$5,0)),"NA")</f>
        <v>187354</v>
      </c>
      <c r="AW1094" s="68">
        <f t="shared" si="2004"/>
        <v>1.5502184979421461E-2</v>
      </c>
      <c r="AX1094" s="114"/>
      <c r="AY1094" s="114"/>
      <c r="AZ1094" s="116">
        <v>8599754</v>
      </c>
      <c r="BA1094" s="116"/>
      <c r="BB1094" s="166"/>
      <c r="BC1094" s="166"/>
      <c r="BD1094" s="166"/>
      <c r="BE1094" s="166"/>
      <c r="BF1094" s="166"/>
      <c r="BG1094" s="166"/>
      <c r="BH1094" s="166"/>
      <c r="BI1094" s="113"/>
      <c r="BJ1094" s="113"/>
      <c r="BK1094" s="113">
        <f>INDEX('Dist. Plant Gas Additions'!$F$7:$AE$91,MATCH($C1094,'Dist. Plant Gas Additions'!$D$7:$D$91,0),MATCH(Calculation!$G1094,'Dist. Plant Gas Additions'!$F$5:$AE$5,0))</f>
        <v>48986</v>
      </c>
      <c r="BL1094" s="113">
        <f>INDEX('Gen. Plant Additions'!$F$7:$AE$91,MATCH($C1094,'Gen. Plant Additions'!$D$7:$D$91,0),MATCH(Calculation!$G1094,'Gen. Plant Additions'!$F$5:$AE$5,0))</f>
        <v>1675</v>
      </c>
      <c r="BM1094" s="231">
        <f t="shared" si="1973"/>
        <v>0.95645805957074026</v>
      </c>
      <c r="BN1094" s="61">
        <f t="shared" si="1977"/>
        <v>1602.0672497809899</v>
      </c>
      <c r="BO1094" s="113">
        <f>INDEX('Dist Plant Depreciation'!$E$7:$AD$94,MATCH($C1094,'Dist Plant Depreciation'!$D$7:$D$94,0),MATCH(Calculation!$G1094,'Dist Plant Depreciation'!$E$5:$AD$5,0))</f>
        <v>275715</v>
      </c>
      <c r="BP1094" s="113">
        <f>INDEX('Gen. Plant Depreciation'!$E$7:$AD$94,MATCH($C1094,'Gen. Plant Depreciation'!$D$7:$D$94,0),MATCH(Calculation!$G1094,'Gen. Plant Depreciation'!$E$5:$AD$5,0))</f>
        <v>5812</v>
      </c>
      <c r="BQ1094" s="113"/>
      <c r="BR1094" s="113"/>
      <c r="BS1094" s="113"/>
      <c r="BT1094" s="113"/>
      <c r="BU1094" s="113"/>
      <c r="BV1094" s="175"/>
      <c r="BW1094" s="113">
        <f>INDEX('Gross Dx Plant'!$E$7:$AD$91,MATCH($C1094,'Gross Dx Plant'!$D$7:$D$91,0),MATCH(Calculation!$G1094,'Gross Dx Plant'!$E$5:$AD$5,0))</f>
        <v>698750</v>
      </c>
      <c r="BX1094" s="113">
        <f>INDEX('Gross Gen Plant'!$E$7:$AD$91,MATCH($C1094,'Gross Gen Plant'!$D$7:$D$91,0),MATCH(Calculation!$G1094,'Gross Gen Plant'!$E$5:$AD$5,0))</f>
        <v>31810</v>
      </c>
      <c r="BY1094" s="113">
        <f t="shared" si="1999"/>
        <v>449033</v>
      </c>
      <c r="BZ1094" s="113"/>
      <c r="CA1094" s="116">
        <v>2014</v>
      </c>
      <c r="CB1094" s="113"/>
      <c r="CC1094" s="113"/>
      <c r="CD1094" s="113"/>
      <c r="CE1094" s="175"/>
      <c r="CF1094" s="113">
        <f t="shared" si="1974"/>
        <v>50661</v>
      </c>
      <c r="CG1094" s="113">
        <f t="shared" si="1965"/>
        <v>74.015023948377632</v>
      </c>
      <c r="CH1094" s="178">
        <v>0.89743589743589747</v>
      </c>
      <c r="CI1094" s="61">
        <f>+CI1078*CH1094+CG1079*CH1093+CG1080*CH1092+CG1081*CH1091+CG1082*CH1090+CG1083*CH1089+CG1084*CH1088+CG1085*CH1087+CG1086*CH1086+CG1087*CH1085+CG1088*CH1084+CG1089*CH1083+CG1090*CH1082+CG1091*CH1081+CG1092*CH1080+CG1093*CH1079+CG1094</f>
        <v>1973.8602167199347</v>
      </c>
      <c r="CJ1094" s="114">
        <f t="shared" si="1966"/>
        <v>3.0098545646692735E-2</v>
      </c>
      <c r="CK1094" s="114"/>
      <c r="CL1094" s="169">
        <f t="shared" si="1967"/>
        <v>8.0872957271438776E-3</v>
      </c>
      <c r="CM1094" s="169">
        <f t="shared" si="1978"/>
        <v>7.8510986252555287E-3</v>
      </c>
      <c r="CN1094" s="114">
        <f>VLOOKUP($H1094,RoR!$E:$F,2,FALSE)</f>
        <v>4.1625000000000002E-2</v>
      </c>
      <c r="CO1094" s="169">
        <v>1.841352814597208E-2</v>
      </c>
      <c r="CP1094" s="169">
        <f t="shared" si="1975"/>
        <v>2.3211471854027922E-2</v>
      </c>
      <c r="CQ1094" s="169">
        <f t="shared" si="1979"/>
        <v>2.3050842983278096E-2</v>
      </c>
      <c r="CR1094" s="169">
        <f t="shared" si="1980"/>
        <v>3.9072621432650924E-2</v>
      </c>
      <c r="CS1094" s="179">
        <f t="shared" si="1968"/>
        <v>0.85126000000000002</v>
      </c>
      <c r="CT1094" s="180">
        <f t="shared" si="1969"/>
        <v>1.2320012320012319</v>
      </c>
      <c r="CU1094" s="180">
        <f t="shared" si="1970"/>
        <v>0.37439939939939942</v>
      </c>
      <c r="CV1094" s="180">
        <f t="shared" si="1971"/>
        <v>0.80432100613819935</v>
      </c>
      <c r="CW1094" s="180">
        <f t="shared" si="1972"/>
        <v>0.37100152660040037</v>
      </c>
      <c r="CX1094" s="181">
        <f>INDEX('State Tax Lookup'!$D$7:$Z$91,MATCH(Calculation!$C1094,'State Tax Lookup'!$B$7:$B$91,0),MATCH($H1094,'State Tax Lookup'!$D$6:$Z$6,0))</f>
        <v>0.40200000000000002</v>
      </c>
      <c r="CY1094" s="72">
        <v>0.37</v>
      </c>
      <c r="CZ1094" s="70">
        <f t="shared" si="1976"/>
        <v>22.403964770138153</v>
      </c>
      <c r="DA1094" s="70">
        <v>20.763592984765573</v>
      </c>
      <c r="DB1094" s="69">
        <f t="shared" si="1981"/>
        <v>2.1888006026878196E-2</v>
      </c>
      <c r="DC1094" s="111">
        <f>VLOOKUP($H1094,RoR!$E:$F,2,FALSE)</f>
        <v>4.1625000000000002E-2</v>
      </c>
      <c r="DD1094" s="216">
        <f>HLOOKUP($H1094,'GDP-PI'!$D$8:$CQ$11,3,FALSE)</f>
        <v>1.841352814597208E-2</v>
      </c>
      <c r="DE1094" s="111">
        <f>VLOOKUP(H1094,'HW Dx Data'!$E:$F,2,FALSE)</f>
        <v>684.46914285042885</v>
      </c>
      <c r="DF1094" s="72">
        <f t="shared" si="1991"/>
        <v>129.4</v>
      </c>
      <c r="DG1094" s="69">
        <f t="shared" si="1992"/>
        <v>2.0297340063674733E-2</v>
      </c>
      <c r="DH1094" s="66">
        <f>HLOOKUP(H1094,'GDP-PI'!$8:$9,2,FALSE)</f>
        <v>103.64700000000001</v>
      </c>
      <c r="DI1094" s="69">
        <f t="shared" si="1982"/>
        <v>1.8246051898256087E-2</v>
      </c>
    </row>
    <row r="1095" spans="1:113" s="160" customFormat="1" ht="21">
      <c r="A1095" s="160" t="s">
        <v>224</v>
      </c>
      <c r="B1095" s="160" t="s">
        <v>225</v>
      </c>
      <c r="C1095" s="160">
        <v>4063060</v>
      </c>
      <c r="D1095" s="161" t="s">
        <v>181</v>
      </c>
      <c r="E1095" s="161" t="s">
        <v>3</v>
      </c>
      <c r="F1095" s="189"/>
      <c r="G1095" s="160" t="s">
        <v>132</v>
      </c>
      <c r="H1095" s="162">
        <v>2015</v>
      </c>
      <c r="I1095" s="163"/>
      <c r="J1095" s="159">
        <f>IFERROR(INDEX('Labor Expenditures'!$F$7:$X$91,MATCH($C1095,'Labor Expenditures'!$D$7:$D$91,0),MATCH($G1095,'Labor Expenditures'!$F$5:$X$5,0)),"NA")</f>
        <v>24327.971143364772</v>
      </c>
      <c r="K1095" s="159">
        <f t="shared" si="1983"/>
        <v>182.23199358325672</v>
      </c>
      <c r="L1095" s="165">
        <f t="shared" si="1989"/>
        <v>-3.7495249213669916E-2</v>
      </c>
      <c r="M1095" s="76">
        <f t="shared" si="1993"/>
        <v>-3.3542908064347339E-4</v>
      </c>
      <c r="N1095" s="62">
        <f t="shared" si="2000"/>
        <v>122.60644612591841</v>
      </c>
      <c r="O1095" s="96">
        <f t="shared" si="1994"/>
        <v>2.0496220562145605E-4</v>
      </c>
      <c r="P1095" s="96"/>
      <c r="Q1095" s="159">
        <f>IFERROR(INDEX('Non-Labor Expenditures'!$F$7:$AB$91,MATCH($C1095,'Non-Labor Expenditures'!$D$7:$D$91,0),MATCH($G1095,'Non-Labor Expenditures'!$F$5:$AB$5,0)),"NA")</f>
        <v>35231.446053827021</v>
      </c>
      <c r="R1095" s="159">
        <f t="shared" si="1984"/>
        <v>336.69517153094949</v>
      </c>
      <c r="S1095" s="165">
        <f t="shared" si="1995"/>
        <v>-1.582758962560861E-2</v>
      </c>
      <c r="T1095" s="165">
        <f t="shared" si="1996"/>
        <v>-1.4159217362887989E-4</v>
      </c>
      <c r="U1095" s="165"/>
      <c r="V1095" s="165"/>
      <c r="W1095" s="159">
        <f t="shared" si="1964"/>
        <v>43294.534464036413</v>
      </c>
      <c r="X1095" s="163"/>
      <c r="Y1095" s="167">
        <v>2071.4787529855853</v>
      </c>
      <c r="Z1095" s="168">
        <v>4.8271599351655835E-2</v>
      </c>
      <c r="AA1095" s="76">
        <f t="shared" si="1985"/>
        <v>4.3183332638879697E-4</v>
      </c>
      <c r="AB1095" s="168"/>
      <c r="AC1095" s="168"/>
      <c r="AD1095" s="163">
        <f t="shared" si="1886"/>
        <v>102853.9516612282</v>
      </c>
      <c r="AE1095" s="168">
        <f t="shared" si="1997"/>
        <v>6.7059519560163877E-5</v>
      </c>
      <c r="AF1095" s="163"/>
      <c r="AG1095" s="163"/>
      <c r="AH1095" s="163"/>
      <c r="AI1095" s="163"/>
      <c r="AJ1095" s="116">
        <f t="shared" si="1998"/>
        <v>541.46197888578513</v>
      </c>
      <c r="AK1095" s="114">
        <f>+AV1095/$AX$20</f>
        <v>5.2140151814590151E-3</v>
      </c>
      <c r="AL1095" s="115">
        <f t="shared" si="1986"/>
        <v>0.23652928011452803</v>
      </c>
      <c r="AM1095" s="115">
        <f t="shared" si="1987"/>
        <v>0.34253857518152953</v>
      </c>
      <c r="AN1095" s="115">
        <f t="shared" si="1988"/>
        <v>0.42093214470394247</v>
      </c>
      <c r="AO1095" s="115">
        <f t="shared" si="1990"/>
        <v>5.8938274695343844E-3</v>
      </c>
      <c r="AP1095" s="166">
        <f t="shared" si="2002"/>
        <v>119.9280619343205</v>
      </c>
      <c r="AQ1095" s="168">
        <f t="shared" si="2003"/>
        <v>5.8938274695344364E-3</v>
      </c>
      <c r="AR1095" s="69">
        <f>+AD1095/$AF$20</f>
        <v>8.9459088198614659E-3</v>
      </c>
      <c r="AS1095" s="169">
        <f t="shared" si="2001"/>
        <v>5.2725643142449901E-5</v>
      </c>
      <c r="AT1095" s="115"/>
      <c r="AU1095" s="115"/>
      <c r="AV1095" s="113">
        <f>IFERROR(INDEX('Total Customers'!$F$7:$AB$91,MATCH($C1095,'Total Customers'!$D$7:$D$91,0),MATCH($G1095,'Total Customers'!$F$5:$AB$5,0)),"NA")</f>
        <v>189956</v>
      </c>
      <c r="AW1095" s="68">
        <f t="shared" si="2004"/>
        <v>1.3792590969128962E-2</v>
      </c>
      <c r="AX1095" s="114"/>
      <c r="AY1095" s="114"/>
      <c r="AZ1095" s="116">
        <v>8659109</v>
      </c>
      <c r="BA1095" s="116"/>
      <c r="BB1095" s="166"/>
      <c r="BC1095" s="166"/>
      <c r="BD1095" s="166"/>
      <c r="BE1095" s="166"/>
      <c r="BF1095" s="166"/>
      <c r="BG1095" s="166"/>
      <c r="BH1095" s="166"/>
      <c r="BI1095" s="113"/>
      <c r="BJ1095" s="113"/>
      <c r="BK1095" s="113">
        <f>INDEX('Dist. Plant Gas Additions'!$F$7:$AE$91,MATCH($C1095,'Dist. Plant Gas Additions'!$D$7:$D$91,0),MATCH(Calculation!$G1095,'Dist. Plant Gas Additions'!$F$5:$AE$5,0))</f>
        <v>60039</v>
      </c>
      <c r="BL1095" s="113">
        <f>INDEX('Gen. Plant Additions'!$F$7:$AE$91,MATCH($C1095,'Gen. Plant Additions'!$D$7:$D$91,0),MATCH(Calculation!$G1095,'Gen. Plant Additions'!$F$5:$AE$5,0))</f>
        <v>17022</v>
      </c>
      <c r="BM1095" s="231">
        <f t="shared" si="1973"/>
        <v>0.94000835885695755</v>
      </c>
      <c r="BN1095" s="61">
        <f t="shared" si="1977"/>
        <v>16000.822284463131</v>
      </c>
      <c r="BO1095" s="113">
        <f>INDEX('Dist Plant Depreciation'!$E$7:$AD$94,MATCH($C1095,'Dist Plant Depreciation'!$D$7:$D$94,0),MATCH(Calculation!$G1095,'Dist Plant Depreciation'!$E$5:$AD$5,0))</f>
        <v>289605</v>
      </c>
      <c r="BP1095" s="113">
        <f>INDEX('Gen. Plant Depreciation'!$E$7:$AD$94,MATCH($C1095,'Gen. Plant Depreciation'!$D$7:$D$94,0),MATCH(Calculation!$G1095,'Gen. Plant Depreciation'!$E$5:$AD$5,0))</f>
        <v>6649</v>
      </c>
      <c r="BQ1095" s="113"/>
      <c r="BR1095" s="113"/>
      <c r="BS1095" s="113"/>
      <c r="BT1095" s="113"/>
      <c r="BU1095" s="113"/>
      <c r="BV1095" s="175"/>
      <c r="BW1095" s="113">
        <f>INDEX('Gross Dx Plant'!$E$7:$AD$91,MATCH($C1095,'Gross Dx Plant'!$D$7:$D$91,0),MATCH(Calculation!$G1095,'Gross Dx Plant'!$E$5:$AD$5,0))</f>
        <v>753459</v>
      </c>
      <c r="BX1095" s="113">
        <f>INDEX('Gross Gen Plant'!$E$7:$AD$91,MATCH($C1095,'Gross Gen Plant'!$D$7:$D$91,0),MATCH(Calculation!$G1095,'Gross Gen Plant'!$E$5:$AD$5,0))</f>
        <v>48086</v>
      </c>
      <c r="BY1095" s="113">
        <f t="shared" si="1999"/>
        <v>505291</v>
      </c>
      <c r="BZ1095" s="113"/>
      <c r="CA1095" s="116">
        <v>2015</v>
      </c>
      <c r="CB1095" s="113"/>
      <c r="CC1095" s="113"/>
      <c r="CD1095" s="113"/>
      <c r="CE1095" s="175"/>
      <c r="CF1095" s="113">
        <f t="shared" si="1974"/>
        <v>77061</v>
      </c>
      <c r="CG1095" s="113">
        <f t="shared" si="1965"/>
        <v>114.06058457901364</v>
      </c>
      <c r="CH1095" s="178">
        <v>0.88888888888888884</v>
      </c>
      <c r="CI1095" s="61">
        <f>+CI1078*CH1095+CG1079*CH1094+CG1080*CH1093+CG1081*CH1092+CG1082*CH1091+CG1083*CH1090+CG1084*CH1089+CG1085*CH1088+CG1086*CH1087+CG1087*CH1086+CG1088*CH1085+CG1089*CH1084+CG1090*CH1083+CG1091*CH1082+CG1092*CH1081+CG1093*CH1080+CG1094*CH1079+CG1095</f>
        <v>2071.4787529855853</v>
      </c>
      <c r="CJ1095" s="114">
        <f t="shared" si="1966"/>
        <v>4.8271599351655835E-2</v>
      </c>
      <c r="CK1095" s="114"/>
      <c r="CL1095" s="169">
        <f t="shared" si="1967"/>
        <v>8.3298949814620705E-3</v>
      </c>
      <c r="CM1095" s="169">
        <f t="shared" si="1978"/>
        <v>8.0903288398810717E-3</v>
      </c>
      <c r="CN1095" s="114">
        <f>VLOOKUP($H1095,RoR!$E:$F,2,FALSE)</f>
        <v>3.8866666666666674E-2</v>
      </c>
      <c r="CO1095" s="169">
        <v>9.5709475431029478E-3</v>
      </c>
      <c r="CP1095" s="169">
        <f t="shared" si="1975"/>
        <v>2.9295719123563727E-2</v>
      </c>
      <c r="CQ1095" s="169">
        <f t="shared" si="1979"/>
        <v>2.2811612768652553E-2</v>
      </c>
      <c r="CR1095" s="169">
        <f t="shared" si="1980"/>
        <v>3.5270373279175926E-3</v>
      </c>
      <c r="CS1095" s="179">
        <f t="shared" si="1968"/>
        <v>0.85126000000000002</v>
      </c>
      <c r="CT1095" s="180">
        <f t="shared" si="1969"/>
        <v>1.3194352816994324</v>
      </c>
      <c r="CU1095" s="180">
        <f t="shared" si="1970"/>
        <v>0.33177530017152673</v>
      </c>
      <c r="CV1095" s="180">
        <f t="shared" si="1971"/>
        <v>0.78242572977668579</v>
      </c>
      <c r="CW1095" s="180">
        <f t="shared" si="1972"/>
        <v>0.34251158643433932</v>
      </c>
      <c r="CX1095" s="181">
        <f>INDEX('State Tax Lookup'!$D$7:$Z$91,MATCH(Calculation!$C1095,'State Tax Lookup'!$B$7:$B$91,0),MATCH($H1095,'State Tax Lookup'!$D$6:$Z$6,0))</f>
        <v>0.40200000000000002</v>
      </c>
      <c r="CY1095" s="72">
        <v>0.37</v>
      </c>
      <c r="CZ1095" s="70">
        <f t="shared" si="1976"/>
        <v>21.933941470273499</v>
      </c>
      <c r="DA1095" s="70">
        <v>20.279488671080099</v>
      </c>
      <c r="DB1095" s="69">
        <f t="shared" si="1981"/>
        <v>-2.1202665978459316E-2</v>
      </c>
      <c r="DC1095" s="111">
        <f>VLOOKUP($H1095,RoR!$E:$F,2,FALSE)</f>
        <v>3.8866666666666674E-2</v>
      </c>
      <c r="DD1095" s="216">
        <f>HLOOKUP($H1095,'GDP-PI'!$D$8:$CQ$11,3,FALSE)</f>
        <v>9.5709475431029478E-3</v>
      </c>
      <c r="DE1095" s="111">
        <f>VLOOKUP(H1095,'HW Dx Data'!$E:$F,2,FALSE)</f>
        <v>675.61463308665782</v>
      </c>
      <c r="DF1095" s="72">
        <f t="shared" si="1991"/>
        <v>133.5</v>
      </c>
      <c r="DG1095" s="69">
        <f t="shared" si="1992"/>
        <v>3.1193095773504077E-2</v>
      </c>
      <c r="DH1095" s="66">
        <f>HLOOKUP(H1095,'GDP-PI'!$8:$9,2,FALSE)</f>
        <v>104.639</v>
      </c>
      <c r="DI1095" s="69">
        <f t="shared" si="1982"/>
        <v>9.5254361854427965E-3</v>
      </c>
    </row>
    <row r="1096" spans="1:113" s="160" customFormat="1" ht="21">
      <c r="A1096" s="160" t="s">
        <v>224</v>
      </c>
      <c r="B1096" s="160" t="s">
        <v>225</v>
      </c>
      <c r="C1096" s="160">
        <v>4063060</v>
      </c>
      <c r="D1096" s="161" t="s">
        <v>181</v>
      </c>
      <c r="E1096" s="161" t="s">
        <v>3</v>
      </c>
      <c r="F1096" s="189"/>
      <c r="G1096" s="160" t="s">
        <v>133</v>
      </c>
      <c r="H1096" s="162">
        <v>2016</v>
      </c>
      <c r="I1096" s="163"/>
      <c r="J1096" s="159">
        <f>IFERROR(INDEX('Labor Expenditures'!$F$7:$X$91,MATCH($C1096,'Labor Expenditures'!$D$7:$D$91,0),MATCH($G1096,'Labor Expenditures'!$F$5:$X$5,0)),"NA")</f>
        <v>22670.999405857019</v>
      </c>
      <c r="K1096" s="159">
        <f t="shared" si="1983"/>
        <v>165.54216433630538</v>
      </c>
      <c r="L1096" s="165">
        <f t="shared" si="1989"/>
        <v>-9.605463359453402E-2</v>
      </c>
      <c r="M1096" s="76">
        <f t="shared" si="1993"/>
        <v>-8.0911282534815393E-4</v>
      </c>
      <c r="N1096" s="62">
        <f t="shared" si="2000"/>
        <v>303.86551836293989</v>
      </c>
      <c r="O1096" s="96">
        <f t="shared" si="1994"/>
        <v>0.90760562908920295</v>
      </c>
      <c r="P1096" s="96"/>
      <c r="Q1096" s="159">
        <f>IFERROR(INDEX('Non-Labor Expenditures'!$F$7:$AB$91,MATCH($C1096,'Non-Labor Expenditures'!$D$7:$D$91,0),MATCH($G1096,'Non-Labor Expenditures'!$F$5:$AB$5,0)),"NA")</f>
        <v>32831.841498284688</v>
      </c>
      <c r="R1096" s="159">
        <f t="shared" si="1984"/>
        <v>310.50769367372214</v>
      </c>
      <c r="S1096" s="165">
        <f t="shared" si="1995"/>
        <v>-8.096930609295637E-2</v>
      </c>
      <c r="T1096" s="165">
        <f t="shared" si="1996"/>
        <v>-6.820421000812547E-4</v>
      </c>
      <c r="U1096" s="165"/>
      <c r="V1096" s="165"/>
      <c r="W1096" s="159">
        <f t="shared" si="1964"/>
        <v>44717.379346938716</v>
      </c>
      <c r="X1096" s="163"/>
      <c r="Y1096" s="167">
        <v>2137.1413385232622</v>
      </c>
      <c r="Z1096" s="168">
        <v>3.1206387249701477E-2</v>
      </c>
      <c r="AA1096" s="76">
        <f t="shared" si="1985"/>
        <v>2.6286590465898551E-4</v>
      </c>
      <c r="AB1096" s="168"/>
      <c r="AC1096" s="168"/>
      <c r="AD1096" s="163">
        <f t="shared" ref="AD1096:AD1162" si="2005">+J1096+Q1096+W1096</f>
        <v>100220.22025108042</v>
      </c>
      <c r="AE1096" s="168">
        <f t="shared" si="1997"/>
        <v>-2.5940069752568573E-2</v>
      </c>
      <c r="AF1096" s="163"/>
      <c r="AG1096" s="163"/>
      <c r="AH1096" s="163"/>
      <c r="AI1096" s="163"/>
      <c r="AJ1096" s="116">
        <f t="shared" si="1998"/>
        <v>517.08684094315993</v>
      </c>
      <c r="AK1096" s="114">
        <f>+AV1096/$AX$21</f>
        <v>5.2740218105483917E-3</v>
      </c>
      <c r="AL1096" s="115">
        <f t="shared" si="1986"/>
        <v>0.22621182979901319</v>
      </c>
      <c r="AM1096" s="115">
        <f t="shared" si="1987"/>
        <v>0.32759698009075916</v>
      </c>
      <c r="AN1096" s="115">
        <f t="shared" si="1988"/>
        <v>0.44619119011022773</v>
      </c>
      <c r="AO1096" s="115">
        <f t="shared" si="1990"/>
        <v>-3.5824526040512436E-2</v>
      </c>
      <c r="AP1096" s="166">
        <f t="shared" si="2002"/>
        <v>115.70774277567254</v>
      </c>
      <c r="AQ1096" s="168">
        <f t="shared" si="2003"/>
        <v>-3.5824526040512401E-2</v>
      </c>
      <c r="AR1096" s="69">
        <f>+AD1096/$AF$21</f>
        <v>8.4234648040362355E-3</v>
      </c>
      <c r="AS1096" s="169">
        <f t="shared" si="2001"/>
        <v>-3.017666342235358E-4</v>
      </c>
      <c r="AT1096" s="115"/>
      <c r="AU1096" s="115"/>
      <c r="AV1096" s="113">
        <f>IFERROR(INDEX('Total Customers'!$F$7:$AB$91,MATCH($C1096,'Total Customers'!$D$7:$D$91,0),MATCH($G1096,'Total Customers'!$F$5:$AB$5,0)),"NA")</f>
        <v>193817</v>
      </c>
      <c r="AW1096" s="68">
        <f t="shared" si="2004"/>
        <v>2.012194851322608E-2</v>
      </c>
      <c r="AX1096" s="114"/>
      <c r="AY1096" s="114"/>
      <c r="AZ1096" s="116">
        <v>8759079</v>
      </c>
      <c r="BA1096" s="116"/>
      <c r="BB1096" s="166"/>
      <c r="BC1096" s="166"/>
      <c r="BD1096" s="166"/>
      <c r="BE1096" s="166"/>
      <c r="BF1096" s="166"/>
      <c r="BG1096" s="166"/>
      <c r="BH1096" s="166"/>
      <c r="BI1096" s="113"/>
      <c r="BJ1096" s="113"/>
      <c r="BK1096" s="113">
        <f>INDEX('Dist. Plant Gas Additions'!$F$7:$AE$91,MATCH($C1096,'Dist. Plant Gas Additions'!$D$7:$D$91,0),MATCH(Calculation!$G1096,'Dist. Plant Gas Additions'!$F$5:$AE$5,0))</f>
        <v>45675</v>
      </c>
      <c r="BL1096" s="113">
        <f>INDEX('Gen. Plant Additions'!$F$7:$AE$91,MATCH($C1096,'Gen. Plant Additions'!$D$7:$D$91,0),MATCH(Calculation!$G1096,'Gen. Plant Additions'!$F$5:$AE$5,0))</f>
        <v>10258</v>
      </c>
      <c r="BM1096" s="231">
        <f t="shared" si="1973"/>
        <v>0.95252306877405613</v>
      </c>
      <c r="BN1096" s="61">
        <f t="shared" si="1977"/>
        <v>9770.9816394842674</v>
      </c>
      <c r="BO1096" s="113">
        <f>INDEX('Dist Plant Depreciation'!$E$7:$AD$94,MATCH($C1096,'Dist Plant Depreciation'!$D$7:$D$94,0),MATCH(Calculation!$G1096,'Dist Plant Depreciation'!$E$5:$AD$5,0))</f>
        <v>305546</v>
      </c>
      <c r="BP1096" s="113">
        <f>INDEX('Gen. Plant Depreciation'!$E$7:$AD$94,MATCH($C1096,'Gen. Plant Depreciation'!$D$7:$D$94,0),MATCH(Calculation!$G1096,'Gen. Plant Depreciation'!$E$5:$AD$5,0))</f>
        <v>7264</v>
      </c>
      <c r="BQ1096" s="113"/>
      <c r="BR1096" s="113"/>
      <c r="BS1096" s="113"/>
      <c r="BT1096" s="113"/>
      <c r="BU1096" s="113"/>
      <c r="BV1096" s="175"/>
      <c r="BW1096" s="113">
        <f>INDEX('Gross Dx Plant'!$E$7:$AD$91,MATCH($C1096,'Gross Dx Plant'!$D$7:$D$91,0),MATCH(Calculation!$G1096,'Gross Dx Plant'!$E$5:$AD$5,0))</f>
        <v>816418</v>
      </c>
      <c r="BX1096" s="113">
        <f>INDEX('Gross Gen Plant'!$E$7:$AD$91,MATCH($C1096,'Gross Gen Plant'!$D$7:$D$91,0),MATCH(Calculation!$G1096,'Gross Gen Plant'!$E$5:$AD$5,0))</f>
        <v>40693</v>
      </c>
      <c r="BY1096" s="113">
        <f t="shared" si="1999"/>
        <v>544301</v>
      </c>
      <c r="BZ1096" s="113"/>
      <c r="CA1096" s="116">
        <v>2016</v>
      </c>
      <c r="CB1096" s="113"/>
      <c r="CC1096" s="113"/>
      <c r="CD1096" s="113"/>
      <c r="CE1096" s="175"/>
      <c r="CF1096" s="113">
        <f t="shared" si="1974"/>
        <v>55933</v>
      </c>
      <c r="CG1096" s="113">
        <f t="shared" si="1965"/>
        <v>83.301016285632571</v>
      </c>
      <c r="CH1096" s="178">
        <v>0.88</v>
      </c>
      <c r="CI1096" s="61">
        <f>+CI1078*CH1096+CG1079*CH1095+CG1080*CH1094+CG1081*CH1093+CG1082*CH1092+CG1083*CH1091+CG1084*CH1090+CG1085*CH1089+CG1086*CH1088+CG1087*CH1087+CG1088*CH1086+CG1089*CH1085+CG1090*CH1084+CG1091*CH1083+CG1092*CH1082+CG1093*CH1081+CG1094*CH1080+CG1095*CH1079+CG1096</f>
        <v>2137.1413385232622</v>
      </c>
      <c r="CJ1096" s="114">
        <f t="shared" si="1966"/>
        <v>3.1206387249701477E-2</v>
      </c>
      <c r="CK1096" s="114"/>
      <c r="CL1096" s="169">
        <f t="shared" si="1967"/>
        <v>8.5148982206714324E-3</v>
      </c>
      <c r="CM1096" s="169">
        <f t="shared" si="1978"/>
        <v>8.3106963097591257E-3</v>
      </c>
      <c r="CN1096" s="114">
        <f>VLOOKUP($H1096,RoR!$E:$F,2,FALSE)</f>
        <v>3.6658333333333334E-2</v>
      </c>
      <c r="CO1096" s="169">
        <v>1.0483662879041455E-2</v>
      </c>
      <c r="CP1096" s="169">
        <f t="shared" si="1975"/>
        <v>2.6174670454291879E-2</v>
      </c>
      <c r="CQ1096" s="169">
        <f t="shared" si="1979"/>
        <v>2.2591245298774501E-2</v>
      </c>
      <c r="CR1096" s="169">
        <f t="shared" si="1980"/>
        <v>4.301363574220729E-3</v>
      </c>
      <c r="CS1096" s="179">
        <f t="shared" si="1968"/>
        <v>0.85126000000000002</v>
      </c>
      <c r="CT1096" s="180">
        <f t="shared" si="1969"/>
        <v>1.3989193348138562</v>
      </c>
      <c r="CU1096" s="180">
        <f t="shared" si="1970"/>
        <v>0.29302682427824522</v>
      </c>
      <c r="CV1096" s="180">
        <f t="shared" si="1971"/>
        <v>0.76309497491941802</v>
      </c>
      <c r="CW1096" s="180">
        <f t="shared" si="1972"/>
        <v>0.31280857135128509</v>
      </c>
      <c r="CX1096" s="181">
        <f>INDEX('State Tax Lookup'!$D$7:$Z$91,MATCH(Calculation!$C1096,'State Tax Lookup'!$B$7:$B$91,0),MATCH($H1096,'State Tax Lookup'!$D$6:$Z$6,0))</f>
        <v>0.40200000000000002</v>
      </c>
      <c r="CY1096" s="72">
        <v>0.37</v>
      </c>
      <c r="CZ1096" s="70">
        <f t="shared" si="1976"/>
        <v>21.58717741250706</v>
      </c>
      <c r="DA1096" s="70">
        <v>19.909765876209278</v>
      </c>
      <c r="DB1096" s="69">
        <f t="shared" si="1981"/>
        <v>-1.5935775779726324E-2</v>
      </c>
      <c r="DC1096" s="111">
        <f>VLOOKUP($H1096,RoR!$E:$F,2,FALSE)</f>
        <v>3.6658333333333334E-2</v>
      </c>
      <c r="DD1096" s="216">
        <f>HLOOKUP($H1096,'GDP-PI'!$D$8:$CQ$11,3,FALSE)</f>
        <v>1.0483662879041455E-2</v>
      </c>
      <c r="DE1096" s="111">
        <f>VLOOKUP(H1096,'HW Dx Data'!$E:$F,2,FALSE)</f>
        <v>671.45639385971219</v>
      </c>
      <c r="DF1096" s="72">
        <f t="shared" si="1991"/>
        <v>136.94999999999999</v>
      </c>
      <c r="DG1096" s="69">
        <f t="shared" si="1992"/>
        <v>2.5514417868782811E-2</v>
      </c>
      <c r="DH1096" s="66">
        <f>HLOOKUP(H1096,'GDP-PI'!$8:$9,2,FALSE)</f>
        <v>105.736</v>
      </c>
      <c r="DI1096" s="69">
        <f t="shared" si="1982"/>
        <v>1.0429090367205095E-2</v>
      </c>
    </row>
    <row r="1097" spans="1:113" s="160" customFormat="1" ht="21">
      <c r="A1097" s="160" t="s">
        <v>224</v>
      </c>
      <c r="B1097" s="160" t="s">
        <v>225</v>
      </c>
      <c r="C1097" s="160">
        <v>4063060</v>
      </c>
      <c r="D1097" s="161" t="s">
        <v>181</v>
      </c>
      <c r="E1097" s="161" t="s">
        <v>3</v>
      </c>
      <c r="F1097" s="189"/>
      <c r="G1097" s="160" t="s">
        <v>135</v>
      </c>
      <c r="H1097" s="162">
        <v>2017</v>
      </c>
      <c r="I1097" s="163"/>
      <c r="J1097" s="159">
        <f>IFERROR(INDEX('Labor Expenditures'!$F$7:$X$91,MATCH($C1097,'Labor Expenditures'!$D$7:$D$91,0),MATCH($G1097,'Labor Expenditures'!$F$5:$X$5,0)),"NA")</f>
        <v>26472.130414093761</v>
      </c>
      <c r="K1097" s="159">
        <f t="shared" si="1983"/>
        <v>188.4808146250891</v>
      </c>
      <c r="L1097" s="165">
        <f t="shared" si="1989"/>
        <v>0.12977029075840532</v>
      </c>
      <c r="M1097" s="76">
        <f t="shared" si="1993"/>
        <v>1.1665390336732338E-3</v>
      </c>
      <c r="N1097" s="62">
        <f t="shared" si="2000"/>
        <v>170.7725891690678</v>
      </c>
      <c r="O1097" s="96">
        <f t="shared" si="1994"/>
        <v>-0.57625244620718341</v>
      </c>
      <c r="P1097" s="96"/>
      <c r="Q1097" s="159">
        <f>IFERROR(INDEX('Non-Labor Expenditures'!$F$7:$AB$91,MATCH($C1097,'Non-Labor Expenditures'!$D$7:$D$91,0),MATCH($G1097,'Non-Labor Expenditures'!$F$5:$AB$5,0)),"NA")</f>
        <v>38336.589151553228</v>
      </c>
      <c r="R1097" s="159">
        <f t="shared" si="1984"/>
        <v>355.78870870389346</v>
      </c>
      <c r="S1097" s="165">
        <f t="shared" si="1995"/>
        <v>0.13612836037182582</v>
      </c>
      <c r="T1097" s="165">
        <f t="shared" si="1996"/>
        <v>1.2236933818643378E-3</v>
      </c>
      <c r="U1097" s="165"/>
      <c r="V1097" s="165"/>
      <c r="W1097" s="159">
        <f t="shared" si="1964"/>
        <v>41631.046234121044</v>
      </c>
      <c r="X1097" s="163"/>
      <c r="Y1097" s="167">
        <v>2184.6702334050888</v>
      </c>
      <c r="Z1097" s="168">
        <v>2.1995781324079363E-2</v>
      </c>
      <c r="AA1097" s="76">
        <f t="shared" si="1985"/>
        <v>1.977258226110382E-4</v>
      </c>
      <c r="AB1097" s="168"/>
      <c r="AC1097" s="168"/>
      <c r="AD1097" s="163">
        <f t="shared" si="2005"/>
        <v>106439.76579976804</v>
      </c>
      <c r="AE1097" s="168">
        <f t="shared" si="1997"/>
        <v>6.020927859916881E-2</v>
      </c>
      <c r="AF1097" s="163"/>
      <c r="AG1097" s="163"/>
      <c r="AH1097" s="163"/>
      <c r="AI1097" s="163"/>
      <c r="AJ1097" s="116">
        <f t="shared" si="1998"/>
        <v>542.66687297859733</v>
      </c>
      <c r="AK1097" s="114">
        <f>+AV1097/$AX$22</f>
        <v>5.2971883003496206E-3</v>
      </c>
      <c r="AL1097" s="115">
        <f t="shared" si="1986"/>
        <v>0.24870526738937498</v>
      </c>
      <c r="AM1097" s="115">
        <f t="shared" si="1987"/>
        <v>0.36017167891623425</v>
      </c>
      <c r="AN1097" s="115">
        <f t="shared" si="1988"/>
        <v>0.39112305369439071</v>
      </c>
      <c r="AO1097" s="115">
        <f t="shared" si="1990"/>
        <v>8.6836165330144807E-2</v>
      </c>
      <c r="AP1097" s="166">
        <f t="shared" si="2002"/>
        <v>126.20451404291464</v>
      </c>
      <c r="AQ1097" s="168">
        <f t="shared" si="2003"/>
        <v>8.6836165330144738E-2</v>
      </c>
      <c r="AR1097" s="69">
        <f>+AD1097/$AF$22</f>
        <v>8.9892611541187908E-3</v>
      </c>
      <c r="AS1097" s="169">
        <f t="shared" si="2001"/>
        <v>7.8059296777490696E-4</v>
      </c>
      <c r="AT1097" s="115"/>
      <c r="AU1097" s="115"/>
      <c r="AV1097" s="113">
        <f>IFERROR(INDEX('Total Customers'!$F$7:$AB$91,MATCH($C1097,'Total Customers'!$D$7:$D$91,0),MATCH($G1097,'Total Customers'!$F$5:$AB$5,0)),"NA")</f>
        <v>196142</v>
      </c>
      <c r="AW1097" s="68">
        <f t="shared" si="2004"/>
        <v>1.1924471802593744E-2</v>
      </c>
      <c r="AX1097" s="114"/>
      <c r="AY1097" s="114"/>
      <c r="AZ1097" s="116">
        <v>8824403</v>
      </c>
      <c r="BA1097" s="116"/>
      <c r="BB1097" s="166"/>
      <c r="BC1097" s="166"/>
      <c r="BD1097" s="166"/>
      <c r="BE1097" s="166"/>
      <c r="BF1097" s="166"/>
      <c r="BG1097" s="166"/>
      <c r="BH1097" s="166"/>
      <c r="BI1097" s="113"/>
      <c r="BJ1097" s="113"/>
      <c r="BK1097" s="113">
        <f>INDEX('Dist. Plant Gas Additions'!$F$7:$AE$91,MATCH($C1097,'Dist. Plant Gas Additions'!$D$7:$D$91,0),MATCH(Calculation!$G1097,'Dist. Plant Gas Additions'!$F$5:$AE$5,0))</f>
        <v>45219</v>
      </c>
      <c r="BL1097" s="113">
        <f>INDEX('Gen. Plant Additions'!$F$7:$AE$91,MATCH($C1097,'Gen. Plant Additions'!$D$7:$D$91,0),MATCH(Calculation!$G1097,'Gen. Plant Additions'!$F$5:$AE$5,0))</f>
        <v>1990</v>
      </c>
      <c r="BM1097" s="231">
        <f t="shared" si="1973"/>
        <v>0.94837067232447181</v>
      </c>
      <c r="BN1097" s="61">
        <f t="shared" si="1977"/>
        <v>1887.2576379256989</v>
      </c>
      <c r="BO1097" s="113">
        <f>INDEX('Dist Plant Depreciation'!$E$7:$AD$94,MATCH($C1097,'Dist Plant Depreciation'!$D$7:$D$94,0),MATCH(Calculation!$G1097,'Dist Plant Depreciation'!$E$5:$AD$5,0))</f>
        <v>316286</v>
      </c>
      <c r="BP1097" s="113">
        <f>INDEX('Gen. Plant Depreciation'!$E$7:$AD$94,MATCH($C1097,'Gen. Plant Depreciation'!$D$7:$D$94,0),MATCH(Calculation!$G1097,'Gen. Plant Depreciation'!$E$5:$AD$5,0))</f>
        <v>9210</v>
      </c>
      <c r="BQ1097" s="113"/>
      <c r="BR1097" s="113"/>
      <c r="BS1097" s="113"/>
      <c r="BT1097" s="113"/>
      <c r="BU1097" s="113"/>
      <c r="BV1097" s="175"/>
      <c r="BW1097" s="113">
        <f>INDEX('Gross Dx Plant'!$E$7:$AD$91,MATCH($C1097,'Gross Dx Plant'!$D$7:$D$91,0),MATCH(Calculation!$G1097,'Gross Dx Plant'!$E$5:$AD$5,0))</f>
        <v>851965</v>
      </c>
      <c r="BX1097" s="113">
        <f>INDEX('Gross Gen Plant'!$E$7:$AD$91,MATCH($C1097,'Gross Gen Plant'!$D$7:$D$91,0),MATCH(Calculation!$G1097,'Gross Gen Plant'!$E$5:$AD$5,0))</f>
        <v>46381</v>
      </c>
      <c r="BY1097" s="113">
        <f t="shared" si="1999"/>
        <v>572850</v>
      </c>
      <c r="BZ1097" s="113"/>
      <c r="CA1097" s="116">
        <v>2017</v>
      </c>
      <c r="CB1097" s="113"/>
      <c r="CC1097" s="113"/>
      <c r="CD1097" s="113"/>
      <c r="CE1097" s="175"/>
      <c r="CF1097" s="113">
        <f t="shared" si="1974"/>
        <v>47209</v>
      </c>
      <c r="CG1097" s="113">
        <f t="shared" si="1965"/>
        <v>66.264887569035608</v>
      </c>
      <c r="CH1097" s="178">
        <v>0.87074829931972786</v>
      </c>
      <c r="CI1097" s="61">
        <f>+CI1078*CH1097+CG1079*CH1096+CG1080*CH1095+CG1081*CH1094+CG1082*CH1093+CG1083*CH1092+CG1084*CH1091+CG1085*CH1090+CG1086*CH1089+CG1087*CH1088+CG1088*CH1087+CG1089*CH1086+CG1090*CH1085+CG1091*CH1084+CG1092*CH1083+CG1093*CH1082+CG1094*CH1081+CG1095*CH1080+CG1096*CH1079+CG1097</f>
        <v>2184.6702334050888</v>
      </c>
      <c r="CJ1097" s="114">
        <f t="shared" si="1966"/>
        <v>2.1995781324079363E-2</v>
      </c>
      <c r="CK1097" s="114"/>
      <c r="CL1097" s="169">
        <f t="shared" si="1967"/>
        <v>8.7668477276076646E-3</v>
      </c>
      <c r="CM1097" s="169">
        <f t="shared" si="1978"/>
        <v>8.5372136432470547E-3</v>
      </c>
      <c r="CN1097" s="114">
        <f>VLOOKUP($H1097,RoR!$E:$F,2,FALSE)</f>
        <v>3.7433333333333339E-2</v>
      </c>
      <c r="CO1097" s="169">
        <v>1.9056896421275615E-2</v>
      </c>
      <c r="CP1097" s="169">
        <f t="shared" si="1975"/>
        <v>1.8376436912057724E-2</v>
      </c>
      <c r="CQ1097" s="169">
        <f t="shared" si="1979"/>
        <v>2.236472796528657E-2</v>
      </c>
      <c r="CR1097" s="169">
        <f t="shared" si="1980"/>
        <v>1.3976271617800498E-2</v>
      </c>
      <c r="CS1097" s="179">
        <f t="shared" si="1968"/>
        <v>0.90305999999999997</v>
      </c>
      <c r="CT1097" s="180">
        <f t="shared" si="1969"/>
        <v>1.3699568463593395</v>
      </c>
      <c r="CU1097" s="180">
        <f t="shared" si="1970"/>
        <v>0.30714603739982199</v>
      </c>
      <c r="CV1097" s="180">
        <f t="shared" si="1971"/>
        <v>0.77007188472689425</v>
      </c>
      <c r="CW1097" s="180">
        <f t="shared" si="1972"/>
        <v>0.32402839633793828</v>
      </c>
      <c r="CX1097" s="181">
        <f>INDEX('State Tax Lookup'!$D$7:$Z$91,MATCH(Calculation!$C1097,'State Tax Lookup'!$B$7:$B$91,0),MATCH($H1097,'State Tax Lookup'!$D$6:$Z$6,0))</f>
        <v>0.26200000000000001</v>
      </c>
      <c r="CY1097" s="72">
        <v>0.37</v>
      </c>
      <c r="CZ1097" s="70">
        <f t="shared" si="1976"/>
        <v>19.479781464939315</v>
      </c>
      <c r="DA1097" s="70">
        <v>18.231812616449311</v>
      </c>
      <c r="DB1097" s="69">
        <f t="shared" si="1981"/>
        <v>-0.10272242038808586</v>
      </c>
      <c r="DC1097" s="111">
        <f>VLOOKUP($H1097,RoR!$E:$F,2,FALSE)</f>
        <v>3.7433333333333339E-2</v>
      </c>
      <c r="DD1097" s="216">
        <f>HLOOKUP($H1097,'GDP-PI'!$D$8:$CQ$11,3,FALSE)</f>
        <v>1.9056896421275615E-2</v>
      </c>
      <c r="DE1097" s="111">
        <f>VLOOKUP(H1097,'HW Dx Data'!$E:$F,2,FALSE)</f>
        <v>712.42858370229726</v>
      </c>
      <c r="DF1097" s="72">
        <f t="shared" si="1991"/>
        <v>140.44999999999999</v>
      </c>
      <c r="DG1097" s="69">
        <f t="shared" si="1992"/>
        <v>2.5235657841165486E-2</v>
      </c>
      <c r="DH1097" s="66">
        <f>HLOOKUP(H1097,'GDP-PI'!$8:$9,2,FALSE)</f>
        <v>107.751</v>
      </c>
      <c r="DI1097" s="69">
        <f t="shared" si="1982"/>
        <v>1.8877588227745139E-2</v>
      </c>
    </row>
    <row r="1098" spans="1:113" s="160" customFormat="1" ht="21">
      <c r="A1098" s="160" t="s">
        <v>224</v>
      </c>
      <c r="B1098" s="160" t="s">
        <v>225</v>
      </c>
      <c r="C1098" s="160">
        <v>4063060</v>
      </c>
      <c r="D1098" s="161" t="s">
        <v>181</v>
      </c>
      <c r="E1098" s="161" t="s">
        <v>3</v>
      </c>
      <c r="F1098" s="189"/>
      <c r="G1098" s="160" t="s">
        <v>136</v>
      </c>
      <c r="H1098" s="162">
        <v>2018</v>
      </c>
      <c r="I1098" s="163"/>
      <c r="J1098" s="159">
        <f>IFERROR(INDEX('Labor Expenditures'!$F$7:$X$91,MATCH($C1098,'Labor Expenditures'!$D$7:$D$91,0),MATCH($G1098,'Labor Expenditures'!$F$5:$X$5,0)),"NA")</f>
        <v>24724.924755787975</v>
      </c>
      <c r="K1098" s="159">
        <f t="shared" si="1983"/>
        <v>171.16597269496697</v>
      </c>
      <c r="L1098" s="165">
        <f t="shared" si="1989"/>
        <v>-9.6362536201096097E-2</v>
      </c>
      <c r="M1098" s="76">
        <f t="shared" si="1993"/>
        <v>-7.8675782999700051E-4</v>
      </c>
      <c r="N1098" s="62">
        <f t="shared" si="2000"/>
        <v>117.38429486883346</v>
      </c>
      <c r="O1098" s="96">
        <f t="shared" si="1994"/>
        <v>-0.37487965961282965</v>
      </c>
      <c r="P1098" s="96"/>
      <c r="Q1098" s="159">
        <f>IFERROR(INDEX('Non-Labor Expenditures'!$F$7:$AB$91,MATCH($C1098,'Non-Labor Expenditures'!$D$7:$D$91,0),MATCH($G1098,'Non-Labor Expenditures'!$F$5:$AB$5,0)),"NA")</f>
        <v>35806.309025323688</v>
      </c>
      <c r="R1098" s="159">
        <f t="shared" si="1984"/>
        <v>324.56181926835706</v>
      </c>
      <c r="S1098" s="165">
        <f t="shared" si="1995"/>
        <v>-9.1861015555613115E-2</v>
      </c>
      <c r="T1098" s="165">
        <f t="shared" si="1996"/>
        <v>-7.5000488892313733E-4</v>
      </c>
      <c r="U1098" s="165"/>
      <c r="V1098" s="165"/>
      <c r="W1098" s="159">
        <f t="shared" si="1964"/>
        <v>44551.291021756995</v>
      </c>
      <c r="X1098" s="163"/>
      <c r="Y1098" s="167">
        <v>2238.330281868457</v>
      </c>
      <c r="Z1098" s="168">
        <v>2.4265283799904877E-2</v>
      </c>
      <c r="AA1098" s="76">
        <f t="shared" si="1985"/>
        <v>1.9811539607918059E-4</v>
      </c>
      <c r="AB1098" s="168"/>
      <c r="AC1098" s="168"/>
      <c r="AD1098" s="163">
        <f t="shared" si="2005"/>
        <v>105082.52480286866</v>
      </c>
      <c r="AE1098" s="168">
        <f t="shared" si="1997"/>
        <v>-1.283325384057557E-2</v>
      </c>
      <c r="AF1098" s="163"/>
      <c r="AG1098" s="163"/>
      <c r="AH1098" s="163"/>
      <c r="AI1098" s="163"/>
      <c r="AJ1098" s="116">
        <f t="shared" si="1998"/>
        <v>528.99124981937132</v>
      </c>
      <c r="AK1098" s="114">
        <f>+AV1098/$AX$23</f>
        <v>5.3178559836996216E-3</v>
      </c>
      <c r="AL1098" s="115">
        <f t="shared" si="1986"/>
        <v>0.23529054714065079</v>
      </c>
      <c r="AM1098" s="115">
        <f t="shared" si="1987"/>
        <v>0.3407446584719499</v>
      </c>
      <c r="AN1098" s="115">
        <f t="shared" si="1988"/>
        <v>0.42396479438739926</v>
      </c>
      <c r="AO1098" s="115">
        <f t="shared" si="1990"/>
        <v>-4.5623806407634783E-2</v>
      </c>
      <c r="AP1098" s="166">
        <f t="shared" si="2002"/>
        <v>120.57595810071899</v>
      </c>
      <c r="AQ1098" s="168">
        <f t="shared" si="2003"/>
        <v>-4.5623806407634762E-2</v>
      </c>
      <c r="AR1098" s="69">
        <f>+AD1098/$AF$23</f>
        <v>8.164561260147191E-3</v>
      </c>
      <c r="AS1098" s="169">
        <f t="shared" si="2001"/>
        <v>-3.7249836233622995E-4</v>
      </c>
      <c r="AT1098" s="115"/>
      <c r="AU1098" s="115"/>
      <c r="AV1098" s="113">
        <f>IFERROR(INDEX('Total Customers'!$F$7:$AB$91,MATCH($C1098,'Total Customers'!$D$7:$D$91,0),MATCH($G1098,'Total Customers'!$F$5:$AB$5,0)),"NA")</f>
        <v>198647</v>
      </c>
      <c r="AW1098" s="68">
        <f t="shared" si="2004"/>
        <v>1.2690493498097833E-2</v>
      </c>
      <c r="AX1098" s="114"/>
      <c r="AY1098" s="114"/>
      <c r="AZ1098" s="116">
        <v>8911356</v>
      </c>
      <c r="BA1098" s="116"/>
      <c r="BB1098" s="166"/>
      <c r="BC1098" s="166"/>
      <c r="BD1098" s="166"/>
      <c r="BE1098" s="166"/>
      <c r="BF1098" s="166"/>
      <c r="BG1098" s="166"/>
      <c r="BH1098" s="166"/>
      <c r="BI1098" s="113"/>
      <c r="BJ1098" s="113"/>
      <c r="BK1098" s="113">
        <f>INDEX('Dist. Plant Gas Additions'!$F$7:$AE$91,MATCH($C1098,'Dist. Plant Gas Additions'!$D$7:$D$91,0),MATCH(Calculation!$G1098,'Dist. Plant Gas Additions'!$F$5:$AE$5,0))</f>
        <v>54189</v>
      </c>
      <c r="BL1098" s="113">
        <f>INDEX('Gen. Plant Additions'!$F$7:$AE$91,MATCH($C1098,'Gen. Plant Additions'!$D$7:$D$91,0),MATCH(Calculation!$G1098,'Gen. Plant Additions'!$F$5:$AE$5,0))</f>
        <v>1285</v>
      </c>
      <c r="BM1098" s="231">
        <f t="shared" si="1973"/>
        <v>0.94726969110690984</v>
      </c>
      <c r="BN1098" s="61">
        <f t="shared" si="1977"/>
        <v>1217.2415530723792</v>
      </c>
      <c r="BO1098" s="113">
        <f>INDEX('Dist Plant Depreciation'!$E$7:$AD$94,MATCH($C1098,'Dist Plant Depreciation'!$D$7:$D$94,0),MATCH(Calculation!$G1098,'Dist Plant Depreciation'!$E$5:$AD$5,0))</f>
        <v>325116</v>
      </c>
      <c r="BP1098" s="113">
        <f>INDEX('Gen. Plant Depreciation'!$E$7:$AD$94,MATCH($C1098,'Gen. Plant Depreciation'!$D$7:$D$94,0),MATCH(Calculation!$G1098,'Gen. Plant Depreciation'!$E$5:$AD$5,0))</f>
        <v>12541</v>
      </c>
      <c r="BQ1098" s="113"/>
      <c r="BR1098" s="113"/>
      <c r="BS1098" s="113"/>
      <c r="BT1098" s="113"/>
      <c r="BU1098" s="113"/>
      <c r="BV1098" s="175"/>
      <c r="BW1098" s="113">
        <f>INDEX('Gross Dx Plant'!$E$7:$AD$91,MATCH($C1098,'Gross Dx Plant'!$D$7:$D$91,0),MATCH(Calculation!$G1098,'Gross Dx Plant'!$E$5:$AD$5,0))</f>
        <v>901383</v>
      </c>
      <c r="BX1098" s="113">
        <f>INDEX('Gross Gen Plant'!$E$7:$AD$91,MATCH($C1098,'Gross Gen Plant'!$D$7:$D$91,0),MATCH(Calculation!$G1098,'Gross Gen Plant'!$E$5:$AD$5,0))</f>
        <v>50176</v>
      </c>
      <c r="BY1098" s="113">
        <f t="shared" si="1999"/>
        <v>613902</v>
      </c>
      <c r="BZ1098" s="113"/>
      <c r="CA1098" s="116">
        <v>2018</v>
      </c>
      <c r="CB1098" s="113"/>
      <c r="CC1098" s="113"/>
      <c r="CD1098" s="113"/>
      <c r="CE1098" s="175"/>
      <c r="CF1098" s="113">
        <f t="shared" si="1974"/>
        <v>55474</v>
      </c>
      <c r="CG1098" s="113">
        <f t="shared" si="1965"/>
        <v>73.46219425757441</v>
      </c>
      <c r="CH1098" s="178">
        <v>0.86111111111111116</v>
      </c>
      <c r="CI1098" s="61">
        <f>+CI1078*CH1098++CG1079*CH1097+CG1080*CH1096+CG1081*CH1095+CG1082*CH1094+CG1083*CH1093+CG1084*CH1092+CG1085*CH1091+CG1086*CH1090+CG1087*CH1089+CG1088*CH1088+CG1089*CH1087+CG1090*CH1086+CG1091*CH1085+CG1092*CH1084+CG1093*CH1083+CG1094*CH1082+CG1095*CH1081+CG1096*CH1080+CG1097*CH1079+CG1098</f>
        <v>2238.330281868457</v>
      </c>
      <c r="CJ1098" s="114">
        <f t="shared" si="1966"/>
        <v>2.4265283799904877E-2</v>
      </c>
      <c r="CK1098" s="114"/>
      <c r="CL1098" s="169">
        <f t="shared" si="1967"/>
        <v>9.064134939643519E-3</v>
      </c>
      <c r="CM1098" s="169">
        <f t="shared" si="1978"/>
        <v>8.7819602959742053E-3</v>
      </c>
      <c r="CN1098" s="114">
        <f>VLOOKUP($H1098,RoR!$E:$F,2,FALSE)</f>
        <v>3.9299999999999995E-2</v>
      </c>
      <c r="CO1098" s="169">
        <v>2.386056741932796E-2</v>
      </c>
      <c r="CP1098" s="169">
        <f t="shared" si="1975"/>
        <v>1.5439432580672034E-2</v>
      </c>
      <c r="CQ1098" s="169">
        <f t="shared" si="1979"/>
        <v>2.211998131255942E-2</v>
      </c>
      <c r="CR1098" s="169">
        <f t="shared" si="1980"/>
        <v>3.8270792163076606E-2</v>
      </c>
      <c r="CS1098" s="179">
        <f t="shared" si="1968"/>
        <v>0.90305999999999997</v>
      </c>
      <c r="CT1098" s="180">
        <f t="shared" si="1969"/>
        <v>1.3048868010700074</v>
      </c>
      <c r="CU1098" s="180">
        <f t="shared" si="1970"/>
        <v>0.33886768447837151</v>
      </c>
      <c r="CV1098" s="180">
        <f t="shared" si="1971"/>
        <v>0.78602506232557801</v>
      </c>
      <c r="CW1098" s="180">
        <f t="shared" si="1972"/>
        <v>0.34756768162358759</v>
      </c>
      <c r="CX1098" s="181">
        <f>INDEX('State Tax Lookup'!$D$7:$Z$91,MATCH(Calculation!$C1098,'State Tax Lookup'!$B$7:$B$91,0),MATCH($H1098,'State Tax Lookup'!$D$6:$Z$6,0))</f>
        <v>0.26200000000000001</v>
      </c>
      <c r="CY1098" s="72">
        <v>0.37</v>
      </c>
      <c r="CZ1098" s="70">
        <f t="shared" si="1976"/>
        <v>20.39268459858955</v>
      </c>
      <c r="DA1098" s="70">
        <v>19.050901628905343</v>
      </c>
      <c r="DB1098" s="69">
        <f t="shared" si="1981"/>
        <v>4.5799158710949861E-2</v>
      </c>
      <c r="DC1098" s="111">
        <f>VLOOKUP($H1098,RoR!$E:$F,2,FALSE)</f>
        <v>3.9299999999999995E-2</v>
      </c>
      <c r="DD1098" s="216">
        <f>HLOOKUP($H1098,'GDP-PI'!$D$8:$CQ$11,3,FALSE)</f>
        <v>2.386056741932796E-2</v>
      </c>
      <c r="DE1098" s="111">
        <f>VLOOKUP(H1098,'HW Dx Data'!$E:$F,2,FALSE)</f>
        <v>755.13671434174842</v>
      </c>
      <c r="DF1098" s="72">
        <f t="shared" si="1991"/>
        <v>144.44999999999999</v>
      </c>
      <c r="DG1098" s="69">
        <f t="shared" si="1992"/>
        <v>2.80818733619915E-2</v>
      </c>
      <c r="DH1098" s="66">
        <f>HLOOKUP(H1098,'GDP-PI'!$8:$9,2,FALSE)</f>
        <v>110.322</v>
      </c>
      <c r="DI1098" s="69">
        <f t="shared" si="1982"/>
        <v>2.3580352716508712E-2</v>
      </c>
    </row>
    <row r="1099" spans="1:113" s="160" customFormat="1" ht="21">
      <c r="A1099" s="160" t="s">
        <v>224</v>
      </c>
      <c r="B1099" s="160" t="s">
        <v>225</v>
      </c>
      <c r="C1099" s="160">
        <v>4063060</v>
      </c>
      <c r="D1099" s="161" t="s">
        <v>181</v>
      </c>
      <c r="E1099" s="161" t="s">
        <v>3</v>
      </c>
      <c r="F1099" s="189"/>
      <c r="G1099" s="160" t="s">
        <v>140</v>
      </c>
      <c r="H1099" s="162">
        <v>2019</v>
      </c>
      <c r="I1099" s="163"/>
      <c r="J1099" s="159">
        <f>IFERROR(INDEX('Labor Expenditures'!$F$7:$X$91,MATCH($C1099,'Labor Expenditures'!$D$7:$D$91,0),MATCH($G1099,'Labor Expenditures'!$F$5:$X$5,0)),"NA")</f>
        <v>22004.515553041456</v>
      </c>
      <c r="K1099" s="159">
        <f t="shared" si="1983"/>
        <v>147.01530351121733</v>
      </c>
      <c r="L1099" s="165">
        <f t="shared" si="1989"/>
        <v>-0.1520969994512531</v>
      </c>
      <c r="M1099" s="76">
        <f t="shared" si="1993"/>
        <v>-1.1462792117135458E-3</v>
      </c>
      <c r="N1099" s="62">
        <f t="shared" si="2000"/>
        <v>117.13206159879921</v>
      </c>
      <c r="O1099" s="96">
        <f t="shared" si="1994"/>
        <v>-2.1510940310923215E-3</v>
      </c>
      <c r="P1099" s="96"/>
      <c r="Q1099" s="159">
        <f>IFERROR(INDEX('Non-Labor Expenditures'!$F$7:$AB$91,MATCH($C1099,'Non-Labor Expenditures'!$D$7:$D$91,0),MATCH($G1099,'Non-Labor Expenditures'!$F$5:$AB$5,0)),"NA")</f>
        <v>31866.648397395031</v>
      </c>
      <c r="R1099" s="159">
        <f t="shared" si="1984"/>
        <v>283.7180896863818</v>
      </c>
      <c r="S1099" s="165">
        <f t="shared" si="1995"/>
        <v>-0.13449492100348334</v>
      </c>
      <c r="T1099" s="165">
        <f t="shared" si="1996"/>
        <v>-1.0136211271988924E-3</v>
      </c>
      <c r="U1099" s="165"/>
      <c r="V1099" s="165"/>
      <c r="W1099" s="159">
        <f t="shared" si="1964"/>
        <v>46133.256688057401</v>
      </c>
      <c r="X1099" s="163"/>
      <c r="Y1099" s="167">
        <v>2304.0096118533838</v>
      </c>
      <c r="Z1099" s="168">
        <v>2.8920736605592863E-2</v>
      </c>
      <c r="AA1099" s="76">
        <f t="shared" si="1985"/>
        <v>2.179611647701111E-4</v>
      </c>
      <c r="AB1099" s="168"/>
      <c r="AC1099" s="168"/>
      <c r="AD1099" s="163">
        <f t="shared" si="2005"/>
        <v>100004.42063849389</v>
      </c>
      <c r="AE1099" s="168">
        <f t="shared" si="1997"/>
        <v>-4.9531600567717299E-2</v>
      </c>
      <c r="AF1099" s="163"/>
      <c r="AG1099" s="163"/>
      <c r="AH1099" s="163"/>
      <c r="AI1099" s="163"/>
      <c r="AJ1099" s="116">
        <f t="shared" si="1998"/>
        <v>499.20091768288108</v>
      </c>
      <c r="AK1099" s="114">
        <f>+AV1099/$AX$24</f>
        <v>5.318655085341171E-3</v>
      </c>
      <c r="AL1099" s="115">
        <f t="shared" si="1986"/>
        <v>0.22003542855955946</v>
      </c>
      <c r="AM1099" s="115">
        <f t="shared" si="1987"/>
        <v>0.31865239750340457</v>
      </c>
      <c r="AN1099" s="115">
        <f t="shared" si="1988"/>
        <v>0.46131217393703594</v>
      </c>
      <c r="AO1099" s="115">
        <f t="shared" si="1990"/>
        <v>-6.6168203802821096E-2</v>
      </c>
      <c r="AP1099" s="166">
        <f t="shared" si="2002"/>
        <v>112.85589148291965</v>
      </c>
      <c r="AQ1099" s="168">
        <f t="shared" si="2003"/>
        <v>-6.6168203802821096E-2</v>
      </c>
      <c r="AR1099" s="69">
        <f>+AD1099/$AF$24</f>
        <v>7.5365011528772917E-3</v>
      </c>
      <c r="AS1099" s="169">
        <f t="shared" si="2001"/>
        <v>-4.9867674424378073E-4</v>
      </c>
      <c r="AT1099" s="115"/>
      <c r="AU1099" s="115"/>
      <c r="AV1099" s="113">
        <f>IFERROR(INDEX('Total Customers'!$F$7:$AB$91,MATCH($C1099,'Total Customers'!$D$7:$D$91,0),MATCH($G1099,'Total Customers'!$F$5:$AB$5,0)),"NA")</f>
        <v>200329</v>
      </c>
      <c r="AW1099" s="68">
        <f t="shared" si="2004"/>
        <v>8.4316348090215966E-3</v>
      </c>
      <c r="AX1099" s="114"/>
      <c r="AY1099" s="114"/>
      <c r="AZ1099" s="116">
        <v>8963640</v>
      </c>
      <c r="BA1099" s="116"/>
      <c r="BB1099" s="166"/>
      <c r="BC1099" s="166"/>
      <c r="BD1099" s="166"/>
      <c r="BE1099" s="166"/>
      <c r="BF1099" s="166"/>
      <c r="BG1099" s="166"/>
      <c r="BH1099" s="166"/>
      <c r="BI1099" s="113"/>
      <c r="BJ1099" s="113"/>
      <c r="BK1099" s="113">
        <f>INDEX('Dist. Plant Gas Additions'!$F$7:$AE$91,MATCH($C1099,'Dist. Plant Gas Additions'!$D$7:$D$91,0),MATCH(Calculation!$G1099,'Dist. Plant Gas Additions'!$F$5:$AE$5,0))</f>
        <v>62806</v>
      </c>
      <c r="BL1099" s="113">
        <f>INDEX('Gen. Plant Additions'!$F$7:$AE$91,MATCH($C1099,'Gen. Plant Additions'!$D$7:$D$91,0),MATCH(Calculation!$G1099,'Gen. Plant Additions'!$F$5:$AE$5,0))</f>
        <v>4212</v>
      </c>
      <c r="BM1099" s="231">
        <f t="shared" si="1973"/>
        <v>0.95150862709289452</v>
      </c>
      <c r="BN1099" s="61">
        <f>+BM1099*BL1099</f>
        <v>4007.7543373152716</v>
      </c>
      <c r="BO1099" s="113">
        <f>INDEX('Dist Plant Depreciation'!$E$7:$AD$94,MATCH($C1099,'Dist Plant Depreciation'!$D$7:$D$94,0),MATCH(Calculation!$G1099,'Dist Plant Depreciation'!$E$5:$AD$5,0))</f>
        <v>344935</v>
      </c>
      <c r="BP1099" s="113">
        <f>INDEX('Gen. Plant Depreciation'!$E$7:$AD$94,MATCH($C1099,'Gen. Plant Depreciation'!$D$7:$D$94,0),MATCH(Calculation!$G1099,'Gen. Plant Depreciation'!$E$5:$AD$5,0))</f>
        <v>15083</v>
      </c>
      <c r="BQ1099" s="113"/>
      <c r="BR1099" s="113"/>
      <c r="BS1099" s="113"/>
      <c r="BT1099" s="113"/>
      <c r="BU1099" s="113"/>
      <c r="BV1099" s="175"/>
      <c r="BW1099" s="113">
        <f>INDEX('Gross Dx Plant'!$E$7:$AD$91,MATCH($C1099,'Gross Dx Plant'!$D$7:$D$91,0),MATCH(Calculation!$G1099,'Gross Dx Plant'!$E$5:$AD$5,0))</f>
        <v>960763</v>
      </c>
      <c r="BX1099" s="113">
        <f>INDEX('Gross Gen Plant'!$E$7:$AD$91,MATCH($C1099,'Gross Gen Plant'!$D$7:$D$91,0),MATCH(Calculation!$G1099,'Gross Gen Plant'!$E$5:$AD$5,0))</f>
        <v>48963</v>
      </c>
      <c r="BY1099" s="113">
        <f t="shared" si="1999"/>
        <v>649708</v>
      </c>
      <c r="BZ1099" s="113"/>
      <c r="CA1099" s="116">
        <v>2019</v>
      </c>
      <c r="CB1099" s="113"/>
      <c r="CC1099" s="113"/>
      <c r="CD1099" s="113"/>
      <c r="CE1099" s="175"/>
      <c r="CF1099" s="113">
        <f t="shared" si="1974"/>
        <v>67018</v>
      </c>
      <c r="CG1099" s="113">
        <f t="shared" si="1965"/>
        <v>86.638132255888806</v>
      </c>
      <c r="CH1099" s="178">
        <v>0.85106382978723405</v>
      </c>
      <c r="CI1099" s="61">
        <f>CI1078*CH1099+CG1079*CH1098+CG1080*CH1097+CG1081*CH1096+CG1082*CH1095+CG1083*CH1094+CG1084*CH1093+CG1085*CH1092+CG1086*CH1091+CG1087*CH1090+CG1088*CH1089+CG1089*CH1088+CG1090*CH1087+CG1091*CH1086+CG1092*CH1085+CG1093*CH1084+CG1094*CH1083+CG1095*CH1082+CG1096*CH1081+CG1097*CH1080+CG1098*CH1079+CG1099</f>
        <v>2304.0096118533838</v>
      </c>
      <c r="CJ1099" s="114">
        <f t="shared" si="1966"/>
        <v>2.8920736605592863E-2</v>
      </c>
      <c r="CK1099" s="114"/>
      <c r="CL1099" s="169">
        <f t="shared" si="1967"/>
        <v>9.3635878675896143E-3</v>
      </c>
      <c r="CM1099" s="169">
        <f t="shared" si="1978"/>
        <v>9.0648568449469332E-3</v>
      </c>
      <c r="CN1099" s="114">
        <f>VLOOKUP($H1099,RoR!$E:$F,2,FALSE)</f>
        <v>3.3875000000000009E-2</v>
      </c>
      <c r="CO1099" s="169">
        <v>1.8092492884465461E-2</v>
      </c>
      <c r="CP1099" s="169">
        <f t="shared" si="1975"/>
        <v>1.5782507115534548E-2</v>
      </c>
      <c r="CQ1099" s="169">
        <f t="shared" si="1979"/>
        <v>2.1837084763586694E-2</v>
      </c>
      <c r="CR1099" s="169">
        <f t="shared" si="1980"/>
        <v>4.8445665544254078E-2</v>
      </c>
      <c r="CS1099" s="179">
        <f t="shared" si="1968"/>
        <v>0.90305999999999997</v>
      </c>
      <c r="CT1099" s="180">
        <f t="shared" si="1969"/>
        <v>1.513861292459078</v>
      </c>
      <c r="CU1099" s="180">
        <f t="shared" si="1970"/>
        <v>0.23699261992619944</v>
      </c>
      <c r="CV1099" s="180">
        <f t="shared" si="1971"/>
        <v>0.73619765810468829</v>
      </c>
      <c r="CW1099" s="180">
        <f t="shared" si="1972"/>
        <v>0.26412854465362851</v>
      </c>
      <c r="CX1099" s="181">
        <f>INDEX('State Tax Lookup'!$D$7:$Z$91,MATCH(Calculation!$C1099,'State Tax Lookup'!$B$7:$B$91,0),MATCH($H1099,'State Tax Lookup'!$D$6:$Z$6,0))</f>
        <v>0.26200000000000001</v>
      </c>
      <c r="CY1099" s="72">
        <v>0.37</v>
      </c>
      <c r="CZ1099" s="70">
        <f t="shared" si="1976"/>
        <v>20.610567199022768</v>
      </c>
      <c r="DA1099" s="70">
        <v>19.236104090735289</v>
      </c>
      <c r="DB1099" s="69">
        <f t="shared" si="1981"/>
        <v>1.0627676667187414E-2</v>
      </c>
      <c r="DC1099" s="111">
        <f>VLOOKUP($H1099,RoR!$E:$F,2,FALSE)</f>
        <v>3.3875000000000009E-2</v>
      </c>
      <c r="DD1099" s="216">
        <f>HLOOKUP($H1099,'GDP-PI'!$D$8:$CQ$11,3,FALSE)</f>
        <v>1.8092492884465461E-2</v>
      </c>
      <c r="DE1099" s="111">
        <f>VLOOKUP(H1099,'HW Dx Data'!$E:$F,2,FALSE)</f>
        <v>773.53929793938721</v>
      </c>
      <c r="DF1099" s="72">
        <f t="shared" si="1991"/>
        <v>149.67500000000001</v>
      </c>
      <c r="DG1099" s="69">
        <f t="shared" si="1992"/>
        <v>3.5532849899171604E-2</v>
      </c>
      <c r="DH1099" s="66">
        <f>HLOOKUP(H1099,'GDP-PI'!$8:$9,2,FALSE)</f>
        <v>112.318</v>
      </c>
      <c r="DI1099" s="69">
        <f t="shared" si="1982"/>
        <v>1.7930771451401852E-2</v>
      </c>
    </row>
    <row r="1100" spans="1:113" s="160" customFormat="1" ht="21">
      <c r="A1100" s="160" t="s">
        <v>224</v>
      </c>
      <c r="B1100" s="160" t="s">
        <v>225</v>
      </c>
      <c r="C1100" s="160">
        <v>4063060</v>
      </c>
      <c r="D1100" s="160" t="s">
        <v>181</v>
      </c>
      <c r="E1100" s="160" t="s">
        <v>3</v>
      </c>
      <c r="G1100" s="161" t="s">
        <v>141</v>
      </c>
      <c r="H1100" s="162">
        <v>2020</v>
      </c>
      <c r="I1100" s="163"/>
      <c r="J1100" s="159">
        <v>22005</v>
      </c>
      <c r="K1100" s="159">
        <f t="shared" si="1983"/>
        <v>143.68266405484817</v>
      </c>
      <c r="L1100" s="165">
        <f t="shared" si="1989"/>
        <v>-2.2929540912210639E-2</v>
      </c>
      <c r="M1100" s="76">
        <f t="shared" si="1993"/>
        <v>-1.7289148431585676E-4</v>
      </c>
      <c r="N1100" s="62">
        <f t="shared" si="2000"/>
        <v>115.79613350818548</v>
      </c>
      <c r="O1100" s="96">
        <f t="shared" si="1994"/>
        <v>-1.1470854685290275E-2</v>
      </c>
      <c r="P1100" s="96"/>
      <c r="Q1100" s="159">
        <v>31867</v>
      </c>
      <c r="R1100" s="159">
        <f t="shared" si="1984"/>
        <v>280.46258239969018</v>
      </c>
      <c r="S1100" s="165">
        <f t="shared" si="1995"/>
        <v>-1.1540783231387361E-2</v>
      </c>
      <c r="T1100" s="165">
        <f t="shared" si="1996"/>
        <v>-8.7018887586168571E-5</v>
      </c>
      <c r="U1100" s="165"/>
      <c r="V1100" s="165"/>
      <c r="W1100" s="159">
        <f t="shared" si="1964"/>
        <v>49253.372539058044</v>
      </c>
      <c r="X1100" s="163"/>
      <c r="Y1100" s="167">
        <v>2369.2261871296264</v>
      </c>
      <c r="Z1100" s="168">
        <v>2.7912483876085498E-2</v>
      </c>
      <c r="AA1100" s="76">
        <f t="shared" si="1985"/>
        <v>2.1046347097638344E-4</v>
      </c>
      <c r="AB1100" s="168"/>
      <c r="AC1100" s="168"/>
      <c r="AD1100" s="163">
        <f t="shared" si="2005"/>
        <v>103125.37253905804</v>
      </c>
      <c r="AE1100" s="168">
        <f t="shared" si="1997"/>
        <v>3.0731065752319958E-2</v>
      </c>
      <c r="AF1100" s="163"/>
      <c r="AG1100" s="163"/>
      <c r="AH1100" s="163"/>
      <c r="AI1100" s="163"/>
      <c r="AJ1100" s="116">
        <f t="shared" si="1998"/>
        <v>505.21686910733354</v>
      </c>
      <c r="AK1100" s="114">
        <f>+AV1100/$AX$25</f>
        <v>5.3810621967548917E-3</v>
      </c>
      <c r="AL1100" s="115">
        <f t="shared" si="1986"/>
        <v>0.21338104734279389</v>
      </c>
      <c r="AM1100" s="115">
        <f t="shared" si="1987"/>
        <v>0.30901221702671272</v>
      </c>
      <c r="AN1100" s="115">
        <f t="shared" si="1988"/>
        <v>0.4776067356304935</v>
      </c>
      <c r="AO1100" s="115">
        <f t="shared" si="1990"/>
        <v>4.5128884248609429E-3</v>
      </c>
      <c r="AP1100" s="166">
        <f t="shared" si="2002"/>
        <v>113.36634848067135</v>
      </c>
      <c r="AQ1100" s="168">
        <f t="shared" si="2003"/>
        <v>4.5128884248608839E-3</v>
      </c>
      <c r="AR1100" s="69">
        <f>+AD1100/$AF$25</f>
        <v>7.5401197511018236E-3</v>
      </c>
      <c r="AS1100" s="169">
        <f t="shared" si="2001"/>
        <v>3.402771914681235E-5</v>
      </c>
      <c r="AT1100" s="115"/>
      <c r="AU1100" s="115"/>
      <c r="AV1100" s="113">
        <f>IFERROR(INDEX('Total Customers'!$F$7:$AB$91,MATCH($C1100,'Total Customers'!$D$7:$D$91,0),MATCH($G1100,'Total Customers'!$F$5:$AB$5,0)),"NA")</f>
        <v>204121</v>
      </c>
      <c r="AW1100" s="68">
        <f t="shared" si="2004"/>
        <v>1.8751940245231264E-2</v>
      </c>
      <c r="AX1100" s="114"/>
      <c r="AY1100" s="114"/>
      <c r="AZ1100" s="116">
        <v>9060252</v>
      </c>
      <c r="BA1100" s="116"/>
      <c r="BB1100" s="166"/>
      <c r="BC1100" s="166"/>
      <c r="BD1100" s="166"/>
      <c r="BE1100" s="166"/>
      <c r="BF1100" s="166"/>
      <c r="BG1100" s="166"/>
      <c r="BH1100" s="166"/>
      <c r="BI1100" s="113"/>
      <c r="BJ1100" s="113"/>
      <c r="BK1100" s="113">
        <f>INDEX('Dist. Plant Gas Additions'!$F$7:$AE$91,MATCH($C1100,'Dist. Plant Gas Additions'!$D$7:$D$91,0),MATCH(Calculation!$G1100,'Dist. Plant Gas Additions'!$F$5:$AE$5,0))</f>
        <v>65744</v>
      </c>
      <c r="BL1100" s="113">
        <f>INDEX('Gen. Plant Additions'!$F$7:$AE$91,MATCH($C1100,'Gen. Plant Additions'!$D$7:$D$91,0),MATCH(Calculation!$G1100,'Gen. Plant Additions'!$F$5:$AE$5,0))</f>
        <v>5366</v>
      </c>
      <c r="BM1100" s="231">
        <f t="shared" si="1973"/>
        <v>0.95051477820975216</v>
      </c>
      <c r="BN1100" s="61">
        <f t="shared" ref="BN1100:BN1116" si="2006">+BM1100*BL1100</f>
        <v>5100.4622998735304</v>
      </c>
      <c r="BO1100" s="113">
        <f>INDEX('Dist Plant Depreciation'!$E$7:$AD$94,MATCH($C1100,'Dist Plant Depreciation'!$D$7:$D$94,0),MATCH(Calculation!$G1100,'Dist Plant Depreciation'!$E$5:$AD$5,0))</f>
        <v>361896</v>
      </c>
      <c r="BP1100" s="113">
        <f>INDEX('Gen. Plant Depreciation'!$E$7:$AD$94,MATCH($C1100,'Gen. Plant Depreciation'!$D$7:$D$94,0),MATCH(Calculation!$G1100,'Gen. Plant Depreciation'!$E$5:$AD$5,0))</f>
        <v>18158</v>
      </c>
      <c r="BQ1100" s="113"/>
      <c r="BR1100" s="113"/>
      <c r="BS1100" s="113"/>
      <c r="BT1100" s="113"/>
      <c r="BU1100" s="113"/>
      <c r="BV1100" s="175"/>
      <c r="BW1100" s="113">
        <f>INDEX('Gross Dx Plant'!$E$7:$AD$91,MATCH($C1100,'Gross Dx Plant'!$D$7:$D$91,0),MATCH(Calculation!$G1100,'Gross Dx Plant'!$E$5:$AD$5,0))</f>
        <v>1014627</v>
      </c>
      <c r="BX1100" s="113">
        <f>INDEX('Gross Gen Plant'!$E$7:$AD$91,MATCH($C1100,'Gross Gen Plant'!$D$7:$D$91,0),MATCH(Calculation!$G1100,'Gross Gen Plant'!$E$5:$AD$5,0))</f>
        <v>52823</v>
      </c>
      <c r="BY1100" s="113">
        <f t="shared" si="1999"/>
        <v>687396</v>
      </c>
      <c r="BZ1100" s="113"/>
      <c r="CA1100" s="116">
        <v>2020</v>
      </c>
      <c r="CB1100" s="113"/>
      <c r="CC1100" s="113"/>
      <c r="CD1100" s="113"/>
      <c r="CE1100" s="175"/>
      <c r="CF1100" s="113">
        <f t="shared" si="1974"/>
        <v>71110</v>
      </c>
      <c r="CG1100" s="113">
        <f t="shared" si="1965"/>
        <v>87.45755127631756</v>
      </c>
      <c r="CH1100" s="178">
        <v>0.84057971014492749</v>
      </c>
      <c r="CI1100" s="61">
        <f>CI1078*CH1100+CG1079*CH1099+CG1080*CH1098+CG1081*CH1097+CG1082*CH1096+CG1083*CH1095+CG1084*CH1094+CG1085*CH1093+CG1086*CH1092+CG1087*CH1091+CG1088*CH1090+CG1089*CH1089+CG1090*CH1088+CG1091*CH1087+CG1092*CH1086+CG1093*CH1085+CG1094*CH1084+CG1095*CH1083+CG1096*CH1082+CG1097*CH1081+CG1098*CH1080+CG1099*CH1079+CG1100</f>
        <v>2369.2261871296264</v>
      </c>
      <c r="CJ1100" s="114">
        <f t="shared" si="1966"/>
        <v>2.7912483876085498E-2</v>
      </c>
      <c r="CK1100" s="114"/>
      <c r="CL1100" s="169">
        <f t="shared" si="1967"/>
        <v>9.6531611177541835E-3</v>
      </c>
      <c r="CM1100" s="169">
        <f t="shared" si="1978"/>
        <v>9.3602946416624384E-3</v>
      </c>
      <c r="CN1100" s="114">
        <f>VLOOKUP($H1100,RoR!$E:$F,2,FALSE)</f>
        <v>2.4766666666666666E-2</v>
      </c>
      <c r="CO1100" s="169">
        <v>1.1618796630994188E-2</v>
      </c>
      <c r="CP1100" s="169">
        <f t="shared" si="1975"/>
        <v>1.3147870035672478E-2</v>
      </c>
      <c r="CQ1100" s="169">
        <f t="shared" si="1979"/>
        <v>2.1541646966871185E-2</v>
      </c>
      <c r="CR1100" s="169">
        <f t="shared" si="1980"/>
        <v>4.5144642961987357E-2</v>
      </c>
      <c r="CS1100" s="179">
        <f t="shared" si="1968"/>
        <v>0.90305999999999997</v>
      </c>
      <c r="CT1100" s="180">
        <f t="shared" si="1969"/>
        <v>2.0706077233668081</v>
      </c>
      <c r="CU1100" s="180">
        <f t="shared" si="1970"/>
        <v>-3.4421265141318998E-2</v>
      </c>
      <c r="CV1100" s="180">
        <f t="shared" si="1971"/>
        <v>0.62416226176410472</v>
      </c>
      <c r="CW1100" s="180">
        <f t="shared" si="1972"/>
        <v>-4.4485877841158712E-2</v>
      </c>
      <c r="CX1100" s="181">
        <f>INDEX('State Tax Lookup'!$D$7:$Z$91,MATCH(Calculation!$C1100,'State Tax Lookup'!$B$7:$B$91,0),MATCH($H1100,'State Tax Lookup'!$D$6:$Z$6,0))</f>
        <v>0.26200000000000001</v>
      </c>
      <c r="CY1100" s="72">
        <v>0.37</v>
      </c>
      <c r="CZ1100" s="70">
        <f t="shared" si="1976"/>
        <v>21.377242649364561</v>
      </c>
      <c r="DA1100" s="70">
        <v>19.952659173050833</v>
      </c>
      <c r="DB1100" s="69">
        <f t="shared" si="1981"/>
        <v>3.6523013490374033E-2</v>
      </c>
      <c r="DC1100" s="111">
        <f>VLOOKUP($H1100,RoR!$E:$F,2,FALSE)</f>
        <v>2.4766666666666666E-2</v>
      </c>
      <c r="DD1100" s="216">
        <f>HLOOKUP($H1100,'GDP-PI'!$D$8:$CQ$11,3,FALSE)</f>
        <v>1.1618796630994188E-2</v>
      </c>
      <c r="DE1100" s="111">
        <f>VLOOKUP(H1100,'HW Dx Data'!$E:$F,2,FALSE)</f>
        <v>813.080162458833</v>
      </c>
      <c r="DF1100" s="72">
        <f t="shared" si="1991"/>
        <v>153.15</v>
      </c>
      <c r="DG1100" s="69">
        <f t="shared" si="1992"/>
        <v>2.2951556467368479E-2</v>
      </c>
      <c r="DH1100" s="66">
        <f>HLOOKUP(H1100,'GDP-PI'!$8:$9,2,FALSE)</f>
        <v>113.623</v>
      </c>
      <c r="DI1100" s="69">
        <f t="shared" si="1982"/>
        <v>1.1551816731392881E-2</v>
      </c>
    </row>
    <row r="1101" spans="1:113" s="160" customFormat="1" ht="21">
      <c r="A1101" s="160" t="s">
        <v>224</v>
      </c>
      <c r="B1101" s="160" t="s">
        <v>225</v>
      </c>
      <c r="C1101" s="160">
        <v>4063060</v>
      </c>
      <c r="D1101" s="160" t="s">
        <v>181</v>
      </c>
      <c r="E1101" s="160" t="s">
        <v>3</v>
      </c>
      <c r="G1101" s="161" t="s">
        <v>142</v>
      </c>
      <c r="H1101" s="162">
        <v>2021</v>
      </c>
      <c r="I1101" s="163"/>
      <c r="J1101" s="159">
        <v>23586.548241640005</v>
      </c>
      <c r="K1101" s="159">
        <f t="shared" si="1983"/>
        <v>149.99394748260735</v>
      </c>
      <c r="L1101" s="164">
        <f t="shared" si="1989"/>
        <v>4.298779719980942E-2</v>
      </c>
      <c r="M1101" s="76">
        <f t="shared" si="1993"/>
        <v>3.0672688496930747E-4</v>
      </c>
      <c r="N1101" s="166">
        <f>+N1100*EXP(O1101)</f>
        <v>116.84411031889496</v>
      </c>
      <c r="O1101" s="114">
        <f t="shared" si="1994"/>
        <v>9.0094807520369469E-3</v>
      </c>
      <c r="P1101" s="114"/>
      <c r="Q1101" s="159">
        <v>33248.507762311812</v>
      </c>
      <c r="R1101" s="159">
        <f t="shared" si="1984"/>
        <v>280.60180405360632</v>
      </c>
      <c r="S1101" s="165">
        <f t="shared" si="1995"/>
        <v>4.9627693410967874E-4</v>
      </c>
      <c r="T1101" s="165">
        <f t="shared" si="1996"/>
        <v>3.5410392715413403E-6</v>
      </c>
      <c r="U1101" s="165"/>
      <c r="V1101" s="165"/>
      <c r="W1101" s="159">
        <f t="shared" si="1964"/>
        <v>52493.152930270233</v>
      </c>
      <c r="X1101" s="163"/>
      <c r="Y1101" s="167">
        <v>2396.9020327835201</v>
      </c>
      <c r="Z1101" s="168"/>
      <c r="AA1101" s="76">
        <f t="shared" si="1985"/>
        <v>0</v>
      </c>
      <c r="AB1101" s="168"/>
      <c r="AC1101" s="168"/>
      <c r="AD1101" s="163">
        <f t="shared" si="2005"/>
        <v>109328.20893422206</v>
      </c>
      <c r="AE1101" s="168">
        <f t="shared" si="1997"/>
        <v>5.8408991965281272E-2</v>
      </c>
      <c r="AF1101" s="113"/>
      <c r="AG1101" s="114"/>
      <c r="AH1101" s="114"/>
      <c r="AI1101" s="114"/>
      <c r="AJ1101" s="116">
        <f t="shared" si="1998"/>
        <v>528.3214967705901</v>
      </c>
      <c r="AK1101" s="114">
        <f>+AV1101/$AX$26</f>
        <v>5.3601389109713942E-3</v>
      </c>
      <c r="AL1101" s="115">
        <f t="shared" si="1986"/>
        <v>0.21574073582263648</v>
      </c>
      <c r="AM1101" s="115">
        <f t="shared" si="1987"/>
        <v>0.30411645893070438</v>
      </c>
      <c r="AN1101" s="115">
        <f t="shared" si="1988"/>
        <v>0.48014280524665909</v>
      </c>
      <c r="AO1101" s="115">
        <f t="shared" si="1990"/>
        <v>9.3756409041274927E-3</v>
      </c>
      <c r="AP1101" s="166">
        <f t="shared" si="2002"/>
        <v>114.43422886369069</v>
      </c>
      <c r="AQ1101" s="168">
        <f t="shared" si="2003"/>
        <v>9.375640904127517E-3</v>
      </c>
      <c r="AR1101" s="69">
        <f>+AD1101/$AF$26</f>
        <v>7.1352082439494549E-3</v>
      </c>
      <c r="AS1101" s="169">
        <f t="shared" si="2001"/>
        <v>6.6897150271440385E-5</v>
      </c>
      <c r="AT1101" s="115"/>
      <c r="AU1101" s="115"/>
      <c r="AV1101" s="113">
        <f>INDEX('Total Customers'!$E$7:$E$91,MATCH(Calculation!$C1101,'Total Customers'!$D$7:$D$91,0))</f>
        <v>206935</v>
      </c>
      <c r="AW1101" s="68">
        <f t="shared" si="2004"/>
        <v>1.369177902943287E-2</v>
      </c>
      <c r="AX1101" s="113"/>
      <c r="AY1101" s="113"/>
      <c r="AZ1101" s="116"/>
      <c r="BA1101" s="116"/>
      <c r="BB1101" s="166"/>
      <c r="BC1101" s="166"/>
      <c r="BD1101" s="166"/>
      <c r="BE1101" s="166"/>
      <c r="BF1101" s="166"/>
      <c r="BG1101" s="166"/>
      <c r="BH1101" s="166"/>
      <c r="BI1101" s="113"/>
      <c r="BJ1101" s="113"/>
      <c r="BK1101" s="113">
        <f>INDEX('Dist. Plant Gas Additions'!$E$7:$AE$91,MATCH($C1101,'Dist. Plant Gas Additions'!$D$7:$D$91,0),MATCH(Calculation!$G1101,'Dist. Plant Gas Additions'!$E$5:$AE$5,0))</f>
        <v>52875</v>
      </c>
      <c r="BL1101" s="113">
        <f>INDEX('Gen. Plant Additions'!$E$7:$AE$91,MATCH($C1101,'Gen. Plant Additions'!$D$7:$D$91,0),MATCH(Calculation!$G1101,'Gen. Plant Additions'!$E$5:$AE$5,0))</f>
        <v>6616</v>
      </c>
      <c r="BM1101" s="232"/>
      <c r="BN1101" s="61">
        <f t="shared" si="2006"/>
        <v>0</v>
      </c>
      <c r="BO1101" s="113"/>
      <c r="BP1101" s="113"/>
      <c r="BQ1101" s="175"/>
      <c r="BR1101" s="175"/>
      <c r="BS1101" s="170"/>
      <c r="BT1101" s="176"/>
      <c r="BU1101" s="177"/>
      <c r="BV1101" s="177"/>
      <c r="BW1101" s="113"/>
      <c r="BX1101" s="113"/>
      <c r="BY1101" s="113"/>
      <c r="BZ1101" s="113"/>
      <c r="CA1101" s="116">
        <v>2021</v>
      </c>
      <c r="CB1101" s="113"/>
      <c r="CC1101" s="113"/>
      <c r="CD1101" s="113"/>
      <c r="CE1101" s="175"/>
      <c r="CF1101" s="113">
        <f t="shared" si="1974"/>
        <v>59491</v>
      </c>
      <c r="CG1101" s="113">
        <f t="shared" si="1965"/>
        <v>63.761592083737732</v>
      </c>
      <c r="CH1101" s="178">
        <f>+(51-23)/(51-23*0.75)</f>
        <v>0.82962962962962961</v>
      </c>
      <c r="CI1101" s="113">
        <f>CI1078*CH1101+CG1079*CH1100+CG1080*CH1099+CG1081*CH1098+CG1082*CH1097+CG1083*CH1096+CG1084*CH1095+CG1085*CH1094+CG1086*CH1093+CG1087*CH1092+CG1088*CH1091+CG1089*CH1090+CG1090*CH1089+CG1091*CH1088+CG1092*CH1087+CG1083*CH1086+CG1094*CH1085+CG1095*CH1084+CG1096*CH1083+CG1097*CH1082+CG1098*CH1081+CG1099*CH1080+CG1101+CG1100*CH1079</f>
        <v>2396.9020327835201</v>
      </c>
      <c r="CJ1101" s="114"/>
      <c r="CK1101" s="113"/>
      <c r="CL1101" s="169">
        <f t="shared" si="1967"/>
        <v>1.5231026326601078E-2</v>
      </c>
      <c r="CM1101" s="169">
        <f t="shared" si="1978"/>
        <v>1.1415925103981628E-2</v>
      </c>
      <c r="CN1101" s="114">
        <f>VLOOKUP($H1101,RoR!$E:$F,2,FALSE)</f>
        <v>2.7033333333333336E-2</v>
      </c>
      <c r="CO1101" s="169"/>
      <c r="CP1101" s="169"/>
      <c r="CQ1101" s="169">
        <f t="shared" si="1979"/>
        <v>1.9486016504551999E-2</v>
      </c>
      <c r="CR1101" s="169">
        <f t="shared" si="1980"/>
        <v>7.433422950153494E-2</v>
      </c>
      <c r="CS1101" s="179">
        <f t="shared" si="1968"/>
        <v>0.90305999999999997</v>
      </c>
      <c r="CT1101" s="180">
        <f t="shared" si="1969"/>
        <v>1.8969932656739068</v>
      </c>
      <c r="CU1101" s="180">
        <f t="shared" si="1970"/>
        <v>5.0215782983970621E-2</v>
      </c>
      <c r="CV1101" s="180">
        <f t="shared" si="1971"/>
        <v>0.655952481704143</v>
      </c>
      <c r="CW1101" s="180">
        <f t="shared" si="1972"/>
        <v>6.2485378865697057E-2</v>
      </c>
      <c r="CX1101" s="181">
        <f>CX1100</f>
        <v>0.26200000000000001</v>
      </c>
      <c r="CY1101" s="72">
        <v>0.37</v>
      </c>
      <c r="CZ1101" s="182">
        <f t="shared" si="1976"/>
        <v>22.156243762385106</v>
      </c>
      <c r="DA1101" s="182"/>
      <c r="DB1101" s="169">
        <f>LN(CZ1102/CZ1100)</f>
        <v>0.20401798973321708</v>
      </c>
      <c r="DC1101" s="181">
        <f>VLOOKUP($H1101,RoR!$E:$F,2,FALSE)</f>
        <v>2.7033333333333336E-2</v>
      </c>
      <c r="DD1101" s="183">
        <f>HLOOKUP($H1101,'GDP-PI'!$D$8:$CR$11,3,FALSE)</f>
        <v>4.2834637353352578E-2</v>
      </c>
      <c r="DE1101" s="181">
        <f>VLOOKUP(H1101,'HW Dx Data'!$E:$F,2,FALSE)</f>
        <v>933.02249921662576</v>
      </c>
      <c r="DF1101" s="72">
        <f t="shared" si="1991"/>
        <v>157.25</v>
      </c>
      <c r="DG1101" s="69">
        <f t="shared" si="1992"/>
        <v>2.6419062301765574E-2</v>
      </c>
      <c r="DH1101" s="175">
        <f>HLOOKUP(H1101,'GDP-PI'!$8:$9,2,FALSE)</f>
        <v>118.49</v>
      </c>
      <c r="DI1101" s="169">
        <f t="shared" si="1982"/>
        <v>4.194261824609434E-2</v>
      </c>
    </row>
    <row r="1102" spans="1:113" s="160" customFormat="1" ht="21">
      <c r="G1102" s="161" t="s">
        <v>144</v>
      </c>
      <c r="H1102" s="162"/>
      <c r="I1102" s="163"/>
      <c r="J1102" s="159">
        <v>32225.325509375602</v>
      </c>
      <c r="K1102" s="159">
        <f t="shared" si="1983"/>
        <v>198.24869584359027</v>
      </c>
      <c r="L1102" s="164">
        <f t="shared" ref="L1102" si="2007">LN(K1102/K1101)</f>
        <v>0.27892733898455707</v>
      </c>
      <c r="M1102" s="76">
        <f t="shared" si="1993"/>
        <v>2.4121388642959129E-3</v>
      </c>
      <c r="N1102" s="166">
        <f>+N1101*EXP(O1102)</f>
        <v>117.07971612291509</v>
      </c>
      <c r="O1102" s="114">
        <f t="shared" si="1994"/>
        <v>2.014381239163688E-3</v>
      </c>
      <c r="P1102" s="114"/>
      <c r="Q1102" s="163">
        <v>45426.061260204166</v>
      </c>
      <c r="R1102" s="159">
        <f t="shared" si="1984"/>
        <v>356.98279968726257</v>
      </c>
      <c r="S1102" s="165">
        <f t="shared" ref="S1102" si="2008">LN(R1102/R1101)</f>
        <v>0.24075100355193821</v>
      </c>
      <c r="T1102" s="165">
        <f t="shared" si="1996"/>
        <v>2.0819933047797287E-3</v>
      </c>
      <c r="U1102" s="166"/>
      <c r="V1102" s="114"/>
      <c r="W1102" s="159">
        <f t="shared" si="1964"/>
        <v>62835.613216596073</v>
      </c>
      <c r="X1102" s="168"/>
      <c r="Y1102" s="167">
        <v>2442.2060152332633</v>
      </c>
      <c r="Z1102" s="168">
        <v>1.8724651597483495E-2</v>
      </c>
      <c r="AA1102" s="76">
        <f t="shared" si="1985"/>
        <v>1.6192912463554228E-4</v>
      </c>
      <c r="AB1102" s="166"/>
      <c r="AC1102" s="114"/>
      <c r="AD1102" s="163">
        <f t="shared" si="2005"/>
        <v>140486.99998617586</v>
      </c>
      <c r="AE1102" s="168">
        <f t="shared" si="1997"/>
        <v>0.25076050859059118</v>
      </c>
      <c r="AF1102" s="113"/>
      <c r="AG1102" s="114"/>
      <c r="AH1102" s="114"/>
      <c r="AI1102" s="114"/>
      <c r="AJ1102" s="116">
        <f t="shared" si="1998"/>
        <v>675.29489798102202</v>
      </c>
      <c r="AK1102" s="114"/>
      <c r="AL1102" s="115">
        <f t="shared" si="1986"/>
        <v>0.22938297146744271</v>
      </c>
      <c r="AM1102" s="115">
        <f t="shared" si="1987"/>
        <v>0.32334708026133496</v>
      </c>
      <c r="AN1102" s="115">
        <f t="shared" si="1988"/>
        <v>0.44726994827122224</v>
      </c>
      <c r="AO1102" s="115"/>
      <c r="AP1102" s="166"/>
      <c r="AQ1102" s="168"/>
      <c r="AR1102" s="69">
        <f>+AD1102/$AF$27</f>
        <v>8.6479112197369156E-3</v>
      </c>
      <c r="AS1102" s="169"/>
      <c r="AT1102" s="166"/>
      <c r="AU1102" s="168"/>
      <c r="AV1102" s="113">
        <v>208038</v>
      </c>
      <c r="AW1102" s="68">
        <f t="shared" si="2004"/>
        <v>5.3160210306264707E-3</v>
      </c>
      <c r="AX1102" s="113"/>
      <c r="AY1102" s="113"/>
      <c r="AZ1102" s="113"/>
      <c r="BA1102" s="113"/>
      <c r="BB1102" s="171"/>
      <c r="BC1102" s="172"/>
      <c r="BD1102" s="173"/>
      <c r="BE1102" s="115"/>
      <c r="BF1102" s="174"/>
      <c r="BG1102" s="174"/>
      <c r="BH1102" s="166"/>
      <c r="BI1102" s="113"/>
      <c r="BJ1102" s="113"/>
      <c r="BK1102" s="113"/>
      <c r="BL1102" s="113"/>
      <c r="BM1102" s="232"/>
      <c r="BN1102" s="61">
        <f t="shared" si="2006"/>
        <v>0</v>
      </c>
      <c r="BO1102" s="113"/>
      <c r="BP1102" s="113"/>
      <c r="BQ1102" s="175"/>
      <c r="BR1102" s="175"/>
      <c r="BS1102" s="170"/>
      <c r="BT1102" s="176"/>
      <c r="BU1102" s="177"/>
      <c r="BV1102" s="177"/>
      <c r="BW1102" s="113"/>
      <c r="BX1102" s="113"/>
      <c r="BY1102" s="113"/>
      <c r="BZ1102" s="113"/>
      <c r="CA1102" s="116">
        <v>2022</v>
      </c>
      <c r="CB1102" s="113"/>
      <c r="CC1102" s="113"/>
      <c r="CD1102" s="113"/>
      <c r="CE1102" s="175"/>
      <c r="CF1102" s="238">
        <v>110889</v>
      </c>
      <c r="CG1102" s="113">
        <f>+CF1102/DE1102</f>
        <v>107.57462577972663</v>
      </c>
      <c r="CH1102" s="178">
        <f>+(51-24)/(51-24*0.75)</f>
        <v>0.81818181818181823</v>
      </c>
      <c r="CI1102" s="113">
        <f>+CI1078*CH1102+CG1079*CH1101+CG1080*CH1100+CG1081*CH1099+CG1082*CH1098+CG1083*CH1097+CG1084*CH1096+CG1085*CH1095+CG1086*CH1094+CG1087*CH1093+CG1088*CH1092+CG1089*CH1091+CG1090*CH1090+CG1091*CH1089+CG1092*CH1088+CG1093*CH1087+CG1094*CH1086+CG1095*CH1085+CG1096*CH1084+CG1097*CH1083+CG1098*CH1082+CG1099*CH1081+CG1100*CH1080+CG1101*CH1079+CG1102*CH1078</f>
        <v>2492.0677744323398</v>
      </c>
      <c r="CJ1102" s="114">
        <f t="shared" ref="CJ1102" si="2009">LN(CI1102/CI1101)</f>
        <v>3.8935713503055698E-2</v>
      </c>
      <c r="CK1102" s="113"/>
      <c r="CL1102" s="169">
        <f t="shared" si="1967"/>
        <v>5.1770510271946868E-3</v>
      </c>
      <c r="CM1102" s="169">
        <f t="shared" si="1978"/>
        <v>1.0020412823849982E-2</v>
      </c>
      <c r="CN1102" s="114"/>
      <c r="CO1102" s="169"/>
      <c r="CP1102" s="169"/>
      <c r="CQ1102" s="69">
        <f t="shared" si="1979"/>
        <v>2.0881528784683641E-2</v>
      </c>
      <c r="CR1102" s="169">
        <f t="shared" si="1980"/>
        <v>0.10114668178709289</v>
      </c>
      <c r="CS1102" s="179">
        <f t="shared" si="1968"/>
        <v>0.90305999999999997</v>
      </c>
      <c r="CT1102" s="180">
        <f t="shared" si="1969"/>
        <v>1.2820512820512819</v>
      </c>
      <c r="CU1102" s="180">
        <f t="shared" si="1970"/>
        <v>0.35000000000000003</v>
      </c>
      <c r="CV1102" s="180">
        <f t="shared" si="1971"/>
        <v>0.79171095533705893</v>
      </c>
      <c r="CW1102" s="180">
        <f t="shared" si="1972"/>
        <v>0.35525491585637264</v>
      </c>
      <c r="CX1102" s="181">
        <f>CX1101</f>
        <v>0.26200000000000001</v>
      </c>
      <c r="CY1102" s="72">
        <v>0.37</v>
      </c>
      <c r="CZ1102" s="182">
        <f t="shared" si="1976"/>
        <v>26.215344789718056</v>
      </c>
      <c r="DA1102" s="182"/>
      <c r="DB1102" s="169">
        <f t="shared" ref="DB1102" si="2010">LN(CZ1102/CZ1101)</f>
        <v>0.16822557611701339</v>
      </c>
      <c r="DC1102" s="181">
        <v>0.04</v>
      </c>
      <c r="DD1102" s="183">
        <v>7.0000000000000001E-3</v>
      </c>
      <c r="DE1102" s="181">
        <v>1030.81</v>
      </c>
      <c r="DF1102" s="72">
        <f t="shared" si="1991"/>
        <v>162.55000000000001</v>
      </c>
      <c r="DG1102" s="169">
        <f t="shared" si="1992"/>
        <v>3.3148751169364422E-2</v>
      </c>
      <c r="DH1102" s="175">
        <v>127.25</v>
      </c>
      <c r="DI1102" s="169">
        <f t="shared" si="1982"/>
        <v>7.1325086601983473E-2</v>
      </c>
    </row>
    <row r="1103" spans="1:113" s="160" customFormat="1" ht="21">
      <c r="A1103" s="160" t="s">
        <v>226</v>
      </c>
      <c r="B1103" s="160" t="s">
        <v>226</v>
      </c>
      <c r="C1103" s="160">
        <v>4057100</v>
      </c>
      <c r="D1103" s="161" t="s">
        <v>227</v>
      </c>
      <c r="E1103" s="161"/>
      <c r="F1103" s="189"/>
      <c r="G1103" s="160" t="s">
        <v>100</v>
      </c>
      <c r="H1103" s="162">
        <v>1998</v>
      </c>
      <c r="I1103" s="163"/>
      <c r="J1103" s="159"/>
      <c r="K1103" s="159"/>
      <c r="L1103" s="159"/>
      <c r="M1103" s="60"/>
      <c r="N1103" s="131"/>
      <c r="O1103" s="76"/>
      <c r="P1103" s="76"/>
      <c r="Q1103" s="165"/>
      <c r="R1103" s="165"/>
      <c r="S1103" s="165"/>
      <c r="T1103" s="159"/>
      <c r="U1103" s="165"/>
      <c r="V1103" s="165"/>
      <c r="W1103" s="159"/>
      <c r="X1103" s="163"/>
      <c r="Y1103" s="167">
        <v>309.97012685873955</v>
      </c>
      <c r="Z1103" s="168"/>
      <c r="AA1103" s="78"/>
      <c r="AB1103" s="168"/>
      <c r="AC1103" s="168"/>
      <c r="AD1103" s="163">
        <f t="shared" si="2005"/>
        <v>0</v>
      </c>
      <c r="AE1103" s="163"/>
      <c r="AF1103" s="163"/>
      <c r="AG1103" s="114"/>
      <c r="AH1103" s="114"/>
      <c r="AI1103" s="114"/>
      <c r="AJ1103" s="166">
        <f>+(AJ1100+AJ1101+AJ1102)/3</f>
        <v>569.61108795298196</v>
      </c>
      <c r="AK1103" s="168"/>
      <c r="AL1103" s="115"/>
      <c r="AM1103" s="115"/>
      <c r="AN1103" s="115"/>
      <c r="AO1103" s="115"/>
      <c r="AP1103" s="115"/>
      <c r="AQ1103" s="168">
        <f>AVERAGE(AQ1112:AQ1126)</f>
        <v>2.4057963209383582E-2</v>
      </c>
      <c r="AR1103" s="79"/>
      <c r="AS1103" s="115"/>
      <c r="AT1103" s="115"/>
      <c r="AU1103" s="115"/>
      <c r="AV1103" s="113">
        <f>IFERROR(INDEX('Total Customers'!$F$7:$AB$91,MATCH($C1103,'Total Customers'!$D$7:$D$91,0),MATCH($G1103,'Total Customers'!$F$5:$AB$5,0)),"NA")</f>
        <v>106897</v>
      </c>
      <c r="AW1103" s="68"/>
      <c r="AX1103" s="114"/>
      <c r="AY1103" s="114"/>
      <c r="AZ1103" s="116"/>
      <c r="BA1103" s="116"/>
      <c r="BB1103" s="166"/>
      <c r="BC1103" s="166"/>
      <c r="BD1103" s="166"/>
      <c r="BE1103" s="166"/>
      <c r="BF1103" s="166"/>
      <c r="BG1103" s="166"/>
      <c r="BH1103" s="166"/>
      <c r="BI1103" s="113">
        <f>INDEX('Gross Dx Plant'!$E$7:$AD$91,MATCH($C1103,'Gross Dx Plant'!$D$7:$D$91,0),MATCH(Calculation!$G1103,'Gross Dx Plant'!$E$5:$AD$5,0))</f>
        <v>100643</v>
      </c>
      <c r="BJ1103" s="113">
        <f>INDEX('Gross Gen Plant'!$E$7:$AD$91,MATCH($C1103,'Gross Gen Plant'!$D$7:$D$91,0),MATCH(Calculation!$G1103,'Gross Gen Plant'!$E$5:$AD$5,0))</f>
        <v>5445</v>
      </c>
      <c r="BK1103" s="113">
        <f>INDEX('Dist. Plant Gas Additions'!$F$7:$AE$91,MATCH($C1103,'Dist. Plant Gas Additions'!$D$7:$D$91,0),MATCH(Calculation!$G1103,'Dist. Plant Gas Additions'!$F$5:$AE$5,0))</f>
        <v>4833</v>
      </c>
      <c r="BL1103" s="113">
        <f>INDEX('Gen. Plant Additions'!$F$7:$AE$91,MATCH($C1103,'Gen. Plant Additions'!$D$7:$D$91,0),MATCH(Calculation!$G1103,'Gen. Plant Additions'!$F$5:$AE$5,0))</f>
        <v>279</v>
      </c>
      <c r="BM1103" s="231">
        <f>+(BW1103/(BW1103+BX1103))</f>
        <v>0.94867468516703113</v>
      </c>
      <c r="BN1103" s="61">
        <f t="shared" si="2006"/>
        <v>264.68023716160167</v>
      </c>
      <c r="BO1103" s="113">
        <f>INDEX('Dist Plant Depreciation'!$E$7:$AD$94,MATCH($C1103,'Dist Plant Depreciation'!$D$7:$D$94,0),MATCH(Calculation!$G1103,'Dist Plant Depreciation'!$E$5:$AD$5,0))</f>
        <v>40959</v>
      </c>
      <c r="BP1103" s="113">
        <f>INDEX('Gen. Plant Depreciation'!$E$7:$AD$94,MATCH($C1103,'Gen. Plant Depreciation'!$D$7:$D$94,0),MATCH(Calculation!$G1103,'Gen. Plant Depreciation'!$E$5:$AD$5,0))</f>
        <v>2602</v>
      </c>
      <c r="BQ1103" s="113"/>
      <c r="BR1103" s="113"/>
      <c r="BS1103" s="113"/>
      <c r="BT1103" s="113"/>
      <c r="BU1103" s="113"/>
      <c r="BV1103" s="175"/>
      <c r="BW1103" s="113">
        <f>INDEX('Gross Dx Plant'!$E$7:$AD$91,MATCH($C1103,'Gross Dx Plant'!$D$7:$D$91,0),MATCH(Calculation!$G1103,'Gross Dx Plant'!$E$5:$AD$5,0))</f>
        <v>100643</v>
      </c>
      <c r="BX1103" s="113">
        <f>INDEX('Gross Gen Plant'!$E$7:$AD$91,MATCH($C1103,'Gross Gen Plant'!$D$7:$D$91,0),MATCH(Calculation!$G1103,'Gross Gen Plant'!$E$5:$AD$5,0))</f>
        <v>5445</v>
      </c>
      <c r="BY1103" s="113">
        <f t="shared" si="1999"/>
        <v>62527</v>
      </c>
      <c r="BZ1103" s="113"/>
      <c r="CA1103" s="116">
        <v>1998</v>
      </c>
      <c r="CB1103" s="113">
        <f>BI1103+BJ1103</f>
        <v>106088</v>
      </c>
      <c r="CC1103" s="113">
        <f>40959+2602</f>
        <v>43561</v>
      </c>
      <c r="CD1103" s="113">
        <f>+CB1103-CC1103</f>
        <v>62527</v>
      </c>
      <c r="CE1103" s="113">
        <f>CD1103/$BV$3</f>
        <v>309.97012685873955</v>
      </c>
      <c r="CF1103" s="175"/>
      <c r="CG1103" s="175"/>
      <c r="CH1103" s="178">
        <v>1</v>
      </c>
      <c r="CI1103" s="113">
        <f>+CE1103</f>
        <v>309.97012685873955</v>
      </c>
      <c r="CJ1103" s="114"/>
      <c r="CK1103" s="114"/>
      <c r="CL1103" s="169"/>
      <c r="CM1103" s="169"/>
      <c r="CN1103" s="114" t="e">
        <f>VLOOKUP($H1103,RoR!$E:$F,2,FALSE)</f>
        <v>#N/A</v>
      </c>
      <c r="CO1103" s="169">
        <v>1.1028127770464469E-2</v>
      </c>
      <c r="CP1103" s="169"/>
      <c r="CQ1103" s="169"/>
      <c r="CR1103" s="169"/>
      <c r="CS1103" s="179"/>
      <c r="CT1103" s="182" t="e">
        <f>2/(DC1103*39)</f>
        <v>#N/A</v>
      </c>
      <c r="CU1103" s="180" t="e">
        <f>+(DC1103*40-(1+DC1103))/(DC1103*40)</f>
        <v>#N/A</v>
      </c>
      <c r="CV1103" s="180" t="e">
        <f>+(1-(1/(1+DC1103)^40))</f>
        <v>#N/A</v>
      </c>
      <c r="CW1103" s="180" t="e">
        <f>+CV1103*CU1103*CT1103</f>
        <v>#N/A</v>
      </c>
      <c r="CX1103" s="181">
        <f>INDEX('State Tax Lookup'!$D$7:$Z$91,MATCH(Calculation!$C1103,'State Tax Lookup'!$B$7:$B$91,0),MATCH($H1103,'State Tax Lookup'!$D$6:$Z$6,0))</f>
        <v>0.35</v>
      </c>
      <c r="CY1103" s="72">
        <v>0.37</v>
      </c>
      <c r="CZ1103" s="66"/>
      <c r="DA1103" s="66"/>
      <c r="DB1103" s="69"/>
      <c r="DC1103" s="111" t="e">
        <f>VLOOKUP($H1103,RoR!$E:$F,2,FALSE)</f>
        <v>#N/A</v>
      </c>
      <c r="DD1103" s="216">
        <f>HLOOKUP($H1103,'GDP-PI'!$D$8:$CQ$11,3,FALSE)</f>
        <v>1.1028127770464469E-2</v>
      </c>
      <c r="DE1103" s="111">
        <f>VLOOKUP(H1103,'HW Dx Data'!$E:$F,2,FALSE)</f>
        <v>329.24564746449528</v>
      </c>
      <c r="DF1103" s="72" t="e">
        <f t="shared" si="1991"/>
        <v>#N/A</v>
      </c>
      <c r="DG1103" s="169" t="e">
        <f t="shared" si="1992"/>
        <v>#N/A</v>
      </c>
      <c r="DH1103" s="66">
        <f>HLOOKUP(H1103,'GDP-PI'!$8:$9,2,FALSE)</f>
        <v>75.266999999999996</v>
      </c>
      <c r="DI1103"/>
    </row>
    <row r="1104" spans="1:113" s="160" customFormat="1" ht="21">
      <c r="A1104" s="160" t="s">
        <v>226</v>
      </c>
      <c r="B1104" s="160" t="s">
        <v>226</v>
      </c>
      <c r="C1104" s="160">
        <v>4057100</v>
      </c>
      <c r="D1104" s="161" t="s">
        <v>227</v>
      </c>
      <c r="E1104" s="161"/>
      <c r="F1104" s="189"/>
      <c r="G1104" s="160" t="s">
        <v>106</v>
      </c>
      <c r="H1104" s="162">
        <v>1999</v>
      </c>
      <c r="I1104" s="163"/>
      <c r="J1104" s="159"/>
      <c r="K1104" s="163"/>
      <c r="L1104" s="163"/>
      <c r="M1104" s="60"/>
      <c r="N1104" s="152"/>
      <c r="O1104" s="60"/>
      <c r="P1104" s="59"/>
      <c r="Q1104" s="169"/>
      <c r="R1104" s="169"/>
      <c r="S1104" s="169"/>
      <c r="T1104" s="187"/>
      <c r="U1104" s="169"/>
      <c r="V1104" s="169"/>
      <c r="W1104" s="159">
        <f t="shared" ref="W1104:W1127" si="2011">+CI1103*CZ1104</f>
        <v>0</v>
      </c>
      <c r="X1104" s="163"/>
      <c r="Y1104" s="167">
        <v>327.97320474796931</v>
      </c>
      <c r="Z1104" s="168">
        <v>5.6455984341562897E-2</v>
      </c>
      <c r="AA1104" s="78"/>
      <c r="AB1104" s="168"/>
      <c r="AC1104" s="168"/>
      <c r="AD1104" s="163">
        <f t="shared" si="2005"/>
        <v>0</v>
      </c>
      <c r="AE1104" s="168"/>
      <c r="AF1104" s="163"/>
      <c r="AG1104" s="114"/>
      <c r="AH1104" s="114"/>
      <c r="AI1104" s="114"/>
      <c r="AJ1104" s="167"/>
      <c r="AK1104" s="168"/>
      <c r="AL1104" s="115"/>
      <c r="AM1104" s="115"/>
      <c r="AN1104" s="115"/>
      <c r="AO1104" s="115"/>
      <c r="AP1104" s="115"/>
      <c r="AQ1104" s="168"/>
      <c r="AR1104" s="79"/>
      <c r="AS1104" s="115"/>
      <c r="AT1104" s="115"/>
      <c r="AU1104" s="115"/>
      <c r="AV1104" s="113">
        <f>IFERROR(INDEX('Total Customers'!$F$7:$AB$91,MATCH($C1104,'Total Customers'!$D$7:$D$91,0),MATCH($G1104,'Total Customers'!$F$5:$AB$5,0)),"NA")</f>
        <v>107987</v>
      </c>
      <c r="AW1104" s="68">
        <f t="shared" si="2004"/>
        <v>1.0145095482397139E-2</v>
      </c>
      <c r="AX1104" s="114"/>
      <c r="AY1104" s="114"/>
      <c r="AZ1104" s="116"/>
      <c r="BA1104" s="116"/>
      <c r="BB1104" s="166"/>
      <c r="BC1104" s="166"/>
      <c r="BD1104" s="166"/>
      <c r="BE1104" s="166"/>
      <c r="BF1104" s="166"/>
      <c r="BG1104" s="166"/>
      <c r="BH1104" s="166"/>
      <c r="BI1104" s="113"/>
      <c r="BJ1104" s="113"/>
      <c r="BK1104" s="113">
        <f>INDEX('Dist. Plant Gas Additions'!$F$7:$AE$91,MATCH($C1104,'Dist. Plant Gas Additions'!$D$7:$D$91,0),MATCH(Calculation!$G1104,'Dist. Plant Gas Additions'!$F$5:$AE$5,0))</f>
        <v>6078</v>
      </c>
      <c r="BL1104" s="113">
        <f>INDEX('Gen. Plant Additions'!$F$7:$AE$91,MATCH($C1104,'Gen. Plant Additions'!$D$7:$D$91,0),MATCH(Calculation!$G1104,'Gen. Plant Additions'!$F$5:$AE$5,0))</f>
        <v>476</v>
      </c>
      <c r="BM1104" s="231">
        <f t="shared" ref="BM1104:BM1125" si="2012">+(BW1104/(BW1104+BX1104))</f>
        <v>0.95017117117117122</v>
      </c>
      <c r="BN1104" s="61">
        <f t="shared" si="2006"/>
        <v>452.28147747747749</v>
      </c>
      <c r="BO1104" s="113">
        <f>INDEX('Dist Plant Depreciation'!$E$7:$AD$94,MATCH($C1104,'Dist Plant Depreciation'!$D$7:$D$94,0),MATCH(Calculation!$G1104,'Dist Plant Depreciation'!$E$5:$AD$5,0))</f>
        <v>42676</v>
      </c>
      <c r="BP1104" s="113">
        <f>INDEX('Gen. Plant Depreciation'!$E$7:$AD$94,MATCH($C1104,'Gen. Plant Depreciation'!$D$7:$D$94,0),MATCH(Calculation!$G1104,'Gen. Plant Depreciation'!$E$5:$AD$5,0))</f>
        <v>2632</v>
      </c>
      <c r="BQ1104" s="113"/>
      <c r="BR1104" s="113"/>
      <c r="BS1104" s="113"/>
      <c r="BT1104" s="113"/>
      <c r="BU1104" s="113"/>
      <c r="BV1104" s="175"/>
      <c r="BW1104" s="113">
        <f>INDEX('Gross Dx Plant'!$E$7:$AD$91,MATCH($C1104,'Gross Dx Plant'!$D$7:$D$91,0),MATCH(Calculation!$G1104,'Gross Dx Plant'!$E$5:$AD$5,0))</f>
        <v>105469</v>
      </c>
      <c r="BX1104" s="113">
        <f>INDEX('Gross Gen Plant'!$E$7:$AD$91,MATCH($C1104,'Gross Gen Plant'!$D$7:$D$91,0),MATCH(Calculation!$G1104,'Gross Gen Plant'!$E$5:$AD$5,0))</f>
        <v>5531</v>
      </c>
      <c r="BY1104" s="113">
        <f t="shared" si="1999"/>
        <v>65692</v>
      </c>
      <c r="BZ1104" s="113"/>
      <c r="CA1104" s="116">
        <v>1999</v>
      </c>
      <c r="CB1104" s="113"/>
      <c r="CC1104" s="113"/>
      <c r="CD1104" s="113"/>
      <c r="CE1104" s="175"/>
      <c r="CF1104" s="113">
        <f t="shared" ref="CF1104:CF1123" si="2013">+BL1104+BK1104</f>
        <v>6554</v>
      </c>
      <c r="CG1104" s="113">
        <f t="shared" ref="CG1104:CG1126" si="2014">+CF1104/$DE1104</f>
        <v>19.545217823850354</v>
      </c>
      <c r="CH1104" s="178">
        <v>0.99502487562189057</v>
      </c>
      <c r="CI1104" s="61">
        <f>+CI1103*CH1104+CG1104</f>
        <v>327.97320474796931</v>
      </c>
      <c r="CJ1104" s="114">
        <f t="shared" ref="CJ1104:CJ1125" si="2015">LN(CI1104/CI1103)</f>
        <v>5.6455984341562897E-2</v>
      </c>
      <c r="CK1104" s="114"/>
      <c r="CL1104" s="169">
        <f t="shared" ref="CL1104:CL1127" si="2016">+(CI1103-CI1104+CG1104)/CI1103</f>
        <v>4.9751243781094587E-3</v>
      </c>
      <c r="CM1104" s="169"/>
      <c r="CN1104" s="114">
        <f>VLOOKUP($H1104,RoR!$E:$F,2,FALSE)</f>
        <v>7.0416666666666669E-2</v>
      </c>
      <c r="CO1104" s="169">
        <v>1.4335631817396832E-2</v>
      </c>
      <c r="CP1104" s="169">
        <f>+CN1104-CO1104</f>
        <v>5.6081034849269837E-2</v>
      </c>
      <c r="CQ1104" s="169"/>
      <c r="CR1104" s="169"/>
      <c r="CS1104" s="179">
        <f t="shared" ref="CS1104:CS1127" si="2017">1-CX1104*CY1104</f>
        <v>0.87050000000000005</v>
      </c>
      <c r="CT1104" s="180">
        <f t="shared" ref="CT1104:CT1127" si="2018">2/(DC1104*39)</f>
        <v>0.72826581702321336</v>
      </c>
      <c r="CU1104" s="180">
        <f t="shared" ref="CU1104:CU1127" si="2019">+(DC1104*40-(1+DC1104))/(DC1104*40)</f>
        <v>0.61997041420118348</v>
      </c>
      <c r="CV1104" s="180">
        <f t="shared" ref="CV1104:CV1127" si="2020">+(1-(1/(1+DC1104)^40))</f>
        <v>0.93425155319585029</v>
      </c>
      <c r="CW1104" s="180">
        <f t="shared" ref="CW1104:CW1127" si="2021">+CV1104*CU1104*CT1104</f>
        <v>0.42181762214141483</v>
      </c>
      <c r="CX1104" s="181">
        <f>INDEX('State Tax Lookup'!$D$7:$Z$91,MATCH(Calculation!$C1104,'State Tax Lookup'!$B$7:$B$91,0),MATCH($H1104,'State Tax Lookup'!$D$6:$Z$6,0))</f>
        <v>0.35</v>
      </c>
      <c r="CY1104" s="72">
        <v>0.37</v>
      </c>
      <c r="CZ1104" s="70"/>
      <c r="DA1104" s="70"/>
      <c r="DB1104" s="69"/>
      <c r="DC1104" s="111">
        <f>VLOOKUP($H1104,RoR!$E:$F,2,FALSE)</f>
        <v>7.0416666666666669E-2</v>
      </c>
      <c r="DD1104" s="216">
        <f>HLOOKUP($H1104,'GDP-PI'!$D$8:$CQ$11,3,FALSE)</f>
        <v>1.4335631817396832E-2</v>
      </c>
      <c r="DE1104" s="111">
        <f>VLOOKUP(H1104,'HW Dx Data'!$E:$F,2,FALSE)</f>
        <v>335.32499146683239</v>
      </c>
      <c r="DF1104" s="66"/>
      <c r="DG1104" s="69"/>
      <c r="DH1104" s="66">
        <f>HLOOKUP(H1104,'GDP-PI'!$8:$9,2,FALSE)</f>
        <v>76.346000000000004</v>
      </c>
      <c r="DI1104"/>
    </row>
    <row r="1105" spans="1:113" s="160" customFormat="1" ht="21">
      <c r="A1105" s="160" t="s">
        <v>226</v>
      </c>
      <c r="B1105" s="160" t="s">
        <v>226</v>
      </c>
      <c r="C1105" s="160">
        <v>4057100</v>
      </c>
      <c r="D1105" s="161" t="s">
        <v>227</v>
      </c>
      <c r="E1105" s="161"/>
      <c r="F1105" s="189"/>
      <c r="G1105" s="160" t="s">
        <v>107</v>
      </c>
      <c r="H1105" s="162">
        <v>2000</v>
      </c>
      <c r="I1105" s="163"/>
      <c r="J1105" s="159"/>
      <c r="K1105" s="159"/>
      <c r="L1105" s="159"/>
      <c r="M1105" s="60"/>
      <c r="N1105" s="152"/>
      <c r="O1105" s="60"/>
      <c r="P1105" s="60"/>
      <c r="Q1105" s="159"/>
      <c r="R1105" s="159"/>
      <c r="S1105" s="159"/>
      <c r="T1105" s="159"/>
      <c r="U1105" s="159"/>
      <c r="V1105" s="159"/>
      <c r="W1105" s="159">
        <f t="shared" si="2011"/>
        <v>0</v>
      </c>
      <c r="X1105" s="163"/>
      <c r="Y1105" s="167">
        <v>340.77053251580475</v>
      </c>
      <c r="Z1105" s="168">
        <v>3.8277413388609752E-2</v>
      </c>
      <c r="AA1105" s="78"/>
      <c r="AB1105" s="168"/>
      <c r="AC1105" s="168"/>
      <c r="AD1105" s="163">
        <f t="shared" si="2005"/>
        <v>0</v>
      </c>
      <c r="AE1105" s="168"/>
      <c r="AF1105" s="163"/>
      <c r="AG1105" s="163"/>
      <c r="AH1105" s="163"/>
      <c r="AI1105" s="163"/>
      <c r="AJ1105" s="167"/>
      <c r="AK1105" s="168"/>
      <c r="AL1105" s="115"/>
      <c r="AM1105" s="115"/>
      <c r="AN1105" s="115"/>
      <c r="AO1105" s="115"/>
      <c r="AP1105" s="115"/>
      <c r="AQ1105" s="168"/>
      <c r="AR1105" s="79"/>
      <c r="AS1105" s="115"/>
      <c r="AT1105" s="115"/>
      <c r="AU1105" s="115"/>
      <c r="AV1105" s="113">
        <f>IFERROR(INDEX('Total Customers'!$F$7:$AB$91,MATCH($C1105,'Total Customers'!$D$7:$D$91,0),MATCH($G1105,'Total Customers'!$F$5:$AB$5,0)),"NA")</f>
        <v>109459</v>
      </c>
      <c r="AW1105" s="68">
        <f t="shared" si="2004"/>
        <v>1.3539200407931648E-2</v>
      </c>
      <c r="AX1105" s="114"/>
      <c r="AY1105" s="114"/>
      <c r="AZ1105" s="116"/>
      <c r="BA1105" s="116"/>
      <c r="BB1105" s="166"/>
      <c r="BC1105" s="166"/>
      <c r="BD1105" s="166"/>
      <c r="BE1105" s="166"/>
      <c r="BF1105" s="166"/>
      <c r="BG1105" s="166"/>
      <c r="BH1105" s="166"/>
      <c r="BI1105" s="113"/>
      <c r="BJ1105" s="113"/>
      <c r="BK1105" s="113">
        <f>INDEX('Dist. Plant Gas Additions'!$F$7:$AE$91,MATCH($C1105,'Dist. Plant Gas Additions'!$D$7:$D$91,0),MATCH(Calculation!$G1105,'Dist. Plant Gas Additions'!$F$5:$AE$5,0))</f>
        <v>4657</v>
      </c>
      <c r="BL1105" s="113">
        <f>INDEX('Gen. Plant Additions'!$F$7:$AE$91,MATCH($C1105,'Gen. Plant Additions'!$D$7:$D$91,0),MATCH(Calculation!$G1105,'Gen. Plant Additions'!$F$5:$AE$5,0))</f>
        <v>362</v>
      </c>
      <c r="BM1105" s="231">
        <f t="shared" si="2012"/>
        <v>0.94926382982424096</v>
      </c>
      <c r="BN1105" s="61">
        <f t="shared" si="2006"/>
        <v>343.63350639637525</v>
      </c>
      <c r="BO1105" s="113">
        <f>INDEX('Dist Plant Depreciation'!$E$7:$AD$94,MATCH($C1105,'Dist Plant Depreciation'!$D$7:$D$94,0),MATCH(Calculation!$G1105,'Dist Plant Depreciation'!$E$5:$AD$5,0))</f>
        <v>44809</v>
      </c>
      <c r="BP1105" s="113">
        <f>INDEX('Gen. Plant Depreciation'!$E$7:$AD$94,MATCH($C1105,'Gen. Plant Depreciation'!$D$7:$D$94,0),MATCH(Calculation!$G1105,'Gen. Plant Depreciation'!$E$5:$AD$5,0))</f>
        <v>2855</v>
      </c>
      <c r="BQ1105" s="113"/>
      <c r="BR1105" s="113"/>
      <c r="BS1105" s="113"/>
      <c r="BT1105" s="113"/>
      <c r="BU1105" s="113"/>
      <c r="BV1105" s="175"/>
      <c r="BW1105" s="113">
        <f>INDEX('Gross Dx Plant'!$E$7:$AD$91,MATCH($C1105,'Gross Dx Plant'!$D$7:$D$91,0),MATCH(Calculation!$G1105,'Gross Dx Plant'!$E$5:$AD$5,0))</f>
        <v>109153</v>
      </c>
      <c r="BX1105" s="113">
        <f>INDEX('Gross Gen Plant'!$E$7:$AD$91,MATCH($C1105,'Gross Gen Plant'!$D$7:$D$91,0),MATCH(Calculation!$G1105,'Gross Gen Plant'!$E$5:$AD$5,0))</f>
        <v>5834</v>
      </c>
      <c r="BY1105" s="113">
        <f t="shared" si="1999"/>
        <v>67323</v>
      </c>
      <c r="BZ1105" s="113"/>
      <c r="CA1105" s="116">
        <v>2000</v>
      </c>
      <c r="CB1105" s="113"/>
      <c r="CC1105" s="113"/>
      <c r="CD1105" s="113"/>
      <c r="CE1105" s="175"/>
      <c r="CF1105" s="113">
        <f t="shared" si="2013"/>
        <v>5019</v>
      </c>
      <c r="CG1105" s="113">
        <f t="shared" si="2014"/>
        <v>14.483439105297236</v>
      </c>
      <c r="CH1105" s="178">
        <v>0.98989898989898994</v>
      </c>
      <c r="CI1105" s="61">
        <f>+CI1103*CH1105+CG1104*CH1104+CG1105</f>
        <v>340.77053251580475</v>
      </c>
      <c r="CJ1105" s="114">
        <f t="shared" si="2015"/>
        <v>3.8277413388609752E-2</v>
      </c>
      <c r="CK1105" s="114"/>
      <c r="CL1105" s="169">
        <f t="shared" si="2016"/>
        <v>5.141003329090516E-3</v>
      </c>
      <c r="CM1105" s="169"/>
      <c r="CN1105" s="114">
        <f>VLOOKUP($H1105,RoR!$E:$F,2,FALSE)</f>
        <v>7.6225000000000001E-2</v>
      </c>
      <c r="CO1105" s="169">
        <v>2.2568307442433211E-2</v>
      </c>
      <c r="CP1105" s="169">
        <f t="shared" ref="CP1105:CP1125" si="2022">+CN1105-CO1105</f>
        <v>5.365669255756679E-2</v>
      </c>
      <c r="CQ1105" s="169"/>
      <c r="CR1105" s="169"/>
      <c r="CS1105" s="179">
        <f t="shared" si="2017"/>
        <v>0.87050000000000005</v>
      </c>
      <c r="CT1105" s="180">
        <f t="shared" si="2018"/>
        <v>0.67277207323124022</v>
      </c>
      <c r="CU1105" s="180">
        <f t="shared" si="2019"/>
        <v>0.6470236142997704</v>
      </c>
      <c r="CV1105" s="180">
        <f t="shared" si="2020"/>
        <v>0.94704866037543145</v>
      </c>
      <c r="CW1105" s="180">
        <f t="shared" si="2021"/>
        <v>0.41224973107878493</v>
      </c>
      <c r="CX1105" s="181">
        <f>INDEX('State Tax Lookup'!$D$7:$Z$91,MATCH(Calculation!$C1105,'State Tax Lookup'!$B$7:$B$91,0),MATCH($H1105,'State Tax Lookup'!$D$6:$Z$6,0))</f>
        <v>0.35</v>
      </c>
      <c r="CY1105" s="72">
        <v>0.37</v>
      </c>
      <c r="CZ1105" s="70"/>
      <c r="DA1105" s="70"/>
      <c r="DB1105" s="69"/>
      <c r="DC1105" s="111">
        <f>VLOOKUP($H1105,RoR!$E:$F,2,FALSE)</f>
        <v>7.6225000000000001E-2</v>
      </c>
      <c r="DD1105" s="216">
        <f>HLOOKUP($H1105,'GDP-PI'!$D$8:$CQ$11,3,FALSE)</f>
        <v>2.2568307442433211E-2</v>
      </c>
      <c r="DE1105" s="111">
        <f>VLOOKUP(H1105,'HW Dx Data'!$E:$F,2,FALSE)</f>
        <v>346.53371782150339</v>
      </c>
      <c r="DF1105" s="66"/>
      <c r="DG1105" s="69"/>
      <c r="DH1105" s="66">
        <f>HLOOKUP(H1105,'GDP-PI'!$8:$9,2,FALSE)</f>
        <v>78.069000000000003</v>
      </c>
      <c r="DI1105"/>
    </row>
    <row r="1106" spans="1:113" s="160" customFormat="1" ht="21">
      <c r="A1106" s="160" t="s">
        <v>226</v>
      </c>
      <c r="B1106" s="160" t="s">
        <v>226</v>
      </c>
      <c r="C1106" s="160">
        <v>4057100</v>
      </c>
      <c r="D1106" s="161" t="s">
        <v>227</v>
      </c>
      <c r="E1106" s="161"/>
      <c r="F1106" s="189"/>
      <c r="G1106" s="160" t="s">
        <v>111</v>
      </c>
      <c r="H1106" s="162">
        <v>2001</v>
      </c>
      <c r="I1106" s="163"/>
      <c r="J1106" s="159"/>
      <c r="K1106" s="159"/>
      <c r="L1106" s="159"/>
      <c r="M1106" s="60"/>
      <c r="N1106" s="152"/>
      <c r="O1106" s="60"/>
      <c r="P1106" s="60"/>
      <c r="Q1106" s="159"/>
      <c r="R1106" s="159"/>
      <c r="S1106" s="159"/>
      <c r="T1106" s="159"/>
      <c r="U1106" s="159"/>
      <c r="V1106" s="159"/>
      <c r="W1106" s="159">
        <f t="shared" si="2011"/>
        <v>4155.5065837193506</v>
      </c>
      <c r="X1106" s="163"/>
      <c r="Y1106" s="167">
        <v>347.27709486039299</v>
      </c>
      <c r="Z1106" s="168">
        <v>1.8913679952129444E-2</v>
      </c>
      <c r="AA1106" s="78"/>
      <c r="AB1106" s="168"/>
      <c r="AC1106" s="168"/>
      <c r="AD1106" s="163">
        <f t="shared" si="2005"/>
        <v>4155.5065837193506</v>
      </c>
      <c r="AE1106" s="168"/>
      <c r="AF1106" s="163"/>
      <c r="AG1106" s="163"/>
      <c r="AH1106" s="163"/>
      <c r="AI1106" s="163"/>
      <c r="AJ1106" s="167"/>
      <c r="AK1106" s="168"/>
      <c r="AL1106" s="115"/>
      <c r="AM1106" s="115"/>
      <c r="AN1106" s="115"/>
      <c r="AO1106" s="115"/>
      <c r="AP1106" s="115"/>
      <c r="AQ1106" s="168"/>
      <c r="AR1106" s="79"/>
      <c r="AS1106" s="115"/>
      <c r="AT1106" s="115"/>
      <c r="AU1106" s="115"/>
      <c r="AV1106" s="113">
        <f>IFERROR(INDEX('Total Customers'!$F$7:$AB$91,MATCH($C1106,'Total Customers'!$D$7:$D$91,0),MATCH($G1106,'Total Customers'!$F$5:$AB$5,0)),"NA")</f>
        <v>109380</v>
      </c>
      <c r="AW1106" s="68">
        <f t="shared" si="2004"/>
        <v>-7.219919980598706E-4</v>
      </c>
      <c r="AX1106" s="114"/>
      <c r="AY1106" s="114"/>
      <c r="AZ1106" s="116"/>
      <c r="BA1106" s="116"/>
      <c r="BB1106" s="166"/>
      <c r="BC1106" s="166"/>
      <c r="BD1106" s="166"/>
      <c r="BE1106" s="166"/>
      <c r="BF1106" s="166"/>
      <c r="BG1106" s="166"/>
      <c r="BH1106" s="166"/>
      <c r="BI1106" s="113"/>
      <c r="BJ1106" s="113"/>
      <c r="BK1106" s="113">
        <f>INDEX('Dist. Plant Gas Additions'!$F$7:$AE$91,MATCH($C1106,'Dist. Plant Gas Additions'!$D$7:$D$91,0),MATCH(Calculation!$G1106,'Dist. Plant Gas Additions'!$F$5:$AE$5,0))</f>
        <v>2640</v>
      </c>
      <c r="BL1106" s="113">
        <f>INDEX('Gen. Plant Additions'!$F$7:$AE$91,MATCH($C1106,'Gen. Plant Additions'!$D$7:$D$91,0),MATCH(Calculation!$G1106,'Gen. Plant Additions'!$F$5:$AE$5,0))</f>
        <v>274</v>
      </c>
      <c r="BM1106" s="231">
        <f t="shared" si="2012"/>
        <v>0.94817057612818723</v>
      </c>
      <c r="BN1106" s="61">
        <f t="shared" si="2006"/>
        <v>259.79873785912332</v>
      </c>
      <c r="BO1106" s="113">
        <f>INDEX('Dist Plant Depreciation'!$E$7:$AD$94,MATCH($C1106,'Dist Plant Depreciation'!$D$7:$D$94,0),MATCH(Calculation!$G1106,'Dist Plant Depreciation'!$E$5:$AD$5,0))</f>
        <v>47829</v>
      </c>
      <c r="BP1106" s="113">
        <f>INDEX('Gen. Plant Depreciation'!$E$7:$AD$94,MATCH($C1106,'Gen. Plant Depreciation'!$D$7:$D$94,0),MATCH(Calculation!$G1106,'Gen. Plant Depreciation'!$E$5:$AD$5,0))</f>
        <v>3029</v>
      </c>
      <c r="BQ1106" s="113"/>
      <c r="BR1106" s="113"/>
      <c r="BS1106" s="113"/>
      <c r="BT1106" s="113"/>
      <c r="BU1106" s="113"/>
      <c r="BV1106" s="175"/>
      <c r="BW1106" s="113">
        <f>INDEX('Gross Dx Plant'!$E$7:$AD$91,MATCH($C1106,'Gross Dx Plant'!$D$7:$D$91,0),MATCH(Calculation!$G1106,'Gross Dx Plant'!$E$5:$AD$5,0))</f>
        <v>111484</v>
      </c>
      <c r="BX1106" s="113">
        <f>INDEX('Gross Gen Plant'!$E$7:$AD$91,MATCH($C1106,'Gross Gen Plant'!$D$7:$D$91,0),MATCH(Calculation!$G1106,'Gross Gen Plant'!$E$5:$AD$5,0))</f>
        <v>6094</v>
      </c>
      <c r="BY1106" s="113">
        <f t="shared" si="1999"/>
        <v>66720</v>
      </c>
      <c r="BZ1106" s="113"/>
      <c r="CA1106" s="116">
        <v>2001</v>
      </c>
      <c r="CB1106" s="113"/>
      <c r="CC1106" s="113"/>
      <c r="CD1106" s="113"/>
      <c r="CE1106" s="175"/>
      <c r="CF1106" s="113">
        <f t="shared" si="2013"/>
        <v>2914</v>
      </c>
      <c r="CG1106" s="113">
        <f t="shared" si="2014"/>
        <v>8.2445086976132096</v>
      </c>
      <c r="CH1106" s="178">
        <v>0.98461538461538467</v>
      </c>
      <c r="CI1106" s="61">
        <f>+CI1103*CH1106+CG1104*CH1105+CG1105*CH1103+CG1106</f>
        <v>347.27709486039299</v>
      </c>
      <c r="CJ1106" s="114">
        <f t="shared" si="2015"/>
        <v>1.8913679952129444E-2</v>
      </c>
      <c r="CK1106" s="114"/>
      <c r="CL1106" s="169">
        <f t="shared" si="2016"/>
        <v>5.1000488222800134E-3</v>
      </c>
      <c r="CM1106" s="169">
        <f>+(CL1106+CL1105+CL1104)/3</f>
        <v>5.0720588431599966E-3</v>
      </c>
      <c r="CN1106" s="114">
        <f>VLOOKUP($H1106,RoR!$E:$F,2,FALSE)</f>
        <v>7.0824999999999999E-2</v>
      </c>
      <c r="CO1106" s="169">
        <v>2.2454495382290052E-2</v>
      </c>
      <c r="CP1106" s="169">
        <f t="shared" si="2022"/>
        <v>4.8370504617709947E-2</v>
      </c>
      <c r="CQ1106" s="169">
        <f>+$CP$2-CM1106</f>
        <v>2.5829882765373628E-2</v>
      </c>
      <c r="CR1106" s="169">
        <f>+((DE1104/DE1103-1)+(DE1105/DE1104-1)+(DE1106/DE1105-1))/3</f>
        <v>2.3947275901631187E-2</v>
      </c>
      <c r="CS1106" s="179">
        <f t="shared" si="2017"/>
        <v>0.87050000000000005</v>
      </c>
      <c r="CT1106" s="180">
        <f t="shared" si="2018"/>
        <v>0.72406708481540816</v>
      </c>
      <c r="CU1106" s="180">
        <f t="shared" si="2019"/>
        <v>0.62201729615248857</v>
      </c>
      <c r="CV1106" s="180">
        <f t="shared" si="2020"/>
        <v>0.9352469954311422</v>
      </c>
      <c r="CW1106" s="180">
        <f t="shared" si="2021"/>
        <v>0.42121864641655071</v>
      </c>
      <c r="CX1106" s="181">
        <f>INDEX('State Tax Lookup'!$D$7:$Z$91,MATCH(Calculation!$C1106,'State Tax Lookup'!$B$7:$B$91,0),MATCH($H1106,'State Tax Lookup'!$D$6:$Z$6,0))</f>
        <v>0.35</v>
      </c>
      <c r="CY1106" s="72">
        <v>0.37</v>
      </c>
      <c r="CZ1106" s="70">
        <f t="shared" ref="CZ1106:CZ1127" si="2023">+(DE1106*CQ1106-CR1106)*CS1106/(1-CX1106)</f>
        <v>12.19444226306927</v>
      </c>
      <c r="DA1106" s="70"/>
      <c r="DB1106" s="69"/>
      <c r="DC1106" s="111">
        <f>VLOOKUP($H1106,RoR!$E:$F,2,FALSE)</f>
        <v>7.0824999999999999E-2</v>
      </c>
      <c r="DD1106" s="216">
        <f>HLOOKUP($H1106,'GDP-PI'!$D$8:$CQ$11,3,FALSE)</f>
        <v>2.2454495382290052E-2</v>
      </c>
      <c r="DE1106" s="111">
        <f>VLOOKUP(H1106,'HW Dx Data'!$E:$F,2,FALSE)</f>
        <v>353.44738017483138</v>
      </c>
      <c r="DF1106" s="66"/>
      <c r="DG1106" s="69"/>
      <c r="DH1106" s="66">
        <f>HLOOKUP(H1106,'GDP-PI'!$8:$9,2,FALSE)</f>
        <v>79.822000000000003</v>
      </c>
      <c r="DI1106"/>
    </row>
    <row r="1107" spans="1:113" s="160" customFormat="1" ht="21">
      <c r="A1107" s="160" t="s">
        <v>226</v>
      </c>
      <c r="B1107" s="160" t="s">
        <v>226</v>
      </c>
      <c r="C1107" s="160">
        <v>4057100</v>
      </c>
      <c r="D1107" s="161" t="s">
        <v>227</v>
      </c>
      <c r="E1107" s="161"/>
      <c r="F1107" s="189"/>
      <c r="G1107" s="160" t="s">
        <v>113</v>
      </c>
      <c r="H1107" s="162">
        <v>2002</v>
      </c>
      <c r="I1107" s="163"/>
      <c r="J1107" s="159"/>
      <c r="K1107" s="159"/>
      <c r="L1107" s="159"/>
      <c r="M1107" s="60"/>
      <c r="N1107" s="152"/>
      <c r="O1107" s="60"/>
      <c r="P1107" s="60"/>
      <c r="Q1107" s="159"/>
      <c r="R1107" s="159"/>
      <c r="S1107" s="159"/>
      <c r="T1107" s="159"/>
      <c r="U1107" s="159"/>
      <c r="V1107" s="159"/>
      <c r="W1107" s="159">
        <f t="shared" si="2011"/>
        <v>4288.5462163557231</v>
      </c>
      <c r="X1107" s="163"/>
      <c r="Y1107" s="167">
        <v>372.70880744712861</v>
      </c>
      <c r="Z1107" s="168">
        <v>7.0674432125040432E-2</v>
      </c>
      <c r="AA1107" s="78"/>
      <c r="AB1107" s="168"/>
      <c r="AC1107" s="168"/>
      <c r="AD1107" s="163">
        <f t="shared" si="2005"/>
        <v>4288.5462163557231</v>
      </c>
      <c r="AE1107" s="168"/>
      <c r="AF1107" s="163"/>
      <c r="AG1107" s="163"/>
      <c r="AH1107" s="163"/>
      <c r="AI1107" s="163"/>
      <c r="AJ1107" s="167"/>
      <c r="AK1107" s="168"/>
      <c r="AL1107" s="115"/>
      <c r="AM1107" s="115"/>
      <c r="AN1107" s="115"/>
      <c r="AO1107" s="115"/>
      <c r="AP1107" s="115"/>
      <c r="AQ1107" s="168"/>
      <c r="AR1107" s="79"/>
      <c r="AS1107" s="115"/>
      <c r="AT1107" s="115"/>
      <c r="AU1107" s="115"/>
      <c r="AV1107" s="113">
        <f>IFERROR(INDEX('Total Customers'!$F$7:$AB$91,MATCH($C1107,'Total Customers'!$D$7:$D$91,0),MATCH($G1107,'Total Customers'!$F$5:$AB$5,0)),"NA")</f>
        <v>110380</v>
      </c>
      <c r="AW1107" s="68">
        <f t="shared" si="2004"/>
        <v>9.1009000927284919E-3</v>
      </c>
      <c r="AX1107" s="114"/>
      <c r="AY1107" s="114"/>
      <c r="AZ1107" s="116"/>
      <c r="BA1107" s="116"/>
      <c r="BB1107" s="166"/>
      <c r="BC1107" s="166"/>
      <c r="BD1107" s="166"/>
      <c r="BE1107" s="166"/>
      <c r="BF1107" s="166"/>
      <c r="BG1107" s="166"/>
      <c r="BH1107" s="166"/>
      <c r="BI1107" s="113"/>
      <c r="BJ1107" s="113"/>
      <c r="BK1107" s="113">
        <f>INDEX('Dist. Plant Gas Additions'!$F$7:$AE$91,MATCH($C1107,'Dist. Plant Gas Additions'!$D$7:$D$91,0),MATCH(Calculation!$G1107,'Dist. Plant Gas Additions'!$F$5:$AE$5,0))</f>
        <v>9240</v>
      </c>
      <c r="BL1107" s="113">
        <f>INDEX('Gen. Plant Additions'!$F$7:$AE$91,MATCH($C1107,'Gen. Plant Additions'!$D$7:$D$91,0),MATCH(Calculation!$G1107,'Gen. Plant Additions'!$F$5:$AE$5,0))</f>
        <v>665</v>
      </c>
      <c r="BM1107" s="231">
        <f t="shared" si="2012"/>
        <v>0.94769689385546108</v>
      </c>
      <c r="BN1107" s="61">
        <f t="shared" si="2006"/>
        <v>630.2184344138816</v>
      </c>
      <c r="BO1107" s="113">
        <f>INDEX('Dist Plant Depreciation'!$E$7:$AD$94,MATCH($C1107,'Dist Plant Depreciation'!$D$7:$D$94,0),MATCH(Calculation!$G1107,'Dist Plant Depreciation'!$E$5:$AD$5,0))</f>
        <v>49467</v>
      </c>
      <c r="BP1107" s="113">
        <f>INDEX('Gen. Plant Depreciation'!$E$7:$AD$94,MATCH($C1107,'Gen. Plant Depreciation'!$D$7:$D$94,0),MATCH(Calculation!$G1107,'Gen. Plant Depreciation'!$E$5:$AD$5,0))</f>
        <v>3403</v>
      </c>
      <c r="BQ1107" s="113"/>
      <c r="BR1107" s="113"/>
      <c r="BS1107" s="113"/>
      <c r="BT1107" s="113"/>
      <c r="BU1107" s="113"/>
      <c r="BV1107" s="175"/>
      <c r="BW1107" s="113">
        <f>INDEX('Gross Dx Plant'!$E$7:$AD$91,MATCH($C1107,'Gross Dx Plant'!$D$7:$D$91,0),MATCH(Calculation!$G1107,'Gross Dx Plant'!$E$5:$AD$5,0))</f>
        <v>118899</v>
      </c>
      <c r="BX1107" s="113">
        <f>INDEX('Gross Gen Plant'!$E$7:$AD$91,MATCH($C1107,'Gross Gen Plant'!$D$7:$D$91,0),MATCH(Calculation!$G1107,'Gross Gen Plant'!$E$5:$AD$5,0))</f>
        <v>6562</v>
      </c>
      <c r="BY1107" s="113">
        <f t="shared" si="1999"/>
        <v>72591</v>
      </c>
      <c r="BZ1107" s="113"/>
      <c r="CA1107" s="116">
        <v>2002</v>
      </c>
      <c r="CB1107" s="113"/>
      <c r="CC1107" s="113"/>
      <c r="CD1107" s="113"/>
      <c r="CE1107" s="175"/>
      <c r="CF1107" s="113">
        <f t="shared" si="2013"/>
        <v>9905</v>
      </c>
      <c r="CG1107" s="113">
        <f t="shared" si="2014"/>
        <v>27.411236417587521</v>
      </c>
      <c r="CH1107" s="178">
        <v>0.97916666666666663</v>
      </c>
      <c r="CI1107" s="61">
        <f>+CI1103*CH1107+CG1104*CH1106+CG1105*CH1105+CG1106*CH1104+CG1107</f>
        <v>372.70880744712861</v>
      </c>
      <c r="CJ1107" s="114">
        <f t="shared" si="2015"/>
        <v>7.0674432125040432E-2</v>
      </c>
      <c r="CK1107" s="114"/>
      <c r="CL1107" s="169">
        <f t="shared" si="2016"/>
        <v>5.7001278234249352E-3</v>
      </c>
      <c r="CM1107" s="169">
        <f t="shared" ref="CM1107:CM1127" si="2024">+(CL1107+CL1106+CL1105)/3</f>
        <v>5.3137266582651554E-3</v>
      </c>
      <c r="CN1107" s="114">
        <f>VLOOKUP($H1107,RoR!$E:$F,2,FALSE)</f>
        <v>6.4916666666666664E-2</v>
      </c>
      <c r="CO1107" s="169">
        <v>1.5246423291824351E-2</v>
      </c>
      <c r="CP1107" s="169">
        <f t="shared" si="2022"/>
        <v>4.9670243374842313E-2</v>
      </c>
      <c r="CQ1107" s="169">
        <f t="shared" ref="CQ1107:CQ1127" si="2025">+$CP$2-CM1107</f>
        <v>2.558821495026847E-2</v>
      </c>
      <c r="CR1107" s="169">
        <f t="shared" ref="CR1107:CR1127" si="2026">+((DE1105/DE1104-1)+(DE1106/DE1105-1)+(DE1107/DE1106-1))/3</f>
        <v>2.5243621214759093E-2</v>
      </c>
      <c r="CS1107" s="179">
        <f t="shared" si="2017"/>
        <v>0.87050000000000005</v>
      </c>
      <c r="CT1107" s="180">
        <f t="shared" si="2018"/>
        <v>0.78996741384417901</v>
      </c>
      <c r="CU1107" s="180">
        <f t="shared" si="2019"/>
        <v>0.58989088575096271</v>
      </c>
      <c r="CV1107" s="180">
        <f t="shared" si="2020"/>
        <v>0.91920675783645744</v>
      </c>
      <c r="CW1107" s="180">
        <f t="shared" si="2021"/>
        <v>0.42834536472275586</v>
      </c>
      <c r="CX1107" s="181">
        <f>INDEX('State Tax Lookup'!$D$7:$Z$91,MATCH(Calculation!$C1107,'State Tax Lookup'!$B$7:$B$91,0),MATCH($H1107,'State Tax Lookup'!$D$6:$Z$6,0))</f>
        <v>0.35</v>
      </c>
      <c r="CY1107" s="72">
        <v>0.37</v>
      </c>
      <c r="CZ1107" s="70">
        <f t="shared" si="2023"/>
        <v>12.349061541417637</v>
      </c>
      <c r="DA1107" s="70"/>
      <c r="DB1107" s="69">
        <f>LN(CZ1107/CZ1106)</f>
        <v>1.2599775901187908E-2</v>
      </c>
      <c r="DC1107" s="111">
        <f>VLOOKUP($H1107,RoR!$E:$F,2,FALSE)</f>
        <v>6.4916666666666664E-2</v>
      </c>
      <c r="DD1107" s="216">
        <f>HLOOKUP($H1107,'GDP-PI'!$D$8:$CQ$11,3,FALSE)</f>
        <v>1.5246423291824351E-2</v>
      </c>
      <c r="DE1107" s="111">
        <f>VLOOKUP(H1107,'HW Dx Data'!$E:$F,2,FALSE)</f>
        <v>361.34816573413599</v>
      </c>
      <c r="DF1107" s="66"/>
      <c r="DG1107" s="69"/>
      <c r="DH1107" s="66">
        <f>HLOOKUP(H1107,'GDP-PI'!$8:$9,2,FALSE)</f>
        <v>81.039000000000001</v>
      </c>
      <c r="DI1107" s="69">
        <f>LN(DH1107/DH1106)</f>
        <v>1.513136459537477E-2</v>
      </c>
    </row>
    <row r="1108" spans="1:113" s="160" customFormat="1" ht="21">
      <c r="A1108" s="160" t="s">
        <v>226</v>
      </c>
      <c r="B1108" s="160" t="s">
        <v>226</v>
      </c>
      <c r="C1108" s="160">
        <v>4057100</v>
      </c>
      <c r="D1108" s="161" t="s">
        <v>227</v>
      </c>
      <c r="E1108" s="161"/>
      <c r="F1108" s="189"/>
      <c r="G1108" s="160" t="s">
        <v>114</v>
      </c>
      <c r="H1108" s="162">
        <v>2003</v>
      </c>
      <c r="I1108" s="163"/>
      <c r="J1108" s="159"/>
      <c r="K1108" s="159"/>
      <c r="L1108" s="159"/>
      <c r="M1108" s="76"/>
      <c r="N1108" s="152"/>
      <c r="O1108" s="76"/>
      <c r="P1108" s="76"/>
      <c r="Q1108" s="159"/>
      <c r="R1108" s="159"/>
      <c r="S1108" s="159"/>
      <c r="T1108" s="159"/>
      <c r="U1108" s="159"/>
      <c r="V1108" s="159"/>
      <c r="W1108" s="159">
        <f t="shared" si="2011"/>
        <v>4674.2346802346892</v>
      </c>
      <c r="X1108" s="163"/>
      <c r="Y1108" s="167">
        <v>388.66365166655174</v>
      </c>
      <c r="Z1108" s="168">
        <v>4.191688325074E-2</v>
      </c>
      <c r="AA1108" s="78"/>
      <c r="AB1108" s="168"/>
      <c r="AC1108" s="168"/>
      <c r="AD1108" s="163">
        <f t="shared" si="2005"/>
        <v>4674.2346802346892</v>
      </c>
      <c r="AE1108" s="168"/>
      <c r="AF1108" s="163"/>
      <c r="AG1108" s="163"/>
      <c r="AH1108" s="163"/>
      <c r="AI1108" s="163"/>
      <c r="AJ1108" s="167"/>
      <c r="AK1108" s="168"/>
      <c r="AL1108" s="115"/>
      <c r="AM1108" s="115"/>
      <c r="AN1108" s="115"/>
      <c r="AO1108" s="115"/>
      <c r="AP1108" s="115"/>
      <c r="AQ1108" s="168"/>
      <c r="AR1108" s="79"/>
      <c r="AS1108" s="115"/>
      <c r="AT1108" s="115"/>
      <c r="AU1108" s="115"/>
      <c r="AV1108" s="113">
        <f>IFERROR(INDEX('Total Customers'!$F$7:$AB$91,MATCH($C1108,'Total Customers'!$D$7:$D$91,0),MATCH($G1108,'Total Customers'!$F$5:$AB$5,0)),"NA")</f>
        <v>110360</v>
      </c>
      <c r="AW1108" s="68">
        <f t="shared" si="2004"/>
        <v>-1.8120866226990195E-4</v>
      </c>
      <c r="AX1108" s="114"/>
      <c r="AY1108" s="114"/>
      <c r="AZ1108" s="116"/>
      <c r="BA1108" s="116"/>
      <c r="BB1108" s="166"/>
      <c r="BC1108" s="166"/>
      <c r="BD1108" s="166"/>
      <c r="BE1108" s="166"/>
      <c r="BF1108" s="166"/>
      <c r="BG1108" s="166"/>
      <c r="BH1108" s="166"/>
      <c r="BI1108" s="113"/>
      <c r="BJ1108" s="113"/>
      <c r="BK1108" s="113">
        <f>INDEX('Dist. Plant Gas Additions'!$F$7:$AE$91,MATCH($C1108,'Dist. Plant Gas Additions'!$D$7:$D$91,0),MATCH(Calculation!$G1108,'Dist. Plant Gas Additions'!$F$5:$AE$5,0))</f>
        <v>6283</v>
      </c>
      <c r="BL1108" s="113">
        <f>INDEX('Gen. Plant Additions'!$F$7:$AE$91,MATCH($C1108,'Gen. Plant Additions'!$D$7:$D$91,0),MATCH(Calculation!$G1108,'Gen. Plant Additions'!$F$5:$AE$5,0))</f>
        <v>385</v>
      </c>
      <c r="BM1108" s="231">
        <f t="shared" si="2012"/>
        <v>0.9495131598965465</v>
      </c>
      <c r="BN1108" s="61">
        <f t="shared" si="2006"/>
        <v>365.56256656017041</v>
      </c>
      <c r="BO1108" s="113">
        <f>INDEX('Dist Plant Depreciation'!$E$7:$AD$94,MATCH($C1108,'Dist Plant Depreciation'!$D$7:$D$94,0),MATCH(Calculation!$G1108,'Dist Plant Depreciation'!$E$5:$AD$5,0))</f>
        <v>52431</v>
      </c>
      <c r="BP1108" s="113">
        <f>INDEX('Gen. Plant Depreciation'!$E$7:$AD$94,MATCH($C1108,'Gen. Plant Depreciation'!$D$7:$D$94,0),MATCH(Calculation!$G1108,'Gen. Plant Depreciation'!$E$5:$AD$5,0))</f>
        <v>3466</v>
      </c>
      <c r="BQ1108" s="113"/>
      <c r="BR1108" s="113"/>
      <c r="BS1108" s="113"/>
      <c r="BT1108" s="113"/>
      <c r="BU1108" s="113"/>
      <c r="BV1108" s="175"/>
      <c r="BW1108" s="113">
        <f>INDEX('Gross Dx Plant'!$E$7:$AD$91,MATCH($C1108,'Gross Dx Plant'!$D$7:$D$91,0),MATCH(Calculation!$G1108,'Gross Dx Plant'!$E$5:$AD$5,0))</f>
        <v>124823</v>
      </c>
      <c r="BX1108" s="113">
        <f>INDEX('Gross Gen Plant'!$E$7:$AD$91,MATCH($C1108,'Gross Gen Plant'!$D$7:$D$91,0),MATCH(Calculation!$G1108,'Gross Gen Plant'!$E$5:$AD$5,0))</f>
        <v>6637</v>
      </c>
      <c r="BY1108" s="113">
        <f t="shared" si="1999"/>
        <v>75563</v>
      </c>
      <c r="BZ1108" s="113"/>
      <c r="CA1108" s="116">
        <v>2003</v>
      </c>
      <c r="CB1108" s="113"/>
      <c r="CC1108" s="113"/>
      <c r="CD1108" s="113"/>
      <c r="CE1108" s="175"/>
      <c r="CF1108" s="113">
        <f t="shared" si="2013"/>
        <v>6668</v>
      </c>
      <c r="CG1108" s="113">
        <f t="shared" si="2014"/>
        <v>18.059057024025915</v>
      </c>
      <c r="CH1108" s="178">
        <v>0.97354497354497349</v>
      </c>
      <c r="CI1108" s="61">
        <f>+CI1103*CH1108+CG1104*CH1107+CG1105*CH1106+CG1106*CH1105+CG1107*CH1104+CG1108</f>
        <v>388.66365166655174</v>
      </c>
      <c r="CJ1108" s="114">
        <f t="shared" si="2015"/>
        <v>4.191688325074E-2</v>
      </c>
      <c r="CK1108" s="114"/>
      <c r="CL1108" s="169">
        <f t="shared" si="2016"/>
        <v>5.645728682977998E-3</v>
      </c>
      <c r="CM1108" s="169">
        <f t="shared" si="2024"/>
        <v>5.4819684428943152E-3</v>
      </c>
      <c r="CN1108" s="114">
        <f>VLOOKUP($H1108,RoR!$E:$F,2,FALSE)</f>
        <v>5.6666666666666671E-2</v>
      </c>
      <c r="CO1108" s="169">
        <v>1.8855119140166909E-2</v>
      </c>
      <c r="CP1108" s="169">
        <f t="shared" si="2022"/>
        <v>3.7811547526499761E-2</v>
      </c>
      <c r="CQ1108" s="169">
        <f t="shared" si="2025"/>
        <v>2.541997316563931E-2</v>
      </c>
      <c r="CR1108" s="169">
        <f t="shared" si="2026"/>
        <v>2.1375012817671957E-2</v>
      </c>
      <c r="CS1108" s="179">
        <f t="shared" si="2017"/>
        <v>0.87050000000000005</v>
      </c>
      <c r="CT1108" s="180">
        <f t="shared" si="2018"/>
        <v>0.90497737556561086</v>
      </c>
      <c r="CU1108" s="180">
        <f t="shared" si="2019"/>
        <v>0.5338235294117647</v>
      </c>
      <c r="CV1108" s="180">
        <f t="shared" si="2020"/>
        <v>0.88972433127405692</v>
      </c>
      <c r="CW1108" s="180">
        <f t="shared" si="2021"/>
        <v>0.42982423775949252</v>
      </c>
      <c r="CX1108" s="181">
        <f>INDEX('State Tax Lookup'!$D$7:$Z$91,MATCH(Calculation!$C1108,'State Tax Lookup'!$B$7:$B$91,0),MATCH($H1108,'State Tax Lookup'!$D$6:$Z$6,0))</f>
        <v>0.35</v>
      </c>
      <c r="CY1108" s="72">
        <v>0.37</v>
      </c>
      <c r="CZ1108" s="70">
        <f t="shared" si="2023"/>
        <v>12.541250935954238</v>
      </c>
      <c r="DA1108" s="70"/>
      <c r="DB1108" s="69">
        <f t="shared" ref="DB1108:DB1125" si="2027">LN(CZ1108/CZ1107)</f>
        <v>1.5443214250211536E-2</v>
      </c>
      <c r="DC1108" s="111">
        <f>VLOOKUP($H1108,RoR!$E:$F,2,FALSE)</f>
        <v>5.6666666666666671E-2</v>
      </c>
      <c r="DD1108" s="216">
        <f>HLOOKUP($H1108,'GDP-PI'!$D$8:$CQ$11,3,FALSE)</f>
        <v>1.8855119140166909E-2</v>
      </c>
      <c r="DE1108" s="111">
        <f>VLOOKUP(H1108,'HW Dx Data'!$E:$F,2,FALSE)</f>
        <v>369.23301095560191</v>
      </c>
      <c r="DF1108" s="66"/>
      <c r="DG1108" s="69"/>
      <c r="DH1108" s="66">
        <f>HLOOKUP(H1108,'GDP-PI'!$8:$9,2,FALSE)</f>
        <v>82.566999999999993</v>
      </c>
      <c r="DI1108" s="69">
        <f t="shared" ref="DI1108:DI1127" si="2028">LN(DH1108/DH1107)</f>
        <v>1.8679564681853753E-2</v>
      </c>
    </row>
    <row r="1109" spans="1:113" s="160" customFormat="1" ht="21">
      <c r="A1109" s="160" t="s">
        <v>226</v>
      </c>
      <c r="B1109" s="160" t="s">
        <v>226</v>
      </c>
      <c r="C1109" s="160">
        <v>4057100</v>
      </c>
      <c r="D1109" s="161" t="s">
        <v>227</v>
      </c>
      <c r="E1109" s="161"/>
      <c r="F1109" s="189"/>
      <c r="G1109" s="160" t="s">
        <v>115</v>
      </c>
      <c r="H1109" s="162">
        <v>2004</v>
      </c>
      <c r="I1109" s="163"/>
      <c r="J1109" s="159">
        <f>IFERROR(INDEX('Labor Expenditures'!$F$7:$X$91,MATCH($C1109,'Labor Expenditures'!$D$7:$D$91,0),MATCH($G1109,'Labor Expenditures'!$F$5:$X$5,0)),"NA")</f>
        <v>5881.2659814697126</v>
      </c>
      <c r="K1109" s="159">
        <f t="shared" ref="K1109:K1127" si="2029">+J1109/DF1109</f>
        <v>62.334562601692774</v>
      </c>
      <c r="L1109" s="165"/>
      <c r="M1109" s="76"/>
      <c r="N1109" s="152"/>
      <c r="O1109" s="76"/>
      <c r="P1109" s="76"/>
      <c r="Q1109" s="159">
        <f>IFERROR(INDEX('Non-Labor Expenditures'!$F$7:$AB$91,MATCH($C1109,'Non-Labor Expenditures'!$D$7:$D$91,0),MATCH($G1109,'Non-Labor Expenditures'!$F$5:$AB$5,0)),"NA")</f>
        <v>8517.1716101312286</v>
      </c>
      <c r="R1109" s="159">
        <f t="shared" ref="R1109:R1127" si="2030">+Q1109/DH1109</f>
        <v>100.46440833861648</v>
      </c>
      <c r="S1109" s="159"/>
      <c r="T1109" s="159"/>
      <c r="U1109" s="159"/>
      <c r="V1109" s="159"/>
      <c r="W1109" s="159">
        <f t="shared" si="2011"/>
        <v>5408.6798378867634</v>
      </c>
      <c r="X1109" s="163"/>
      <c r="Y1109" s="167">
        <v>399.95284758602878</v>
      </c>
      <c r="Z1109" s="168">
        <v>2.8632338202474211E-2</v>
      </c>
      <c r="AA1109" s="76">
        <f t="shared" ref="AA1109:AA1127" si="2031">+Z1109*$AR1109</f>
        <v>0</v>
      </c>
      <c r="AB1109" s="168"/>
      <c r="AC1109" s="168"/>
      <c r="AD1109" s="163">
        <f t="shared" si="2005"/>
        <v>19807.117429487706</v>
      </c>
      <c r="AE1109" s="168"/>
      <c r="AF1109" s="163"/>
      <c r="AG1109" s="163"/>
      <c r="AH1109" s="163"/>
      <c r="AI1109" s="163"/>
      <c r="AJ1109" s="167"/>
      <c r="AK1109" s="168"/>
      <c r="AL1109" s="115">
        <f t="shared" ref="AL1109:AL1127" si="2032">+J1109/AD1109</f>
        <v>0.29692690026232793</v>
      </c>
      <c r="AM1109" s="115">
        <f t="shared" ref="AM1109:AM1127" si="2033">+Q1109/AD1109</f>
        <v>0.43000560987493058</v>
      </c>
      <c r="AN1109" s="115">
        <f t="shared" ref="AN1109:AN1127" si="2034">+W1109/AD1109</f>
        <v>0.27306748986274143</v>
      </c>
      <c r="AO1109" s="115"/>
      <c r="AP1109" s="115"/>
      <c r="AQ1109" s="168"/>
      <c r="AR1109" s="79"/>
      <c r="AS1109" s="115"/>
      <c r="AT1109" s="115"/>
      <c r="AU1109" s="115"/>
      <c r="AV1109" s="113">
        <f>IFERROR(INDEX('Total Customers'!$F$7:$AB$91,MATCH($C1109,'Total Customers'!$D$7:$D$91,0),MATCH($G1109,'Total Customers'!$F$5:$AB$5,0)),"NA")</f>
        <v>110737</v>
      </c>
      <c r="AW1109" s="68">
        <f t="shared" si="2004"/>
        <v>3.4102711965714604E-3</v>
      </c>
      <c r="AX1109" s="114"/>
      <c r="AY1109" s="114"/>
      <c r="AZ1109" s="116"/>
      <c r="BA1109" s="116"/>
      <c r="BB1109" s="166"/>
      <c r="BC1109" s="166"/>
      <c r="BD1109" s="166"/>
      <c r="BE1109" s="166"/>
      <c r="BF1109" s="166"/>
      <c r="BG1109" s="166"/>
      <c r="BH1109" s="166"/>
      <c r="BI1109" s="113"/>
      <c r="BJ1109" s="113"/>
      <c r="BK1109" s="113">
        <f>INDEX('Dist. Plant Gas Additions'!$F$7:$AE$91,MATCH($C1109,'Dist. Plant Gas Additions'!$D$7:$D$91,0),MATCH(Calculation!$G1109,'Dist. Plant Gas Additions'!$F$5:$AE$5,0))</f>
        <v>4967</v>
      </c>
      <c r="BL1109" s="113">
        <f>INDEX('Gen. Plant Additions'!$F$7:$AE$91,MATCH($C1109,'Gen. Plant Additions'!$D$7:$D$91,0),MATCH(Calculation!$G1109,'Gen. Plant Additions'!$F$5:$AE$5,0))</f>
        <v>655</v>
      </c>
      <c r="BM1109" s="231">
        <f t="shared" si="2012"/>
        <v>0.94700268965771339</v>
      </c>
      <c r="BN1109" s="61">
        <f t="shared" si="2006"/>
        <v>620.28676172580231</v>
      </c>
      <c r="BO1109" s="113">
        <f>INDEX('Dist Plant Depreciation'!$E$7:$AD$94,MATCH($C1109,'Dist Plant Depreciation'!$D$7:$D$94,0),MATCH(Calculation!$G1109,'Dist Plant Depreciation'!$E$5:$AD$5,0))</f>
        <v>54559</v>
      </c>
      <c r="BP1109" s="113">
        <f>INDEX('Gen. Plant Depreciation'!$E$7:$AD$94,MATCH($C1109,'Gen. Plant Depreciation'!$D$7:$D$94,0),MATCH(Calculation!$G1109,'Gen. Plant Depreciation'!$E$5:$AD$5,0))</f>
        <v>3779</v>
      </c>
      <c r="BQ1109" s="113"/>
      <c r="BR1109" s="113"/>
      <c r="BS1109" s="113"/>
      <c r="BT1109" s="113"/>
      <c r="BU1109" s="113"/>
      <c r="BV1109" s="175"/>
      <c r="BW1109" s="113">
        <f>INDEX('Gross Dx Plant'!$E$7:$AD$91,MATCH($C1109,'Gross Dx Plant'!$D$7:$D$91,0),MATCH(Calculation!$G1109,'Gross Dx Plant'!$E$5:$AD$5,0))</f>
        <v>128513</v>
      </c>
      <c r="BX1109" s="113">
        <f>INDEX('Gross Gen Plant'!$E$7:$AD$91,MATCH($C1109,'Gross Gen Plant'!$D$7:$D$91,0),MATCH(Calculation!$G1109,'Gross Gen Plant'!$E$5:$AD$5,0))</f>
        <v>7192</v>
      </c>
      <c r="BY1109" s="113">
        <f t="shared" si="1999"/>
        <v>77367</v>
      </c>
      <c r="BZ1109" s="113"/>
      <c r="CA1109" s="116">
        <v>2004</v>
      </c>
      <c r="CB1109" s="113"/>
      <c r="CC1109" s="113"/>
      <c r="CD1109" s="113"/>
      <c r="CE1109" s="175"/>
      <c r="CF1109" s="113">
        <f t="shared" si="2013"/>
        <v>5622</v>
      </c>
      <c r="CG1109" s="113">
        <f t="shared" si="2014"/>
        <v>13.550671404618804</v>
      </c>
      <c r="CH1109" s="178">
        <v>0.967741935483871</v>
      </c>
      <c r="CI1109" s="61">
        <f>+CI1103*CH1109+CG1104*CH1108+CG1105*CH1107+CG1106*CH1106+CG1107*CH1105+CG1108*CH1104+CG1109</f>
        <v>399.95284758602878</v>
      </c>
      <c r="CJ1109" s="114">
        <f t="shared" si="2015"/>
        <v>2.8632338202474211E-2</v>
      </c>
      <c r="CK1109" s="114"/>
      <c r="CL1109" s="169">
        <f t="shared" si="2016"/>
        <v>5.8185926969110176E-3</v>
      </c>
      <c r="CM1109" s="169">
        <f t="shared" si="2024"/>
        <v>5.7214830677713166E-3</v>
      </c>
      <c r="CN1109" s="114">
        <f>VLOOKUP($H1109,RoR!$E:$F,2,FALSE)</f>
        <v>5.6283333333333331E-2</v>
      </c>
      <c r="CO1109" s="169">
        <v>2.6778252812867276E-2</v>
      </c>
      <c r="CP1109" s="169">
        <f t="shared" si="2022"/>
        <v>2.9505080520466055E-2</v>
      </c>
      <c r="CQ1109" s="169">
        <f t="shared" si="2025"/>
        <v>2.5180458540762309E-2</v>
      </c>
      <c r="CR1109" s="169">
        <f t="shared" si="2026"/>
        <v>5.5940039414565046E-2</v>
      </c>
      <c r="CS1109" s="179">
        <f t="shared" si="2017"/>
        <v>0.87050000000000005</v>
      </c>
      <c r="CT1109" s="180">
        <f t="shared" si="2018"/>
        <v>0.91114097628755619</v>
      </c>
      <c r="CU1109" s="180">
        <f t="shared" si="2019"/>
        <v>0.53081877405981637</v>
      </c>
      <c r="CV1109" s="180">
        <f t="shared" si="2020"/>
        <v>0.88811215519385678</v>
      </c>
      <c r="CW1109" s="180">
        <f t="shared" si="2021"/>
        <v>0.42953609753547711</v>
      </c>
      <c r="CX1109" s="181">
        <f>INDEX('State Tax Lookup'!$D$7:$Z$91,MATCH(Calculation!$C1109,'State Tax Lookup'!$B$7:$B$91,0),MATCH($H1109,'State Tax Lookup'!$D$6:$Z$6,0))</f>
        <v>0.35</v>
      </c>
      <c r="CY1109" s="72">
        <v>0.37</v>
      </c>
      <c r="CZ1109" s="70">
        <f t="shared" si="2023"/>
        <v>13.91609381194993</v>
      </c>
      <c r="DA1109" s="70"/>
      <c r="DB1109" s="69">
        <f t="shared" si="2027"/>
        <v>0.10402271268060526</v>
      </c>
      <c r="DC1109" s="111">
        <f>VLOOKUP($H1109,RoR!$E:$F,2,FALSE)</f>
        <v>5.6283333333333331E-2</v>
      </c>
      <c r="DD1109" s="216">
        <f>HLOOKUP($H1109,'GDP-PI'!$D$8:$CQ$11,3,FALSE)</f>
        <v>2.6778252812867276E-2</v>
      </c>
      <c r="DE1109" s="111">
        <f>VLOOKUP(H1109,'HW Dx Data'!$E:$F,2,FALSE)</f>
        <v>414.88719135228365</v>
      </c>
      <c r="DF1109" s="72">
        <f>VLOOKUP(G1109,EG$8:EH$27,2,FALSE)</f>
        <v>94.35</v>
      </c>
      <c r="DG1109" s="69"/>
      <c r="DH1109" s="66">
        <f>HLOOKUP(H1109,'GDP-PI'!$8:$9,2,FALSE)</f>
        <v>84.778000000000006</v>
      </c>
      <c r="DI1109" s="69">
        <f t="shared" si="2028"/>
        <v>2.6425990216022755E-2</v>
      </c>
    </row>
    <row r="1110" spans="1:113" s="160" customFormat="1" ht="21">
      <c r="A1110" s="160" t="s">
        <v>226</v>
      </c>
      <c r="B1110" s="160" t="s">
        <v>226</v>
      </c>
      <c r="C1110" s="160">
        <v>4057100</v>
      </c>
      <c r="D1110" s="161" t="s">
        <v>227</v>
      </c>
      <c r="E1110" s="161"/>
      <c r="F1110" s="189"/>
      <c r="G1110" s="160" t="s">
        <v>116</v>
      </c>
      <c r="H1110" s="162">
        <v>2005</v>
      </c>
      <c r="I1110" s="163"/>
      <c r="J1110" s="159">
        <f>IFERROR(INDEX('Labor Expenditures'!$F$7:$X$91,MATCH($C1110,'Labor Expenditures'!$D$7:$D$91,0),MATCH($G1110,'Labor Expenditures'!$F$5:$X$5,0)),"NA")</f>
        <v>6525.1436522031454</v>
      </c>
      <c r="K1110" s="159">
        <f t="shared" si="2029"/>
        <v>65.761084930240827</v>
      </c>
      <c r="L1110" s="165">
        <f t="shared" ref="L1110:L1126" si="2035">LN(K1110/K1109)</f>
        <v>5.3512200067946707E-2</v>
      </c>
      <c r="M1110" s="76"/>
      <c r="N1110" s="62">
        <v>100</v>
      </c>
      <c r="O1110" s="77"/>
      <c r="P1110" s="77"/>
      <c r="Q1110" s="159">
        <f>IFERROR(INDEX('Non-Labor Expenditures'!$F$7:$AB$91,MATCH($C1110,'Non-Labor Expenditures'!$D$7:$D$91,0),MATCH($G1110,'Non-Labor Expenditures'!$F$5:$AB$5,0)),"NA")</f>
        <v>9449.62673711356</v>
      </c>
      <c r="R1110" s="159">
        <f t="shared" si="2030"/>
        <v>108.1106403047074</v>
      </c>
      <c r="S1110" s="165">
        <f>LN(R1110/R1109)</f>
        <v>7.3351631111782778E-2</v>
      </c>
      <c r="T1110" s="165"/>
      <c r="U1110" s="165"/>
      <c r="V1110" s="165"/>
      <c r="W1110" s="159">
        <f t="shared" si="2011"/>
        <v>6253.3369414257959</v>
      </c>
      <c r="X1110" s="163"/>
      <c r="Y1110" s="167">
        <v>413.88239857635693</v>
      </c>
      <c r="Z1110" s="168">
        <v>3.4235212937925481E-2</v>
      </c>
      <c r="AA1110" s="76">
        <f t="shared" si="2031"/>
        <v>0</v>
      </c>
      <c r="AB1110" s="168"/>
      <c r="AC1110" s="168"/>
      <c r="AD1110" s="163">
        <f t="shared" si="2005"/>
        <v>22228.107330742503</v>
      </c>
      <c r="AE1110" s="168">
        <f>LN(AD1110/AD1109)</f>
        <v>0.11531624479022672</v>
      </c>
      <c r="AF1110" s="163"/>
      <c r="AG1110" s="163"/>
      <c r="AH1110" s="163"/>
      <c r="AI1110" s="163"/>
      <c r="AJ1110" s="116"/>
      <c r="AK1110" s="114"/>
      <c r="AL1110" s="115">
        <f t="shared" si="2032"/>
        <v>0.29355372255102302</v>
      </c>
      <c r="AM1110" s="115">
        <f t="shared" si="2033"/>
        <v>0.42512061852626959</v>
      </c>
      <c r="AN1110" s="115">
        <f t="shared" si="2034"/>
        <v>0.28132565892270733</v>
      </c>
      <c r="AO1110" s="115">
        <f t="shared" ref="AO1110:AO1126" si="2036">+(((AL1110+AL1109)/2)*L1110+((AM1109+AM1110)/2)*S1110+((AN1109+AN1110)/2)*Z1110)</f>
        <v>5.6651294191962805E-2</v>
      </c>
      <c r="AP1110" s="166">
        <v>100</v>
      </c>
      <c r="AQ1110" s="168"/>
      <c r="AR1110" s="16"/>
      <c r="AS1110" s="115"/>
      <c r="AT1110" s="115"/>
      <c r="AU1110" s="115"/>
      <c r="AV1110" s="113">
        <f>IFERROR(INDEX('Total Customers'!$F$7:$AB$91,MATCH($C1110,'Total Customers'!$D$7:$D$91,0),MATCH($G1110,'Total Customers'!$F$5:$AB$5,0)),"NA")</f>
        <v>111253</v>
      </c>
      <c r="AW1110" s="68">
        <f t="shared" si="2004"/>
        <v>4.6488664292436595E-3</v>
      </c>
      <c r="AX1110" s="114"/>
      <c r="AY1110" s="114"/>
      <c r="AZ1110" s="116"/>
      <c r="BA1110" s="116"/>
      <c r="BB1110" s="166"/>
      <c r="BC1110" s="166"/>
      <c r="BD1110" s="166"/>
      <c r="BE1110" s="166"/>
      <c r="BF1110" s="166"/>
      <c r="BG1110" s="166"/>
      <c r="BH1110" s="166"/>
      <c r="BI1110" s="113"/>
      <c r="BJ1110" s="113"/>
      <c r="BK1110" s="113">
        <f>INDEX('Dist. Plant Gas Additions'!$F$7:$AE$91,MATCH($C1110,'Dist. Plant Gas Additions'!$D$7:$D$91,0),MATCH(Calculation!$G1110,'Dist. Plant Gas Additions'!$F$5:$AE$5,0))</f>
        <v>7584</v>
      </c>
      <c r="BL1110" s="113">
        <f>INDEX('Gen. Plant Additions'!$F$7:$AE$91,MATCH($C1110,'Gen. Plant Additions'!$D$7:$D$91,0),MATCH(Calculation!$G1110,'Gen. Plant Additions'!$F$5:$AE$5,0))</f>
        <v>79</v>
      </c>
      <c r="BM1110" s="231">
        <f t="shared" si="2012"/>
        <v>0.94927738992962774</v>
      </c>
      <c r="BN1110" s="61">
        <f t="shared" si="2006"/>
        <v>74.99291380444059</v>
      </c>
      <c r="BO1110" s="113">
        <f>INDEX('Dist Plant Depreciation'!$E$7:$AD$94,MATCH($C1110,'Dist Plant Depreciation'!$D$7:$D$94,0),MATCH(Calculation!$G1110,'Dist Plant Depreciation'!$E$5:$AD$5,0))</f>
        <v>55435</v>
      </c>
      <c r="BP1110" s="113">
        <f>INDEX('Gen. Plant Depreciation'!$E$7:$AD$94,MATCH($C1110,'Gen. Plant Depreciation'!$D$7:$D$94,0),MATCH(Calculation!$G1110,'Gen. Plant Depreciation'!$E$5:$AD$5,0))</f>
        <v>4130</v>
      </c>
      <c r="BQ1110" s="113"/>
      <c r="BR1110" s="113"/>
      <c r="BS1110" s="113"/>
      <c r="BT1110" s="113"/>
      <c r="BU1110" s="113"/>
      <c r="BV1110" s="175"/>
      <c r="BW1110" s="113">
        <f>INDEX('Gross Dx Plant'!$E$7:$AD$91,MATCH($C1110,'Gross Dx Plant'!$D$7:$D$91,0),MATCH(Calculation!$G1110,'Gross Dx Plant'!$E$5:$AD$5,0))</f>
        <v>135703</v>
      </c>
      <c r="BX1110" s="113">
        <f>INDEX('Gross Gen Plant'!$E$7:$AD$91,MATCH($C1110,'Gross Gen Plant'!$D$7:$D$91,0),MATCH(Calculation!$G1110,'Gross Gen Plant'!$E$5:$AD$5,0))</f>
        <v>7251</v>
      </c>
      <c r="BY1110" s="113">
        <f t="shared" si="1999"/>
        <v>83389</v>
      </c>
      <c r="BZ1110" s="113"/>
      <c r="CA1110" s="116">
        <v>2005</v>
      </c>
      <c r="CB1110" s="113"/>
      <c r="CC1110" s="113"/>
      <c r="CD1110" s="113"/>
      <c r="CE1110" s="175"/>
      <c r="CF1110" s="113">
        <f t="shared" si="2013"/>
        <v>7663</v>
      </c>
      <c r="CG1110" s="113">
        <f t="shared" si="2014"/>
        <v>16.331875636090121</v>
      </c>
      <c r="CH1110" s="178">
        <v>0.96174863387978138</v>
      </c>
      <c r="CI1110" s="61">
        <f>+CI1103*CH1110+CG1104*CH1109+CG1105*CH1108+CG1106*CH1107+CG1107*CH1106+CG1108*CH1105+CG1109*CH1104+CG1110</f>
        <v>413.88239857635693</v>
      </c>
      <c r="CJ1110" s="114">
        <f t="shared" si="2015"/>
        <v>3.4235212937925481E-2</v>
      </c>
      <c r="CK1110" s="114"/>
      <c r="CL1110" s="169">
        <f t="shared" si="2016"/>
        <v>6.006519669159837E-3</v>
      </c>
      <c r="CM1110" s="169">
        <f t="shared" si="2024"/>
        <v>5.8236136830162842E-3</v>
      </c>
      <c r="CN1110" s="114">
        <f>VLOOKUP($H1110,RoR!$E:$F,2,FALSE)</f>
        <v>5.2350000000000001E-2</v>
      </c>
      <c r="CO1110" s="169">
        <v>3.1010403642454332E-2</v>
      </c>
      <c r="CP1110" s="169">
        <f t="shared" si="2022"/>
        <v>2.1339596357545669E-2</v>
      </c>
      <c r="CQ1110" s="169">
        <f t="shared" si="2025"/>
        <v>2.5078327925517341E-2</v>
      </c>
      <c r="CR1110" s="169">
        <f t="shared" si="2026"/>
        <v>9.2129610649277341E-2</v>
      </c>
      <c r="CS1110" s="179">
        <f t="shared" si="2017"/>
        <v>0.87050000000000005</v>
      </c>
      <c r="CT1110" s="180">
        <f t="shared" si="2018"/>
        <v>0.97959983346802826</v>
      </c>
      <c r="CU1110" s="180">
        <f t="shared" si="2019"/>
        <v>0.49744508118433622</v>
      </c>
      <c r="CV1110" s="180">
        <f t="shared" si="2020"/>
        <v>0.87010519444335932</v>
      </c>
      <c r="CW1110" s="180">
        <f t="shared" si="2021"/>
        <v>0.42399975420741998</v>
      </c>
      <c r="CX1110" s="181">
        <f>INDEX('State Tax Lookup'!$D$7:$Z$91,MATCH(Calculation!$C1110,'State Tax Lookup'!$B$7:$B$91,0),MATCH($H1110,'State Tax Lookup'!$D$6:$Z$6,0))</f>
        <v>0.35</v>
      </c>
      <c r="CY1110" s="72">
        <v>0.37</v>
      </c>
      <c r="CZ1110" s="70">
        <f t="shared" si="2023"/>
        <v>15.635185445406087</v>
      </c>
      <c r="DA1110" s="70"/>
      <c r="DB1110" s="69">
        <f t="shared" si="2027"/>
        <v>0.11647785318612068</v>
      </c>
      <c r="DC1110" s="111">
        <f>VLOOKUP($H1110,RoR!$E:$F,2,FALSE)</f>
        <v>5.2350000000000001E-2</v>
      </c>
      <c r="DD1110" s="216">
        <f>HLOOKUP($H1110,'GDP-PI'!$D$8:$CQ$11,3,FALSE)</f>
        <v>3.1010403642454332E-2</v>
      </c>
      <c r="DE1110" s="111">
        <f>VLOOKUP(H1110,'HW Dx Data'!$E:$F,2,FALSE)</f>
        <v>469.20514034936258</v>
      </c>
      <c r="DF1110" s="72">
        <f t="shared" ref="DF1110:DF1128" si="2037">VLOOKUP(G1110,EG$8:EH$27,2,FALSE)</f>
        <v>99.224999999999994</v>
      </c>
      <c r="DG1110" s="69">
        <f t="shared" ref="DG1110:DG1128" si="2038">LN(DF1110/DF1109)</f>
        <v>5.0378726854569796E-2</v>
      </c>
      <c r="DH1110" s="66">
        <f>HLOOKUP(H1110,'GDP-PI'!$8:$9,2,FALSE)</f>
        <v>87.406999999999996</v>
      </c>
      <c r="DI1110" s="69">
        <f t="shared" si="2028"/>
        <v>3.0539295810733648E-2</v>
      </c>
    </row>
    <row r="1111" spans="1:113" s="160" customFormat="1" ht="21">
      <c r="A1111" s="160" t="s">
        <v>226</v>
      </c>
      <c r="B1111" s="160" t="s">
        <v>226</v>
      </c>
      <c r="C1111" s="160">
        <v>4057100</v>
      </c>
      <c r="D1111" s="161" t="s">
        <v>227</v>
      </c>
      <c r="E1111" s="161"/>
      <c r="F1111" s="189"/>
      <c r="G1111" s="160" t="s">
        <v>117</v>
      </c>
      <c r="H1111" s="162">
        <v>2006</v>
      </c>
      <c r="I1111" s="163"/>
      <c r="J1111" s="159">
        <f>IFERROR(INDEX('Labor Expenditures'!$F$7:$X$91,MATCH($C1111,'Labor Expenditures'!$D$7:$D$91,0),MATCH($G1111,'Labor Expenditures'!$F$5:$X$5,0)),"NA")</f>
        <v>5964.5204064844684</v>
      </c>
      <c r="K1111" s="159">
        <f t="shared" si="2029"/>
        <v>54.520296220150527</v>
      </c>
      <c r="L1111" s="165">
        <f t="shared" si="2035"/>
        <v>-0.18745520889089864</v>
      </c>
      <c r="M1111" s="76">
        <f t="shared" ref="M1111:M1127" si="2039">+L1111*$AR1111</f>
        <v>-4.9271076012718325E-4</v>
      </c>
      <c r="N1111" s="62">
        <f>+N1110*EXP(O1111)</f>
        <v>115.4018098675858</v>
      </c>
      <c r="O1111" s="96">
        <f t="shared" ref="O1111:O1127" si="2040">+M1111+M1136+M1161+M1186+M1211+M1236+M1261+M1286+M1311+M1336+M1361+M1386+M1411+M1436+M1461+M1486+M1511+M1536+M1561+M1586+M1611+M1636+M1661+M1686+M1711+M1736+M1761+M1786+M1811+M1836+M1861+M1886+M1911+M1936+M1961+M1986+M2011+M2036+M2061+M2086+M2111+M2136+M2161+M2186+M2211+M2236+M2261+M2286+M2311+M2336+M2361+M2386+M2411+M2436</f>
        <v>0.14324985139087726</v>
      </c>
      <c r="P1111" s="96"/>
      <c r="Q1111" s="159">
        <f>IFERROR(INDEX('Non-Labor Expenditures'!$F$7:$AB$91,MATCH($C1111,'Non-Labor Expenditures'!$D$7:$D$91,0),MATCH($G1111,'Non-Labor Expenditures'!$F$5:$AB$5,0)),"NA")</f>
        <v>8637.739567334258</v>
      </c>
      <c r="R1111" s="159">
        <f t="shared" si="2030"/>
        <v>95.896036229480856</v>
      </c>
      <c r="S1111" s="165">
        <f t="shared" ref="S1111:S1126" si="2041">LN(R1111/R1110)</f>
        <v>-0.11989050129760079</v>
      </c>
      <c r="T1111" s="165">
        <f t="shared" ref="T1111:T1127" si="2042">+S1111*AR1111</f>
        <v>-3.1512242511623256E-4</v>
      </c>
      <c r="U1111" s="165"/>
      <c r="V1111" s="165"/>
      <c r="W1111" s="159">
        <f t="shared" si="2011"/>
        <v>6318.968971238417</v>
      </c>
      <c r="X1111" s="163"/>
      <c r="Y1111" s="167">
        <v>429.80867933926442</v>
      </c>
      <c r="Z1111" s="168">
        <v>3.7758305844481824E-2</v>
      </c>
      <c r="AA1111" s="76">
        <f t="shared" si="2031"/>
        <v>9.9244633871854853E-5</v>
      </c>
      <c r="AB1111" s="168"/>
      <c r="AC1111" s="168"/>
      <c r="AD1111" s="163">
        <f t="shared" si="2005"/>
        <v>20921.228945057144</v>
      </c>
      <c r="AE1111" s="168">
        <f t="shared" ref="AE1111:AE1127" si="2043">LN(AD1111/AD1110)</f>
        <v>-6.0593201579072116E-2</v>
      </c>
      <c r="AF1111" s="163"/>
      <c r="AG1111" s="163"/>
      <c r="AH1111" s="163"/>
      <c r="AI1111" s="163"/>
      <c r="AJ1111" s="116">
        <f t="shared" ref="AJ1111:AJ1127" si="2044">+(AD1111*1000)/AV1111</f>
        <v>188.31158646843934</v>
      </c>
      <c r="AK1111" s="114">
        <f>+AV1111/$AX$11</f>
        <v>3.2034128677841576E-3</v>
      </c>
      <c r="AL1111" s="115">
        <f t="shared" si="2032"/>
        <v>0.28509417023963346</v>
      </c>
      <c r="AM1111" s="115">
        <f t="shared" si="2033"/>
        <v>0.41286960675295381</v>
      </c>
      <c r="AN1111" s="115">
        <f t="shared" si="2034"/>
        <v>0.30203622300741267</v>
      </c>
      <c r="AO1111" s="115">
        <f t="shared" si="2036"/>
        <v>-9.3455436726318189E-2</v>
      </c>
      <c r="AP1111" s="166">
        <f>+AP1110*EXP(AO1111)</f>
        <v>91.077860379804633</v>
      </c>
      <c r="AQ1111" s="168">
        <f>LN(AP1111/AP1110)</f>
        <v>-9.3455436726318147E-2</v>
      </c>
      <c r="AR1111" s="69">
        <f>+AD1111/$AF$11</f>
        <v>2.6284186128641925E-3</v>
      </c>
      <c r="AS1111" s="169">
        <f>+AR1111*AQ1111</f>
        <v>-2.4564000936480644E-4</v>
      </c>
      <c r="AT1111" s="115"/>
      <c r="AU1111" s="115"/>
      <c r="AV1111" s="113">
        <f>IFERROR(INDEX('Total Customers'!$F$7:$AB$91,MATCH($C1111,'Total Customers'!$D$7:$D$91,0),MATCH($G1111,'Total Customers'!$F$5:$AB$5,0)),"NA")</f>
        <v>111099</v>
      </c>
      <c r="AW1111" s="68">
        <f t="shared" si="2004"/>
        <v>-1.3851912699145588E-3</v>
      </c>
      <c r="AX1111" s="114"/>
      <c r="AY1111" s="114"/>
      <c r="AZ1111" s="116"/>
      <c r="BA1111" s="116"/>
      <c r="BB1111" s="166"/>
      <c r="BC1111" s="166"/>
      <c r="BD1111" s="166"/>
      <c r="BE1111" s="166"/>
      <c r="BF1111" s="166"/>
      <c r="BG1111" s="166"/>
      <c r="BH1111" s="166"/>
      <c r="BI1111" s="113"/>
      <c r="BJ1111" s="113"/>
      <c r="BK1111" s="113">
        <f>INDEX('Dist. Plant Gas Additions'!$F$7:$AE$91,MATCH($C1111,'Dist. Plant Gas Additions'!$D$7:$D$91,0),MATCH(Calculation!$G1111,'Dist. Plant Gas Additions'!$F$5:$AE$5,0))</f>
        <v>7668</v>
      </c>
      <c r="BL1111" s="113">
        <f>INDEX('Gen. Plant Additions'!$F$7:$AE$91,MATCH($C1111,'Gen. Plant Additions'!$D$7:$D$91,0),MATCH(Calculation!$G1111,'Gen. Plant Additions'!$F$5:$AE$5,0))</f>
        <v>857</v>
      </c>
      <c r="BM1111" s="231">
        <f t="shared" si="2012"/>
        <v>0.94789034025911834</v>
      </c>
      <c r="BN1111" s="61">
        <f t="shared" si="2006"/>
        <v>812.34202160206439</v>
      </c>
      <c r="BO1111" s="113">
        <f>INDEX('Dist Plant Depreciation'!$E$7:$AD$94,MATCH($C1111,'Dist Plant Depreciation'!$D$7:$D$94,0),MATCH(Calculation!$G1111,'Dist Plant Depreciation'!$E$5:$AD$5,0))</f>
        <v>60000</v>
      </c>
      <c r="BP1111" s="113">
        <f>INDEX('Gen. Plant Depreciation'!$E$7:$AD$94,MATCH($C1111,'Gen. Plant Depreciation'!$D$7:$D$94,0),MATCH(Calculation!$G1111,'Gen. Plant Depreciation'!$E$5:$AD$5,0))</f>
        <v>4276</v>
      </c>
      <c r="BQ1111" s="113"/>
      <c r="BR1111" s="113"/>
      <c r="BS1111" s="113"/>
      <c r="BT1111" s="113"/>
      <c r="BU1111" s="113"/>
      <c r="BV1111" s="175"/>
      <c r="BW1111" s="113">
        <f>INDEX('Gross Dx Plant'!$E$7:$AD$91,MATCH($C1111,'Gross Dx Plant'!$D$7:$D$91,0),MATCH(Calculation!$G1111,'Gross Dx Plant'!$E$5:$AD$5,0))</f>
        <v>142521</v>
      </c>
      <c r="BX1111" s="113">
        <f>INDEX('Gross Gen Plant'!$E$7:$AD$91,MATCH($C1111,'Gross Gen Plant'!$D$7:$D$91,0),MATCH(Calculation!$G1111,'Gross Gen Plant'!$E$5:$AD$5,0))</f>
        <v>7835</v>
      </c>
      <c r="BY1111" s="113">
        <f t="shared" si="1999"/>
        <v>86080</v>
      </c>
      <c r="BZ1111" s="114"/>
      <c r="CA1111" s="116">
        <v>2006</v>
      </c>
      <c r="CB1111" s="113"/>
      <c r="CC1111" s="113"/>
      <c r="CD1111" s="113"/>
      <c r="CE1111" s="175"/>
      <c r="CF1111" s="113">
        <f t="shared" si="2013"/>
        <v>8525</v>
      </c>
      <c r="CG1111" s="113">
        <f t="shared" si="2014"/>
        <v>18.488971798950761</v>
      </c>
      <c r="CH1111" s="178">
        <v>0.9555555555555556</v>
      </c>
      <c r="CI1111" s="61">
        <f>+CI1103*CH1111+CG1104*CH1110+CG1105*CH1109+CG1106*CH1108+CG1107*CH1107+CG1108*CH1106+CG1109*CH1105+CG1110*CH1104+CG1111</f>
        <v>429.80867933926442</v>
      </c>
      <c r="CJ1111" s="114">
        <f t="shared" si="2015"/>
        <v>3.7758305844481824E-2</v>
      </c>
      <c r="CK1111" s="114"/>
      <c r="CL1111" s="169">
        <f t="shared" si="2016"/>
        <v>6.1918338273341429E-3</v>
      </c>
      <c r="CM1111" s="169">
        <f t="shared" si="2024"/>
        <v>6.0056487311349995E-3</v>
      </c>
      <c r="CN1111" s="114">
        <f>VLOOKUP($H1111,RoR!$E:$F,2,FALSE)</f>
        <v>5.5874999999999994E-2</v>
      </c>
      <c r="CO1111" s="169">
        <v>3.0512430354548314E-2</v>
      </c>
      <c r="CP1111" s="169">
        <f t="shared" si="2022"/>
        <v>2.536256964545168E-2</v>
      </c>
      <c r="CQ1111" s="169">
        <f t="shared" si="2025"/>
        <v>2.4896292877398626E-2</v>
      </c>
      <c r="CR1111" s="169">
        <f t="shared" si="2026"/>
        <v>7.9087823893859641E-2</v>
      </c>
      <c r="CS1111" s="179">
        <f t="shared" si="2017"/>
        <v>0.87050000000000005</v>
      </c>
      <c r="CT1111" s="180">
        <f t="shared" si="2018"/>
        <v>0.91779957551769631</v>
      </c>
      <c r="CU1111" s="180">
        <f t="shared" si="2019"/>
        <v>0.52757270693512304</v>
      </c>
      <c r="CV1111" s="180">
        <f t="shared" si="2020"/>
        <v>0.88636824549024895</v>
      </c>
      <c r="CW1111" s="180">
        <f t="shared" si="2021"/>
        <v>0.42918482841932087</v>
      </c>
      <c r="CX1111" s="181">
        <f>INDEX('State Tax Lookup'!$D$7:$Z$91,MATCH(Calculation!$C1111,'State Tax Lookup'!$B$7:$B$91,0),MATCH($H1111,'State Tax Lookup'!$D$6:$Z$6,0))</f>
        <v>0.35</v>
      </c>
      <c r="CY1111" s="72">
        <v>0.37</v>
      </c>
      <c r="CZ1111" s="70">
        <f t="shared" si="2023"/>
        <v>15.267546996378572</v>
      </c>
      <c r="DA1111" s="70">
        <v>14.788696346247992</v>
      </c>
      <c r="DB1111" s="69">
        <f t="shared" si="2027"/>
        <v>-2.3794387446668543E-2</v>
      </c>
      <c r="DC1111" s="111">
        <f>VLOOKUP($H1111,RoR!$E:$F,2,FALSE)</f>
        <v>5.5874999999999994E-2</v>
      </c>
      <c r="DD1111" s="216">
        <f>HLOOKUP($H1111,'GDP-PI'!$D$8:$CQ$11,3,FALSE)</f>
        <v>3.0512430354548314E-2</v>
      </c>
      <c r="DE1111" s="111">
        <f>VLOOKUP(H1111,'HW Dx Data'!$E:$F,2,FALSE)</f>
        <v>461.08567272971823</v>
      </c>
      <c r="DF1111" s="72">
        <f t="shared" si="2037"/>
        <v>109.4</v>
      </c>
      <c r="DG1111" s="69">
        <f t="shared" si="2038"/>
        <v>9.7620891318751846E-2</v>
      </c>
      <c r="DH1111" s="66">
        <f>HLOOKUP(H1111,'GDP-PI'!$8:$9,2,FALSE)</f>
        <v>90.073999999999998</v>
      </c>
      <c r="DI1111" s="69">
        <f t="shared" si="2028"/>
        <v>3.005618372545445E-2</v>
      </c>
    </row>
    <row r="1112" spans="1:113" s="160" customFormat="1" ht="21">
      <c r="A1112" s="160" t="s">
        <v>226</v>
      </c>
      <c r="B1112" s="160" t="s">
        <v>226</v>
      </c>
      <c r="C1112" s="160">
        <v>4057100</v>
      </c>
      <c r="D1112" s="161" t="s">
        <v>227</v>
      </c>
      <c r="E1112" s="161"/>
      <c r="F1112" s="189"/>
      <c r="G1112" s="160" t="s">
        <v>118</v>
      </c>
      <c r="H1112" s="162">
        <v>2007</v>
      </c>
      <c r="I1112" s="163"/>
      <c r="J1112" s="159">
        <f>IFERROR(INDEX('Labor Expenditures'!$F$7:$X$91,MATCH($C1112,'Labor Expenditures'!$D$7:$D$91,0),MATCH($G1112,'Labor Expenditures'!$F$5:$X$5,0)),"NA")</f>
        <v>6706.5096520008301</v>
      </c>
      <c r="K1112" s="159">
        <f t="shared" si="2029"/>
        <v>64.161776149254536</v>
      </c>
      <c r="L1112" s="165">
        <f t="shared" si="2035"/>
        <v>0.16283460624753707</v>
      </c>
      <c r="M1112" s="76">
        <f t="shared" si="2039"/>
        <v>4.544589821159035E-4</v>
      </c>
      <c r="N1112" s="62">
        <f t="shared" ref="N1112:N1125" si="2045">+N1111*EXP(O1112)</f>
        <v>119.92463257112934</v>
      </c>
      <c r="O1112" s="96">
        <f t="shared" si="2040"/>
        <v>3.8443446182321116E-2</v>
      </c>
      <c r="P1112" s="96"/>
      <c r="Q1112" s="159">
        <f>IFERROR(INDEX('Non-Labor Expenditures'!$F$7:$AB$91,MATCH($C1112,'Non-Labor Expenditures'!$D$7:$D$91,0),MATCH($G1112,'Non-Labor Expenditures'!$F$5:$AB$5,0)),"NA")</f>
        <v>9712.2785793167386</v>
      </c>
      <c r="R1112" s="159">
        <f t="shared" si="2030"/>
        <v>104.99987653048431</v>
      </c>
      <c r="S1112" s="165">
        <f t="shared" si="2041"/>
        <v>9.0694525552246691E-2</v>
      </c>
      <c r="T1112" s="165">
        <f t="shared" si="2042"/>
        <v>2.531215121637097E-4</v>
      </c>
      <c r="U1112" s="165"/>
      <c r="V1112" s="165"/>
      <c r="W1112" s="159">
        <f t="shared" si="2011"/>
        <v>7046.5913135369301</v>
      </c>
      <c r="X1112" s="163"/>
      <c r="Y1112" s="167">
        <v>440.32287786733889</v>
      </c>
      <c r="Z1112" s="168">
        <v>2.4168093230859316E-2</v>
      </c>
      <c r="AA1112" s="76">
        <f t="shared" si="2031"/>
        <v>6.7451307203592116E-5</v>
      </c>
      <c r="AB1112" s="168"/>
      <c r="AC1112" s="168"/>
      <c r="AD1112" s="163">
        <f t="shared" si="2005"/>
        <v>23465.379544854499</v>
      </c>
      <c r="AE1112" s="168">
        <f t="shared" si="2043"/>
        <v>0.11476174159585516</v>
      </c>
      <c r="AF1112" s="163"/>
      <c r="AG1112" s="163"/>
      <c r="AH1112" s="163"/>
      <c r="AI1112" s="163"/>
      <c r="AJ1112" s="116">
        <f t="shared" si="2044"/>
        <v>210.04117102753807</v>
      </c>
      <c r="AK1112" s="114">
        <f>+AV1112/$AX$12</f>
        <v>3.1970079224659617E-3</v>
      </c>
      <c r="AL1112" s="115">
        <f t="shared" si="2032"/>
        <v>0.2858044396503886</v>
      </c>
      <c r="AM1112" s="115">
        <f t="shared" si="2033"/>
        <v>0.41389820951975409</v>
      </c>
      <c r="AN1112" s="115">
        <f t="shared" si="2034"/>
        <v>0.30029735082985737</v>
      </c>
      <c r="AO1112" s="115">
        <f t="shared" si="2036"/>
        <v>9.1251309578002066E-2</v>
      </c>
      <c r="AP1112" s="166">
        <f>+AP1111*EXP(AO1112)</f>
        <v>99.779830015623688</v>
      </c>
      <c r="AQ1112" s="168">
        <f>LN(AP1112/AP1111)</f>
        <v>9.1251309578002149E-2</v>
      </c>
      <c r="AR1112" s="69">
        <f>+AD1112/$AF$12</f>
        <v>2.7909238250316791E-3</v>
      </c>
      <c r="AS1112" s="169">
        <f t="shared" ref="AS1112:AS1126" si="2046">+AR1112*AQ1112</f>
        <v>2.5467545396658763E-4</v>
      </c>
      <c r="AT1112" s="115"/>
      <c r="AU1112" s="115"/>
      <c r="AV1112" s="113">
        <f>IFERROR(INDEX('Total Customers'!$F$7:$AB$91,MATCH($C1112,'Total Customers'!$D$7:$D$91,0),MATCH($G1112,'Total Customers'!$F$5:$AB$5,0)),"NA")</f>
        <v>111718</v>
      </c>
      <c r="AW1112" s="68">
        <f t="shared" si="2004"/>
        <v>5.5561433141481072E-3</v>
      </c>
      <c r="AX1112" s="114"/>
      <c r="AY1112" s="114"/>
      <c r="AZ1112" s="116"/>
      <c r="BA1112" s="116"/>
      <c r="BB1112" s="166"/>
      <c r="BC1112" s="166"/>
      <c r="BD1112" s="166"/>
      <c r="BE1112" s="166"/>
      <c r="BF1112" s="166"/>
      <c r="BG1112" s="166"/>
      <c r="BH1112" s="166"/>
      <c r="BI1112" s="113"/>
      <c r="BJ1112" s="113"/>
      <c r="BK1112" s="113">
        <f>INDEX('Dist. Plant Gas Additions'!$F$7:$AE$91,MATCH($C1112,'Dist. Plant Gas Additions'!$D$7:$D$91,0),MATCH(Calculation!$G1112,'Dist. Plant Gas Additions'!$F$5:$AE$5,0))</f>
        <v>6228</v>
      </c>
      <c r="BL1112" s="113">
        <f>INDEX('Gen. Plant Additions'!$F$7:$AE$91,MATCH($C1112,'Gen. Plant Additions'!$D$7:$D$91,0),MATCH(Calculation!$G1112,'Gen. Plant Additions'!$F$5:$AE$5,0))</f>
        <v>373</v>
      </c>
      <c r="BM1112" s="231">
        <f t="shared" si="2012"/>
        <v>0.94764051157078466</v>
      </c>
      <c r="BN1112" s="61">
        <f t="shared" si="2006"/>
        <v>353.46991081590267</v>
      </c>
      <c r="BO1112" s="113">
        <f>INDEX('Dist Plant Depreciation'!$E$7:$AD$94,MATCH($C1112,'Dist Plant Depreciation'!$D$7:$D$94,0),MATCH(Calculation!$G1112,'Dist Plant Depreciation'!$E$5:$AD$5,0))</f>
        <v>63079</v>
      </c>
      <c r="BP1112" s="113">
        <f>INDEX('Gen. Plant Depreciation'!$E$7:$AD$94,MATCH($C1112,'Gen. Plant Depreciation'!$D$7:$D$94,0),MATCH(Calculation!$G1112,'Gen. Plant Depreciation'!$E$5:$AD$5,0))</f>
        <v>4663</v>
      </c>
      <c r="BQ1112" s="113"/>
      <c r="BR1112" s="113"/>
      <c r="BS1112" s="113"/>
      <c r="BT1112" s="113"/>
      <c r="BU1112" s="113"/>
      <c r="BV1112" s="175"/>
      <c r="BW1112" s="113">
        <f>INDEX('Gross Dx Plant'!$E$7:$AD$91,MATCH($C1112,'Gross Dx Plant'!$D$7:$D$91,0),MATCH(Calculation!$G1112,'Gross Dx Plant'!$E$5:$AD$5,0))</f>
        <v>147378</v>
      </c>
      <c r="BX1112" s="113">
        <f>INDEX('Gross Gen Plant'!$E$7:$AD$91,MATCH($C1112,'Gross Gen Plant'!$D$7:$D$91,0),MATCH(Calculation!$G1112,'Gross Gen Plant'!$E$5:$AD$5,0))</f>
        <v>8143</v>
      </c>
      <c r="BY1112" s="113">
        <f t="shared" si="1999"/>
        <v>87779</v>
      </c>
      <c r="BZ1112" s="113"/>
      <c r="CA1112" s="116">
        <v>2007</v>
      </c>
      <c r="CB1112" s="113"/>
      <c r="CC1112" s="113"/>
      <c r="CD1112" s="113"/>
      <c r="CE1112" s="175"/>
      <c r="CF1112" s="113">
        <f t="shared" si="2013"/>
        <v>6601</v>
      </c>
      <c r="CG1112" s="113">
        <f t="shared" si="2014"/>
        <v>13.25442614689694</v>
      </c>
      <c r="CH1112" s="178">
        <v>0.94915254237288138</v>
      </c>
      <c r="CI1112" s="61">
        <f>+CI1103*CH1112+CG1104*CH1111+CG1105*CH1110+CG1106*CH1109+CG1107*CH1108+CG1108*CH1107+CG1109*CH1106+CG1110*CH1105+CG1111*CH1104+CG1112</f>
        <v>440.32287786733889</v>
      </c>
      <c r="CJ1112" s="114">
        <f t="shared" si="2015"/>
        <v>2.4168093230859316E-2</v>
      </c>
      <c r="CK1112" s="114"/>
      <c r="CL1112" s="169">
        <f t="shared" si="2016"/>
        <v>6.3754590136126587E-3</v>
      </c>
      <c r="CM1112" s="169">
        <f t="shared" si="2024"/>
        <v>6.1912708367022132E-3</v>
      </c>
      <c r="CN1112" s="114">
        <f>VLOOKUP($H1112,RoR!$E:$F,2,FALSE)</f>
        <v>5.5558333333333321E-2</v>
      </c>
      <c r="CO1112" s="169">
        <v>2.691120634145272E-2</v>
      </c>
      <c r="CP1112" s="169">
        <f t="shared" si="2022"/>
        <v>2.86471269918806E-2</v>
      </c>
      <c r="CQ1112" s="169">
        <f t="shared" si="2025"/>
        <v>2.4710670771831412E-2</v>
      </c>
      <c r="CR1112" s="169">
        <f t="shared" si="2026"/>
        <v>6.4575155250632399E-2</v>
      </c>
      <c r="CS1112" s="179">
        <f t="shared" si="2017"/>
        <v>0.87050000000000005</v>
      </c>
      <c r="CT1112" s="180">
        <f t="shared" si="2018"/>
        <v>0.92303077153834634</v>
      </c>
      <c r="CU1112" s="180">
        <f t="shared" si="2019"/>
        <v>0.52502249887505614</v>
      </c>
      <c r="CV1112" s="180">
        <f t="shared" si="2020"/>
        <v>0.88499666072084604</v>
      </c>
      <c r="CW1112" s="180">
        <f t="shared" si="2021"/>
        <v>0.42887993290280618</v>
      </c>
      <c r="CX1112" s="181">
        <f>INDEX('State Tax Lookup'!$D$7:$Z$91,MATCH(Calculation!$C1112,'State Tax Lookup'!$B$7:$B$91,0),MATCH($H1112,'State Tax Lookup'!$D$6:$Z$6,0))</f>
        <v>0.35</v>
      </c>
      <c r="CY1112" s="72">
        <v>0.37</v>
      </c>
      <c r="CZ1112" s="70">
        <f t="shared" si="2023"/>
        <v>16.394716189467143</v>
      </c>
      <c r="DA1112" s="70">
        <v>16.108943221861779</v>
      </c>
      <c r="DB1112" s="69">
        <f t="shared" si="2027"/>
        <v>7.1229635040999578E-2</v>
      </c>
      <c r="DC1112" s="111">
        <f>VLOOKUP($H1112,RoR!$E:$F,2,FALSE)</f>
        <v>5.5558333333333321E-2</v>
      </c>
      <c r="DD1112" s="216">
        <f>HLOOKUP($H1112,'GDP-PI'!$D$8:$CQ$11,3,FALSE)</f>
        <v>2.691120634145272E-2</v>
      </c>
      <c r="DE1112" s="111">
        <f>VLOOKUP(H1112,'HW Dx Data'!$E:$F,2,FALSE)</f>
        <v>498.0223154772637</v>
      </c>
      <c r="DF1112" s="72">
        <f t="shared" si="2037"/>
        <v>104.52499999999999</v>
      </c>
      <c r="DG1112" s="69">
        <f t="shared" si="2038"/>
        <v>-4.5584612745252218E-2</v>
      </c>
      <c r="DH1112" s="66">
        <f>HLOOKUP(H1112,'GDP-PI'!$8:$9,2,FALSE)</f>
        <v>92.498000000000005</v>
      </c>
      <c r="DI1112" s="69">
        <f t="shared" si="2028"/>
        <v>2.6555467950038037E-2</v>
      </c>
    </row>
    <row r="1113" spans="1:113" s="160" customFormat="1" ht="21">
      <c r="A1113" s="160" t="s">
        <v>226</v>
      </c>
      <c r="B1113" s="160" t="s">
        <v>226</v>
      </c>
      <c r="C1113" s="160">
        <v>4057100</v>
      </c>
      <c r="D1113" s="161" t="s">
        <v>227</v>
      </c>
      <c r="E1113" s="161"/>
      <c r="F1113" s="189"/>
      <c r="G1113" s="160" t="s">
        <v>120</v>
      </c>
      <c r="H1113" s="162">
        <v>2008</v>
      </c>
      <c r="I1113" s="163"/>
      <c r="J1113" s="159">
        <f>IFERROR(INDEX('Labor Expenditures'!$F$7:$X$91,MATCH($C1113,'Labor Expenditures'!$D$7:$D$91,0),MATCH($G1113,'Labor Expenditures'!$F$5:$X$5,0)),"NA")</f>
        <v>7048.922127048053</v>
      </c>
      <c r="K1113" s="159">
        <f t="shared" si="2029"/>
        <v>65.328286626951368</v>
      </c>
      <c r="L1113" s="165">
        <f t="shared" si="2035"/>
        <v>1.8017475773593514E-2</v>
      </c>
      <c r="M1113" s="76">
        <f t="shared" si="2039"/>
        <v>5.1023669091777076E-5</v>
      </c>
      <c r="N1113" s="62">
        <f t="shared" si="2045"/>
        <v>113.85649388541701</v>
      </c>
      <c r="O1113" s="96">
        <f t="shared" si="2040"/>
        <v>-5.1924653719772763E-2</v>
      </c>
      <c r="P1113" s="96"/>
      <c r="Q1113" s="159">
        <f>IFERROR(INDEX('Non-Labor Expenditures'!$F$7:$AB$91,MATCH($C1113,'Non-Labor Expenditures'!$D$7:$D$91,0),MATCH($G1113,'Non-Labor Expenditures'!$F$5:$AB$5,0)),"NA")</f>
        <v>10208.1557970137</v>
      </c>
      <c r="R1113" s="159">
        <f t="shared" si="2030"/>
        <v>108.29325932502016</v>
      </c>
      <c r="S1113" s="165">
        <f t="shared" si="2041"/>
        <v>3.0883737047021839E-2</v>
      </c>
      <c r="T1113" s="165">
        <f t="shared" si="2042"/>
        <v>8.7459619716220185E-5</v>
      </c>
      <c r="U1113" s="165"/>
      <c r="V1113" s="165"/>
      <c r="W1113" s="159">
        <f t="shared" si="2011"/>
        <v>8198.8162101657235</v>
      </c>
      <c r="X1113" s="163"/>
      <c r="Y1113" s="167">
        <v>453.80461474321373</v>
      </c>
      <c r="Z1113" s="168">
        <v>3.0158470268645463E-2</v>
      </c>
      <c r="AA1113" s="76">
        <f t="shared" si="2031"/>
        <v>8.5405737553804787E-5</v>
      </c>
      <c r="AB1113" s="168"/>
      <c r="AC1113" s="168"/>
      <c r="AD1113" s="163">
        <f t="shared" si="2005"/>
        <v>25455.894134227477</v>
      </c>
      <c r="AE1113" s="168">
        <f t="shared" si="2043"/>
        <v>8.1421188761166163E-2</v>
      </c>
      <c r="AF1113" s="163"/>
      <c r="AG1113" s="163"/>
      <c r="AH1113" s="163"/>
      <c r="AI1113" s="163"/>
      <c r="AJ1113" s="116">
        <f t="shared" si="2044"/>
        <v>229.04555677329719</v>
      </c>
      <c r="AK1113" s="114">
        <f>+AV1113/$AX$13</f>
        <v>3.1634343547450958E-3</v>
      </c>
      <c r="AL1113" s="115">
        <f t="shared" si="2032"/>
        <v>0.27690726909373087</v>
      </c>
      <c r="AM1113" s="115">
        <f t="shared" si="2033"/>
        <v>0.40101344479147644</v>
      </c>
      <c r="AN1113" s="115">
        <f t="shared" si="2034"/>
        <v>0.32207928611479264</v>
      </c>
      <c r="AO1113" s="115">
        <f t="shared" si="2036"/>
        <v>2.7038044564655479E-2</v>
      </c>
      <c r="AP1113" s="166">
        <f t="shared" ref="AP1113:AP1126" si="2047">+AP1112*EXP(AO1113)</f>
        <v>102.51448476802143</v>
      </c>
      <c r="AQ1113" s="168">
        <f t="shared" ref="AQ1113:AQ1126" si="2048">LN(AP1113/AP1112)</f>
        <v>2.703804456465542E-2</v>
      </c>
      <c r="AR1113" s="69">
        <f>+AD1113/$AF$13</f>
        <v>2.83189885935951E-3</v>
      </c>
      <c r="AS1113" s="169">
        <f t="shared" si="2046"/>
        <v>7.6569007561959283E-5</v>
      </c>
      <c r="AT1113" s="115"/>
      <c r="AU1113" s="115"/>
      <c r="AV1113" s="113">
        <f>IFERROR(INDEX('Total Customers'!$F$7:$AB$91,MATCH($C1113,'Total Customers'!$D$7:$D$91,0),MATCH($G1113,'Total Customers'!$F$5:$AB$5,0)),"NA")</f>
        <v>111139</v>
      </c>
      <c r="AW1113" s="68">
        <f t="shared" si="2004"/>
        <v>-5.1961688684461849E-3</v>
      </c>
      <c r="AX1113" s="114"/>
      <c r="AY1113" s="114"/>
      <c r="AZ1113" s="116"/>
      <c r="BA1113" s="116"/>
      <c r="BB1113" s="166"/>
      <c r="BC1113" s="166"/>
      <c r="BD1113" s="166"/>
      <c r="BE1113" s="166"/>
      <c r="BF1113" s="166"/>
      <c r="BG1113" s="166"/>
      <c r="BH1113" s="166"/>
      <c r="BI1113" s="113"/>
      <c r="BJ1113" s="113"/>
      <c r="BK1113" s="113">
        <f>INDEX('Dist. Plant Gas Additions'!$F$7:$AE$91,MATCH($C1113,'Dist. Plant Gas Additions'!$D$7:$D$91,0),MATCH(Calculation!$G1113,'Dist. Plant Gas Additions'!$F$5:$AE$5,0))</f>
        <v>8705</v>
      </c>
      <c r="BL1113" s="113">
        <f>INDEX('Gen. Plant Additions'!$F$7:$AE$91,MATCH($C1113,'Gen. Plant Additions'!$D$7:$D$91,0),MATCH(Calculation!$G1113,'Gen. Plant Additions'!$F$5:$AE$5,0))</f>
        <v>630</v>
      </c>
      <c r="BM1113" s="231">
        <f t="shared" si="2012"/>
        <v>0.94620965417425595</v>
      </c>
      <c r="BN1113" s="61">
        <f t="shared" si="2006"/>
        <v>596.11208212978124</v>
      </c>
      <c r="BO1113" s="113">
        <f>INDEX('Dist Plant Depreciation'!$E$7:$AD$94,MATCH($C1113,'Dist Plant Depreciation'!$D$7:$D$94,0),MATCH(Calculation!$G1113,'Dist Plant Depreciation'!$E$5:$AD$5,0))</f>
        <v>65386</v>
      </c>
      <c r="BP1113" s="113">
        <f>INDEX('Gen. Plant Depreciation'!$E$7:$AD$94,MATCH($C1113,'Gen. Plant Depreciation'!$D$7:$D$94,0),MATCH(Calculation!$G1113,'Gen. Plant Depreciation'!$E$5:$AD$5,0))</f>
        <v>5141</v>
      </c>
      <c r="BQ1113" s="113"/>
      <c r="BR1113" s="113"/>
      <c r="BS1113" s="113"/>
      <c r="BT1113" s="113"/>
      <c r="BU1113" s="113"/>
      <c r="BV1113" s="175"/>
      <c r="BW1113" s="113">
        <f>INDEX('Gross Dx Plant'!$E$7:$AD$91,MATCH($C1113,'Gross Dx Plant'!$D$7:$D$91,0),MATCH(Calculation!$G1113,'Gross Dx Plant'!$E$5:$AD$5,0))</f>
        <v>154288</v>
      </c>
      <c r="BX1113" s="113">
        <f>INDEX('Gross Gen Plant'!$E$7:$AD$91,MATCH($C1113,'Gross Gen Plant'!$D$7:$D$91,0),MATCH(Calculation!$G1113,'Gross Gen Plant'!$E$5:$AD$5,0))</f>
        <v>8771</v>
      </c>
      <c r="BY1113" s="113">
        <f t="shared" si="1999"/>
        <v>92532</v>
      </c>
      <c r="BZ1113" s="113"/>
      <c r="CA1113" s="116">
        <v>2008</v>
      </c>
      <c r="CB1113" s="113"/>
      <c r="CC1113" s="113"/>
      <c r="CD1113" s="113"/>
      <c r="CE1113" s="175"/>
      <c r="CF1113" s="113">
        <f t="shared" si="2013"/>
        <v>9335</v>
      </c>
      <c r="CG1113" s="113">
        <f t="shared" si="2014"/>
        <v>16.380606949954142</v>
      </c>
      <c r="CH1113" s="178">
        <v>0.94252873563218387</v>
      </c>
      <c r="CI1113" s="61">
        <f>+CI1103*CH1113+CG1104*CH1112+CG1105*CH1111+CG1106*CH1110+CG1107*CH1109+CG1108*CH1108+CG1109*CH1107+CG1110*CH1106+CG1111*CH1105+CG1112*CH1104+CG1113</f>
        <v>453.80461474321373</v>
      </c>
      <c r="CJ1113" s="114">
        <f t="shared" si="2015"/>
        <v>3.0158470268645463E-2</v>
      </c>
      <c r="CK1113" s="114"/>
      <c r="CL1113" s="169">
        <f t="shared" si="2016"/>
        <v>6.5835100100174069E-3</v>
      </c>
      <c r="CM1113" s="169">
        <f t="shared" si="2024"/>
        <v>6.3836009503214037E-3</v>
      </c>
      <c r="CN1113" s="114">
        <f>VLOOKUP($H1113,RoR!$E:$F,2,FALSE)</f>
        <v>5.6316666666666668E-2</v>
      </c>
      <c r="CO1113" s="169">
        <v>1.9092304698479889E-2</v>
      </c>
      <c r="CP1113" s="169">
        <f t="shared" si="2022"/>
        <v>3.7224361968186778E-2</v>
      </c>
      <c r="CQ1113" s="169">
        <f t="shared" si="2025"/>
        <v>2.451834065821222E-2</v>
      </c>
      <c r="CR1113" s="169">
        <f t="shared" si="2026"/>
        <v>6.9030581091053131E-2</v>
      </c>
      <c r="CS1113" s="179">
        <f t="shared" si="2017"/>
        <v>0.87050000000000005</v>
      </c>
      <c r="CT1113" s="180">
        <f t="shared" si="2018"/>
        <v>0.91060168006009956</v>
      </c>
      <c r="CU1113" s="180">
        <f t="shared" si="2019"/>
        <v>0.53108168097070152</v>
      </c>
      <c r="CV1113" s="180">
        <f t="shared" si="2020"/>
        <v>0.88825329850328805</v>
      </c>
      <c r="CW1113" s="180">
        <f t="shared" si="2021"/>
        <v>0.4295627335323573</v>
      </c>
      <c r="CX1113" s="181">
        <f>INDEX('State Tax Lookup'!$D$7:$Z$91,MATCH(Calculation!$C1113,'State Tax Lookup'!$B$7:$B$91,0),MATCH($H1113,'State Tax Lookup'!$D$6:$Z$6,0))</f>
        <v>0.35</v>
      </c>
      <c r="CY1113" s="72">
        <v>0.37</v>
      </c>
      <c r="CZ1113" s="70">
        <f t="shared" si="2023"/>
        <v>18.620009593587085</v>
      </c>
      <c r="DA1113" s="70">
        <v>18.300102035478151</v>
      </c>
      <c r="DB1113" s="69">
        <f t="shared" si="2027"/>
        <v>0.12727768773022963</v>
      </c>
      <c r="DC1113" s="111">
        <f>VLOOKUP($H1113,RoR!$E:$F,2,FALSE)</f>
        <v>5.6316666666666668E-2</v>
      </c>
      <c r="DD1113" s="216">
        <f>HLOOKUP($H1113,'GDP-PI'!$D$8:$CQ$11,3,FALSE)</f>
        <v>1.9092304698479889E-2</v>
      </c>
      <c r="DE1113" s="111">
        <f>VLOOKUP(H1113,'HW Dx Data'!$E:$F,2,FALSE)</f>
        <v>569.88120333515076</v>
      </c>
      <c r="DF1113" s="72">
        <f t="shared" si="2037"/>
        <v>107.9</v>
      </c>
      <c r="DG1113" s="69">
        <f t="shared" si="2038"/>
        <v>3.1778595021460486E-2</v>
      </c>
      <c r="DH1113" s="66">
        <f>HLOOKUP(H1113,'GDP-PI'!$8:$9,2,FALSE)</f>
        <v>94.263999999999996</v>
      </c>
      <c r="DI1113" s="69">
        <f t="shared" si="2028"/>
        <v>1.8912333748032254E-2</v>
      </c>
    </row>
    <row r="1114" spans="1:113" s="160" customFormat="1" ht="21">
      <c r="A1114" s="160" t="s">
        <v>226</v>
      </c>
      <c r="B1114" s="160" t="s">
        <v>226</v>
      </c>
      <c r="C1114" s="160">
        <v>4057100</v>
      </c>
      <c r="D1114" s="161" t="s">
        <v>227</v>
      </c>
      <c r="E1114" s="161"/>
      <c r="F1114" s="189"/>
      <c r="G1114" s="160" t="s">
        <v>125</v>
      </c>
      <c r="H1114" s="162">
        <v>2009</v>
      </c>
      <c r="I1114" s="163"/>
      <c r="J1114" s="159">
        <f>IFERROR(INDEX('Labor Expenditures'!$F$7:$X$91,MATCH($C1114,'Labor Expenditures'!$D$7:$D$91,0),MATCH($G1114,'Labor Expenditures'!$F$5:$X$5,0)),"NA")</f>
        <v>7588.0488369707928</v>
      </c>
      <c r="K1114" s="159">
        <f t="shared" si="2029"/>
        <v>68.407021293403588</v>
      </c>
      <c r="L1114" s="165">
        <f t="shared" si="2035"/>
        <v>4.6050347775687006E-2</v>
      </c>
      <c r="M1114" s="76">
        <f t="shared" si="2039"/>
        <v>1.3105116763468134E-4</v>
      </c>
      <c r="N1114" s="62">
        <f t="shared" si="2045"/>
        <v>116.53412490948419</v>
      </c>
      <c r="O1114" s="96">
        <f t="shared" si="2040"/>
        <v>2.3245317950206717E-2</v>
      </c>
      <c r="P1114" s="96"/>
      <c r="Q1114" s="159">
        <f>IFERROR(INDEX('Non-Labor Expenditures'!$F$7:$AB$91,MATCH($C1114,'Non-Labor Expenditures'!$D$7:$D$91,0),MATCH($G1114,'Non-Labor Expenditures'!$F$5:$AB$5,0)),"NA")</f>
        <v>10988.911967961423</v>
      </c>
      <c r="R1114" s="159">
        <f t="shared" si="2030"/>
        <v>115.67397517828002</v>
      </c>
      <c r="S1114" s="165">
        <f t="shared" si="2041"/>
        <v>6.5932763958261129E-2</v>
      </c>
      <c r="T1114" s="165">
        <f t="shared" si="2042"/>
        <v>1.8763301732704557E-4</v>
      </c>
      <c r="U1114" s="165"/>
      <c r="V1114" s="165"/>
      <c r="W1114" s="159">
        <f t="shared" si="2011"/>
        <v>8104.4417552391924</v>
      </c>
      <c r="X1114" s="163"/>
      <c r="Y1114" s="167">
        <v>467.36720576694449</v>
      </c>
      <c r="Z1114" s="168">
        <v>2.9448515136514128E-2</v>
      </c>
      <c r="AA1114" s="76">
        <f t="shared" si="2031"/>
        <v>8.3805280093570124E-5</v>
      </c>
      <c r="AB1114" s="168"/>
      <c r="AC1114" s="168"/>
      <c r="AD1114" s="163">
        <f t="shared" si="2005"/>
        <v>26681.402560171409</v>
      </c>
      <c r="AE1114" s="168">
        <f t="shared" si="2043"/>
        <v>4.7019476575314918E-2</v>
      </c>
      <c r="AF1114" s="163"/>
      <c r="AG1114" s="163"/>
      <c r="AH1114" s="163"/>
      <c r="AI1114" s="163"/>
      <c r="AJ1114" s="116">
        <f t="shared" si="2044"/>
        <v>241.03965526430227</v>
      </c>
      <c r="AK1114" s="114">
        <f>+AV1114/$AX$14</f>
        <v>3.1467230364642129E-3</v>
      </c>
      <c r="AL1114" s="115">
        <f t="shared" si="2032"/>
        <v>0.28439467602418445</v>
      </c>
      <c r="AM1114" s="115">
        <f t="shared" si="2033"/>
        <v>0.41185660848148559</v>
      </c>
      <c r="AN1114" s="115">
        <f t="shared" si="2034"/>
        <v>0.30374871549432997</v>
      </c>
      <c r="AO1114" s="115">
        <f t="shared" si="2036"/>
        <v>4.8936312254637786E-2</v>
      </c>
      <c r="AP1114" s="166">
        <f t="shared" si="2047"/>
        <v>107.65594156647371</v>
      </c>
      <c r="AQ1114" s="168">
        <f t="shared" si="2048"/>
        <v>4.8936312254637848E-2</v>
      </c>
      <c r="AR1114" s="69">
        <f>+AD1114/$AF$14</f>
        <v>2.8458236248950072E-3</v>
      </c>
      <c r="AS1114" s="169">
        <f t="shared" si="2046"/>
        <v>1.3926411352948743E-4</v>
      </c>
      <c r="AT1114" s="115"/>
      <c r="AU1114" s="115"/>
      <c r="AV1114" s="113">
        <f>IFERROR(INDEX('Total Customers'!$F$7:$AB$91,MATCH($C1114,'Total Customers'!$D$7:$D$91,0),MATCH($G1114,'Total Customers'!$F$5:$AB$5,0)),"NA")</f>
        <v>110693</v>
      </c>
      <c r="AW1114" s="68">
        <f t="shared" si="2004"/>
        <v>-4.021066401121101E-3</v>
      </c>
      <c r="AX1114" s="114"/>
      <c r="AY1114" s="114"/>
      <c r="AZ1114" s="116"/>
      <c r="BA1114" s="116"/>
      <c r="BB1114" s="166"/>
      <c r="BC1114" s="166"/>
      <c r="BD1114" s="166"/>
      <c r="BE1114" s="166"/>
      <c r="BF1114" s="166"/>
      <c r="BG1114" s="166"/>
      <c r="BH1114" s="166"/>
      <c r="BI1114" s="113"/>
      <c r="BJ1114" s="113"/>
      <c r="BK1114" s="113">
        <f>INDEX('Dist. Plant Gas Additions'!$F$7:$AE$91,MATCH($C1114,'Dist. Plant Gas Additions'!$D$7:$D$91,0),MATCH(Calculation!$G1114,'Dist. Plant Gas Additions'!$F$5:$AE$5,0))</f>
        <v>7915</v>
      </c>
      <c r="BL1114" s="113">
        <f>INDEX('Gen. Plant Additions'!$F$7:$AE$91,MATCH($C1114,'Gen. Plant Additions'!$D$7:$D$91,0),MATCH(Calculation!$G1114,'Gen. Plant Additions'!$F$5:$AE$5,0))</f>
        <v>1254</v>
      </c>
      <c r="BM1114" s="231">
        <f t="shared" si="2012"/>
        <v>0.94179227535592358</v>
      </c>
      <c r="BN1114" s="61">
        <f t="shared" si="2006"/>
        <v>1181.0075132963282</v>
      </c>
      <c r="BO1114" s="113">
        <f>INDEX('Dist Plant Depreciation'!$E$7:$AD$94,MATCH($C1114,'Dist Plant Depreciation'!$D$7:$D$94,0),MATCH(Calculation!$G1114,'Dist Plant Depreciation'!$E$5:$AD$5,0))</f>
        <v>68167</v>
      </c>
      <c r="BP1114" s="113">
        <f>INDEX('Gen. Plant Depreciation'!$E$7:$AD$94,MATCH($C1114,'Gen. Plant Depreciation'!$D$7:$D$94,0),MATCH(Calculation!$G1114,'Gen. Plant Depreciation'!$E$5:$AD$5,0))</f>
        <v>5436</v>
      </c>
      <c r="BQ1114" s="113"/>
      <c r="BR1114" s="113"/>
      <c r="BS1114" s="113"/>
      <c r="BT1114" s="113"/>
      <c r="BU1114" s="113"/>
      <c r="BV1114" s="175"/>
      <c r="BW1114" s="113">
        <f>INDEX('Gross Dx Plant'!$E$7:$AD$91,MATCH($C1114,'Gross Dx Plant'!$D$7:$D$91,0),MATCH(Calculation!$G1114,'Gross Dx Plant'!$E$5:$AD$5,0))</f>
        <v>162203</v>
      </c>
      <c r="BX1114" s="113">
        <f>INDEX('Gross Gen Plant'!$E$7:$AD$91,MATCH($C1114,'Gross Gen Plant'!$D$7:$D$91,0),MATCH(Calculation!$G1114,'Gross Gen Plant'!$E$5:$AD$5,0))</f>
        <v>10025</v>
      </c>
      <c r="BY1114" s="113">
        <f t="shared" si="1999"/>
        <v>98625</v>
      </c>
      <c r="BZ1114" s="113"/>
      <c r="CA1114" s="116">
        <v>2009</v>
      </c>
      <c r="CB1114" s="113"/>
      <c r="CC1114" s="113"/>
      <c r="CD1114" s="113"/>
      <c r="CE1114" s="175"/>
      <c r="CF1114" s="113">
        <f t="shared" si="2013"/>
        <v>9169</v>
      </c>
      <c r="CG1114" s="113">
        <f t="shared" si="2014"/>
        <v>16.642446368281984</v>
      </c>
      <c r="CH1114" s="178">
        <v>0.93567251461988299</v>
      </c>
      <c r="CI1114" s="61">
        <f>+CI1103*CH1114+CG1104*CH1113+CG1105*CH1112+CG1106*CH1111+CG1107*CH1110+CG1108*CH1109+CG1109*CH1108+CG1110*CH1107+CG1111*CH1106+CG1112*CH1105+CG1113*CH1104+CG1114</f>
        <v>467.36720576694449</v>
      </c>
      <c r="CJ1114" s="114">
        <f t="shared" si="2015"/>
        <v>2.9448515136514128E-2</v>
      </c>
      <c r="CK1114" s="114"/>
      <c r="CL1114" s="169">
        <f t="shared" si="2016"/>
        <v>6.7867431147520738E-3</v>
      </c>
      <c r="CM1114" s="169">
        <f t="shared" si="2024"/>
        <v>6.5819040461273801E-3</v>
      </c>
      <c r="CN1114" s="114">
        <f>VLOOKUP($H1114,RoR!$E:$F,2,FALSE)</f>
        <v>5.3133333333333324E-2</v>
      </c>
      <c r="CO1114" s="169">
        <v>7.7972502758210105E-3</v>
      </c>
      <c r="CP1114" s="169">
        <f t="shared" si="2022"/>
        <v>4.5336083057512314E-2</v>
      </c>
      <c r="CQ1114" s="169">
        <f t="shared" si="2025"/>
        <v>2.4320037562406246E-2</v>
      </c>
      <c r="CR1114" s="169">
        <f t="shared" si="2026"/>
        <v>6.3720160300892073E-2</v>
      </c>
      <c r="CS1114" s="179">
        <f t="shared" si="2017"/>
        <v>0.87050000000000005</v>
      </c>
      <c r="CT1114" s="180">
        <f t="shared" si="2018"/>
        <v>0.96515780330083989</v>
      </c>
      <c r="CU1114" s="180">
        <f t="shared" si="2019"/>
        <v>0.50448557089084056</v>
      </c>
      <c r="CV1114" s="180">
        <f t="shared" si="2020"/>
        <v>0.87391435735465484</v>
      </c>
      <c r="CW1114" s="180">
        <f t="shared" si="2021"/>
        <v>0.42551605393279146</v>
      </c>
      <c r="CX1114" s="181">
        <f>INDEX('State Tax Lookup'!$D$7:$Z$91,MATCH(Calculation!$C1114,'State Tax Lookup'!$B$7:$B$91,0),MATCH($H1114,'State Tax Lookup'!$D$6:$Z$6,0))</f>
        <v>0.35</v>
      </c>
      <c r="CY1114" s="72">
        <v>0.37</v>
      </c>
      <c r="CZ1114" s="70">
        <f t="shared" si="2023"/>
        <v>17.858879112159553</v>
      </c>
      <c r="DA1114" s="70">
        <v>17.478615056163342</v>
      </c>
      <c r="DB1114" s="69">
        <f t="shared" si="2027"/>
        <v>-4.1735973277663735E-2</v>
      </c>
      <c r="DC1114" s="111">
        <f>VLOOKUP($H1114,RoR!$E:$F,2,FALSE)</f>
        <v>5.3133333333333324E-2</v>
      </c>
      <c r="DD1114" s="216">
        <f>HLOOKUP($H1114,'GDP-PI'!$D$8:$CQ$11,3,FALSE)</f>
        <v>7.7972502758210105E-3</v>
      </c>
      <c r="DE1114" s="111">
        <f>VLOOKUP(H1114,'HW Dx Data'!$E:$F,2,FALSE)</f>
        <v>550.94063679692806</v>
      </c>
      <c r="DF1114" s="72">
        <f t="shared" si="2037"/>
        <v>110.925</v>
      </c>
      <c r="DG1114" s="69">
        <f t="shared" si="2038"/>
        <v>2.7649425000884052E-2</v>
      </c>
      <c r="DH1114" s="66">
        <f>HLOOKUP(H1114,'GDP-PI'!$8:$9,2,FALSE)</f>
        <v>94.998999999999995</v>
      </c>
      <c r="DI1114" s="69">
        <f t="shared" si="2028"/>
        <v>7.7670088183096342E-3</v>
      </c>
    </row>
    <row r="1115" spans="1:113" s="160" customFormat="1" ht="21">
      <c r="A1115" s="160" t="s">
        <v>226</v>
      </c>
      <c r="B1115" s="160" t="s">
        <v>226</v>
      </c>
      <c r="C1115" s="160">
        <v>4057100</v>
      </c>
      <c r="D1115" s="161" t="s">
        <v>227</v>
      </c>
      <c r="E1115" s="161"/>
      <c r="F1115" s="189"/>
      <c r="G1115" s="160" t="s">
        <v>126</v>
      </c>
      <c r="H1115" s="162">
        <v>2010</v>
      </c>
      <c r="I1115" s="163"/>
      <c r="J1115" s="159">
        <f>IFERROR(INDEX('Labor Expenditures'!$F$7:$X$91,MATCH($C1115,'Labor Expenditures'!$D$7:$D$91,0),MATCH($G1115,'Labor Expenditures'!$F$5:$X$5,0)),"NA")</f>
        <v>8900.7405034214189</v>
      </c>
      <c r="K1115" s="159">
        <f t="shared" si="2029"/>
        <v>76.123502274290516</v>
      </c>
      <c r="L1115" s="165">
        <f t="shared" si="2035"/>
        <v>0.10688158143009388</v>
      </c>
      <c r="M1115" s="76">
        <f t="shared" si="2039"/>
        <v>3.3377706161460475E-4</v>
      </c>
      <c r="N1115" s="62">
        <f t="shared" si="2045"/>
        <v>97.868359765735221</v>
      </c>
      <c r="O1115" s="96">
        <f t="shared" si="2040"/>
        <v>-0.17456083981051493</v>
      </c>
      <c r="P1115" s="96"/>
      <c r="Q1115" s="159">
        <f>IFERROR(INDEX('Non-Labor Expenditures'!$F$7:$AB$91,MATCH($C1115,'Non-Labor Expenditures'!$D$7:$D$91,0),MATCH($G1115,'Non-Labor Expenditures'!$F$5:$AB$5,0)),"NA")</f>
        <v>12889.934677965635</v>
      </c>
      <c r="R1115" s="159">
        <f t="shared" si="2030"/>
        <v>134.11787322691563</v>
      </c>
      <c r="S1115" s="165">
        <f t="shared" si="2041"/>
        <v>0.14794338896992043</v>
      </c>
      <c r="T1115" s="165">
        <f t="shared" si="2042"/>
        <v>4.6200766301332963E-4</v>
      </c>
      <c r="U1115" s="165"/>
      <c r="V1115" s="165"/>
      <c r="W1115" s="159">
        <f t="shared" si="2011"/>
        <v>8557.5771901788012</v>
      </c>
      <c r="X1115" s="163"/>
      <c r="Y1115" s="167">
        <v>476.88846995865737</v>
      </c>
      <c r="Z1115" s="168">
        <v>2.0167391405948077E-2</v>
      </c>
      <c r="AA1115" s="76">
        <f t="shared" si="2031"/>
        <v>6.2980099600338295E-5</v>
      </c>
      <c r="AB1115" s="168"/>
      <c r="AC1115" s="168"/>
      <c r="AD1115" s="163">
        <f t="shared" si="2005"/>
        <v>30348.252371565854</v>
      </c>
      <c r="AE1115" s="168">
        <f t="shared" si="2043"/>
        <v>0.12877214397484729</v>
      </c>
      <c r="AF1115" s="163"/>
      <c r="AG1115" s="163"/>
      <c r="AH1115" s="163"/>
      <c r="AI1115" s="163"/>
      <c r="AJ1115" s="116">
        <f t="shared" si="2044"/>
        <v>274.26754483936895</v>
      </c>
      <c r="AK1115" s="114">
        <f>+AV1115/$AX$15</f>
        <v>3.1283468677713948E-3</v>
      </c>
      <c r="AL1115" s="115">
        <f t="shared" si="2032"/>
        <v>0.29328675649741126</v>
      </c>
      <c r="AM1115" s="115">
        <f t="shared" si="2033"/>
        <v>0.42473400181825904</v>
      </c>
      <c r="AN1115" s="115">
        <f t="shared" si="2034"/>
        <v>0.28197924168432975</v>
      </c>
      <c r="AO1115" s="115">
        <f t="shared" si="2036"/>
        <v>9.8662080054348442E-2</v>
      </c>
      <c r="AP1115" s="166">
        <f t="shared" si="2047"/>
        <v>118.81913888913168</v>
      </c>
      <c r="AQ1115" s="168">
        <f t="shared" si="2048"/>
        <v>9.86620800543484E-2</v>
      </c>
      <c r="AR1115" s="69">
        <f>+AD1115/$AF$15</f>
        <v>3.1228679174522909E-3</v>
      </c>
      <c r="AS1115" s="169">
        <f t="shared" si="2046"/>
        <v>3.081086444708342E-4</v>
      </c>
      <c r="AT1115" s="115"/>
      <c r="AU1115" s="115"/>
      <c r="AV1115" s="113">
        <f>IFERROR(INDEX('Total Customers'!$F$7:$AB$91,MATCH($C1115,'Total Customers'!$D$7:$D$91,0),MATCH($G1115,'Total Customers'!$F$5:$AB$5,0)),"NA")</f>
        <v>110652</v>
      </c>
      <c r="AW1115" s="68">
        <f t="shared" si="2004"/>
        <v>-3.7046240456219853E-4</v>
      </c>
      <c r="AX1115" s="114"/>
      <c r="AY1115" s="114"/>
      <c r="AZ1115" s="116"/>
      <c r="BA1115" s="116"/>
      <c r="BB1115" s="166"/>
      <c r="BC1115" s="166"/>
      <c r="BD1115" s="166"/>
      <c r="BE1115" s="166"/>
      <c r="BF1115" s="166"/>
      <c r="BG1115" s="166"/>
      <c r="BH1115" s="166"/>
      <c r="BI1115" s="113"/>
      <c r="BJ1115" s="113"/>
      <c r="BK1115" s="113">
        <f>INDEX('Dist. Plant Gas Additions'!$F$7:$AE$91,MATCH($C1115,'Dist. Plant Gas Additions'!$D$7:$D$91,0),MATCH(Calculation!$G1115,'Dist. Plant Gas Additions'!$F$5:$AE$5,0))</f>
        <v>6739</v>
      </c>
      <c r="BL1115" s="113">
        <f>INDEX('Gen. Plant Additions'!$F$7:$AE$91,MATCH($C1115,'Gen. Plant Additions'!$D$7:$D$91,0),MATCH(Calculation!$G1115,'Gen. Plant Additions'!$F$5:$AE$5,0))</f>
        <v>539</v>
      </c>
      <c r="BM1115" s="231">
        <f t="shared" si="2012"/>
        <v>0.94079861889601368</v>
      </c>
      <c r="BN1115" s="61">
        <f t="shared" si="2006"/>
        <v>507.09045558495137</v>
      </c>
      <c r="BO1115" s="113">
        <f>INDEX('Dist Plant Depreciation'!$E$7:$AD$94,MATCH($C1115,'Dist Plant Depreciation'!$D$7:$D$94,0),MATCH(Calculation!$G1115,'Dist Plant Depreciation'!$E$5:$AD$5,0))</f>
        <v>71320</v>
      </c>
      <c r="BP1115" s="113">
        <f>INDEX('Gen. Plant Depreciation'!$E$7:$AD$94,MATCH($C1115,'Gen. Plant Depreciation'!$D$7:$D$94,0),MATCH(Calculation!$G1115,'Gen. Plant Depreciation'!$E$5:$AD$5,0))</f>
        <v>5988</v>
      </c>
      <c r="BQ1115" s="113"/>
      <c r="BR1115" s="113"/>
      <c r="BS1115" s="113"/>
      <c r="BT1115" s="113"/>
      <c r="BU1115" s="113"/>
      <c r="BV1115" s="175"/>
      <c r="BW1115" s="113">
        <f>INDEX('Gross Dx Plant'!$E$7:$AD$91,MATCH($C1115,'Gross Dx Plant'!$D$7:$D$91,0),MATCH(Calculation!$G1115,'Gross Dx Plant'!$E$5:$AD$5,0))</f>
        <v>167846</v>
      </c>
      <c r="BX1115" s="113">
        <f>INDEX('Gross Gen Plant'!$E$7:$AD$91,MATCH($C1115,'Gross Gen Plant'!$D$7:$D$91,0),MATCH(Calculation!$G1115,'Gross Gen Plant'!$E$5:$AD$5,0))</f>
        <v>10562</v>
      </c>
      <c r="BY1115" s="113">
        <f t="shared" si="1999"/>
        <v>101100</v>
      </c>
      <c r="BZ1115" s="113"/>
      <c r="CA1115" s="116">
        <v>2010</v>
      </c>
      <c r="CB1115" s="113"/>
      <c r="CC1115" s="113"/>
      <c r="CD1115" s="113"/>
      <c r="CE1115" s="175"/>
      <c r="CF1115" s="113">
        <f t="shared" si="2013"/>
        <v>7278</v>
      </c>
      <c r="CG1115" s="113">
        <f t="shared" si="2014"/>
        <v>12.791097140391921</v>
      </c>
      <c r="CH1115" s="178">
        <v>0.9285714285714286</v>
      </c>
      <c r="CI1115" s="61">
        <f>+CI1103*CH1115+CG1104*CH1114+CG1105*CH1113+CG1106*CH1112+CG1107*CH1111+CG1108*CH1110+CG1109*CH1109+CG1110*CH1108+CG1111*CH1107+CG1112*CH1106+CG1113*CH1105+CG1114*CH1104+CG1115</f>
        <v>476.88846995865737</v>
      </c>
      <c r="CJ1115" s="114">
        <f t="shared" si="2015"/>
        <v>2.0167391405948077E-2</v>
      </c>
      <c r="CK1115" s="114"/>
      <c r="CL1115" s="169">
        <f t="shared" si="2016"/>
        <v>6.9962823842406466E-3</v>
      </c>
      <c r="CM1115" s="169">
        <f t="shared" si="2024"/>
        <v>6.7888451696700427E-3</v>
      </c>
      <c r="CN1115" s="114">
        <f>VLOOKUP($H1115,RoR!$E:$F,2,FALSE)</f>
        <v>4.9433333333333322E-2</v>
      </c>
      <c r="CO1115" s="169">
        <v>1.1684333519300205E-2</v>
      </c>
      <c r="CP1115" s="169">
        <f t="shared" si="2022"/>
        <v>3.7748999814033117E-2</v>
      </c>
      <c r="CQ1115" s="169">
        <f t="shared" si="2025"/>
        <v>2.4113096438863581E-2</v>
      </c>
      <c r="CR1115" s="169">
        <f t="shared" si="2026"/>
        <v>4.7937530248493419E-2</v>
      </c>
      <c r="CS1115" s="179">
        <f t="shared" si="2017"/>
        <v>0.87050000000000005</v>
      </c>
      <c r="CT1115" s="180">
        <f t="shared" si="2018"/>
        <v>1.037398205301105</v>
      </c>
      <c r="CU1115" s="180">
        <f t="shared" si="2019"/>
        <v>0.46926837491571133</v>
      </c>
      <c r="CV1115" s="180">
        <f t="shared" si="2020"/>
        <v>0.8548537519972772</v>
      </c>
      <c r="CW1115" s="180">
        <f t="shared" si="2021"/>
        <v>0.41615833911547367</v>
      </c>
      <c r="CX1115" s="181">
        <f>INDEX('State Tax Lookup'!$D$7:$Z$91,MATCH(Calculation!$C1115,'State Tax Lookup'!$B$7:$B$91,0),MATCH($H1115,'State Tax Lookup'!$D$6:$Z$6,0))</f>
        <v>0.35</v>
      </c>
      <c r="CY1115" s="72">
        <v>0.37</v>
      </c>
      <c r="CZ1115" s="70">
        <f t="shared" si="2023"/>
        <v>18.310178986854481</v>
      </c>
      <c r="DA1115" s="70">
        <v>17.956102603965455</v>
      </c>
      <c r="DB1115" s="69">
        <f t="shared" si="2027"/>
        <v>2.4956320197978919E-2</v>
      </c>
      <c r="DC1115" s="111">
        <f>VLOOKUP($H1115,RoR!$E:$F,2,FALSE)</f>
        <v>4.9433333333333322E-2</v>
      </c>
      <c r="DD1115" s="216">
        <f>HLOOKUP($H1115,'GDP-PI'!$D$8:$CQ$11,3,FALSE)</f>
        <v>1.1684333519300205E-2</v>
      </c>
      <c r="DE1115" s="111">
        <f>VLOOKUP(H1115,'HW Dx Data'!$E:$F,2,FALSE)</f>
        <v>568.98950262971744</v>
      </c>
      <c r="DF1115" s="72">
        <f t="shared" si="2037"/>
        <v>116.925</v>
      </c>
      <c r="DG1115" s="69">
        <f t="shared" si="2038"/>
        <v>5.2678406346976722E-2</v>
      </c>
      <c r="DH1115" s="66">
        <f>HLOOKUP(H1115,'GDP-PI'!$8:$9,2,FALSE)</f>
        <v>96.108999999999995</v>
      </c>
      <c r="DI1115" s="69">
        <f t="shared" si="2028"/>
        <v>1.1616598807150427E-2</v>
      </c>
    </row>
    <row r="1116" spans="1:113" s="160" customFormat="1" ht="21">
      <c r="A1116" s="160" t="s">
        <v>226</v>
      </c>
      <c r="B1116" s="160" t="s">
        <v>226</v>
      </c>
      <c r="C1116" s="160">
        <v>4057100</v>
      </c>
      <c r="D1116" s="161" t="s">
        <v>227</v>
      </c>
      <c r="E1116" s="161"/>
      <c r="F1116" s="189"/>
      <c r="G1116" s="160" t="s">
        <v>127</v>
      </c>
      <c r="H1116" s="162">
        <v>2011</v>
      </c>
      <c r="I1116" s="163"/>
      <c r="J1116" s="159">
        <f>IFERROR(INDEX('Labor Expenditures'!$F$7:$X$91,MATCH($C1116,'Labor Expenditures'!$D$7:$D$91,0),MATCH($G1116,'Labor Expenditures'!$F$5:$X$5,0)),"NA")</f>
        <v>8582.8965210708011</v>
      </c>
      <c r="K1116" s="159">
        <f t="shared" si="2029"/>
        <v>71.00638280099939</v>
      </c>
      <c r="L1116" s="165">
        <f t="shared" si="2035"/>
        <v>-6.958727967245118E-2</v>
      </c>
      <c r="M1116" s="76">
        <f t="shared" si="2039"/>
        <v>-2.0680573863342432E-4</v>
      </c>
      <c r="N1116" s="62">
        <f t="shared" si="2045"/>
        <v>118.18146008683001</v>
      </c>
      <c r="O1116" s="96">
        <f t="shared" si="2040"/>
        <v>0.18859793263094268</v>
      </c>
      <c r="P1116" s="96"/>
      <c r="Q1116" s="159">
        <f>IFERROR(INDEX('Non-Labor Expenditures'!$F$7:$AB$91,MATCH($C1116,'Non-Labor Expenditures'!$D$7:$D$91,0),MATCH($G1116,'Non-Labor Expenditures'!$F$5:$AB$5,0)),"NA")</f>
        <v>12429.637226454826</v>
      </c>
      <c r="R1116" s="159">
        <f t="shared" si="2030"/>
        <v>126.68824635574472</v>
      </c>
      <c r="S1116" s="165">
        <f t="shared" si="2041"/>
        <v>-5.6989748723791811E-2</v>
      </c>
      <c r="T1116" s="165">
        <f t="shared" si="2042"/>
        <v>-1.6936726273584861E-4</v>
      </c>
      <c r="U1116" s="165"/>
      <c r="V1116" s="165"/>
      <c r="W1116" s="159">
        <f t="shared" si="2011"/>
        <v>9318.6244990970263</v>
      </c>
      <c r="X1116" s="163"/>
      <c r="Y1116" s="167">
        <v>489.30753157507428</v>
      </c>
      <c r="Z1116" s="168">
        <v>2.5708542778434849E-2</v>
      </c>
      <c r="AA1116" s="76">
        <f t="shared" si="2031"/>
        <v>7.6402960476525372E-5</v>
      </c>
      <c r="AB1116" s="168"/>
      <c r="AC1116" s="168"/>
      <c r="AD1116" s="163">
        <f t="shared" si="2005"/>
        <v>30331.158246622654</v>
      </c>
      <c r="AE1116" s="168">
        <f t="shared" si="2043"/>
        <v>-5.6342423966405139E-4</v>
      </c>
      <c r="AF1116" s="163"/>
      <c r="AG1116" s="163"/>
      <c r="AH1116" s="163"/>
      <c r="AI1116" s="163"/>
      <c r="AJ1116" s="116">
        <f t="shared" si="2044"/>
        <v>274.88565670623478</v>
      </c>
      <c r="AK1116" s="114">
        <f>+AV1116/$AX$16</f>
        <v>3.1045024753498292E-3</v>
      </c>
      <c r="AL1116" s="115">
        <f t="shared" si="2032"/>
        <v>0.28297292346316838</v>
      </c>
      <c r="AM1116" s="115">
        <f t="shared" si="2033"/>
        <v>0.40979764522638545</v>
      </c>
      <c r="AN1116" s="115">
        <f t="shared" si="2034"/>
        <v>0.30722943131044611</v>
      </c>
      <c r="AO1116" s="115">
        <f t="shared" si="2036"/>
        <v>-3.6256198002694723E-2</v>
      </c>
      <c r="AP1116" s="166">
        <f t="shared" si="2047"/>
        <v>114.58836793746291</v>
      </c>
      <c r="AQ1116" s="168">
        <f t="shared" si="2048"/>
        <v>-3.6256198002694869E-2</v>
      </c>
      <c r="AR1116" s="69">
        <f>+AD1116/$AF$16</f>
        <v>2.9718899719440588E-3</v>
      </c>
      <c r="AS1116" s="169">
        <f t="shared" si="2046"/>
        <v>-1.077494312650271E-4</v>
      </c>
      <c r="AT1116" s="115"/>
      <c r="AU1116" s="115"/>
      <c r="AV1116" s="113">
        <f>IFERROR(INDEX('Total Customers'!$F$7:$AB$91,MATCH($C1116,'Total Customers'!$D$7:$D$91,0),MATCH($G1116,'Total Customers'!$F$5:$AB$5,0)),"NA")</f>
        <v>110341</v>
      </c>
      <c r="AW1116" s="68">
        <f t="shared" si="2004"/>
        <v>-2.8145706452858007E-3</v>
      </c>
      <c r="AX1116" s="114"/>
      <c r="AY1116" s="114"/>
      <c r="AZ1116" s="116"/>
      <c r="BA1116" s="116"/>
      <c r="BB1116" s="166"/>
      <c r="BC1116" s="166"/>
      <c r="BD1116" s="166"/>
      <c r="BE1116" s="166"/>
      <c r="BF1116" s="166"/>
      <c r="BG1116" s="166"/>
      <c r="BH1116" s="166"/>
      <c r="BI1116" s="113"/>
      <c r="BJ1116" s="113"/>
      <c r="BK1116" s="113">
        <f>INDEX('Dist. Plant Gas Additions'!$F$7:$AE$91,MATCH($C1116,'Dist. Plant Gas Additions'!$D$7:$D$91,0),MATCH(Calculation!$G1116,'Dist. Plant Gas Additions'!$F$5:$AE$5,0))</f>
        <v>9131</v>
      </c>
      <c r="BL1116" s="113">
        <f>INDEX('Gen. Plant Additions'!$F$7:$AE$91,MATCH($C1116,'Gen. Plant Additions'!$D$7:$D$91,0),MATCH(Calculation!$G1116,'Gen. Plant Additions'!$F$5:$AE$5,0))</f>
        <v>574</v>
      </c>
      <c r="BM1116" s="231">
        <f t="shared" si="2012"/>
        <v>0.94171606059466173</v>
      </c>
      <c r="BN1116" s="61">
        <f t="shared" si="2006"/>
        <v>540.54501878133578</v>
      </c>
      <c r="BO1116" s="113">
        <f>INDEX('Dist Plant Depreciation'!$E$7:$AD$94,MATCH($C1116,'Dist Plant Depreciation'!$D$7:$D$94,0),MATCH(Calculation!$G1116,'Dist Plant Depreciation'!$E$5:$AD$5,0))</f>
        <v>74076</v>
      </c>
      <c r="BP1116" s="113">
        <f>INDEX('Gen. Plant Depreciation'!$E$7:$AD$94,MATCH($C1116,'Gen. Plant Depreciation'!$D$7:$D$94,0),MATCH(Calculation!$G1116,'Gen. Plant Depreciation'!$E$5:$AD$5,0))</f>
        <v>6258</v>
      </c>
      <c r="BQ1116" s="113"/>
      <c r="BR1116" s="113"/>
      <c r="BS1116" s="113"/>
      <c r="BT1116" s="113"/>
      <c r="BU1116" s="113"/>
      <c r="BV1116" s="175"/>
      <c r="BW1116" s="113">
        <f>INDEX('Gross Dx Plant'!$E$7:$AD$91,MATCH($C1116,'Gross Dx Plant'!$D$7:$D$91,0),MATCH(Calculation!$G1116,'Gross Dx Plant'!$E$5:$AD$5,0))</f>
        <v>175243</v>
      </c>
      <c r="BX1116" s="113">
        <f>INDEX('Gross Gen Plant'!$E$7:$AD$91,MATCH($C1116,'Gross Gen Plant'!$D$7:$D$91,0),MATCH(Calculation!$G1116,'Gross Gen Plant'!$E$5:$AD$5,0))</f>
        <v>10846</v>
      </c>
      <c r="BY1116" s="113">
        <f t="shared" si="1999"/>
        <v>105755</v>
      </c>
      <c r="BZ1116" s="113"/>
      <c r="CA1116" s="116">
        <v>2011</v>
      </c>
      <c r="CB1116" s="113"/>
      <c r="CC1116" s="113"/>
      <c r="CD1116" s="113"/>
      <c r="CE1116" s="175"/>
      <c r="CF1116" s="113">
        <f t="shared" si="2013"/>
        <v>9705</v>
      </c>
      <c r="CG1116" s="113">
        <f t="shared" si="2014"/>
        <v>15.867926631028471</v>
      </c>
      <c r="CH1116" s="178">
        <v>0.92121212121212126</v>
      </c>
      <c r="CI1116" s="61">
        <f>+CI1103*CH1116+CG1104*CH1115+CG1105*CH1114+CG1106*CH1113+CG1107*CH1112+CG1108*CH1111+CG1109*CH1110+CG1110*CH1109+CG1111*CH1108+CG1112*CH1107+CG1113*CH1106+CG1114*CH1105+CG1115*CH1104+CG1116</f>
        <v>489.30753157507428</v>
      </c>
      <c r="CJ1116" s="114">
        <f t="shared" si="2015"/>
        <v>2.5708542778434849E-2</v>
      </c>
      <c r="CK1116" s="114"/>
      <c r="CL1116" s="169">
        <f t="shared" si="2016"/>
        <v>7.2320159363688328E-3</v>
      </c>
      <c r="CM1116" s="169">
        <f t="shared" si="2024"/>
        <v>7.0050138117871844E-3</v>
      </c>
      <c r="CN1116" s="114">
        <f>VLOOKUP($H1116,RoR!$E:$F,2,FALSE)</f>
        <v>4.6391666666666664E-2</v>
      </c>
      <c r="CO1116" s="169">
        <v>2.0840920205183799E-2</v>
      </c>
      <c r="CP1116" s="169">
        <f t="shared" si="2022"/>
        <v>2.5550746461482865E-2</v>
      </c>
      <c r="CQ1116" s="169">
        <f t="shared" si="2025"/>
        <v>2.3896927796746441E-2</v>
      </c>
      <c r="CR1116" s="169">
        <f t="shared" si="2026"/>
        <v>2.4810540821321614E-2</v>
      </c>
      <c r="CS1116" s="179">
        <f t="shared" si="2017"/>
        <v>0.87050000000000005</v>
      </c>
      <c r="CT1116" s="180">
        <f t="shared" si="2018"/>
        <v>1.1054151524782025</v>
      </c>
      <c r="CU1116" s="180">
        <f t="shared" si="2019"/>
        <v>0.43611011316687626</v>
      </c>
      <c r="CV1116" s="180">
        <f t="shared" si="2020"/>
        <v>0.83698442246886229</v>
      </c>
      <c r="CW1116" s="180">
        <f t="shared" si="2021"/>
        <v>0.40349573304423936</v>
      </c>
      <c r="CX1116" s="181">
        <f>INDEX('State Tax Lookup'!$D$7:$Z$91,MATCH(Calculation!$C1116,'State Tax Lookup'!$B$7:$B$91,0),MATCH($H1116,'State Tax Lookup'!$D$6:$Z$6,0))</f>
        <v>0.35</v>
      </c>
      <c r="CY1116" s="72">
        <v>0.37</v>
      </c>
      <c r="CZ1116" s="70">
        <f t="shared" si="2023"/>
        <v>19.540469283949935</v>
      </c>
      <c r="DA1116" s="70">
        <v>19.146574949201604</v>
      </c>
      <c r="DB1116" s="69">
        <f t="shared" si="2027"/>
        <v>6.5030528905708387E-2</v>
      </c>
      <c r="DC1116" s="111">
        <f>VLOOKUP($H1116,RoR!$E:$F,2,FALSE)</f>
        <v>4.6391666666666664E-2</v>
      </c>
      <c r="DD1116" s="216">
        <f>HLOOKUP($H1116,'GDP-PI'!$D$8:$CQ$11,3,FALSE)</f>
        <v>2.0840920205183799E-2</v>
      </c>
      <c r="DE1116" s="111">
        <f>VLOOKUP(H1116,'HW Dx Data'!$E:$F,2,FALSE)</f>
        <v>611.61109612283201</v>
      </c>
      <c r="DF1116" s="72">
        <f t="shared" si="2037"/>
        <v>120.875</v>
      </c>
      <c r="DG1116" s="69">
        <f t="shared" si="2038"/>
        <v>3.3224250161508609E-2</v>
      </c>
      <c r="DH1116" s="66">
        <f>HLOOKUP(H1116,'GDP-PI'!$8:$9,2,FALSE)</f>
        <v>98.111999999999995</v>
      </c>
      <c r="DI1116" s="69">
        <f t="shared" si="2028"/>
        <v>2.0626719212849295E-2</v>
      </c>
    </row>
    <row r="1117" spans="1:113" s="160" customFormat="1" ht="21">
      <c r="A1117" s="160" t="s">
        <v>226</v>
      </c>
      <c r="B1117" s="160" t="s">
        <v>226</v>
      </c>
      <c r="C1117" s="160">
        <v>4057100</v>
      </c>
      <c r="D1117" s="161" t="s">
        <v>227</v>
      </c>
      <c r="E1117" s="161"/>
      <c r="F1117" s="189"/>
      <c r="G1117" s="160" t="s">
        <v>128</v>
      </c>
      <c r="H1117" s="162">
        <v>2012</v>
      </c>
      <c r="I1117" s="163"/>
      <c r="J1117" s="159">
        <f>IFERROR(INDEX('Labor Expenditures'!$F$7:$X$91,MATCH($C1117,'Labor Expenditures'!$D$7:$D$91,0),MATCH($G1117,'Labor Expenditures'!$F$5:$X$5,0)),"NA")</f>
        <v>7910.6379025588967</v>
      </c>
      <c r="K1117" s="159">
        <f t="shared" si="2029"/>
        <v>63.38652165511936</v>
      </c>
      <c r="L1117" s="165">
        <f t="shared" si="2035"/>
        <v>-0.11351852495459229</v>
      </c>
      <c r="M1117" s="76">
        <f t="shared" si="2039"/>
        <v>-3.1525870183126027E-4</v>
      </c>
      <c r="N1117" s="62">
        <f t="shared" si="2045"/>
        <v>117.78876374847795</v>
      </c>
      <c r="O1117" s="96">
        <f t="shared" si="2040"/>
        <v>-3.3283580825790018E-3</v>
      </c>
      <c r="P1117" s="96"/>
      <c r="Q1117" s="159">
        <f>IFERROR(INDEX('Non-Labor Expenditures'!$F$7:$AB$91,MATCH($C1117,'Non-Labor Expenditures'!$D$7:$D$91,0),MATCH($G1117,'Non-Labor Expenditures'!$F$5:$AB$5,0)),"NA")</f>
        <v>11456.081186259413</v>
      </c>
      <c r="R1117" s="159">
        <f t="shared" si="2030"/>
        <v>114.56081186259412</v>
      </c>
      <c r="S1117" s="165">
        <f t="shared" si="2041"/>
        <v>-0.10062352553146603</v>
      </c>
      <c r="T1117" s="165">
        <f t="shared" si="2042"/>
        <v>-2.7944727123104988E-4</v>
      </c>
      <c r="U1117" s="165"/>
      <c r="V1117" s="165"/>
      <c r="W1117" s="159">
        <f t="shared" si="2011"/>
        <v>10332.28256317591</v>
      </c>
      <c r="X1117" s="163"/>
      <c r="Y1117" s="167">
        <v>499.36185175522138</v>
      </c>
      <c r="Z1117" s="168">
        <v>2.0339796045257309E-2</v>
      </c>
      <c r="AA1117" s="76">
        <f t="shared" si="2031"/>
        <v>5.6486795431013192E-5</v>
      </c>
      <c r="AB1117" s="168"/>
      <c r="AC1117" s="168"/>
      <c r="AD1117" s="163">
        <f t="shared" si="2005"/>
        <v>29699.001651994222</v>
      </c>
      <c r="AE1117" s="168">
        <f t="shared" si="2043"/>
        <v>-2.1062078289725915E-2</v>
      </c>
      <c r="AF1117" s="163"/>
      <c r="AG1117" s="163"/>
      <c r="AH1117" s="163"/>
      <c r="AI1117" s="163"/>
      <c r="AJ1117" s="116">
        <f t="shared" si="2044"/>
        <v>268.74006127836088</v>
      </c>
      <c r="AK1117" s="114">
        <f>+AV1117/$AX$17</f>
        <v>3.0944128280816956E-3</v>
      </c>
      <c r="AL1117" s="115">
        <f t="shared" si="2032"/>
        <v>0.26636039807848944</v>
      </c>
      <c r="AM1117" s="115">
        <f t="shared" si="2033"/>
        <v>0.38573960567762594</v>
      </c>
      <c r="AN1117" s="115">
        <f t="shared" si="2034"/>
        <v>0.34789999624388451</v>
      </c>
      <c r="AO1117" s="115">
        <f t="shared" si="2036"/>
        <v>-6.4542036153843282E-2</v>
      </c>
      <c r="AP1117" s="166">
        <f t="shared" si="2047"/>
        <v>107.42621733580584</v>
      </c>
      <c r="AQ1117" s="168">
        <f t="shared" si="2048"/>
        <v>-6.4542036153843255E-2</v>
      </c>
      <c r="AR1117" s="69">
        <f>+AD1117/$AF$17</f>
        <v>2.7771564329025999E-3</v>
      </c>
      <c r="AS1117" s="169">
        <f t="shared" si="2046"/>
        <v>-1.7924333089727797E-4</v>
      </c>
      <c r="AT1117" s="115"/>
      <c r="AU1117" s="115"/>
      <c r="AV1117" s="113">
        <f>IFERROR(INDEX('Total Customers'!$F$7:$AB$91,MATCH($C1117,'Total Customers'!$D$7:$D$91,0),MATCH($G1117,'Total Customers'!$F$5:$AB$5,0)),"NA")</f>
        <v>110512</v>
      </c>
      <c r="AW1117" s="68">
        <f t="shared" si="2004"/>
        <v>1.5485416468984669E-3</v>
      </c>
      <c r="AX1117" s="114"/>
      <c r="AY1117" s="114"/>
      <c r="AZ1117" s="116"/>
      <c r="BA1117" s="116"/>
      <c r="BB1117" s="166"/>
      <c r="BC1117" s="166"/>
      <c r="BD1117" s="166"/>
      <c r="BE1117" s="166"/>
      <c r="BF1117" s="166"/>
      <c r="BG1117" s="166"/>
      <c r="BH1117" s="166"/>
      <c r="BI1117" s="113"/>
      <c r="BJ1117" s="113"/>
      <c r="BK1117" s="113">
        <f>INDEX('Dist. Plant Gas Additions'!$F$7:$AE$91,MATCH($C1117,'Dist. Plant Gas Additions'!$D$7:$D$91,0),MATCH(Calculation!$G1117,'Dist. Plant Gas Additions'!$F$5:$AE$5,0))</f>
        <v>9032</v>
      </c>
      <c r="BL1117" s="113">
        <f>INDEX('Gen. Plant Additions'!$F$7:$AE$91,MATCH($C1117,'Gen. Plant Additions'!$D$7:$D$91,0),MATCH(Calculation!$G1117,'Gen. Plant Additions'!$F$5:$AE$5,0))</f>
        <v>136</v>
      </c>
      <c r="BM1117" s="231">
        <f t="shared" si="2012"/>
        <v>0.94457090062608717</v>
      </c>
      <c r="BN1117" s="61">
        <f>+BM1117*BL1117</f>
        <v>128.46164248514785</v>
      </c>
      <c r="BO1117" s="113">
        <f>INDEX('Dist Plant Depreciation'!$E$7:$AD$94,MATCH($C1117,'Dist Plant Depreciation'!$D$7:$D$94,0),MATCH(Calculation!$G1117,'Dist Plant Depreciation'!$E$5:$AD$5,0))</f>
        <v>77555</v>
      </c>
      <c r="BP1117" s="113">
        <f>INDEX('Gen. Plant Depreciation'!$E$7:$AD$94,MATCH($C1117,'Gen. Plant Depreciation'!$D$7:$D$94,0),MATCH(Calculation!$G1117,'Gen. Plant Depreciation'!$E$5:$AD$5,0))</f>
        <v>6032</v>
      </c>
      <c r="BQ1117" s="113"/>
      <c r="BR1117" s="113"/>
      <c r="BS1117" s="113"/>
      <c r="BT1117" s="113"/>
      <c r="BU1117" s="113"/>
      <c r="BV1117" s="175"/>
      <c r="BW1117" s="113">
        <f>INDEX('Gross Dx Plant'!$E$7:$AD$91,MATCH($C1117,'Gross Dx Plant'!$D$7:$D$91,0),MATCH(Calculation!$G1117,'Gross Dx Plant'!$E$5:$AD$5,0))</f>
        <v>183004</v>
      </c>
      <c r="BX1117" s="113">
        <f>INDEX('Gross Gen Plant'!$E$7:$AD$91,MATCH($C1117,'Gross Gen Plant'!$D$7:$D$91,0),MATCH(Calculation!$G1117,'Gross Gen Plant'!$E$5:$AD$5,0))</f>
        <v>10739</v>
      </c>
      <c r="BY1117" s="113">
        <f t="shared" si="1999"/>
        <v>110156</v>
      </c>
      <c r="BZ1117" s="113"/>
      <c r="CA1117" s="116">
        <v>2012</v>
      </c>
      <c r="CB1117" s="113"/>
      <c r="CC1117" s="113"/>
      <c r="CD1117" s="113"/>
      <c r="CE1117" s="175"/>
      <c r="CF1117" s="113">
        <f t="shared" si="2013"/>
        <v>9168</v>
      </c>
      <c r="CG1117" s="113">
        <f t="shared" si="2014"/>
        <v>13.705688708535231</v>
      </c>
      <c r="CH1117" s="178">
        <v>0.9135802469135802</v>
      </c>
      <c r="CI1117" s="61">
        <f>+CI1103*CH1117+CG1104*CH1116+CG1105*CH1115+CG1106*CH1114+CG1107*CH1113+CG1108*CH1112+CG1109*CH1111+CG1110*CH1110+CG1111*CH1109+CG1112*CH1108+CG1113*CH1107+CG1114*CH1106+CG1115*CH1105+CG1116*CH1104+CG1117</f>
        <v>499.36185175522138</v>
      </c>
      <c r="CJ1117" s="114">
        <f t="shared" si="2015"/>
        <v>2.0339796045257309E-2</v>
      </c>
      <c r="CK1117" s="114"/>
      <c r="CL1117" s="169">
        <f t="shared" si="2016"/>
        <v>7.4623182615530647E-3</v>
      </c>
      <c r="CM1117" s="169">
        <f t="shared" si="2024"/>
        <v>7.2302055273875147E-3</v>
      </c>
      <c r="CN1117" s="114">
        <f>VLOOKUP($H1117,RoR!$E:$F,2,FALSE)</f>
        <v>3.6733333333333333E-2</v>
      </c>
      <c r="CO1117" s="169">
        <v>1.924331376386168E-2</v>
      </c>
      <c r="CP1117" s="169">
        <f t="shared" si="2022"/>
        <v>1.7490019569471653E-2</v>
      </c>
      <c r="CQ1117" s="169">
        <f t="shared" si="2025"/>
        <v>2.3671736081146109E-2</v>
      </c>
      <c r="CR1117" s="169">
        <f t="shared" si="2026"/>
        <v>6.7122682943869583E-2</v>
      </c>
      <c r="CS1117" s="179">
        <f t="shared" si="2017"/>
        <v>0.87050000000000005</v>
      </c>
      <c r="CT1117" s="180">
        <f t="shared" si="2018"/>
        <v>1.3960631020522127</v>
      </c>
      <c r="CU1117" s="180">
        <f t="shared" si="2019"/>
        <v>0.29441923774954631</v>
      </c>
      <c r="CV1117" s="180">
        <f t="shared" si="2020"/>
        <v>0.76377954189366437</v>
      </c>
      <c r="CW1117" s="180">
        <f t="shared" si="2021"/>
        <v>0.31393465103033691</v>
      </c>
      <c r="CX1117" s="181">
        <f>INDEX('State Tax Lookup'!$D$7:$Z$91,MATCH(Calculation!$C1117,'State Tax Lookup'!$B$7:$B$91,0),MATCH($H1117,'State Tax Lookup'!$D$6:$Z$6,0))</f>
        <v>0.35</v>
      </c>
      <c r="CY1117" s="72">
        <v>0.37</v>
      </c>
      <c r="CZ1117" s="70">
        <f t="shared" si="2023"/>
        <v>21.11613228170928</v>
      </c>
      <c r="DA1117" s="70">
        <v>20.759737328210988</v>
      </c>
      <c r="DB1117" s="69">
        <f t="shared" si="2027"/>
        <v>7.7549648561665824E-2</v>
      </c>
      <c r="DC1117" s="111">
        <f>VLOOKUP($H1117,RoR!$E:$F,2,FALSE)</f>
        <v>3.6733333333333333E-2</v>
      </c>
      <c r="DD1117" s="216">
        <f>HLOOKUP($H1117,'GDP-PI'!$D$8:$CQ$11,3,FALSE)</f>
        <v>1.924331376386168E-2</v>
      </c>
      <c r="DE1117" s="111">
        <f>VLOOKUP(H1117,'HW Dx Data'!$E:$F,2,FALSE)</f>
        <v>668.91932211262167</v>
      </c>
      <c r="DF1117" s="72">
        <f t="shared" si="2037"/>
        <v>124.80000000000001</v>
      </c>
      <c r="DG1117" s="69">
        <f t="shared" si="2038"/>
        <v>3.1955502161869064E-2</v>
      </c>
      <c r="DH1117" s="66">
        <f>HLOOKUP(H1117,'GDP-PI'!$8:$9,2,FALSE)</f>
        <v>100</v>
      </c>
      <c r="DI1117" s="69">
        <f t="shared" si="2028"/>
        <v>1.9060502738742411E-2</v>
      </c>
    </row>
    <row r="1118" spans="1:113" s="160" customFormat="1" ht="21">
      <c r="A1118" s="160" t="s">
        <v>226</v>
      </c>
      <c r="B1118" s="160" t="s">
        <v>226</v>
      </c>
      <c r="C1118" s="160">
        <v>4057100</v>
      </c>
      <c r="D1118" s="161" t="s">
        <v>227</v>
      </c>
      <c r="E1118" s="161"/>
      <c r="F1118" s="189"/>
      <c r="G1118" s="160" t="s">
        <v>129</v>
      </c>
      <c r="H1118" s="162">
        <v>2013</v>
      </c>
      <c r="I1118" s="163"/>
      <c r="J1118" s="159">
        <f>IFERROR(INDEX('Labor Expenditures'!$F$7:$X$91,MATCH($C1118,'Labor Expenditures'!$D$7:$D$91,0),MATCH($G1118,'Labor Expenditures'!$F$5:$X$5,0)),"NA")</f>
        <v>9730.2025496140704</v>
      </c>
      <c r="K1118" s="159">
        <f t="shared" si="2029"/>
        <v>76.736613167303403</v>
      </c>
      <c r="L1118" s="165">
        <f t="shared" si="2035"/>
        <v>0.19112770332951659</v>
      </c>
      <c r="M1118" s="76">
        <f t="shared" si="2039"/>
        <v>5.88986684508702E-4</v>
      </c>
      <c r="N1118" s="62">
        <f t="shared" si="2045"/>
        <v>107.60542768032434</v>
      </c>
      <c r="O1118" s="96">
        <f t="shared" si="2040"/>
        <v>-9.0421792948409505E-2</v>
      </c>
      <c r="P1118" s="96"/>
      <c r="Q1118" s="159">
        <f>IFERROR(INDEX('Non-Labor Expenditures'!$F$7:$AB$91,MATCH($C1118,'Non-Labor Expenditures'!$D$7:$D$91,0),MATCH($G1118,'Non-Labor Expenditures'!$F$5:$AB$5,0)),"NA")</f>
        <v>14091.15064299294</v>
      </c>
      <c r="R1118" s="159">
        <f t="shared" si="2030"/>
        <v>138.45666967656393</v>
      </c>
      <c r="S1118" s="165">
        <f t="shared" si="2041"/>
        <v>0.18945163238080417</v>
      </c>
      <c r="T1118" s="165">
        <f t="shared" si="2042"/>
        <v>5.8382163802990082E-4</v>
      </c>
      <c r="U1118" s="165"/>
      <c r="V1118" s="165"/>
      <c r="W1118" s="159">
        <f t="shared" si="2011"/>
        <v>10357.830318122884</v>
      </c>
      <c r="X1118" s="163"/>
      <c r="Y1118" s="167">
        <v>514.47832198869617</v>
      </c>
      <c r="Z1118" s="168">
        <v>2.9822433481073603E-2</v>
      </c>
      <c r="AA1118" s="76">
        <f t="shared" si="2031"/>
        <v>9.1901989685480703E-5</v>
      </c>
      <c r="AB1118" s="168"/>
      <c r="AC1118" s="168"/>
      <c r="AD1118" s="163">
        <f t="shared" si="2005"/>
        <v>34179.183510729898</v>
      </c>
      <c r="AE1118" s="168">
        <f t="shared" si="2043"/>
        <v>0.14050335864460292</v>
      </c>
      <c r="AF1118" s="163"/>
      <c r="AG1118" s="163"/>
      <c r="AH1118" s="163"/>
      <c r="AI1118" s="163"/>
      <c r="AJ1118" s="116">
        <f t="shared" si="2044"/>
        <v>308.0676675415279</v>
      </c>
      <c r="AK1118" s="114">
        <f>+AV1118/$AX$18</f>
        <v>3.0867938076156809E-3</v>
      </c>
      <c r="AL1118" s="115">
        <f t="shared" si="2032"/>
        <v>0.28468212374234919</v>
      </c>
      <c r="AM1118" s="115">
        <f t="shared" si="2033"/>
        <v>0.41227288646521626</v>
      </c>
      <c r="AN1118" s="115">
        <f t="shared" si="2034"/>
        <v>0.30304498979243438</v>
      </c>
      <c r="AO1118" s="115">
        <f t="shared" si="2036"/>
        <v>0.13795851223758177</v>
      </c>
      <c r="AP1118" s="166">
        <f t="shared" si="2047"/>
        <v>123.31755468440379</v>
      </c>
      <c r="AQ1118" s="168">
        <f t="shared" si="2048"/>
        <v>0.13795851223758168</v>
      </c>
      <c r="AR1118" s="69">
        <f>+AD1118/$AF$18</f>
        <v>3.0816395229384965E-3</v>
      </c>
      <c r="AS1118" s="169">
        <f t="shared" si="2046"/>
        <v>4.2513840383712594E-4</v>
      </c>
      <c r="AT1118" s="115"/>
      <c r="AU1118" s="115"/>
      <c r="AV1118" s="113">
        <f>IFERROR(INDEX('Total Customers'!$F$7:$AB$91,MATCH($C1118,'Total Customers'!$D$7:$D$91,0),MATCH($G1118,'Total Customers'!$F$5:$AB$5,0)),"NA")</f>
        <v>110947</v>
      </c>
      <c r="AW1118" s="68">
        <f t="shared" si="2004"/>
        <v>3.9284974595699164E-3</v>
      </c>
      <c r="AX1118" s="114"/>
      <c r="AY1118" s="114"/>
      <c r="AZ1118" s="116"/>
      <c r="BA1118" s="116"/>
      <c r="BB1118" s="166"/>
      <c r="BC1118" s="166"/>
      <c r="BD1118" s="166"/>
      <c r="BE1118" s="166"/>
      <c r="BF1118" s="166"/>
      <c r="BG1118" s="166"/>
      <c r="BH1118" s="166"/>
      <c r="BI1118" s="113"/>
      <c r="BJ1118" s="113"/>
      <c r="BK1118" s="113">
        <f>INDEX('Dist. Plant Gas Additions'!$F$7:$AE$91,MATCH($C1118,'Dist. Plant Gas Additions'!$D$7:$D$91,0),MATCH(Calculation!$G1118,'Dist. Plant Gas Additions'!$F$5:$AE$5,0))</f>
        <v>12128</v>
      </c>
      <c r="BL1118" s="113">
        <f>INDEX('Gen. Plant Additions'!$F$7:$AE$91,MATCH($C1118,'Gen. Plant Additions'!$D$7:$D$91,0),MATCH(Calculation!$G1118,'Gen. Plant Additions'!$F$5:$AE$5,0))</f>
        <v>453</v>
      </c>
      <c r="BM1118" s="231">
        <f t="shared" si="2012"/>
        <v>0.94847492423501811</v>
      </c>
      <c r="BN1118" s="61">
        <f t="shared" ref="BN1118:BN1134" si="2049">+BM1118*BL1118</f>
        <v>429.65914067846319</v>
      </c>
      <c r="BO1118" s="113">
        <f>INDEX('Dist Plant Depreciation'!$E$7:$AD$94,MATCH($C1118,'Dist Plant Depreciation'!$D$7:$D$94,0),MATCH(Calculation!$G1118,'Dist Plant Depreciation'!$E$5:$AD$5,0))</f>
        <v>81300</v>
      </c>
      <c r="BP1118" s="113">
        <f>INDEX('Gen. Plant Depreciation'!$E$7:$AD$94,MATCH($C1118,'Gen. Plant Depreciation'!$D$7:$D$94,0),MATCH(Calculation!$G1118,'Gen. Plant Depreciation'!$E$5:$AD$5,0))</f>
        <v>5908</v>
      </c>
      <c r="BQ1118" s="113"/>
      <c r="BR1118" s="113"/>
      <c r="BS1118" s="113"/>
      <c r="BT1118" s="113"/>
      <c r="BU1118" s="113"/>
      <c r="BV1118" s="175"/>
      <c r="BW1118" s="113">
        <f>INDEX('Gross Dx Plant'!$E$7:$AD$91,MATCH($C1118,'Gross Dx Plant'!$D$7:$D$91,0),MATCH(Calculation!$G1118,'Gross Dx Plant'!$E$5:$AD$5,0))</f>
        <v>194039</v>
      </c>
      <c r="BX1118" s="113">
        <f>INDEX('Gross Gen Plant'!$E$7:$AD$91,MATCH($C1118,'Gross Gen Plant'!$D$7:$D$91,0),MATCH(Calculation!$G1118,'Gross Gen Plant'!$E$5:$AD$5,0))</f>
        <v>10541</v>
      </c>
      <c r="BY1118" s="113">
        <f t="shared" si="1999"/>
        <v>117372</v>
      </c>
      <c r="BZ1118" s="113"/>
      <c r="CA1118" s="116">
        <v>2013</v>
      </c>
      <c r="CB1118" s="113"/>
      <c r="CC1118" s="113"/>
      <c r="CD1118" s="113"/>
      <c r="CE1118" s="175"/>
      <c r="CF1118" s="113">
        <f t="shared" si="2013"/>
        <v>12581</v>
      </c>
      <c r="CG1118" s="113">
        <f t="shared" si="2014"/>
        <v>18.968760265227001</v>
      </c>
      <c r="CH1118" s="178">
        <v>0.90566037735849059</v>
      </c>
      <c r="CI1118" s="61">
        <f>+CI1103*CH1118+CG1104*CH1117+CG1105*CH1116+CG1106*CH1115+CG1107*CH1114+CG1108*CH1113+CG1109*CH1112+CG1110*CH1111+CG1111*CH1110+CG1112*CH1109+CG1113*CH1108+CG1114*CH1107+CG1115*CH1106+CG1116*CH1105+CG1117*CH1104+CG1118</f>
        <v>514.47832198869617</v>
      </c>
      <c r="CJ1118" s="114">
        <f t="shared" si="2015"/>
        <v>2.9822433481073603E-2</v>
      </c>
      <c r="CK1118" s="114"/>
      <c r="CL1118" s="169">
        <f t="shared" si="2016"/>
        <v>7.7144259582739242E-3</v>
      </c>
      <c r="CM1118" s="169">
        <f t="shared" si="2024"/>
        <v>7.4695867187319397E-3</v>
      </c>
      <c r="CN1118" s="114">
        <f>VLOOKUP($H1118,RoR!$E:$F,2,FALSE)</f>
        <v>4.2350000000000006E-2</v>
      </c>
      <c r="CO1118" s="169">
        <v>1.7730000000000024E-2</v>
      </c>
      <c r="CP1118" s="169">
        <f t="shared" si="2022"/>
        <v>2.4619999999999982E-2</v>
      </c>
      <c r="CQ1118" s="169">
        <f t="shared" si="2025"/>
        <v>2.3432354889801686E-2</v>
      </c>
      <c r="CR1118" s="169">
        <f t="shared" si="2026"/>
        <v>5.3376742735721204E-2</v>
      </c>
      <c r="CS1118" s="179">
        <f t="shared" si="2017"/>
        <v>0.87050000000000005</v>
      </c>
      <c r="CT1118" s="180">
        <f t="shared" si="2018"/>
        <v>1.2109103018193925</v>
      </c>
      <c r="CU1118" s="180">
        <f t="shared" si="2019"/>
        <v>0.38468122786304604</v>
      </c>
      <c r="CV1118" s="180">
        <f t="shared" si="2020"/>
        <v>0.80969194503422559</v>
      </c>
      <c r="CW1118" s="180">
        <f t="shared" si="2021"/>
        <v>0.37716621754800816</v>
      </c>
      <c r="CX1118" s="181">
        <f>INDEX('State Tax Lookup'!$D$7:$Z$91,MATCH(Calculation!$C1118,'State Tax Lookup'!$B$7:$B$91,0),MATCH($H1118,'State Tax Lookup'!$D$6:$Z$6,0))</f>
        <v>0.35</v>
      </c>
      <c r="CY1118" s="72">
        <v>0.37</v>
      </c>
      <c r="CZ1118" s="70">
        <f t="shared" si="2023"/>
        <v>20.742133748735206</v>
      </c>
      <c r="DA1118" s="70">
        <v>20.339519021246105</v>
      </c>
      <c r="DB1118" s="69">
        <f t="shared" si="2027"/>
        <v>-1.7870233111730693E-2</v>
      </c>
      <c r="DC1118" s="111">
        <f>VLOOKUP($H1118,RoR!$E:$F,2,FALSE)</f>
        <v>4.2350000000000006E-2</v>
      </c>
      <c r="DD1118" s="216">
        <f>HLOOKUP($H1118,'GDP-PI'!$D$8:$CQ$11,3,FALSE)</f>
        <v>1.7730000000000024E-2</v>
      </c>
      <c r="DE1118" s="111">
        <f>VLOOKUP(H1118,'HW Dx Data'!$E:$F,2,FALSE)</f>
        <v>663.24840548821396</v>
      </c>
      <c r="DF1118" s="72">
        <f t="shared" si="2037"/>
        <v>126.8</v>
      </c>
      <c r="DG1118" s="69">
        <f t="shared" si="2038"/>
        <v>1.5898586067798204E-2</v>
      </c>
      <c r="DH1118" s="66">
        <f>HLOOKUP(H1118,'GDP-PI'!$8:$9,2,FALSE)</f>
        <v>101.773</v>
      </c>
      <c r="DI1118" s="69">
        <f t="shared" si="2028"/>
        <v>1.7574657016510519E-2</v>
      </c>
    </row>
    <row r="1119" spans="1:113" s="160" customFormat="1" ht="21">
      <c r="A1119" s="160" t="s">
        <v>226</v>
      </c>
      <c r="B1119" s="160" t="s">
        <v>226</v>
      </c>
      <c r="C1119" s="160">
        <v>4057100</v>
      </c>
      <c r="D1119" s="161" t="s">
        <v>227</v>
      </c>
      <c r="E1119" s="161"/>
      <c r="F1119" s="189"/>
      <c r="G1119" s="160" t="s">
        <v>130</v>
      </c>
      <c r="H1119" s="162">
        <v>2014</v>
      </c>
      <c r="I1119" s="163"/>
      <c r="J1119" s="159">
        <f>IFERROR(INDEX('Labor Expenditures'!$F$7:$X$91,MATCH($C1119,'Labor Expenditures'!$D$7:$D$91,0),MATCH($G1119,'Labor Expenditures'!$F$5:$X$5,0)),"NA")</f>
        <v>9078.7539370913564</v>
      </c>
      <c r="K1119" s="159">
        <f t="shared" si="2029"/>
        <v>70.160385912607083</v>
      </c>
      <c r="L1119" s="165">
        <f t="shared" si="2035"/>
        <v>-8.9595101467674187E-2</v>
      </c>
      <c r="M1119" s="76">
        <f t="shared" si="2039"/>
        <v>-2.6078660652452721E-4</v>
      </c>
      <c r="N1119" s="62">
        <f t="shared" si="2045"/>
        <v>122.45246464422117</v>
      </c>
      <c r="O1119" s="96">
        <f t="shared" si="2040"/>
        <v>0.12925182137452768</v>
      </c>
      <c r="P1119" s="96"/>
      <c r="Q1119" s="159">
        <f>IFERROR(INDEX('Non-Labor Expenditures'!$F$7:$AB$91,MATCH($C1119,'Non-Labor Expenditures'!$D$7:$D$91,0),MATCH($G1119,'Non-Labor Expenditures'!$F$5:$AB$5,0)),"NA")</f>
        <v>13147.731378242855</v>
      </c>
      <c r="R1119" s="159">
        <f t="shared" si="2030"/>
        <v>126.85105577819768</v>
      </c>
      <c r="S1119" s="165">
        <f t="shared" si="2041"/>
        <v>-8.7543813302255608E-2</v>
      </c>
      <c r="T1119" s="165">
        <f t="shared" si="2042"/>
        <v>-2.5481587295873685E-4</v>
      </c>
      <c r="U1119" s="165"/>
      <c r="V1119" s="165"/>
      <c r="W1119" s="159">
        <f t="shared" si="2011"/>
        <v>10911.353872894138</v>
      </c>
      <c r="X1119" s="163"/>
      <c r="Y1119" s="167">
        <v>549.6096345125253</v>
      </c>
      <c r="Z1119" s="168">
        <v>6.6054850545435057E-2</v>
      </c>
      <c r="AA1119" s="76">
        <f t="shared" si="2031"/>
        <v>1.9226743467045491E-4</v>
      </c>
      <c r="AB1119" s="168"/>
      <c r="AC1119" s="168"/>
      <c r="AD1119" s="163">
        <f t="shared" si="2005"/>
        <v>33137.839188228347</v>
      </c>
      <c r="AE1119" s="168">
        <f t="shared" si="2043"/>
        <v>-3.0940982132482264E-2</v>
      </c>
      <c r="AF1119" s="163"/>
      <c r="AG1119" s="163"/>
      <c r="AH1119" s="163"/>
      <c r="AI1119" s="163"/>
      <c r="AJ1119" s="116">
        <f t="shared" si="2044"/>
        <v>298.11206639343953</v>
      </c>
      <c r="AK1119" s="114">
        <f>+AV1119/$AX$19</f>
        <v>3.0761656727706244E-3</v>
      </c>
      <c r="AL1119" s="115">
        <f t="shared" si="2032"/>
        <v>0.27396940052495727</v>
      </c>
      <c r="AM1119" s="115">
        <f t="shared" si="2033"/>
        <v>0.39675886238573344</v>
      </c>
      <c r="AN1119" s="115">
        <f t="shared" si="2034"/>
        <v>0.3292717370893094</v>
      </c>
      <c r="AO1119" s="115">
        <f t="shared" si="2036"/>
        <v>-3.9555288743626404E-2</v>
      </c>
      <c r="AP1119" s="166">
        <f t="shared" si="2047"/>
        <v>118.53490629049047</v>
      </c>
      <c r="AQ1119" s="168">
        <f t="shared" si="2048"/>
        <v>-3.9555288743626384E-2</v>
      </c>
      <c r="AR1119" s="69">
        <f>+AD1119/$AF$19</f>
        <v>2.9107239374980645E-3</v>
      </c>
      <c r="AS1119" s="169">
        <f t="shared" si="2046"/>
        <v>-1.1513452580072105E-4</v>
      </c>
      <c r="AT1119" s="115"/>
      <c r="AU1119" s="115"/>
      <c r="AV1119" s="113">
        <f>IFERROR(INDEX('Total Customers'!$F$7:$AB$91,MATCH($C1119,'Total Customers'!$D$7:$D$91,0),MATCH($G1119,'Total Customers'!$F$5:$AB$5,0)),"NA")</f>
        <v>111159</v>
      </c>
      <c r="AW1119" s="68">
        <f t="shared" si="2004"/>
        <v>1.9089989859097664E-3</v>
      </c>
      <c r="AX1119" s="114"/>
      <c r="AY1119" s="114"/>
      <c r="AZ1119" s="116"/>
      <c r="BA1119" s="116"/>
      <c r="BB1119" s="166"/>
      <c r="BC1119" s="166"/>
      <c r="BD1119" s="166"/>
      <c r="BE1119" s="166"/>
      <c r="BF1119" s="166"/>
      <c r="BG1119" s="166"/>
      <c r="BH1119" s="166"/>
      <c r="BI1119" s="113"/>
      <c r="BJ1119" s="113"/>
      <c r="BK1119" s="113">
        <f>INDEX('Dist. Plant Gas Additions'!$F$7:$AE$91,MATCH($C1119,'Dist. Plant Gas Additions'!$D$7:$D$91,0),MATCH(Calculation!$G1119,'Dist. Plant Gas Additions'!$F$5:$AE$5,0))</f>
        <v>25792</v>
      </c>
      <c r="BL1119" s="113">
        <f>INDEX('Gen. Plant Additions'!$F$7:$AE$91,MATCH($C1119,'Gen. Plant Additions'!$D$7:$D$91,0),MATCH(Calculation!$G1119,'Gen. Plant Additions'!$F$5:$AE$5,0))</f>
        <v>1053</v>
      </c>
      <c r="BM1119" s="231">
        <f t="shared" si="2012"/>
        <v>0.95193474862676952</v>
      </c>
      <c r="BN1119" s="61">
        <f t="shared" si="2049"/>
        <v>1002.3872903039883</v>
      </c>
      <c r="BO1119" s="113">
        <f>INDEX('Dist Plant Depreciation'!$E$7:$AD$94,MATCH($C1119,'Dist Plant Depreciation'!$D$7:$D$94,0),MATCH(Calculation!$G1119,'Dist Plant Depreciation'!$E$5:$AD$5,0))</f>
        <v>84523</v>
      </c>
      <c r="BP1119" s="113">
        <f>INDEX('Gen. Plant Depreciation'!$E$7:$AD$94,MATCH($C1119,'Gen. Plant Depreciation'!$D$7:$D$94,0),MATCH(Calculation!$G1119,'Gen. Plant Depreciation'!$E$5:$AD$5,0))</f>
        <v>5896</v>
      </c>
      <c r="BQ1119" s="113"/>
      <c r="BR1119" s="113"/>
      <c r="BS1119" s="113"/>
      <c r="BT1119" s="113"/>
      <c r="BU1119" s="113"/>
      <c r="BV1119" s="175"/>
      <c r="BW1119" s="113">
        <f>INDEX('Gross Dx Plant'!$E$7:$AD$91,MATCH($C1119,'Gross Dx Plant'!$D$7:$D$91,0),MATCH(Calculation!$G1119,'Gross Dx Plant'!$E$5:$AD$5,0))</f>
        <v>218014</v>
      </c>
      <c r="BX1119" s="113">
        <f>INDEX('Gross Gen Plant'!$E$7:$AD$91,MATCH($C1119,'Gross Gen Plant'!$D$7:$D$91,0),MATCH(Calculation!$G1119,'Gross Gen Plant'!$E$5:$AD$5,0))</f>
        <v>11008</v>
      </c>
      <c r="BY1119" s="113">
        <f t="shared" si="1999"/>
        <v>138603</v>
      </c>
      <c r="BZ1119" s="113"/>
      <c r="CA1119" s="116">
        <v>2014</v>
      </c>
      <c r="CB1119" s="113"/>
      <c r="CC1119" s="113"/>
      <c r="CD1119" s="113"/>
      <c r="CE1119" s="175"/>
      <c r="CF1119" s="113">
        <f t="shared" si="2013"/>
        <v>26845</v>
      </c>
      <c r="CG1119" s="113">
        <f t="shared" si="2014"/>
        <v>39.220175635976339</v>
      </c>
      <c r="CH1119" s="178">
        <v>0.89743589743589747</v>
      </c>
      <c r="CI1119" s="61">
        <f>+CI1103*CH1119+CG1104*CH1118+CG1105*CH1117+CG1106*CH1116+CG1107*CH1115+CG1108*CH1114+CG1109*CH1113+CG1110*CH1112+CG1111*CH1111+CG1112*CH1110+CG1113*CH1109+CG1114*CH1108+CG1115*CH1107+CG1116*CH1106+CG1117*CH1105+CG1118*CH1104+CG1119</f>
        <v>549.6096345125253</v>
      </c>
      <c r="CJ1119" s="114">
        <f t="shared" si="2015"/>
        <v>6.6054850545435057E-2</v>
      </c>
      <c r="CK1119" s="114"/>
      <c r="CL1119" s="169">
        <f t="shared" si="2016"/>
        <v>7.9475906707630727E-3</v>
      </c>
      <c r="CM1119" s="169">
        <f t="shared" si="2024"/>
        <v>7.7081116301966875E-3</v>
      </c>
      <c r="CN1119" s="114">
        <f>VLOOKUP($H1119,RoR!$E:$F,2,FALSE)</f>
        <v>4.1625000000000002E-2</v>
      </c>
      <c r="CO1119" s="169">
        <v>1.841352814597208E-2</v>
      </c>
      <c r="CP1119" s="169">
        <f t="shared" si="2022"/>
        <v>2.3211471854027922E-2</v>
      </c>
      <c r="CQ1119" s="169">
        <f t="shared" si="2025"/>
        <v>2.3193829978336938E-2</v>
      </c>
      <c r="CR1119" s="169">
        <f t="shared" si="2026"/>
        <v>3.9072621432650924E-2</v>
      </c>
      <c r="CS1119" s="179">
        <f t="shared" si="2017"/>
        <v>0.87050000000000005</v>
      </c>
      <c r="CT1119" s="180">
        <f t="shared" si="2018"/>
        <v>1.2320012320012319</v>
      </c>
      <c r="CU1119" s="180">
        <f t="shared" si="2019"/>
        <v>0.37439939939939942</v>
      </c>
      <c r="CV1119" s="180">
        <f t="shared" si="2020"/>
        <v>0.80432100613819935</v>
      </c>
      <c r="CW1119" s="180">
        <f t="shared" si="2021"/>
        <v>0.37100152660040037</v>
      </c>
      <c r="CX1119" s="181">
        <f>INDEX('State Tax Lookup'!$D$7:$Z$91,MATCH(Calculation!$C1119,'State Tax Lookup'!$B$7:$B$91,0),MATCH($H1119,'State Tax Lookup'!$D$6:$Z$6,0))</f>
        <v>0.35</v>
      </c>
      <c r="CY1119" s="72">
        <v>0.37</v>
      </c>
      <c r="CZ1119" s="70">
        <f t="shared" si="2023"/>
        <v>21.208578489209653</v>
      </c>
      <c r="DA1119" s="70">
        <v>20.763592984765573</v>
      </c>
      <c r="DB1119" s="69">
        <f t="shared" si="2027"/>
        <v>2.2238667193415964E-2</v>
      </c>
      <c r="DC1119" s="111">
        <f>VLOOKUP($H1119,RoR!$E:$F,2,FALSE)</f>
        <v>4.1625000000000002E-2</v>
      </c>
      <c r="DD1119" s="216">
        <f>HLOOKUP($H1119,'GDP-PI'!$D$8:$CQ$11,3,FALSE)</f>
        <v>1.841352814597208E-2</v>
      </c>
      <c r="DE1119" s="111">
        <f>VLOOKUP(H1119,'HW Dx Data'!$E:$F,2,FALSE)</f>
        <v>684.46914285042885</v>
      </c>
      <c r="DF1119" s="72">
        <f t="shared" si="2037"/>
        <v>129.4</v>
      </c>
      <c r="DG1119" s="69">
        <f t="shared" si="2038"/>
        <v>2.0297340063674733E-2</v>
      </c>
      <c r="DH1119" s="66">
        <f>HLOOKUP(H1119,'GDP-PI'!$8:$9,2,FALSE)</f>
        <v>103.64700000000001</v>
      </c>
      <c r="DI1119" s="69">
        <f t="shared" si="2028"/>
        <v>1.8246051898256087E-2</v>
      </c>
    </row>
    <row r="1120" spans="1:113" s="160" customFormat="1" ht="21">
      <c r="A1120" s="160" t="s">
        <v>226</v>
      </c>
      <c r="B1120" s="160" t="s">
        <v>226</v>
      </c>
      <c r="C1120" s="160">
        <v>4057100</v>
      </c>
      <c r="D1120" s="161" t="s">
        <v>227</v>
      </c>
      <c r="E1120" s="161"/>
      <c r="F1120" s="189"/>
      <c r="G1120" s="160" t="s">
        <v>132</v>
      </c>
      <c r="H1120" s="162">
        <v>2015</v>
      </c>
      <c r="I1120" s="163"/>
      <c r="J1120" s="159">
        <f>IFERROR(INDEX('Labor Expenditures'!$F$7:$X$91,MATCH($C1120,'Labor Expenditures'!$D$7:$D$91,0),MATCH($G1120,'Labor Expenditures'!$F$5:$X$5,0)),"NA")</f>
        <v>8668.5818518813721</v>
      </c>
      <c r="K1120" s="159">
        <f t="shared" si="2029"/>
        <v>64.933197392369834</v>
      </c>
      <c r="L1120" s="165">
        <f t="shared" si="2035"/>
        <v>-7.7424839522085551E-2</v>
      </c>
      <c r="M1120" s="76">
        <f t="shared" si="2039"/>
        <v>-2.198872454534113E-4</v>
      </c>
      <c r="N1120" s="62">
        <f t="shared" si="2045"/>
        <v>122.51865477176989</v>
      </c>
      <c r="O1120" s="96">
        <f t="shared" si="2040"/>
        <v>5.403912862649296E-4</v>
      </c>
      <c r="P1120" s="96"/>
      <c r="Q1120" s="159">
        <f>IFERROR(INDEX('Non-Labor Expenditures'!$F$7:$AB$91,MATCH($C1120,'Non-Labor Expenditures'!$D$7:$D$91,0),MATCH($G1120,'Non-Labor Expenditures'!$F$5:$AB$5,0)),"NA")</f>
        <v>12553.72558928077</v>
      </c>
      <c r="R1120" s="159">
        <f t="shared" si="2030"/>
        <v>119.97176568278338</v>
      </c>
      <c r="S1120" s="165">
        <f t="shared" si="2041"/>
        <v>-5.5757179934024098E-2</v>
      </c>
      <c r="T1120" s="165">
        <f t="shared" si="2042"/>
        <v>-1.5835089598662338E-4</v>
      </c>
      <c r="U1120" s="165"/>
      <c r="V1120" s="165"/>
      <c r="W1120" s="159">
        <f t="shared" si="2011"/>
        <v>11430.17763480378</v>
      </c>
      <c r="X1120" s="163"/>
      <c r="Y1120" s="167">
        <v>590.52086324831214</v>
      </c>
      <c r="Z1120" s="168">
        <v>7.1796695710031971E-2</v>
      </c>
      <c r="AA1120" s="76">
        <f t="shared" si="2031"/>
        <v>2.0390326605497668E-4</v>
      </c>
      <c r="AB1120" s="168"/>
      <c r="AC1120" s="168"/>
      <c r="AD1120" s="163">
        <f t="shared" si="2005"/>
        <v>32652.485075965924</v>
      </c>
      <c r="AE1120" s="168">
        <f t="shared" si="2043"/>
        <v>-1.475484193179314E-2</v>
      </c>
      <c r="AF1120" s="163"/>
      <c r="AG1120" s="163"/>
      <c r="AH1120" s="163"/>
      <c r="AI1120" s="163"/>
      <c r="AJ1120" s="116">
        <f t="shared" si="2044"/>
        <v>293.42372081456784</v>
      </c>
      <c r="AK1120" s="114">
        <f>+AV1120/$AX$20</f>
        <v>3.0545011655748735E-3</v>
      </c>
      <c r="AL1120" s="115">
        <f t="shared" si="2032"/>
        <v>0.26548000348867595</v>
      </c>
      <c r="AM1120" s="115">
        <f t="shared" si="2033"/>
        <v>0.38446462987654872</v>
      </c>
      <c r="AN1120" s="115">
        <f t="shared" si="2034"/>
        <v>0.35005536663477532</v>
      </c>
      <c r="AO1120" s="115">
        <f t="shared" si="2036"/>
        <v>-1.8276080504569778E-2</v>
      </c>
      <c r="AP1120" s="166">
        <f t="shared" si="2047"/>
        <v>116.38822897579141</v>
      </c>
      <c r="AQ1120" s="168">
        <f t="shared" si="2048"/>
        <v>-1.8276080504569785E-2</v>
      </c>
      <c r="AR1120" s="69">
        <f>+AD1120/$AF$20</f>
        <v>2.8400090566631157E-3</v>
      </c>
      <c r="AS1120" s="169">
        <f t="shared" si="2046"/>
        <v>-5.1904234153282399E-5</v>
      </c>
      <c r="AT1120" s="115"/>
      <c r="AU1120" s="115"/>
      <c r="AV1120" s="113">
        <f>IFERROR(INDEX('Total Customers'!$F$7:$AB$91,MATCH($C1120,'Total Customers'!$D$7:$D$91,0),MATCH($G1120,'Total Customers'!$F$5:$AB$5,0)),"NA")</f>
        <v>111281</v>
      </c>
      <c r="AW1120" s="68">
        <f t="shared" si="2004"/>
        <v>1.0969251234759037E-3</v>
      </c>
      <c r="AX1120" s="114"/>
      <c r="AY1120" s="114"/>
      <c r="AZ1120" s="116"/>
      <c r="BA1120" s="116"/>
      <c r="BB1120" s="166"/>
      <c r="BC1120" s="166"/>
      <c r="BD1120" s="166"/>
      <c r="BE1120" s="166"/>
      <c r="BF1120" s="166"/>
      <c r="BG1120" s="166"/>
      <c r="BH1120" s="166"/>
      <c r="BI1120" s="113"/>
      <c r="BJ1120" s="113"/>
      <c r="BK1120" s="113">
        <f>INDEX('Dist. Plant Gas Additions'!$F$7:$AE$91,MATCH($C1120,'Dist. Plant Gas Additions'!$D$7:$D$91,0),MATCH(Calculation!$G1120,'Dist. Plant Gas Additions'!$F$5:$AE$5,0))</f>
        <v>29541</v>
      </c>
      <c r="BL1120" s="113">
        <f>INDEX('Gen. Plant Additions'!$F$7:$AE$91,MATCH($C1120,'Gen. Plant Additions'!$D$7:$D$91,0),MATCH(Calculation!$G1120,'Gen. Plant Additions'!$F$5:$AE$5,0))</f>
        <v>1097</v>
      </c>
      <c r="BM1120" s="231">
        <f t="shared" si="2012"/>
        <v>0.95379738977948136</v>
      </c>
      <c r="BN1120" s="61">
        <f t="shared" si="2049"/>
        <v>1046.3157365880911</v>
      </c>
      <c r="BO1120" s="113">
        <f>INDEX('Dist Plant Depreciation'!$E$7:$AD$94,MATCH($C1120,'Dist Plant Depreciation'!$D$7:$D$94,0),MATCH(Calculation!$G1120,'Dist Plant Depreciation'!$E$5:$AD$5,0))</f>
        <v>87364</v>
      </c>
      <c r="BP1120" s="113">
        <f>INDEX('Gen. Plant Depreciation'!$E$7:$AD$94,MATCH($C1120,'Gen. Plant Depreciation'!$D$7:$D$94,0),MATCH(Calculation!$G1120,'Gen. Plant Depreciation'!$E$5:$AD$5,0))</f>
        <v>6230</v>
      </c>
      <c r="BQ1120" s="113"/>
      <c r="BR1120" s="113"/>
      <c r="BS1120" s="113"/>
      <c r="BT1120" s="113"/>
      <c r="BU1120" s="113"/>
      <c r="BV1120" s="175"/>
      <c r="BW1120" s="113">
        <f>INDEX('Gross Dx Plant'!$E$7:$AD$91,MATCH($C1120,'Gross Dx Plant'!$D$7:$D$91,0),MATCH(Calculation!$G1120,'Gross Dx Plant'!$E$5:$AD$5,0))</f>
        <v>245847</v>
      </c>
      <c r="BX1120" s="113">
        <f>INDEX('Gross Gen Plant'!$E$7:$AD$91,MATCH($C1120,'Gross Gen Plant'!$D$7:$D$91,0),MATCH(Calculation!$G1120,'Gross Gen Plant'!$E$5:$AD$5,0))</f>
        <v>11909</v>
      </c>
      <c r="BY1120" s="113">
        <f t="shared" si="1999"/>
        <v>164162</v>
      </c>
      <c r="BZ1120" s="113"/>
      <c r="CA1120" s="116">
        <v>2015</v>
      </c>
      <c r="CB1120" s="113"/>
      <c r="CC1120" s="113"/>
      <c r="CD1120" s="113"/>
      <c r="CE1120" s="175"/>
      <c r="CF1120" s="113">
        <f t="shared" si="2013"/>
        <v>30638</v>
      </c>
      <c r="CG1120" s="113">
        <f t="shared" si="2014"/>
        <v>45.348336906240768</v>
      </c>
      <c r="CH1120" s="178">
        <v>0.88888888888888884</v>
      </c>
      <c r="CI1120" s="61">
        <f>+CI1103*CH1120+CG1104*CH1119+CG1105*CH1118+CG1106*CH1117+CG1107*CH1116+CG1108*CH1115+CG1109*CH1114+CG1110*CH1113+CG1111*CH1112+CG1112*CH1111+CG1113*CH1110+CG1114*CH1109+CG1115*CH1108+CG1116*CH1107+CG1117*CH1106+CG1118*CH1105+CG1119*CH1104+CG1120</f>
        <v>590.52086324831214</v>
      </c>
      <c r="CJ1120" s="114">
        <f t="shared" si="2015"/>
        <v>7.1796695710031971E-2</v>
      </c>
      <c r="CK1120" s="114"/>
      <c r="CL1120" s="169">
        <f t="shared" si="2016"/>
        <v>8.0731993979498064E-3</v>
      </c>
      <c r="CM1120" s="169">
        <f t="shared" si="2024"/>
        <v>7.9117386756622689E-3</v>
      </c>
      <c r="CN1120" s="114">
        <f>VLOOKUP($H1120,RoR!$E:$F,2,FALSE)</f>
        <v>3.8866666666666674E-2</v>
      </c>
      <c r="CO1120" s="169">
        <v>9.5709475431029478E-3</v>
      </c>
      <c r="CP1120" s="169">
        <f t="shared" si="2022"/>
        <v>2.9295719123563727E-2</v>
      </c>
      <c r="CQ1120" s="169">
        <f t="shared" si="2025"/>
        <v>2.2990202932871358E-2</v>
      </c>
      <c r="CR1120" s="169">
        <f t="shared" si="2026"/>
        <v>3.5270373279175926E-3</v>
      </c>
      <c r="CS1120" s="179">
        <f t="shared" si="2017"/>
        <v>0.87050000000000005</v>
      </c>
      <c r="CT1120" s="180">
        <f t="shared" si="2018"/>
        <v>1.3194352816994324</v>
      </c>
      <c r="CU1120" s="180">
        <f t="shared" si="2019"/>
        <v>0.33177530017152673</v>
      </c>
      <c r="CV1120" s="180">
        <f t="shared" si="2020"/>
        <v>0.78242572977668579</v>
      </c>
      <c r="CW1120" s="180">
        <f t="shared" si="2021"/>
        <v>0.34251158643433932</v>
      </c>
      <c r="CX1120" s="181">
        <f>INDEX('State Tax Lookup'!$D$7:$Z$91,MATCH(Calculation!$C1120,'State Tax Lookup'!$B$7:$B$91,0),MATCH($H1120,'State Tax Lookup'!$D$6:$Z$6,0))</f>
        <v>0.35</v>
      </c>
      <c r="CY1120" s="72">
        <v>0.37</v>
      </c>
      <c r="CZ1120" s="70">
        <f t="shared" si="2023"/>
        <v>20.796901868253716</v>
      </c>
      <c r="DA1120" s="70">
        <v>20.279488671080099</v>
      </c>
      <c r="DB1120" s="69">
        <f t="shared" si="2027"/>
        <v>-1.9601718576730025E-2</v>
      </c>
      <c r="DC1120" s="111">
        <f>VLOOKUP($H1120,RoR!$E:$F,2,FALSE)</f>
        <v>3.8866666666666674E-2</v>
      </c>
      <c r="DD1120" s="216">
        <f>HLOOKUP($H1120,'GDP-PI'!$D$8:$CQ$11,3,FALSE)</f>
        <v>9.5709475431029478E-3</v>
      </c>
      <c r="DE1120" s="111">
        <f>VLOOKUP(H1120,'HW Dx Data'!$E:$F,2,FALSE)</f>
        <v>675.61463308665782</v>
      </c>
      <c r="DF1120" s="72">
        <f t="shared" si="2037"/>
        <v>133.5</v>
      </c>
      <c r="DG1120" s="69">
        <f t="shared" si="2038"/>
        <v>3.1193095773504077E-2</v>
      </c>
      <c r="DH1120" s="66">
        <f>HLOOKUP(H1120,'GDP-PI'!$8:$9,2,FALSE)</f>
        <v>104.639</v>
      </c>
      <c r="DI1120" s="69">
        <f t="shared" si="2028"/>
        <v>9.5254361854427965E-3</v>
      </c>
    </row>
    <row r="1121" spans="1:113" s="160" customFormat="1" ht="21">
      <c r="A1121" s="160" t="s">
        <v>226</v>
      </c>
      <c r="B1121" s="160" t="s">
        <v>226</v>
      </c>
      <c r="C1121" s="160">
        <v>4057100</v>
      </c>
      <c r="D1121" s="161" t="s">
        <v>227</v>
      </c>
      <c r="E1121" s="161"/>
      <c r="F1121" s="189"/>
      <c r="G1121" s="160" t="s">
        <v>133</v>
      </c>
      <c r="H1121" s="162">
        <v>2016</v>
      </c>
      <c r="I1121" s="163"/>
      <c r="J1121" s="159">
        <f>IFERROR(INDEX('Labor Expenditures'!$F$7:$X$91,MATCH($C1121,'Labor Expenditures'!$D$7:$D$91,0),MATCH($G1121,'Labor Expenditures'!$F$5:$X$5,0)),"NA")</f>
        <v>8743.9487194526482</v>
      </c>
      <c r="K1121" s="159">
        <f t="shared" si="2029"/>
        <v>63.847745304510035</v>
      </c>
      <c r="L1121" s="165">
        <f t="shared" si="2035"/>
        <v>-1.685773951683852E-2</v>
      </c>
      <c r="M1121" s="76">
        <f t="shared" si="2039"/>
        <v>-4.750698917094136E-5</v>
      </c>
      <c r="N1121" s="62">
        <f t="shared" si="2045"/>
        <v>303.89372277747015</v>
      </c>
      <c r="O1121" s="96">
        <f t="shared" si="2040"/>
        <v>0.90841474191455107</v>
      </c>
      <c r="P1121" s="96"/>
      <c r="Q1121" s="159">
        <f>IFERROR(INDEX('Non-Labor Expenditures'!$F$7:$AB$91,MATCH($C1121,'Non-Labor Expenditures'!$D$7:$D$91,0),MATCH($G1121,'Non-Labor Expenditures'!$F$5:$AB$5,0)),"NA")</f>
        <v>12662.870890113121</v>
      </c>
      <c r="R1121" s="159">
        <f t="shared" si="2030"/>
        <v>119.75931461482486</v>
      </c>
      <c r="S1121" s="165">
        <f t="shared" si="2041"/>
        <v>-1.7724120152607218E-3</v>
      </c>
      <c r="T1121" s="165">
        <f t="shared" si="2042"/>
        <v>-4.9948546382112206E-6</v>
      </c>
      <c r="U1121" s="165"/>
      <c r="V1121" s="165"/>
      <c r="W1121" s="159">
        <f t="shared" si="2011"/>
        <v>12122.346744563607</v>
      </c>
      <c r="X1121" s="163"/>
      <c r="Y1121" s="167">
        <v>626.93943631158379</v>
      </c>
      <c r="Z1121" s="168">
        <v>5.984497665389793E-2</v>
      </c>
      <c r="AA1121" s="76">
        <f t="shared" si="2031"/>
        <v>1.6864981541517794E-4</v>
      </c>
      <c r="AB1121" s="168"/>
      <c r="AC1121" s="168"/>
      <c r="AD1121" s="163">
        <f t="shared" si="2005"/>
        <v>33529.166354129375</v>
      </c>
      <c r="AE1121" s="168">
        <f t="shared" si="2043"/>
        <v>2.649473206975015E-2</v>
      </c>
      <c r="AF1121" s="163"/>
      <c r="AG1121" s="163"/>
      <c r="AH1121" s="163"/>
      <c r="AI1121" s="163"/>
      <c r="AJ1121" s="116">
        <f t="shared" si="2044"/>
        <v>299.45846376694152</v>
      </c>
      <c r="AK1121" s="114">
        <f>+AV1121/$AX$21</f>
        <v>3.0467457758600186E-3</v>
      </c>
      <c r="AL1121" s="115">
        <f t="shared" si="2032"/>
        <v>0.26078634425623781</v>
      </c>
      <c r="AM1121" s="115">
        <f t="shared" si="2033"/>
        <v>0.37766733465335894</v>
      </c>
      <c r="AN1121" s="115">
        <f t="shared" si="2034"/>
        <v>0.36154632109040336</v>
      </c>
      <c r="AO1121" s="115">
        <f t="shared" si="2036"/>
        <v>1.6181656765439451E-2</v>
      </c>
      <c r="AP1121" s="166">
        <f t="shared" si="2047"/>
        <v>118.28690377068004</v>
      </c>
      <c r="AQ1121" s="168">
        <f t="shared" si="2048"/>
        <v>1.6181656765439496E-2</v>
      </c>
      <c r="AR1121" s="69">
        <f>+AD1121/$AF$21</f>
        <v>2.8181114747614015E-3</v>
      </c>
      <c r="AS1121" s="169">
        <f t="shared" si="2046"/>
        <v>4.5601712611335506E-5</v>
      </c>
      <c r="AT1121" s="115"/>
      <c r="AU1121" s="115"/>
      <c r="AV1121" s="113">
        <f>IFERROR(INDEX('Total Customers'!$F$7:$AB$91,MATCH($C1121,'Total Customers'!$D$7:$D$91,0),MATCH($G1121,'Total Customers'!$F$5:$AB$5,0)),"NA")</f>
        <v>111966</v>
      </c>
      <c r="AW1121" s="68">
        <f t="shared" si="2004"/>
        <v>6.1367198638169551E-3</v>
      </c>
      <c r="AX1121" s="114"/>
      <c r="AY1121" s="114"/>
      <c r="AZ1121" s="116"/>
      <c r="BA1121" s="116"/>
      <c r="BB1121" s="166"/>
      <c r="BC1121" s="166"/>
      <c r="BD1121" s="166"/>
      <c r="BE1121" s="166"/>
      <c r="BF1121" s="166"/>
      <c r="BG1121" s="166"/>
      <c r="BH1121" s="166"/>
      <c r="BI1121" s="113"/>
      <c r="BJ1121" s="113"/>
      <c r="BK1121" s="113">
        <f>INDEX('Dist. Plant Gas Additions'!$F$7:$AE$91,MATCH($C1121,'Dist. Plant Gas Additions'!$D$7:$D$91,0),MATCH(Calculation!$G1121,'Dist. Plant Gas Additions'!$F$5:$AE$5,0))</f>
        <v>27173</v>
      </c>
      <c r="BL1121" s="113">
        <f>INDEX('Gen. Plant Additions'!$F$7:$AE$91,MATCH($C1121,'Gen. Plant Additions'!$D$7:$D$91,0),MATCH(Calculation!$G1121,'Gen. Plant Additions'!$F$5:$AE$5,0))</f>
        <v>524</v>
      </c>
      <c r="BM1121" s="231">
        <f t="shared" si="2012"/>
        <v>0.95660758531366141</v>
      </c>
      <c r="BN1121" s="61">
        <f t="shared" si="2049"/>
        <v>501.26237470435859</v>
      </c>
      <c r="BO1121" s="113">
        <f>INDEX('Dist Plant Depreciation'!$E$7:$AD$94,MATCH($C1121,'Dist Plant Depreciation'!$D$7:$D$94,0),MATCH(Calculation!$G1121,'Dist Plant Depreciation'!$E$5:$AD$5,0))</f>
        <v>92450</v>
      </c>
      <c r="BP1121" s="113">
        <f>INDEX('Gen. Plant Depreciation'!$E$7:$AD$94,MATCH($C1121,'Gen. Plant Depreciation'!$D$7:$D$94,0),MATCH(Calculation!$G1121,'Gen. Plant Depreciation'!$E$5:$AD$5,0))</f>
        <v>6699</v>
      </c>
      <c r="BQ1121" s="113"/>
      <c r="BR1121" s="113"/>
      <c r="BS1121" s="113"/>
      <c r="BT1121" s="113"/>
      <c r="BU1121" s="113"/>
      <c r="BV1121" s="175"/>
      <c r="BW1121" s="113">
        <f>INDEX('Gross Dx Plant'!$E$7:$AD$91,MATCH($C1121,'Gross Dx Plant'!$D$7:$D$91,0),MATCH(Calculation!$G1121,'Gross Dx Plant'!$E$5:$AD$5,0))</f>
        <v>271799</v>
      </c>
      <c r="BX1121" s="113">
        <f>INDEX('Gross Gen Plant'!$E$7:$AD$91,MATCH($C1121,'Gross Gen Plant'!$D$7:$D$91,0),MATCH(Calculation!$G1121,'Gross Gen Plant'!$E$5:$AD$5,0))</f>
        <v>12329</v>
      </c>
      <c r="BY1121" s="113">
        <f t="shared" si="1999"/>
        <v>184979</v>
      </c>
      <c r="BZ1121" s="113"/>
      <c r="CA1121" s="116">
        <v>2016</v>
      </c>
      <c r="CB1121" s="113"/>
      <c r="CC1121" s="113"/>
      <c r="CD1121" s="113"/>
      <c r="CE1121" s="175"/>
      <c r="CF1121" s="113">
        <f t="shared" si="2013"/>
        <v>27697</v>
      </c>
      <c r="CG1121" s="113">
        <f t="shared" si="2014"/>
        <v>41.249141795776467</v>
      </c>
      <c r="CH1121" s="178">
        <v>0.88</v>
      </c>
      <c r="CI1121" s="61">
        <f>+CI1103*CH1121+CG1104*CH1120+CG1105*CH1119+CG1106*CH1118+CG1107*CH1117+CG1108*CH1116+CG1109*CH1115+CG1110*CH1114+CG1111*CH1113+CG1112*CH1112+CG1113*CH1111+CG1114*CH1110+CG1115*CH1109+CG1116*CH1108+CG1117*CH1107+CG1118*CH1106+CG1119*CH1105+CG1120*CH1104+CG1121</f>
        <v>626.93943631158379</v>
      </c>
      <c r="CJ1121" s="114">
        <f t="shared" si="2015"/>
        <v>5.984497665389793E-2</v>
      </c>
      <c r="CK1121" s="114"/>
      <c r="CL1121" s="169">
        <f t="shared" si="2016"/>
        <v>8.1801830098483363E-3</v>
      </c>
      <c r="CM1121" s="169">
        <f t="shared" si="2024"/>
        <v>8.0669910261870707E-3</v>
      </c>
      <c r="CN1121" s="114">
        <f>VLOOKUP($H1121,RoR!$E:$F,2,FALSE)</f>
        <v>3.6658333333333334E-2</v>
      </c>
      <c r="CO1121" s="169">
        <v>1.0483662879041455E-2</v>
      </c>
      <c r="CP1121" s="169">
        <f t="shared" si="2022"/>
        <v>2.6174670454291879E-2</v>
      </c>
      <c r="CQ1121" s="169">
        <f t="shared" si="2025"/>
        <v>2.2834950582346553E-2</v>
      </c>
      <c r="CR1121" s="169">
        <f t="shared" si="2026"/>
        <v>4.301363574220729E-3</v>
      </c>
      <c r="CS1121" s="179">
        <f t="shared" si="2017"/>
        <v>0.87050000000000005</v>
      </c>
      <c r="CT1121" s="180">
        <f t="shared" si="2018"/>
        <v>1.3989193348138562</v>
      </c>
      <c r="CU1121" s="180">
        <f t="shared" si="2019"/>
        <v>0.29302682427824522</v>
      </c>
      <c r="CV1121" s="180">
        <f t="shared" si="2020"/>
        <v>0.76309497491941802</v>
      </c>
      <c r="CW1121" s="180">
        <f t="shared" si="2021"/>
        <v>0.31280857135128509</v>
      </c>
      <c r="CX1121" s="181">
        <f>INDEX('State Tax Lookup'!$D$7:$Z$91,MATCH(Calculation!$C1121,'State Tax Lookup'!$B$7:$B$91,0),MATCH($H1121,'State Tax Lookup'!$D$6:$Z$6,0))</f>
        <v>0.35</v>
      </c>
      <c r="CY1121" s="72">
        <v>0.37</v>
      </c>
      <c r="CZ1121" s="70">
        <f t="shared" si="2023"/>
        <v>20.528227703728394</v>
      </c>
      <c r="DA1121" s="70">
        <v>19.909765876209278</v>
      </c>
      <c r="DB1121" s="69">
        <f t="shared" si="2027"/>
        <v>-1.3003126811491105E-2</v>
      </c>
      <c r="DC1121" s="111">
        <f>VLOOKUP($H1121,RoR!$E:$F,2,FALSE)</f>
        <v>3.6658333333333334E-2</v>
      </c>
      <c r="DD1121" s="216">
        <f>HLOOKUP($H1121,'GDP-PI'!$D$8:$CQ$11,3,FALSE)</f>
        <v>1.0483662879041455E-2</v>
      </c>
      <c r="DE1121" s="111">
        <f>VLOOKUP(H1121,'HW Dx Data'!$E:$F,2,FALSE)</f>
        <v>671.45639385971219</v>
      </c>
      <c r="DF1121" s="72">
        <f t="shared" si="2037"/>
        <v>136.94999999999999</v>
      </c>
      <c r="DG1121" s="69">
        <f t="shared" si="2038"/>
        <v>2.5514417868782811E-2</v>
      </c>
      <c r="DH1121" s="66">
        <f>HLOOKUP(H1121,'GDP-PI'!$8:$9,2,FALSE)</f>
        <v>105.736</v>
      </c>
      <c r="DI1121" s="69">
        <f t="shared" si="2028"/>
        <v>1.0429090367205095E-2</v>
      </c>
    </row>
    <row r="1122" spans="1:113" s="160" customFormat="1" ht="21">
      <c r="A1122" s="160" t="s">
        <v>226</v>
      </c>
      <c r="B1122" s="160" t="s">
        <v>226</v>
      </c>
      <c r="C1122" s="160">
        <v>4057100</v>
      </c>
      <c r="D1122" s="161" t="s">
        <v>227</v>
      </c>
      <c r="E1122" s="161"/>
      <c r="F1122" s="189"/>
      <c r="G1122" s="160" t="s">
        <v>135</v>
      </c>
      <c r="H1122" s="162">
        <v>2017</v>
      </c>
      <c r="I1122" s="163"/>
      <c r="J1122" s="159">
        <f>IFERROR(INDEX('Labor Expenditures'!$F$7:$X$91,MATCH($C1122,'Labor Expenditures'!$D$7:$D$91,0),MATCH($G1122,'Labor Expenditures'!$F$5:$X$5,0)),"NA")</f>
        <v>9966.6128451146342</v>
      </c>
      <c r="K1122" s="159">
        <f t="shared" si="2029"/>
        <v>70.96199960921777</v>
      </c>
      <c r="L1122" s="165">
        <f t="shared" si="2035"/>
        <v>0.10564324751548311</v>
      </c>
      <c r="M1122" s="76">
        <f t="shared" si="2039"/>
        <v>3.2325533089104568E-4</v>
      </c>
      <c r="N1122" s="62">
        <f t="shared" si="2045"/>
        <v>170.58932484419552</v>
      </c>
      <c r="O1122" s="96">
        <f t="shared" si="2040"/>
        <v>-0.57741898524085666</v>
      </c>
      <c r="P1122" s="96"/>
      <c r="Q1122" s="159">
        <f>IFERROR(INDEX('Non-Labor Expenditures'!$F$7:$AB$91,MATCH($C1122,'Non-Labor Expenditures'!$D$7:$D$91,0),MATCH($G1122,'Non-Labor Expenditures'!$F$5:$AB$5,0)),"NA")</f>
        <v>14433.516906230188</v>
      </c>
      <c r="R1122" s="159">
        <f t="shared" si="2030"/>
        <v>133.95251001132414</v>
      </c>
      <c r="S1122" s="165">
        <f t="shared" si="2041"/>
        <v>0.11200131712890322</v>
      </c>
      <c r="T1122" s="165">
        <f t="shared" si="2042"/>
        <v>3.4271024112005202E-4</v>
      </c>
      <c r="U1122" s="165"/>
      <c r="V1122" s="165"/>
      <c r="W1122" s="159">
        <f t="shared" si="2011"/>
        <v>11831.165923782613</v>
      </c>
      <c r="X1122" s="163"/>
      <c r="Y1122" s="167">
        <v>661.85373292579845</v>
      </c>
      <c r="Z1122" s="168">
        <v>5.4194641119530387E-2</v>
      </c>
      <c r="AA1122" s="76">
        <f t="shared" si="2031"/>
        <v>1.6582892953047207E-4</v>
      </c>
      <c r="AB1122" s="168"/>
      <c r="AC1122" s="168"/>
      <c r="AD1122" s="163">
        <f t="shared" si="2005"/>
        <v>36231.295675127432</v>
      </c>
      <c r="AE1122" s="168">
        <f t="shared" si="2043"/>
        <v>7.7507569277904337E-2</v>
      </c>
      <c r="AF1122" s="163"/>
      <c r="AG1122" s="163"/>
      <c r="AH1122" s="163"/>
      <c r="AI1122" s="163"/>
      <c r="AJ1122" s="116">
        <f t="shared" si="2044"/>
        <v>322.65251019776503</v>
      </c>
      <c r="AK1122" s="114">
        <f>+AV1122/$AX$22</f>
        <v>3.0326593418179663E-3</v>
      </c>
      <c r="AL1122" s="115">
        <f t="shared" si="2032"/>
        <v>0.27508298169851692</v>
      </c>
      <c r="AM1122" s="115">
        <f t="shared" si="2033"/>
        <v>0.39837153591332125</v>
      </c>
      <c r="AN1122" s="115">
        <f t="shared" si="2034"/>
        <v>0.32654548238816195</v>
      </c>
      <c r="AO1122" s="115">
        <f t="shared" si="2036"/>
        <v>9.0409619915649581E-2</v>
      </c>
      <c r="AP1122" s="166">
        <f t="shared" si="2047"/>
        <v>129.47951473179162</v>
      </c>
      <c r="AQ1122" s="168">
        <f t="shared" si="2048"/>
        <v>9.0409619915649622E-2</v>
      </c>
      <c r="AR1122" s="69">
        <f>+AD1122/$AF$22</f>
        <v>3.0598768827479416E-3</v>
      </c>
      <c r="AS1122" s="169">
        <f t="shared" si="2046"/>
        <v>2.7664230595792421E-4</v>
      </c>
      <c r="AT1122" s="115"/>
      <c r="AU1122" s="115"/>
      <c r="AV1122" s="113">
        <f>IFERROR(INDEX('Total Customers'!$F$7:$AB$91,MATCH($C1122,'Total Customers'!$D$7:$D$91,0),MATCH($G1122,'Total Customers'!$F$5:$AB$5,0)),"NA")</f>
        <v>112292</v>
      </c>
      <c r="AW1122" s="68">
        <f t="shared" si="2004"/>
        <v>2.907367671467698E-3</v>
      </c>
      <c r="AX1122" s="114"/>
      <c r="AY1122" s="114"/>
      <c r="AZ1122" s="116"/>
      <c r="BA1122" s="116"/>
      <c r="BB1122" s="166"/>
      <c r="BC1122" s="166"/>
      <c r="BD1122" s="166"/>
      <c r="BE1122" s="166"/>
      <c r="BF1122" s="166"/>
      <c r="BG1122" s="166"/>
      <c r="BH1122" s="166"/>
      <c r="BI1122" s="113"/>
      <c r="BJ1122" s="113"/>
      <c r="BK1122" s="113">
        <f>INDEX('Dist. Plant Gas Additions'!$F$7:$AE$91,MATCH($C1122,'Dist. Plant Gas Additions'!$D$7:$D$91,0),MATCH(Calculation!$G1122,'Dist. Plant Gas Additions'!$F$5:$AE$5,0))</f>
        <v>28052</v>
      </c>
      <c r="BL1122" s="113">
        <f>INDEX('Gen. Plant Additions'!$F$7:$AE$91,MATCH($C1122,'Gen. Plant Additions'!$D$7:$D$91,0),MATCH(Calculation!$G1122,'Gen. Plant Additions'!$F$5:$AE$5,0))</f>
        <v>541</v>
      </c>
      <c r="BM1122" s="231">
        <f t="shared" si="2012"/>
        <v>0.95997090197441692</v>
      </c>
      <c r="BN1122" s="61">
        <f t="shared" si="2049"/>
        <v>519.34425796815958</v>
      </c>
      <c r="BO1122" s="113">
        <f>INDEX('Dist Plant Depreciation'!$E$7:$AD$94,MATCH($C1122,'Dist Plant Depreciation'!$D$7:$D$94,0),MATCH(Calculation!$G1122,'Dist Plant Depreciation'!$E$5:$AD$5,0))</f>
        <v>97857</v>
      </c>
      <c r="BP1122" s="113">
        <f>INDEX('Gen. Plant Depreciation'!$E$7:$AD$94,MATCH($C1122,'Gen. Plant Depreciation'!$D$7:$D$94,0),MATCH(Calculation!$G1122,'Gen. Plant Depreciation'!$E$5:$AD$5,0))</f>
        <v>6869</v>
      </c>
      <c r="BQ1122" s="113"/>
      <c r="BR1122" s="113"/>
      <c r="BS1122" s="113"/>
      <c r="BT1122" s="113"/>
      <c r="BU1122" s="113"/>
      <c r="BV1122" s="175"/>
      <c r="BW1122" s="113">
        <f>INDEX('Gross Dx Plant'!$E$7:$AD$91,MATCH($C1122,'Gross Dx Plant'!$D$7:$D$91,0),MATCH(Calculation!$G1122,'Gross Dx Plant'!$E$5:$AD$5,0))</f>
        <v>298238</v>
      </c>
      <c r="BX1122" s="113">
        <f>INDEX('Gross Gen Plant'!$E$7:$AD$91,MATCH($C1122,'Gross Gen Plant'!$D$7:$D$91,0),MATCH(Calculation!$G1122,'Gross Gen Plant'!$E$5:$AD$5,0))</f>
        <v>12436</v>
      </c>
      <c r="BY1122" s="113">
        <f t="shared" si="1999"/>
        <v>205948</v>
      </c>
      <c r="BZ1122" s="113"/>
      <c r="CA1122" s="116">
        <v>2017</v>
      </c>
      <c r="CB1122" s="113"/>
      <c r="CC1122" s="113"/>
      <c r="CD1122" s="113"/>
      <c r="CE1122" s="175"/>
      <c r="CF1122" s="113">
        <f t="shared" si="2013"/>
        <v>28593</v>
      </c>
      <c r="CG1122" s="113">
        <f t="shared" si="2014"/>
        <v>40.134549138118473</v>
      </c>
      <c r="CH1122" s="178">
        <v>0.87074829931972786</v>
      </c>
      <c r="CI1122" s="61">
        <f>+CI1103*CH1122+CG1104*CH1121+CG1105*CH1120+CG1106*CH1119+CG1107*CH1118+CG1108*CH1117+CG1109*CH1116+CG1110*CH1115+CG1111*CH1114+CG1112*CH1113+CG1113*CH1112+CG1114*CH1111+CG1115*CH1110+CG1116*CH1109+CG1117*CH1108+CG1118*CH1107+CG1119*CH1106+CG1120*CH1105+CG1121*CH1104+CG1122</f>
        <v>661.85373292579845</v>
      </c>
      <c r="CJ1122" s="114">
        <f t="shared" si="2015"/>
        <v>5.4194641119530387E-2</v>
      </c>
      <c r="CK1122" s="114"/>
      <c r="CL1122" s="169">
        <f t="shared" si="2016"/>
        <v>8.326565887473358E-3</v>
      </c>
      <c r="CM1122" s="169">
        <f t="shared" si="2024"/>
        <v>8.1933160984238324E-3</v>
      </c>
      <c r="CN1122" s="114">
        <f>VLOOKUP($H1122,RoR!$E:$F,2,FALSE)</f>
        <v>3.7433333333333339E-2</v>
      </c>
      <c r="CO1122" s="169">
        <v>1.9056896421275615E-2</v>
      </c>
      <c r="CP1122" s="169">
        <f t="shared" si="2022"/>
        <v>1.8376436912057724E-2</v>
      </c>
      <c r="CQ1122" s="169">
        <f t="shared" si="2025"/>
        <v>2.2708625510109791E-2</v>
      </c>
      <c r="CR1122" s="169">
        <f t="shared" si="2026"/>
        <v>1.3976271617800498E-2</v>
      </c>
      <c r="CS1122" s="179">
        <f t="shared" si="2017"/>
        <v>0.92230000000000001</v>
      </c>
      <c r="CT1122" s="180">
        <f t="shared" si="2018"/>
        <v>1.3699568463593395</v>
      </c>
      <c r="CU1122" s="180">
        <f t="shared" si="2019"/>
        <v>0.30714603739982199</v>
      </c>
      <c r="CV1122" s="180">
        <f t="shared" si="2020"/>
        <v>0.77007188472689425</v>
      </c>
      <c r="CW1122" s="180">
        <f t="shared" si="2021"/>
        <v>0.32402839633793828</v>
      </c>
      <c r="CX1122" s="181">
        <f>INDEX('State Tax Lookup'!$D$7:$Z$91,MATCH(Calculation!$C1122,'State Tax Lookup'!$B$7:$B$91,0),MATCH($H1122,'State Tax Lookup'!$D$6:$Z$6,0))</f>
        <v>0.20999999999999996</v>
      </c>
      <c r="CY1122" s="72">
        <v>0.37</v>
      </c>
      <c r="CZ1122" s="70">
        <f t="shared" si="2023"/>
        <v>18.871305964397205</v>
      </c>
      <c r="DA1122" s="70">
        <v>18.231812616449311</v>
      </c>
      <c r="DB1122" s="69">
        <f t="shared" si="2027"/>
        <v>-8.4158334674404367E-2</v>
      </c>
      <c r="DC1122" s="111">
        <f>VLOOKUP($H1122,RoR!$E:$F,2,FALSE)</f>
        <v>3.7433333333333339E-2</v>
      </c>
      <c r="DD1122" s="216">
        <f>HLOOKUP($H1122,'GDP-PI'!$D$8:$CQ$11,3,FALSE)</f>
        <v>1.9056896421275615E-2</v>
      </c>
      <c r="DE1122" s="111">
        <f>VLOOKUP(H1122,'HW Dx Data'!$E:$F,2,FALSE)</f>
        <v>712.42858370229726</v>
      </c>
      <c r="DF1122" s="72">
        <f t="shared" si="2037"/>
        <v>140.44999999999999</v>
      </c>
      <c r="DG1122" s="69">
        <f t="shared" si="2038"/>
        <v>2.5235657841165486E-2</v>
      </c>
      <c r="DH1122" s="66">
        <f>HLOOKUP(H1122,'GDP-PI'!$8:$9,2,FALSE)</f>
        <v>107.751</v>
      </c>
      <c r="DI1122" s="69">
        <f t="shared" si="2028"/>
        <v>1.8877588227745139E-2</v>
      </c>
    </row>
    <row r="1123" spans="1:113" s="160" customFormat="1" ht="21">
      <c r="A1123" s="160" t="s">
        <v>226</v>
      </c>
      <c r="B1123" s="160" t="s">
        <v>226</v>
      </c>
      <c r="C1123" s="160">
        <v>4057100</v>
      </c>
      <c r="D1123" s="161" t="s">
        <v>227</v>
      </c>
      <c r="E1123" s="161"/>
      <c r="F1123" s="189"/>
      <c r="G1123" s="160" t="s">
        <v>136</v>
      </c>
      <c r="H1123" s="162">
        <v>2018</v>
      </c>
      <c r="I1123" s="163"/>
      <c r="J1123" s="159">
        <f>IFERROR(INDEX('Labor Expenditures'!$F$7:$X$91,MATCH($C1123,'Labor Expenditures'!$D$7:$D$91,0),MATCH($G1123,'Labor Expenditures'!$F$5:$X$5,0)),"NA")</f>
        <v>10548.48795955728</v>
      </c>
      <c r="K1123" s="159">
        <f t="shared" si="2029"/>
        <v>73.025184905207894</v>
      </c>
      <c r="L1123" s="165">
        <f t="shared" si="2035"/>
        <v>2.8659863361388895E-2</v>
      </c>
      <c r="M1123" s="76">
        <f t="shared" si="2039"/>
        <v>8.6763142738988526E-5</v>
      </c>
      <c r="N1123" s="62">
        <f t="shared" si="2045"/>
        <v>117.35061430958729</v>
      </c>
      <c r="O1123" s="96">
        <f t="shared" si="2040"/>
        <v>-0.37409290178283261</v>
      </c>
      <c r="P1123" s="96"/>
      <c r="Q1123" s="159">
        <f>IFERROR(INDEX('Non-Labor Expenditures'!$F$7:$AB$91,MATCH($C1123,'Non-Labor Expenditures'!$D$7:$D$91,0),MATCH($G1123,'Non-Labor Expenditures'!$F$5:$AB$5,0)),"NA")</f>
        <v>15276.180751223352</v>
      </c>
      <c r="R1123" s="159">
        <f t="shared" si="2030"/>
        <v>138.46903383933713</v>
      </c>
      <c r="S1123" s="165">
        <f t="shared" si="2041"/>
        <v>3.3161384006872012E-2</v>
      </c>
      <c r="T1123" s="165">
        <f t="shared" si="2042"/>
        <v>1.0039077499186009E-4</v>
      </c>
      <c r="U1123" s="165"/>
      <c r="V1123" s="165"/>
      <c r="W1123" s="159">
        <f t="shared" si="2011"/>
        <v>13138.907056903779</v>
      </c>
      <c r="X1123" s="163"/>
      <c r="Y1123" s="167">
        <v>711.785101323194</v>
      </c>
      <c r="Z1123" s="168">
        <v>7.273145758709755E-2</v>
      </c>
      <c r="AA1123" s="76">
        <f t="shared" si="2031"/>
        <v>2.2018283048570069E-4</v>
      </c>
      <c r="AB1123" s="168"/>
      <c r="AC1123" s="168"/>
      <c r="AD1123" s="163">
        <f t="shared" si="2005"/>
        <v>38963.575767684408</v>
      </c>
      <c r="AE1123" s="168">
        <f t="shared" si="2043"/>
        <v>7.2703988286786134E-2</v>
      </c>
      <c r="AF1123" s="163"/>
      <c r="AG1123" s="163"/>
      <c r="AH1123" s="163"/>
      <c r="AI1123" s="163"/>
      <c r="AJ1123" s="116">
        <f t="shared" si="2044"/>
        <v>345.49528062428539</v>
      </c>
      <c r="AK1123" s="114">
        <f>+AV1123/$AX$23</f>
        <v>3.0190565496469039E-3</v>
      </c>
      <c r="AL1123" s="115">
        <f t="shared" si="2032"/>
        <v>0.27072689689599744</v>
      </c>
      <c r="AM1123" s="115">
        <f t="shared" si="2033"/>
        <v>0.39206311151486006</v>
      </c>
      <c r="AN1123" s="115">
        <f t="shared" si="2034"/>
        <v>0.33720999158914261</v>
      </c>
      <c r="AO1123" s="115">
        <f t="shared" si="2036"/>
        <v>4.5065323260650811E-2</v>
      </c>
      <c r="AP1123" s="166">
        <f t="shared" si="2047"/>
        <v>135.44802731472731</v>
      </c>
      <c r="AQ1123" s="168">
        <f t="shared" si="2048"/>
        <v>4.5065323260650714E-2</v>
      </c>
      <c r="AR1123" s="69">
        <f>+AD1123/$AF$23</f>
        <v>3.0273397205332619E-3</v>
      </c>
      <c r="AS1123" s="169">
        <f t="shared" si="2046"/>
        <v>1.3642804312563944E-4</v>
      </c>
      <c r="AT1123" s="115"/>
      <c r="AU1123" s="115"/>
      <c r="AV1123" s="113">
        <f>IFERROR(INDEX('Total Customers'!$F$7:$AB$91,MATCH($C1123,'Total Customers'!$D$7:$D$91,0),MATCH($G1123,'Total Customers'!$F$5:$AB$5,0)),"NA")</f>
        <v>112776</v>
      </c>
      <c r="AW1123" s="68">
        <f t="shared" si="2004"/>
        <v>4.300929017767012E-3</v>
      </c>
      <c r="AX1123" s="114"/>
      <c r="AY1123" s="114"/>
      <c r="AZ1123" s="116"/>
      <c r="BA1123" s="116"/>
      <c r="BB1123" s="166"/>
      <c r="BC1123" s="166"/>
      <c r="BD1123" s="166"/>
      <c r="BE1123" s="166"/>
      <c r="BF1123" s="166"/>
      <c r="BG1123" s="166"/>
      <c r="BH1123" s="166"/>
      <c r="BI1123" s="113"/>
      <c r="BJ1123" s="113"/>
      <c r="BK1123" s="113">
        <f>INDEX('Dist. Plant Gas Additions'!$F$7:$AE$91,MATCH($C1123,'Dist. Plant Gas Additions'!$D$7:$D$91,0),MATCH(Calculation!$G1123,'Dist. Plant Gas Additions'!$F$5:$AE$5,0))</f>
        <v>39071</v>
      </c>
      <c r="BL1123" s="113">
        <f>INDEX('Gen. Plant Additions'!$F$7:$AE$91,MATCH($C1123,'Gen. Plant Additions'!$D$7:$D$91,0),MATCH(Calculation!$G1123,'Gen. Plant Additions'!$F$5:$AE$5,0))</f>
        <v>2879</v>
      </c>
      <c r="BM1123" s="231">
        <f t="shared" si="2012"/>
        <v>0.95669395675949853</v>
      </c>
      <c r="BN1123" s="61">
        <f t="shared" si="2049"/>
        <v>2754.3219015105965</v>
      </c>
      <c r="BO1123" s="113">
        <f>INDEX('Dist Plant Depreciation'!$E$7:$AD$94,MATCH($C1123,'Dist Plant Depreciation'!$D$7:$D$94,0),MATCH(Calculation!$G1123,'Dist Plant Depreciation'!$E$5:$AD$5,0))</f>
        <v>104380</v>
      </c>
      <c r="BP1123" s="113">
        <f>INDEX('Gen. Plant Depreciation'!$E$7:$AD$94,MATCH($C1123,'Gen. Plant Depreciation'!$D$7:$D$94,0),MATCH(Calculation!$G1123,'Gen. Plant Depreciation'!$E$5:$AD$5,0))</f>
        <v>7373</v>
      </c>
      <c r="BQ1123" s="113"/>
      <c r="BR1123" s="113"/>
      <c r="BS1123" s="113"/>
      <c r="BT1123" s="113"/>
      <c r="BU1123" s="113"/>
      <c r="BV1123" s="175"/>
      <c r="BW1123" s="113">
        <f>INDEX('Gross Dx Plant'!$E$7:$AD$91,MATCH($C1123,'Gross Dx Plant'!$D$7:$D$91,0),MATCH(Calculation!$G1123,'Gross Dx Plant'!$E$5:$AD$5,0))</f>
        <v>335724</v>
      </c>
      <c r="BX1123" s="113">
        <f>INDEX('Gross Gen Plant'!$E$7:$AD$91,MATCH($C1123,'Gross Gen Plant'!$D$7:$D$91,0),MATCH(Calculation!$G1123,'Gross Gen Plant'!$E$5:$AD$5,0))</f>
        <v>15197</v>
      </c>
      <c r="BY1123" s="113">
        <f t="shared" si="1999"/>
        <v>239168</v>
      </c>
      <c r="BZ1123" s="113"/>
      <c r="CA1123" s="116">
        <v>2018</v>
      </c>
      <c r="CB1123" s="113"/>
      <c r="CC1123" s="113"/>
      <c r="CD1123" s="113"/>
      <c r="CE1123" s="175"/>
      <c r="CF1123" s="113">
        <f t="shared" si="2013"/>
        <v>41950</v>
      </c>
      <c r="CG1123" s="113">
        <f t="shared" si="2014"/>
        <v>55.552854474262659</v>
      </c>
      <c r="CH1123" s="178">
        <v>0.86111111111111116</v>
      </c>
      <c r="CI1123" s="61">
        <f>+CI1103*CH1123++CG1104*CH1122+CG1105*CH1121+CG1106*CH1120+CG1107*CH1119+CG1108*CH1118+CG1109*CH1117+CG1110*CH1116+CG1111*CH1115+CG1112*CH1114+CG1113*CH1113+CG1114*CH1112+CG1115*CH1111+CG1116*CH1110+CG1117*CH1109+CG1118*CH1108+CG1119*CH1107+CG1120*CH1106+CG1121*CH1105+CG1122*CH1104+CG1123</f>
        <v>711.785101323194</v>
      </c>
      <c r="CJ1123" s="114">
        <f t="shared" si="2015"/>
        <v>7.273145758709755E-2</v>
      </c>
      <c r="CK1123" s="114"/>
      <c r="CL1123" s="169">
        <f t="shared" si="2016"/>
        <v>8.4935474368584528E-3</v>
      </c>
      <c r="CM1123" s="169">
        <f t="shared" si="2024"/>
        <v>8.3334321113933824E-3</v>
      </c>
      <c r="CN1123" s="114">
        <f>VLOOKUP($H1123,RoR!$E:$F,2,FALSE)</f>
        <v>3.9299999999999995E-2</v>
      </c>
      <c r="CO1123" s="169">
        <v>2.386056741932796E-2</v>
      </c>
      <c r="CP1123" s="169">
        <f t="shared" si="2022"/>
        <v>1.5439432580672034E-2</v>
      </c>
      <c r="CQ1123" s="169">
        <f t="shared" si="2025"/>
        <v>2.2568509497140243E-2</v>
      </c>
      <c r="CR1123" s="169">
        <f t="shared" si="2026"/>
        <v>3.8270792163076606E-2</v>
      </c>
      <c r="CS1123" s="179">
        <f t="shared" si="2017"/>
        <v>0.92230000000000001</v>
      </c>
      <c r="CT1123" s="180">
        <f t="shared" si="2018"/>
        <v>1.3048868010700074</v>
      </c>
      <c r="CU1123" s="180">
        <f t="shared" si="2019"/>
        <v>0.33886768447837151</v>
      </c>
      <c r="CV1123" s="180">
        <f t="shared" si="2020"/>
        <v>0.78602506232557801</v>
      </c>
      <c r="CW1123" s="180">
        <f t="shared" si="2021"/>
        <v>0.34756768162358759</v>
      </c>
      <c r="CX1123" s="181">
        <f>INDEX('State Tax Lookup'!$D$7:$Z$91,MATCH(Calculation!$C1123,'State Tax Lookup'!$B$7:$B$91,0),MATCH($H1123,'State Tax Lookup'!$D$6:$Z$6,0))</f>
        <v>0.20999999999999996</v>
      </c>
      <c r="CY1123" s="72">
        <v>0.37</v>
      </c>
      <c r="CZ1123" s="70">
        <f t="shared" si="2023"/>
        <v>19.851677800201823</v>
      </c>
      <c r="DA1123" s="70">
        <v>19.050901628905343</v>
      </c>
      <c r="DB1123" s="69">
        <f t="shared" si="2027"/>
        <v>5.0645962015112955E-2</v>
      </c>
      <c r="DC1123" s="111">
        <f>VLOOKUP($H1123,RoR!$E:$F,2,FALSE)</f>
        <v>3.9299999999999995E-2</v>
      </c>
      <c r="DD1123" s="216">
        <f>HLOOKUP($H1123,'GDP-PI'!$D$8:$CQ$11,3,FALSE)</f>
        <v>2.386056741932796E-2</v>
      </c>
      <c r="DE1123" s="111">
        <f>VLOOKUP(H1123,'HW Dx Data'!$E:$F,2,FALSE)</f>
        <v>755.13671434174842</v>
      </c>
      <c r="DF1123" s="72">
        <f t="shared" si="2037"/>
        <v>144.44999999999999</v>
      </c>
      <c r="DG1123" s="69">
        <f t="shared" si="2038"/>
        <v>2.80818733619915E-2</v>
      </c>
      <c r="DH1123" s="66">
        <f>HLOOKUP(H1123,'GDP-PI'!$8:$9,2,FALSE)</f>
        <v>110.322</v>
      </c>
      <c r="DI1123" s="69">
        <f t="shared" si="2028"/>
        <v>2.3580352716508712E-2</v>
      </c>
    </row>
    <row r="1124" spans="1:113" s="160" customFormat="1" ht="21">
      <c r="A1124" s="160" t="s">
        <v>226</v>
      </c>
      <c r="B1124" s="160" t="s">
        <v>226</v>
      </c>
      <c r="C1124" s="160">
        <v>4057100</v>
      </c>
      <c r="D1124" s="161" t="s">
        <v>227</v>
      </c>
      <c r="E1124" s="161"/>
      <c r="F1124" s="189"/>
      <c r="G1124" s="160" t="s">
        <v>140</v>
      </c>
      <c r="H1124" s="162">
        <v>2019</v>
      </c>
      <c r="I1124" s="163"/>
      <c r="J1124" s="159">
        <f>IFERROR(INDEX('Labor Expenditures'!$F$7:$X$91,MATCH($C1124,'Labor Expenditures'!$D$7:$D$91,0),MATCH($G1124,'Labor Expenditures'!$F$5:$X$5,0)),"NA")</f>
        <v>13990.307944488486</v>
      </c>
      <c r="K1124" s="159">
        <f t="shared" si="2029"/>
        <v>93.471240651334455</v>
      </c>
      <c r="L1124" s="165">
        <f t="shared" si="2035"/>
        <v>0.24684942201193041</v>
      </c>
      <c r="M1124" s="76">
        <f t="shared" si="2039"/>
        <v>9.0464251949736948E-4</v>
      </c>
      <c r="N1124" s="62">
        <f t="shared" si="2045"/>
        <v>117.23275789511789</v>
      </c>
      <c r="O1124" s="96">
        <f t="shared" si="2040"/>
        <v>-1.0048148193787755E-3</v>
      </c>
      <c r="P1124" s="96"/>
      <c r="Q1124" s="159">
        <f>IFERROR(INDEX('Non-Labor Expenditures'!$F$7:$AB$91,MATCH($C1124,'Non-Labor Expenditures'!$D$7:$D$91,0),MATCH($G1124,'Non-Labor Expenditures'!$F$5:$AB$5,0)),"NA")</f>
        <v>20260.578932703444</v>
      </c>
      <c r="R1124" s="159">
        <f t="shared" si="2030"/>
        <v>180.38585919178976</v>
      </c>
      <c r="S1124" s="165">
        <f t="shared" si="2041"/>
        <v>0.26445150045970017</v>
      </c>
      <c r="T1124" s="165">
        <f t="shared" si="2042"/>
        <v>9.6914981493924899E-4</v>
      </c>
      <c r="U1124" s="165"/>
      <c r="V1124" s="165"/>
      <c r="W1124" s="159">
        <f t="shared" si="2011"/>
        <v>14377.997907502362</v>
      </c>
      <c r="X1124" s="163"/>
      <c r="Y1124" s="167">
        <v>759.89882596615541</v>
      </c>
      <c r="Z1124" s="168">
        <v>6.5409258820212063E-2</v>
      </c>
      <c r="AA1124" s="76">
        <f t="shared" si="2031"/>
        <v>2.397088727828269E-4</v>
      </c>
      <c r="AB1124" s="168"/>
      <c r="AC1124" s="168"/>
      <c r="AD1124" s="163">
        <f t="shared" si="2005"/>
        <v>48628.884784694295</v>
      </c>
      <c r="AE1124" s="168">
        <f t="shared" si="2043"/>
        <v>0.22159043644423465</v>
      </c>
      <c r="AF1124" s="163"/>
      <c r="AG1124" s="163"/>
      <c r="AH1124" s="163"/>
      <c r="AI1124" s="163"/>
      <c r="AJ1124" s="116">
        <f t="shared" si="2044"/>
        <v>429.61035386193754</v>
      </c>
      <c r="AK1124" s="114">
        <f>+AV1124/$AX$24</f>
        <v>3.0052290236312427E-3</v>
      </c>
      <c r="AL1124" s="115">
        <f t="shared" si="2032"/>
        <v>0.2876954305333333</v>
      </c>
      <c r="AM1124" s="115">
        <f t="shared" si="2033"/>
        <v>0.41663671750663633</v>
      </c>
      <c r="AN1124" s="115">
        <f t="shared" si="2034"/>
        <v>0.29566785196003026</v>
      </c>
      <c r="AO1124" s="115">
        <f t="shared" si="2036"/>
        <v>0.19655209132050522</v>
      </c>
      <c r="AP1124" s="166">
        <f t="shared" si="2047"/>
        <v>164.86716611273968</v>
      </c>
      <c r="AQ1124" s="168">
        <f t="shared" si="2048"/>
        <v>0.19655209132050522</v>
      </c>
      <c r="AR1124" s="69">
        <f>+AD1124/$AF$24</f>
        <v>3.6647544568836278E-3</v>
      </c>
      <c r="AS1124" s="169">
        <f t="shared" si="2046"/>
        <v>7.203151526766193E-4</v>
      </c>
      <c r="AT1124" s="115"/>
      <c r="AU1124" s="115"/>
      <c r="AV1124" s="113">
        <f>IFERROR(INDEX('Total Customers'!$F$7:$AB$91,MATCH($C1124,'Total Customers'!$D$7:$D$91,0),MATCH($G1124,'Total Customers'!$F$5:$AB$5,0)),"NA")</f>
        <v>113193</v>
      </c>
      <c r="AW1124" s="68">
        <f t="shared" si="2004"/>
        <v>3.6907759326135483E-3</v>
      </c>
      <c r="AX1124" s="114"/>
      <c r="AY1124" s="114"/>
      <c r="AZ1124" s="116"/>
      <c r="BA1124" s="116"/>
      <c r="BB1124" s="166"/>
      <c r="BC1124" s="166"/>
      <c r="BD1124" s="166"/>
      <c r="BE1124" s="166"/>
      <c r="BF1124" s="166"/>
      <c r="BG1124" s="166"/>
      <c r="BH1124" s="166"/>
      <c r="BI1124" s="113"/>
      <c r="BJ1124" s="113"/>
      <c r="BK1124" s="113"/>
      <c r="BL1124" s="113"/>
      <c r="BM1124" s="231">
        <f t="shared" si="2012"/>
        <v>0.93100739288757639</v>
      </c>
      <c r="BN1124" s="61">
        <f t="shared" si="2049"/>
        <v>0</v>
      </c>
      <c r="BO1124" s="113"/>
      <c r="BP1124" s="113"/>
      <c r="BQ1124" s="113"/>
      <c r="BR1124" s="113"/>
      <c r="BS1124" s="113"/>
      <c r="BT1124" s="113"/>
      <c r="BU1124" s="113"/>
      <c r="BV1124" s="175"/>
      <c r="BW1124" s="113">
        <f>INDEX('Gross Dx Plant'!$E$7:$AD$91,MATCH($C1124,'Gross Dx Plant'!$D$7:$D$91,0),MATCH(Calculation!$G1124,'Gross Dx Plant'!$E$5:$AD$5,0))</f>
        <v>363820</v>
      </c>
      <c r="BX1124" s="113">
        <f>INDEX('Gross Gen Plant'!$E$7:$AD$91,MATCH($C1124,'Gross Gen Plant'!$D$7:$D$91,0),MATCH(Calculation!$G1124,'Gross Gen Plant'!$E$5:$AD$5,0))</f>
        <v>26961</v>
      </c>
      <c r="BY1124" s="113">
        <f t="shared" si="1999"/>
        <v>390781</v>
      </c>
      <c r="BZ1124" s="113"/>
      <c r="CA1124" s="116">
        <v>2019</v>
      </c>
      <c r="CB1124" s="113"/>
      <c r="CC1124" s="113"/>
      <c r="CD1124" s="113"/>
      <c r="CE1124" s="175"/>
      <c r="CF1124" s="238">
        <v>41950</v>
      </c>
      <c r="CG1124" s="113">
        <f t="shared" si="2014"/>
        <v>54.231246055306563</v>
      </c>
      <c r="CH1124" s="178">
        <v>0.85106382978723405</v>
      </c>
      <c r="CI1124" s="61">
        <f>CI1103*CH1124+CG1104*CH1123+CG1105*CH1122+CG1106*CH1121+CG1107*CH1120+CG1108*CH1119+CG1109*CH1118+CG1110*CH1117+CG1111*CH1116+CG1112*CH1115+CG1113*CH1114+CG1114*CH1113+CG1115*CH1112+CG1116*CH1111+CG1117*CH1110+CG1118*CH1109+CG1119*CH1108+CG1120*CH1107+CG1121*CH1106+CG1122*CH1105+CG1123*CH1104+CG1124</f>
        <v>759.89882596615541</v>
      </c>
      <c r="CJ1124" s="114">
        <f t="shared" si="2015"/>
        <v>6.5409258820212063E-2</v>
      </c>
      <c r="CK1124" s="114"/>
      <c r="CL1124" s="169">
        <f t="shared" si="2016"/>
        <v>8.594618517545255E-3</v>
      </c>
      <c r="CM1124" s="169">
        <f t="shared" si="2024"/>
        <v>8.4715772806256886E-3</v>
      </c>
      <c r="CN1124" s="114">
        <f>VLOOKUP($H1124,RoR!$E:$F,2,FALSE)</f>
        <v>3.3875000000000009E-2</v>
      </c>
      <c r="CO1124" s="169">
        <v>1.8092492884465461E-2</v>
      </c>
      <c r="CP1124" s="169">
        <f t="shared" si="2022"/>
        <v>1.5782507115534548E-2</v>
      </c>
      <c r="CQ1124" s="169">
        <f t="shared" si="2025"/>
        <v>2.2430364327907938E-2</v>
      </c>
      <c r="CR1124" s="169">
        <f t="shared" si="2026"/>
        <v>4.8445665544254078E-2</v>
      </c>
      <c r="CS1124" s="179">
        <f t="shared" si="2017"/>
        <v>0.92230000000000001</v>
      </c>
      <c r="CT1124" s="180">
        <f t="shared" si="2018"/>
        <v>1.513861292459078</v>
      </c>
      <c r="CU1124" s="180">
        <f t="shared" si="2019"/>
        <v>0.23699261992619944</v>
      </c>
      <c r="CV1124" s="180">
        <f t="shared" si="2020"/>
        <v>0.73619765810468829</v>
      </c>
      <c r="CW1124" s="180">
        <f t="shared" si="2021"/>
        <v>0.26412854465362851</v>
      </c>
      <c r="CX1124" s="181">
        <f>INDEX('State Tax Lookup'!$D$7:$Z$91,MATCH(Calculation!$C1124,'State Tax Lookup'!$B$7:$B$91,0),MATCH($H1124,'State Tax Lookup'!$D$6:$Z$6,0))</f>
        <v>0.20999999999999996</v>
      </c>
      <c r="CY1124" s="72">
        <v>0.37</v>
      </c>
      <c r="CZ1124" s="70">
        <f t="shared" si="2023"/>
        <v>20.199914104374983</v>
      </c>
      <c r="DA1124" s="70">
        <v>19.236104090735289</v>
      </c>
      <c r="DB1124" s="69">
        <f t="shared" si="2027"/>
        <v>1.7389824638563093E-2</v>
      </c>
      <c r="DC1124" s="111">
        <f>VLOOKUP($H1124,RoR!$E:$F,2,FALSE)</f>
        <v>3.3875000000000009E-2</v>
      </c>
      <c r="DD1124" s="216">
        <f>HLOOKUP($H1124,'GDP-PI'!$D$8:$CQ$11,3,FALSE)</f>
        <v>1.8092492884465461E-2</v>
      </c>
      <c r="DE1124" s="111">
        <f>VLOOKUP(H1124,'HW Dx Data'!$E:$F,2,FALSE)</f>
        <v>773.53929793938721</v>
      </c>
      <c r="DF1124" s="72">
        <f t="shared" si="2037"/>
        <v>149.67500000000001</v>
      </c>
      <c r="DG1124" s="69">
        <f t="shared" si="2038"/>
        <v>3.5532849899171604E-2</v>
      </c>
      <c r="DH1124" s="66">
        <f>HLOOKUP(H1124,'GDP-PI'!$8:$9,2,FALSE)</f>
        <v>112.318</v>
      </c>
      <c r="DI1124" s="69">
        <f t="shared" si="2028"/>
        <v>1.7930771451401852E-2</v>
      </c>
    </row>
    <row r="1125" spans="1:113" s="160" customFormat="1" ht="21">
      <c r="A1125" s="160" t="s">
        <v>226</v>
      </c>
      <c r="B1125" s="160" t="s">
        <v>226</v>
      </c>
      <c r="C1125" s="160">
        <v>4057100</v>
      </c>
      <c r="D1125" s="160" t="s">
        <v>227</v>
      </c>
      <c r="G1125" s="161" t="s">
        <v>141</v>
      </c>
      <c r="H1125" s="162">
        <v>2020</v>
      </c>
      <c r="I1125" s="163"/>
      <c r="J1125" s="159">
        <f>IFERROR(INDEX('Labor Expenditures'!$F$7:$X$91,MATCH($C1125,'Labor Expenditures'!$D$7:$D$91,0),MATCH($G1125,'Labor Expenditures'!$F$5:$X$5,0)),"NA")</f>
        <v>11627.627009256586</v>
      </c>
      <c r="K1125" s="159">
        <f t="shared" si="2029"/>
        <v>75.923127713069448</v>
      </c>
      <c r="L1125" s="165">
        <f t="shared" si="2035"/>
        <v>-0.20793245142524364</v>
      </c>
      <c r="M1125" s="76">
        <f t="shared" si="2039"/>
        <v>-6.7670829678369575E-4</v>
      </c>
      <c r="N1125" s="62">
        <f t="shared" si="2045"/>
        <v>115.91572044011515</v>
      </c>
      <c r="O1125" s="96">
        <f t="shared" si="2040"/>
        <v>-1.1297963200974419E-2</v>
      </c>
      <c r="P1125" s="96"/>
      <c r="Q1125" s="159">
        <f>IFERROR(INDEX('Non-Labor Expenditures'!$F$7:$AB$91,MATCH($C1125,'Non-Labor Expenditures'!$D$7:$D$91,0),MATCH($G1125,'Non-Labor Expenditures'!$F$5:$AB$5,0)),"NA")</f>
        <v>16838.975650559987</v>
      </c>
      <c r="R1125" s="159">
        <f t="shared" si="2030"/>
        <v>148.20041409362528</v>
      </c>
      <c r="S1125" s="165">
        <f t="shared" si="2041"/>
        <v>-0.196532711689268</v>
      </c>
      <c r="T1125" s="165">
        <f t="shared" si="2042"/>
        <v>-6.396082750812971E-4</v>
      </c>
      <c r="U1125" s="165"/>
      <c r="V1125" s="165"/>
      <c r="W1125" s="159">
        <f t="shared" si="2011"/>
        <v>16044.311573357289</v>
      </c>
      <c r="X1125" s="163"/>
      <c r="Y1125" s="167">
        <v>798.79211433976582</v>
      </c>
      <c r="Z1125" s="168">
        <v>4.9915428919931587E-2</v>
      </c>
      <c r="AA1125" s="76">
        <f t="shared" si="2031"/>
        <v>1.6244787504839545E-4</v>
      </c>
      <c r="AB1125" s="168"/>
      <c r="AC1125" s="168"/>
      <c r="AD1125" s="163">
        <f t="shared" si="2005"/>
        <v>44510.914233173862</v>
      </c>
      <c r="AE1125" s="168">
        <f t="shared" si="2043"/>
        <v>-8.8483268724903946E-2</v>
      </c>
      <c r="AF1125" s="163"/>
      <c r="AG1125" s="163"/>
      <c r="AH1125" s="163"/>
      <c r="AI1125" s="163"/>
      <c r="AJ1125" s="116">
        <f t="shared" si="2044"/>
        <v>390.01896370798568</v>
      </c>
      <c r="AK1125" s="114">
        <f>+AV1125/$AX$25</f>
        <v>3.0085768892208643E-3</v>
      </c>
      <c r="AL1125" s="115">
        <f t="shared" si="2032"/>
        <v>0.26123091851909319</v>
      </c>
      <c r="AM1125" s="115">
        <f t="shared" si="2033"/>
        <v>0.37831116122099206</v>
      </c>
      <c r="AN1125" s="115">
        <f t="shared" si="2034"/>
        <v>0.36045792025991474</v>
      </c>
      <c r="AO1125" s="115">
        <f t="shared" si="2036"/>
        <v>-0.11881103216128616</v>
      </c>
      <c r="AP1125" s="166">
        <f t="shared" si="2047"/>
        <v>146.39801806778542</v>
      </c>
      <c r="AQ1125" s="168">
        <f t="shared" si="2048"/>
        <v>-0.1188110321612862</v>
      </c>
      <c r="AR1125" s="69">
        <f>+AD1125/$AF$25</f>
        <v>3.254462168580682E-3</v>
      </c>
      <c r="AS1125" s="169">
        <f t="shared" si="2046"/>
        <v>-3.8666600937892865E-4</v>
      </c>
      <c r="AT1125" s="115"/>
      <c r="AU1125" s="115"/>
      <c r="AV1125" s="113">
        <f>IFERROR(INDEX('Total Customers'!$F$7:$AB$91,MATCH($C1125,'Total Customers'!$D$7:$D$91,0),MATCH($G1125,'Total Customers'!$F$5:$AB$5,0)),"NA")</f>
        <v>114125</v>
      </c>
      <c r="AW1125" s="68">
        <f t="shared" si="2004"/>
        <v>8.2000125138946105E-3</v>
      </c>
      <c r="AX1125" s="114"/>
      <c r="AY1125" s="114"/>
      <c r="AZ1125" s="116"/>
      <c r="BA1125" s="116"/>
      <c r="BB1125" s="166"/>
      <c r="BC1125" s="166"/>
      <c r="BD1125" s="166"/>
      <c r="BE1125" s="166"/>
      <c r="BF1125" s="166"/>
      <c r="BG1125" s="166"/>
      <c r="BH1125" s="166"/>
      <c r="BI1125" s="113"/>
      <c r="BJ1125" s="113"/>
      <c r="BK1125" s="113">
        <f>INDEX('Dist. Plant Gas Additions'!$F$7:$AE$91,MATCH($C1125,'Dist. Plant Gas Additions'!$D$7:$D$91,0),MATCH(Calculation!$G1125,'Dist. Plant Gas Additions'!$F$5:$AE$5,0))</f>
        <v>37013</v>
      </c>
      <c r="BL1125" s="113">
        <f>INDEX('Gen. Plant Additions'!$F$7:$AE$91,MATCH($C1125,'Gen. Plant Additions'!$D$7:$D$91,0),MATCH(Calculation!$G1125,'Gen. Plant Additions'!$F$5:$AE$5,0))</f>
        <v>0</v>
      </c>
      <c r="BM1125" s="231">
        <f t="shared" si="2012"/>
        <v>0.95487266261328441</v>
      </c>
      <c r="BN1125" s="61">
        <f t="shared" si="2049"/>
        <v>0</v>
      </c>
      <c r="BO1125" s="113">
        <f>INDEX('Dist Plant Depreciation'!$E$7:$AD$94,MATCH($C1125,'Dist Plant Depreciation'!$D$7:$D$94,0),MATCH(Calculation!$G1125,'Dist Plant Depreciation'!$E$5:$AD$5,0))</f>
        <v>119934</v>
      </c>
      <c r="BP1125" s="113">
        <f>INDEX('Gen. Plant Depreciation'!$E$7:$AD$94,MATCH($C1125,'Gen. Plant Depreciation'!$D$7:$D$94,0),MATCH(Calculation!$G1125,'Gen. Plant Depreciation'!$E$5:$AD$5,0))</f>
        <v>7570</v>
      </c>
      <c r="BQ1125" s="113"/>
      <c r="BR1125" s="113"/>
      <c r="BS1125" s="113"/>
      <c r="BT1125" s="113"/>
      <c r="BU1125" s="113"/>
      <c r="BV1125" s="175"/>
      <c r="BW1125" s="113">
        <f>INDEX('Gross Dx Plant'!$E$7:$AD$91,MATCH($C1125,'Gross Dx Plant'!$D$7:$D$91,0),MATCH(Calculation!$G1125,'Gross Dx Plant'!$E$5:$AD$5,0))</f>
        <v>399534</v>
      </c>
      <c r="BX1125" s="113">
        <f>INDEX('Gross Gen Plant'!$E$7:$AD$91,MATCH($C1125,'Gross Gen Plant'!$D$7:$D$91,0),MATCH(Calculation!$G1125,'Gross Gen Plant'!$E$5:$AD$5,0))</f>
        <v>18882</v>
      </c>
      <c r="BY1125" s="113">
        <f t="shared" si="1999"/>
        <v>290912</v>
      </c>
      <c r="BZ1125" s="113"/>
      <c r="CA1125" s="116">
        <v>2020</v>
      </c>
      <c r="CB1125" s="113"/>
      <c r="CC1125" s="113"/>
      <c r="CD1125" s="113"/>
      <c r="CE1125" s="175"/>
      <c r="CF1125" s="113">
        <f>+BL1125+BK1125</f>
        <v>37013</v>
      </c>
      <c r="CG1125" s="113">
        <f t="shared" si="2014"/>
        <v>45.521956762626097</v>
      </c>
      <c r="CH1125" s="178">
        <v>0.84057971014492749</v>
      </c>
      <c r="CI1125" s="61">
        <f>CI1103*CH1125+CG1104*CH1124+CG1105*CH1123+CG1106*CH1122+CG1107*CH1121+CG1108*CH1120+CG1109*CH1119+CG1110*CH1118+CG1111*CH1117+CG1112*CH1116+CG1113*CH1115+CG1114*CH1114+CG1115*CH1113+CG1116*CH1112+CG1117*CH1111+CG1118*CH1110+CG1119*CH1109+CG1120*CH1108+CG1121*CH1107+CG1122*CH1106+CG1123*CH1105+CG1124*CH1104+CG1125</f>
        <v>798.79211433976582</v>
      </c>
      <c r="CJ1125" s="114">
        <f t="shared" si="2015"/>
        <v>4.9915428919931587E-2</v>
      </c>
      <c r="CK1125" s="114"/>
      <c r="CL1125" s="169">
        <f t="shared" si="2016"/>
        <v>8.7230933415219196E-3</v>
      </c>
      <c r="CM1125" s="169">
        <f t="shared" si="2024"/>
        <v>8.6037530986418764E-3</v>
      </c>
      <c r="CN1125" s="114">
        <f>VLOOKUP($H1125,RoR!$E:$F,2,FALSE)</f>
        <v>2.4766666666666666E-2</v>
      </c>
      <c r="CO1125" s="169">
        <v>1.1618796630994188E-2</v>
      </c>
      <c r="CP1125" s="169">
        <f t="shared" si="2022"/>
        <v>1.3147870035672478E-2</v>
      </c>
      <c r="CQ1125" s="169">
        <f t="shared" si="2025"/>
        <v>2.229818850989175E-2</v>
      </c>
      <c r="CR1125" s="169">
        <f t="shared" si="2026"/>
        <v>4.5144642961987357E-2</v>
      </c>
      <c r="CS1125" s="179">
        <f t="shared" si="2017"/>
        <v>0.92230000000000001</v>
      </c>
      <c r="CT1125" s="180">
        <f t="shared" si="2018"/>
        <v>2.0706077233668081</v>
      </c>
      <c r="CU1125" s="180">
        <f t="shared" si="2019"/>
        <v>-3.4421265141318998E-2</v>
      </c>
      <c r="CV1125" s="180">
        <f t="shared" si="2020"/>
        <v>0.62416226176410472</v>
      </c>
      <c r="CW1125" s="180">
        <f t="shared" si="2021"/>
        <v>-4.4485877841158712E-2</v>
      </c>
      <c r="CX1125" s="181">
        <f>INDEX('State Tax Lookup'!$D$7:$Z$91,MATCH(Calculation!$C1125,'State Tax Lookup'!$B$7:$B$91,0),MATCH($H1125,'State Tax Lookup'!$D$6:$Z$6,0))</f>
        <v>0.20999999999999996</v>
      </c>
      <c r="CY1125" s="72">
        <v>0.37</v>
      </c>
      <c r="CZ1125" s="70">
        <f t="shared" si="2023"/>
        <v>21.113747021464505</v>
      </c>
      <c r="DA1125" s="70">
        <v>19.952659173050833</v>
      </c>
      <c r="DB1125" s="69">
        <f t="shared" si="2027"/>
        <v>4.4245993802064135E-2</v>
      </c>
      <c r="DC1125" s="111">
        <f>VLOOKUP($H1125,RoR!$E:$F,2,FALSE)</f>
        <v>2.4766666666666666E-2</v>
      </c>
      <c r="DD1125" s="216">
        <f>HLOOKUP($H1125,'GDP-PI'!$D$8:$CQ$11,3,FALSE)</f>
        <v>1.1618796630994188E-2</v>
      </c>
      <c r="DE1125" s="111">
        <f>VLOOKUP(H1125,'HW Dx Data'!$E:$F,2,FALSE)</f>
        <v>813.080162458833</v>
      </c>
      <c r="DF1125" s="72">
        <f t="shared" si="2037"/>
        <v>153.15</v>
      </c>
      <c r="DG1125" s="69">
        <f t="shared" si="2038"/>
        <v>2.2951556467368479E-2</v>
      </c>
      <c r="DH1125" s="66">
        <f>HLOOKUP(H1125,'GDP-PI'!$8:$9,2,FALSE)</f>
        <v>113.623</v>
      </c>
      <c r="DI1125" s="69">
        <f t="shared" si="2028"/>
        <v>1.1551816731392881E-2</v>
      </c>
    </row>
    <row r="1126" spans="1:113" s="160" customFormat="1" ht="21">
      <c r="A1126" s="160" t="s">
        <v>226</v>
      </c>
      <c r="B1126" s="160" t="s">
        <v>226</v>
      </c>
      <c r="C1126" s="160">
        <v>4057100</v>
      </c>
      <c r="D1126" s="160" t="s">
        <v>227</v>
      </c>
      <c r="G1126" s="161" t="s">
        <v>142</v>
      </c>
      <c r="H1126" s="162">
        <v>2021</v>
      </c>
      <c r="I1126" s="163"/>
      <c r="J1126" s="159">
        <v>10132.577223992314</v>
      </c>
      <c r="K1126" s="159">
        <f t="shared" si="2029"/>
        <v>64.43610317324206</v>
      </c>
      <c r="L1126" s="164">
        <f t="shared" si="2035"/>
        <v>-0.16404726662984073</v>
      </c>
      <c r="M1126" s="76">
        <f t="shared" si="2039"/>
        <v>-4.6370528226959162E-4</v>
      </c>
      <c r="N1126" s="166">
        <f>+N1125*EXP(O1126)</f>
        <v>116.92890879413842</v>
      </c>
      <c r="O1126" s="114">
        <f t="shared" si="2040"/>
        <v>8.7027538670676405E-3</v>
      </c>
      <c r="P1126" s="114"/>
      <c r="Q1126" s="159">
        <v>14283.271508519287</v>
      </c>
      <c r="R1126" s="159">
        <f t="shared" si="2030"/>
        <v>120.54410927942685</v>
      </c>
      <c r="S1126" s="165">
        <f t="shared" si="2041"/>
        <v>-0.20654976895069277</v>
      </c>
      <c r="T1126" s="165">
        <f t="shared" si="2042"/>
        <v>-5.8384525924540796E-4</v>
      </c>
      <c r="U1126" s="165"/>
      <c r="V1126" s="165"/>
      <c r="W1126" s="159">
        <f t="shared" si="2011"/>
        <v>18895.192563664896</v>
      </c>
      <c r="X1126" s="163"/>
      <c r="Y1126" s="167">
        <v>822.56251966862578</v>
      </c>
      <c r="Z1126" s="168"/>
      <c r="AA1126" s="76">
        <f t="shared" si="2031"/>
        <v>0</v>
      </c>
      <c r="AB1126" s="168"/>
      <c r="AC1126" s="168"/>
      <c r="AD1126" s="163">
        <f t="shared" si="2005"/>
        <v>43311.041296176496</v>
      </c>
      <c r="AE1126" s="168">
        <f t="shared" si="2043"/>
        <v>-2.7326824971376808E-2</v>
      </c>
      <c r="AF1126" s="113"/>
      <c r="AG1126" s="114"/>
      <c r="AH1126" s="114"/>
      <c r="AI1126" s="114"/>
      <c r="AJ1126" s="116">
        <f t="shared" si="2044"/>
        <v>377.69829596128483</v>
      </c>
      <c r="AK1126" s="114">
        <f>+AV1126/$AX$26</f>
        <v>2.9702683889143966E-3</v>
      </c>
      <c r="AL1126" s="115">
        <f t="shared" si="2032"/>
        <v>0.23394905596247623</v>
      </c>
      <c r="AM1126" s="115">
        <f t="shared" si="2033"/>
        <v>0.32978360900734605</v>
      </c>
      <c r="AN1126" s="115">
        <f t="shared" si="2034"/>
        <v>0.43626733503017778</v>
      </c>
      <c r="AO1126" s="115">
        <f t="shared" si="2036"/>
        <v>-0.11374486624469643</v>
      </c>
      <c r="AP1126" s="166">
        <f t="shared" si="2047"/>
        <v>130.65812739298246</v>
      </c>
      <c r="AQ1126" s="168">
        <f t="shared" si="2048"/>
        <v>-0.11374486624469637</v>
      </c>
      <c r="AR1126" s="69">
        <f>+AD1126/$AF$26</f>
        <v>2.8266565593921462E-3</v>
      </c>
      <c r="AS1126" s="169">
        <f t="shared" si="2046"/>
        <v>-3.215176722677533E-4</v>
      </c>
      <c r="AT1126" s="115"/>
      <c r="AU1126" s="115"/>
      <c r="AV1126" s="113">
        <f>INDEX('Total Customers'!$E$7:$E$91,MATCH(Calculation!$C1126,'Total Customers'!$D$7:$D$91,0))</f>
        <v>114671</v>
      </c>
      <c r="AW1126" s="68">
        <f t="shared" si="2004"/>
        <v>4.7728197737801816E-3</v>
      </c>
      <c r="AX1126" s="113"/>
      <c r="AY1126" s="113"/>
      <c r="AZ1126" s="116"/>
      <c r="BA1126" s="116"/>
      <c r="BB1126" s="166"/>
      <c r="BC1126" s="166"/>
      <c r="BD1126" s="166"/>
      <c r="BE1126" s="166"/>
      <c r="BF1126" s="166"/>
      <c r="BG1126" s="166"/>
      <c r="BH1126" s="166"/>
      <c r="BI1126" s="113"/>
      <c r="BJ1126" s="113"/>
      <c r="BK1126" s="113">
        <f>INDEX('Dist. Plant Gas Additions'!$E$7:$AE$91,MATCH($C1126,'Dist. Plant Gas Additions'!$D$7:$D$91,0),MATCH(Calculation!$G1126,'Dist. Plant Gas Additions'!$E$5:$AE$5,0))</f>
        <v>28716</v>
      </c>
      <c r="BL1126" s="113">
        <f>INDEX('Gen. Plant Additions'!$E$7:$AE$91,MATCH($C1126,'Gen. Plant Additions'!$D$7:$D$91,0),MATCH(Calculation!$G1126,'Gen. Plant Additions'!$E$5:$AE$5,0))</f>
        <v>916</v>
      </c>
      <c r="BM1126" s="232"/>
      <c r="BN1126" s="61">
        <f t="shared" si="2049"/>
        <v>0</v>
      </c>
      <c r="BO1126" s="113"/>
      <c r="BP1126" s="113"/>
      <c r="BQ1126" s="175"/>
      <c r="BR1126" s="175"/>
      <c r="BS1126" s="170"/>
      <c r="BT1126" s="176"/>
      <c r="BU1126" s="177"/>
      <c r="BV1126" s="177"/>
      <c r="BW1126" s="113"/>
      <c r="BX1126" s="113"/>
      <c r="BY1126" s="113"/>
      <c r="BZ1126" s="113"/>
      <c r="CA1126" s="116">
        <v>2021</v>
      </c>
      <c r="CB1126" s="113"/>
      <c r="CC1126" s="113"/>
      <c r="CD1126" s="113"/>
      <c r="CE1126" s="175"/>
      <c r="CF1126" s="113">
        <f t="shared" ref="CF1126" si="2050">+BL1126+BK1126</f>
        <v>29632</v>
      </c>
      <c r="CG1126" s="113">
        <f t="shared" si="2014"/>
        <v>31.759148385895625</v>
      </c>
      <c r="CH1126" s="178">
        <f>+(51-23)/(51-23*0.75)</f>
        <v>0.82962962962962961</v>
      </c>
      <c r="CI1126" s="113">
        <f>CI1103*CH1126+CG1104*CH1125+CG1105*CH1124+CG1106*CH1123+CG1107*CH1122+CG1108*CH1121+CG1109*CH1120+CG1110*CH1119+CG1111*CH1118+CG1112*CH1117+CG1113*CH1116+CG1114*CH1115+CG1115*CH1114+CG1116*CH1113+CG1117*CH1112+CG1108*CH1111+CG1119*CH1110+CG1120*CH1109+CG1121*CH1108+CG1122*CH1107+CG1123*CH1106+CG1124*CH1105+CG1126+CG1125*CH1104</f>
        <v>822.56251966862578</v>
      </c>
      <c r="CJ1126" s="114"/>
      <c r="CK1126" s="113"/>
      <c r="CL1126" s="169">
        <f t="shared" si="2016"/>
        <v>1.0001028945608307E-2</v>
      </c>
      <c r="CM1126" s="169">
        <f t="shared" si="2024"/>
        <v>9.1062469348918273E-3</v>
      </c>
      <c r="CN1126" s="114">
        <f>VLOOKUP($H1126,RoR!$E:$F,2,FALSE)</f>
        <v>2.7033333333333336E-2</v>
      </c>
      <c r="CO1126" s="169"/>
      <c r="CP1126" s="169"/>
      <c r="CQ1126" s="169">
        <f t="shared" si="2025"/>
        <v>2.1795694673641799E-2</v>
      </c>
      <c r="CR1126" s="169">
        <f t="shared" si="2026"/>
        <v>7.433422950153494E-2</v>
      </c>
      <c r="CS1126" s="179">
        <f t="shared" si="2017"/>
        <v>0.92230000000000001</v>
      </c>
      <c r="CT1126" s="180">
        <f t="shared" si="2018"/>
        <v>1.8969932656739068</v>
      </c>
      <c r="CU1126" s="180">
        <f t="shared" si="2019"/>
        <v>5.0215782983970621E-2</v>
      </c>
      <c r="CV1126" s="180">
        <f t="shared" si="2020"/>
        <v>0.655952481704143</v>
      </c>
      <c r="CW1126" s="180">
        <f t="shared" si="2021"/>
        <v>6.2485378865697057E-2</v>
      </c>
      <c r="CX1126" s="181">
        <f>CX1125</f>
        <v>0.20999999999999996</v>
      </c>
      <c r="CY1126" s="72">
        <v>0.37</v>
      </c>
      <c r="CZ1126" s="182">
        <f t="shared" si="2023"/>
        <v>23.654705929693034</v>
      </c>
      <c r="DA1126" s="182"/>
      <c r="DB1126" s="169">
        <f>LN(CZ1127/CZ1125)</f>
        <v>0.21941510941991935</v>
      </c>
      <c r="DC1126" s="181">
        <f>VLOOKUP($H1126,RoR!$E:$F,2,FALSE)</f>
        <v>2.7033333333333336E-2</v>
      </c>
      <c r="DD1126" s="183">
        <f>HLOOKUP($H1126,'GDP-PI'!$D$8:$CR$11,3,FALSE)</f>
        <v>4.2834637353352578E-2</v>
      </c>
      <c r="DE1126" s="181">
        <f>VLOOKUP(H1126,'HW Dx Data'!$E:$F,2,FALSE)</f>
        <v>933.02249921662576</v>
      </c>
      <c r="DF1126" s="72">
        <f t="shared" si="2037"/>
        <v>157.25</v>
      </c>
      <c r="DG1126" s="69">
        <f t="shared" si="2038"/>
        <v>2.6419062301765574E-2</v>
      </c>
      <c r="DH1126" s="175">
        <f>HLOOKUP(H1126,'GDP-PI'!$8:$9,2,FALSE)</f>
        <v>118.49</v>
      </c>
      <c r="DI1126" s="169">
        <f t="shared" si="2028"/>
        <v>4.194261824609434E-2</v>
      </c>
    </row>
    <row r="1127" spans="1:113" s="160" customFormat="1" ht="21">
      <c r="G1127" s="161" t="s">
        <v>144</v>
      </c>
      <c r="H1127" s="162"/>
      <c r="I1127" s="163"/>
      <c r="J1127" s="159">
        <v>10880.970285432779</v>
      </c>
      <c r="K1127" s="159">
        <f t="shared" si="2029"/>
        <v>66.93922045790697</v>
      </c>
      <c r="L1127" s="164">
        <f t="shared" ref="L1127" si="2051">LN(K1127/K1126)</f>
        <v>3.8110966021709679E-2</v>
      </c>
      <c r="M1127" s="76">
        <f t="shared" si="2039"/>
        <v>1.1224978689553022E-4</v>
      </c>
      <c r="N1127" s="166">
        <f>+N1126*EXP(O1127)</f>
        <v>116.88240867756821</v>
      </c>
      <c r="O1127" s="114">
        <f t="shared" si="2040"/>
        <v>-3.9775762513222538E-4</v>
      </c>
      <c r="P1127" s="114"/>
      <c r="Q1127" s="163">
        <v>15338.235221634159</v>
      </c>
      <c r="R1127" s="159">
        <f t="shared" si="2030"/>
        <v>120.53622963956117</v>
      </c>
      <c r="S1127" s="165">
        <f t="shared" ref="S1127" si="2052">LN(R1127/R1126)</f>
        <v>-6.5369410909391179E-5</v>
      </c>
      <c r="T1127" s="165">
        <f t="shared" si="2042"/>
        <v>-1.9253519944589257E-7</v>
      </c>
      <c r="U1127" s="166"/>
      <c r="V1127" s="114"/>
      <c r="W1127" s="159">
        <f t="shared" si="2011"/>
        <v>21628.430322873737</v>
      </c>
      <c r="X1127" s="168"/>
      <c r="Y1127" s="167">
        <v>844.61301015267748</v>
      </c>
      <c r="Z1127" s="168">
        <v>2.6454054797441066E-2</v>
      </c>
      <c r="AA1127" s="76">
        <f t="shared" si="2031"/>
        <v>7.791620951943078E-5</v>
      </c>
      <c r="AB1127" s="166"/>
      <c r="AC1127" s="114"/>
      <c r="AD1127" s="163">
        <f t="shared" si="2005"/>
        <v>47847.635829940671</v>
      </c>
      <c r="AE1127" s="168">
        <f t="shared" si="2043"/>
        <v>9.9614110940197079E-2</v>
      </c>
      <c r="AF1127" s="113"/>
      <c r="AG1127" s="114"/>
      <c r="AH1127" s="114"/>
      <c r="AI1127" s="114"/>
      <c r="AJ1127" s="116">
        <f t="shared" si="2044"/>
        <v>415.54245368831187</v>
      </c>
      <c r="AK1127" s="114"/>
      <c r="AL1127" s="115">
        <f t="shared" si="2032"/>
        <v>0.22740873392586741</v>
      </c>
      <c r="AM1127" s="115">
        <f t="shared" si="2033"/>
        <v>0.32056411890754805</v>
      </c>
      <c r="AN1127" s="115">
        <f t="shared" si="2034"/>
        <v>0.4520271471665846</v>
      </c>
      <c r="AO1127" s="115"/>
      <c r="AP1127" s="166"/>
      <c r="AQ1127" s="168"/>
      <c r="AR1127" s="69">
        <f>+AD1127/$AF$27</f>
        <v>2.9453408982492812E-3</v>
      </c>
      <c r="AS1127" s="169"/>
      <c r="AT1127" s="166"/>
      <c r="AU1127" s="168"/>
      <c r="AV1127" s="113">
        <v>115145</v>
      </c>
      <c r="AW1127" s="68">
        <f t="shared" si="2004"/>
        <v>4.1250450110667655E-3</v>
      </c>
      <c r="AX1127" s="113"/>
      <c r="AY1127" s="113"/>
      <c r="AZ1127" s="113"/>
      <c r="BA1127" s="113"/>
      <c r="BB1127" s="171"/>
      <c r="BC1127" s="172"/>
      <c r="BD1127" s="173"/>
      <c r="BE1127" s="115"/>
      <c r="BF1127" s="174"/>
      <c r="BG1127" s="174"/>
      <c r="BH1127" s="166"/>
      <c r="BI1127" s="113"/>
      <c r="BJ1127" s="113"/>
      <c r="BK1127" s="113"/>
      <c r="BL1127" s="113"/>
      <c r="BM1127" s="232"/>
      <c r="BN1127" s="61">
        <f t="shared" si="2049"/>
        <v>0</v>
      </c>
      <c r="BO1127" s="113"/>
      <c r="BP1127" s="113"/>
      <c r="BQ1127" s="175"/>
      <c r="BR1127" s="175"/>
      <c r="BS1127" s="170"/>
      <c r="BT1127" s="176"/>
      <c r="BU1127" s="177"/>
      <c r="BV1127" s="177"/>
      <c r="BW1127" s="113"/>
      <c r="BX1127" s="113"/>
      <c r="BY1127" s="113"/>
      <c r="BZ1127" s="113"/>
      <c r="CA1127" s="116">
        <v>2022</v>
      </c>
      <c r="CB1127" s="113"/>
      <c r="CC1127" s="113"/>
      <c r="CD1127" s="113"/>
      <c r="CE1127" s="175"/>
      <c r="CF1127" s="238">
        <v>33620</v>
      </c>
      <c r="CG1127" s="113">
        <f>+CF1127/DE1127</f>
        <v>32.615127909120012</v>
      </c>
      <c r="CH1127" s="178">
        <f>+(51-24)/(51-24*0.75)</f>
        <v>0.81818181818181823</v>
      </c>
      <c r="CI1127" s="113">
        <f>+CI1103*CH1127+CG1104*CH1126+CG1105*CH1125+CG1106*CH1124+CG1107*CH1123+CG1108*CH1122+CG1109*CH1121+CG1110*CH1120+CG1111*CH1119+CG1112*CH1118+CG1113*CH1117+CG1114*CH1116+CG1115*CH1115+CG1116*CH1114+CG1117*CH1113+CG1118*CH1112+CG1119*CH1111+CG1120*CH1110+CG1121*CH1109+CG1122*CH1108+CG1123*CH1107+CG1124*CH1106+CG1125*CH1105+CG1126*CH1104+CG1127*CH1103</f>
        <v>848.48181235676941</v>
      </c>
      <c r="CJ1127" s="114">
        <f t="shared" ref="CJ1127" si="2053">LN(CI1127/CI1126)</f>
        <v>3.1024157884703103E-2</v>
      </c>
      <c r="CK1127" s="113"/>
      <c r="CL1127" s="169">
        <f t="shared" si="2016"/>
        <v>8.1402143434323292E-3</v>
      </c>
      <c r="CM1127" s="169">
        <f t="shared" si="2024"/>
        <v>8.9547788768541848E-3</v>
      </c>
      <c r="CN1127" s="114"/>
      <c r="CO1127" s="169"/>
      <c r="CP1127" s="169"/>
      <c r="CQ1127" s="69">
        <f t="shared" si="2025"/>
        <v>2.1947162731679438E-2</v>
      </c>
      <c r="CR1127" s="169">
        <f t="shared" si="2026"/>
        <v>0.10114668178709289</v>
      </c>
      <c r="CS1127" s="179">
        <f t="shared" si="2017"/>
        <v>0.92230000000000001</v>
      </c>
      <c r="CT1127" s="180">
        <f t="shared" si="2018"/>
        <v>1.2820512820512819</v>
      </c>
      <c r="CU1127" s="180">
        <f t="shared" si="2019"/>
        <v>0.35000000000000003</v>
      </c>
      <c r="CV1127" s="180">
        <f t="shared" si="2020"/>
        <v>0.79171095533705893</v>
      </c>
      <c r="CW1127" s="180">
        <f t="shared" si="2021"/>
        <v>0.35525491585637264</v>
      </c>
      <c r="CX1127" s="181">
        <f>CX1126</f>
        <v>0.20999999999999996</v>
      </c>
      <c r="CY1127" s="72">
        <v>0.37</v>
      </c>
      <c r="CZ1127" s="182">
        <f t="shared" si="2023"/>
        <v>26.293965267937175</v>
      </c>
      <c r="DA1127" s="182"/>
      <c r="DB1127" s="169">
        <f t="shared" ref="DB1127" si="2054">LN(CZ1127/CZ1126)</f>
        <v>0.10577737798979807</v>
      </c>
      <c r="DC1127" s="181">
        <v>0.04</v>
      </c>
      <c r="DD1127" s="183">
        <v>7.0000000000000001E-3</v>
      </c>
      <c r="DE1127" s="181">
        <v>1030.81</v>
      </c>
      <c r="DF1127" s="72">
        <f t="shared" si="2037"/>
        <v>162.55000000000001</v>
      </c>
      <c r="DG1127" s="169">
        <f t="shared" si="2038"/>
        <v>3.3148751169364422E-2</v>
      </c>
      <c r="DH1127" s="175">
        <v>127.25</v>
      </c>
      <c r="DI1127" s="169">
        <f t="shared" si="2028"/>
        <v>7.1325086601983473E-2</v>
      </c>
    </row>
    <row r="1128" spans="1:113" s="160" customFormat="1" ht="21">
      <c r="A1128" s="160" t="s">
        <v>228</v>
      </c>
      <c r="B1128" s="160" t="s">
        <v>228</v>
      </c>
      <c r="C1128" s="160">
        <v>4063179</v>
      </c>
      <c r="D1128" s="161" t="s">
        <v>213</v>
      </c>
      <c r="E1128" s="161"/>
      <c r="F1128" s="189"/>
      <c r="G1128" s="160" t="s">
        <v>100</v>
      </c>
      <c r="H1128" s="162">
        <v>1998</v>
      </c>
      <c r="I1128" s="163"/>
      <c r="J1128" s="159"/>
      <c r="K1128" s="159"/>
      <c r="L1128" s="159"/>
      <c r="M1128" s="60"/>
      <c r="N1128" s="131"/>
      <c r="O1128" s="76"/>
      <c r="P1128" s="76"/>
      <c r="Q1128" s="165"/>
      <c r="R1128" s="165"/>
      <c r="S1128" s="165"/>
      <c r="T1128" s="159"/>
      <c r="U1128" s="165"/>
      <c r="V1128" s="165"/>
      <c r="W1128" s="159"/>
      <c r="X1128" s="163"/>
      <c r="Y1128" s="167">
        <v>20.399620516316364</v>
      </c>
      <c r="Z1128" s="168"/>
      <c r="AA1128" s="159"/>
      <c r="AB1128" s="168"/>
      <c r="AC1128" s="168"/>
      <c r="AD1128" s="163">
        <f t="shared" si="2005"/>
        <v>0</v>
      </c>
      <c r="AE1128" s="163"/>
      <c r="AF1128" s="163"/>
      <c r="AG1128" s="114"/>
      <c r="AH1128" s="114"/>
      <c r="AI1128" s="114"/>
      <c r="AJ1128" s="166">
        <f>+(AJ1125+AJ1126+AJ1127)/3</f>
        <v>394.41990445252742</v>
      </c>
      <c r="AK1128" s="168"/>
      <c r="AL1128" s="115"/>
      <c r="AM1128" s="115"/>
      <c r="AN1128" s="115"/>
      <c r="AO1128" s="115"/>
      <c r="AP1128" s="115"/>
      <c r="AQ1128" s="168">
        <f>AVERAGE(AQ1137:AQ1151)</f>
        <v>5.4559703660315819E-3</v>
      </c>
      <c r="AR1128" s="79"/>
      <c r="AS1128" s="115"/>
      <c r="AT1128" s="115"/>
      <c r="AU1128" s="115"/>
      <c r="AV1128" s="113">
        <f>IFERROR(INDEX('Total Customers'!$F$7:$AB$91,MATCH($C1128,'Total Customers'!$D$7:$D$91,0),MATCH($G1128,'Total Customers'!$F$5:$AB$5,0)),"NA")</f>
        <v>3375</v>
      </c>
      <c r="AW1128" s="68"/>
      <c r="AX1128" s="114"/>
      <c r="AY1128" s="114"/>
      <c r="AZ1128" s="116"/>
      <c r="BA1128" s="116"/>
      <c r="BB1128" s="166"/>
      <c r="BC1128" s="166"/>
      <c r="BD1128" s="166"/>
      <c r="BE1128" s="166"/>
      <c r="BF1128" s="166"/>
      <c r="BG1128" s="166"/>
      <c r="BH1128" s="166"/>
      <c r="BI1128" s="113">
        <f>INDEX('Gross Dx Plant'!$E$7:$AD$91,MATCH($C1128,'Gross Dx Plant'!$D$7:$D$91,0),MATCH(Calculation!$G1128,'Gross Dx Plant'!$E$5:$AD$5,0))</f>
        <v>5395</v>
      </c>
      <c r="BJ1128" s="113">
        <f>INDEX('Gross Gen Plant'!$E$7:$AD$91,MATCH($C1128,'Gross Gen Plant'!$D$7:$D$91,0),MATCH(Calculation!$G1128,'Gross Gen Plant'!$E$5:$AD$5,0))</f>
        <v>564</v>
      </c>
      <c r="BK1128" s="113">
        <f>INDEX('Dist. Plant Gas Additions'!$F$7:$AE$91,MATCH($C1128,'Dist. Plant Gas Additions'!$D$7:$D$91,0),MATCH(Calculation!$G1128,'Dist. Plant Gas Additions'!$F$5:$AE$5,0))</f>
        <v>89</v>
      </c>
      <c r="BL1128" s="113">
        <f>INDEX('Gen. Plant Additions'!$F$7:$AE$91,MATCH($C1128,'Gen. Plant Additions'!$D$7:$D$91,0),MATCH(Calculation!$G1128,'Gen. Plant Additions'!$F$5:$AE$5,0))</f>
        <v>19</v>
      </c>
      <c r="BM1128" s="231">
        <f>+(BW1128/(BW1128+BX1128))</f>
        <v>0.90535324718912569</v>
      </c>
      <c r="BN1128" s="61">
        <f t="shared" si="2049"/>
        <v>17.201711696593389</v>
      </c>
      <c r="BO1128" s="113">
        <f>INDEX('Dist Plant Depreciation'!$E$7:$AD$94,MATCH($C1128,'Dist Plant Depreciation'!$D$7:$D$94,0),MATCH(Calculation!$G1128,'Dist Plant Depreciation'!$E$5:$AD$5,0))</f>
        <v>1631</v>
      </c>
      <c r="BP1128" s="113">
        <f>INDEX('Gen. Plant Depreciation'!$E$7:$AD$94,MATCH($C1128,'Gen. Plant Depreciation'!$D$7:$D$94,0),MATCH(Calculation!$G1128,'Gen. Plant Depreciation'!$E$5:$AD$5,0))</f>
        <v>213</v>
      </c>
      <c r="BQ1128" s="113"/>
      <c r="BR1128" s="113"/>
      <c r="BS1128" s="113"/>
      <c r="BT1128" s="113"/>
      <c r="BU1128" s="113"/>
      <c r="BV1128" s="175"/>
      <c r="BW1128" s="113">
        <f>INDEX('Gross Dx Plant'!$E$7:$AD$91,MATCH($C1128,'Gross Dx Plant'!$D$7:$D$91,0),MATCH(Calculation!$G1128,'Gross Dx Plant'!$E$5:$AD$5,0))</f>
        <v>5395</v>
      </c>
      <c r="BX1128" s="113">
        <f>INDEX('Gross Gen Plant'!$E$7:$AD$91,MATCH($C1128,'Gross Gen Plant'!$D$7:$D$91,0),MATCH(Calculation!$G1128,'Gross Gen Plant'!$E$5:$AD$5,0))</f>
        <v>564</v>
      </c>
      <c r="BY1128" s="113">
        <f t="shared" si="1999"/>
        <v>4115</v>
      </c>
      <c r="BZ1128" s="113"/>
      <c r="CA1128" s="116">
        <v>1998</v>
      </c>
      <c r="CB1128" s="113">
        <f>BI1128+BJ1128</f>
        <v>5959</v>
      </c>
      <c r="CC1128" s="113">
        <f>1631+213</f>
        <v>1844</v>
      </c>
      <c r="CD1128" s="113">
        <f>+CB1128-CC1128</f>
        <v>4115</v>
      </c>
      <c r="CE1128" s="113">
        <f>CD1128/$BV$3</f>
        <v>20.399620516316364</v>
      </c>
      <c r="CF1128" s="175"/>
      <c r="CG1128" s="175"/>
      <c r="CH1128" s="178">
        <v>1</v>
      </c>
      <c r="CI1128" s="113">
        <f>+CE1128</f>
        <v>20.399620516316364</v>
      </c>
      <c r="CJ1128" s="114"/>
      <c r="CK1128" s="114"/>
      <c r="CL1128" s="169"/>
      <c r="CM1128" s="169"/>
      <c r="CN1128" s="114" t="e">
        <f>VLOOKUP($H1128,RoR!$E:$F,2,FALSE)</f>
        <v>#N/A</v>
      </c>
      <c r="CO1128" s="169">
        <v>1.1028127770464469E-2</v>
      </c>
      <c r="CP1128" s="169"/>
      <c r="CQ1128" s="169"/>
      <c r="CR1128" s="169"/>
      <c r="CS1128" s="179"/>
      <c r="CT1128" s="182" t="e">
        <f>2/(DC1128*39)</f>
        <v>#N/A</v>
      </c>
      <c r="CU1128" s="180" t="e">
        <f>+(DC1128*40-(1+DC1128))/(DC1128*40)</f>
        <v>#N/A</v>
      </c>
      <c r="CV1128" s="180" t="e">
        <f>+(1-(1/(1+DC1128)^40))</f>
        <v>#N/A</v>
      </c>
      <c r="CW1128" s="180" t="e">
        <f>+CV1128*CU1128*CT1128</f>
        <v>#N/A</v>
      </c>
      <c r="CX1128" s="181">
        <f>INDEX('State Tax Lookup'!$D$7:$Z$91,MATCH(Calculation!$C1128,'State Tax Lookup'!$B$7:$B$91,0),MATCH($H1128,'State Tax Lookup'!$D$6:$Z$6,0))</f>
        <v>0.38574999999999998</v>
      </c>
      <c r="CY1128" s="72">
        <v>0.37</v>
      </c>
      <c r="CZ1128" s="66"/>
      <c r="DA1128" s="66"/>
      <c r="DB1128" s="69"/>
      <c r="DC1128" s="111" t="e">
        <f>VLOOKUP($H1128,RoR!$E:$F,2,FALSE)</f>
        <v>#N/A</v>
      </c>
      <c r="DD1128" s="216">
        <f>HLOOKUP($H1128,'GDP-PI'!$D$8:$CQ$11,3,FALSE)</f>
        <v>1.1028127770464469E-2</v>
      </c>
      <c r="DE1128" s="111">
        <f>VLOOKUP(H1128,'HW Dx Data'!$E:$F,2,FALSE)</f>
        <v>329.24564746449528</v>
      </c>
      <c r="DF1128" s="72" t="e">
        <f t="shared" si="2037"/>
        <v>#N/A</v>
      </c>
      <c r="DG1128" s="169" t="e">
        <f t="shared" si="2038"/>
        <v>#N/A</v>
      </c>
      <c r="DH1128" s="66">
        <f>HLOOKUP(H1128,'GDP-PI'!$8:$9,2,FALSE)</f>
        <v>75.266999999999996</v>
      </c>
      <c r="DI1128"/>
    </row>
    <row r="1129" spans="1:113" s="160" customFormat="1" ht="21">
      <c r="A1129" s="160" t="s">
        <v>228</v>
      </c>
      <c r="B1129" s="160" t="s">
        <v>228</v>
      </c>
      <c r="C1129" s="160">
        <v>4063179</v>
      </c>
      <c r="D1129" s="161" t="s">
        <v>213</v>
      </c>
      <c r="E1129" s="161"/>
      <c r="F1129" s="189"/>
      <c r="G1129" s="160" t="s">
        <v>106</v>
      </c>
      <c r="H1129" s="162">
        <v>1999</v>
      </c>
      <c r="I1129" s="163"/>
      <c r="J1129" s="159"/>
      <c r="K1129" s="163"/>
      <c r="L1129" s="163"/>
      <c r="M1129" s="60"/>
      <c r="N1129" s="152"/>
      <c r="O1129" s="60"/>
      <c r="P1129" s="59"/>
      <c r="Q1129" s="169"/>
      <c r="R1129" s="169"/>
      <c r="S1129" s="169"/>
      <c r="T1129" s="187"/>
      <c r="U1129" s="169"/>
      <c r="V1129" s="169"/>
      <c r="W1129" s="159">
        <f t="shared" ref="W1129:W1152" si="2055">+CI1128*CZ1129</f>
        <v>0</v>
      </c>
      <c r="X1129" s="163"/>
      <c r="Y1129" s="167">
        <v>20.658973833518825</v>
      </c>
      <c r="Z1129" s="168">
        <v>1.2633494682974715E-2</v>
      </c>
      <c r="AA1129" s="168"/>
      <c r="AB1129" s="168"/>
      <c r="AC1129" s="168"/>
      <c r="AD1129" s="163">
        <f t="shared" si="2005"/>
        <v>0</v>
      </c>
      <c r="AE1129" s="168"/>
      <c r="AF1129" s="163"/>
      <c r="AG1129" s="114"/>
      <c r="AH1129" s="114"/>
      <c r="AI1129" s="114"/>
      <c r="AJ1129" s="167"/>
      <c r="AK1129" s="168"/>
      <c r="AL1129" s="115"/>
      <c r="AM1129" s="115"/>
      <c r="AN1129" s="115"/>
      <c r="AO1129" s="115"/>
      <c r="AP1129" s="115"/>
      <c r="AQ1129" s="168"/>
      <c r="AR1129" s="79"/>
      <c r="AS1129" s="115"/>
      <c r="AT1129" s="115"/>
      <c r="AU1129" s="115"/>
      <c r="AV1129" s="113">
        <f>IFERROR(INDEX('Total Customers'!$F$7:$AB$91,MATCH($C1129,'Total Customers'!$D$7:$D$91,0),MATCH($G1129,'Total Customers'!$F$5:$AB$5,0)),"NA")</f>
        <v>3409</v>
      </c>
      <c r="AW1129" s="68">
        <f t="shared" si="2004"/>
        <v>1.0023668831272948E-2</v>
      </c>
      <c r="AX1129" s="114"/>
      <c r="AY1129" s="114"/>
      <c r="AZ1129" s="116"/>
      <c r="BA1129" s="116"/>
      <c r="BB1129" s="166"/>
      <c r="BC1129" s="166"/>
      <c r="BD1129" s="166"/>
      <c r="BE1129" s="166"/>
      <c r="BF1129" s="166"/>
      <c r="BG1129" s="166"/>
      <c r="BH1129" s="166"/>
      <c r="BI1129" s="113"/>
      <c r="BJ1129" s="113"/>
      <c r="BK1129" s="113">
        <f>INDEX('Dist. Plant Gas Additions'!$F$7:$AE$91,MATCH($C1129,'Dist. Plant Gas Additions'!$D$7:$D$91,0),MATCH(Calculation!$G1129,'Dist. Plant Gas Additions'!$F$5:$AE$5,0))</f>
        <v>64</v>
      </c>
      <c r="BL1129" s="113">
        <f>INDEX('Gen. Plant Additions'!$F$7:$AE$91,MATCH($C1129,'Gen. Plant Additions'!$D$7:$D$91,0),MATCH(Calculation!$G1129,'Gen. Plant Additions'!$F$5:$AE$5,0))</f>
        <v>57</v>
      </c>
      <c r="BM1129" s="231">
        <f t="shared" ref="BM1129:BM1150" si="2056">+(BW1129/(BW1129+BX1129))</f>
        <v>0.90128968253968256</v>
      </c>
      <c r="BN1129" s="61">
        <f t="shared" si="2049"/>
        <v>51.373511904761905</v>
      </c>
      <c r="BO1129" s="113">
        <f>INDEX('Dist Plant Depreciation'!$E$7:$AD$94,MATCH($C1129,'Dist Plant Depreciation'!$D$7:$D$94,0),MATCH(Calculation!$G1129,'Dist Plant Depreciation'!$E$5:$AD$5,0))</f>
        <v>1806</v>
      </c>
      <c r="BP1129" s="113">
        <f>INDEX('Gen. Plant Depreciation'!$E$7:$AD$94,MATCH($C1129,'Gen. Plant Depreciation'!$D$7:$D$94,0),MATCH(Calculation!$G1129,'Gen. Plant Depreciation'!$E$5:$AD$5,0))</f>
        <v>247</v>
      </c>
      <c r="BQ1129" s="113"/>
      <c r="BR1129" s="113"/>
      <c r="BS1129" s="113"/>
      <c r="BT1129" s="113"/>
      <c r="BU1129" s="113"/>
      <c r="BV1129" s="175"/>
      <c r="BW1129" s="113">
        <f>INDEX('Gross Dx Plant'!$E$7:$AD$91,MATCH($C1129,'Gross Dx Plant'!$D$7:$D$91,0),MATCH(Calculation!$G1129,'Gross Dx Plant'!$E$5:$AD$5,0))</f>
        <v>5451</v>
      </c>
      <c r="BX1129" s="113">
        <f>INDEX('Gross Gen Plant'!$E$7:$AD$91,MATCH($C1129,'Gross Gen Plant'!$D$7:$D$91,0),MATCH(Calculation!$G1129,'Gross Gen Plant'!$E$5:$AD$5,0))</f>
        <v>597</v>
      </c>
      <c r="BY1129" s="113">
        <f t="shared" si="1999"/>
        <v>3995</v>
      </c>
      <c r="BZ1129" s="113"/>
      <c r="CA1129" s="116">
        <v>1999</v>
      </c>
      <c r="CB1129" s="113"/>
      <c r="CC1129" s="113"/>
      <c r="CD1129" s="113"/>
      <c r="CE1129" s="175"/>
      <c r="CF1129" s="113">
        <f t="shared" ref="CF1129:CF1148" si="2057">+BL1129+BK1129</f>
        <v>121</v>
      </c>
      <c r="CG1129" s="113">
        <f t="shared" ref="CG1129:CG1151" si="2058">+CF1129/$DE1129</f>
        <v>0.36084396653736539</v>
      </c>
      <c r="CH1129" s="178">
        <v>0.99502487562189057</v>
      </c>
      <c r="CI1129" s="61">
        <f>+CI1128*CH1129+CG1129</f>
        <v>20.658973833518825</v>
      </c>
      <c r="CJ1129" s="114">
        <f t="shared" ref="CJ1129:CJ1150" si="2059">LN(CI1129/CI1128)</f>
        <v>1.2633494682974715E-2</v>
      </c>
      <c r="CK1129" s="114"/>
      <c r="CL1129" s="169">
        <f t="shared" ref="CL1129:CL1152" si="2060">+(CI1128-CI1129+CG1129)/CI1128</f>
        <v>4.975124378109326E-3</v>
      </c>
      <c r="CM1129" s="169"/>
      <c r="CN1129" s="114">
        <f>VLOOKUP($H1129,RoR!$E:$F,2,FALSE)</f>
        <v>7.0416666666666669E-2</v>
      </c>
      <c r="CO1129" s="169">
        <v>1.4335631817396832E-2</v>
      </c>
      <c r="CP1129" s="169">
        <f>+CN1129-CO1129</f>
        <v>5.6081034849269837E-2</v>
      </c>
      <c r="CQ1129" s="169"/>
      <c r="CR1129" s="169"/>
      <c r="CS1129" s="179">
        <f t="shared" ref="CS1129:CS1152" si="2061">1-CX1129*CY1129</f>
        <v>0.85727249999999999</v>
      </c>
      <c r="CT1129" s="180">
        <f t="shared" ref="CT1129:CT1152" si="2062">2/(DC1129*39)</f>
        <v>0.72826581702321336</v>
      </c>
      <c r="CU1129" s="180">
        <f t="shared" ref="CU1129:CU1152" si="2063">+(DC1129*40-(1+DC1129))/(DC1129*40)</f>
        <v>0.61997041420118348</v>
      </c>
      <c r="CV1129" s="180">
        <f t="shared" ref="CV1129:CV1152" si="2064">+(1-(1/(1+DC1129)^40))</f>
        <v>0.93425155319585029</v>
      </c>
      <c r="CW1129" s="180">
        <f t="shared" ref="CW1129:CW1152" si="2065">+CV1129*CU1129*CT1129</f>
        <v>0.42181762214141483</v>
      </c>
      <c r="CX1129" s="181">
        <f>INDEX('State Tax Lookup'!$D$7:$Z$91,MATCH(Calculation!$C1129,'State Tax Lookup'!$B$7:$B$91,0),MATCH($H1129,'State Tax Lookup'!$D$6:$Z$6,0))</f>
        <v>0.38574999999999998</v>
      </c>
      <c r="CY1129" s="72">
        <v>0.37</v>
      </c>
      <c r="CZ1129" s="70"/>
      <c r="DA1129" s="70"/>
      <c r="DB1129" s="69"/>
      <c r="DC1129" s="111">
        <f>VLOOKUP($H1129,RoR!$E:$F,2,FALSE)</f>
        <v>7.0416666666666669E-2</v>
      </c>
      <c r="DD1129" s="216">
        <f>HLOOKUP($H1129,'GDP-PI'!$D$8:$CQ$11,3,FALSE)</f>
        <v>1.4335631817396832E-2</v>
      </c>
      <c r="DE1129" s="111">
        <f>VLOOKUP(H1129,'HW Dx Data'!$E:$F,2,FALSE)</f>
        <v>335.32499146683239</v>
      </c>
      <c r="DF1129" s="66"/>
      <c r="DG1129" s="69"/>
      <c r="DH1129" s="66">
        <f>HLOOKUP(H1129,'GDP-PI'!$8:$9,2,FALSE)</f>
        <v>76.346000000000004</v>
      </c>
      <c r="DI1129"/>
    </row>
    <row r="1130" spans="1:113" s="160" customFormat="1" ht="21">
      <c r="A1130" s="160" t="s">
        <v>228</v>
      </c>
      <c r="B1130" s="160" t="s">
        <v>228</v>
      </c>
      <c r="C1130" s="160">
        <v>4063179</v>
      </c>
      <c r="D1130" s="161" t="s">
        <v>213</v>
      </c>
      <c r="E1130" s="161"/>
      <c r="F1130" s="189"/>
      <c r="G1130" s="160" t="s">
        <v>107</v>
      </c>
      <c r="H1130" s="162">
        <v>2000</v>
      </c>
      <c r="I1130" s="163"/>
      <c r="J1130" s="159"/>
      <c r="K1130" s="159"/>
      <c r="L1130" s="159"/>
      <c r="M1130" s="60"/>
      <c r="N1130" s="152"/>
      <c r="O1130" s="60"/>
      <c r="P1130" s="60"/>
      <c r="Q1130" s="159"/>
      <c r="R1130" s="159"/>
      <c r="S1130" s="159"/>
      <c r="T1130" s="159"/>
      <c r="U1130" s="159"/>
      <c r="V1130" s="159"/>
      <c r="W1130" s="159">
        <f t="shared" si="2055"/>
        <v>0</v>
      </c>
      <c r="X1130" s="163"/>
      <c r="Y1130" s="167">
        <v>20.659384183202182</v>
      </c>
      <c r="Z1130" s="168">
        <v>1.9862826262502903E-5</v>
      </c>
      <c r="AA1130" s="168"/>
      <c r="AB1130" s="168"/>
      <c r="AC1130" s="168"/>
      <c r="AD1130" s="163">
        <f t="shared" si="2005"/>
        <v>0</v>
      </c>
      <c r="AE1130" s="168"/>
      <c r="AF1130" s="163"/>
      <c r="AG1130" s="163"/>
      <c r="AH1130" s="163"/>
      <c r="AI1130" s="163"/>
      <c r="AJ1130" s="167"/>
      <c r="AK1130" s="168"/>
      <c r="AL1130" s="115"/>
      <c r="AM1130" s="115"/>
      <c r="AN1130" s="115"/>
      <c r="AO1130" s="115"/>
      <c r="AP1130" s="115"/>
      <c r="AQ1130" s="168"/>
      <c r="AR1130" s="79"/>
      <c r="AS1130" s="115"/>
      <c r="AT1130" s="115"/>
      <c r="AU1130" s="115"/>
      <c r="AV1130" s="113">
        <f>IFERROR(INDEX('Total Customers'!$F$7:$AB$91,MATCH($C1130,'Total Customers'!$D$7:$D$91,0),MATCH($G1130,'Total Customers'!$F$5:$AB$5,0)),"NA")</f>
        <v>3663</v>
      </c>
      <c r="AW1130" s="68">
        <f t="shared" si="2004"/>
        <v>7.1863490640911312E-2</v>
      </c>
      <c r="AX1130" s="114"/>
      <c r="AY1130" s="114"/>
      <c r="AZ1130" s="116"/>
      <c r="BA1130" s="116"/>
      <c r="BB1130" s="166"/>
      <c r="BC1130" s="166"/>
      <c r="BD1130" s="166"/>
      <c r="BE1130" s="166"/>
      <c r="BF1130" s="166"/>
      <c r="BG1130" s="166"/>
      <c r="BH1130" s="166"/>
      <c r="BI1130" s="113"/>
      <c r="BJ1130" s="113"/>
      <c r="BK1130" s="113">
        <f>INDEX('Dist. Plant Gas Additions'!$F$7:$AE$91,MATCH($C1130,'Dist. Plant Gas Additions'!$D$7:$D$91,0),MATCH(Calculation!$G1130,'Dist. Plant Gas Additions'!$F$5:$AE$5,0))</f>
        <v>33</v>
      </c>
      <c r="BL1130" s="113">
        <f>INDEX('Gen. Plant Additions'!$F$7:$AE$91,MATCH($C1130,'Gen. Plant Additions'!$D$7:$D$91,0),MATCH(Calculation!$G1130,'Gen. Plant Additions'!$F$5:$AE$5,0))</f>
        <v>4</v>
      </c>
      <c r="BM1130" s="231">
        <f t="shared" si="2056"/>
        <v>0.90058675607711647</v>
      </c>
      <c r="BN1130" s="61">
        <f t="shared" si="2049"/>
        <v>3.6023470243084659</v>
      </c>
      <c r="BO1130" s="113" t="str">
        <f>INDEX('Dist Plant Depreciation'!$E$7:$AD$94,MATCH($C1130,'Dist Plant Depreciation'!$D$7:$D$94,0),MATCH(Calculation!$G1130,'Dist Plant Depreciation'!$E$5:$AD$5,0))</f>
        <v>NA</v>
      </c>
      <c r="BP1130" s="113" t="str">
        <f>INDEX('Gen. Plant Depreciation'!$E$7:$AD$94,MATCH($C1130,'Gen. Plant Depreciation'!$D$7:$D$94,0),MATCH(Calculation!$G1130,'Gen. Plant Depreciation'!$E$5:$AD$5,0))</f>
        <v>NA</v>
      </c>
      <c r="BQ1130" s="113"/>
      <c r="BR1130" s="113"/>
      <c r="BS1130" s="113"/>
      <c r="BT1130" s="113"/>
      <c r="BU1130" s="113"/>
      <c r="BV1130" s="175"/>
      <c r="BW1130" s="113">
        <f>INDEX('Gross Dx Plant'!$E$7:$AD$91,MATCH($C1130,'Gross Dx Plant'!$D$7:$D$91,0),MATCH(Calculation!$G1130,'Gross Dx Plant'!$E$5:$AD$5,0))</f>
        <v>5372</v>
      </c>
      <c r="BX1130" s="113">
        <f>INDEX('Gross Gen Plant'!$E$7:$AD$91,MATCH($C1130,'Gross Gen Plant'!$D$7:$D$91,0),MATCH(Calculation!$G1130,'Gross Gen Plant'!$E$5:$AD$5,0))</f>
        <v>593</v>
      </c>
      <c r="BY1130" s="113" t="str">
        <f t="shared" si="1999"/>
        <v>NA</v>
      </c>
      <c r="BZ1130" s="113"/>
      <c r="CA1130" s="116">
        <v>2000</v>
      </c>
      <c r="CB1130" s="113"/>
      <c r="CC1130" s="113"/>
      <c r="CD1130" s="113"/>
      <c r="CE1130" s="175"/>
      <c r="CF1130" s="113">
        <f t="shared" si="2057"/>
        <v>37</v>
      </c>
      <c r="CG1130" s="113">
        <f t="shared" si="2058"/>
        <v>0.10677171685514998</v>
      </c>
      <c r="CH1130" s="178">
        <v>0.98989898989898994</v>
      </c>
      <c r="CI1130" s="61">
        <f>+CI1128*CH1130+CG1129*CH1129+CG1130</f>
        <v>20.659384183202182</v>
      </c>
      <c r="CJ1130" s="114">
        <f t="shared" si="2059"/>
        <v>1.9862826262502903E-5</v>
      </c>
      <c r="CK1130" s="114"/>
      <c r="CL1130" s="169">
        <f t="shared" si="2060"/>
        <v>5.1484341879180851E-3</v>
      </c>
      <c r="CM1130" s="169"/>
      <c r="CN1130" s="114">
        <f>VLOOKUP($H1130,RoR!$E:$F,2,FALSE)</f>
        <v>7.6225000000000001E-2</v>
      </c>
      <c r="CO1130" s="169">
        <v>2.2568307442433211E-2</v>
      </c>
      <c r="CP1130" s="169">
        <f t="shared" ref="CP1130:CP1150" si="2066">+CN1130-CO1130</f>
        <v>5.365669255756679E-2</v>
      </c>
      <c r="CQ1130" s="169"/>
      <c r="CR1130" s="169"/>
      <c r="CS1130" s="179">
        <f t="shared" si="2061"/>
        <v>0.85727249999999999</v>
      </c>
      <c r="CT1130" s="180">
        <f t="shared" si="2062"/>
        <v>0.67277207323124022</v>
      </c>
      <c r="CU1130" s="180">
        <f t="shared" si="2063"/>
        <v>0.6470236142997704</v>
      </c>
      <c r="CV1130" s="180">
        <f t="shared" si="2064"/>
        <v>0.94704866037543145</v>
      </c>
      <c r="CW1130" s="180">
        <f t="shared" si="2065"/>
        <v>0.41224973107878493</v>
      </c>
      <c r="CX1130" s="181">
        <f>INDEX('State Tax Lookup'!$D$7:$Z$91,MATCH(Calculation!$C1130,'State Tax Lookup'!$B$7:$B$91,0),MATCH($H1130,'State Tax Lookup'!$D$6:$Z$6,0))</f>
        <v>0.38574999999999998</v>
      </c>
      <c r="CY1130" s="72">
        <v>0.37</v>
      </c>
      <c r="CZ1130" s="70"/>
      <c r="DA1130" s="70"/>
      <c r="DB1130" s="69"/>
      <c r="DC1130" s="111">
        <f>VLOOKUP($H1130,RoR!$E:$F,2,FALSE)</f>
        <v>7.6225000000000001E-2</v>
      </c>
      <c r="DD1130" s="216">
        <f>HLOOKUP($H1130,'GDP-PI'!$D$8:$CQ$11,3,FALSE)</f>
        <v>2.2568307442433211E-2</v>
      </c>
      <c r="DE1130" s="111">
        <f>VLOOKUP(H1130,'HW Dx Data'!$E:$F,2,FALSE)</f>
        <v>346.53371782150339</v>
      </c>
      <c r="DF1130" s="66"/>
      <c r="DG1130" s="69"/>
      <c r="DH1130" s="66">
        <f>HLOOKUP(H1130,'GDP-PI'!$8:$9,2,FALSE)</f>
        <v>78.069000000000003</v>
      </c>
      <c r="DI1130"/>
    </row>
    <row r="1131" spans="1:113" s="160" customFormat="1" ht="21">
      <c r="A1131" s="160" t="s">
        <v>228</v>
      </c>
      <c r="B1131" s="160" t="s">
        <v>228</v>
      </c>
      <c r="C1131" s="160">
        <v>4063179</v>
      </c>
      <c r="D1131" s="161" t="s">
        <v>213</v>
      </c>
      <c r="E1131" s="161"/>
      <c r="F1131" s="189"/>
      <c r="G1131" s="160" t="s">
        <v>111</v>
      </c>
      <c r="H1131" s="162">
        <v>2001</v>
      </c>
      <c r="I1131" s="163"/>
      <c r="J1131" s="159"/>
      <c r="K1131" s="159"/>
      <c r="L1131" s="159"/>
      <c r="M1131" s="60"/>
      <c r="N1131" s="152"/>
      <c r="O1131" s="60"/>
      <c r="P1131" s="60"/>
      <c r="Q1131" s="159"/>
      <c r="R1131" s="159"/>
      <c r="S1131" s="159"/>
      <c r="T1131" s="159"/>
      <c r="U1131" s="159"/>
      <c r="V1131" s="159"/>
      <c r="W1131" s="159">
        <f t="shared" si="2055"/>
        <v>261.81405378927258</v>
      </c>
      <c r="X1131" s="163"/>
      <c r="Y1131" s="167">
        <v>20.985459416741456</v>
      </c>
      <c r="Z1131" s="168">
        <v>1.5660133126160766E-2</v>
      </c>
      <c r="AA1131" s="168"/>
      <c r="AB1131" s="168"/>
      <c r="AC1131" s="168"/>
      <c r="AD1131" s="163">
        <f t="shared" si="2005"/>
        <v>261.81405378927258</v>
      </c>
      <c r="AE1131" s="168"/>
      <c r="AF1131" s="163"/>
      <c r="AG1131" s="163"/>
      <c r="AH1131" s="163"/>
      <c r="AI1131" s="163"/>
      <c r="AJ1131" s="167"/>
      <c r="AK1131" s="168"/>
      <c r="AL1131" s="115"/>
      <c r="AM1131" s="115"/>
      <c r="AN1131" s="115"/>
      <c r="AO1131" s="115"/>
      <c r="AP1131" s="115"/>
      <c r="AQ1131" s="168"/>
      <c r="AR1131" s="79"/>
      <c r="AS1131" s="115"/>
      <c r="AT1131" s="115"/>
      <c r="AU1131" s="115"/>
      <c r="AV1131" s="113">
        <f>IFERROR(INDEX('Total Customers'!$F$7:$AB$91,MATCH($C1131,'Total Customers'!$D$7:$D$91,0),MATCH($G1131,'Total Customers'!$F$5:$AB$5,0)),"NA")</f>
        <v>3377</v>
      </c>
      <c r="AW1131" s="68">
        <f t="shared" si="2004"/>
        <v>-8.1294742393246688E-2</v>
      </c>
      <c r="AX1131" s="114"/>
      <c r="AY1131" s="114"/>
      <c r="AZ1131" s="116"/>
      <c r="BA1131" s="116"/>
      <c r="BB1131" s="166"/>
      <c r="BC1131" s="166"/>
      <c r="BD1131" s="166"/>
      <c r="BE1131" s="166"/>
      <c r="BF1131" s="166"/>
      <c r="BG1131" s="166"/>
      <c r="BH1131" s="166"/>
      <c r="BI1131" s="113"/>
      <c r="BJ1131" s="113"/>
      <c r="BK1131" s="113">
        <f>INDEX('Dist. Plant Gas Additions'!$F$7:$AE$91,MATCH($C1131,'Dist. Plant Gas Additions'!$D$7:$D$91,0),MATCH(Calculation!$G1131,'Dist. Plant Gas Additions'!$F$5:$AE$5,0))</f>
        <v>95</v>
      </c>
      <c r="BL1131" s="113">
        <f>INDEX('Gen. Plant Additions'!$F$7:$AE$91,MATCH($C1131,'Gen. Plant Additions'!$D$7:$D$91,0),MATCH(Calculation!$G1131,'Gen. Plant Additions'!$F$5:$AE$5,0))</f>
        <v>59</v>
      </c>
      <c r="BM1131" s="231">
        <f t="shared" si="2056"/>
        <v>0.89854833388320687</v>
      </c>
      <c r="BN1131" s="61">
        <f t="shared" si="2049"/>
        <v>53.014351699109206</v>
      </c>
      <c r="BO1131" s="113" t="str">
        <f>INDEX('Dist Plant Depreciation'!$E$7:$AD$94,MATCH($C1131,'Dist Plant Depreciation'!$D$7:$D$94,0),MATCH(Calculation!$G1131,'Dist Plant Depreciation'!$E$5:$AD$5,0))</f>
        <v>NA</v>
      </c>
      <c r="BP1131" s="113" t="str">
        <f>INDEX('Gen. Plant Depreciation'!$E$7:$AD$94,MATCH($C1131,'Gen. Plant Depreciation'!$D$7:$D$94,0),MATCH(Calculation!$G1131,'Gen. Plant Depreciation'!$E$5:$AD$5,0))</f>
        <v>NA</v>
      </c>
      <c r="BQ1131" s="113"/>
      <c r="BR1131" s="113"/>
      <c r="BS1131" s="113"/>
      <c r="BT1131" s="113"/>
      <c r="BU1131" s="113"/>
      <c r="BV1131" s="175"/>
      <c r="BW1131" s="113">
        <f>INDEX('Gross Dx Plant'!$E$7:$AD$91,MATCH($C1131,'Gross Dx Plant'!$D$7:$D$91,0),MATCH(Calculation!$G1131,'Gross Dx Plant'!$E$5:$AD$5,0))</f>
        <v>5447</v>
      </c>
      <c r="BX1131" s="113">
        <f>INDEX('Gross Gen Plant'!$E$7:$AD$91,MATCH($C1131,'Gross Gen Plant'!$D$7:$D$91,0),MATCH(Calculation!$G1131,'Gross Gen Plant'!$E$5:$AD$5,0))</f>
        <v>615</v>
      </c>
      <c r="BY1131" s="113" t="str">
        <f t="shared" ref="BY1131:BY1198" si="2067">IF(OR(BO1131="NA",BP1131="NA"),"NA",(SUM(BW1131:BX1131)-SUM(BO1131:BP1131)))</f>
        <v>NA</v>
      </c>
      <c r="BZ1131" s="113"/>
      <c r="CA1131" s="116">
        <v>2001</v>
      </c>
      <c r="CB1131" s="113"/>
      <c r="CC1131" s="113"/>
      <c r="CD1131" s="113"/>
      <c r="CE1131" s="175"/>
      <c r="CF1131" s="113">
        <f t="shared" si="2057"/>
        <v>154</v>
      </c>
      <c r="CG1131" s="113">
        <f t="shared" si="2058"/>
        <v>0.43570842121909203</v>
      </c>
      <c r="CH1131" s="178">
        <v>0.98461538461538467</v>
      </c>
      <c r="CI1131" s="61">
        <f>+CI1128*CH1131+CG1129*CH1130+CG1130*CH1128+CG1131</f>
        <v>20.985459416741456</v>
      </c>
      <c r="CJ1131" s="114">
        <f t="shared" si="2059"/>
        <v>1.5660133126160766E-2</v>
      </c>
      <c r="CK1131" s="114"/>
      <c r="CL1131" s="169">
        <f t="shared" si="2060"/>
        <v>5.3067016280649139E-3</v>
      </c>
      <c r="CM1131" s="169">
        <f>+(CL1131+CL1130+CL1129)/3</f>
        <v>5.143420064697442E-3</v>
      </c>
      <c r="CN1131" s="114">
        <f>VLOOKUP($H1131,RoR!$E:$F,2,FALSE)</f>
        <v>7.0824999999999999E-2</v>
      </c>
      <c r="CO1131" s="169">
        <v>2.2454495382290052E-2</v>
      </c>
      <c r="CP1131" s="169">
        <f t="shared" si="2066"/>
        <v>4.8370504617709947E-2</v>
      </c>
      <c r="CQ1131" s="169">
        <f>+$CP$2-CM1131</f>
        <v>2.5758521543836184E-2</v>
      </c>
      <c r="CR1131" s="169">
        <f>+((DE1129/DE1128-1)+(DE1130/DE1129-1)+(DE1131/DE1130-1))/3</f>
        <v>2.3947275901631187E-2</v>
      </c>
      <c r="CS1131" s="179">
        <f t="shared" si="2061"/>
        <v>0.85727249999999999</v>
      </c>
      <c r="CT1131" s="180">
        <f t="shared" si="2062"/>
        <v>0.72406708481540816</v>
      </c>
      <c r="CU1131" s="180">
        <f t="shared" si="2063"/>
        <v>0.62201729615248857</v>
      </c>
      <c r="CV1131" s="180">
        <f t="shared" si="2064"/>
        <v>0.9352469954311422</v>
      </c>
      <c r="CW1131" s="180">
        <f t="shared" si="2065"/>
        <v>0.42121864641655071</v>
      </c>
      <c r="CX1131" s="181">
        <f>INDEX('State Tax Lookup'!$D$7:$Z$91,MATCH(Calculation!$C1131,'State Tax Lookup'!$B$7:$B$91,0),MATCH($H1131,'State Tax Lookup'!$D$6:$Z$6,0))</f>
        <v>0.38574999999999998</v>
      </c>
      <c r="CY1131" s="72">
        <v>0.37</v>
      </c>
      <c r="CZ1131" s="70">
        <f t="shared" ref="CZ1131:CZ1152" si="2068">+(DE1131*CQ1131-CR1131)*CS1131/(1-CX1131)</f>
        <v>12.672887607276767</v>
      </c>
      <c r="DA1131" s="70"/>
      <c r="DB1131" s="69"/>
      <c r="DC1131" s="111">
        <f>VLOOKUP($H1131,RoR!$E:$F,2,FALSE)</f>
        <v>7.0824999999999999E-2</v>
      </c>
      <c r="DD1131" s="216">
        <f>HLOOKUP($H1131,'GDP-PI'!$D$8:$CQ$11,3,FALSE)</f>
        <v>2.2454495382290052E-2</v>
      </c>
      <c r="DE1131" s="111">
        <f>VLOOKUP(H1131,'HW Dx Data'!$E:$F,2,FALSE)</f>
        <v>353.44738017483138</v>
      </c>
      <c r="DF1131" s="66"/>
      <c r="DG1131" s="69"/>
      <c r="DH1131" s="66">
        <f>HLOOKUP(H1131,'GDP-PI'!$8:$9,2,FALSE)</f>
        <v>79.822000000000003</v>
      </c>
      <c r="DI1131"/>
    </row>
    <row r="1132" spans="1:113" s="160" customFormat="1" ht="21">
      <c r="A1132" s="160" t="s">
        <v>228</v>
      </c>
      <c r="B1132" s="160" t="s">
        <v>228</v>
      </c>
      <c r="C1132" s="160">
        <v>4063179</v>
      </c>
      <c r="D1132" s="161" t="s">
        <v>213</v>
      </c>
      <c r="E1132" s="161"/>
      <c r="F1132" s="189"/>
      <c r="G1132" s="160" t="s">
        <v>113</v>
      </c>
      <c r="H1132" s="162">
        <v>2002</v>
      </c>
      <c r="I1132" s="163"/>
      <c r="J1132" s="159"/>
      <c r="K1132" s="159"/>
      <c r="L1132" s="159"/>
      <c r="M1132" s="60"/>
      <c r="N1132" s="152"/>
      <c r="O1132" s="60"/>
      <c r="P1132" s="60"/>
      <c r="Q1132" s="159"/>
      <c r="R1132" s="159"/>
      <c r="S1132" s="159"/>
      <c r="T1132" s="159"/>
      <c r="U1132" s="159"/>
      <c r="V1132" s="159"/>
      <c r="W1132" s="159">
        <f t="shared" si="2055"/>
        <v>269.86859464824289</v>
      </c>
      <c r="X1132" s="163"/>
      <c r="Y1132" s="167">
        <v>21.179105251873683</v>
      </c>
      <c r="Z1132" s="168">
        <v>9.1853051556969618E-3</v>
      </c>
      <c r="AA1132" s="168"/>
      <c r="AB1132" s="168"/>
      <c r="AC1132" s="168"/>
      <c r="AD1132" s="163">
        <f t="shared" si="2005"/>
        <v>269.86859464824289</v>
      </c>
      <c r="AE1132" s="168"/>
      <c r="AF1132" s="163"/>
      <c r="AG1132" s="163"/>
      <c r="AH1132" s="163"/>
      <c r="AI1132" s="163"/>
      <c r="AJ1132" s="167"/>
      <c r="AK1132" s="168"/>
      <c r="AL1132" s="115"/>
      <c r="AM1132" s="115"/>
      <c r="AN1132" s="115"/>
      <c r="AO1132" s="115"/>
      <c r="AP1132" s="115"/>
      <c r="AQ1132" s="168"/>
      <c r="AR1132" s="79"/>
      <c r="AS1132" s="115"/>
      <c r="AT1132" s="115"/>
      <c r="AU1132" s="115"/>
      <c r="AV1132" s="113">
        <f>IFERROR(INDEX('Total Customers'!$F$7:$AB$91,MATCH($C1132,'Total Customers'!$D$7:$D$91,0),MATCH($G1132,'Total Customers'!$F$5:$AB$5,0)),"NA")</f>
        <v>3333</v>
      </c>
      <c r="AW1132" s="68">
        <f t="shared" si="2004"/>
        <v>-1.3114942077828018E-2</v>
      </c>
      <c r="AX1132" s="114"/>
      <c r="AY1132" s="114"/>
      <c r="AZ1132" s="116"/>
      <c r="BA1132" s="116"/>
      <c r="BB1132" s="166"/>
      <c r="BC1132" s="166"/>
      <c r="BD1132" s="166"/>
      <c r="BE1132" s="166"/>
      <c r="BF1132" s="166"/>
      <c r="BG1132" s="166"/>
      <c r="BH1132" s="166"/>
      <c r="BI1132" s="113"/>
      <c r="BJ1132" s="113"/>
      <c r="BK1132" s="113">
        <f>INDEX('Dist. Plant Gas Additions'!$F$7:$AE$91,MATCH($C1132,'Dist. Plant Gas Additions'!$D$7:$D$91,0),MATCH(Calculation!$G1132,'Dist. Plant Gas Additions'!$F$5:$AE$5,0))</f>
        <v>84</v>
      </c>
      <c r="BL1132" s="113">
        <f>INDEX('Gen. Plant Additions'!$F$7:$AE$91,MATCH($C1132,'Gen. Plant Additions'!$D$7:$D$91,0),MATCH(Calculation!$G1132,'Gen. Plant Additions'!$F$5:$AE$5,0))</f>
        <v>28</v>
      </c>
      <c r="BM1132" s="231">
        <f t="shared" si="2056"/>
        <v>0.89613565954671448</v>
      </c>
      <c r="BN1132" s="61">
        <f t="shared" si="2049"/>
        <v>25.091798467308006</v>
      </c>
      <c r="BO1132" s="113">
        <f>INDEX('Dist Plant Depreciation'!$E$7:$AD$94,MATCH($C1132,'Dist Plant Depreciation'!$D$7:$D$94,0),MATCH(Calculation!$G1132,'Dist Plant Depreciation'!$E$5:$AD$5,0))</f>
        <v>2219</v>
      </c>
      <c r="BP1132" s="113">
        <f>INDEX('Gen. Plant Depreciation'!$E$7:$AD$94,MATCH($C1132,'Gen. Plant Depreciation'!$D$7:$D$94,0),MATCH(Calculation!$G1132,'Gen. Plant Depreciation'!$E$5:$AD$5,0))</f>
        <v>340</v>
      </c>
      <c r="BQ1132" s="113"/>
      <c r="BR1132" s="113"/>
      <c r="BS1132" s="113"/>
      <c r="BT1132" s="113"/>
      <c r="BU1132" s="113"/>
      <c r="BV1132" s="175"/>
      <c r="BW1132" s="113">
        <f>INDEX('Gross Dx Plant'!$E$7:$AD$91,MATCH($C1132,'Gross Dx Plant'!$D$7:$D$91,0),MATCH(Calculation!$G1132,'Gross Dx Plant'!$E$5:$AD$5,0))</f>
        <v>5496</v>
      </c>
      <c r="BX1132" s="113">
        <f>INDEX('Gross Gen Plant'!$E$7:$AD$91,MATCH($C1132,'Gross Gen Plant'!$D$7:$D$91,0),MATCH(Calculation!$G1132,'Gross Gen Plant'!$E$5:$AD$5,0))</f>
        <v>637</v>
      </c>
      <c r="BY1132" s="113">
        <f t="shared" si="2067"/>
        <v>3574</v>
      </c>
      <c r="BZ1132" s="113"/>
      <c r="CA1132" s="116">
        <v>2002</v>
      </c>
      <c r="CB1132" s="113"/>
      <c r="CC1132" s="113"/>
      <c r="CD1132" s="113"/>
      <c r="CE1132" s="175"/>
      <c r="CF1132" s="113">
        <f t="shared" si="2057"/>
        <v>112</v>
      </c>
      <c r="CG1132" s="113">
        <f t="shared" si="2058"/>
        <v>0.30995037645328649</v>
      </c>
      <c r="CH1132" s="178">
        <v>0.97916666666666663</v>
      </c>
      <c r="CI1132" s="61">
        <f>+CI1128*CH1132+CG1129*CH1131+CG1130*CH1130+CG1131*CH1129+CG1132</f>
        <v>21.179105251873683</v>
      </c>
      <c r="CJ1132" s="114">
        <f t="shared" si="2059"/>
        <v>9.1853051556969618E-3</v>
      </c>
      <c r="CK1132" s="114"/>
      <c r="CL1132" s="169">
        <f t="shared" si="2060"/>
        <v>5.5421489237579566E-3</v>
      </c>
      <c r="CM1132" s="169">
        <f t="shared" ref="CM1132:CM1152" si="2069">+(CL1132+CL1131+CL1130)/3</f>
        <v>5.3324282465803188E-3</v>
      </c>
      <c r="CN1132" s="114">
        <f>VLOOKUP($H1132,RoR!$E:$F,2,FALSE)</f>
        <v>6.4916666666666664E-2</v>
      </c>
      <c r="CO1132" s="169">
        <v>1.5246423291824351E-2</v>
      </c>
      <c r="CP1132" s="169">
        <f t="shared" si="2066"/>
        <v>4.9670243374842313E-2</v>
      </c>
      <c r="CQ1132" s="169">
        <f t="shared" ref="CQ1132:CQ1152" si="2070">+$CP$2-CM1132</f>
        <v>2.5569513361953306E-2</v>
      </c>
      <c r="CR1132" s="169">
        <f t="shared" ref="CR1132:CR1152" si="2071">+((DE1130/DE1129-1)+(DE1131/DE1130-1)+(DE1132/DE1131-1))/3</f>
        <v>2.5243621214759093E-2</v>
      </c>
      <c r="CS1132" s="179">
        <f t="shared" si="2061"/>
        <v>0.85727249999999999</v>
      </c>
      <c r="CT1132" s="180">
        <f t="shared" si="2062"/>
        <v>0.78996741384417901</v>
      </c>
      <c r="CU1132" s="180">
        <f t="shared" si="2063"/>
        <v>0.58989088575096271</v>
      </c>
      <c r="CV1132" s="180">
        <f t="shared" si="2064"/>
        <v>0.91920675783645744</v>
      </c>
      <c r="CW1132" s="180">
        <f t="shared" si="2065"/>
        <v>0.42834536472275586</v>
      </c>
      <c r="CX1132" s="181">
        <f>INDEX('State Tax Lookup'!$D$7:$Z$91,MATCH(Calculation!$C1132,'State Tax Lookup'!$B$7:$B$91,0),MATCH($H1132,'State Tax Lookup'!$D$6:$Z$6,0))</f>
        <v>0.38574999999999998</v>
      </c>
      <c r="CY1132" s="72">
        <v>0.37</v>
      </c>
      <c r="CZ1132" s="70">
        <f t="shared" si="2068"/>
        <v>12.859789690043732</v>
      </c>
      <c r="DA1132" s="70"/>
      <c r="DB1132" s="69">
        <f>LN(CZ1132/CZ1131)</f>
        <v>1.4640487483675604E-2</v>
      </c>
      <c r="DC1132" s="111">
        <f>VLOOKUP($H1132,RoR!$E:$F,2,FALSE)</f>
        <v>6.4916666666666664E-2</v>
      </c>
      <c r="DD1132" s="216">
        <f>HLOOKUP($H1132,'GDP-PI'!$D$8:$CQ$11,3,FALSE)</f>
        <v>1.5246423291824351E-2</v>
      </c>
      <c r="DE1132" s="111">
        <f>VLOOKUP(H1132,'HW Dx Data'!$E:$F,2,FALSE)</f>
        <v>361.34816573413599</v>
      </c>
      <c r="DF1132" s="66"/>
      <c r="DG1132" s="69"/>
      <c r="DH1132" s="66">
        <f>HLOOKUP(H1132,'GDP-PI'!$8:$9,2,FALSE)</f>
        <v>81.039000000000001</v>
      </c>
      <c r="DI1132" s="69">
        <f>LN(DH1132/DH1131)</f>
        <v>1.513136459537477E-2</v>
      </c>
    </row>
    <row r="1133" spans="1:113" s="160" customFormat="1" ht="21">
      <c r="A1133" s="160" t="s">
        <v>228</v>
      </c>
      <c r="B1133" s="160" t="s">
        <v>228</v>
      </c>
      <c r="C1133" s="160">
        <v>4063179</v>
      </c>
      <c r="D1133" s="161" t="s">
        <v>213</v>
      </c>
      <c r="E1133" s="161"/>
      <c r="F1133" s="189"/>
      <c r="G1133" s="160" t="s">
        <v>114</v>
      </c>
      <c r="H1133" s="162">
        <v>2003</v>
      </c>
      <c r="I1133" s="163"/>
      <c r="J1133" s="159"/>
      <c r="K1133" s="159"/>
      <c r="L1133" s="159"/>
      <c r="M1133" s="76"/>
      <c r="N1133" s="152"/>
      <c r="O1133" s="76"/>
      <c r="P1133" s="76"/>
      <c r="Q1133" s="159"/>
      <c r="R1133" s="159"/>
      <c r="S1133" s="159"/>
      <c r="T1133" s="159"/>
      <c r="U1133" s="159"/>
      <c r="V1133" s="159"/>
      <c r="W1133" s="159">
        <f t="shared" si="2055"/>
        <v>276.3803694242975</v>
      </c>
      <c r="X1133" s="163"/>
      <c r="Y1133" s="167">
        <v>21.464366669211788</v>
      </c>
      <c r="Z1133" s="168">
        <v>1.3379101636534814E-2</v>
      </c>
      <c r="AA1133" s="168"/>
      <c r="AB1133" s="168"/>
      <c r="AC1133" s="168"/>
      <c r="AD1133" s="163">
        <f t="shared" si="2005"/>
        <v>276.3803694242975</v>
      </c>
      <c r="AE1133" s="168"/>
      <c r="AF1133" s="163"/>
      <c r="AG1133" s="163"/>
      <c r="AH1133" s="163"/>
      <c r="AI1133" s="163"/>
      <c r="AJ1133" s="167"/>
      <c r="AK1133" s="168"/>
      <c r="AL1133" s="115"/>
      <c r="AM1133" s="115"/>
      <c r="AN1133" s="115"/>
      <c r="AO1133" s="115"/>
      <c r="AP1133" s="115"/>
      <c r="AQ1133" s="168"/>
      <c r="AR1133" s="79"/>
      <c r="AS1133" s="115"/>
      <c r="AT1133" s="115"/>
      <c r="AU1133" s="115"/>
      <c r="AV1133" s="113">
        <f>IFERROR(INDEX('Total Customers'!$F$7:$AB$91,MATCH($C1133,'Total Customers'!$D$7:$D$91,0),MATCH($G1133,'Total Customers'!$F$5:$AB$5,0)),"NA")</f>
        <v>3321</v>
      </c>
      <c r="AW1133" s="68">
        <f t="shared" si="2004"/>
        <v>-3.6068569309931301E-3</v>
      </c>
      <c r="AX1133" s="114"/>
      <c r="AY1133" s="114"/>
      <c r="AZ1133" s="116"/>
      <c r="BA1133" s="116"/>
      <c r="BB1133" s="166"/>
      <c r="BC1133" s="166"/>
      <c r="BD1133" s="166"/>
      <c r="BE1133" s="166"/>
      <c r="BF1133" s="166"/>
      <c r="BG1133" s="166"/>
      <c r="BH1133" s="166"/>
      <c r="BI1133" s="113"/>
      <c r="BJ1133" s="113"/>
      <c r="BK1133" s="113">
        <f>INDEX('Dist. Plant Gas Additions'!$F$7:$AE$91,MATCH($C1133,'Dist. Plant Gas Additions'!$D$7:$D$91,0),MATCH(Calculation!$G1133,'Dist. Plant Gas Additions'!$F$5:$AE$5,0))</f>
        <v>53</v>
      </c>
      <c r="BL1133" s="113">
        <f>INDEX('Gen. Plant Additions'!$F$7:$AE$91,MATCH($C1133,'Gen. Plant Additions'!$D$7:$D$91,0),MATCH(Calculation!$G1133,'Gen. Plant Additions'!$F$5:$AE$5,0))</f>
        <v>97</v>
      </c>
      <c r="BM1133" s="231">
        <f t="shared" si="2056"/>
        <v>0.90427964717412612</v>
      </c>
      <c r="BN1133" s="61">
        <f t="shared" si="2049"/>
        <v>87.715125775890229</v>
      </c>
      <c r="BO1133" s="113">
        <f>INDEX('Dist Plant Depreciation'!$E$7:$AD$94,MATCH($C1133,'Dist Plant Depreciation'!$D$7:$D$94,0),MATCH(Calculation!$G1133,'Dist Plant Depreciation'!$E$5:$AD$5,0))</f>
        <v>2387</v>
      </c>
      <c r="BP1133" s="113">
        <f>INDEX('Gen. Plant Depreciation'!$E$7:$AD$94,MATCH($C1133,'Gen. Plant Depreciation'!$D$7:$D$94,0),MATCH(Calculation!$G1133,'Gen. Plant Depreciation'!$E$5:$AD$5,0))</f>
        <v>280</v>
      </c>
      <c r="BQ1133" s="113"/>
      <c r="BR1133" s="113"/>
      <c r="BS1133" s="113"/>
      <c r="BT1133" s="113"/>
      <c r="BU1133" s="113"/>
      <c r="BV1133" s="175"/>
      <c r="BW1133" s="113">
        <f>INDEX('Gross Dx Plant'!$E$7:$AD$91,MATCH($C1133,'Gross Dx Plant'!$D$7:$D$91,0),MATCH(Calculation!$G1133,'Gross Dx Plant'!$E$5:$AD$5,0))</f>
        <v>5536</v>
      </c>
      <c r="BX1133" s="113">
        <f>INDEX('Gross Gen Plant'!$E$7:$AD$91,MATCH($C1133,'Gross Gen Plant'!$D$7:$D$91,0),MATCH(Calculation!$G1133,'Gross Gen Plant'!$E$5:$AD$5,0))</f>
        <v>586</v>
      </c>
      <c r="BY1133" s="113">
        <f t="shared" si="2067"/>
        <v>3455</v>
      </c>
      <c r="BZ1133" s="113"/>
      <c r="CA1133" s="116">
        <v>2003</v>
      </c>
      <c r="CB1133" s="113"/>
      <c r="CC1133" s="113"/>
      <c r="CD1133" s="113"/>
      <c r="CE1133" s="175"/>
      <c r="CF1133" s="113">
        <f t="shared" si="2057"/>
        <v>150</v>
      </c>
      <c r="CG1133" s="113">
        <f t="shared" si="2058"/>
        <v>0.40624753353387627</v>
      </c>
      <c r="CH1133" s="178">
        <v>0.97354497354497349</v>
      </c>
      <c r="CI1133" s="61">
        <f>+CI1128*CH1133+CG1129*CH1132+CG1130*CH1131+CG1131*CH1130+CG1132*CH1129+CG1133</f>
        <v>21.464366669211788</v>
      </c>
      <c r="CJ1133" s="114">
        <f t="shared" si="2059"/>
        <v>1.3379101636534814E-2</v>
      </c>
      <c r="CK1133" s="114"/>
      <c r="CL1133" s="169">
        <f t="shared" si="2060"/>
        <v>5.7125225431828479E-3</v>
      </c>
      <c r="CM1133" s="169">
        <f t="shared" si="2069"/>
        <v>5.5204576983352398E-3</v>
      </c>
      <c r="CN1133" s="114">
        <f>VLOOKUP($H1133,RoR!$E:$F,2,FALSE)</f>
        <v>5.6666666666666671E-2</v>
      </c>
      <c r="CO1133" s="169">
        <v>1.8855119140166909E-2</v>
      </c>
      <c r="CP1133" s="169">
        <f t="shared" si="2066"/>
        <v>3.7811547526499761E-2</v>
      </c>
      <c r="CQ1133" s="169">
        <f t="shared" si="2070"/>
        <v>2.5381483910198385E-2</v>
      </c>
      <c r="CR1133" s="169">
        <f t="shared" si="2071"/>
        <v>2.1375012817671957E-2</v>
      </c>
      <c r="CS1133" s="179">
        <f t="shared" si="2061"/>
        <v>0.85727249999999999</v>
      </c>
      <c r="CT1133" s="180">
        <f t="shared" si="2062"/>
        <v>0.90497737556561086</v>
      </c>
      <c r="CU1133" s="180">
        <f t="shared" si="2063"/>
        <v>0.5338235294117647</v>
      </c>
      <c r="CV1133" s="180">
        <f t="shared" si="2064"/>
        <v>0.88972433127405692</v>
      </c>
      <c r="CW1133" s="180">
        <f t="shared" si="2065"/>
        <v>0.42982423775949252</v>
      </c>
      <c r="CX1133" s="181">
        <f>INDEX('State Tax Lookup'!$D$7:$Z$91,MATCH(Calculation!$C1133,'State Tax Lookup'!$B$7:$B$91,0),MATCH($H1133,'State Tax Lookup'!$D$6:$Z$6,0))</f>
        <v>0.38574999999999998</v>
      </c>
      <c r="CY1133" s="72">
        <v>0.37</v>
      </c>
      <c r="CZ1133" s="70">
        <f t="shared" si="2068"/>
        <v>13.049671652198175</v>
      </c>
      <c r="DA1133" s="70"/>
      <c r="DB1133" s="69">
        <f t="shared" ref="DB1133:DB1150" si="2072">LN(CZ1133/CZ1132)</f>
        <v>1.465760783218306E-2</v>
      </c>
      <c r="DC1133" s="111">
        <f>VLOOKUP($H1133,RoR!$E:$F,2,FALSE)</f>
        <v>5.6666666666666671E-2</v>
      </c>
      <c r="DD1133" s="216">
        <f>HLOOKUP($H1133,'GDP-PI'!$D$8:$CQ$11,3,FALSE)</f>
        <v>1.8855119140166909E-2</v>
      </c>
      <c r="DE1133" s="111">
        <f>VLOOKUP(H1133,'HW Dx Data'!$E:$F,2,FALSE)</f>
        <v>369.23301095560191</v>
      </c>
      <c r="DF1133" s="66"/>
      <c r="DG1133" s="69"/>
      <c r="DH1133" s="66">
        <f>HLOOKUP(H1133,'GDP-PI'!$8:$9,2,FALSE)</f>
        <v>82.566999999999993</v>
      </c>
      <c r="DI1133" s="69">
        <f t="shared" ref="DI1133:DI1152" si="2073">LN(DH1133/DH1132)</f>
        <v>1.8679564681853753E-2</v>
      </c>
    </row>
    <row r="1134" spans="1:113" s="160" customFormat="1" ht="21">
      <c r="A1134" s="160" t="s">
        <v>228</v>
      </c>
      <c r="B1134" s="160" t="s">
        <v>228</v>
      </c>
      <c r="C1134" s="160">
        <v>4063179</v>
      </c>
      <c r="D1134" s="161" t="s">
        <v>213</v>
      </c>
      <c r="E1134" s="161"/>
      <c r="F1134" s="189"/>
      <c r="G1134" s="160" t="s">
        <v>115</v>
      </c>
      <c r="H1134" s="162">
        <v>2004</v>
      </c>
      <c r="I1134" s="163"/>
      <c r="J1134" s="159">
        <f>IFERROR(INDEX('Labor Expenditures'!$F$7:$X$91,MATCH($C1134,'Labor Expenditures'!$D$7:$D$91,0),MATCH($G1134,'Labor Expenditures'!$F$5:$X$5,0)),"NA")</f>
        <v>283.92807354755394</v>
      </c>
      <c r="K1134" s="159">
        <f t="shared" ref="K1134:K1152" si="2074">+J1134/DF1134</f>
        <v>3.0093065558829246</v>
      </c>
      <c r="L1134" s="165"/>
      <c r="M1134" s="76"/>
      <c r="N1134" s="152"/>
      <c r="O1134" s="76"/>
      <c r="P1134" s="76"/>
      <c r="Q1134" s="159">
        <f>IFERROR(INDEX('Non-Labor Expenditures'!$F$7:$AB$91,MATCH($C1134,'Non-Labor Expenditures'!$D$7:$D$91,0),MATCH($G1134,'Non-Labor Expenditures'!$F$5:$AB$5,0)),"NA")</f>
        <v>411.18088094600341</v>
      </c>
      <c r="R1134" s="159">
        <f t="shared" ref="R1134:R1152" si="2075">+Q1134/DH1134</f>
        <v>4.850089421147036</v>
      </c>
      <c r="S1134" s="159"/>
      <c r="T1134" s="159"/>
      <c r="U1134" s="159"/>
      <c r="V1134" s="159"/>
      <c r="W1134" s="159">
        <f t="shared" si="2055"/>
        <v>311.27167595910112</v>
      </c>
      <c r="X1134" s="163"/>
      <c r="Y1134" s="167">
        <v>21.513416001373688</v>
      </c>
      <c r="Z1134" s="168">
        <v>2.2825446269982975E-3</v>
      </c>
      <c r="AA1134" s="168"/>
      <c r="AB1134" s="168"/>
      <c r="AC1134" s="168"/>
      <c r="AD1134" s="163">
        <f t="shared" si="2005"/>
        <v>1006.3806304526585</v>
      </c>
      <c r="AE1134" s="168"/>
      <c r="AF1134" s="163"/>
      <c r="AG1134" s="163"/>
      <c r="AH1134" s="163"/>
      <c r="AI1134" s="163"/>
      <c r="AJ1134" s="167"/>
      <c r="AK1134" s="168"/>
      <c r="AL1134" s="115">
        <f t="shared" ref="AL1134:AL1152" si="2076">+J1134/AD1134</f>
        <v>0.28212791955251199</v>
      </c>
      <c r="AM1134" s="115">
        <f t="shared" ref="AM1134:AM1152" si="2077">+Q1134/AD1134</f>
        <v>0.40857392173879475</v>
      </c>
      <c r="AN1134" s="115">
        <f t="shared" ref="AN1134:AN1152" si="2078">+W1134/AD1134</f>
        <v>0.30929815870869326</v>
      </c>
      <c r="AO1134" s="115"/>
      <c r="AP1134" s="115"/>
      <c r="AQ1134" s="168"/>
      <c r="AR1134" s="79"/>
      <c r="AS1134" s="115"/>
      <c r="AT1134" s="115"/>
      <c r="AU1134" s="115"/>
      <c r="AV1134" s="113">
        <f>IFERROR(INDEX('Total Customers'!$F$7:$AB$91,MATCH($C1134,'Total Customers'!$D$7:$D$91,0),MATCH($G1134,'Total Customers'!$F$5:$AB$5,0)),"NA")</f>
        <v>3278</v>
      </c>
      <c r="AW1134" s="68">
        <f t="shared" si="2004"/>
        <v>-1.3032462072971584E-2</v>
      </c>
      <c r="AX1134" s="114"/>
      <c r="AY1134" s="114"/>
      <c r="AZ1134" s="116"/>
      <c r="BA1134" s="116"/>
      <c r="BB1134" s="166"/>
      <c r="BC1134" s="166"/>
      <c r="BD1134" s="166"/>
      <c r="BE1134" s="166"/>
      <c r="BF1134" s="166"/>
      <c r="BG1134" s="166"/>
      <c r="BH1134" s="166"/>
      <c r="BI1134" s="113"/>
      <c r="BJ1134" s="113"/>
      <c r="BK1134" s="113">
        <f>INDEX('Dist. Plant Gas Additions'!$F$7:$AE$91,MATCH($C1134,'Dist. Plant Gas Additions'!$D$7:$D$91,0),MATCH(Calculation!$G1134,'Dist. Plant Gas Additions'!$F$5:$AE$5,0))</f>
        <v>67</v>
      </c>
      <c r="BL1134" s="113">
        <f>INDEX('Gen. Plant Additions'!$F$7:$AE$91,MATCH($C1134,'Gen. Plant Additions'!$D$7:$D$91,0),MATCH(Calculation!$G1134,'Gen. Plant Additions'!$F$5:$AE$5,0))</f>
        <v>6</v>
      </c>
      <c r="BM1134" s="231">
        <f t="shared" si="2056"/>
        <v>0.90405361229159853</v>
      </c>
      <c r="BN1134" s="61">
        <f t="shared" si="2049"/>
        <v>5.4243216737495912</v>
      </c>
      <c r="BO1134" s="113">
        <f>INDEX('Dist Plant Depreciation'!$E$7:$AD$94,MATCH($C1134,'Dist Plant Depreciation'!$D$7:$D$94,0),MATCH(Calculation!$G1134,'Dist Plant Depreciation'!$E$5:$AD$5,0))</f>
        <v>2496</v>
      </c>
      <c r="BP1134" s="113">
        <f>INDEX('Gen. Plant Depreciation'!$E$7:$AD$94,MATCH($C1134,'Gen. Plant Depreciation'!$D$7:$D$94,0),MATCH(Calculation!$G1134,'Gen. Plant Depreciation'!$E$5:$AD$5,0))</f>
        <v>318</v>
      </c>
      <c r="BQ1134" s="113"/>
      <c r="BR1134" s="113"/>
      <c r="BS1134" s="113"/>
      <c r="BT1134" s="113"/>
      <c r="BU1134" s="113"/>
      <c r="BV1134" s="175"/>
      <c r="BW1134" s="113">
        <f>INDEX('Gross Dx Plant'!$E$7:$AD$91,MATCH($C1134,'Gross Dx Plant'!$D$7:$D$91,0),MATCH(Calculation!$G1134,'Gross Dx Plant'!$E$5:$AD$5,0))</f>
        <v>5531</v>
      </c>
      <c r="BX1134" s="113">
        <f>INDEX('Gross Gen Plant'!$E$7:$AD$91,MATCH($C1134,'Gross Gen Plant'!$D$7:$D$91,0),MATCH(Calculation!$G1134,'Gross Gen Plant'!$E$5:$AD$5,0))</f>
        <v>587</v>
      </c>
      <c r="BY1134" s="113">
        <f t="shared" si="2067"/>
        <v>3304</v>
      </c>
      <c r="BZ1134" s="113"/>
      <c r="CA1134" s="116">
        <v>2004</v>
      </c>
      <c r="CB1134" s="113"/>
      <c r="CC1134" s="113"/>
      <c r="CD1134" s="113"/>
      <c r="CE1134" s="175"/>
      <c r="CF1134" s="113">
        <f t="shared" si="2057"/>
        <v>73</v>
      </c>
      <c r="CG1134" s="113">
        <f t="shared" si="2058"/>
        <v>0.17595144299842985</v>
      </c>
      <c r="CH1134" s="178">
        <v>0.967741935483871</v>
      </c>
      <c r="CI1134" s="61">
        <f>+CI1128*CH1134+CG1129*CH1133+CG1130*CH1132+CG1131*CH1131+CG1132*CH1130+CG1133*CH1129+CG1134</f>
        <v>21.513416001373688</v>
      </c>
      <c r="CJ1134" s="114">
        <f t="shared" si="2059"/>
        <v>2.2825446269982975E-3</v>
      </c>
      <c r="CK1134" s="114"/>
      <c r="CL1134" s="169">
        <f t="shared" si="2060"/>
        <v>5.9122224658301574E-3</v>
      </c>
      <c r="CM1134" s="169">
        <f t="shared" si="2069"/>
        <v>5.7222979775903198E-3</v>
      </c>
      <c r="CN1134" s="114">
        <f>VLOOKUP($H1134,RoR!$E:$F,2,FALSE)</f>
        <v>5.6283333333333331E-2</v>
      </c>
      <c r="CO1134" s="169">
        <v>2.6778252812867276E-2</v>
      </c>
      <c r="CP1134" s="169">
        <f t="shared" si="2066"/>
        <v>2.9505080520466055E-2</v>
      </c>
      <c r="CQ1134" s="169">
        <f t="shared" si="2070"/>
        <v>2.5179643630943306E-2</v>
      </c>
      <c r="CR1134" s="169">
        <f t="shared" si="2071"/>
        <v>5.5940039414565046E-2</v>
      </c>
      <c r="CS1134" s="179">
        <f t="shared" si="2061"/>
        <v>0.85727249999999999</v>
      </c>
      <c r="CT1134" s="180">
        <f t="shared" si="2062"/>
        <v>0.91114097628755619</v>
      </c>
      <c r="CU1134" s="180">
        <f t="shared" si="2063"/>
        <v>0.53081877405981637</v>
      </c>
      <c r="CV1134" s="180">
        <f t="shared" si="2064"/>
        <v>0.88811215519385678</v>
      </c>
      <c r="CW1134" s="180">
        <f t="shared" si="2065"/>
        <v>0.42953609753547711</v>
      </c>
      <c r="CX1134" s="181">
        <f>INDEX('State Tax Lookup'!$D$7:$Z$91,MATCH(Calculation!$C1134,'State Tax Lookup'!$B$7:$B$91,0),MATCH($H1134,'State Tax Lookup'!$D$6:$Z$6,0))</f>
        <v>0.38574999999999998</v>
      </c>
      <c r="CY1134" s="72">
        <v>0.37</v>
      </c>
      <c r="CZ1134" s="70">
        <f t="shared" si="2068"/>
        <v>14.501787113317684</v>
      </c>
      <c r="DA1134" s="70"/>
      <c r="DB1134" s="69">
        <f t="shared" si="2072"/>
        <v>0.10550891832522609</v>
      </c>
      <c r="DC1134" s="111">
        <f>VLOOKUP($H1134,RoR!$E:$F,2,FALSE)</f>
        <v>5.6283333333333331E-2</v>
      </c>
      <c r="DD1134" s="216">
        <f>HLOOKUP($H1134,'GDP-PI'!$D$8:$CQ$11,3,FALSE)</f>
        <v>2.6778252812867276E-2</v>
      </c>
      <c r="DE1134" s="111">
        <f>VLOOKUP(H1134,'HW Dx Data'!$E:$F,2,FALSE)</f>
        <v>414.88719135228365</v>
      </c>
      <c r="DF1134" s="72">
        <f>VLOOKUP(G1134,EG$8:EH$27,2,FALSE)</f>
        <v>94.35</v>
      </c>
      <c r="DG1134" s="69"/>
      <c r="DH1134" s="66">
        <f>HLOOKUP(H1134,'GDP-PI'!$8:$9,2,FALSE)</f>
        <v>84.778000000000006</v>
      </c>
      <c r="DI1134" s="69">
        <f t="shared" si="2073"/>
        <v>2.6425990216022755E-2</v>
      </c>
    </row>
    <row r="1135" spans="1:113" s="160" customFormat="1" ht="21">
      <c r="A1135" s="160" t="s">
        <v>228</v>
      </c>
      <c r="B1135" s="160" t="s">
        <v>228</v>
      </c>
      <c r="C1135" s="160">
        <v>4063179</v>
      </c>
      <c r="D1135" s="161" t="s">
        <v>213</v>
      </c>
      <c r="E1135" s="161"/>
      <c r="F1135" s="189"/>
      <c r="G1135" s="160" t="s">
        <v>116</v>
      </c>
      <c r="H1135" s="162">
        <v>2005</v>
      </c>
      <c r="I1135" s="163"/>
      <c r="J1135" s="159">
        <f>IFERROR(INDEX('Labor Expenditures'!$F$7:$X$91,MATCH($C1135,'Labor Expenditures'!$D$7:$D$91,0),MATCH($G1135,'Labor Expenditures'!$F$5:$X$5,0)),"NA")</f>
        <v>263.08957716416728</v>
      </c>
      <c r="K1135" s="159">
        <f t="shared" si="2074"/>
        <v>2.6514444662551502</v>
      </c>
      <c r="L1135" s="165">
        <f t="shared" ref="L1135:L1151" si="2079">LN(K1135/K1134)</f>
        <v>-0.12660509901303948</v>
      </c>
      <c r="M1135" s="76"/>
      <c r="N1135" s="62">
        <v>100</v>
      </c>
      <c r="O1135" s="77"/>
      <c r="P1135" s="77"/>
      <c r="Q1135" s="159">
        <f>IFERROR(INDEX('Non-Labor Expenditures'!$F$7:$AB$91,MATCH($C1135,'Non-Labor Expenditures'!$D$7:$D$91,0),MATCH($G1135,'Non-Labor Expenditures'!$F$5:$AB$5,0)),"NA")</f>
        <v>381.00284608860864</v>
      </c>
      <c r="R1135" s="159">
        <f t="shared" si="2075"/>
        <v>4.3589511834133265</v>
      </c>
      <c r="S1135" s="165">
        <f>LN(R1135/R1134)</f>
        <v>-0.10676566796920348</v>
      </c>
      <c r="T1135" s="165"/>
      <c r="U1135" s="165"/>
      <c r="V1135" s="165"/>
      <c r="W1135" s="159">
        <f t="shared" si="2055"/>
        <v>349.19088336830714</v>
      </c>
      <c r="X1135" s="163"/>
      <c r="Y1135" s="167">
        <v>21.57543624672342</v>
      </c>
      <c r="Z1135" s="168">
        <v>2.8787161850033906E-3</v>
      </c>
      <c r="AA1135" s="168"/>
      <c r="AB1135" s="168"/>
      <c r="AC1135" s="168"/>
      <c r="AD1135" s="163">
        <f t="shared" si="2005"/>
        <v>993.28330662108306</v>
      </c>
      <c r="AE1135" s="168">
        <f>LN(AD1135/AD1134)</f>
        <v>-1.3099712289280269E-2</v>
      </c>
      <c r="AF1135" s="163"/>
      <c r="AG1135" s="163"/>
      <c r="AH1135" s="163"/>
      <c r="AI1135" s="163"/>
      <c r="AJ1135" s="116"/>
      <c r="AK1135" s="114"/>
      <c r="AL1135" s="115">
        <f t="shared" si="2076"/>
        <v>0.26486861846006082</v>
      </c>
      <c r="AM1135" s="115">
        <f t="shared" si="2077"/>
        <v>0.38357923016414219</v>
      </c>
      <c r="AN1135" s="115">
        <f t="shared" si="2078"/>
        <v>0.35155215137579698</v>
      </c>
      <c r="AO1135" s="115">
        <f t="shared" ref="AO1135:AO1151" si="2080">+(((AL1135+AL1134)/2)*L1135+((AM1134+AM1135)/2)*S1135+((AN1134+AN1135)/2)*Z1135)</f>
        <v>-7.5962455384096919E-2</v>
      </c>
      <c r="AP1135" s="166">
        <v>100</v>
      </c>
      <c r="AQ1135" s="168"/>
      <c r="AR1135" s="16"/>
      <c r="AS1135" s="115"/>
      <c r="AT1135" s="115"/>
      <c r="AU1135" s="115"/>
      <c r="AV1135" s="113">
        <f>IFERROR(INDEX('Total Customers'!$F$7:$AB$91,MATCH($C1135,'Total Customers'!$D$7:$D$91,0),MATCH($G1135,'Total Customers'!$F$5:$AB$5,0)),"NA")</f>
        <v>3196</v>
      </c>
      <c r="AW1135" s="68">
        <f t="shared" si="2004"/>
        <v>-2.5333452417609703E-2</v>
      </c>
      <c r="AX1135" s="114"/>
      <c r="AY1135" s="114"/>
      <c r="AZ1135" s="116"/>
      <c r="BA1135" s="116"/>
      <c r="BB1135" s="166"/>
      <c r="BC1135" s="166"/>
      <c r="BD1135" s="166"/>
      <c r="BE1135" s="166"/>
      <c r="BF1135" s="166"/>
      <c r="BG1135" s="166"/>
      <c r="BH1135" s="166"/>
      <c r="BI1135" s="113"/>
      <c r="BJ1135" s="113"/>
      <c r="BK1135" s="113">
        <f>INDEX('Dist. Plant Gas Additions'!$F$7:$AE$91,MATCH($C1135,'Dist. Plant Gas Additions'!$D$7:$D$91,0),MATCH(Calculation!$G1135,'Dist. Plant Gas Additions'!$F$5:$AE$5,0))</f>
        <v>30</v>
      </c>
      <c r="BL1135" s="113">
        <f>INDEX('Gen. Plant Additions'!$F$7:$AE$91,MATCH($C1135,'Gen. Plant Additions'!$D$7:$D$91,0),MATCH(Calculation!$G1135,'Gen. Plant Additions'!$F$5:$AE$5,0))</f>
        <v>61</v>
      </c>
      <c r="BM1135" s="231">
        <f t="shared" si="2056"/>
        <v>0.90312551137293406</v>
      </c>
      <c r="BN1135" s="61">
        <f>+BM1135*BL1135</f>
        <v>55.090656193748977</v>
      </c>
      <c r="BO1135" s="113">
        <f>INDEX('Dist Plant Depreciation'!$E$7:$AD$94,MATCH($C1135,'Dist Plant Depreciation'!$D$7:$D$94,0),MATCH(Calculation!$G1135,'Dist Plant Depreciation'!$E$5:$AD$5,0))</f>
        <v>2628</v>
      </c>
      <c r="BP1135" s="113">
        <f>INDEX('Gen. Plant Depreciation'!$E$7:$AD$94,MATCH($C1135,'Gen. Plant Depreciation'!$D$7:$D$94,0),MATCH(Calculation!$G1135,'Gen. Plant Depreciation'!$E$5:$AD$5,0))</f>
        <v>317</v>
      </c>
      <c r="BQ1135" s="113"/>
      <c r="BR1135" s="113"/>
      <c r="BS1135" s="113"/>
      <c r="BT1135" s="113"/>
      <c r="BU1135" s="113"/>
      <c r="BV1135" s="175"/>
      <c r="BW1135" s="113">
        <f>INDEX('Gross Dx Plant'!$E$7:$AD$91,MATCH($C1135,'Gross Dx Plant'!$D$7:$D$91,0),MATCH(Calculation!$G1135,'Gross Dx Plant'!$E$5:$AD$5,0))</f>
        <v>5519</v>
      </c>
      <c r="BX1135" s="113">
        <f>INDEX('Gross Gen Plant'!$E$7:$AD$91,MATCH($C1135,'Gross Gen Plant'!$D$7:$D$91,0),MATCH(Calculation!$G1135,'Gross Gen Plant'!$E$5:$AD$5,0))</f>
        <v>592</v>
      </c>
      <c r="BY1135" s="113">
        <f t="shared" si="2067"/>
        <v>3166</v>
      </c>
      <c r="BZ1135" s="113"/>
      <c r="CA1135" s="116">
        <v>2005</v>
      </c>
      <c r="CB1135" s="113"/>
      <c r="CC1135" s="113"/>
      <c r="CD1135" s="113"/>
      <c r="CE1135" s="175"/>
      <c r="CF1135" s="113">
        <f t="shared" si="2057"/>
        <v>91</v>
      </c>
      <c r="CG1135" s="113">
        <f t="shared" si="2058"/>
        <v>0.1939450192984733</v>
      </c>
      <c r="CH1135" s="178">
        <v>0.96174863387978138</v>
      </c>
      <c r="CI1135" s="61">
        <f>+CI1128*CH1135+CG1129*CH1134+CG1130*CH1133+CG1131*CH1132+CG1132*CH1131+CG1133*CH1130+CG1134*CH1129+CG1135</f>
        <v>21.57543624672342</v>
      </c>
      <c r="CJ1135" s="114">
        <f t="shared" si="2059"/>
        <v>2.8787161850033906E-3</v>
      </c>
      <c r="CK1135" s="114"/>
      <c r="CL1135" s="169">
        <f t="shared" si="2060"/>
        <v>6.132209498497008E-3</v>
      </c>
      <c r="CM1135" s="169">
        <f t="shared" si="2069"/>
        <v>5.9189848358366702E-3</v>
      </c>
      <c r="CN1135" s="114">
        <f>VLOOKUP($H1135,RoR!$E:$F,2,FALSE)</f>
        <v>5.2350000000000001E-2</v>
      </c>
      <c r="CO1135" s="169">
        <v>3.1010403642454332E-2</v>
      </c>
      <c r="CP1135" s="169">
        <f t="shared" si="2066"/>
        <v>2.1339596357545669E-2</v>
      </c>
      <c r="CQ1135" s="169">
        <f t="shared" si="2070"/>
        <v>2.4982956772696956E-2</v>
      </c>
      <c r="CR1135" s="169">
        <f t="shared" si="2071"/>
        <v>9.2129610649277341E-2</v>
      </c>
      <c r="CS1135" s="179">
        <f t="shared" si="2061"/>
        <v>0.85727249999999999</v>
      </c>
      <c r="CT1135" s="180">
        <f t="shared" si="2062"/>
        <v>0.97959983346802826</v>
      </c>
      <c r="CU1135" s="180">
        <f t="shared" si="2063"/>
        <v>0.49744508118433622</v>
      </c>
      <c r="CV1135" s="180">
        <f t="shared" si="2064"/>
        <v>0.87010519444335932</v>
      </c>
      <c r="CW1135" s="180">
        <f t="shared" si="2065"/>
        <v>0.42399975420741998</v>
      </c>
      <c r="CX1135" s="181">
        <f>INDEX('State Tax Lookup'!$D$7:$Z$91,MATCH(Calculation!$C1135,'State Tax Lookup'!$B$7:$B$91,0),MATCH($H1135,'State Tax Lookup'!$D$6:$Z$6,0))</f>
        <v>0.38574999999999998</v>
      </c>
      <c r="CY1135" s="72">
        <v>0.37</v>
      </c>
      <c r="CZ1135" s="70">
        <f t="shared" si="2068"/>
        <v>16.231308098444728</v>
      </c>
      <c r="DA1135" s="70"/>
      <c r="DB1135" s="69">
        <f t="shared" si="2072"/>
        <v>0.11267008481522686</v>
      </c>
      <c r="DC1135" s="111">
        <f>VLOOKUP($H1135,RoR!$E:$F,2,FALSE)</f>
        <v>5.2350000000000001E-2</v>
      </c>
      <c r="DD1135" s="216">
        <f>HLOOKUP($H1135,'GDP-PI'!$D$8:$CQ$11,3,FALSE)</f>
        <v>3.1010403642454332E-2</v>
      </c>
      <c r="DE1135" s="111">
        <f>VLOOKUP(H1135,'HW Dx Data'!$E:$F,2,FALSE)</f>
        <v>469.20514034936258</v>
      </c>
      <c r="DF1135" s="72">
        <f t="shared" ref="DF1135:DF1153" si="2081">VLOOKUP(G1135,EG$8:EH$27,2,FALSE)</f>
        <v>99.224999999999994</v>
      </c>
      <c r="DG1135" s="69">
        <f t="shared" ref="DG1135:DG1153" si="2082">LN(DF1135/DF1134)</f>
        <v>5.0378726854569796E-2</v>
      </c>
      <c r="DH1135" s="66">
        <f>HLOOKUP(H1135,'GDP-PI'!$8:$9,2,FALSE)</f>
        <v>87.406999999999996</v>
      </c>
      <c r="DI1135" s="69">
        <f t="shared" si="2073"/>
        <v>3.0539295810733648E-2</v>
      </c>
    </row>
    <row r="1136" spans="1:113" s="160" customFormat="1" ht="21">
      <c r="A1136" s="160" t="s">
        <v>228</v>
      </c>
      <c r="B1136" s="160" t="s">
        <v>228</v>
      </c>
      <c r="C1136" s="160">
        <v>4063179</v>
      </c>
      <c r="D1136" s="161" t="s">
        <v>213</v>
      </c>
      <c r="E1136" s="161"/>
      <c r="F1136" s="189"/>
      <c r="G1136" s="160" t="s">
        <v>117</v>
      </c>
      <c r="H1136" s="162">
        <v>2006</v>
      </c>
      <c r="I1136" s="163"/>
      <c r="J1136" s="159">
        <f>IFERROR(INDEX('Labor Expenditures'!$F$7:$X$91,MATCH($C1136,'Labor Expenditures'!$D$7:$D$91,0),MATCH($G1136,'Labor Expenditures'!$F$5:$X$5,0)),"NA")</f>
        <v>294.08100107715359</v>
      </c>
      <c r="K1136" s="159">
        <f t="shared" si="2074"/>
        <v>2.6881261524419888</v>
      </c>
      <c r="L1136" s="165">
        <f t="shared" si="2079"/>
        <v>1.3739780170862925E-2</v>
      </c>
      <c r="M1136" s="76">
        <f t="shared" ref="M1136:M1152" si="2083">+L1136*$AR1136</f>
        <v>1.8322410037374815E-6</v>
      </c>
      <c r="N1136" s="62">
        <f>+N1135*EXP(O1136)</f>
        <v>115.45868359104287</v>
      </c>
      <c r="O1136" s="96">
        <f t="shared" ref="O1136:O1152" si="2084">+M1136+M1161+M1186+M1211+M1236+M1261+M1286+M1311+M1336+M1361+M1386+M1411+M1436+M1461+M1486+M1511+M1536+M1561+M1586+M1611+M1636+M1661+M1686+M1711+M1736+M1761+M1786+M1811+M1836+M1861+M1886+M1911+M1936+M1961+M1986+M2011+M2036+M2061+M2086+M2111+M2136+M2161+M2186+M2211+M2236+M2261+M2286+M2311+M2336+M2361+M2386+M2411+M2436+M2461</f>
        <v>0.14374256215100445</v>
      </c>
      <c r="P1136" s="96"/>
      <c r="Q1136" s="159">
        <f>IFERROR(INDEX('Non-Labor Expenditures'!$F$7:$AB$91,MATCH($C1136,'Non-Labor Expenditures'!$D$7:$D$91,0),MATCH($G1136,'Non-Labor Expenditures'!$F$5:$AB$5,0)),"NA")</f>
        <v>425.88421631415076</v>
      </c>
      <c r="R1136" s="159">
        <f t="shared" si="2075"/>
        <v>4.7281592503291821</v>
      </c>
      <c r="S1136" s="165">
        <f t="shared" ref="S1136:S1151" si="2085">LN(R1136/R1135)</f>
        <v>8.1304487764160147E-2</v>
      </c>
      <c r="T1136" s="165">
        <f t="shared" ref="T1136:T1152" si="2086">+S1136*AR1136</f>
        <v>1.0842197940348166E-5</v>
      </c>
      <c r="U1136" s="165"/>
      <c r="V1136" s="165"/>
      <c r="W1136" s="159">
        <f t="shared" si="2055"/>
        <v>341.47483633922951</v>
      </c>
      <c r="X1136" s="163"/>
      <c r="Y1136" s="167">
        <v>21.75264122176749</v>
      </c>
      <c r="Z1136" s="168">
        <v>8.1797288701388852E-3</v>
      </c>
      <c r="AA1136" s="168">
        <f t="shared" ref="AA1136:AA1151" si="2087">+Z1136*AR1136</f>
        <v>1.090791442726733E-6</v>
      </c>
      <c r="AB1136" s="168"/>
      <c r="AC1136" s="168"/>
      <c r="AD1136" s="163">
        <f t="shared" si="2005"/>
        <v>1061.4400537305339</v>
      </c>
      <c r="AE1136" s="168">
        <f t="shared" ref="AE1136:AE1152" si="2088">LN(AD1136/AD1135)</f>
        <v>6.6365879277989773E-2</v>
      </c>
      <c r="AF1136" s="163"/>
      <c r="AG1136" s="163"/>
      <c r="AH1136" s="163"/>
      <c r="AI1136" s="163"/>
      <c r="AJ1136" s="116">
        <f t="shared" ref="AJ1136:AJ1152" si="2089">+(AD1136*1000)/AV1136</f>
        <v>337.93061245798594</v>
      </c>
      <c r="AK1136" s="114">
        <f>+AV1136/$AX$11</f>
        <v>9.0567150178759838E-5</v>
      </c>
      <c r="AL1136" s="115">
        <f t="shared" si="2076"/>
        <v>0.27705851125890474</v>
      </c>
      <c r="AM1136" s="115">
        <f t="shared" si="2077"/>
        <v>0.40123247169478804</v>
      </c>
      <c r="AN1136" s="115">
        <f t="shared" si="2078"/>
        <v>0.32170901704630717</v>
      </c>
      <c r="AO1136" s="115">
        <f t="shared" si="2080"/>
        <v>3.8380883429205065E-2</v>
      </c>
      <c r="AP1136" s="166">
        <f>+AP1135*EXP(AO1136)</f>
        <v>103.91269437475714</v>
      </c>
      <c r="AQ1136" s="168">
        <f>LN(AP1136/AP1135)</f>
        <v>3.8380883429205079E-2</v>
      </c>
      <c r="AR1136" s="69">
        <f>+AD1136/$AF$11</f>
        <v>1.3335300717714525E-4</v>
      </c>
      <c r="AS1136" s="169">
        <f>+AR1136*AQ1136</f>
        <v>5.1182062233999603E-6</v>
      </c>
      <c r="AT1136" s="115"/>
      <c r="AU1136" s="115"/>
      <c r="AV1136" s="113">
        <f>IFERROR(INDEX('Total Customers'!$F$7:$AB$91,MATCH($C1136,'Total Customers'!$D$7:$D$91,0),MATCH($G1136,'Total Customers'!$F$5:$AB$5,0)),"NA")</f>
        <v>3141</v>
      </c>
      <c r="AW1136" s="68">
        <f t="shared" si="2004"/>
        <v>-1.7358807347518785E-2</v>
      </c>
      <c r="AX1136" s="114"/>
      <c r="AY1136" s="114"/>
      <c r="AZ1136" s="116"/>
      <c r="BA1136" s="116"/>
      <c r="BB1136" s="166"/>
      <c r="BC1136" s="166"/>
      <c r="BD1136" s="166"/>
      <c r="BE1136" s="166"/>
      <c r="BF1136" s="166"/>
      <c r="BG1136" s="166"/>
      <c r="BH1136" s="166"/>
      <c r="BI1136" s="113"/>
      <c r="BJ1136" s="113"/>
      <c r="BK1136" s="113">
        <f>INDEX('Dist. Plant Gas Additions'!$F$7:$AE$91,MATCH($C1136,'Dist. Plant Gas Additions'!$D$7:$D$91,0),MATCH(Calculation!$G1136,'Dist. Plant Gas Additions'!$F$5:$AE$5,0))</f>
        <v>60</v>
      </c>
      <c r="BL1136" s="113">
        <f>INDEX('Gen. Plant Additions'!$F$7:$AE$91,MATCH($C1136,'Gen. Plant Additions'!$D$7:$D$91,0),MATCH(Calculation!$G1136,'Gen. Plant Additions'!$F$5:$AE$5,0))</f>
        <v>85</v>
      </c>
      <c r="BM1136" s="231">
        <f t="shared" si="2056"/>
        <v>0.89753106341778277</v>
      </c>
      <c r="BN1136" s="61">
        <f t="shared" ref="BN1136:BN1152" si="2090">+BM1136*BL1136</f>
        <v>76.290140390511539</v>
      </c>
      <c r="BO1136" s="113">
        <f>INDEX('Dist Plant Depreciation'!$E$7:$AD$94,MATCH($C1136,'Dist Plant Depreciation'!$D$7:$D$94,0),MATCH(Calculation!$G1136,'Dist Plant Depreciation'!$E$5:$AD$5,0))</f>
        <v>2791</v>
      </c>
      <c r="BP1136" s="113">
        <f>INDEX('Gen. Plant Depreciation'!$E$7:$AD$94,MATCH($C1136,'Gen. Plant Depreciation'!$D$7:$D$94,0),MATCH(Calculation!$G1136,'Gen. Plant Depreciation'!$E$5:$AD$5,0))</f>
        <v>339</v>
      </c>
      <c r="BQ1136" s="113"/>
      <c r="BR1136" s="113"/>
      <c r="BS1136" s="113"/>
      <c r="BT1136" s="113"/>
      <c r="BU1136" s="113"/>
      <c r="BV1136" s="175"/>
      <c r="BW1136" s="113">
        <f>INDEX('Gross Dx Plant'!$E$7:$AD$91,MATCH($C1136,'Gross Dx Plant'!$D$7:$D$91,0),MATCH(Calculation!$G1136,'Gross Dx Plant'!$E$5:$AD$5,0))</f>
        <v>5562</v>
      </c>
      <c r="BX1136" s="113">
        <f>INDEX('Gross Gen Plant'!$E$7:$AD$91,MATCH($C1136,'Gross Gen Plant'!$D$7:$D$91,0),MATCH(Calculation!$G1136,'Gross Gen Plant'!$E$5:$AD$5,0))</f>
        <v>635</v>
      </c>
      <c r="BY1136" s="113">
        <f t="shared" si="2067"/>
        <v>3067</v>
      </c>
      <c r="BZ1136" s="114"/>
      <c r="CA1136" s="116">
        <v>2006</v>
      </c>
      <c r="CB1136" s="113"/>
      <c r="CC1136" s="113"/>
      <c r="CD1136" s="113"/>
      <c r="CE1136" s="175"/>
      <c r="CF1136" s="113">
        <f t="shared" si="2057"/>
        <v>145</v>
      </c>
      <c r="CG1136" s="113">
        <f t="shared" si="2058"/>
        <v>0.31447518015810677</v>
      </c>
      <c r="CH1136" s="178">
        <v>0.9555555555555556</v>
      </c>
      <c r="CI1136" s="61">
        <f>+CI1128*CH1136+CG1129*CH1135+CG1130*CH1134+CG1131*CH1133+CG1132*CH1132+CG1133*CH1131+CG1134*CH1130+CG1135*CH1129+CG1136</f>
        <v>21.75264122176749</v>
      </c>
      <c r="CJ1136" s="114">
        <f t="shared" si="2059"/>
        <v>8.1797288701388852E-3</v>
      </c>
      <c r="CK1136" s="114"/>
      <c r="CL1136" s="169">
        <f t="shared" si="2060"/>
        <v>6.3623374074247702E-3</v>
      </c>
      <c r="CM1136" s="169">
        <f t="shared" si="2069"/>
        <v>6.1355897905839779E-3</v>
      </c>
      <c r="CN1136" s="114">
        <f>VLOOKUP($H1136,RoR!$E:$F,2,FALSE)</f>
        <v>5.5874999999999994E-2</v>
      </c>
      <c r="CO1136" s="169">
        <v>3.0512430354548314E-2</v>
      </c>
      <c r="CP1136" s="169">
        <f t="shared" si="2066"/>
        <v>2.536256964545168E-2</v>
      </c>
      <c r="CQ1136" s="169">
        <f t="shared" si="2070"/>
        <v>2.4766351817949648E-2</v>
      </c>
      <c r="CR1136" s="169">
        <f t="shared" si="2071"/>
        <v>7.9087823893859641E-2</v>
      </c>
      <c r="CS1136" s="179">
        <f t="shared" si="2061"/>
        <v>0.85727249999999999</v>
      </c>
      <c r="CT1136" s="180">
        <f t="shared" si="2062"/>
        <v>0.91779957551769631</v>
      </c>
      <c r="CU1136" s="180">
        <f t="shared" si="2063"/>
        <v>0.52757270693512304</v>
      </c>
      <c r="CV1136" s="180">
        <f t="shared" si="2064"/>
        <v>0.88636824549024895</v>
      </c>
      <c r="CW1136" s="180">
        <f t="shared" si="2065"/>
        <v>0.42918482841932087</v>
      </c>
      <c r="CX1136" s="181">
        <f>INDEX('State Tax Lookup'!$D$7:$Z$91,MATCH(Calculation!$C1136,'State Tax Lookup'!$B$7:$B$91,0),MATCH($H1136,'State Tax Lookup'!$D$6:$Z$6,0))</f>
        <v>0.38574999999999998</v>
      </c>
      <c r="CY1136" s="72">
        <v>0.37</v>
      </c>
      <c r="CZ1136" s="70">
        <f t="shared" si="2068"/>
        <v>15.827018857664488</v>
      </c>
      <c r="DA1136" s="70">
        <v>14.788696346247992</v>
      </c>
      <c r="DB1136" s="69">
        <f t="shared" si="2072"/>
        <v>-2.5223442004100899E-2</v>
      </c>
      <c r="DC1136" s="111">
        <f>VLOOKUP($H1136,RoR!$E:$F,2,FALSE)</f>
        <v>5.5874999999999994E-2</v>
      </c>
      <c r="DD1136" s="216">
        <f>HLOOKUP($H1136,'GDP-PI'!$D$8:$CQ$11,3,FALSE)</f>
        <v>3.0512430354548314E-2</v>
      </c>
      <c r="DE1136" s="111">
        <f>VLOOKUP(H1136,'HW Dx Data'!$E:$F,2,FALSE)</f>
        <v>461.08567272971823</v>
      </c>
      <c r="DF1136" s="72">
        <f t="shared" si="2081"/>
        <v>109.4</v>
      </c>
      <c r="DG1136" s="69">
        <f t="shared" si="2082"/>
        <v>9.7620891318751846E-2</v>
      </c>
      <c r="DH1136" s="66">
        <f>HLOOKUP(H1136,'GDP-PI'!$8:$9,2,FALSE)</f>
        <v>90.073999999999998</v>
      </c>
      <c r="DI1136" s="69">
        <f t="shared" si="2073"/>
        <v>3.005618372545445E-2</v>
      </c>
    </row>
    <row r="1137" spans="1:113" s="160" customFormat="1" ht="21">
      <c r="A1137" s="160" t="s">
        <v>228</v>
      </c>
      <c r="B1137" s="160" t="s">
        <v>228</v>
      </c>
      <c r="C1137" s="160">
        <v>4063179</v>
      </c>
      <c r="D1137" s="161" t="s">
        <v>213</v>
      </c>
      <c r="E1137" s="161"/>
      <c r="F1137" s="189"/>
      <c r="G1137" s="160" t="s">
        <v>118</v>
      </c>
      <c r="H1137" s="162">
        <v>2007</v>
      </c>
      <c r="I1137" s="163"/>
      <c r="J1137" s="159">
        <f>IFERROR(INDEX('Labor Expenditures'!$F$7:$X$91,MATCH($C1137,'Labor Expenditures'!$D$7:$D$91,0),MATCH($G1137,'Labor Expenditures'!$F$5:$X$5,0)),"NA")</f>
        <v>314.50094467618726</v>
      </c>
      <c r="K1137" s="159">
        <f t="shared" si="2074"/>
        <v>3.0088585953234852</v>
      </c>
      <c r="L1137" s="165">
        <f t="shared" si="2079"/>
        <v>0.11271644936152536</v>
      </c>
      <c r="M1137" s="76">
        <f t="shared" si="2083"/>
        <v>1.5269814281622337E-5</v>
      </c>
      <c r="N1137" s="62">
        <f t="shared" ref="N1137:N1150" si="2091">+N1136*EXP(O1137)</f>
        <v>119.92921998929042</v>
      </c>
      <c r="O1137" s="96">
        <f t="shared" si="2084"/>
        <v>3.7988987200205215E-2</v>
      </c>
      <c r="P1137" s="96"/>
      <c r="Q1137" s="159">
        <f>IFERROR(INDEX('Non-Labor Expenditures'!$F$7:$AB$91,MATCH($C1137,'Non-Labor Expenditures'!$D$7:$D$91,0),MATCH($G1137,'Non-Labor Expenditures'!$F$5:$AB$5,0)),"NA")</f>
        <v>455.45610856492578</v>
      </c>
      <c r="R1137" s="159">
        <f t="shared" si="2075"/>
        <v>4.9239562862432242</v>
      </c>
      <c r="S1137" s="165">
        <f t="shared" si="2085"/>
        <v>4.057636866623527E-2</v>
      </c>
      <c r="T1137" s="165">
        <f t="shared" si="2086"/>
        <v>5.4969227407862665E-6</v>
      </c>
      <c r="U1137" s="165"/>
      <c r="V1137" s="165"/>
      <c r="W1137" s="159">
        <f t="shared" si="2055"/>
        <v>369.04906077665402</v>
      </c>
      <c r="X1137" s="163"/>
      <c r="Y1137" s="167">
        <v>21.914381981976756</v>
      </c>
      <c r="Z1137" s="168">
        <v>7.4079471420379853E-3</v>
      </c>
      <c r="AA1137" s="168">
        <f t="shared" si="2087"/>
        <v>1.0035622813506285E-6</v>
      </c>
      <c r="AB1137" s="168"/>
      <c r="AC1137" s="168"/>
      <c r="AD1137" s="163">
        <f t="shared" si="2005"/>
        <v>1139.006114017767</v>
      </c>
      <c r="AE1137" s="168">
        <f t="shared" si="2088"/>
        <v>7.0529524935821611E-2</v>
      </c>
      <c r="AF1137" s="163"/>
      <c r="AG1137" s="163"/>
      <c r="AH1137" s="163"/>
      <c r="AI1137" s="163"/>
      <c r="AJ1137" s="116">
        <f t="shared" si="2089"/>
        <v>367.53988835681412</v>
      </c>
      <c r="AK1137" s="114">
        <f>+AV1137/$AX$12</f>
        <v>8.8683359456148648E-5</v>
      </c>
      <c r="AL1137" s="115">
        <f t="shared" si="2076"/>
        <v>0.27611875020302257</v>
      </c>
      <c r="AM1137" s="115">
        <f t="shared" si="2077"/>
        <v>0.3998715221627171</v>
      </c>
      <c r="AN1137" s="115">
        <f t="shared" si="2078"/>
        <v>0.32400972763426039</v>
      </c>
      <c r="AO1137" s="115">
        <f t="shared" si="2080"/>
        <v>4.9820759051746474E-2</v>
      </c>
      <c r="AP1137" s="166">
        <f>+AP1136*EXP(AO1137)</f>
        <v>109.22083354237344</v>
      </c>
      <c r="AQ1137" s="168">
        <f>LN(AP1137/AP1136)</f>
        <v>4.982075905174646E-2</v>
      </c>
      <c r="AR1137" s="69">
        <f>+AD1137/$AF$12</f>
        <v>1.3547103699697034E-4</v>
      </c>
      <c r="AS1137" s="169">
        <f t="shared" ref="AS1137:AS1151" si="2092">+AR1137*AQ1137</f>
        <v>6.7492698927162896E-6</v>
      </c>
      <c r="AT1137" s="115"/>
      <c r="AU1137" s="115"/>
      <c r="AV1137" s="113">
        <f>IFERROR(INDEX('Total Customers'!$F$7:$AB$91,MATCH($C1137,'Total Customers'!$D$7:$D$91,0),MATCH($G1137,'Total Customers'!$F$5:$AB$5,0)),"NA")</f>
        <v>3099</v>
      </c>
      <c r="AW1137" s="68">
        <f t="shared" si="2004"/>
        <v>-1.3461741750898357E-2</v>
      </c>
      <c r="AX1137" s="114"/>
      <c r="AY1137" s="114"/>
      <c r="AZ1137" s="116"/>
      <c r="BA1137" s="116"/>
      <c r="BB1137" s="166"/>
      <c r="BC1137" s="166"/>
      <c r="BD1137" s="166"/>
      <c r="BE1137" s="166"/>
      <c r="BF1137" s="166"/>
      <c r="BG1137" s="166"/>
      <c r="BH1137" s="166"/>
      <c r="BI1137" s="113"/>
      <c r="BJ1137" s="113"/>
      <c r="BK1137" s="113">
        <f>INDEX('Dist. Plant Gas Additions'!$F$7:$AE$91,MATCH($C1137,'Dist. Plant Gas Additions'!$D$7:$D$91,0),MATCH(Calculation!$G1137,'Dist. Plant Gas Additions'!$F$5:$AE$5,0))</f>
        <v>39</v>
      </c>
      <c r="BL1137" s="113">
        <f>INDEX('Gen. Plant Additions'!$F$7:$AE$91,MATCH($C1137,'Gen. Plant Additions'!$D$7:$D$91,0),MATCH(Calculation!$G1137,'Gen. Plant Additions'!$F$5:$AE$5,0))</f>
        <v>113</v>
      </c>
      <c r="BM1137" s="231">
        <f t="shared" si="2056"/>
        <v>0.8979690522243714</v>
      </c>
      <c r="BN1137" s="61">
        <f t="shared" si="2090"/>
        <v>101.47050290135397</v>
      </c>
      <c r="BO1137" s="113">
        <f>INDEX('Dist Plant Depreciation'!$E$7:$AD$94,MATCH($C1137,'Dist Plant Depreciation'!$D$7:$D$94,0),MATCH(Calculation!$G1137,'Dist Plant Depreciation'!$E$5:$AD$5,0))</f>
        <v>2937</v>
      </c>
      <c r="BP1137" s="113">
        <f>INDEX('Gen. Plant Depreciation'!$E$7:$AD$94,MATCH($C1137,'Gen. Plant Depreciation'!$D$7:$D$94,0),MATCH(Calculation!$G1137,'Gen. Plant Depreciation'!$E$5:$AD$5,0))</f>
        <v>277</v>
      </c>
      <c r="BQ1137" s="113"/>
      <c r="BR1137" s="113"/>
      <c r="BS1137" s="113"/>
      <c r="BT1137" s="113"/>
      <c r="BU1137" s="113"/>
      <c r="BV1137" s="175"/>
      <c r="BW1137" s="113">
        <f>INDEX('Gross Dx Plant'!$E$7:$AD$91,MATCH($C1137,'Gross Dx Plant'!$D$7:$D$91,0),MATCH(Calculation!$G1137,'Gross Dx Plant'!$E$5:$AD$5,0))</f>
        <v>5571</v>
      </c>
      <c r="BX1137" s="113">
        <f>INDEX('Gross Gen Plant'!$E$7:$AD$91,MATCH($C1137,'Gross Gen Plant'!$D$7:$D$91,0),MATCH(Calculation!$G1137,'Gross Gen Plant'!$E$5:$AD$5,0))</f>
        <v>633</v>
      </c>
      <c r="BY1137" s="113">
        <f t="shared" si="2067"/>
        <v>2990</v>
      </c>
      <c r="BZ1137" s="113"/>
      <c r="CA1137" s="116">
        <v>2007</v>
      </c>
      <c r="CB1137" s="113"/>
      <c r="CC1137" s="113"/>
      <c r="CD1137" s="113"/>
      <c r="CE1137" s="175"/>
      <c r="CF1137" s="113">
        <f t="shared" si="2057"/>
        <v>152</v>
      </c>
      <c r="CG1137" s="113">
        <f t="shared" si="2058"/>
        <v>0.305207207139575</v>
      </c>
      <c r="CH1137" s="178">
        <v>0.94915254237288138</v>
      </c>
      <c r="CI1137" s="61">
        <f>+CI1128*CH1137+CG1129*CH1136+CG1130*CH1135+CG1131*CH1134+CG1132*CH1133+CG1133*CH1132+CG1134*CH1131+CG1135*CH1130+CG1136*CH1129+CG1137</f>
        <v>21.914381981976756</v>
      </c>
      <c r="CJ1137" s="114">
        <f t="shared" si="2059"/>
        <v>7.4079471420379853E-3</v>
      </c>
      <c r="CK1137" s="114"/>
      <c r="CL1137" s="169">
        <f t="shared" si="2060"/>
        <v>6.5953575691187526E-3</v>
      </c>
      <c r="CM1137" s="169">
        <f t="shared" si="2069"/>
        <v>6.3633014916801766E-3</v>
      </c>
      <c r="CN1137" s="114">
        <f>VLOOKUP($H1137,RoR!$E:$F,2,FALSE)</f>
        <v>5.5558333333333321E-2</v>
      </c>
      <c r="CO1137" s="169">
        <v>2.691120634145272E-2</v>
      </c>
      <c r="CP1137" s="169">
        <f t="shared" si="2066"/>
        <v>2.86471269918806E-2</v>
      </c>
      <c r="CQ1137" s="169">
        <f t="shared" si="2070"/>
        <v>2.4538640116853448E-2</v>
      </c>
      <c r="CR1137" s="169">
        <f t="shared" si="2071"/>
        <v>6.4575155250632399E-2</v>
      </c>
      <c r="CS1137" s="179">
        <f t="shared" si="2061"/>
        <v>0.85727249999999999</v>
      </c>
      <c r="CT1137" s="180">
        <f t="shared" si="2062"/>
        <v>0.92303077153834634</v>
      </c>
      <c r="CU1137" s="180">
        <f t="shared" si="2063"/>
        <v>0.52502249887505614</v>
      </c>
      <c r="CV1137" s="180">
        <f t="shared" si="2064"/>
        <v>0.88499666072084604</v>
      </c>
      <c r="CW1137" s="180">
        <f t="shared" si="2065"/>
        <v>0.42887993290280618</v>
      </c>
      <c r="CX1137" s="181">
        <f>INDEX('State Tax Lookup'!$D$7:$Z$91,MATCH(Calculation!$C1137,'State Tax Lookup'!$B$7:$B$91,0),MATCH($H1137,'State Tax Lookup'!$D$6:$Z$6,0))</f>
        <v>0.38574999999999998</v>
      </c>
      <c r="CY1137" s="72">
        <v>0.37</v>
      </c>
      <c r="CZ1137" s="70">
        <f t="shared" si="2068"/>
        <v>16.965712669749411</v>
      </c>
      <c r="DA1137" s="70">
        <v>16.108943221861779</v>
      </c>
      <c r="DB1137" s="69">
        <f t="shared" si="2072"/>
        <v>6.9475871753965621E-2</v>
      </c>
      <c r="DC1137" s="111">
        <f>VLOOKUP($H1137,RoR!$E:$F,2,FALSE)</f>
        <v>5.5558333333333321E-2</v>
      </c>
      <c r="DD1137" s="216">
        <f>HLOOKUP($H1137,'GDP-PI'!$D$8:$CQ$11,3,FALSE)</f>
        <v>2.691120634145272E-2</v>
      </c>
      <c r="DE1137" s="111">
        <f>VLOOKUP(H1137,'HW Dx Data'!$E:$F,2,FALSE)</f>
        <v>498.0223154772637</v>
      </c>
      <c r="DF1137" s="72">
        <f t="shared" si="2081"/>
        <v>104.52499999999999</v>
      </c>
      <c r="DG1137" s="69">
        <f t="shared" si="2082"/>
        <v>-4.5584612745252218E-2</v>
      </c>
      <c r="DH1137" s="66">
        <f>HLOOKUP(H1137,'GDP-PI'!$8:$9,2,FALSE)</f>
        <v>92.498000000000005</v>
      </c>
      <c r="DI1137" s="69">
        <f t="shared" si="2073"/>
        <v>2.6555467950038037E-2</v>
      </c>
    </row>
    <row r="1138" spans="1:113" s="160" customFormat="1" ht="21">
      <c r="A1138" s="160" t="s">
        <v>228</v>
      </c>
      <c r="B1138" s="160" t="s">
        <v>228</v>
      </c>
      <c r="C1138" s="160">
        <v>4063179</v>
      </c>
      <c r="D1138" s="161" t="s">
        <v>213</v>
      </c>
      <c r="E1138" s="161"/>
      <c r="F1138" s="189"/>
      <c r="G1138" s="160" t="s">
        <v>120</v>
      </c>
      <c r="H1138" s="162">
        <v>2008</v>
      </c>
      <c r="I1138" s="163"/>
      <c r="J1138" s="159">
        <f>IFERROR(INDEX('Labor Expenditures'!$F$7:$X$91,MATCH($C1138,'Labor Expenditures'!$D$7:$D$91,0),MATCH($G1138,'Labor Expenditures'!$F$5:$X$5,0)),"NA")</f>
        <v>313.2776739860077</v>
      </c>
      <c r="K1138" s="159">
        <f t="shared" si="2074"/>
        <v>2.9034075438925644</v>
      </c>
      <c r="L1138" s="165">
        <f t="shared" si="2079"/>
        <v>-3.5675740295418673E-2</v>
      </c>
      <c r="M1138" s="76">
        <f t="shared" si="2083"/>
        <v>-4.7166960086642229E-6</v>
      </c>
      <c r="N1138" s="62">
        <f t="shared" si="2091"/>
        <v>113.85503973196447</v>
      </c>
      <c r="O1138" s="96">
        <f t="shared" si="2084"/>
        <v>-5.1975677388864543E-2</v>
      </c>
      <c r="P1138" s="96"/>
      <c r="Q1138" s="159">
        <f>IFERROR(INDEX('Non-Labor Expenditures'!$F$7:$AB$91,MATCH($C1138,'Non-Labor Expenditures'!$D$7:$D$91,0),MATCH($G1138,'Non-Labor Expenditures'!$F$5:$AB$5,0)),"NA")</f>
        <v>453.6845841300966</v>
      </c>
      <c r="R1138" s="159">
        <f t="shared" si="2075"/>
        <v>4.8129146241417358</v>
      </c>
      <c r="S1138" s="165">
        <f t="shared" si="2085"/>
        <v>-2.2809479021990733E-2</v>
      </c>
      <c r="T1138" s="165">
        <f t="shared" si="2086"/>
        <v>-3.0156453032748885E-6</v>
      </c>
      <c r="U1138" s="165"/>
      <c r="V1138" s="165"/>
      <c r="W1138" s="159">
        <f t="shared" si="2055"/>
        <v>421.4729530211099</v>
      </c>
      <c r="X1138" s="163"/>
      <c r="Y1138" s="167">
        <v>21.908369110580427</v>
      </c>
      <c r="Z1138" s="168">
        <v>-2.7441779825111619E-4</v>
      </c>
      <c r="AA1138" s="168">
        <f t="shared" si="2087"/>
        <v>-3.6280826214100399E-8</v>
      </c>
      <c r="AB1138" s="168"/>
      <c r="AC1138" s="168"/>
      <c r="AD1138" s="163">
        <f t="shared" si="2005"/>
        <v>1188.4352111372141</v>
      </c>
      <c r="AE1138" s="168">
        <f t="shared" si="2088"/>
        <v>4.2481440862883336E-2</v>
      </c>
      <c r="AF1138" s="163"/>
      <c r="AG1138" s="163"/>
      <c r="AH1138" s="163"/>
      <c r="AI1138" s="163"/>
      <c r="AJ1138" s="116">
        <f t="shared" si="2089"/>
        <v>388.7586559166549</v>
      </c>
      <c r="AK1138" s="114">
        <f>+AV1138/$AX$13</f>
        <v>8.7013728956133833E-5</v>
      </c>
      <c r="AL1138" s="115">
        <f t="shared" si="2076"/>
        <v>0.26360517683267914</v>
      </c>
      <c r="AM1138" s="115">
        <f t="shared" si="2077"/>
        <v>0.38174953070934819</v>
      </c>
      <c r="AN1138" s="115">
        <f t="shared" si="2078"/>
        <v>0.35464529245797277</v>
      </c>
      <c r="AO1138" s="115">
        <f t="shared" si="2080"/>
        <v>-1.8634827338583324E-2</v>
      </c>
      <c r="AP1138" s="166">
        <f t="shared" ref="AP1138:AP1151" si="2093">+AP1137*EXP(AO1138)</f>
        <v>107.20436875634911</v>
      </c>
      <c r="AQ1138" s="168">
        <f t="shared" ref="AQ1138:AQ1151" si="2094">LN(AP1138/AP1137)</f>
        <v>-1.8634827338583335E-2</v>
      </c>
      <c r="AR1138" s="69">
        <f>+AD1138/$AF$13</f>
        <v>1.3221017895093045E-4</v>
      </c>
      <c r="AS1138" s="169">
        <f t="shared" si="2092"/>
        <v>-2.4637138571537936E-6</v>
      </c>
      <c r="AT1138" s="115"/>
      <c r="AU1138" s="115"/>
      <c r="AV1138" s="113">
        <f>IFERROR(INDEX('Total Customers'!$F$7:$AB$91,MATCH($C1138,'Total Customers'!$D$7:$D$91,0),MATCH($G1138,'Total Customers'!$F$5:$AB$5,0)),"NA")</f>
        <v>3057</v>
      </c>
      <c r="AW1138" s="68">
        <f t="shared" si="2004"/>
        <v>-1.3645435896913758E-2</v>
      </c>
      <c r="AX1138" s="114"/>
      <c r="AY1138" s="114"/>
      <c r="AZ1138" s="116"/>
      <c r="BA1138" s="116"/>
      <c r="BB1138" s="166"/>
      <c r="BC1138" s="166"/>
      <c r="BD1138" s="166"/>
      <c r="BE1138" s="166"/>
      <c r="BF1138" s="166"/>
      <c r="BG1138" s="166"/>
      <c r="BH1138" s="166"/>
      <c r="BI1138" s="113"/>
      <c r="BJ1138" s="113"/>
      <c r="BK1138" s="113">
        <f>INDEX('Dist. Plant Gas Additions'!$F$7:$AE$91,MATCH($C1138,'Dist. Plant Gas Additions'!$D$7:$D$91,0),MATCH(Calculation!$G1138,'Dist. Plant Gas Additions'!$F$5:$AE$5,0))</f>
        <v>78</v>
      </c>
      <c r="BL1138" s="113">
        <f>INDEX('Gen. Plant Additions'!$F$7:$AE$91,MATCH($C1138,'Gen. Plant Additions'!$D$7:$D$91,0),MATCH(Calculation!$G1138,'Gen. Plant Additions'!$F$5:$AE$5,0))</f>
        <v>4</v>
      </c>
      <c r="BM1138" s="231">
        <f t="shared" si="2056"/>
        <v>0.89969556160871655</v>
      </c>
      <c r="BN1138" s="61">
        <f t="shared" si="2090"/>
        <v>3.5987822464348662</v>
      </c>
      <c r="BO1138" s="113">
        <f>INDEX('Dist Plant Depreciation'!$E$7:$AD$94,MATCH($C1138,'Dist Plant Depreciation'!$D$7:$D$94,0),MATCH(Calculation!$G1138,'Dist Plant Depreciation'!$E$5:$AD$5,0))</f>
        <v>3079</v>
      </c>
      <c r="BP1138" s="113">
        <f>INDEX('Gen. Plant Depreciation'!$E$7:$AD$94,MATCH($C1138,'Gen. Plant Depreciation'!$D$7:$D$94,0),MATCH(Calculation!$G1138,'Gen. Plant Depreciation'!$E$5:$AD$5,0))</f>
        <v>327</v>
      </c>
      <c r="BQ1138" s="113"/>
      <c r="BR1138" s="113"/>
      <c r="BS1138" s="113"/>
      <c r="BT1138" s="113"/>
      <c r="BU1138" s="113"/>
      <c r="BV1138" s="175"/>
      <c r="BW1138" s="113">
        <f>INDEX('Gross Dx Plant'!$E$7:$AD$91,MATCH($C1138,'Gross Dx Plant'!$D$7:$D$91,0),MATCH(Calculation!$G1138,'Gross Dx Plant'!$E$5:$AD$5,0))</f>
        <v>5615</v>
      </c>
      <c r="BX1138" s="113">
        <f>INDEX('Gross Gen Plant'!$E$7:$AD$91,MATCH($C1138,'Gross Gen Plant'!$D$7:$D$91,0),MATCH(Calculation!$G1138,'Gross Gen Plant'!$E$5:$AD$5,0))</f>
        <v>626</v>
      </c>
      <c r="BY1138" s="113">
        <f t="shared" si="2067"/>
        <v>2835</v>
      </c>
      <c r="BZ1138" s="113"/>
      <c r="CA1138" s="116">
        <v>2008</v>
      </c>
      <c r="CB1138" s="113"/>
      <c r="CC1138" s="113"/>
      <c r="CD1138" s="113"/>
      <c r="CE1138" s="175"/>
      <c r="CF1138" s="113">
        <f t="shared" si="2057"/>
        <v>82</v>
      </c>
      <c r="CG1138" s="113">
        <f t="shared" si="2058"/>
        <v>0.14388963791068449</v>
      </c>
      <c r="CH1138" s="178">
        <v>0.94252873563218387</v>
      </c>
      <c r="CI1138" s="61">
        <f>+CI1128*CH1138+CG1129*CH1137+CG1130*CH1136+CG1131*CH1135+CG1132*CH1134+CG1133*CH1133+CG1134*CH1132+CG1135*CH1131+CG1136*CH1130+CG1137*CH1129+CG1138</f>
        <v>21.908369110580427</v>
      </c>
      <c r="CJ1138" s="114">
        <f t="shared" si="2059"/>
        <v>-2.7441779825111619E-4</v>
      </c>
      <c r="CK1138" s="114"/>
      <c r="CL1138" s="169">
        <f t="shared" si="2060"/>
        <v>6.8403712881476468E-3</v>
      </c>
      <c r="CM1138" s="169">
        <f t="shared" si="2069"/>
        <v>6.5993554215637226E-3</v>
      </c>
      <c r="CN1138" s="114">
        <f>VLOOKUP($H1138,RoR!$E:$F,2,FALSE)</f>
        <v>5.6316666666666668E-2</v>
      </c>
      <c r="CO1138" s="169">
        <v>1.9092304698479889E-2</v>
      </c>
      <c r="CP1138" s="169">
        <f t="shared" si="2066"/>
        <v>3.7224361968186778E-2</v>
      </c>
      <c r="CQ1138" s="169">
        <f t="shared" si="2070"/>
        <v>2.4302586186969902E-2</v>
      </c>
      <c r="CR1138" s="169">
        <f t="shared" si="2071"/>
        <v>6.9030581091053131E-2</v>
      </c>
      <c r="CS1138" s="179">
        <f t="shared" si="2061"/>
        <v>0.85727249999999999</v>
      </c>
      <c r="CT1138" s="180">
        <f t="shared" si="2062"/>
        <v>0.91060168006009956</v>
      </c>
      <c r="CU1138" s="180">
        <f t="shared" si="2063"/>
        <v>0.53108168097070152</v>
      </c>
      <c r="CV1138" s="180">
        <f t="shared" si="2064"/>
        <v>0.88825329850328805</v>
      </c>
      <c r="CW1138" s="180">
        <f t="shared" si="2065"/>
        <v>0.4295627335323573</v>
      </c>
      <c r="CX1138" s="181">
        <f>INDEX('State Tax Lookup'!$D$7:$Z$91,MATCH(Calculation!$C1138,'State Tax Lookup'!$B$7:$B$91,0),MATCH($H1138,'State Tax Lookup'!$D$6:$Z$6,0))</f>
        <v>0.38574999999999998</v>
      </c>
      <c r="CY1138" s="72">
        <v>0.37</v>
      </c>
      <c r="CZ1138" s="70">
        <f t="shared" si="2068"/>
        <v>19.232709978668151</v>
      </c>
      <c r="DA1138" s="70">
        <v>18.300102035478151</v>
      </c>
      <c r="DB1138" s="69">
        <f t="shared" si="2072"/>
        <v>0.12541806860809945</v>
      </c>
      <c r="DC1138" s="111">
        <f>VLOOKUP($H1138,RoR!$E:$F,2,FALSE)</f>
        <v>5.6316666666666668E-2</v>
      </c>
      <c r="DD1138" s="216">
        <f>HLOOKUP($H1138,'GDP-PI'!$D$8:$CQ$11,3,FALSE)</f>
        <v>1.9092304698479889E-2</v>
      </c>
      <c r="DE1138" s="111">
        <f>VLOOKUP(H1138,'HW Dx Data'!$E:$F,2,FALSE)</f>
        <v>569.88120333515076</v>
      </c>
      <c r="DF1138" s="72">
        <f t="shared" si="2081"/>
        <v>107.9</v>
      </c>
      <c r="DG1138" s="69">
        <f t="shared" si="2082"/>
        <v>3.1778595021460486E-2</v>
      </c>
      <c r="DH1138" s="66">
        <f>HLOOKUP(H1138,'GDP-PI'!$8:$9,2,FALSE)</f>
        <v>94.263999999999996</v>
      </c>
      <c r="DI1138" s="69">
        <f t="shared" si="2073"/>
        <v>1.8912333748032254E-2</v>
      </c>
    </row>
    <row r="1139" spans="1:113" s="160" customFormat="1" ht="21">
      <c r="A1139" s="160" t="s">
        <v>228</v>
      </c>
      <c r="B1139" s="160" t="s">
        <v>228</v>
      </c>
      <c r="C1139" s="160">
        <v>4063179</v>
      </c>
      <c r="D1139" s="161" t="s">
        <v>213</v>
      </c>
      <c r="E1139" s="161"/>
      <c r="F1139" s="189"/>
      <c r="G1139" s="160" t="s">
        <v>125</v>
      </c>
      <c r="H1139" s="162">
        <v>2009</v>
      </c>
      <c r="I1139" s="163"/>
      <c r="J1139" s="159">
        <f>IFERROR(INDEX('Labor Expenditures'!$F$7:$X$91,MATCH($C1139,'Labor Expenditures'!$D$7:$D$91,0),MATCH($G1139,'Labor Expenditures'!$F$5:$X$5,0)),"NA")</f>
        <v>303.30976820238368</v>
      </c>
      <c r="K1139" s="159">
        <f t="shared" si="2074"/>
        <v>2.7343679801882685</v>
      </c>
      <c r="L1139" s="165">
        <f t="shared" si="2079"/>
        <v>-5.9984739022687174E-2</v>
      </c>
      <c r="M1139" s="76">
        <f t="shared" si="2083"/>
        <v>-7.330680534598144E-6</v>
      </c>
      <c r="N1139" s="62">
        <f t="shared" si="2091"/>
        <v>116.51736582039561</v>
      </c>
      <c r="O1139" s="96">
        <f t="shared" si="2084"/>
        <v>2.3114266782572036E-2</v>
      </c>
      <c r="P1139" s="96"/>
      <c r="Q1139" s="159">
        <f>IFERROR(INDEX('Non-Labor Expenditures'!$F$7:$AB$91,MATCH($C1139,'Non-Labor Expenditures'!$D$7:$D$91,0),MATCH($G1139,'Non-Labor Expenditures'!$F$5:$AB$5,0)),"NA")</f>
        <v>439.24919480741721</v>
      </c>
      <c r="R1139" s="159">
        <f t="shared" si="2075"/>
        <v>4.6237244055981348</v>
      </c>
      <c r="S1139" s="165">
        <f t="shared" si="2085"/>
        <v>-4.0102322840112725E-2</v>
      </c>
      <c r="T1139" s="165">
        <f t="shared" si="2086"/>
        <v>-4.9008684913174011E-6</v>
      </c>
      <c r="U1139" s="165"/>
      <c r="V1139" s="165"/>
      <c r="W1139" s="159">
        <f t="shared" si="2055"/>
        <v>403.22884040790962</v>
      </c>
      <c r="X1139" s="163"/>
      <c r="Y1139" s="167">
        <v>22.101024620559524</v>
      </c>
      <c r="Z1139" s="168">
        <v>8.7552553808742644E-3</v>
      </c>
      <c r="AA1139" s="168">
        <f t="shared" si="2087"/>
        <v>1.0699718168605518E-6</v>
      </c>
      <c r="AB1139" s="168"/>
      <c r="AC1139" s="168"/>
      <c r="AD1139" s="163">
        <f t="shared" si="2005"/>
        <v>1145.7878034177106</v>
      </c>
      <c r="AE1139" s="168">
        <f t="shared" si="2088"/>
        <v>-3.6545054859642545E-2</v>
      </c>
      <c r="AF1139" s="163"/>
      <c r="AG1139" s="163"/>
      <c r="AH1139" s="163"/>
      <c r="AI1139" s="163"/>
      <c r="AJ1139" s="116">
        <f t="shared" si="2089"/>
        <v>387.22129213170348</v>
      </c>
      <c r="AK1139" s="114">
        <f>+AV1139/$AX$14</f>
        <v>8.4116913128179792E-5</v>
      </c>
      <c r="AL1139" s="115">
        <f t="shared" si="2076"/>
        <v>0.26471722538646059</v>
      </c>
      <c r="AM1139" s="115">
        <f t="shared" si="2077"/>
        <v>0.3833599847172432</v>
      </c>
      <c r="AN1139" s="115">
        <f t="shared" si="2078"/>
        <v>0.35192278989629611</v>
      </c>
      <c r="AO1139" s="115">
        <f t="shared" si="2080"/>
        <v>-2.8093883103823703E-2</v>
      </c>
      <c r="AP1139" s="166">
        <f t="shared" si="2093"/>
        <v>104.23449473167629</v>
      </c>
      <c r="AQ1139" s="168">
        <f t="shared" si="2094"/>
        <v>-2.8093883103823776E-2</v>
      </c>
      <c r="AR1139" s="69">
        <f>+AD1139/$AF$14</f>
        <v>1.2220909274649949E-4</v>
      </c>
      <c r="AS1139" s="169">
        <f t="shared" si="2092"/>
        <v>-3.4333279658445151E-6</v>
      </c>
      <c r="AT1139" s="115"/>
      <c r="AU1139" s="115"/>
      <c r="AV1139" s="113">
        <f>IFERROR(INDEX('Total Customers'!$F$7:$AB$91,MATCH($C1139,'Total Customers'!$D$7:$D$91,0),MATCH($G1139,'Total Customers'!$F$5:$AB$5,0)),"NA")</f>
        <v>2959</v>
      </c>
      <c r="AW1139" s="68">
        <f t="shared" si="2004"/>
        <v>-3.2582669490624883E-2</v>
      </c>
      <c r="AX1139" s="114"/>
      <c r="AY1139" s="114"/>
      <c r="AZ1139" s="116"/>
      <c r="BA1139" s="116"/>
      <c r="BB1139" s="166"/>
      <c r="BC1139" s="166"/>
      <c r="BD1139" s="166"/>
      <c r="BE1139" s="166"/>
      <c r="BF1139" s="166"/>
      <c r="BG1139" s="166"/>
      <c r="BH1139" s="166"/>
      <c r="BI1139" s="113"/>
      <c r="BJ1139" s="113"/>
      <c r="BK1139" s="113">
        <f>INDEX('Dist. Plant Gas Additions'!$F$7:$AE$91,MATCH($C1139,'Dist. Plant Gas Additions'!$D$7:$D$91,0),MATCH(Calculation!$G1139,'Dist. Plant Gas Additions'!$F$5:$AE$5,0))</f>
        <v>93</v>
      </c>
      <c r="BL1139" s="113">
        <f>INDEX('Gen. Plant Additions'!$F$7:$AE$91,MATCH($C1139,'Gen. Plant Additions'!$D$7:$D$91,0),MATCH(Calculation!$G1139,'Gen. Plant Additions'!$F$5:$AE$5,0))</f>
        <v>99</v>
      </c>
      <c r="BM1139" s="231">
        <f t="shared" si="2056"/>
        <v>0.89830508474576276</v>
      </c>
      <c r="BN1139" s="61">
        <f t="shared" si="2090"/>
        <v>88.932203389830519</v>
      </c>
      <c r="BO1139" s="113">
        <f>INDEX('Dist Plant Depreciation'!$E$7:$AD$94,MATCH($C1139,'Dist Plant Depreciation'!$D$7:$D$94,0),MATCH(Calculation!$G1139,'Dist Plant Depreciation'!$E$5:$AD$5,0))</f>
        <v>3222</v>
      </c>
      <c r="BP1139" s="113">
        <f>INDEX('Gen. Plant Depreciation'!$E$7:$AD$94,MATCH($C1139,'Gen. Plant Depreciation'!$D$7:$D$94,0),MATCH(Calculation!$G1139,'Gen. Plant Depreciation'!$E$5:$AD$5,0))</f>
        <v>320</v>
      </c>
      <c r="BQ1139" s="113"/>
      <c r="BR1139" s="113"/>
      <c r="BS1139" s="113"/>
      <c r="BT1139" s="113"/>
      <c r="BU1139" s="113"/>
      <c r="BV1139" s="175"/>
      <c r="BW1139" s="113">
        <f>INDEX('Gross Dx Plant'!$E$7:$AD$91,MATCH($C1139,'Gross Dx Plant'!$D$7:$D$91,0),MATCH(Calculation!$G1139,'Gross Dx Plant'!$E$5:$AD$5,0))</f>
        <v>5671</v>
      </c>
      <c r="BX1139" s="113">
        <f>INDEX('Gross Gen Plant'!$E$7:$AD$91,MATCH($C1139,'Gross Gen Plant'!$D$7:$D$91,0),MATCH(Calculation!$G1139,'Gross Gen Plant'!$E$5:$AD$5,0))</f>
        <v>642</v>
      </c>
      <c r="BY1139" s="113">
        <f t="shared" si="2067"/>
        <v>2771</v>
      </c>
      <c r="BZ1139" s="113"/>
      <c r="CA1139" s="116">
        <v>2009</v>
      </c>
      <c r="CB1139" s="113"/>
      <c r="CC1139" s="113"/>
      <c r="CD1139" s="113"/>
      <c r="CE1139" s="175"/>
      <c r="CF1139" s="113">
        <f t="shared" si="2057"/>
        <v>192</v>
      </c>
      <c r="CG1139" s="113">
        <f t="shared" si="2058"/>
        <v>0.34849489614027063</v>
      </c>
      <c r="CH1139" s="178">
        <v>0.93567251461988299</v>
      </c>
      <c r="CI1139" s="61">
        <f>+CI1128*CH1139+CG1129*CH1138+CG1130*CH1137+CG1131*CH1136+CG1132*CH1135+CG1133*CH1134+CG1134*CH1133+CG1135*CH1132+CG1136*CH1131+CG1137*CH1130+CG1138*CH1129+CG1139</f>
        <v>22.101024620559524</v>
      </c>
      <c r="CJ1139" s="114">
        <f t="shared" si="2059"/>
        <v>8.7552553808742644E-3</v>
      </c>
      <c r="CK1139" s="114"/>
      <c r="CL1139" s="169">
        <f t="shared" si="2060"/>
        <v>7.1132353747825139E-3</v>
      </c>
      <c r="CM1139" s="169">
        <f t="shared" si="2069"/>
        <v>6.8496547440163045E-3</v>
      </c>
      <c r="CN1139" s="114">
        <f>VLOOKUP($H1139,RoR!$E:$F,2,FALSE)</f>
        <v>5.3133333333333324E-2</v>
      </c>
      <c r="CO1139" s="169">
        <v>7.7972502758210105E-3</v>
      </c>
      <c r="CP1139" s="169">
        <f t="shared" si="2066"/>
        <v>4.5336083057512314E-2</v>
      </c>
      <c r="CQ1139" s="169">
        <f t="shared" si="2070"/>
        <v>2.4052286864517321E-2</v>
      </c>
      <c r="CR1139" s="169">
        <f t="shared" si="2071"/>
        <v>6.3720160300892073E-2</v>
      </c>
      <c r="CS1139" s="179">
        <f t="shared" si="2061"/>
        <v>0.85727249999999999</v>
      </c>
      <c r="CT1139" s="180">
        <f t="shared" si="2062"/>
        <v>0.96515780330083989</v>
      </c>
      <c r="CU1139" s="180">
        <f t="shared" si="2063"/>
        <v>0.50448557089084056</v>
      </c>
      <c r="CV1139" s="180">
        <f t="shared" si="2064"/>
        <v>0.87391435735465484</v>
      </c>
      <c r="CW1139" s="180">
        <f t="shared" si="2065"/>
        <v>0.42551605393279146</v>
      </c>
      <c r="CX1139" s="181">
        <f>INDEX('State Tax Lookup'!$D$7:$Z$91,MATCH(Calculation!$C1139,'State Tax Lookup'!$B$7:$B$91,0),MATCH($H1139,'State Tax Lookup'!$D$6:$Z$6,0))</f>
        <v>0.38574999999999998</v>
      </c>
      <c r="CY1139" s="72">
        <v>0.37</v>
      </c>
      <c r="CZ1139" s="70">
        <f t="shared" si="2068"/>
        <v>18.405242232895112</v>
      </c>
      <c r="DA1139" s="70">
        <v>17.478615056163342</v>
      </c>
      <c r="DB1139" s="69">
        <f t="shared" si="2072"/>
        <v>-4.397694620028083E-2</v>
      </c>
      <c r="DC1139" s="111">
        <f>VLOOKUP($H1139,RoR!$E:$F,2,FALSE)</f>
        <v>5.3133333333333324E-2</v>
      </c>
      <c r="DD1139" s="216">
        <f>HLOOKUP($H1139,'GDP-PI'!$D$8:$CQ$11,3,FALSE)</f>
        <v>7.7972502758210105E-3</v>
      </c>
      <c r="DE1139" s="111">
        <f>VLOOKUP(H1139,'HW Dx Data'!$E:$F,2,FALSE)</f>
        <v>550.94063679692806</v>
      </c>
      <c r="DF1139" s="72">
        <f t="shared" si="2081"/>
        <v>110.925</v>
      </c>
      <c r="DG1139" s="69">
        <f t="shared" si="2082"/>
        <v>2.7649425000884052E-2</v>
      </c>
      <c r="DH1139" s="66">
        <f>HLOOKUP(H1139,'GDP-PI'!$8:$9,2,FALSE)</f>
        <v>94.998999999999995</v>
      </c>
      <c r="DI1139" s="69">
        <f t="shared" si="2073"/>
        <v>7.7670088183096342E-3</v>
      </c>
    </row>
    <row r="1140" spans="1:113" s="160" customFormat="1" ht="21">
      <c r="A1140" s="160" t="s">
        <v>228</v>
      </c>
      <c r="B1140" s="160" t="s">
        <v>228</v>
      </c>
      <c r="C1140" s="160">
        <v>4063179</v>
      </c>
      <c r="D1140" s="161" t="s">
        <v>213</v>
      </c>
      <c r="E1140" s="161"/>
      <c r="F1140" s="189"/>
      <c r="G1140" s="160" t="s">
        <v>126</v>
      </c>
      <c r="H1140" s="162">
        <v>2010</v>
      </c>
      <c r="I1140" s="163"/>
      <c r="J1140" s="159">
        <f>IFERROR(INDEX('Labor Expenditures'!$F$7:$X$91,MATCH($C1140,'Labor Expenditures'!$D$7:$D$91,0),MATCH($G1140,'Labor Expenditures'!$F$5:$X$5,0)),"NA")</f>
        <v>299.83456977406388</v>
      </c>
      <c r="K1140" s="159">
        <f t="shared" si="2074"/>
        <v>2.5643324333894708</v>
      </c>
      <c r="L1140" s="165">
        <f t="shared" si="2079"/>
        <v>-6.4202138453008498E-2</v>
      </c>
      <c r="M1140" s="76">
        <f t="shared" si="2083"/>
        <v>-7.5982045474651804E-6</v>
      </c>
      <c r="N1140" s="62">
        <f t="shared" si="2091"/>
        <v>97.821628985536009</v>
      </c>
      <c r="O1140" s="96">
        <f t="shared" si="2084"/>
        <v>-0.17489461687212951</v>
      </c>
      <c r="P1140" s="96"/>
      <c r="Q1140" s="159">
        <f>IFERROR(INDEX('Non-Labor Expenditures'!$F$7:$AB$91,MATCH($C1140,'Non-Labor Expenditures'!$D$7:$D$91,0),MATCH($G1140,'Non-Labor Expenditures'!$F$5:$AB$5,0)),"NA")</f>
        <v>434.21645840567714</v>
      </c>
      <c r="R1140" s="159">
        <f t="shared" si="2075"/>
        <v>4.5179583431903065</v>
      </c>
      <c r="S1140" s="165">
        <f t="shared" si="2085"/>
        <v>-2.3140330913182121E-2</v>
      </c>
      <c r="T1140" s="165">
        <f t="shared" si="2086"/>
        <v>-2.7386154388468096E-6</v>
      </c>
      <c r="U1140" s="165"/>
      <c r="V1140" s="165"/>
      <c r="W1140" s="159">
        <f t="shared" si="2055"/>
        <v>416.06474045713759</v>
      </c>
      <c r="X1140" s="163"/>
      <c r="Y1140" s="167">
        <v>22.491543965880048</v>
      </c>
      <c r="Z1140" s="168">
        <v>1.7515444462043828E-2</v>
      </c>
      <c r="AA1140" s="168">
        <f t="shared" si="2087"/>
        <v>2.0729205127611891E-6</v>
      </c>
      <c r="AB1140" s="168"/>
      <c r="AC1140" s="168"/>
      <c r="AD1140" s="163">
        <f t="shared" si="2005"/>
        <v>1150.1157686368786</v>
      </c>
      <c r="AE1140" s="168">
        <f t="shared" si="2088"/>
        <v>3.7701673523047197E-3</v>
      </c>
      <c r="AF1140" s="163"/>
      <c r="AG1140" s="163"/>
      <c r="AH1140" s="163"/>
      <c r="AI1140" s="163"/>
      <c r="AJ1140" s="116">
        <f t="shared" si="2089"/>
        <v>394.2803457788408</v>
      </c>
      <c r="AK1140" s="114">
        <f>+AV1140/$AX$15</f>
        <v>8.2469253274131132E-5</v>
      </c>
      <c r="AL1140" s="115">
        <f t="shared" si="2076"/>
        <v>0.26069946865386334</v>
      </c>
      <c r="AM1140" s="115">
        <f t="shared" si="2077"/>
        <v>0.37754152255499646</v>
      </c>
      <c r="AN1140" s="115">
        <f t="shared" si="2078"/>
        <v>0.36175900879114026</v>
      </c>
      <c r="AO1140" s="115">
        <f t="shared" si="2080"/>
        <v>-1.9419967049218112E-2</v>
      </c>
      <c r="AP1140" s="166">
        <f t="shared" si="2093"/>
        <v>102.22979290354422</v>
      </c>
      <c r="AQ1140" s="168">
        <f t="shared" si="2094"/>
        <v>-1.9419967049218067E-2</v>
      </c>
      <c r="AR1140" s="69">
        <f>+AD1140/$AF$15</f>
        <v>1.1834815366822303E-4</v>
      </c>
      <c r="AS1140" s="169">
        <f t="shared" si="2092"/>
        <v>-2.2983172445726874E-6</v>
      </c>
      <c r="AT1140" s="115"/>
      <c r="AU1140" s="115"/>
      <c r="AV1140" s="113">
        <f>IFERROR(INDEX('Total Customers'!$F$7:$AB$91,MATCH($C1140,'Total Customers'!$D$7:$D$91,0),MATCH($G1140,'Total Customers'!$F$5:$AB$5,0)),"NA")</f>
        <v>2917</v>
      </c>
      <c r="AW1140" s="68">
        <f t="shared" si="2004"/>
        <v>-1.4295682532488226E-2</v>
      </c>
      <c r="AX1140" s="114"/>
      <c r="AY1140" s="114"/>
      <c r="AZ1140" s="116"/>
      <c r="BA1140" s="116"/>
      <c r="BB1140" s="166"/>
      <c r="BC1140" s="166"/>
      <c r="BD1140" s="166"/>
      <c r="BE1140" s="166"/>
      <c r="BF1140" s="166"/>
      <c r="BG1140" s="166"/>
      <c r="BH1140" s="166"/>
      <c r="BI1140" s="113"/>
      <c r="BJ1140" s="113"/>
      <c r="BK1140" s="113">
        <f>INDEX('Dist. Plant Gas Additions'!$F$7:$AE$91,MATCH($C1140,'Dist. Plant Gas Additions'!$D$7:$D$91,0),MATCH(Calculation!$G1140,'Dist. Plant Gas Additions'!$F$5:$AE$5,0))</f>
        <v>308</v>
      </c>
      <c r="BL1140" s="113">
        <f>INDEX('Gen. Plant Additions'!$F$7:$AE$91,MATCH($C1140,'Gen. Plant Additions'!$D$7:$D$91,0),MATCH(Calculation!$G1140,'Gen. Plant Additions'!$F$5:$AE$5,0))</f>
        <v>7</v>
      </c>
      <c r="BM1140" s="231">
        <f t="shared" si="2056"/>
        <v>0.90811965811965811</v>
      </c>
      <c r="BN1140" s="61">
        <f t="shared" si="2090"/>
        <v>6.3568376068376065</v>
      </c>
      <c r="BO1140" s="113">
        <f>INDEX('Dist Plant Depreciation'!$E$7:$AD$94,MATCH($C1140,'Dist Plant Depreciation'!$D$7:$D$94,0),MATCH(Calculation!$G1140,'Dist Plant Depreciation'!$E$5:$AD$5,0))</f>
        <v>3379</v>
      </c>
      <c r="BP1140" s="113">
        <f>INDEX('Gen. Plant Depreciation'!$E$7:$AD$94,MATCH($C1140,'Gen. Plant Depreciation'!$D$7:$D$94,0),MATCH(Calculation!$G1140,'Gen. Plant Depreciation'!$E$5:$AD$5,0))</f>
        <v>342</v>
      </c>
      <c r="BQ1140" s="113"/>
      <c r="BR1140" s="113"/>
      <c r="BS1140" s="113"/>
      <c r="BT1140" s="113"/>
      <c r="BU1140" s="113"/>
      <c r="BV1140" s="175"/>
      <c r="BW1140" s="113">
        <f>INDEX('Gross Dx Plant'!$E$7:$AD$91,MATCH($C1140,'Gross Dx Plant'!$D$7:$D$91,0),MATCH(Calculation!$G1140,'Gross Dx Plant'!$E$5:$AD$5,0))</f>
        <v>5950</v>
      </c>
      <c r="BX1140" s="113">
        <f>INDEX('Gross Gen Plant'!$E$7:$AD$91,MATCH($C1140,'Gross Gen Plant'!$D$7:$D$91,0),MATCH(Calculation!$G1140,'Gross Gen Plant'!$E$5:$AD$5,0))</f>
        <v>602</v>
      </c>
      <c r="BY1140" s="113">
        <f t="shared" si="2067"/>
        <v>2831</v>
      </c>
      <c r="BZ1140" s="113"/>
      <c r="CA1140" s="116">
        <v>2010</v>
      </c>
      <c r="CB1140" s="113"/>
      <c r="CC1140" s="113"/>
      <c r="CD1140" s="113"/>
      <c r="CE1140" s="175"/>
      <c r="CF1140" s="113">
        <f t="shared" si="2057"/>
        <v>315</v>
      </c>
      <c r="CG1140" s="113">
        <f t="shared" si="2058"/>
        <v>0.55361302544977398</v>
      </c>
      <c r="CH1140" s="178">
        <v>0.9285714285714286</v>
      </c>
      <c r="CI1140" s="61">
        <f>+CI1128*CH1140+CG1129*CH1139+CG1130*CH1138+CG1131*CH1137+CG1132*CH1136+CG1133*CH1135+CG1134*CH1134+CG1135*CH1133+CG1136*CH1132+CG1137*CH1131+CG1138*CH1130+CG1139*CH1129+CG1140</f>
        <v>22.491543965880048</v>
      </c>
      <c r="CJ1140" s="114">
        <f t="shared" si="2059"/>
        <v>1.7515444462043828E-2</v>
      </c>
      <c r="CK1140" s="114"/>
      <c r="CL1140" s="169">
        <f t="shared" si="2060"/>
        <v>7.3794623973013531E-3</v>
      </c>
      <c r="CM1140" s="169">
        <f t="shared" si="2069"/>
        <v>7.111023020077171E-3</v>
      </c>
      <c r="CN1140" s="114">
        <f>VLOOKUP($H1140,RoR!$E:$F,2,FALSE)</f>
        <v>4.9433333333333322E-2</v>
      </c>
      <c r="CO1140" s="169">
        <v>1.1684333519300205E-2</v>
      </c>
      <c r="CP1140" s="169">
        <f t="shared" si="2066"/>
        <v>3.7748999814033117E-2</v>
      </c>
      <c r="CQ1140" s="169">
        <f t="shared" si="2070"/>
        <v>2.3790918588456455E-2</v>
      </c>
      <c r="CR1140" s="169">
        <f t="shared" si="2071"/>
        <v>4.7937530248493419E-2</v>
      </c>
      <c r="CS1140" s="179">
        <f t="shared" si="2061"/>
        <v>0.85727249999999999</v>
      </c>
      <c r="CT1140" s="180">
        <f t="shared" si="2062"/>
        <v>1.037398205301105</v>
      </c>
      <c r="CU1140" s="180">
        <f t="shared" si="2063"/>
        <v>0.46926837491571133</v>
      </c>
      <c r="CV1140" s="180">
        <f t="shared" si="2064"/>
        <v>0.8548537519972772</v>
      </c>
      <c r="CW1140" s="180">
        <f t="shared" si="2065"/>
        <v>0.41615833911547367</v>
      </c>
      <c r="CX1140" s="181">
        <f>INDEX('State Tax Lookup'!$D$7:$Z$91,MATCH(Calculation!$C1140,'State Tax Lookup'!$B$7:$B$91,0),MATCH($H1140,'State Tax Lookup'!$D$6:$Z$6,0))</f>
        <v>0.38574999999999998</v>
      </c>
      <c r="CY1140" s="72">
        <v>0.37</v>
      </c>
      <c r="CZ1140" s="70">
        <f t="shared" si="2068"/>
        <v>18.825586035051629</v>
      </c>
      <c r="DA1140" s="70">
        <v>17.956102603965455</v>
      </c>
      <c r="DB1140" s="69">
        <f t="shared" si="2072"/>
        <v>2.2581375882237142E-2</v>
      </c>
      <c r="DC1140" s="111">
        <f>VLOOKUP($H1140,RoR!$E:$F,2,FALSE)</f>
        <v>4.9433333333333322E-2</v>
      </c>
      <c r="DD1140" s="216">
        <f>HLOOKUP($H1140,'GDP-PI'!$D$8:$CQ$11,3,FALSE)</f>
        <v>1.1684333519300205E-2</v>
      </c>
      <c r="DE1140" s="111">
        <f>VLOOKUP(H1140,'HW Dx Data'!$E:$F,2,FALSE)</f>
        <v>568.98950262971744</v>
      </c>
      <c r="DF1140" s="72">
        <f t="shared" si="2081"/>
        <v>116.925</v>
      </c>
      <c r="DG1140" s="69">
        <f t="shared" si="2082"/>
        <v>5.2678406346976722E-2</v>
      </c>
      <c r="DH1140" s="66">
        <f>HLOOKUP(H1140,'GDP-PI'!$8:$9,2,FALSE)</f>
        <v>96.108999999999995</v>
      </c>
      <c r="DI1140" s="69">
        <f t="shared" si="2073"/>
        <v>1.1616598807150427E-2</v>
      </c>
    </row>
    <row r="1141" spans="1:113" s="160" customFormat="1" ht="21">
      <c r="A1141" s="160" t="s">
        <v>228</v>
      </c>
      <c r="B1141" s="160" t="s">
        <v>228</v>
      </c>
      <c r="C1141" s="160">
        <v>4063179</v>
      </c>
      <c r="D1141" s="161" t="s">
        <v>213</v>
      </c>
      <c r="E1141" s="161"/>
      <c r="F1141" s="189"/>
      <c r="G1141" s="160" t="s">
        <v>127</v>
      </c>
      <c r="H1141" s="162">
        <v>2011</v>
      </c>
      <c r="I1141" s="163"/>
      <c r="J1141" s="159">
        <f>IFERROR(INDEX('Labor Expenditures'!$F$7:$X$91,MATCH($C1141,'Labor Expenditures'!$D$7:$D$91,0),MATCH($G1141,'Labor Expenditures'!$F$5:$X$5,0)),"NA")</f>
        <v>274.50565264834597</v>
      </c>
      <c r="K1141" s="159">
        <f t="shared" si="2074"/>
        <v>2.2709878192210629</v>
      </c>
      <c r="L1141" s="165">
        <f t="shared" si="2079"/>
        <v>-0.12148328537215086</v>
      </c>
      <c r="M1141" s="76">
        <f t="shared" si="2083"/>
        <v>-1.3366341620753882E-5</v>
      </c>
      <c r="N1141" s="62">
        <f t="shared" si="2091"/>
        <v>118.14946154412613</v>
      </c>
      <c r="O1141" s="96">
        <f t="shared" si="2084"/>
        <v>0.18880473836957612</v>
      </c>
      <c r="P1141" s="96"/>
      <c r="Q1141" s="159">
        <f>IFERROR(INDEX('Non-Labor Expenditures'!$F$7:$AB$91,MATCH($C1141,'Non-Labor Expenditures'!$D$7:$D$91,0),MATCH($G1141,'Non-Labor Expenditures'!$F$5:$AB$5,0)),"NA")</f>
        <v>397.53545561848125</v>
      </c>
      <c r="R1141" s="159">
        <f t="shared" si="2075"/>
        <v>4.0518535512320746</v>
      </c>
      <c r="S1141" s="165">
        <f t="shared" si="2085"/>
        <v>-0.10888575442349134</v>
      </c>
      <c r="T1141" s="165">
        <f t="shared" si="2086"/>
        <v>-1.1980283434049596E-5</v>
      </c>
      <c r="U1141" s="165"/>
      <c r="V1141" s="165"/>
      <c r="W1141" s="159">
        <f t="shared" si="2055"/>
        <v>450.88788902914428</v>
      </c>
      <c r="X1141" s="163"/>
      <c r="Y1141" s="167">
        <v>22.507852082079729</v>
      </c>
      <c r="Z1141" s="168">
        <v>7.2481492401647689E-4</v>
      </c>
      <c r="AA1141" s="168">
        <f t="shared" si="2087"/>
        <v>7.9748616087772749E-8</v>
      </c>
      <c r="AB1141" s="168"/>
      <c r="AC1141" s="168"/>
      <c r="AD1141" s="163">
        <f t="shared" si="2005"/>
        <v>1122.9289972959714</v>
      </c>
      <c r="AE1141" s="168">
        <f t="shared" si="2088"/>
        <v>-2.3922157847189263E-2</v>
      </c>
      <c r="AF1141" s="163"/>
      <c r="AG1141" s="163"/>
      <c r="AH1141" s="163"/>
      <c r="AI1141" s="163"/>
      <c r="AJ1141" s="116">
        <f t="shared" si="2089"/>
        <v>387.61787963271365</v>
      </c>
      <c r="AK1141" s="114">
        <f>+AV1141/$AX$16</f>
        <v>8.1508629349819701E-5</v>
      </c>
      <c r="AL1141" s="115">
        <f t="shared" si="2076"/>
        <v>0.24445503973034752</v>
      </c>
      <c r="AM1141" s="115">
        <f t="shared" si="2077"/>
        <v>0.3540165554329367</v>
      </c>
      <c r="AN1141" s="115">
        <f t="shared" si="2078"/>
        <v>0.40152840483671592</v>
      </c>
      <c r="AO1141" s="115">
        <f t="shared" si="2080"/>
        <v>-7.0235420208335828E-2</v>
      </c>
      <c r="AP1141" s="166">
        <f t="shared" si="2093"/>
        <v>95.295989870754099</v>
      </c>
      <c r="AQ1141" s="168">
        <f t="shared" si="2094"/>
        <v>-7.02354202083358E-2</v>
      </c>
      <c r="AR1141" s="69">
        <f>+AD1141/$AF$16</f>
        <v>1.1002617833233227E-4</v>
      </c>
      <c r="AS1141" s="169">
        <f t="shared" si="2092"/>
        <v>-7.7277348690886487E-6</v>
      </c>
      <c r="AT1141" s="115"/>
      <c r="AU1141" s="115"/>
      <c r="AV1141" s="113">
        <f>IFERROR(INDEX('Total Customers'!$F$7:$AB$91,MATCH($C1141,'Total Customers'!$D$7:$D$91,0),MATCH($G1141,'Total Customers'!$F$5:$AB$5,0)),"NA")</f>
        <v>2897</v>
      </c>
      <c r="AW1141" s="68">
        <f t="shared" si="2004"/>
        <v>-6.879972098371023E-3</v>
      </c>
      <c r="AX1141" s="114"/>
      <c r="AY1141" s="114"/>
      <c r="AZ1141" s="116"/>
      <c r="BA1141" s="116"/>
      <c r="BB1141" s="166"/>
      <c r="BC1141" s="166"/>
      <c r="BD1141" s="166"/>
      <c r="BE1141" s="166"/>
      <c r="BF1141" s="166"/>
      <c r="BG1141" s="166"/>
      <c r="BH1141" s="166"/>
      <c r="BI1141" s="113"/>
      <c r="BJ1141" s="113"/>
      <c r="BK1141" s="113">
        <f>INDEX('Dist. Plant Gas Additions'!$F$7:$AE$91,MATCH($C1141,'Dist. Plant Gas Additions'!$D$7:$D$91,0),MATCH(Calculation!$G1141,'Dist. Plant Gas Additions'!$F$5:$AE$5,0))</f>
        <v>78</v>
      </c>
      <c r="BL1141" s="113">
        <f>INDEX('Gen. Plant Additions'!$F$7:$AE$91,MATCH($C1141,'Gen. Plant Additions'!$D$7:$D$91,0),MATCH(Calculation!$G1141,'Gen. Plant Additions'!$F$5:$AE$5,0))</f>
        <v>37</v>
      </c>
      <c r="BM1141" s="231">
        <f t="shared" si="2056"/>
        <v>0.90555220277610138</v>
      </c>
      <c r="BN1141" s="61">
        <f t="shared" si="2090"/>
        <v>33.505431502715751</v>
      </c>
      <c r="BO1141" s="113">
        <f>INDEX('Dist Plant Depreciation'!$E$7:$AD$94,MATCH($C1141,'Dist Plant Depreciation'!$D$7:$D$94,0),MATCH(Calculation!$G1141,'Dist Plant Depreciation'!$E$5:$AD$5,0))</f>
        <v>3543</v>
      </c>
      <c r="BP1141" s="113">
        <f>INDEX('Gen. Plant Depreciation'!$E$7:$AD$94,MATCH($C1141,'Gen. Plant Depreciation'!$D$7:$D$94,0),MATCH(Calculation!$G1141,'Gen. Plant Depreciation'!$E$5:$AD$5,0))</f>
        <v>378</v>
      </c>
      <c r="BQ1141" s="113"/>
      <c r="BR1141" s="113"/>
      <c r="BS1141" s="113"/>
      <c r="BT1141" s="113"/>
      <c r="BU1141" s="113"/>
      <c r="BV1141" s="175"/>
      <c r="BW1141" s="113">
        <f>INDEX('Gross Dx Plant'!$E$7:$AD$91,MATCH($C1141,'Gross Dx Plant'!$D$7:$D$91,0),MATCH(Calculation!$G1141,'Gross Dx Plant'!$E$5:$AD$5,0))</f>
        <v>6002</v>
      </c>
      <c r="BX1141" s="113">
        <f>INDEX('Gross Gen Plant'!$E$7:$AD$91,MATCH($C1141,'Gross Gen Plant'!$D$7:$D$91,0),MATCH(Calculation!$G1141,'Gross Gen Plant'!$E$5:$AD$5,0))</f>
        <v>626</v>
      </c>
      <c r="BY1141" s="113">
        <f t="shared" si="2067"/>
        <v>2707</v>
      </c>
      <c r="BZ1141" s="113"/>
      <c r="CA1141" s="116">
        <v>2011</v>
      </c>
      <c r="CB1141" s="113"/>
      <c r="CC1141" s="113"/>
      <c r="CD1141" s="113"/>
      <c r="CE1141" s="175"/>
      <c r="CF1141" s="113">
        <f t="shared" si="2057"/>
        <v>115</v>
      </c>
      <c r="CG1141" s="113">
        <f t="shared" si="2058"/>
        <v>0.18802798171749346</v>
      </c>
      <c r="CH1141" s="178">
        <v>0.92121212121212126</v>
      </c>
      <c r="CI1141" s="61">
        <f>+CI1128*CH1141+CG1129*CH1140+CG1130*CH1139+CG1131*CH1138+CG1132*CH1137+CG1133*CH1136+CG1134*CH1135+CG1135*CH1134+CG1136*CH1133+CG1137*CH1132+CG1138*CH1131+CG1139*CH1130+CG1140*CH1129+CG1141</f>
        <v>22.507852082079729</v>
      </c>
      <c r="CJ1141" s="114">
        <f t="shared" si="2059"/>
        <v>7.2481492401647689E-4</v>
      </c>
      <c r="CK1141" s="114"/>
      <c r="CL1141" s="169">
        <f t="shared" si="2060"/>
        <v>7.6348633859157564E-3</v>
      </c>
      <c r="CM1141" s="169">
        <f t="shared" si="2069"/>
        <v>7.3758537193332084E-3</v>
      </c>
      <c r="CN1141" s="114">
        <f>VLOOKUP($H1141,RoR!$E:$F,2,FALSE)</f>
        <v>4.6391666666666664E-2</v>
      </c>
      <c r="CO1141" s="169">
        <v>2.0840920205183799E-2</v>
      </c>
      <c r="CP1141" s="169">
        <f t="shared" si="2066"/>
        <v>2.5550746461482865E-2</v>
      </c>
      <c r="CQ1141" s="169">
        <f t="shared" si="2070"/>
        <v>2.3526087889200416E-2</v>
      </c>
      <c r="CR1141" s="169">
        <f t="shared" si="2071"/>
        <v>2.4810540821321614E-2</v>
      </c>
      <c r="CS1141" s="179">
        <f t="shared" si="2061"/>
        <v>0.85727249999999999</v>
      </c>
      <c r="CT1141" s="180">
        <f t="shared" si="2062"/>
        <v>1.1054151524782025</v>
      </c>
      <c r="CU1141" s="180">
        <f t="shared" si="2063"/>
        <v>0.43611011316687626</v>
      </c>
      <c r="CV1141" s="180">
        <f t="shared" si="2064"/>
        <v>0.83698442246886229</v>
      </c>
      <c r="CW1141" s="180">
        <f t="shared" si="2065"/>
        <v>0.40349573304423936</v>
      </c>
      <c r="CX1141" s="181">
        <f>INDEX('State Tax Lookup'!$D$7:$Z$91,MATCH(Calculation!$C1141,'State Tax Lookup'!$B$7:$B$91,0),MATCH($H1141,'State Tax Lookup'!$D$6:$Z$6,0))</f>
        <v>0.38574999999999998</v>
      </c>
      <c r="CY1141" s="72">
        <v>0.37</v>
      </c>
      <c r="CZ1141" s="70">
        <f t="shared" si="2068"/>
        <v>20.046995871566079</v>
      </c>
      <c r="DA1141" s="70">
        <v>19.146574949201604</v>
      </c>
      <c r="DB1141" s="69">
        <f t="shared" si="2072"/>
        <v>6.2862406803134499E-2</v>
      </c>
      <c r="DC1141" s="111">
        <f>VLOOKUP($H1141,RoR!$E:$F,2,FALSE)</f>
        <v>4.6391666666666664E-2</v>
      </c>
      <c r="DD1141" s="216">
        <f>HLOOKUP($H1141,'GDP-PI'!$D$8:$CQ$11,3,FALSE)</f>
        <v>2.0840920205183799E-2</v>
      </c>
      <c r="DE1141" s="111">
        <f>VLOOKUP(H1141,'HW Dx Data'!$E:$F,2,FALSE)</f>
        <v>611.61109612283201</v>
      </c>
      <c r="DF1141" s="72">
        <f t="shared" si="2081"/>
        <v>120.875</v>
      </c>
      <c r="DG1141" s="69">
        <f t="shared" si="2082"/>
        <v>3.3224250161508609E-2</v>
      </c>
      <c r="DH1141" s="66">
        <f>HLOOKUP(H1141,'GDP-PI'!$8:$9,2,FALSE)</f>
        <v>98.111999999999995</v>
      </c>
      <c r="DI1141" s="69">
        <f t="shared" si="2073"/>
        <v>2.0626719212849295E-2</v>
      </c>
    </row>
    <row r="1142" spans="1:113" s="160" customFormat="1" ht="21">
      <c r="A1142" s="160" t="s">
        <v>228</v>
      </c>
      <c r="B1142" s="160" t="s">
        <v>228</v>
      </c>
      <c r="C1142" s="160">
        <v>4063179</v>
      </c>
      <c r="D1142" s="161" t="s">
        <v>213</v>
      </c>
      <c r="E1142" s="161"/>
      <c r="F1142" s="189"/>
      <c r="G1142" s="160" t="s">
        <v>128</v>
      </c>
      <c r="H1142" s="162">
        <v>2012</v>
      </c>
      <c r="I1142" s="163"/>
      <c r="J1142" s="159">
        <f>IFERROR(INDEX('Labor Expenditures'!$F$7:$X$91,MATCH($C1142,'Labor Expenditures'!$D$7:$D$91,0),MATCH($G1142,'Labor Expenditures'!$F$5:$X$5,0)),"NA")</f>
        <v>297.50942790862143</v>
      </c>
      <c r="K1142" s="159">
        <f t="shared" si="2074"/>
        <v>2.3838896467036972</v>
      </c>
      <c r="L1142" s="165">
        <f t="shared" si="2079"/>
        <v>4.8518559507418714E-2</v>
      </c>
      <c r="M1142" s="76">
        <f t="shared" si="2083"/>
        <v>5.5112294666691889E-6</v>
      </c>
      <c r="N1142" s="62">
        <f t="shared" si="2091"/>
        <v>117.79400126221789</v>
      </c>
      <c r="O1142" s="96">
        <f t="shared" si="2084"/>
        <v>-3.0130993807477415E-3</v>
      </c>
      <c r="P1142" s="96"/>
      <c r="Q1142" s="159">
        <f>IFERROR(INDEX('Non-Labor Expenditures'!$F$7:$AB$91,MATCH($C1142,'Non-Labor Expenditures'!$D$7:$D$91,0),MATCH($G1142,'Non-Labor Expenditures'!$F$5:$AB$5,0)),"NA")</f>
        <v>430.84921870791993</v>
      </c>
      <c r="R1142" s="159">
        <f t="shared" si="2075"/>
        <v>4.3084921870791995</v>
      </c>
      <c r="S1142" s="165">
        <f t="shared" si="2085"/>
        <v>6.141355893054521E-2</v>
      </c>
      <c r="T1142" s="165">
        <f t="shared" si="2086"/>
        <v>6.9759741234546069E-6</v>
      </c>
      <c r="U1142" s="165"/>
      <c r="V1142" s="165"/>
      <c r="W1142" s="159">
        <f t="shared" si="2055"/>
        <v>486.37791242400914</v>
      </c>
      <c r="X1142" s="163"/>
      <c r="Y1142" s="167">
        <v>22.420109989055334</v>
      </c>
      <c r="Z1142" s="168">
        <v>-3.9059062788403781E-3</v>
      </c>
      <c r="AA1142" s="168">
        <f t="shared" si="2087"/>
        <v>-4.4367240075834926E-7</v>
      </c>
      <c r="AB1142" s="168"/>
      <c r="AC1142" s="168"/>
      <c r="AD1142" s="163">
        <f t="shared" si="2005"/>
        <v>1214.7365590405504</v>
      </c>
      <c r="AE1142" s="168">
        <f t="shared" si="2088"/>
        <v>7.8586781606745246E-2</v>
      </c>
      <c r="AF1142" s="163"/>
      <c r="AG1142" s="163"/>
      <c r="AH1142" s="163"/>
      <c r="AI1142" s="163"/>
      <c r="AJ1142" s="116">
        <f t="shared" si="2089"/>
        <v>417.86603338168226</v>
      </c>
      <c r="AK1142" s="114">
        <f>+AV1142/$AX$17</f>
        <v>8.1398020950064148E-5</v>
      </c>
      <c r="AL1142" s="115">
        <f t="shared" si="2076"/>
        <v>0.24491683048018806</v>
      </c>
      <c r="AM1142" s="115">
        <f t="shared" si="2077"/>
        <v>0.35468531468932046</v>
      </c>
      <c r="AN1142" s="115">
        <f t="shared" si="2078"/>
        <v>0.40039785483049156</v>
      </c>
      <c r="AO1142" s="115">
        <f t="shared" si="2080"/>
        <v>3.2067636729103184E-2</v>
      </c>
      <c r="AP1142" s="166">
        <f t="shared" si="2093"/>
        <v>98.401433052928837</v>
      </c>
      <c r="AQ1142" s="168">
        <f t="shared" si="2094"/>
        <v>3.2067636729103177E-2</v>
      </c>
      <c r="AR1142" s="69">
        <f>+AD1142/$AF$17</f>
        <v>1.1359012968689839E-4</v>
      </c>
      <c r="AS1142" s="169">
        <f t="shared" si="2092"/>
        <v>3.642567014811176E-6</v>
      </c>
      <c r="AT1142" s="115"/>
      <c r="AU1142" s="115"/>
      <c r="AV1142" s="113">
        <f>IFERROR(INDEX('Total Customers'!$F$7:$AB$91,MATCH($C1142,'Total Customers'!$D$7:$D$91,0),MATCH($G1142,'Total Customers'!$F$5:$AB$5,0)),"NA")</f>
        <v>2907</v>
      </c>
      <c r="AW1142" s="68">
        <f t="shared" si="2004"/>
        <v>3.4459027895256066E-3</v>
      </c>
      <c r="AX1142" s="114"/>
      <c r="AY1142" s="114"/>
      <c r="AZ1142" s="116"/>
      <c r="BA1142" s="116"/>
      <c r="BB1142" s="166"/>
      <c r="BC1142" s="166"/>
      <c r="BD1142" s="166"/>
      <c r="BE1142" s="166"/>
      <c r="BF1142" s="166"/>
      <c r="BG1142" s="166"/>
      <c r="BH1142" s="166"/>
      <c r="BI1142" s="113"/>
      <c r="BJ1142" s="113"/>
      <c r="BK1142" s="113">
        <f>INDEX('Dist. Plant Gas Additions'!$F$7:$AE$91,MATCH($C1142,'Dist. Plant Gas Additions'!$D$7:$D$91,0),MATCH(Calculation!$G1142,'Dist. Plant Gas Additions'!$F$5:$AE$5,0))</f>
        <v>47</v>
      </c>
      <c r="BL1142" s="113">
        <f>INDEX('Gen. Plant Additions'!$F$7:$AE$91,MATCH($C1142,'Gen. Plant Additions'!$D$7:$D$91,0),MATCH(Calculation!$G1142,'Gen. Plant Additions'!$F$5:$AE$5,0))</f>
        <v>14</v>
      </c>
      <c r="BM1142" s="231">
        <f t="shared" si="2056"/>
        <v>0.90628295916829893</v>
      </c>
      <c r="BN1142" s="61">
        <f t="shared" si="2090"/>
        <v>12.687961428356186</v>
      </c>
      <c r="BO1142" s="113">
        <f>INDEX('Dist Plant Depreciation'!$E$7:$AD$94,MATCH($C1142,'Dist Plant Depreciation'!$D$7:$D$94,0),MATCH(Calculation!$G1142,'Dist Plant Depreciation'!$E$5:$AD$5,0))</f>
        <v>3699</v>
      </c>
      <c r="BP1142" s="113">
        <f>INDEX('Gen. Plant Depreciation'!$E$7:$AD$94,MATCH($C1142,'Gen. Plant Depreciation'!$D$7:$D$94,0),MATCH(Calculation!$G1142,'Gen. Plant Depreciation'!$E$5:$AD$5,0))</f>
        <v>409</v>
      </c>
      <c r="BQ1142" s="113"/>
      <c r="BR1142" s="113"/>
      <c r="BS1142" s="113"/>
      <c r="BT1142" s="113"/>
      <c r="BU1142" s="113"/>
      <c r="BV1142" s="175"/>
      <c r="BW1142" s="113">
        <f>INDEX('Gross Dx Plant'!$E$7:$AD$91,MATCH($C1142,'Gross Dx Plant'!$D$7:$D$91,0),MATCH(Calculation!$G1142,'Gross Dx Plant'!$E$5:$AD$5,0))</f>
        <v>6015</v>
      </c>
      <c r="BX1142" s="113">
        <f>INDEX('Gross Gen Plant'!$E$7:$AD$91,MATCH($C1142,'Gross Gen Plant'!$D$7:$D$91,0),MATCH(Calculation!$G1142,'Gross Gen Plant'!$E$5:$AD$5,0))</f>
        <v>622</v>
      </c>
      <c r="BY1142" s="113">
        <f t="shared" si="2067"/>
        <v>2529</v>
      </c>
      <c r="BZ1142" s="113"/>
      <c r="CA1142" s="116">
        <v>2012</v>
      </c>
      <c r="CB1142" s="113"/>
      <c r="CC1142" s="113"/>
      <c r="CD1142" s="113"/>
      <c r="CE1142" s="175"/>
      <c r="CF1142" s="113">
        <f t="shared" si="2057"/>
        <v>61</v>
      </c>
      <c r="CG1142" s="113">
        <f t="shared" si="2058"/>
        <v>9.1191864225637992E-2</v>
      </c>
      <c r="CH1142" s="178">
        <v>0.9135802469135802</v>
      </c>
      <c r="CI1142" s="61">
        <f>+CI1128*CH1142+CG1129*CH1141+CG1130*CH1140+CG1131*CH1139+CG1132*CH1138+CG1133*CH1137+CG1134*CH1136+CG1135*CH1135+CG1136*CH1134+CG1137*CH1133+CG1138*CH1132+CG1139*CH1131+CG1140*CH1130+CG1141*CH1129+CG1142</f>
        <v>22.420109989055334</v>
      </c>
      <c r="CJ1142" s="114">
        <f t="shared" si="2059"/>
        <v>-3.9059062788403781E-3</v>
      </c>
      <c r="CK1142" s="114"/>
      <c r="CL1142" s="169">
        <f t="shared" si="2060"/>
        <v>7.949845973641222E-3</v>
      </c>
      <c r="CM1142" s="169">
        <f t="shared" si="2069"/>
        <v>7.6547239189527772E-3</v>
      </c>
      <c r="CN1142" s="114">
        <f>VLOOKUP($H1142,RoR!$E:$F,2,FALSE)</f>
        <v>3.6733333333333333E-2</v>
      </c>
      <c r="CO1142" s="169">
        <v>1.924331376386168E-2</v>
      </c>
      <c r="CP1142" s="169">
        <f t="shared" si="2066"/>
        <v>1.7490019569471653E-2</v>
      </c>
      <c r="CQ1142" s="169">
        <f t="shared" si="2070"/>
        <v>2.3247217689580848E-2</v>
      </c>
      <c r="CR1142" s="169">
        <f t="shared" si="2071"/>
        <v>6.7122682943869583E-2</v>
      </c>
      <c r="CS1142" s="179">
        <f t="shared" si="2061"/>
        <v>0.85727249999999999</v>
      </c>
      <c r="CT1142" s="180">
        <f t="shared" si="2062"/>
        <v>1.3960631020522127</v>
      </c>
      <c r="CU1142" s="180">
        <f t="shared" si="2063"/>
        <v>0.29441923774954631</v>
      </c>
      <c r="CV1142" s="180">
        <f t="shared" si="2064"/>
        <v>0.76377954189366437</v>
      </c>
      <c r="CW1142" s="180">
        <f t="shared" si="2065"/>
        <v>0.31393465103033691</v>
      </c>
      <c r="CX1142" s="181">
        <f>INDEX('State Tax Lookup'!$D$7:$Z$91,MATCH(Calculation!$C1142,'State Tax Lookup'!$B$7:$B$91,0),MATCH($H1142,'State Tax Lookup'!$D$6:$Z$6,0))</f>
        <v>0.38574999999999998</v>
      </c>
      <c r="CY1142" s="72">
        <v>0.37</v>
      </c>
      <c r="CZ1142" s="70">
        <f t="shared" si="2068"/>
        <v>21.609254879156275</v>
      </c>
      <c r="DA1142" s="70">
        <v>20.759737328210988</v>
      </c>
      <c r="DB1142" s="69">
        <f t="shared" si="2072"/>
        <v>7.5042378867534967E-2</v>
      </c>
      <c r="DC1142" s="111">
        <f>VLOOKUP($H1142,RoR!$E:$F,2,FALSE)</f>
        <v>3.6733333333333333E-2</v>
      </c>
      <c r="DD1142" s="216">
        <f>HLOOKUP($H1142,'GDP-PI'!$D$8:$CQ$11,3,FALSE)</f>
        <v>1.924331376386168E-2</v>
      </c>
      <c r="DE1142" s="111">
        <f>VLOOKUP(H1142,'HW Dx Data'!$E:$F,2,FALSE)</f>
        <v>668.91932211262167</v>
      </c>
      <c r="DF1142" s="72">
        <f t="shared" si="2081"/>
        <v>124.80000000000001</v>
      </c>
      <c r="DG1142" s="69">
        <f t="shared" si="2082"/>
        <v>3.1955502161869064E-2</v>
      </c>
      <c r="DH1142" s="66">
        <f>HLOOKUP(H1142,'GDP-PI'!$8:$9,2,FALSE)</f>
        <v>100</v>
      </c>
      <c r="DI1142" s="69">
        <f t="shared" si="2073"/>
        <v>1.9060502738742411E-2</v>
      </c>
    </row>
    <row r="1143" spans="1:113" s="160" customFormat="1" ht="21">
      <c r="A1143" s="160" t="s">
        <v>228</v>
      </c>
      <c r="B1143" s="160" t="s">
        <v>228</v>
      </c>
      <c r="C1143" s="160">
        <v>4063179</v>
      </c>
      <c r="D1143" s="161" t="s">
        <v>213</v>
      </c>
      <c r="E1143" s="161"/>
      <c r="F1143" s="189"/>
      <c r="G1143" s="160" t="s">
        <v>129</v>
      </c>
      <c r="H1143" s="162">
        <v>2013</v>
      </c>
      <c r="I1143" s="163"/>
      <c r="J1143" s="159">
        <f>IFERROR(INDEX('Labor Expenditures'!$F$7:$X$91,MATCH($C1143,'Labor Expenditures'!$D$7:$D$91,0),MATCH($G1143,'Labor Expenditures'!$F$5:$X$5,0)),"NA")</f>
        <v>301.07589240416377</v>
      </c>
      <c r="K1143" s="159">
        <f t="shared" si="2074"/>
        <v>2.3744155552378845</v>
      </c>
      <c r="L1143" s="165">
        <f t="shared" si="2079"/>
        <v>-3.9821337990146449E-3</v>
      </c>
      <c r="M1143" s="76">
        <f t="shared" si="2083"/>
        <v>-4.3497781915549367E-7</v>
      </c>
      <c r="N1143" s="62">
        <f t="shared" si="2091"/>
        <v>107.54685006828164</v>
      </c>
      <c r="O1143" s="96">
        <f t="shared" si="2084"/>
        <v>-9.1010779632918204E-2</v>
      </c>
      <c r="P1143" s="96"/>
      <c r="Q1143" s="159">
        <f>IFERROR(INDEX('Non-Labor Expenditures'!$F$7:$AB$91,MATCH($C1143,'Non-Labor Expenditures'!$D$7:$D$91,0),MATCH($G1143,'Non-Labor Expenditures'!$F$5:$AB$5,0)),"NA")</f>
        <v>436.01412542114821</v>
      </c>
      <c r="R1143" s="159">
        <f t="shared" si="2075"/>
        <v>4.2841826950286244</v>
      </c>
      <c r="S1143" s="165">
        <f t="shared" si="2085"/>
        <v>-5.6582047477270435E-3</v>
      </c>
      <c r="T1143" s="165">
        <f t="shared" si="2086"/>
        <v>-6.1805898187312974E-7</v>
      </c>
      <c r="U1143" s="165"/>
      <c r="V1143" s="165"/>
      <c r="W1143" s="159">
        <f t="shared" si="2055"/>
        <v>474.43144351424155</v>
      </c>
      <c r="X1143" s="163"/>
      <c r="Y1143" s="167">
        <v>22.408960804671455</v>
      </c>
      <c r="Z1143" s="168">
        <v>-4.9740868665567879E-4</v>
      </c>
      <c r="AA1143" s="168">
        <f t="shared" si="2087"/>
        <v>-5.4333118039384536E-8</v>
      </c>
      <c r="AB1143" s="168"/>
      <c r="AC1143" s="168"/>
      <c r="AD1143" s="163">
        <f t="shared" si="2005"/>
        <v>1211.5214613395535</v>
      </c>
      <c r="AE1143" s="168">
        <f t="shared" si="2088"/>
        <v>-2.6502536464403986E-3</v>
      </c>
      <c r="AF1143" s="163"/>
      <c r="AG1143" s="163"/>
      <c r="AH1143" s="163"/>
      <c r="AI1143" s="163"/>
      <c r="AJ1143" s="116">
        <f t="shared" si="2089"/>
        <v>416.76004862041748</v>
      </c>
      <c r="AK1143" s="114">
        <f>+AV1143/$AX$18</f>
        <v>8.0879245033563639E-5</v>
      </c>
      <c r="AL1143" s="115">
        <f t="shared" si="2076"/>
        <v>0.24851057287195769</v>
      </c>
      <c r="AM1143" s="115">
        <f t="shared" si="2077"/>
        <v>0.35988972489109411</v>
      </c>
      <c r="AN1143" s="115">
        <f t="shared" si="2078"/>
        <v>0.39159970223694823</v>
      </c>
      <c r="AO1143" s="115">
        <f t="shared" si="2080"/>
        <v>-3.2010261432525874E-3</v>
      </c>
      <c r="AP1143" s="166">
        <f t="shared" si="2093"/>
        <v>98.086951094208644</v>
      </c>
      <c r="AQ1143" s="168">
        <f t="shared" si="2094"/>
        <v>-3.2010261432525865E-3</v>
      </c>
      <c r="AR1143" s="69">
        <f>+AD1143/$AF$18</f>
        <v>1.0923234655327913E-4</v>
      </c>
      <c r="AS1143" s="169">
        <f t="shared" si="2092"/>
        <v>-3.4965559700587305E-7</v>
      </c>
      <c r="AT1143" s="115"/>
      <c r="AU1143" s="115"/>
      <c r="AV1143" s="113">
        <f>IFERROR(INDEX('Total Customers'!$F$7:$AB$91,MATCH($C1143,'Total Customers'!$D$7:$D$91,0),MATCH($G1143,'Total Customers'!$F$5:$AB$5,0)),"NA")</f>
        <v>2907</v>
      </c>
      <c r="AW1143" s="68">
        <f t="shared" si="2004"/>
        <v>0</v>
      </c>
      <c r="AX1143" s="114"/>
      <c r="AY1143" s="114"/>
      <c r="AZ1143" s="116"/>
      <c r="BA1143" s="116"/>
      <c r="BB1143" s="166"/>
      <c r="BC1143" s="166"/>
      <c r="BD1143" s="166"/>
      <c r="BE1143" s="166"/>
      <c r="BF1143" s="166"/>
      <c r="BG1143" s="166"/>
      <c r="BH1143" s="166"/>
      <c r="BI1143" s="113"/>
      <c r="BJ1143" s="113"/>
      <c r="BK1143" s="113">
        <f>INDEX('Dist. Plant Gas Additions'!$F$7:$AE$91,MATCH($C1143,'Dist. Plant Gas Additions'!$D$7:$D$91,0),MATCH(Calculation!$G1143,'Dist. Plant Gas Additions'!$F$5:$AE$5,0))</f>
        <v>85</v>
      </c>
      <c r="BL1143" s="113">
        <f>INDEX('Gen. Plant Additions'!$F$7:$AE$91,MATCH($C1143,'Gen. Plant Additions'!$D$7:$D$91,0),MATCH(Calculation!$G1143,'Gen. Plant Additions'!$F$5:$AE$5,0))</f>
        <v>31</v>
      </c>
      <c r="BM1143" s="231">
        <f t="shared" si="2056"/>
        <v>0.90473355165227742</v>
      </c>
      <c r="BN1143" s="61">
        <f t="shared" si="2090"/>
        <v>28.0467401012206</v>
      </c>
      <c r="BO1143" s="113">
        <f>INDEX('Dist Plant Depreciation'!$E$7:$AD$94,MATCH($C1143,'Dist Plant Depreciation'!$D$7:$D$94,0),MATCH(Calculation!$G1143,'Dist Plant Depreciation'!$E$5:$AD$5,0))</f>
        <v>3897</v>
      </c>
      <c r="BP1143" s="113">
        <f>INDEX('Gen. Plant Depreciation'!$E$7:$AD$94,MATCH($C1143,'Gen. Plant Depreciation'!$D$7:$D$94,0),MATCH(Calculation!$G1143,'Gen. Plant Depreciation'!$E$5:$AD$5,0))</f>
        <v>424</v>
      </c>
      <c r="BQ1143" s="113"/>
      <c r="BR1143" s="113"/>
      <c r="BS1143" s="113"/>
      <c r="BT1143" s="113"/>
      <c r="BU1143" s="113"/>
      <c r="BV1143" s="175"/>
      <c r="BW1143" s="113">
        <f>INDEX('Gross Dx Plant'!$E$7:$AD$91,MATCH($C1143,'Gross Dx Plant'!$D$7:$D$91,0),MATCH(Calculation!$G1143,'Gross Dx Plant'!$E$5:$AD$5,0))</f>
        <v>6078</v>
      </c>
      <c r="BX1143" s="113">
        <f>INDEX('Gross Gen Plant'!$E$7:$AD$91,MATCH($C1143,'Gross Gen Plant'!$D$7:$D$91,0),MATCH(Calculation!$G1143,'Gross Gen Plant'!$E$5:$AD$5,0))</f>
        <v>640</v>
      </c>
      <c r="BY1143" s="113">
        <f t="shared" si="2067"/>
        <v>2397</v>
      </c>
      <c r="BZ1143" s="113"/>
      <c r="CA1143" s="116">
        <v>2013</v>
      </c>
      <c r="CB1143" s="113"/>
      <c r="CC1143" s="113"/>
      <c r="CD1143" s="113"/>
      <c r="CE1143" s="175"/>
      <c r="CF1143" s="113">
        <f t="shared" si="2057"/>
        <v>116</v>
      </c>
      <c r="CG1143" s="113">
        <f t="shared" si="2058"/>
        <v>0.174896764229102</v>
      </c>
      <c r="CH1143" s="178">
        <v>0.90566037735849059</v>
      </c>
      <c r="CI1143" s="61">
        <f>+CI1128*CH1143+CG1129*CH1142+CG1130*CH1141+CG1131*CH1140+CG1132*CH1139+CG1133*CH1138+CG1134*CH1137+CG1135*CH1136+CG1136*CH1135+CG1137*CH1134+CG1138*CH1133+CG1139*CH1132+CG1140*CH1131+CG1141*CH1130+CG1142*CH1129+CG1143</f>
        <v>22.408960804671455</v>
      </c>
      <c r="CJ1143" s="114">
        <f t="shared" si="2059"/>
        <v>-4.9740868665567879E-4</v>
      </c>
      <c r="CK1143" s="114"/>
      <c r="CL1143" s="169">
        <f t="shared" si="2060"/>
        <v>8.2981728771090411E-3</v>
      </c>
      <c r="CM1143" s="169">
        <f t="shared" si="2069"/>
        <v>7.960960745555341E-3</v>
      </c>
      <c r="CN1143" s="114">
        <f>VLOOKUP($H1143,RoR!$E:$F,2,FALSE)</f>
        <v>4.2350000000000006E-2</v>
      </c>
      <c r="CO1143" s="169">
        <v>1.7730000000000024E-2</v>
      </c>
      <c r="CP1143" s="169">
        <f t="shared" si="2066"/>
        <v>2.4619999999999982E-2</v>
      </c>
      <c r="CQ1143" s="169">
        <f t="shared" si="2070"/>
        <v>2.2940980862978286E-2</v>
      </c>
      <c r="CR1143" s="169">
        <f t="shared" si="2071"/>
        <v>5.3376742735721204E-2</v>
      </c>
      <c r="CS1143" s="179">
        <f t="shared" si="2061"/>
        <v>0.85727249999999999</v>
      </c>
      <c r="CT1143" s="180">
        <f t="shared" si="2062"/>
        <v>1.2109103018193925</v>
      </c>
      <c r="CU1143" s="180">
        <f t="shared" si="2063"/>
        <v>0.38468122786304604</v>
      </c>
      <c r="CV1143" s="180">
        <f t="shared" si="2064"/>
        <v>0.80969194503422559</v>
      </c>
      <c r="CW1143" s="180">
        <f t="shared" si="2065"/>
        <v>0.37716621754800816</v>
      </c>
      <c r="CX1143" s="181">
        <f>INDEX('State Tax Lookup'!$D$7:$Z$91,MATCH(Calculation!$C1143,'State Tax Lookup'!$B$7:$B$91,0),MATCH($H1143,'State Tax Lookup'!$D$6:$Z$6,0))</f>
        <v>0.38574999999999998</v>
      </c>
      <c r="CY1143" s="72">
        <v>0.37</v>
      </c>
      <c r="CZ1143" s="70">
        <f t="shared" si="2068"/>
        <v>21.160977521780286</v>
      </c>
      <c r="DA1143" s="70">
        <v>20.339519021246105</v>
      </c>
      <c r="DB1143" s="69">
        <f t="shared" si="2072"/>
        <v>-2.0962886947557782E-2</v>
      </c>
      <c r="DC1143" s="111">
        <f>VLOOKUP($H1143,RoR!$E:$F,2,FALSE)</f>
        <v>4.2350000000000006E-2</v>
      </c>
      <c r="DD1143" s="216">
        <f>HLOOKUP($H1143,'GDP-PI'!$D$8:$CQ$11,3,FALSE)</f>
        <v>1.7730000000000024E-2</v>
      </c>
      <c r="DE1143" s="111">
        <f>VLOOKUP(H1143,'HW Dx Data'!$E:$F,2,FALSE)</f>
        <v>663.24840548821396</v>
      </c>
      <c r="DF1143" s="72">
        <f t="shared" si="2081"/>
        <v>126.8</v>
      </c>
      <c r="DG1143" s="69">
        <f t="shared" si="2082"/>
        <v>1.5898586067798204E-2</v>
      </c>
      <c r="DH1143" s="66">
        <f>HLOOKUP(H1143,'GDP-PI'!$8:$9,2,FALSE)</f>
        <v>101.773</v>
      </c>
      <c r="DI1143" s="69">
        <f t="shared" si="2073"/>
        <v>1.7574657016510519E-2</v>
      </c>
    </row>
    <row r="1144" spans="1:113" s="160" customFormat="1" ht="21">
      <c r="A1144" s="160" t="s">
        <v>228</v>
      </c>
      <c r="B1144" s="160" t="s">
        <v>228</v>
      </c>
      <c r="C1144" s="160">
        <v>4063179</v>
      </c>
      <c r="D1144" s="161" t="s">
        <v>213</v>
      </c>
      <c r="E1144" s="161"/>
      <c r="F1144" s="189"/>
      <c r="G1144" s="160" t="s">
        <v>130</v>
      </c>
      <c r="H1144" s="162">
        <v>2014</v>
      </c>
      <c r="I1144" s="163"/>
      <c r="J1144" s="159">
        <f>IFERROR(INDEX('Labor Expenditures'!$F$7:$X$91,MATCH($C1144,'Labor Expenditures'!$D$7:$D$91,0),MATCH($G1144,'Labor Expenditures'!$F$5:$X$5,0)),"NA")</f>
        <v>316.35515587842258</v>
      </c>
      <c r="K1144" s="159">
        <f t="shared" si="2074"/>
        <v>2.4447848213170214</v>
      </c>
      <c r="L1144" s="165">
        <f t="shared" si="2079"/>
        <v>2.9205786214277118E-2</v>
      </c>
      <c r="M1144" s="76">
        <f t="shared" si="2083"/>
        <v>3.2248430166839569E-6</v>
      </c>
      <c r="N1144" s="62">
        <f t="shared" si="2091"/>
        <v>122.41772542997649</v>
      </c>
      <c r="O1144" s="96">
        <f t="shared" si="2084"/>
        <v>0.12951260798105219</v>
      </c>
      <c r="P1144" s="96"/>
      <c r="Q1144" s="159">
        <f>IFERROR(INDEX('Non-Labor Expenditures'!$F$7:$AB$91,MATCH($C1144,'Non-Labor Expenditures'!$D$7:$D$91,0),MATCH($G1144,'Non-Labor Expenditures'!$F$5:$AB$5,0)),"NA")</f>
        <v>458.14135270464408</v>
      </c>
      <c r="R1144" s="159">
        <f t="shared" si="2075"/>
        <v>4.4202085222403351</v>
      </c>
      <c r="S1144" s="165">
        <f t="shared" si="2085"/>
        <v>3.1257074379695951E-2</v>
      </c>
      <c r="T1144" s="165">
        <f t="shared" si="2086"/>
        <v>3.4513420489963834E-6</v>
      </c>
      <c r="U1144" s="165"/>
      <c r="V1144" s="165"/>
      <c r="W1144" s="159">
        <f t="shared" si="2055"/>
        <v>482.58328343141102</v>
      </c>
      <c r="X1144" s="163"/>
      <c r="Y1144" s="167">
        <v>22.451673064861996</v>
      </c>
      <c r="Z1144" s="168">
        <v>1.9042206679995366E-3</v>
      </c>
      <c r="AA1144" s="168">
        <f t="shared" si="2087"/>
        <v>2.1026014086282864E-7</v>
      </c>
      <c r="AB1144" s="168"/>
      <c r="AC1144" s="168"/>
      <c r="AD1144" s="163">
        <f t="shared" si="2005"/>
        <v>1257.0797920144778</v>
      </c>
      <c r="AE1144" s="168">
        <f t="shared" si="2088"/>
        <v>3.691442992604315E-2</v>
      </c>
      <c r="AF1144" s="163"/>
      <c r="AG1144" s="163"/>
      <c r="AH1144" s="163"/>
      <c r="AI1144" s="163"/>
      <c r="AJ1144" s="116">
        <f t="shared" si="2089"/>
        <v>429.47720943439623</v>
      </c>
      <c r="AK1144" s="114">
        <f>+AV1144/$AX$19</f>
        <v>8.1000521093205387E-5</v>
      </c>
      <c r="AL1144" s="115">
        <f t="shared" si="2076"/>
        <v>0.25165877129522668</v>
      </c>
      <c r="AM1144" s="115">
        <f t="shared" si="2077"/>
        <v>0.36444890421034443</v>
      </c>
      <c r="AN1144" s="115">
        <f t="shared" si="2078"/>
        <v>0.38389232449442884</v>
      </c>
      <c r="AO1144" s="115">
        <f t="shared" si="2080"/>
        <v>1.9362626643881688E-2</v>
      </c>
      <c r="AP1144" s="166">
        <f t="shared" si="2093"/>
        <v>100.0046783105018</v>
      </c>
      <c r="AQ1144" s="168">
        <f t="shared" si="2094"/>
        <v>1.9362626643881612E-2</v>
      </c>
      <c r="AR1144" s="69">
        <f>+AD1144/$AF$19</f>
        <v>1.1041794913596631E-4</v>
      </c>
      <c r="AS1144" s="169">
        <f t="shared" si="2092"/>
        <v>2.1379815239028258E-6</v>
      </c>
      <c r="AT1144" s="115"/>
      <c r="AU1144" s="115"/>
      <c r="AV1144" s="113">
        <f>IFERROR(INDEX('Total Customers'!$F$7:$AB$91,MATCH($C1144,'Total Customers'!$D$7:$D$91,0),MATCH($G1144,'Total Customers'!$F$5:$AB$5,0)),"NA")</f>
        <v>2927</v>
      </c>
      <c r="AW1144" s="68">
        <f t="shared" si="2004"/>
        <v>6.8563861330100291E-3</v>
      </c>
      <c r="AX1144" s="114"/>
      <c r="AY1144" s="114"/>
      <c r="AZ1144" s="116"/>
      <c r="BA1144" s="116"/>
      <c r="BB1144" s="166"/>
      <c r="BC1144" s="166"/>
      <c r="BD1144" s="166"/>
      <c r="BE1144" s="166"/>
      <c r="BF1144" s="166"/>
      <c r="BG1144" s="166"/>
      <c r="BH1144" s="166"/>
      <c r="BI1144" s="113"/>
      <c r="BJ1144" s="113"/>
      <c r="BK1144" s="113">
        <f>INDEX('Dist. Plant Gas Additions'!$F$7:$AE$91,MATCH($C1144,'Dist. Plant Gas Additions'!$D$7:$D$91,0),MATCH(Calculation!$G1144,'Dist. Plant Gas Additions'!$F$5:$AE$5,0))</f>
        <v>93</v>
      </c>
      <c r="BL1144" s="113">
        <f>INDEX('Gen. Plant Additions'!$F$7:$AE$91,MATCH($C1144,'Gen. Plant Additions'!$D$7:$D$91,0),MATCH(Calculation!$G1144,'Gen. Plant Additions'!$F$5:$AE$5,0))</f>
        <v>69</v>
      </c>
      <c r="BM1144" s="231">
        <f t="shared" si="2056"/>
        <v>0.89664723032069971</v>
      </c>
      <c r="BN1144" s="61">
        <f t="shared" si="2090"/>
        <v>61.868658892128281</v>
      </c>
      <c r="BO1144" s="113">
        <f>INDEX('Dist Plant Depreciation'!$E$7:$AD$94,MATCH($C1144,'Dist Plant Depreciation'!$D$7:$D$94,0),MATCH(Calculation!$G1144,'Dist Plant Depreciation'!$E$5:$AD$5,0))</f>
        <v>4069</v>
      </c>
      <c r="BP1144" s="113">
        <f>INDEX('Gen. Plant Depreciation'!$E$7:$AD$94,MATCH($C1144,'Gen. Plant Depreciation'!$D$7:$D$94,0),MATCH(Calculation!$G1144,'Gen. Plant Depreciation'!$E$5:$AD$5,0))</f>
        <v>479</v>
      </c>
      <c r="BQ1144" s="113"/>
      <c r="BR1144" s="113"/>
      <c r="BS1144" s="113"/>
      <c r="BT1144" s="113"/>
      <c r="BU1144" s="113"/>
      <c r="BV1144" s="175"/>
      <c r="BW1144" s="113">
        <f>INDEX('Gross Dx Plant'!$E$7:$AD$91,MATCH($C1144,'Gross Dx Plant'!$D$7:$D$91,0),MATCH(Calculation!$G1144,'Gross Dx Plant'!$E$5:$AD$5,0))</f>
        <v>6151</v>
      </c>
      <c r="BX1144" s="113">
        <f>INDEX('Gross Gen Plant'!$E$7:$AD$91,MATCH($C1144,'Gross Gen Plant'!$D$7:$D$91,0),MATCH(Calculation!$G1144,'Gross Gen Plant'!$E$5:$AD$5,0))</f>
        <v>709</v>
      </c>
      <c r="BY1144" s="113">
        <f t="shared" si="2067"/>
        <v>2312</v>
      </c>
      <c r="BZ1144" s="113"/>
      <c r="CA1144" s="116">
        <v>2014</v>
      </c>
      <c r="CB1144" s="113"/>
      <c r="CC1144" s="113"/>
      <c r="CD1144" s="113"/>
      <c r="CE1144" s="175"/>
      <c r="CF1144" s="113">
        <f t="shared" si="2057"/>
        <v>162</v>
      </c>
      <c r="CG1144" s="113">
        <f t="shared" si="2058"/>
        <v>0.23667977101986096</v>
      </c>
      <c r="CH1144" s="178">
        <v>0.89743589743589747</v>
      </c>
      <c r="CI1144" s="61">
        <f>+CI1128*CH1144+CG1129*CH1143+CG1130*CH1142+CG1131*CH1141+CG1132*CH1140+CG1133*CH1139+CG1134*CH1138+CG1135*CH1137+CG1136*CH1136+CG1137*CH1135+CG1138*CH1134+CG1139*CH1133+CG1140*CH1132+CG1141*CH1131+CG1142*CH1130+CG1143*CH1129+CG1144</f>
        <v>22.451673064861996</v>
      </c>
      <c r="CJ1144" s="114">
        <f t="shared" si="2059"/>
        <v>1.9042206679995366E-3</v>
      </c>
      <c r="CK1144" s="114"/>
      <c r="CL1144" s="169">
        <f t="shared" si="2060"/>
        <v>8.6558012448700785E-3</v>
      </c>
      <c r="CM1144" s="169">
        <f t="shared" si="2069"/>
        <v>8.3012733652067794E-3</v>
      </c>
      <c r="CN1144" s="114">
        <f>VLOOKUP($H1144,RoR!$E:$F,2,FALSE)</f>
        <v>4.1625000000000002E-2</v>
      </c>
      <c r="CO1144" s="169">
        <v>1.841352814597208E-2</v>
      </c>
      <c r="CP1144" s="169">
        <f t="shared" si="2066"/>
        <v>2.3211471854027922E-2</v>
      </c>
      <c r="CQ1144" s="169">
        <f t="shared" si="2070"/>
        <v>2.2600668243326846E-2</v>
      </c>
      <c r="CR1144" s="169">
        <f t="shared" si="2071"/>
        <v>3.9072621432650924E-2</v>
      </c>
      <c r="CS1144" s="179">
        <f t="shared" si="2061"/>
        <v>0.85727249999999999</v>
      </c>
      <c r="CT1144" s="180">
        <f t="shared" si="2062"/>
        <v>1.2320012320012319</v>
      </c>
      <c r="CU1144" s="180">
        <f t="shared" si="2063"/>
        <v>0.37439939939939942</v>
      </c>
      <c r="CV1144" s="180">
        <f t="shared" si="2064"/>
        <v>0.80432100613819935</v>
      </c>
      <c r="CW1144" s="180">
        <f t="shared" si="2065"/>
        <v>0.37100152660040037</v>
      </c>
      <c r="CX1144" s="181">
        <f>INDEX('State Tax Lookup'!$D$7:$Z$91,MATCH(Calculation!$C1144,'State Tax Lookup'!$B$7:$B$91,0),MATCH($H1144,'State Tax Lookup'!$D$6:$Z$6,0))</f>
        <v>0.38574999999999998</v>
      </c>
      <c r="CY1144" s="72">
        <v>0.37</v>
      </c>
      <c r="CZ1144" s="70">
        <f t="shared" si="2068"/>
        <v>21.535281695472907</v>
      </c>
      <c r="DA1144" s="70">
        <v>20.763592984765573</v>
      </c>
      <c r="DB1144" s="69">
        <f t="shared" si="2072"/>
        <v>1.7533796636627574E-2</v>
      </c>
      <c r="DC1144" s="111">
        <f>VLOOKUP($H1144,RoR!$E:$F,2,FALSE)</f>
        <v>4.1625000000000002E-2</v>
      </c>
      <c r="DD1144" s="216">
        <f>HLOOKUP($H1144,'GDP-PI'!$D$8:$CQ$11,3,FALSE)</f>
        <v>1.841352814597208E-2</v>
      </c>
      <c r="DE1144" s="111">
        <f>VLOOKUP(H1144,'HW Dx Data'!$E:$F,2,FALSE)</f>
        <v>684.46914285042885</v>
      </c>
      <c r="DF1144" s="72">
        <f t="shared" si="2081"/>
        <v>129.4</v>
      </c>
      <c r="DG1144" s="69">
        <f t="shared" si="2082"/>
        <v>2.0297340063674733E-2</v>
      </c>
      <c r="DH1144" s="66">
        <f>HLOOKUP(H1144,'GDP-PI'!$8:$9,2,FALSE)</f>
        <v>103.64700000000001</v>
      </c>
      <c r="DI1144" s="69">
        <f t="shared" si="2073"/>
        <v>1.8246051898256087E-2</v>
      </c>
    </row>
    <row r="1145" spans="1:113" s="160" customFormat="1" ht="21">
      <c r="A1145" s="160" t="s">
        <v>228</v>
      </c>
      <c r="B1145" s="160" t="s">
        <v>228</v>
      </c>
      <c r="C1145" s="160">
        <v>4063179</v>
      </c>
      <c r="D1145" s="161" t="s">
        <v>213</v>
      </c>
      <c r="E1145" s="161"/>
      <c r="F1145" s="189"/>
      <c r="G1145" s="160" t="s">
        <v>132</v>
      </c>
      <c r="H1145" s="162">
        <v>2015</v>
      </c>
      <c r="I1145" s="163"/>
      <c r="J1145" s="159">
        <f>IFERROR(INDEX('Labor Expenditures'!$F$7:$X$91,MATCH($C1145,'Labor Expenditures'!$D$7:$D$91,0),MATCH($G1145,'Labor Expenditures'!$F$5:$X$5,0)),"NA")</f>
        <v>374.38762073845709</v>
      </c>
      <c r="K1145" s="159">
        <f t="shared" si="2074"/>
        <v>2.8044016534715888</v>
      </c>
      <c r="L1145" s="165">
        <f t="shared" si="2079"/>
        <v>0.13723309053692079</v>
      </c>
      <c r="M1145" s="76">
        <f t="shared" si="2083"/>
        <v>1.6559284380862021E-5</v>
      </c>
      <c r="N1145" s="62">
        <f t="shared" si="2091"/>
        <v>122.51083238764841</v>
      </c>
      <c r="O1145" s="96">
        <f t="shared" si="2084"/>
        <v>7.602785317183411E-4</v>
      </c>
      <c r="P1145" s="96"/>
      <c r="Q1145" s="159">
        <f>IFERROR(INDEX('Non-Labor Expenditures'!$F$7:$AB$91,MATCH($C1145,'Non-Labor Expenditures'!$D$7:$D$91,0),MATCH($G1145,'Non-Labor Expenditures'!$F$5:$AB$5,0)),"NA")</f>
        <v>542.18320079128785</v>
      </c>
      <c r="R1145" s="159">
        <f t="shared" si="2075"/>
        <v>5.1814638976986389</v>
      </c>
      <c r="S1145" s="165">
        <f t="shared" si="2085"/>
        <v>0.15890075012498184</v>
      </c>
      <c r="T1145" s="165">
        <f t="shared" si="2086"/>
        <v>1.9173820973914147E-5</v>
      </c>
      <c r="U1145" s="165"/>
      <c r="V1145" s="165"/>
      <c r="W1145" s="159">
        <f t="shared" si="2055"/>
        <v>470.75744582675304</v>
      </c>
      <c r="X1145" s="163"/>
      <c r="Y1145" s="167">
        <v>22.592431826000063</v>
      </c>
      <c r="Z1145" s="168">
        <v>6.2498397805623839E-3</v>
      </c>
      <c r="AA1145" s="168">
        <f t="shared" si="2087"/>
        <v>7.5413935411819195E-7</v>
      </c>
      <c r="AB1145" s="168"/>
      <c r="AC1145" s="168"/>
      <c r="AD1145" s="163">
        <f t="shared" si="2005"/>
        <v>1387.3282673564981</v>
      </c>
      <c r="AE1145" s="168">
        <f t="shared" si="2088"/>
        <v>9.8588381976069686E-2</v>
      </c>
      <c r="AF1145" s="163"/>
      <c r="AG1145" s="163"/>
      <c r="AH1145" s="163"/>
      <c r="AI1145" s="163"/>
      <c r="AJ1145" s="116">
        <f t="shared" si="2089"/>
        <v>468.85037761287538</v>
      </c>
      <c r="AK1145" s="114">
        <f>+AV1145/$AX$20</f>
        <v>8.1220234801413093E-5</v>
      </c>
      <c r="AL1145" s="115">
        <f t="shared" si="2076"/>
        <v>0.26986231705048341</v>
      </c>
      <c r="AM1145" s="115">
        <f t="shared" si="2077"/>
        <v>0.39081103841731529</v>
      </c>
      <c r="AN1145" s="115">
        <f t="shared" si="2078"/>
        <v>0.33932664453220118</v>
      </c>
      <c r="AO1145" s="115">
        <f t="shared" si="2080"/>
        <v>9.8050662419713053E-2</v>
      </c>
      <c r="AP1145" s="166">
        <f t="shared" si="2093"/>
        <v>110.30702679256103</v>
      </c>
      <c r="AQ1145" s="168">
        <f t="shared" si="2094"/>
        <v>9.8050662419712997E-2</v>
      </c>
      <c r="AR1145" s="69">
        <f>+AD1145/$AF$20</f>
        <v>1.2066538992945699E-4</v>
      </c>
      <c r="AS1145" s="169">
        <f t="shared" si="2092"/>
        <v>1.1831321413716223E-5</v>
      </c>
      <c r="AT1145" s="115"/>
      <c r="AU1145" s="115"/>
      <c r="AV1145" s="113">
        <f>IFERROR(INDEX('Total Customers'!$F$7:$AB$91,MATCH($C1145,'Total Customers'!$D$7:$D$91,0),MATCH($G1145,'Total Customers'!$F$5:$AB$5,0)),"NA")</f>
        <v>2959</v>
      </c>
      <c r="AW1145" s="68">
        <f t="shared" si="2004"/>
        <v>1.0873365708323824E-2</v>
      </c>
      <c r="AX1145" s="114"/>
      <c r="AY1145" s="114"/>
      <c r="AZ1145" s="116"/>
      <c r="BA1145" s="116"/>
      <c r="BB1145" s="166"/>
      <c r="BC1145" s="166"/>
      <c r="BD1145" s="166"/>
      <c r="BE1145" s="166"/>
      <c r="BF1145" s="166"/>
      <c r="BG1145" s="166"/>
      <c r="BH1145" s="166"/>
      <c r="BI1145" s="113"/>
      <c r="BJ1145" s="113"/>
      <c r="BK1145" s="113">
        <f>INDEX('Dist. Plant Gas Additions'!$F$7:$AE$91,MATCH($C1145,'Dist. Plant Gas Additions'!$D$7:$D$91,0),MATCH(Calculation!$G1145,'Dist. Plant Gas Additions'!$F$5:$AE$5,0))</f>
        <v>170</v>
      </c>
      <c r="BL1145" s="113">
        <f>INDEX('Gen. Plant Additions'!$F$7:$AE$91,MATCH($C1145,'Gen. Plant Additions'!$D$7:$D$91,0),MATCH(Calculation!$G1145,'Gen. Plant Additions'!$F$5:$AE$5,0))</f>
        <v>62</v>
      </c>
      <c r="BM1145" s="231">
        <f t="shared" si="2056"/>
        <v>0.89470696750390233</v>
      </c>
      <c r="BN1145" s="61">
        <f t="shared" si="2090"/>
        <v>55.471831985241941</v>
      </c>
      <c r="BO1145" s="113">
        <f>INDEX('Dist Plant Depreciation'!$E$7:$AD$94,MATCH($C1145,'Dist Plant Depreciation'!$D$7:$D$94,0),MATCH(Calculation!$G1145,'Dist Plant Depreciation'!$E$5:$AD$5,0))</f>
        <v>4265</v>
      </c>
      <c r="BP1145" s="113">
        <f>INDEX('Gen. Plant Depreciation'!$E$7:$AD$94,MATCH($C1145,'Gen. Plant Depreciation'!$D$7:$D$94,0),MATCH(Calculation!$G1145,'Gen. Plant Depreciation'!$E$5:$AD$5,0))</f>
        <v>496</v>
      </c>
      <c r="BQ1145" s="113"/>
      <c r="BR1145" s="113"/>
      <c r="BS1145" s="113"/>
      <c r="BT1145" s="113"/>
      <c r="BU1145" s="113"/>
      <c r="BV1145" s="175"/>
      <c r="BW1145" s="113">
        <f>INDEX('Gross Dx Plant'!$E$7:$AD$91,MATCH($C1145,'Gross Dx Plant'!$D$7:$D$91,0),MATCH(Calculation!$G1145,'Gross Dx Plant'!$E$5:$AD$5,0))</f>
        <v>6305</v>
      </c>
      <c r="BX1145" s="113">
        <f>INDEX('Gross Gen Plant'!$E$7:$AD$91,MATCH($C1145,'Gross Gen Plant'!$D$7:$D$91,0),MATCH(Calculation!$G1145,'Gross Gen Plant'!$E$5:$AD$5,0))</f>
        <v>742</v>
      </c>
      <c r="BY1145" s="113">
        <f t="shared" si="2067"/>
        <v>2286</v>
      </c>
      <c r="BZ1145" s="113"/>
      <c r="CA1145" s="116">
        <v>2015</v>
      </c>
      <c r="CB1145" s="113"/>
      <c r="CC1145" s="113"/>
      <c r="CD1145" s="113"/>
      <c r="CE1145" s="175"/>
      <c r="CF1145" s="113">
        <f t="shared" si="2057"/>
        <v>232</v>
      </c>
      <c r="CG1145" s="113">
        <f t="shared" si="2058"/>
        <v>0.34339102298609109</v>
      </c>
      <c r="CH1145" s="178">
        <v>0.88888888888888884</v>
      </c>
      <c r="CI1145" s="61">
        <f>+CI1128*CH1145+CG1129*CH1144+CG1130*CH1143+CG1131*CH1142+CG1132*CH1141+CG1133*CH1140+CG1134*CH1139+CG1135*CH1138+CG1136*CH1137+CG1137*CH1136+CG1138*CH1135+CG1139*CH1134+CG1140*CH1133+CG1141*CH1132+CG1142*CH1131+CG1143*CH1130+CG1144*CH1129+CG1145</f>
        <v>22.592431826000063</v>
      </c>
      <c r="CJ1145" s="114">
        <f t="shared" si="2059"/>
        <v>6.2498397805623839E-3</v>
      </c>
      <c r="CK1145" s="114"/>
      <c r="CL1145" s="169">
        <f t="shared" si="2060"/>
        <v>9.0252633406262515E-3</v>
      </c>
      <c r="CM1145" s="169">
        <f t="shared" si="2069"/>
        <v>8.6597458208684565E-3</v>
      </c>
      <c r="CN1145" s="114">
        <f>VLOOKUP($H1145,RoR!$E:$F,2,FALSE)</f>
        <v>3.8866666666666674E-2</v>
      </c>
      <c r="CO1145" s="169">
        <v>9.5709475431029478E-3</v>
      </c>
      <c r="CP1145" s="169">
        <f t="shared" si="2066"/>
        <v>2.9295719123563727E-2</v>
      </c>
      <c r="CQ1145" s="169">
        <f t="shared" si="2070"/>
        <v>2.2242195787665169E-2</v>
      </c>
      <c r="CR1145" s="169">
        <f t="shared" si="2071"/>
        <v>3.5270373279175926E-3</v>
      </c>
      <c r="CS1145" s="179">
        <f t="shared" si="2061"/>
        <v>0.85727249999999999</v>
      </c>
      <c r="CT1145" s="180">
        <f t="shared" si="2062"/>
        <v>1.3194352816994324</v>
      </c>
      <c r="CU1145" s="180">
        <f t="shared" si="2063"/>
        <v>0.33177530017152673</v>
      </c>
      <c r="CV1145" s="180">
        <f t="shared" si="2064"/>
        <v>0.78242572977668579</v>
      </c>
      <c r="CW1145" s="180">
        <f t="shared" si="2065"/>
        <v>0.34251158643433932</v>
      </c>
      <c r="CX1145" s="181">
        <f>INDEX('State Tax Lookup'!$D$7:$Z$91,MATCH(Calculation!$C1145,'State Tax Lookup'!$B$7:$B$91,0),MATCH($H1145,'State Tax Lookup'!$D$6:$Z$6,0))</f>
        <v>0.38574999999999998</v>
      </c>
      <c r="CY1145" s="72">
        <v>0.37</v>
      </c>
      <c r="CZ1145" s="70">
        <f t="shared" si="2068"/>
        <v>20.967588672200659</v>
      </c>
      <c r="DA1145" s="70">
        <v>20.279488671080099</v>
      </c>
      <c r="DB1145" s="69">
        <f t="shared" si="2072"/>
        <v>-2.6714750343019133E-2</v>
      </c>
      <c r="DC1145" s="111">
        <f>VLOOKUP($H1145,RoR!$E:$F,2,FALSE)</f>
        <v>3.8866666666666674E-2</v>
      </c>
      <c r="DD1145" s="216">
        <f>HLOOKUP($H1145,'GDP-PI'!$D$8:$CQ$11,3,FALSE)</f>
        <v>9.5709475431029478E-3</v>
      </c>
      <c r="DE1145" s="111">
        <f>VLOOKUP(H1145,'HW Dx Data'!$E:$F,2,FALSE)</f>
        <v>675.61463308665782</v>
      </c>
      <c r="DF1145" s="72">
        <f t="shared" si="2081"/>
        <v>133.5</v>
      </c>
      <c r="DG1145" s="69">
        <f t="shared" si="2082"/>
        <v>3.1193095773504077E-2</v>
      </c>
      <c r="DH1145" s="66">
        <f>HLOOKUP(H1145,'GDP-PI'!$8:$9,2,FALSE)</f>
        <v>104.639</v>
      </c>
      <c r="DI1145" s="69">
        <f t="shared" si="2073"/>
        <v>9.5254361854427965E-3</v>
      </c>
    </row>
    <row r="1146" spans="1:113" s="160" customFormat="1" ht="21">
      <c r="A1146" s="160" t="s">
        <v>228</v>
      </c>
      <c r="B1146" s="160" t="s">
        <v>228</v>
      </c>
      <c r="C1146" s="160">
        <v>4063179</v>
      </c>
      <c r="D1146" s="161" t="s">
        <v>213</v>
      </c>
      <c r="E1146" s="161"/>
      <c r="F1146" s="189"/>
      <c r="G1146" s="160" t="s">
        <v>133</v>
      </c>
      <c r="H1146" s="162">
        <v>2016</v>
      </c>
      <c r="I1146" s="163"/>
      <c r="J1146" s="159">
        <f>IFERROR(INDEX('Labor Expenditures'!$F$7:$X$91,MATCH($C1146,'Labor Expenditures'!$D$7:$D$91,0),MATCH($G1146,'Labor Expenditures'!$F$5:$X$5,0)),"NA")</f>
        <v>352.54891182243318</v>
      </c>
      <c r="K1146" s="159">
        <f t="shared" si="2074"/>
        <v>2.574289242953145</v>
      </c>
      <c r="L1146" s="165">
        <f t="shared" si="2079"/>
        <v>-8.5616728089101424E-2</v>
      </c>
      <c r="M1146" s="76">
        <f t="shared" si="2083"/>
        <v>-9.5428038292990972E-6</v>
      </c>
      <c r="N1146" s="62">
        <f t="shared" si="2091"/>
        <v>303.88875673171793</v>
      </c>
      <c r="O1146" s="96">
        <f t="shared" si="2084"/>
        <v>0.90846224890372207</v>
      </c>
      <c r="P1146" s="96"/>
      <c r="Q1146" s="159">
        <f>IFERROR(INDEX('Non-Labor Expenditures'!$F$7:$AB$91,MATCH($C1146,'Non-Labor Expenditures'!$D$7:$D$91,0),MATCH($G1146,'Non-Labor Expenditures'!$F$5:$AB$5,0)),"NA")</f>
        <v>510.55667137270223</v>
      </c>
      <c r="R1146" s="159">
        <f t="shared" si="2075"/>
        <v>4.8285983144123303</v>
      </c>
      <c r="S1146" s="165">
        <f t="shared" si="2085"/>
        <v>-7.0531400587523677E-2</v>
      </c>
      <c r="T1146" s="165">
        <f t="shared" si="2086"/>
        <v>-7.8613996894624112E-6</v>
      </c>
      <c r="U1146" s="165"/>
      <c r="V1146" s="165"/>
      <c r="W1146" s="159">
        <f t="shared" si="2055"/>
        <v>463.01176501052305</v>
      </c>
      <c r="X1146" s="163"/>
      <c r="Y1146" s="167">
        <v>22.815000784251474</v>
      </c>
      <c r="Z1146" s="168">
        <v>9.8032735143932098E-3</v>
      </c>
      <c r="AA1146" s="168">
        <f t="shared" si="2087"/>
        <v>1.092668665584366E-6</v>
      </c>
      <c r="AB1146" s="168"/>
      <c r="AC1146" s="168"/>
      <c r="AD1146" s="163">
        <f t="shared" si="2005"/>
        <v>1326.1173482056583</v>
      </c>
      <c r="AE1146" s="168">
        <f t="shared" si="2088"/>
        <v>-4.5124401962943692E-2</v>
      </c>
      <c r="AF1146" s="163"/>
      <c r="AG1146" s="163"/>
      <c r="AH1146" s="163"/>
      <c r="AI1146" s="163"/>
      <c r="AJ1146" s="116">
        <f t="shared" si="2089"/>
        <v>443.07295295878998</v>
      </c>
      <c r="AK1146" s="114">
        <f>+AV1146/$AX$21</f>
        <v>8.1443564181528643E-5</v>
      </c>
      <c r="AL1146" s="115">
        <f t="shared" si="2076"/>
        <v>0.26585046361052417</v>
      </c>
      <c r="AM1146" s="115">
        <f t="shared" si="2077"/>
        <v>0.38500112532539127</v>
      </c>
      <c r="AN1146" s="115">
        <f t="shared" si="2078"/>
        <v>0.34914841106408462</v>
      </c>
      <c r="AO1146" s="115">
        <f t="shared" si="2080"/>
        <v>-4.6917892349736402E-2</v>
      </c>
      <c r="AP1146" s="166">
        <f t="shared" si="2093"/>
        <v>105.25118570121681</v>
      </c>
      <c r="AQ1146" s="168">
        <f t="shared" si="2094"/>
        <v>-4.6917892349736388E-2</v>
      </c>
      <c r="AR1146" s="69">
        <f>+AD1146/$AF$21</f>
        <v>1.1145957153802808E-4</v>
      </c>
      <c r="AS1146" s="169">
        <f t="shared" si="2092"/>
        <v>-5.2294481787689436E-6</v>
      </c>
      <c r="AT1146" s="115"/>
      <c r="AU1146" s="115"/>
      <c r="AV1146" s="113">
        <f>IFERROR(INDEX('Total Customers'!$F$7:$AB$91,MATCH($C1146,'Total Customers'!$D$7:$D$91,0),MATCH($G1146,'Total Customers'!$F$5:$AB$5,0)),"NA")</f>
        <v>2993</v>
      </c>
      <c r="AW1146" s="68">
        <f t="shared" si="2004"/>
        <v>1.1424855452489179E-2</v>
      </c>
      <c r="AX1146" s="114"/>
      <c r="AY1146" s="114"/>
      <c r="AZ1146" s="116"/>
      <c r="BA1146" s="116"/>
      <c r="BB1146" s="166"/>
      <c r="BC1146" s="166"/>
      <c r="BD1146" s="166"/>
      <c r="BE1146" s="166"/>
      <c r="BF1146" s="166"/>
      <c r="BG1146" s="166"/>
      <c r="BH1146" s="166"/>
      <c r="BI1146" s="113"/>
      <c r="BJ1146" s="113"/>
      <c r="BK1146" s="113">
        <f>INDEX('Dist. Plant Gas Additions'!$F$7:$AE$91,MATCH($C1146,'Dist. Plant Gas Additions'!$D$7:$D$91,0),MATCH(Calculation!$G1146,'Dist. Plant Gas Additions'!$F$5:$AE$5,0))</f>
        <v>124</v>
      </c>
      <c r="BL1146" s="113">
        <f>INDEX('Gen. Plant Additions'!$F$7:$AE$91,MATCH($C1146,'Gen. Plant Additions'!$D$7:$D$91,0),MATCH(Calculation!$G1146,'Gen. Plant Additions'!$F$5:$AE$5,0))</f>
        <v>168</v>
      </c>
      <c r="BM1146" s="231">
        <f t="shared" si="2056"/>
        <v>0.89271871539313397</v>
      </c>
      <c r="BN1146" s="61">
        <f t="shared" si="2090"/>
        <v>149.97674418604652</v>
      </c>
      <c r="BO1146" s="113">
        <f>INDEX('Dist Plant Depreciation'!$E$7:$AD$94,MATCH($C1146,'Dist Plant Depreciation'!$D$7:$D$94,0),MATCH(Calculation!$G1146,'Dist Plant Depreciation'!$E$5:$AD$5,0))</f>
        <v>4465</v>
      </c>
      <c r="BP1146" s="113">
        <f>INDEX('Gen. Plant Depreciation'!$E$7:$AD$94,MATCH($C1146,'Gen. Plant Depreciation'!$D$7:$D$94,0),MATCH(Calculation!$G1146,'Gen. Plant Depreciation'!$E$5:$AD$5,0))</f>
        <v>437</v>
      </c>
      <c r="BQ1146" s="113"/>
      <c r="BR1146" s="113"/>
      <c r="BS1146" s="113"/>
      <c r="BT1146" s="113"/>
      <c r="BU1146" s="113"/>
      <c r="BV1146" s="175"/>
      <c r="BW1146" s="113">
        <f>INDEX('Gross Dx Plant'!$E$7:$AD$91,MATCH($C1146,'Gross Dx Plant'!$D$7:$D$91,0),MATCH(Calculation!$G1146,'Gross Dx Plant'!$E$5:$AD$5,0))</f>
        <v>6449</v>
      </c>
      <c r="BX1146" s="113">
        <f>INDEX('Gross Gen Plant'!$E$7:$AD$91,MATCH($C1146,'Gross Gen Plant'!$D$7:$D$91,0),MATCH(Calculation!$G1146,'Gross Gen Plant'!$E$5:$AD$5,0))</f>
        <v>775</v>
      </c>
      <c r="BY1146" s="113">
        <f t="shared" si="2067"/>
        <v>2322</v>
      </c>
      <c r="BZ1146" s="113"/>
      <c r="CA1146" s="116">
        <v>2016</v>
      </c>
      <c r="CB1146" s="113"/>
      <c r="CC1146" s="113"/>
      <c r="CD1146" s="113"/>
      <c r="CE1146" s="175"/>
      <c r="CF1146" s="113">
        <f t="shared" si="2057"/>
        <v>292</v>
      </c>
      <c r="CG1146" s="113">
        <f t="shared" si="2058"/>
        <v>0.43487559679267535</v>
      </c>
      <c r="CH1146" s="178">
        <v>0.88</v>
      </c>
      <c r="CI1146" s="61">
        <f>+CI1128*CH1146+CG1129*CH1145+CG1130*CH1144+CG1131*CH1143+CG1132*CH1142+CG1133*CH1141+CG1134*CH1140+CG1135*CH1139+CG1136*CH1138+CG1137*CH1137+CG1138*CH1136+CG1139*CH1135+CG1140*CH1134+CG1141*CH1133+CG1142*CH1132+CG1143*CH1131+CG1144*CH1130+CG1145*CH1129+CG1146</f>
        <v>22.815000784251474</v>
      </c>
      <c r="CJ1146" s="114">
        <f t="shared" si="2059"/>
        <v>9.8032735143932098E-3</v>
      </c>
      <c r="CK1146" s="114"/>
      <c r="CL1146" s="169">
        <f t="shared" si="2060"/>
        <v>9.3972459528210203E-3</v>
      </c>
      <c r="CM1146" s="169">
        <f t="shared" si="2069"/>
        <v>9.0261035127724501E-3</v>
      </c>
      <c r="CN1146" s="114">
        <f>VLOOKUP($H1146,RoR!$E:$F,2,FALSE)</f>
        <v>3.6658333333333334E-2</v>
      </c>
      <c r="CO1146" s="169">
        <v>1.0483662879041455E-2</v>
      </c>
      <c r="CP1146" s="169">
        <f t="shared" si="2066"/>
        <v>2.6174670454291879E-2</v>
      </c>
      <c r="CQ1146" s="169">
        <f t="shared" si="2070"/>
        <v>2.1875838095761175E-2</v>
      </c>
      <c r="CR1146" s="169">
        <f t="shared" si="2071"/>
        <v>4.301363574220729E-3</v>
      </c>
      <c r="CS1146" s="179">
        <f t="shared" si="2061"/>
        <v>0.85727249999999999</v>
      </c>
      <c r="CT1146" s="180">
        <f t="shared" si="2062"/>
        <v>1.3989193348138562</v>
      </c>
      <c r="CU1146" s="180">
        <f t="shared" si="2063"/>
        <v>0.29302682427824522</v>
      </c>
      <c r="CV1146" s="180">
        <f t="shared" si="2064"/>
        <v>0.76309497491941802</v>
      </c>
      <c r="CW1146" s="180">
        <f t="shared" si="2065"/>
        <v>0.31280857135128509</v>
      </c>
      <c r="CX1146" s="181">
        <f>INDEX('State Tax Lookup'!$D$7:$Z$91,MATCH(Calculation!$C1146,'State Tax Lookup'!$B$7:$B$91,0),MATCH($H1146,'State Tax Lookup'!$D$6:$Z$6,0))</f>
        <v>0.38574999999999998</v>
      </c>
      <c r="CY1146" s="72">
        <v>0.37</v>
      </c>
      <c r="CZ1146" s="70">
        <f t="shared" si="2068"/>
        <v>20.49410920331626</v>
      </c>
      <c r="DA1146" s="70">
        <v>19.909765876209278</v>
      </c>
      <c r="DB1146" s="69">
        <f t="shared" si="2072"/>
        <v>-2.284035998421893E-2</v>
      </c>
      <c r="DC1146" s="111">
        <f>VLOOKUP($H1146,RoR!$E:$F,2,FALSE)</f>
        <v>3.6658333333333334E-2</v>
      </c>
      <c r="DD1146" s="216">
        <f>HLOOKUP($H1146,'GDP-PI'!$D$8:$CQ$11,3,FALSE)</f>
        <v>1.0483662879041455E-2</v>
      </c>
      <c r="DE1146" s="111">
        <f>VLOOKUP(H1146,'HW Dx Data'!$E:$F,2,FALSE)</f>
        <v>671.45639385971219</v>
      </c>
      <c r="DF1146" s="72">
        <f t="shared" si="2081"/>
        <v>136.94999999999999</v>
      </c>
      <c r="DG1146" s="69">
        <f t="shared" si="2082"/>
        <v>2.5514417868782811E-2</v>
      </c>
      <c r="DH1146" s="66">
        <f>HLOOKUP(H1146,'GDP-PI'!$8:$9,2,FALSE)</f>
        <v>105.736</v>
      </c>
      <c r="DI1146" s="69">
        <f t="shared" si="2073"/>
        <v>1.0429090367205095E-2</v>
      </c>
    </row>
    <row r="1147" spans="1:113" s="160" customFormat="1" ht="21">
      <c r="A1147" s="160" t="s">
        <v>228</v>
      </c>
      <c r="B1147" s="160" t="s">
        <v>228</v>
      </c>
      <c r="C1147" s="160">
        <v>4063179</v>
      </c>
      <c r="D1147" s="161" t="s">
        <v>213</v>
      </c>
      <c r="E1147" s="161"/>
      <c r="F1147" s="189"/>
      <c r="G1147" s="160" t="s">
        <v>135</v>
      </c>
      <c r="H1147" s="162">
        <v>2017</v>
      </c>
      <c r="I1147" s="163"/>
      <c r="J1147" s="159">
        <f>IFERROR(INDEX('Labor Expenditures'!$F$7:$X$91,MATCH($C1147,'Labor Expenditures'!$D$7:$D$91,0),MATCH($G1147,'Labor Expenditures'!$F$5:$X$5,0)),"NA")</f>
        <v>340.91464113955521</v>
      </c>
      <c r="K1147" s="159">
        <f t="shared" si="2074"/>
        <v>2.4273025357034905</v>
      </c>
      <c r="L1147" s="165">
        <f t="shared" si="2079"/>
        <v>-5.8792900701121704E-2</v>
      </c>
      <c r="M1147" s="76">
        <f t="shared" si="2083"/>
        <v>-6.2339355724604154E-6</v>
      </c>
      <c r="N1147" s="62">
        <f t="shared" si="2091"/>
        <v>170.53140308171345</v>
      </c>
      <c r="O1147" s="96">
        <f t="shared" si="2084"/>
        <v>-0.57774224057174772</v>
      </c>
      <c r="P1147" s="96"/>
      <c r="Q1147" s="159">
        <f>IFERROR(INDEX('Non-Labor Expenditures'!$F$7:$AB$91,MATCH($C1147,'Non-Labor Expenditures'!$D$7:$D$91,0),MATCH($G1147,'Non-Labor Expenditures'!$F$5:$AB$5,0)),"NA")</f>
        <v>493.70807444187153</v>
      </c>
      <c r="R1147" s="159">
        <f t="shared" si="2075"/>
        <v>4.5819349652613113</v>
      </c>
      <c r="S1147" s="165">
        <f t="shared" si="2085"/>
        <v>-5.2434831087700959E-2</v>
      </c>
      <c r="T1147" s="165">
        <f t="shared" si="2086"/>
        <v>-5.5597760079106938E-6</v>
      </c>
      <c r="U1147" s="165"/>
      <c r="V1147" s="165"/>
      <c r="W1147" s="159">
        <f t="shared" si="2055"/>
        <v>420.87906920687669</v>
      </c>
      <c r="X1147" s="163"/>
      <c r="Y1147" s="167">
        <v>22.829249193872201</v>
      </c>
      <c r="Z1147" s="168">
        <v>6.2432442598448119E-4</v>
      </c>
      <c r="AA1147" s="168">
        <f t="shared" si="2087"/>
        <v>6.6198438952448761E-8</v>
      </c>
      <c r="AB1147" s="168"/>
      <c r="AC1147" s="168"/>
      <c r="AD1147" s="163">
        <f t="shared" si="2005"/>
        <v>1255.5017847883034</v>
      </c>
      <c r="AE1147" s="168">
        <f t="shared" si="2088"/>
        <v>-5.4720064550414775E-2</v>
      </c>
      <c r="AF1147" s="163"/>
      <c r="AG1147" s="163"/>
      <c r="AH1147" s="163"/>
      <c r="AI1147" s="163"/>
      <c r="AJ1147" s="116">
        <f t="shared" si="2089"/>
        <v>418.91951444387837</v>
      </c>
      <c r="AK1147" s="114">
        <f>+AV1147/$AX$22</f>
        <v>8.0939693365764671E-5</v>
      </c>
      <c r="AL1147" s="115">
        <f t="shared" si="2076"/>
        <v>0.27153656432040724</v>
      </c>
      <c r="AM1147" s="115">
        <f t="shared" si="2077"/>
        <v>0.39323566117042053</v>
      </c>
      <c r="AN1147" s="115">
        <f t="shared" si="2078"/>
        <v>0.33522777450917224</v>
      </c>
      <c r="AO1147" s="115">
        <f t="shared" si="2080"/>
        <v>-3.5986991924070885E-2</v>
      </c>
      <c r="AP1147" s="166">
        <f t="shared" si="2093"/>
        <v>101.53085537675437</v>
      </c>
      <c r="AQ1147" s="168">
        <f t="shared" si="2094"/>
        <v>-3.5986991924070851E-2</v>
      </c>
      <c r="AR1147" s="69">
        <f>+AD1147/$AF$22</f>
        <v>1.0603211438998584E-4</v>
      </c>
      <c r="AS1147" s="169">
        <f t="shared" si="2092"/>
        <v>-3.8157768442445768E-6</v>
      </c>
      <c r="AT1147" s="115"/>
      <c r="AU1147" s="115"/>
      <c r="AV1147" s="113">
        <f>IFERROR(INDEX('Total Customers'!$F$7:$AB$91,MATCH($C1147,'Total Customers'!$D$7:$D$91,0),MATCH($G1147,'Total Customers'!$F$5:$AB$5,0)),"NA")</f>
        <v>2997</v>
      </c>
      <c r="AW1147" s="68">
        <f t="shared" si="2004"/>
        <v>1.3355594639642174E-3</v>
      </c>
      <c r="AX1147" s="114"/>
      <c r="AY1147" s="114"/>
      <c r="AZ1147" s="116"/>
      <c r="BA1147" s="116"/>
      <c r="BB1147" s="166"/>
      <c r="BC1147" s="166"/>
      <c r="BD1147" s="166"/>
      <c r="BE1147" s="166"/>
      <c r="BF1147" s="166"/>
      <c r="BG1147" s="166"/>
      <c r="BH1147" s="166"/>
      <c r="BI1147" s="113"/>
      <c r="BJ1147" s="113"/>
      <c r="BK1147" s="113">
        <f>INDEX('Dist. Plant Gas Additions'!$F$7:$AE$91,MATCH($C1147,'Dist. Plant Gas Additions'!$D$7:$D$91,0),MATCH(Calculation!$G1147,'Dist. Plant Gas Additions'!$F$5:$AE$5,0))</f>
        <v>149</v>
      </c>
      <c r="BL1147" s="113">
        <f>INDEX('Gen. Plant Additions'!$F$7:$AE$91,MATCH($C1147,'Gen. Plant Additions'!$D$7:$D$91,0),MATCH(Calculation!$G1147,'Gen. Plant Additions'!$F$5:$AE$5,0))</f>
        <v>20</v>
      </c>
      <c r="BM1147" s="231">
        <f t="shared" si="2056"/>
        <v>0.89230977892309782</v>
      </c>
      <c r="BN1147" s="61">
        <f t="shared" si="2090"/>
        <v>17.846195578461955</v>
      </c>
      <c r="BO1147" s="113">
        <f>INDEX('Dist Plant Depreciation'!$E$7:$AD$94,MATCH($C1147,'Dist Plant Depreciation'!$D$7:$D$94,0),MATCH(Calculation!$G1147,'Dist Plant Depreciation'!$E$5:$AD$5,0))</f>
        <v>4659</v>
      </c>
      <c r="BP1147" s="113">
        <f>INDEX('Gen. Plant Depreciation'!$E$7:$AD$94,MATCH($C1147,'Gen. Plant Depreciation'!$D$7:$D$94,0),MATCH(Calculation!$G1147,'Gen. Plant Depreciation'!$E$5:$AD$5,0))</f>
        <v>503</v>
      </c>
      <c r="BQ1147" s="113"/>
      <c r="BR1147" s="113"/>
      <c r="BS1147" s="113"/>
      <c r="BT1147" s="113"/>
      <c r="BU1147" s="113"/>
      <c r="BV1147" s="175"/>
      <c r="BW1147" s="113">
        <f>INDEX('Gross Dx Plant'!$E$7:$AD$91,MATCH($C1147,'Gross Dx Plant'!$D$7:$D$91,0),MATCH(Calculation!$G1147,'Gross Dx Plant'!$E$5:$AD$5,0))</f>
        <v>6579</v>
      </c>
      <c r="BX1147" s="113">
        <f>INDEX('Gross Gen Plant'!$E$7:$AD$91,MATCH($C1147,'Gross Gen Plant'!$D$7:$D$91,0),MATCH(Calculation!$G1147,'Gross Gen Plant'!$E$5:$AD$5,0))</f>
        <v>794</v>
      </c>
      <c r="BY1147" s="113">
        <f t="shared" si="2067"/>
        <v>2211</v>
      </c>
      <c r="BZ1147" s="113"/>
      <c r="CA1147" s="116">
        <v>2017</v>
      </c>
      <c r="CB1147" s="113"/>
      <c r="CC1147" s="113"/>
      <c r="CD1147" s="113"/>
      <c r="CE1147" s="175"/>
      <c r="CF1147" s="113">
        <f t="shared" si="2057"/>
        <v>169</v>
      </c>
      <c r="CG1147" s="113">
        <f t="shared" si="2058"/>
        <v>0.23721675949854937</v>
      </c>
      <c r="CH1147" s="178">
        <v>0.87074829931972786</v>
      </c>
      <c r="CI1147" s="61">
        <f>+CI1128*CH1147+CG1129*CH1146+CG1130*CH1145+CG1131*CH1144+CG1132*CH1143+CG1133*CH1142+CG1134*CH1141+CG1135*CH1140+CG1136*CH1139+CG1137*CH1138+CG1138*CH1137+CG1139*CH1136+CG1140*CH1135+CG1141*CH1134+CG1142*CH1133+CG1143*CH1132+CG1144*CH1131+CG1145*CH1130+CG1146*CH1129+CG1147</f>
        <v>22.829249193872201</v>
      </c>
      <c r="CJ1147" s="114">
        <f t="shared" si="2059"/>
        <v>6.2432442598448119E-4</v>
      </c>
      <c r="CK1147" s="114"/>
      <c r="CL1147" s="169">
        <f t="shared" si="2060"/>
        <v>9.772883726207493E-3</v>
      </c>
      <c r="CM1147" s="169">
        <f t="shared" si="2069"/>
        <v>9.3984643398849228E-3</v>
      </c>
      <c r="CN1147" s="114">
        <f>VLOOKUP($H1147,RoR!$E:$F,2,FALSE)</f>
        <v>3.7433333333333339E-2</v>
      </c>
      <c r="CO1147" s="169">
        <v>1.9056896421275615E-2</v>
      </c>
      <c r="CP1147" s="169">
        <f t="shared" si="2066"/>
        <v>1.8376436912057724E-2</v>
      </c>
      <c r="CQ1147" s="169">
        <f t="shared" si="2070"/>
        <v>2.1503477268648701E-2</v>
      </c>
      <c r="CR1147" s="169">
        <f t="shared" si="2071"/>
        <v>1.3976271617800498E-2</v>
      </c>
      <c r="CS1147" s="179">
        <f t="shared" si="2061"/>
        <v>0.90907250000000006</v>
      </c>
      <c r="CT1147" s="180">
        <f t="shared" si="2062"/>
        <v>1.3699568463593395</v>
      </c>
      <c r="CU1147" s="180">
        <f t="shared" si="2063"/>
        <v>0.30714603739982199</v>
      </c>
      <c r="CV1147" s="180">
        <f t="shared" si="2064"/>
        <v>0.77007188472689425</v>
      </c>
      <c r="CW1147" s="180">
        <f t="shared" si="2065"/>
        <v>0.32402839633793828</v>
      </c>
      <c r="CX1147" s="181">
        <f>INDEX('State Tax Lookup'!$D$7:$Z$91,MATCH(Calculation!$C1147,'State Tax Lookup'!$B$7:$B$91,0),MATCH($H1147,'State Tax Lookup'!$D$6:$Z$6,0))</f>
        <v>0.24574999999999997</v>
      </c>
      <c r="CY1147" s="72">
        <v>0.37</v>
      </c>
      <c r="CZ1147" s="70">
        <f t="shared" si="2068"/>
        <v>18.447471169818989</v>
      </c>
      <c r="DA1147" s="70">
        <v>18.231812616449311</v>
      </c>
      <c r="DB1147" s="69">
        <f t="shared" si="2072"/>
        <v>-0.10521019178798051</v>
      </c>
      <c r="DC1147" s="111">
        <f>VLOOKUP($H1147,RoR!$E:$F,2,FALSE)</f>
        <v>3.7433333333333339E-2</v>
      </c>
      <c r="DD1147" s="216">
        <f>HLOOKUP($H1147,'GDP-PI'!$D$8:$CQ$11,3,FALSE)</f>
        <v>1.9056896421275615E-2</v>
      </c>
      <c r="DE1147" s="111">
        <f>VLOOKUP(H1147,'HW Dx Data'!$E:$F,2,FALSE)</f>
        <v>712.42858370229726</v>
      </c>
      <c r="DF1147" s="72">
        <f t="shared" si="2081"/>
        <v>140.44999999999999</v>
      </c>
      <c r="DG1147" s="69">
        <f t="shared" si="2082"/>
        <v>2.5235657841165486E-2</v>
      </c>
      <c r="DH1147" s="66">
        <f>HLOOKUP(H1147,'GDP-PI'!$8:$9,2,FALSE)</f>
        <v>107.751</v>
      </c>
      <c r="DI1147" s="69">
        <f t="shared" si="2073"/>
        <v>1.8877588227745139E-2</v>
      </c>
    </row>
    <row r="1148" spans="1:113" s="160" customFormat="1" ht="21">
      <c r="A1148" s="160" t="s">
        <v>228</v>
      </c>
      <c r="B1148" s="160" t="s">
        <v>228</v>
      </c>
      <c r="C1148" s="160">
        <v>4063179</v>
      </c>
      <c r="D1148" s="161" t="s">
        <v>213</v>
      </c>
      <c r="E1148" s="161"/>
      <c r="F1148" s="189"/>
      <c r="G1148" s="160" t="s">
        <v>136</v>
      </c>
      <c r="H1148" s="162">
        <v>2018</v>
      </c>
      <c r="I1148" s="163"/>
      <c r="J1148" s="159">
        <f>IFERROR(INDEX('Labor Expenditures'!$F$7:$X$91,MATCH($C1148,'Labor Expenditures'!$D$7:$D$91,0),MATCH($G1148,'Labor Expenditures'!$F$5:$X$5,0)),"NA")</f>
        <v>464.25302302415827</v>
      </c>
      <c r="K1148" s="159">
        <f t="shared" si="2074"/>
        <v>3.2139357772527402</v>
      </c>
      <c r="L1148" s="165">
        <f t="shared" si="2079"/>
        <v>0.28071571176988819</v>
      </c>
      <c r="M1148" s="76">
        <f t="shared" si="2083"/>
        <v>3.4331539785460924E-5</v>
      </c>
      <c r="N1148" s="62">
        <f t="shared" si="2091"/>
        <v>117.30059136668797</v>
      </c>
      <c r="O1148" s="96">
        <f t="shared" si="2084"/>
        <v>-0.37417966492557164</v>
      </c>
      <c r="P1148" s="96"/>
      <c r="Q1148" s="159">
        <f>IFERROR(INDEX('Non-Labor Expenditures'!$F$7:$AB$91,MATCH($C1148,'Non-Labor Expenditures'!$D$7:$D$91,0),MATCH($G1148,'Non-Labor Expenditures'!$F$5:$AB$5,0)),"NA")</f>
        <v>672.32508784287893</v>
      </c>
      <c r="R1148" s="159">
        <f t="shared" si="2075"/>
        <v>6.0942068476176914</v>
      </c>
      <c r="S1148" s="165">
        <f t="shared" si="2085"/>
        <v>0.28521723241537089</v>
      </c>
      <c r="T1148" s="165">
        <f t="shared" si="2086"/>
        <v>3.4882075892474944E-5</v>
      </c>
      <c r="U1148" s="165"/>
      <c r="V1148" s="165"/>
      <c r="W1148" s="159">
        <f t="shared" si="2055"/>
        <v>437.49249218791334</v>
      </c>
      <c r="X1148" s="163"/>
      <c r="Y1148" s="167">
        <v>23.148232512791093</v>
      </c>
      <c r="Z1148" s="168">
        <v>1.3875855098276789E-2</v>
      </c>
      <c r="AA1148" s="168">
        <f t="shared" si="2087"/>
        <v>1.697017485627182E-6</v>
      </c>
      <c r="AB1148" s="168"/>
      <c r="AC1148" s="168"/>
      <c r="AD1148" s="163">
        <f t="shared" si="2005"/>
        <v>1574.0706030549504</v>
      </c>
      <c r="AE1148" s="168">
        <f t="shared" si="2088"/>
        <v>0.22612968361537739</v>
      </c>
      <c r="AF1148" s="163"/>
      <c r="AG1148" s="163"/>
      <c r="AH1148" s="163"/>
      <c r="AI1148" s="163"/>
      <c r="AJ1148" s="116">
        <f t="shared" si="2089"/>
        <v>525.39072198095812</v>
      </c>
      <c r="AK1148" s="114">
        <f>+AV1148/$AX$23</f>
        <v>8.0204063122846393E-5</v>
      </c>
      <c r="AL1148" s="115">
        <f t="shared" si="2076"/>
        <v>0.29493786499991659</v>
      </c>
      <c r="AM1148" s="115">
        <f t="shared" si="2077"/>
        <v>0.42712511531441655</v>
      </c>
      <c r="AN1148" s="115">
        <f t="shared" si="2078"/>
        <v>0.27793701968566692</v>
      </c>
      <c r="AO1148" s="115">
        <f t="shared" si="2080"/>
        <v>0.20075374435641907</v>
      </c>
      <c r="AP1148" s="166">
        <f t="shared" si="2093"/>
        <v>124.10357391932179</v>
      </c>
      <c r="AQ1148" s="168">
        <f t="shared" si="2094"/>
        <v>0.2007537443564191</v>
      </c>
      <c r="AR1148" s="69">
        <f>+AD1148/$AF$23</f>
        <v>1.2230002933930398E-4</v>
      </c>
      <c r="AS1148" s="169">
        <f t="shared" si="2092"/>
        <v>2.4552188824765185E-5</v>
      </c>
      <c r="AT1148" s="115"/>
      <c r="AU1148" s="115"/>
      <c r="AV1148" s="113">
        <f>IFERROR(INDEX('Total Customers'!$F$7:$AB$91,MATCH($C1148,'Total Customers'!$D$7:$D$91,0),MATCH($G1148,'Total Customers'!$F$5:$AB$5,0)),"NA")</f>
        <v>2996</v>
      </c>
      <c r="AW1148" s="68">
        <f t="shared" si="2004"/>
        <v>-3.3372267955310519E-4</v>
      </c>
      <c r="AX1148" s="114"/>
      <c r="AY1148" s="114"/>
      <c r="AZ1148" s="116"/>
      <c r="BA1148" s="116"/>
      <c r="BB1148" s="166"/>
      <c r="BC1148" s="166"/>
      <c r="BD1148" s="166"/>
      <c r="BE1148" s="166"/>
      <c r="BF1148" s="166"/>
      <c r="BG1148" s="166"/>
      <c r="BH1148" s="166"/>
      <c r="BI1148" s="113"/>
      <c r="BJ1148" s="113"/>
      <c r="BK1148" s="113">
        <f>INDEX('Dist. Plant Gas Additions'!$F$7:$AE$91,MATCH($C1148,'Dist. Plant Gas Additions'!$D$7:$D$91,0),MATCH(Calculation!$G1148,'Dist. Plant Gas Additions'!$F$5:$AE$5,0))</f>
        <v>309</v>
      </c>
      <c r="BL1148" s="113">
        <f>INDEX('Gen. Plant Additions'!$F$7:$AE$91,MATCH($C1148,'Gen. Plant Additions'!$D$7:$D$91,0),MATCH(Calculation!$G1148,'Gen. Plant Additions'!$F$5:$AE$5,0))</f>
        <v>108</v>
      </c>
      <c r="BM1148" s="231">
        <f t="shared" si="2056"/>
        <v>0.88673139158576053</v>
      </c>
      <c r="BN1148" s="61">
        <f t="shared" si="2090"/>
        <v>95.766990291262132</v>
      </c>
      <c r="BO1148" s="113">
        <f>INDEX('Dist Plant Depreciation'!$E$7:$AD$94,MATCH($C1148,'Dist Plant Depreciation'!$D$7:$D$94,0),MATCH(Calculation!$G1148,'Dist Plant Depreciation'!$E$5:$AD$5,0))</f>
        <v>4806</v>
      </c>
      <c r="BP1148" s="113">
        <f>INDEX('Gen. Plant Depreciation'!$E$7:$AD$94,MATCH($C1148,'Gen. Plant Depreciation'!$D$7:$D$94,0),MATCH(Calculation!$G1148,'Gen. Plant Depreciation'!$E$5:$AD$5,0))</f>
        <v>526</v>
      </c>
      <c r="BQ1148" s="113"/>
      <c r="BR1148" s="113"/>
      <c r="BS1148" s="113"/>
      <c r="BT1148" s="113"/>
      <c r="BU1148" s="113"/>
      <c r="BV1148" s="175"/>
      <c r="BW1148" s="113">
        <f>INDEX('Gross Dx Plant'!$E$7:$AD$91,MATCH($C1148,'Gross Dx Plant'!$D$7:$D$91,0),MATCH(Calculation!$G1148,'Gross Dx Plant'!$E$5:$AD$5,0))</f>
        <v>6850</v>
      </c>
      <c r="BX1148" s="113">
        <f>INDEX('Gross Gen Plant'!$E$7:$AD$91,MATCH($C1148,'Gross Gen Plant'!$D$7:$D$91,0),MATCH(Calculation!$G1148,'Gross Gen Plant'!$E$5:$AD$5,0))</f>
        <v>875</v>
      </c>
      <c r="BY1148" s="113">
        <f t="shared" si="2067"/>
        <v>2393</v>
      </c>
      <c r="BZ1148" s="113"/>
      <c r="CA1148" s="116">
        <v>2018</v>
      </c>
      <c r="CB1148" s="113"/>
      <c r="CC1148" s="113"/>
      <c r="CD1148" s="113"/>
      <c r="CE1148" s="175"/>
      <c r="CF1148" s="113">
        <f t="shared" si="2057"/>
        <v>417</v>
      </c>
      <c r="CG1148" s="113">
        <f t="shared" si="2058"/>
        <v>0.55221788595393395</v>
      </c>
      <c r="CH1148" s="178">
        <v>0.86111111111111116</v>
      </c>
      <c r="CI1148" s="61">
        <f>+CI1128*CH1148++CG1129*CH1147+CG1130*CH1146+CG1131*CH1145+CG1132*CH1144+CG1133*CH1143+CG1134*CH1142+CG1135*CH1141+CG1136*CH1140+CG1137*CH1139+CG1138*CH1138+CG1139*CH1137+CG1140*CH1136+CG1141*CH1135+CG1142*CH1134+CG1143*CH1133+CG1144*CH1132+CG1145*CH1131+CG1146*CH1130+CG1147*CH1129+CG1148</f>
        <v>23.148232512791093</v>
      </c>
      <c r="CJ1148" s="114">
        <f t="shared" si="2059"/>
        <v>1.3875855098276789E-2</v>
      </c>
      <c r="CK1148" s="114"/>
      <c r="CL1148" s="169">
        <f t="shared" si="2060"/>
        <v>1.0216479966307699E-2</v>
      </c>
      <c r="CM1148" s="169">
        <f t="shared" si="2069"/>
        <v>9.7955365484454059E-3</v>
      </c>
      <c r="CN1148" s="114">
        <f>VLOOKUP($H1148,RoR!$E:$F,2,FALSE)</f>
        <v>3.9299999999999995E-2</v>
      </c>
      <c r="CO1148" s="169">
        <v>2.386056741932796E-2</v>
      </c>
      <c r="CP1148" s="169">
        <f t="shared" si="2066"/>
        <v>1.5439432580672034E-2</v>
      </c>
      <c r="CQ1148" s="169">
        <f t="shared" si="2070"/>
        <v>2.1106405060088221E-2</v>
      </c>
      <c r="CR1148" s="169">
        <f t="shared" si="2071"/>
        <v>3.8270792163076606E-2</v>
      </c>
      <c r="CS1148" s="179">
        <f t="shared" si="2061"/>
        <v>0.90907250000000006</v>
      </c>
      <c r="CT1148" s="180">
        <f t="shared" si="2062"/>
        <v>1.3048868010700074</v>
      </c>
      <c r="CU1148" s="180">
        <f t="shared" si="2063"/>
        <v>0.33886768447837151</v>
      </c>
      <c r="CV1148" s="180">
        <f t="shared" si="2064"/>
        <v>0.78602506232557801</v>
      </c>
      <c r="CW1148" s="180">
        <f t="shared" si="2065"/>
        <v>0.34756768162358759</v>
      </c>
      <c r="CX1148" s="181">
        <f>INDEX('State Tax Lookup'!$D$7:$Z$91,MATCH(Calculation!$C1148,'State Tax Lookup'!$B$7:$B$91,0),MATCH($H1148,'State Tax Lookup'!$D$6:$Z$6,0))</f>
        <v>0.24574999999999997</v>
      </c>
      <c r="CY1148" s="72">
        <v>0.37</v>
      </c>
      <c r="CZ1148" s="70">
        <f t="shared" si="2068"/>
        <v>19.163682890865484</v>
      </c>
      <c r="DA1148" s="70">
        <v>19.050901628905343</v>
      </c>
      <c r="DB1148" s="69">
        <f t="shared" si="2072"/>
        <v>3.8089674631390256E-2</v>
      </c>
      <c r="DC1148" s="111">
        <f>VLOOKUP($H1148,RoR!$E:$F,2,FALSE)</f>
        <v>3.9299999999999995E-2</v>
      </c>
      <c r="DD1148" s="216">
        <f>HLOOKUP($H1148,'GDP-PI'!$D$8:$CQ$11,3,FALSE)</f>
        <v>2.386056741932796E-2</v>
      </c>
      <c r="DE1148" s="111">
        <f>VLOOKUP(H1148,'HW Dx Data'!$E:$F,2,FALSE)</f>
        <v>755.13671434174842</v>
      </c>
      <c r="DF1148" s="72">
        <f t="shared" si="2081"/>
        <v>144.44999999999999</v>
      </c>
      <c r="DG1148" s="69">
        <f t="shared" si="2082"/>
        <v>2.80818733619915E-2</v>
      </c>
      <c r="DH1148" s="66">
        <f>HLOOKUP(H1148,'GDP-PI'!$8:$9,2,FALSE)</f>
        <v>110.322</v>
      </c>
      <c r="DI1148" s="69">
        <f t="shared" si="2073"/>
        <v>2.3580352716508712E-2</v>
      </c>
    </row>
    <row r="1149" spans="1:113" s="160" customFormat="1" ht="21">
      <c r="A1149" s="160" t="s">
        <v>228</v>
      </c>
      <c r="B1149" s="160" t="s">
        <v>228</v>
      </c>
      <c r="C1149" s="160">
        <v>4063179</v>
      </c>
      <c r="D1149" s="161" t="s">
        <v>213</v>
      </c>
      <c r="E1149" s="161"/>
      <c r="F1149" s="189"/>
      <c r="G1149" s="160" t="s">
        <v>140</v>
      </c>
      <c r="H1149" s="162">
        <v>2019</v>
      </c>
      <c r="I1149" s="163"/>
      <c r="J1149" s="159">
        <f>IFERROR(INDEX('Labor Expenditures'!$F$7:$X$91,MATCH($C1149,'Labor Expenditures'!$D$7:$D$91,0),MATCH($G1149,'Labor Expenditures'!$F$5:$X$5,0)),"NA")</f>
        <v>427.26194463761101</v>
      </c>
      <c r="K1149" s="159">
        <f t="shared" si="2074"/>
        <v>2.8545979264246601</v>
      </c>
      <c r="L1149" s="165">
        <f t="shared" si="2079"/>
        <v>-0.1185652831138171</v>
      </c>
      <c r="M1149" s="76">
        <f t="shared" si="2083"/>
        <v>-1.3326334087381724E-5</v>
      </c>
      <c r="N1149" s="62">
        <f t="shared" si="2091"/>
        <v>117.07682459618772</v>
      </c>
      <c r="O1149" s="96">
        <f t="shared" si="2084"/>
        <v>-1.9094573388761448E-3</v>
      </c>
      <c r="P1149" s="96"/>
      <c r="Q1149" s="159">
        <f>IFERROR(INDEX('Non-Labor Expenditures'!$F$7:$AB$91,MATCH($C1149,'Non-Labor Expenditures'!$D$7:$D$91,0),MATCH($G1149,'Non-Labor Expenditures'!$F$5:$AB$5,0)),"NA")</f>
        <v>618.75509735873709</v>
      </c>
      <c r="R1149" s="159">
        <f t="shared" si="2075"/>
        <v>5.5089575790054761</v>
      </c>
      <c r="S1149" s="165">
        <f t="shared" si="2085"/>
        <v>-0.10096320466604763</v>
      </c>
      <c r="T1149" s="165">
        <f t="shared" si="2086"/>
        <v>-1.1347920407872351E-5</v>
      </c>
      <c r="U1149" s="165"/>
      <c r="V1149" s="165"/>
      <c r="W1149" s="159">
        <f t="shared" si="2055"/>
        <v>445.41195403106457</v>
      </c>
      <c r="X1149" s="163"/>
      <c r="Y1149" s="167">
        <v>23.441640192512683</v>
      </c>
      <c r="Z1149" s="168">
        <v>1.2595508066039275E-2</v>
      </c>
      <c r="AA1149" s="168">
        <f t="shared" si="2087"/>
        <v>1.4156922168120719E-6</v>
      </c>
      <c r="AB1149" s="168"/>
      <c r="AC1149" s="168"/>
      <c r="AD1149" s="163">
        <f t="shared" si="2005"/>
        <v>1491.4289960274127</v>
      </c>
      <c r="AE1149" s="168">
        <f t="shared" si="2088"/>
        <v>-5.3930286713730832E-2</v>
      </c>
      <c r="AF1149" s="163"/>
      <c r="AG1149" s="163"/>
      <c r="AH1149" s="163"/>
      <c r="AI1149" s="163"/>
      <c r="AJ1149" s="116">
        <f t="shared" si="2089"/>
        <v>591.60214043134181</v>
      </c>
      <c r="AK1149" s="114">
        <f>+AV1149/$AX$24</f>
        <v>6.6931544959267464E-5</v>
      </c>
      <c r="AL1149" s="115">
        <f t="shared" si="2076"/>
        <v>0.28647823381178106</v>
      </c>
      <c r="AM1149" s="115">
        <f t="shared" si="2077"/>
        <v>0.41487398931284036</v>
      </c>
      <c r="AN1149" s="115">
        <f t="shared" si="2078"/>
        <v>0.29864777687537852</v>
      </c>
      <c r="AO1149" s="115">
        <f t="shared" si="2080"/>
        <v>-7.334215691790516E-2</v>
      </c>
      <c r="AP1149" s="166">
        <f t="shared" si="2093"/>
        <v>115.32731853317647</v>
      </c>
      <c r="AQ1149" s="168">
        <f t="shared" si="2094"/>
        <v>-7.3342156917905146E-2</v>
      </c>
      <c r="AR1149" s="69">
        <f>+AD1149/$AF$24</f>
        <v>1.1239659483281518E-4</v>
      </c>
      <c r="AS1149" s="169">
        <f t="shared" si="2092"/>
        <v>-8.2434086952665371E-6</v>
      </c>
      <c r="AT1149" s="115"/>
      <c r="AU1149" s="115"/>
      <c r="AV1149" s="113">
        <v>2521</v>
      </c>
      <c r="AW1149" s="68">
        <f t="shared" si="2004"/>
        <v>-0.1726224174491903</v>
      </c>
      <c r="AX1149" s="114"/>
      <c r="AY1149" s="114"/>
      <c r="AZ1149" s="116"/>
      <c r="BA1149" s="116"/>
      <c r="BB1149" s="166"/>
      <c r="BC1149" s="166"/>
      <c r="BD1149" s="166"/>
      <c r="BE1149" s="166"/>
      <c r="BF1149" s="166"/>
      <c r="BG1149" s="166"/>
      <c r="BH1149" s="166"/>
      <c r="BI1149" s="113"/>
      <c r="BJ1149" s="113"/>
      <c r="BK1149" s="113"/>
      <c r="BL1149" s="113"/>
      <c r="BM1149" s="231">
        <f t="shared" si="2056"/>
        <v>0.8853938063886857</v>
      </c>
      <c r="BN1149" s="61"/>
      <c r="BO1149" s="113" t="str">
        <f>INDEX('Dist Plant Depreciation'!$E$7:$AD$94,MATCH($C1149,'Dist Plant Depreciation'!$D$7:$D$94,0),MATCH(Calculation!$G1149,'Dist Plant Depreciation'!$E$5:$AD$5,0))</f>
        <v>NA</v>
      </c>
      <c r="BP1149" s="113" t="str">
        <f>INDEX('Gen. Plant Depreciation'!$E$7:$AD$94,MATCH($C1149,'Gen. Plant Depreciation'!$D$7:$D$94,0),MATCH(Calculation!$G1149,'Gen. Plant Depreciation'!$E$5:$AD$5,0))</f>
        <v>NA</v>
      </c>
      <c r="BQ1149" s="113"/>
      <c r="BR1149" s="113"/>
      <c r="BS1149" s="113"/>
      <c r="BT1149" s="113"/>
      <c r="BU1149" s="113"/>
      <c r="BV1149" s="175"/>
      <c r="BW1149" s="113">
        <f>INDEX('Gross Dx Plant'!$E$7:$AD$91,MATCH($C1149,'Gross Dx Plant'!$D$7:$D$91,0),MATCH(Calculation!$G1149,'Gross Dx Plant'!$E$5:$AD$5,0))</f>
        <v>7262</v>
      </c>
      <c r="BX1149" s="113">
        <f>INDEX('Gross Gen Plant'!$E$7:$AD$91,MATCH($C1149,'Gross Gen Plant'!$D$7:$D$91,0),MATCH(Calculation!$G1149,'Gross Gen Plant'!$E$5:$AD$5,0))</f>
        <v>940</v>
      </c>
      <c r="BY1149" s="113" t="str">
        <f t="shared" si="2067"/>
        <v>NA</v>
      </c>
      <c r="BZ1149" s="113"/>
      <c r="CA1149" s="116">
        <v>2019</v>
      </c>
      <c r="CB1149" s="113"/>
      <c r="CC1149" s="113"/>
      <c r="CD1149" s="113"/>
      <c r="CE1149" s="175"/>
      <c r="CF1149" s="238">
        <v>417</v>
      </c>
      <c r="CG1149" s="113">
        <f t="shared" si="2058"/>
        <v>0.53908056269518079</v>
      </c>
      <c r="CH1149" s="178">
        <v>0.85106382978723405</v>
      </c>
      <c r="CI1149" s="61">
        <f>CI1128*CH1149+CG1129*CH1148+CG1130*CH1147+CG1131*CH1146+CG1132*CH1145+CG1133*CH1144+CG1134*CH1143+CG1135*CH1142+CG1136*CH1141+CG1137*CH1140+CG1138*CH1139+CG1139*CH1138+CG1140*CH1137+CG1141*CH1136+CG1142*CH1135+CG1143*CH1134+CG1144*CH1133+CG1145*CH1132+CG1146*CH1131+CG1147*CH1130+CG1148*CH1129+CG1149</f>
        <v>23.441640192512683</v>
      </c>
      <c r="CJ1149" s="114">
        <f t="shared" si="2059"/>
        <v>1.2595508066039275E-2</v>
      </c>
      <c r="CK1149" s="114"/>
      <c r="CL1149" s="169">
        <f t="shared" si="2060"/>
        <v>1.0613029864713823E-2</v>
      </c>
      <c r="CM1149" s="169">
        <f t="shared" si="2069"/>
        <v>1.0200797852409672E-2</v>
      </c>
      <c r="CN1149" s="114">
        <f>VLOOKUP($H1149,RoR!$E:$F,2,FALSE)</f>
        <v>3.3875000000000009E-2</v>
      </c>
      <c r="CO1149" s="169">
        <v>1.8092492884465461E-2</v>
      </c>
      <c r="CP1149" s="169">
        <f t="shared" si="2066"/>
        <v>1.5782507115534548E-2</v>
      </c>
      <c r="CQ1149" s="169">
        <f t="shared" si="2070"/>
        <v>2.0701143756123953E-2</v>
      </c>
      <c r="CR1149" s="169">
        <f t="shared" si="2071"/>
        <v>4.8445665544254078E-2</v>
      </c>
      <c r="CS1149" s="179">
        <f t="shared" si="2061"/>
        <v>0.90907250000000006</v>
      </c>
      <c r="CT1149" s="180">
        <f t="shared" si="2062"/>
        <v>1.513861292459078</v>
      </c>
      <c r="CU1149" s="180">
        <f t="shared" si="2063"/>
        <v>0.23699261992619944</v>
      </c>
      <c r="CV1149" s="180">
        <f t="shared" si="2064"/>
        <v>0.73619765810468829</v>
      </c>
      <c r="CW1149" s="180">
        <f t="shared" si="2065"/>
        <v>0.26412854465362851</v>
      </c>
      <c r="CX1149" s="181">
        <f>INDEX('State Tax Lookup'!$D$7:$Z$91,MATCH(Calculation!$C1149,'State Tax Lookup'!$B$7:$B$91,0),MATCH($H1149,'State Tax Lookup'!$D$6:$Z$6,0))</f>
        <v>0.24574999999999997</v>
      </c>
      <c r="CY1149" s="72">
        <v>0.37</v>
      </c>
      <c r="CZ1149" s="70">
        <f t="shared" si="2068"/>
        <v>19.241726286658899</v>
      </c>
      <c r="DA1149" s="70">
        <v>19.236104090735289</v>
      </c>
      <c r="DB1149" s="69">
        <f t="shared" si="2072"/>
        <v>4.0641932940857182E-3</v>
      </c>
      <c r="DC1149" s="111">
        <f>VLOOKUP($H1149,RoR!$E:$F,2,FALSE)</f>
        <v>3.3875000000000009E-2</v>
      </c>
      <c r="DD1149" s="216">
        <f>HLOOKUP($H1149,'GDP-PI'!$D$8:$CQ$11,3,FALSE)</f>
        <v>1.8092492884465461E-2</v>
      </c>
      <c r="DE1149" s="111">
        <f>VLOOKUP(H1149,'HW Dx Data'!$E:$F,2,FALSE)</f>
        <v>773.53929793938721</v>
      </c>
      <c r="DF1149" s="72">
        <f t="shared" si="2081"/>
        <v>149.67500000000001</v>
      </c>
      <c r="DG1149" s="69">
        <f t="shared" si="2082"/>
        <v>3.5532849899171604E-2</v>
      </c>
      <c r="DH1149" s="66">
        <f>HLOOKUP(H1149,'GDP-PI'!$8:$9,2,FALSE)</f>
        <v>112.318</v>
      </c>
      <c r="DI1149" s="69">
        <f t="shared" si="2073"/>
        <v>1.7930771451401852E-2</v>
      </c>
    </row>
    <row r="1150" spans="1:113" s="160" customFormat="1" ht="21">
      <c r="A1150" s="160" t="s">
        <v>228</v>
      </c>
      <c r="B1150" s="160" t="s">
        <v>228</v>
      </c>
      <c r="C1150" s="160">
        <v>4063179</v>
      </c>
      <c r="D1150" s="160" t="s">
        <v>213</v>
      </c>
      <c r="G1150" s="161" t="s">
        <v>141</v>
      </c>
      <c r="H1150" s="162">
        <v>2020</v>
      </c>
      <c r="I1150" s="163"/>
      <c r="J1150" s="159">
        <f>IFERROR(INDEX('Labor Expenditures'!$F$7:$X$91,MATCH($C1150,'Labor Expenditures'!$D$7:$D$91,0),MATCH($G1150,'Labor Expenditures'!$F$5:$X$5,0)),"NA")</f>
        <v>404.65343708141523</v>
      </c>
      <c r="K1150" s="159">
        <f t="shared" si="2074"/>
        <v>2.6422033110115262</v>
      </c>
      <c r="L1150" s="165">
        <f t="shared" si="2079"/>
        <v>-7.7317845227312387E-2</v>
      </c>
      <c r="M1150" s="76">
        <f t="shared" si="2083"/>
        <v>-8.226824092413947E-6</v>
      </c>
      <c r="N1150" s="62">
        <f t="shared" si="2091"/>
        <v>115.83990226067715</v>
      </c>
      <c r="O1150" s="96">
        <f t="shared" si="2084"/>
        <v>-1.0621254904190722E-2</v>
      </c>
      <c r="P1150" s="96"/>
      <c r="Q1150" s="159">
        <f>IFERROR(INDEX('Non-Labor Expenditures'!$F$7:$AB$91,MATCH($C1150,'Non-Labor Expenditures'!$D$7:$D$91,0),MATCH($G1150,'Non-Labor Expenditures'!$F$5:$AB$5,0)),"NA")</f>
        <v>586.01375573062955</v>
      </c>
      <c r="R1150" s="159">
        <f t="shared" si="2075"/>
        <v>5.1575275756724386</v>
      </c>
      <c r="S1150" s="165">
        <f t="shared" si="2085"/>
        <v>-6.5918105491336518E-2</v>
      </c>
      <c r="T1150" s="165">
        <f t="shared" si="2086"/>
        <v>-7.013861506203048E-6</v>
      </c>
      <c r="U1150" s="165"/>
      <c r="V1150" s="165"/>
      <c r="W1150" s="159">
        <f t="shared" si="2055"/>
        <v>464.59000557903778</v>
      </c>
      <c r="X1150" s="163"/>
      <c r="Y1150" s="167">
        <v>23.490364328830506</v>
      </c>
      <c r="Z1150" s="168">
        <v>2.0763721609681719E-3</v>
      </c>
      <c r="AA1150" s="168">
        <f t="shared" si="2087"/>
        <v>2.209315128797252E-7</v>
      </c>
      <c r="AB1150" s="168"/>
      <c r="AC1150" s="168"/>
      <c r="AD1150" s="163">
        <f t="shared" si="2005"/>
        <v>1455.2571983910825</v>
      </c>
      <c r="AE1150" s="168">
        <f t="shared" si="2088"/>
        <v>-2.4552064436465296E-2</v>
      </c>
      <c r="AF1150" s="163"/>
      <c r="AG1150" s="163"/>
      <c r="AH1150" s="163"/>
      <c r="AI1150" s="163"/>
      <c r="AJ1150" s="116">
        <f t="shared" si="2089"/>
        <v>539.98411814140354</v>
      </c>
      <c r="AK1150" s="114">
        <f>+AV1150/$AX$25</f>
        <v>7.1045912082805951E-5</v>
      </c>
      <c r="AL1150" s="115">
        <f t="shared" si="2076"/>
        <v>0.27806317503792177</v>
      </c>
      <c r="AM1150" s="115">
        <f t="shared" si="2077"/>
        <v>0.40268741249211504</v>
      </c>
      <c r="AN1150" s="115">
        <f t="shared" si="2078"/>
        <v>0.31924941246996319</v>
      </c>
      <c r="AO1150" s="115">
        <f t="shared" si="2080"/>
        <v>-4.8129119740688536E-2</v>
      </c>
      <c r="AP1150" s="166">
        <f t="shared" si="2093"/>
        <v>109.9081716361701</v>
      </c>
      <c r="AQ1150" s="168">
        <f t="shared" si="2094"/>
        <v>-4.8129119740688571E-2</v>
      </c>
      <c r="AR1150" s="69">
        <f>+AD1150/$AF$25</f>
        <v>1.0640265605213525E-4</v>
      </c>
      <c r="AS1150" s="169">
        <f t="shared" si="2092"/>
        <v>-5.1210661738605194E-6</v>
      </c>
      <c r="AT1150" s="115"/>
      <c r="AU1150" s="115"/>
      <c r="AV1150" s="113">
        <v>2695</v>
      </c>
      <c r="AW1150" s="68">
        <f t="shared" si="2004"/>
        <v>6.6742556155177768E-2</v>
      </c>
      <c r="AX1150" s="114"/>
      <c r="AY1150" s="114"/>
      <c r="AZ1150" s="116"/>
      <c r="BA1150" s="116"/>
      <c r="BB1150" s="166"/>
      <c r="BC1150" s="166"/>
      <c r="BD1150" s="166"/>
      <c r="BE1150" s="166"/>
      <c r="BF1150" s="166"/>
      <c r="BG1150" s="166"/>
      <c r="BH1150" s="166"/>
      <c r="BI1150" s="113"/>
      <c r="BJ1150" s="113"/>
      <c r="BK1150" s="113">
        <f>INDEX('Dist. Plant Gas Additions'!$F$7:$AE$91,MATCH($C1150,'Dist. Plant Gas Additions'!$D$7:$D$91,0),MATCH(Calculation!$G1150,'Dist. Plant Gas Additions'!$F$5:$AE$5,0))</f>
        <v>236</v>
      </c>
      <c r="BL1150" s="113">
        <f>INDEX('Gen. Plant Additions'!$F$7:$AE$91,MATCH($C1150,'Gen. Plant Additions'!$D$7:$D$91,0),MATCH(Calculation!$G1150,'Gen. Plant Additions'!$F$5:$AE$5,0))</f>
        <v>14</v>
      </c>
      <c r="BM1150" s="231">
        <f t="shared" si="2056"/>
        <v>0.88822670882996835</v>
      </c>
      <c r="BN1150" s="61">
        <f t="shared" si="2090"/>
        <v>12.435173923619557</v>
      </c>
      <c r="BO1150" s="113">
        <f>INDEX('Dist Plant Depreciation'!$E$7:$AD$94,MATCH($C1150,'Dist Plant Depreciation'!$D$7:$D$94,0),MATCH(Calculation!$G1150,'Dist Plant Depreciation'!$E$5:$AD$5,0))</f>
        <v>5071</v>
      </c>
      <c r="BP1150" s="113">
        <f>INDEX('Gen. Plant Depreciation'!$E$7:$AD$94,MATCH($C1150,'Gen. Plant Depreciation'!$D$7:$D$94,0),MATCH(Calculation!$G1150,'Gen. Plant Depreciation'!$E$5:$AD$5,0))</f>
        <v>592</v>
      </c>
      <c r="BQ1150" s="113"/>
      <c r="BR1150" s="113"/>
      <c r="BS1150" s="113"/>
      <c r="BT1150" s="113"/>
      <c r="BU1150" s="113"/>
      <c r="BV1150" s="175"/>
      <c r="BW1150" s="113">
        <f>INDEX('Gross Dx Plant'!$E$7:$AD$91,MATCH($C1150,'Gross Dx Plant'!$D$7:$D$91,0),MATCH(Calculation!$G1150,'Gross Dx Plant'!$E$5:$AD$5,0))</f>
        <v>7303</v>
      </c>
      <c r="BX1150" s="113">
        <f>INDEX('Gross Gen Plant'!$E$7:$AD$91,MATCH($C1150,'Gross Gen Plant'!$D$7:$D$91,0),MATCH(Calculation!$G1150,'Gross Gen Plant'!$E$5:$AD$5,0))</f>
        <v>919</v>
      </c>
      <c r="BY1150" s="113">
        <f t="shared" si="2067"/>
        <v>2559</v>
      </c>
      <c r="BZ1150" s="113"/>
      <c r="CA1150" s="116">
        <v>2020</v>
      </c>
      <c r="CB1150" s="113"/>
      <c r="CC1150" s="113"/>
      <c r="CD1150" s="113"/>
      <c r="CE1150" s="175"/>
      <c r="CF1150" s="113">
        <f>+BL1150+BK1150</f>
        <v>250</v>
      </c>
      <c r="CG1150" s="113">
        <f t="shared" si="2058"/>
        <v>0.30747275796764717</v>
      </c>
      <c r="CH1150" s="178">
        <v>0.84057971014492749</v>
      </c>
      <c r="CI1150" s="61">
        <f>CI1128*CH1150+CG1129*CH1149+CG1130*CH1148+CG1131*CH1147+CG1132*CH1146+CG1133*CH1145+CG1134*CH1144+CG1135*CH1143+CG1136*CH1142+CG1137*CH1141+CG1138*CH1140+CG1139*CH1139+CG1140*CH1138+CG1141*CH1137+CG1142*CH1136+CG1143*CH1135+CG1144*CH1134+CG1145*CH1133+CG1146*CH1132+CG1147*CH1131+CG1148*CH1130+CG1149*CH1129+CG1150</f>
        <v>23.490364328830506</v>
      </c>
      <c r="CJ1150" s="114">
        <f t="shared" si="2059"/>
        <v>2.0763721609681719E-3</v>
      </c>
      <c r="CK1150" s="114"/>
      <c r="CL1150" s="169">
        <f t="shared" si="2060"/>
        <v>1.1037991348935955E-2</v>
      </c>
      <c r="CM1150" s="169">
        <f t="shared" si="2069"/>
        <v>1.062250039331916E-2</v>
      </c>
      <c r="CN1150" s="114">
        <f>VLOOKUP($H1150,RoR!$E:$F,2,FALSE)</f>
        <v>2.4766666666666666E-2</v>
      </c>
      <c r="CO1150" s="169">
        <v>1.1618796630994188E-2</v>
      </c>
      <c r="CP1150" s="169">
        <f t="shared" si="2066"/>
        <v>1.3147870035672478E-2</v>
      </c>
      <c r="CQ1150" s="169">
        <f t="shared" si="2070"/>
        <v>2.0279441215214467E-2</v>
      </c>
      <c r="CR1150" s="169">
        <f t="shared" si="2071"/>
        <v>4.5144642961987357E-2</v>
      </c>
      <c r="CS1150" s="179">
        <f t="shared" si="2061"/>
        <v>0.90907250000000006</v>
      </c>
      <c r="CT1150" s="180">
        <f t="shared" si="2062"/>
        <v>2.0706077233668081</v>
      </c>
      <c r="CU1150" s="180">
        <f t="shared" si="2063"/>
        <v>-3.4421265141318998E-2</v>
      </c>
      <c r="CV1150" s="180">
        <f t="shared" si="2064"/>
        <v>0.62416226176410472</v>
      </c>
      <c r="CW1150" s="180">
        <f t="shared" si="2065"/>
        <v>-4.4485877841158712E-2</v>
      </c>
      <c r="CX1150" s="181">
        <f>INDEX('State Tax Lookup'!$D$7:$Z$91,MATCH(Calculation!$C1150,'State Tax Lookup'!$B$7:$B$91,0),MATCH($H1150,'State Tax Lookup'!$D$6:$Z$6,0))</f>
        <v>0.24574999999999997</v>
      </c>
      <c r="CY1150" s="72">
        <v>0.37</v>
      </c>
      <c r="CZ1150" s="70">
        <f t="shared" si="2068"/>
        <v>19.819005912710363</v>
      </c>
      <c r="DA1150" s="70">
        <v>19.952659173050833</v>
      </c>
      <c r="DB1150" s="69">
        <f t="shared" si="2072"/>
        <v>2.9560206826182506E-2</v>
      </c>
      <c r="DC1150" s="111">
        <f>VLOOKUP($H1150,RoR!$E:$F,2,FALSE)</f>
        <v>2.4766666666666666E-2</v>
      </c>
      <c r="DD1150" s="216">
        <f>HLOOKUP($H1150,'GDP-PI'!$D$8:$CQ$11,3,FALSE)</f>
        <v>1.1618796630994188E-2</v>
      </c>
      <c r="DE1150" s="111">
        <f>VLOOKUP(H1150,'HW Dx Data'!$E:$F,2,FALSE)</f>
        <v>813.080162458833</v>
      </c>
      <c r="DF1150" s="72">
        <f t="shared" si="2081"/>
        <v>153.15</v>
      </c>
      <c r="DG1150" s="69">
        <f t="shared" si="2082"/>
        <v>2.2951556467368479E-2</v>
      </c>
      <c r="DH1150" s="66">
        <f>HLOOKUP(H1150,'GDP-PI'!$8:$9,2,FALSE)</f>
        <v>113.623</v>
      </c>
      <c r="DI1150" s="69">
        <f t="shared" si="2073"/>
        <v>1.1551816731392881E-2</v>
      </c>
    </row>
    <row r="1151" spans="1:113" s="160" customFormat="1" ht="21">
      <c r="A1151" s="160" t="s">
        <v>228</v>
      </c>
      <c r="B1151" s="160" t="s">
        <v>228</v>
      </c>
      <c r="C1151" s="160">
        <v>4063179</v>
      </c>
      <c r="D1151" s="160" t="s">
        <v>213</v>
      </c>
      <c r="G1151" s="161" t="s">
        <v>142</v>
      </c>
      <c r="H1151" s="162">
        <v>2021</v>
      </c>
      <c r="I1151" s="163"/>
      <c r="J1151" s="159">
        <v>442.96540952827968</v>
      </c>
      <c r="K1151" s="159">
        <f t="shared" si="2074"/>
        <v>2.8169501400844497</v>
      </c>
      <c r="L1151" s="164">
        <f t="shared" si="2079"/>
        <v>6.4041632498970436E-2</v>
      </c>
      <c r="M1151" s="76">
        <f t="shared" si="2083"/>
        <v>6.9885846524772871E-6</v>
      </c>
      <c r="N1151" s="166">
        <f>+N1150*EXP(O1151)</f>
        <v>116.90662556120813</v>
      </c>
      <c r="O1151" s="114">
        <f t="shared" si="2084"/>
        <v>9.1664591493372319E-3</v>
      </c>
      <c r="P1151" s="114"/>
      <c r="Q1151" s="159">
        <v>624.42111945552688</v>
      </c>
      <c r="R1151" s="159">
        <f t="shared" si="2075"/>
        <v>5.2698212461433611</v>
      </c>
      <c r="S1151" s="165">
        <f t="shared" si="2085"/>
        <v>2.1539130178118201E-2</v>
      </c>
      <c r="T1151" s="165">
        <f t="shared" si="2086"/>
        <v>2.3504715404143887E-6</v>
      </c>
      <c r="U1151" s="165"/>
      <c r="V1151" s="165"/>
      <c r="W1151" s="159">
        <f t="shared" si="2055"/>
        <v>604.67562376098329</v>
      </c>
      <c r="X1151" s="163"/>
      <c r="Y1151" s="167">
        <v>23.907300442845109</v>
      </c>
      <c r="Z1151" s="168"/>
      <c r="AA1151" s="168">
        <f t="shared" si="2087"/>
        <v>0</v>
      </c>
      <c r="AB1151" s="168"/>
      <c r="AC1151" s="168"/>
      <c r="AD1151" s="163">
        <f t="shared" si="2005"/>
        <v>1672.0621527447897</v>
      </c>
      <c r="AE1151" s="168">
        <f t="shared" si="2088"/>
        <v>0.13887503301049142</v>
      </c>
      <c r="AF1151" s="113"/>
      <c r="AG1151" s="114"/>
      <c r="AH1151" s="114"/>
      <c r="AI1151" s="114"/>
      <c r="AJ1151" s="116">
        <f t="shared" si="2089"/>
        <v>656.99888123567382</v>
      </c>
      <c r="AK1151" s="114">
        <f>+AV1151/$AX$26</f>
        <v>6.5921924896330714E-5</v>
      </c>
      <c r="AL1151" s="115">
        <f t="shared" si="2076"/>
        <v>0.26492161717859924</v>
      </c>
      <c r="AM1151" s="115">
        <f t="shared" si="2077"/>
        <v>0.37344372542043508</v>
      </c>
      <c r="AN1151" s="115">
        <f t="shared" si="2078"/>
        <v>0.36163465740096573</v>
      </c>
      <c r="AO1151" s="115">
        <f t="shared" si="2080"/>
        <v>2.5745411065224842E-2</v>
      </c>
      <c r="AP1151" s="166">
        <f t="shared" si="2093"/>
        <v>112.77454231636982</v>
      </c>
      <c r="AQ1151" s="168">
        <f t="shared" si="2094"/>
        <v>2.5745411065224905E-2</v>
      </c>
      <c r="AR1151" s="69">
        <f>+AD1151/$AF$26</f>
        <v>1.0912564811007338E-4</v>
      </c>
      <c r="AS1151" s="169">
        <f t="shared" si="2092"/>
        <v>2.8094846683529224E-6</v>
      </c>
      <c r="AT1151" s="115"/>
      <c r="AU1151" s="115"/>
      <c r="AV1151" s="113">
        <v>2545</v>
      </c>
      <c r="AW1151" s="68">
        <f t="shared" si="2004"/>
        <v>-5.726755435847438E-2</v>
      </c>
      <c r="AX1151" s="113"/>
      <c r="AY1151" s="113"/>
      <c r="AZ1151" s="116"/>
      <c r="BA1151" s="116"/>
      <c r="BB1151" s="166"/>
      <c r="BC1151" s="166"/>
      <c r="BD1151" s="166"/>
      <c r="BE1151" s="166"/>
      <c r="BF1151" s="166"/>
      <c r="BG1151" s="166"/>
      <c r="BH1151" s="166"/>
      <c r="BI1151" s="113"/>
      <c r="BJ1151" s="113"/>
      <c r="BK1151" s="113">
        <f>INDEX('Dist. Plant Gas Additions'!$E$7:$AE$91,MATCH($C1151,'Dist. Plant Gas Additions'!$D$7:$D$91,0),MATCH(Calculation!$G1151,'Dist. Plant Gas Additions'!$E$5:$AE$5,0))</f>
        <v>309</v>
      </c>
      <c r="BL1151" s="113">
        <f>INDEX('Gen. Plant Additions'!$E$7:$AE$91,MATCH($C1151,'Gen. Plant Additions'!$D$7:$D$91,0),MATCH(Calculation!$G1151,'Gen. Plant Additions'!$E$5:$AE$5,0))</f>
        <v>127</v>
      </c>
      <c r="BM1151" s="232"/>
      <c r="BN1151" s="61">
        <f t="shared" si="2090"/>
        <v>0</v>
      </c>
      <c r="BO1151" s="113"/>
      <c r="BP1151" s="113"/>
      <c r="BQ1151" s="175"/>
      <c r="BR1151" s="175"/>
      <c r="BS1151" s="170"/>
      <c r="BT1151" s="176"/>
      <c r="BU1151" s="177"/>
      <c r="BV1151" s="177"/>
      <c r="BW1151" s="113"/>
      <c r="BX1151" s="113"/>
      <c r="BY1151" s="113"/>
      <c r="BZ1151" s="113"/>
      <c r="CA1151" s="116">
        <v>2021</v>
      </c>
      <c r="CB1151" s="113"/>
      <c r="CC1151" s="113"/>
      <c r="CD1151" s="113"/>
      <c r="CE1151" s="175"/>
      <c r="CF1151" s="113">
        <f t="shared" ref="CF1151" si="2095">+BL1151+BK1151</f>
        <v>436</v>
      </c>
      <c r="CG1151" s="113">
        <f t="shared" si="2058"/>
        <v>0.46729848461968454</v>
      </c>
      <c r="CH1151" s="178">
        <f>+(51-23)/(51-23*0.75)</f>
        <v>0.82962962962962961</v>
      </c>
      <c r="CI1151" s="113">
        <f>CI1128*CH1151+CG1129*CH1150+CG1130*CH1149+CG1131*CH1148+CG1132*CH1147+CG1133*CH1146+CG1134*CH1145+CG1135*CH1144+CG1136*CH1143+CG1137*CH1142+CG1138*CH1141+CG1139*CH1140+CG1140*CH1139+CG1141*CH1138+CG1142*CH1137+CG1133*CH1136+CG1144*CH1135+CG1145*CH1134+CG1146*CH1133+CG1147*CH1132+CG1148*CH1131+CG1149*CH1130+CG1151+CG1150*CH1129</f>
        <v>23.907300442845109</v>
      </c>
      <c r="CJ1151" s="114"/>
      <c r="CK1151" s="113"/>
      <c r="CL1151" s="169">
        <f t="shared" si="2060"/>
        <v>2.1439586845091794E-3</v>
      </c>
      <c r="CM1151" s="169">
        <f t="shared" si="2069"/>
        <v>7.9316599660529865E-3</v>
      </c>
      <c r="CN1151" s="114">
        <f>VLOOKUP($H1151,RoR!$E:$F,2,FALSE)</f>
        <v>2.7033333333333336E-2</v>
      </c>
      <c r="CO1151" s="169"/>
      <c r="CP1151" s="169"/>
      <c r="CQ1151" s="169">
        <f t="shared" si="2070"/>
        <v>2.297028164248064E-2</v>
      </c>
      <c r="CR1151" s="169">
        <f t="shared" si="2071"/>
        <v>7.433422950153494E-2</v>
      </c>
      <c r="CS1151" s="179">
        <f t="shared" si="2061"/>
        <v>0.90907250000000006</v>
      </c>
      <c r="CT1151" s="180">
        <f t="shared" si="2062"/>
        <v>1.8969932656739068</v>
      </c>
      <c r="CU1151" s="180">
        <f t="shared" si="2063"/>
        <v>5.0215782983970621E-2</v>
      </c>
      <c r="CV1151" s="180">
        <f t="shared" si="2064"/>
        <v>0.655952481704143</v>
      </c>
      <c r="CW1151" s="180">
        <f t="shared" si="2065"/>
        <v>6.2485378865697057E-2</v>
      </c>
      <c r="CX1151" s="181">
        <f>CX1150</f>
        <v>0.24574999999999997</v>
      </c>
      <c r="CY1151" s="72">
        <v>0.37</v>
      </c>
      <c r="CZ1151" s="182">
        <f t="shared" si="2068"/>
        <v>25.741432329291069</v>
      </c>
      <c r="DA1151" s="182"/>
      <c r="DB1151" s="169">
        <f>LN(CZ1152/CZ1150)</f>
        <v>0.19279414114854723</v>
      </c>
      <c r="DC1151" s="181">
        <f>VLOOKUP($H1151,RoR!$E:$F,2,FALSE)</f>
        <v>2.7033333333333336E-2</v>
      </c>
      <c r="DD1151" s="183">
        <f>HLOOKUP($H1151,'GDP-PI'!$D$8:$CR$11,3,FALSE)</f>
        <v>4.2834637353352578E-2</v>
      </c>
      <c r="DE1151" s="181">
        <f>VLOOKUP(H1151,'HW Dx Data'!$E:$F,2,FALSE)</f>
        <v>933.02249921662576</v>
      </c>
      <c r="DF1151" s="72">
        <f t="shared" si="2081"/>
        <v>157.25</v>
      </c>
      <c r="DG1151" s="69">
        <f t="shared" si="2082"/>
        <v>2.6419062301765574E-2</v>
      </c>
      <c r="DH1151" s="175">
        <f>HLOOKUP(H1151,'GDP-PI'!$8:$9,2,FALSE)</f>
        <v>118.49</v>
      </c>
      <c r="DI1151" s="169">
        <f t="shared" si="2073"/>
        <v>4.194261824609434E-2</v>
      </c>
    </row>
    <row r="1152" spans="1:113" s="160" customFormat="1" ht="21">
      <c r="G1152" s="161" t="s">
        <v>144</v>
      </c>
      <c r="H1152" s="162"/>
      <c r="I1152" s="163"/>
      <c r="J1152" s="159">
        <v>429.21061232967759</v>
      </c>
      <c r="K1152" s="159">
        <f t="shared" si="2074"/>
        <v>2.6404836193766692</v>
      </c>
      <c r="L1152" s="164">
        <f t="shared" ref="L1152" si="2096">LN(K1152/K1151)</f>
        <v>-6.4692699548093105E-2</v>
      </c>
      <c r="M1152" s="76">
        <f t="shared" si="2083"/>
        <v>-6.4067145990410084E-6</v>
      </c>
      <c r="N1152" s="166">
        <f>+N1151*EXP(O1152)</f>
        <v>116.84701751722093</v>
      </c>
      <c r="O1152" s="114">
        <f t="shared" si="2084"/>
        <v>-5.1000741202775592E-4</v>
      </c>
      <c r="P1152" s="114"/>
      <c r="Q1152" s="215">
        <v>605.0318270189432</v>
      </c>
      <c r="R1152" s="159">
        <f t="shared" si="2075"/>
        <v>4.7546705463178247</v>
      </c>
      <c r="S1152" s="165">
        <f t="shared" ref="S1152" si="2097">LN(R1152/R1151)</f>
        <v>-0.10286903498071209</v>
      </c>
      <c r="T1152" s="165">
        <f t="shared" si="2086"/>
        <v>-1.0187433092202977E-5</v>
      </c>
      <c r="U1152" s="166"/>
      <c r="V1152" s="114"/>
      <c r="W1152" s="159">
        <f t="shared" si="2055"/>
        <v>574.5685338322578</v>
      </c>
      <c r="X1152" s="168"/>
      <c r="Y1152" s="167">
        <v>23.823503877702422</v>
      </c>
      <c r="Z1152" s="168">
        <v>-3.5112189047356349E-3</v>
      </c>
      <c r="AA1152" s="168"/>
      <c r="AB1152" s="166"/>
      <c r="AC1152" s="114"/>
      <c r="AD1152" s="163">
        <f t="shared" si="2005"/>
        <v>1608.8109731808786</v>
      </c>
      <c r="AE1152" s="168">
        <f t="shared" si="2088"/>
        <v>-3.8562306488763652E-2</v>
      </c>
      <c r="AF1152" s="113"/>
      <c r="AG1152" s="114"/>
      <c r="AH1152" s="114"/>
      <c r="AI1152" s="114"/>
      <c r="AJ1152" s="116">
        <f t="shared" si="2089"/>
        <v>559.00311785298072</v>
      </c>
      <c r="AK1152" s="114"/>
      <c r="AL1152" s="115">
        <f t="shared" si="2076"/>
        <v>0.26678747191850577</v>
      </c>
      <c r="AM1152" s="115">
        <f t="shared" si="2077"/>
        <v>0.37607390619837566</v>
      </c>
      <c r="AN1152" s="115">
        <f t="shared" si="2078"/>
        <v>0.35713862188311857</v>
      </c>
      <c r="AO1152" s="115"/>
      <c r="AP1152" s="166"/>
      <c r="AQ1152" s="168"/>
      <c r="AR1152" s="69">
        <f>+AD1152/$AF$27</f>
        <v>9.9033038407652193E-5</v>
      </c>
      <c r="AS1152" s="169"/>
      <c r="AT1152" s="166"/>
      <c r="AU1152" s="168"/>
      <c r="AV1152" s="113">
        <v>2878</v>
      </c>
      <c r="AW1152" s="68">
        <f t="shared" si="2004"/>
        <v>0.12296495846269009</v>
      </c>
      <c r="AX1152" s="113"/>
      <c r="AY1152" s="113"/>
      <c r="AZ1152" s="113"/>
      <c r="BA1152" s="113"/>
      <c r="BB1152" s="171"/>
      <c r="BC1152" s="172"/>
      <c r="BD1152" s="173"/>
      <c r="BE1152" s="115"/>
      <c r="BF1152" s="174"/>
      <c r="BG1152" s="174"/>
      <c r="BH1152" s="166"/>
      <c r="BI1152" s="113"/>
      <c r="BJ1152" s="113"/>
      <c r="BK1152" s="113"/>
      <c r="BL1152" s="113"/>
      <c r="BM1152" s="232"/>
      <c r="BN1152" s="61">
        <f t="shared" si="2090"/>
        <v>0</v>
      </c>
      <c r="BO1152" s="113"/>
      <c r="BP1152" s="113"/>
      <c r="BQ1152" s="175"/>
      <c r="BR1152" s="175"/>
      <c r="BS1152" s="170"/>
      <c r="BT1152" s="176"/>
      <c r="BU1152" s="177"/>
      <c r="BV1152" s="177"/>
      <c r="BW1152" s="113"/>
      <c r="BX1152" s="113"/>
      <c r="BY1152" s="113"/>
      <c r="BZ1152" s="113"/>
      <c r="CA1152" s="116">
        <v>2022</v>
      </c>
      <c r="CB1152" s="113"/>
      <c r="CC1152" s="113"/>
      <c r="CD1152" s="113"/>
      <c r="CE1152" s="175"/>
      <c r="CF1152" s="238">
        <v>445</v>
      </c>
      <c r="CG1152" s="113">
        <f>+CF1152/DE1152</f>
        <v>0.43169934323493175</v>
      </c>
      <c r="CH1152" s="178">
        <f>+(51-24)/(51-24*0.75)</f>
        <v>0.81818181818181823</v>
      </c>
      <c r="CI1152" s="113">
        <f>+CI1128*CH1152+CG1129*CH1151+CG1130*CH1150+CG1131*CH1149+CG1132*CH1148+CG1133*CH1147+CG1134*CH1146+CG1135*CH1145+CG1136*CH1144+CG1137*CH1143+CG1138*CH1142+CG1139*CH1141+CG1140*CH1140+CG1141*CH1139+CG1142*CH1138+CG1143*CH1137+CG1144*CH1136+CG1145*CH1135+CG1146*CH1134+CG1147*CH1133+CG1148*CH1132+CG1149*CH1131+CG1150*CH1130+CG1151*CH1129+CG1152*CH1128</f>
        <v>23.832234875655487</v>
      </c>
      <c r="CJ1152" s="114">
        <f t="shared" ref="CJ1152" si="2098">LN(CI1152/CI1151)</f>
        <v>-3.144799317959674E-3</v>
      </c>
      <c r="CK1152" s="113"/>
      <c r="CL1152" s="169">
        <f t="shared" si="2060"/>
        <v>2.1197077923376179E-2</v>
      </c>
      <c r="CM1152" s="169">
        <f t="shared" si="2069"/>
        <v>1.1459675985607105E-2</v>
      </c>
      <c r="CN1152" s="114"/>
      <c r="CO1152" s="169"/>
      <c r="CP1152" s="169"/>
      <c r="CQ1152" s="69">
        <f t="shared" si="2070"/>
        <v>1.944226562292652E-2</v>
      </c>
      <c r="CR1152" s="169">
        <f t="shared" si="2071"/>
        <v>0.10114668178709289</v>
      </c>
      <c r="CS1152" s="179">
        <f t="shared" si="2061"/>
        <v>0.90907250000000006</v>
      </c>
      <c r="CT1152" s="180">
        <f t="shared" si="2062"/>
        <v>1.2820512820512819</v>
      </c>
      <c r="CU1152" s="180">
        <f t="shared" si="2063"/>
        <v>0.35000000000000003</v>
      </c>
      <c r="CV1152" s="180">
        <f t="shared" si="2064"/>
        <v>0.79171095533705893</v>
      </c>
      <c r="CW1152" s="180">
        <f t="shared" si="2065"/>
        <v>0.35525491585637264</v>
      </c>
      <c r="CX1152" s="181">
        <f>CX1151</f>
        <v>0.24574999999999997</v>
      </c>
      <c r="CY1152" s="72">
        <v>0.37</v>
      </c>
      <c r="CZ1152" s="182">
        <f t="shared" si="2068"/>
        <v>24.033183303396036</v>
      </c>
      <c r="DA1152" s="182"/>
      <c r="DB1152" s="169">
        <f t="shared" ref="DB1152" si="2099">LN(CZ1152/CZ1151)</f>
        <v>-6.866633364223336E-2</v>
      </c>
      <c r="DC1152" s="181">
        <v>0.04</v>
      </c>
      <c r="DD1152" s="183">
        <v>7.0000000000000001E-3</v>
      </c>
      <c r="DE1152" s="181">
        <v>1030.81</v>
      </c>
      <c r="DF1152" s="72">
        <f t="shared" si="2081"/>
        <v>162.55000000000001</v>
      </c>
      <c r="DG1152" s="169">
        <f t="shared" si="2082"/>
        <v>3.3148751169364422E-2</v>
      </c>
      <c r="DH1152" s="175">
        <v>127.25</v>
      </c>
      <c r="DI1152" s="169">
        <f t="shared" si="2073"/>
        <v>7.1325086601983473E-2</v>
      </c>
    </row>
    <row r="1153" spans="1:113" s="160" customFormat="1" ht="21">
      <c r="A1153" s="160" t="s">
        <v>229</v>
      </c>
      <c r="B1153" s="160" t="s">
        <v>229</v>
      </c>
      <c r="C1153" s="160">
        <v>4063183</v>
      </c>
      <c r="D1153" s="161" t="s">
        <v>171</v>
      </c>
      <c r="E1153" s="161" t="s">
        <v>3</v>
      </c>
      <c r="F1153" s="189"/>
      <c r="G1153" s="160" t="s">
        <v>100</v>
      </c>
      <c r="H1153" s="162">
        <v>1998</v>
      </c>
      <c r="I1153" s="163"/>
      <c r="J1153" s="159"/>
      <c r="K1153" s="159"/>
      <c r="L1153" s="159"/>
      <c r="M1153" s="60"/>
      <c r="N1153" s="131"/>
      <c r="O1153" s="76"/>
      <c r="P1153" s="76"/>
      <c r="Q1153" s="165"/>
      <c r="R1153" s="165"/>
      <c r="S1153" s="165"/>
      <c r="T1153" s="159"/>
      <c r="U1153" s="165"/>
      <c r="V1153" s="165"/>
      <c r="W1153" s="159"/>
      <c r="X1153" s="163"/>
      <c r="Y1153" s="167">
        <v>126.21490603776783</v>
      </c>
      <c r="Z1153" s="168"/>
      <c r="AA1153" s="78"/>
      <c r="AB1153" s="168"/>
      <c r="AC1153" s="168"/>
      <c r="AD1153" s="163">
        <f t="shared" si="2005"/>
        <v>0</v>
      </c>
      <c r="AE1153" s="163"/>
      <c r="AF1153" s="163"/>
      <c r="AG1153" s="114"/>
      <c r="AH1153" s="114"/>
      <c r="AI1153" s="114"/>
      <c r="AJ1153" s="166">
        <f>+(AJ1150+AJ1151+AJ1152)/3</f>
        <v>585.32870574335266</v>
      </c>
      <c r="AK1153" s="168"/>
      <c r="AL1153" s="115"/>
      <c r="AM1153" s="115"/>
      <c r="AN1153" s="115"/>
      <c r="AO1153" s="115"/>
      <c r="AP1153" s="115"/>
      <c r="AQ1153" s="168">
        <f>AVERAGE(AQ1162:AQ1176)</f>
        <v>2.1824186994724937E-2</v>
      </c>
      <c r="AR1153" s="115"/>
      <c r="AS1153" s="115"/>
      <c r="AT1153" s="115"/>
      <c r="AU1153" s="115"/>
      <c r="AV1153" s="113">
        <f>IFERROR(INDEX('Total Customers'!$F$7:$AB$91,MATCH($C1153,'Total Customers'!$D$7:$D$91,0),MATCH($G1153,'Total Customers'!$F$5:$AB$5,0)),"NA")</f>
        <v>14428</v>
      </c>
      <c r="AW1153" s="68"/>
      <c r="AX1153" s="114"/>
      <c r="AY1153" s="114"/>
      <c r="AZ1153" s="116"/>
      <c r="BA1153" s="116"/>
      <c r="BB1153" s="166"/>
      <c r="BC1153" s="166"/>
      <c r="BD1153" s="166"/>
      <c r="BE1153" s="166"/>
      <c r="BF1153" s="166"/>
      <c r="BG1153" s="166"/>
      <c r="BH1153" s="166"/>
      <c r="BI1153" s="113">
        <f>INDEX('Gross Dx Plant'!$E$7:$AD$91,MATCH($C1153,'Gross Dx Plant'!$D$7:$D$91,0),MATCH(Calculation!$G1153,'Gross Dx Plant'!$E$5:$AD$5,0))</f>
        <v>32263</v>
      </c>
      <c r="BJ1153" s="113">
        <f>INDEX('Gross Gen Plant'!$E$7:$AD$91,MATCH($C1153,'Gross Gen Plant'!$D$7:$D$91,0),MATCH(Calculation!$G1153,'Gross Gen Plant'!$E$5:$AD$5,0))</f>
        <v>5643</v>
      </c>
      <c r="BK1153" s="113">
        <f>INDEX('Dist. Plant Gas Additions'!$F$7:$AE$91,MATCH($C1153,'Dist. Plant Gas Additions'!$D$7:$D$91,0),MATCH(Calculation!$G1153,'Dist. Plant Gas Additions'!$F$5:$AE$5,0))</f>
        <v>2156</v>
      </c>
      <c r="BL1153" s="113">
        <f>INDEX('Gen. Plant Additions'!$F$7:$AE$91,MATCH($C1153,'Gen. Plant Additions'!$D$7:$D$91,0),MATCH(Calculation!$G1153,'Gen. Plant Additions'!$F$5:$AE$5,0))</f>
        <v>287</v>
      </c>
      <c r="BM1153" s="231">
        <f>+(BW1153/(BW1153+BX1153))</f>
        <v>0.85113174695298899</v>
      </c>
      <c r="BN1153" s="61">
        <f>+BM1153*BL1153</f>
        <v>244.27481137550785</v>
      </c>
      <c r="BO1153" s="113">
        <f>INDEX('Dist Plant Depreciation'!$E$7:$AD$94,MATCH($C1153,'Dist Plant Depreciation'!$D$7:$D$94,0),MATCH(Calculation!$G1153,'Dist Plant Depreciation'!$E$5:$AD$5,0))</f>
        <v>11143</v>
      </c>
      <c r="BP1153" s="113">
        <f>INDEX('Gen. Plant Depreciation'!$E$7:$AD$94,MATCH($C1153,'Gen. Plant Depreciation'!$D$7:$D$94,0),MATCH(Calculation!$G1153,'Gen. Plant Depreciation'!$E$5:$AD$5,0))</f>
        <v>1303</v>
      </c>
      <c r="BQ1153" s="113"/>
      <c r="BR1153" s="113"/>
      <c r="BS1153" s="113"/>
      <c r="BT1153" s="113"/>
      <c r="BU1153" s="113"/>
      <c r="BV1153" s="175"/>
      <c r="BW1153" s="113">
        <f>INDEX('Gross Dx Plant'!$E$7:$AD$91,MATCH($C1153,'Gross Dx Plant'!$D$7:$D$91,0),MATCH(Calculation!$G1153,'Gross Dx Plant'!$E$5:$AD$5,0))</f>
        <v>32263</v>
      </c>
      <c r="BX1153" s="113">
        <f>INDEX('Gross Gen Plant'!$E$7:$AD$91,MATCH($C1153,'Gross Gen Plant'!$D$7:$D$91,0),MATCH(Calculation!$G1153,'Gross Gen Plant'!$E$5:$AD$5,0))</f>
        <v>5643</v>
      </c>
      <c r="BY1153" s="113">
        <f t="shared" si="2067"/>
        <v>25460</v>
      </c>
      <c r="BZ1153" s="113"/>
      <c r="CA1153" s="116">
        <v>1998</v>
      </c>
      <c r="CB1153" s="113">
        <f>BI1153+BJ1153</f>
        <v>37906</v>
      </c>
      <c r="CC1153" s="113">
        <f>11143+1303</f>
        <v>12446</v>
      </c>
      <c r="CD1153" s="113">
        <f>+CB1153-CC1153</f>
        <v>25460</v>
      </c>
      <c r="CE1153" s="113">
        <f>CD1153/$BV$3</f>
        <v>126.21490603776783</v>
      </c>
      <c r="CF1153" s="175"/>
      <c r="CG1153" s="175"/>
      <c r="CH1153" s="178">
        <v>1</v>
      </c>
      <c r="CI1153" s="113">
        <f>+CE1153</f>
        <v>126.21490603776783</v>
      </c>
      <c r="CJ1153" s="114"/>
      <c r="CK1153" s="114"/>
      <c r="CL1153" s="169"/>
      <c r="CM1153" s="169"/>
      <c r="CN1153" s="114" t="e">
        <f>VLOOKUP($H1153,RoR!$E:$F,2,FALSE)</f>
        <v>#N/A</v>
      </c>
      <c r="CO1153" s="169">
        <v>1.1028127770464469E-2</v>
      </c>
      <c r="CP1153" s="169"/>
      <c r="CQ1153" s="169"/>
      <c r="CR1153" s="169"/>
      <c r="CS1153" s="179"/>
      <c r="CT1153" s="182" t="e">
        <f>2/(DC1153*39)</f>
        <v>#N/A</v>
      </c>
      <c r="CU1153" s="180" t="e">
        <f>+(DC1153*40-(1+DC1153))/(DC1153*40)</f>
        <v>#N/A</v>
      </c>
      <c r="CV1153" s="180" t="e">
        <f>+(1-(1/(1+DC1153)^40))</f>
        <v>#N/A</v>
      </c>
      <c r="CW1153" s="180" t="e">
        <f>+CV1153*CU1153*CT1153</f>
        <v>#N/A</v>
      </c>
      <c r="CX1153" s="181">
        <f>INDEX('State Tax Lookup'!$D$7:$Z$91,MATCH(Calculation!$C1153,'State Tax Lookup'!$B$7:$B$91,0),MATCH($H1153,'State Tax Lookup'!$D$6:$Z$6,0))</f>
        <v>0.39649667</v>
      </c>
      <c r="CY1153" s="72">
        <v>0.37</v>
      </c>
      <c r="CZ1153" s="66"/>
      <c r="DA1153" s="66"/>
      <c r="DB1153" s="69"/>
      <c r="DC1153" s="111" t="e">
        <f>VLOOKUP($H1153,RoR!$E:$F,2,FALSE)</f>
        <v>#N/A</v>
      </c>
      <c r="DD1153" s="216">
        <f>HLOOKUP($H1153,'GDP-PI'!$D$8:$CQ$11,3,FALSE)</f>
        <v>1.1028127770464469E-2</v>
      </c>
      <c r="DE1153" s="111">
        <f>VLOOKUP(H1153,'HW Dx Data'!$E:$F,2,FALSE)</f>
        <v>329.24564746449528</v>
      </c>
      <c r="DF1153" s="72" t="e">
        <f t="shared" si="2081"/>
        <v>#N/A</v>
      </c>
      <c r="DG1153" s="169" t="e">
        <f t="shared" si="2082"/>
        <v>#N/A</v>
      </c>
      <c r="DH1153" s="66">
        <f>HLOOKUP(H1153,'GDP-PI'!$8:$9,2,FALSE)</f>
        <v>75.266999999999996</v>
      </c>
      <c r="DI1153"/>
    </row>
    <row r="1154" spans="1:113" s="160" customFormat="1" ht="21">
      <c r="A1154" s="160" t="s">
        <v>229</v>
      </c>
      <c r="B1154" s="160" t="s">
        <v>229</v>
      </c>
      <c r="C1154" s="160">
        <v>4063183</v>
      </c>
      <c r="D1154" s="161" t="s">
        <v>171</v>
      </c>
      <c r="E1154" s="161" t="s">
        <v>3</v>
      </c>
      <c r="F1154" s="189"/>
      <c r="G1154" s="160" t="s">
        <v>106</v>
      </c>
      <c r="H1154" s="162">
        <v>1999</v>
      </c>
      <c r="I1154" s="163"/>
      <c r="J1154" s="159"/>
      <c r="K1154" s="163"/>
      <c r="L1154" s="163"/>
      <c r="M1154" s="60"/>
      <c r="N1154" s="152"/>
      <c r="O1154" s="60"/>
      <c r="P1154" s="59"/>
      <c r="Q1154" s="169"/>
      <c r="R1154" s="169"/>
      <c r="S1154" s="169"/>
      <c r="T1154" s="187"/>
      <c r="U1154" s="169"/>
      <c r="V1154" s="169"/>
      <c r="W1154" s="159">
        <f t="shared" ref="W1154:W1177" si="2100">+CI1153*CZ1154</f>
        <v>0</v>
      </c>
      <c r="X1154" s="163"/>
      <c r="Y1154" s="167">
        <v>128.49758036649052</v>
      </c>
      <c r="Z1154" s="168">
        <v>1.7924016789210948E-2</v>
      </c>
      <c r="AA1154" s="78"/>
      <c r="AB1154" s="168"/>
      <c r="AC1154" s="168"/>
      <c r="AD1154" s="163">
        <f t="shared" si="2005"/>
        <v>0</v>
      </c>
      <c r="AE1154" s="168"/>
      <c r="AF1154" s="163"/>
      <c r="AG1154" s="114"/>
      <c r="AH1154" s="114"/>
      <c r="AI1154" s="114"/>
      <c r="AJ1154" s="167"/>
      <c r="AK1154" s="168"/>
      <c r="AL1154" s="115"/>
      <c r="AM1154" s="115"/>
      <c r="AN1154" s="115"/>
      <c r="AO1154" s="115"/>
      <c r="AP1154" s="115"/>
      <c r="AQ1154" s="168"/>
      <c r="AR1154" s="115"/>
      <c r="AS1154" s="115"/>
      <c r="AT1154" s="115"/>
      <c r="AU1154" s="115"/>
      <c r="AV1154" s="113">
        <f>IFERROR(INDEX('Total Customers'!$F$7:$AB$91,MATCH($C1154,'Total Customers'!$D$7:$D$91,0),MATCH($G1154,'Total Customers'!$F$5:$AB$5,0)),"NA")</f>
        <v>14720</v>
      </c>
      <c r="AW1154" s="68">
        <f t="shared" si="2004"/>
        <v>2.0036350259437587E-2</v>
      </c>
      <c r="AX1154" s="114"/>
      <c r="AY1154" s="114"/>
      <c r="AZ1154" s="116"/>
      <c r="BA1154" s="116"/>
      <c r="BB1154" s="166"/>
      <c r="BC1154" s="166"/>
      <c r="BD1154" s="166"/>
      <c r="BE1154" s="166"/>
      <c r="BF1154" s="166"/>
      <c r="BG1154" s="166"/>
      <c r="BH1154" s="166"/>
      <c r="BI1154" s="113"/>
      <c r="BJ1154" s="113"/>
      <c r="BK1154" s="113">
        <f>INDEX('Dist. Plant Gas Additions'!$F$7:$AE$91,MATCH($C1154,'Dist. Plant Gas Additions'!$D$7:$D$91,0),MATCH(Calculation!$G1154,'Dist. Plant Gas Additions'!$F$5:$AE$5,0))</f>
        <v>616</v>
      </c>
      <c r="BL1154" s="113">
        <f>INDEX('Gen. Plant Additions'!$F$7:$AE$91,MATCH($C1154,'Gen. Plant Additions'!$D$7:$D$91,0),MATCH(Calculation!$G1154,'Gen. Plant Additions'!$F$5:$AE$5,0))</f>
        <v>360</v>
      </c>
      <c r="BM1154" s="231">
        <f t="shared" ref="BM1154:BM1175" si="2101">+(BW1154/(BW1154+BX1154))</f>
        <v>0.85134889044980355</v>
      </c>
      <c r="BN1154" s="61">
        <f t="shared" ref="BN1154:BN1164" si="2102">+BM1154*BL1154</f>
        <v>306.48560056192929</v>
      </c>
      <c r="BO1154" s="113">
        <f>INDEX('Dist Plant Depreciation'!$E$7:$AD$94,MATCH($C1154,'Dist Plant Depreciation'!$D$7:$D$94,0),MATCH(Calculation!$G1154,'Dist Plant Depreciation'!$E$5:$AD$5,0))</f>
        <v>12063</v>
      </c>
      <c r="BP1154" s="113">
        <f>INDEX('Gen. Plant Depreciation'!$E$7:$AD$94,MATCH($C1154,'Gen. Plant Depreciation'!$D$7:$D$94,0),MATCH(Calculation!$G1154,'Gen. Plant Depreciation'!$E$5:$AD$5,0))</f>
        <v>1392</v>
      </c>
      <c r="BQ1154" s="113"/>
      <c r="BR1154" s="113"/>
      <c r="BS1154" s="113"/>
      <c r="BT1154" s="113"/>
      <c r="BU1154" s="113"/>
      <c r="BV1154" s="175"/>
      <c r="BW1154" s="113">
        <f>INDEX('Gross Dx Plant'!$E$7:$AD$91,MATCH($C1154,'Gross Dx Plant'!$D$7:$D$91,0),MATCH(Calculation!$G1154,'Gross Dx Plant'!$E$5:$AD$5,0))</f>
        <v>32725</v>
      </c>
      <c r="BX1154" s="113">
        <f>INDEX('Gross Gen Plant'!$E$7:$AD$91,MATCH($C1154,'Gross Gen Plant'!$D$7:$D$91,0),MATCH(Calculation!$G1154,'Gross Gen Plant'!$E$5:$AD$5,0))</f>
        <v>5714</v>
      </c>
      <c r="BY1154" s="113">
        <f t="shared" si="2067"/>
        <v>24984</v>
      </c>
      <c r="BZ1154" s="113"/>
      <c r="CA1154" s="116">
        <v>1999</v>
      </c>
      <c r="CB1154" s="113"/>
      <c r="CC1154" s="113"/>
      <c r="CD1154" s="113"/>
      <c r="CE1154" s="175"/>
      <c r="CF1154" s="113">
        <f t="shared" ref="CF1154:CF1171" si="2103">+BL1154+BK1154</f>
        <v>976</v>
      </c>
      <c r="CG1154" s="113">
        <f t="shared" ref="CG1154:CG1176" si="2104">+CF1154/$DE1154</f>
        <v>2.9106091846319719</v>
      </c>
      <c r="CH1154" s="178">
        <v>0.99502487562189057</v>
      </c>
      <c r="CI1154" s="61">
        <f>+CI1153*CH1154+CG1154</f>
        <v>128.49758036649052</v>
      </c>
      <c r="CJ1154" s="114">
        <f t="shared" ref="CJ1154:CJ1175" si="2105">LN(CI1154/CI1153)</f>
        <v>1.7924016789210948E-2</v>
      </c>
      <c r="CK1154" s="114"/>
      <c r="CL1154" s="169">
        <f t="shared" ref="CL1154:CL1177" si="2106">+(CI1153-CI1154+CG1154)/CI1153</f>
        <v>4.9751243781093529E-3</v>
      </c>
      <c r="CM1154" s="169"/>
      <c r="CN1154" s="114">
        <f>VLOOKUP($H1154,RoR!$E:$F,2,FALSE)</f>
        <v>7.0416666666666669E-2</v>
      </c>
      <c r="CO1154" s="169">
        <v>1.4335631817396832E-2</v>
      </c>
      <c r="CP1154" s="169">
        <f>+CN1154-CO1154</f>
        <v>5.6081034849269837E-2</v>
      </c>
      <c r="CQ1154" s="169"/>
      <c r="CR1154" s="169"/>
      <c r="CS1154" s="179">
        <f t="shared" ref="CS1154:CS1177" si="2107">1-CX1154*CY1154</f>
        <v>0.85329623209999994</v>
      </c>
      <c r="CT1154" s="180">
        <f t="shared" ref="CT1154:CT1177" si="2108">2/(DC1154*39)</f>
        <v>0.72826581702321336</v>
      </c>
      <c r="CU1154" s="180">
        <f t="shared" ref="CU1154:CU1177" si="2109">+(DC1154*40-(1+DC1154))/(DC1154*40)</f>
        <v>0.61997041420118348</v>
      </c>
      <c r="CV1154" s="180">
        <f t="shared" ref="CV1154:CV1177" si="2110">+(1-(1/(1+DC1154)^40))</f>
        <v>0.93425155319585029</v>
      </c>
      <c r="CW1154" s="180">
        <f t="shared" ref="CW1154:CW1177" si="2111">+CV1154*CU1154*CT1154</f>
        <v>0.42181762214141483</v>
      </c>
      <c r="CX1154" s="181">
        <f>INDEX('State Tax Lookup'!$D$7:$Z$91,MATCH(Calculation!$C1154,'State Tax Lookup'!$B$7:$B$91,0),MATCH($H1154,'State Tax Lookup'!$D$6:$Z$6,0))</f>
        <v>0.39649667</v>
      </c>
      <c r="CY1154" s="72">
        <v>0.37</v>
      </c>
      <c r="CZ1154" s="70"/>
      <c r="DA1154" s="70"/>
      <c r="DB1154" s="69"/>
      <c r="DC1154" s="111">
        <f>VLOOKUP($H1154,RoR!$E:$F,2,FALSE)</f>
        <v>7.0416666666666669E-2</v>
      </c>
      <c r="DD1154" s="216">
        <f>HLOOKUP($H1154,'GDP-PI'!$D$8:$CQ$11,3,FALSE)</f>
        <v>1.4335631817396832E-2</v>
      </c>
      <c r="DE1154" s="111">
        <f>VLOOKUP(H1154,'HW Dx Data'!$E:$F,2,FALSE)</f>
        <v>335.32499146683239</v>
      </c>
      <c r="DF1154" s="66"/>
      <c r="DG1154" s="69"/>
      <c r="DH1154" s="66">
        <f>HLOOKUP(H1154,'GDP-PI'!$8:$9,2,FALSE)</f>
        <v>76.346000000000004</v>
      </c>
      <c r="DI1154"/>
    </row>
    <row r="1155" spans="1:113" s="160" customFormat="1" ht="21">
      <c r="A1155" s="160" t="s">
        <v>229</v>
      </c>
      <c r="B1155" s="160" t="s">
        <v>229</v>
      </c>
      <c r="C1155" s="160">
        <v>4063183</v>
      </c>
      <c r="D1155" s="161" t="s">
        <v>171</v>
      </c>
      <c r="E1155" s="161" t="s">
        <v>3</v>
      </c>
      <c r="F1155" s="189"/>
      <c r="G1155" s="160" t="s">
        <v>107</v>
      </c>
      <c r="H1155" s="162">
        <v>2000</v>
      </c>
      <c r="I1155" s="163"/>
      <c r="J1155" s="159"/>
      <c r="K1155" s="159"/>
      <c r="L1155" s="159"/>
      <c r="M1155" s="60"/>
      <c r="N1155" s="152"/>
      <c r="O1155" s="60"/>
      <c r="P1155" s="60"/>
      <c r="Q1155" s="159"/>
      <c r="R1155" s="159"/>
      <c r="S1155" s="159"/>
      <c r="T1155" s="159"/>
      <c r="U1155" s="159"/>
      <c r="V1155" s="159"/>
      <c r="W1155" s="159">
        <f t="shared" si="2100"/>
        <v>0</v>
      </c>
      <c r="X1155" s="163"/>
      <c r="Y1155" s="167">
        <v>131.04794521079066</v>
      </c>
      <c r="Z1155" s="168">
        <v>1.9653175891962613E-2</v>
      </c>
      <c r="AA1155" s="78"/>
      <c r="AB1155" s="168"/>
      <c r="AC1155" s="168"/>
      <c r="AD1155" s="163">
        <f t="shared" si="2005"/>
        <v>0</v>
      </c>
      <c r="AE1155" s="168"/>
      <c r="AF1155" s="163"/>
      <c r="AG1155" s="163"/>
      <c r="AH1155" s="163"/>
      <c r="AI1155" s="163"/>
      <c r="AJ1155" s="167"/>
      <c r="AK1155" s="168"/>
      <c r="AL1155" s="115"/>
      <c r="AM1155" s="115"/>
      <c r="AN1155" s="115"/>
      <c r="AO1155" s="115"/>
      <c r="AP1155" s="115"/>
      <c r="AQ1155" s="168"/>
      <c r="AR1155" s="115"/>
      <c r="AS1155" s="115"/>
      <c r="AT1155" s="115"/>
      <c r="AU1155" s="115"/>
      <c r="AV1155" s="113">
        <f>IFERROR(INDEX('Total Customers'!$F$7:$AB$91,MATCH($C1155,'Total Customers'!$D$7:$D$91,0),MATCH($G1155,'Total Customers'!$F$5:$AB$5,0)),"NA")</f>
        <v>14969</v>
      </c>
      <c r="AW1155" s="68">
        <f t="shared" si="2004"/>
        <v>1.6774282632368454E-2</v>
      </c>
      <c r="AX1155" s="114"/>
      <c r="AY1155" s="114"/>
      <c r="AZ1155" s="116"/>
      <c r="BA1155" s="116"/>
      <c r="BB1155" s="166"/>
      <c r="BC1155" s="166"/>
      <c r="BD1155" s="166"/>
      <c r="BE1155" s="166"/>
      <c r="BF1155" s="166"/>
      <c r="BG1155" s="166"/>
      <c r="BH1155" s="166"/>
      <c r="BI1155" s="113"/>
      <c r="BJ1155" s="113"/>
      <c r="BK1155" s="113">
        <f>INDEX('Dist. Plant Gas Additions'!$F$7:$AE$91,MATCH($C1155,'Dist. Plant Gas Additions'!$D$7:$D$91,0),MATCH(Calculation!$G1155,'Dist. Plant Gas Additions'!$F$5:$AE$5,0))</f>
        <v>831</v>
      </c>
      <c r="BL1155" s="113">
        <f>INDEX('Gen. Plant Additions'!$F$7:$AE$91,MATCH($C1155,'Gen. Plant Additions'!$D$7:$D$91,0),MATCH(Calculation!$G1155,'Gen. Plant Additions'!$F$5:$AE$5,0))</f>
        <v>282</v>
      </c>
      <c r="BM1155" s="231">
        <f t="shared" si="2101"/>
        <v>0.85204211382940842</v>
      </c>
      <c r="BN1155" s="61">
        <f t="shared" si="2102"/>
        <v>240.27587609989317</v>
      </c>
      <c r="BO1155" s="113">
        <f>INDEX('Dist Plant Depreciation'!$E$7:$AD$94,MATCH($C1155,'Dist Plant Depreciation'!$D$7:$D$94,0),MATCH(Calculation!$G1155,'Dist Plant Depreciation'!$E$5:$AD$5,0))</f>
        <v>12962</v>
      </c>
      <c r="BP1155" s="113">
        <f>INDEX('Gen. Plant Depreciation'!$E$7:$AD$94,MATCH($C1155,'Gen. Plant Depreciation'!$D$7:$D$94,0),MATCH(Calculation!$G1155,'Gen. Plant Depreciation'!$E$5:$AD$5,0))</f>
        <v>1537</v>
      </c>
      <c r="BQ1155" s="113"/>
      <c r="BR1155" s="113"/>
      <c r="BS1155" s="113"/>
      <c r="BT1155" s="113"/>
      <c r="BU1155" s="113"/>
      <c r="BV1155" s="175"/>
      <c r="BW1155" s="113">
        <f>INDEX('Gross Dx Plant'!$E$7:$AD$91,MATCH($C1155,'Gross Dx Plant'!$D$7:$D$91,0),MATCH(Calculation!$G1155,'Gross Dx Plant'!$E$5:$AD$5,0))</f>
        <v>33504</v>
      </c>
      <c r="BX1155" s="113">
        <f>INDEX('Gross Gen Plant'!$E$7:$AD$91,MATCH($C1155,'Gross Gen Plant'!$D$7:$D$91,0),MATCH(Calculation!$G1155,'Gross Gen Plant'!$E$5:$AD$5,0))</f>
        <v>5818</v>
      </c>
      <c r="BY1155" s="113">
        <f t="shared" si="2067"/>
        <v>24823</v>
      </c>
      <c r="BZ1155" s="113"/>
      <c r="CA1155" s="116">
        <v>2000</v>
      </c>
      <c r="CB1155" s="113"/>
      <c r="CC1155" s="113"/>
      <c r="CD1155" s="113"/>
      <c r="CE1155" s="175"/>
      <c r="CF1155" s="113">
        <f t="shared" si="2103"/>
        <v>1113</v>
      </c>
      <c r="CG1155" s="113">
        <f t="shared" si="2104"/>
        <v>3.2118086718859979</v>
      </c>
      <c r="CH1155" s="178">
        <v>0.98989898989898994</v>
      </c>
      <c r="CI1155" s="61">
        <f>+CI1153*CH1155+CG1154*CH1154+CG1155</f>
        <v>131.04794521079066</v>
      </c>
      <c r="CJ1155" s="114">
        <f t="shared" si="2105"/>
        <v>1.9653175891962613E-2</v>
      </c>
      <c r="CK1155" s="114"/>
      <c r="CL1155" s="169">
        <f t="shared" si="2106"/>
        <v>5.1475197097046255E-3</v>
      </c>
      <c r="CM1155" s="169"/>
      <c r="CN1155" s="114">
        <f>VLOOKUP($H1155,RoR!$E:$F,2,FALSE)</f>
        <v>7.6225000000000001E-2</v>
      </c>
      <c r="CO1155" s="169">
        <v>2.2568307442433211E-2</v>
      </c>
      <c r="CP1155" s="169">
        <f t="shared" ref="CP1155:CP1175" si="2112">+CN1155-CO1155</f>
        <v>5.365669255756679E-2</v>
      </c>
      <c r="CQ1155" s="169"/>
      <c r="CR1155" s="169"/>
      <c r="CS1155" s="179">
        <f t="shared" si="2107"/>
        <v>0.85329623209999994</v>
      </c>
      <c r="CT1155" s="180">
        <f t="shared" si="2108"/>
        <v>0.67277207323124022</v>
      </c>
      <c r="CU1155" s="180">
        <f t="shared" si="2109"/>
        <v>0.6470236142997704</v>
      </c>
      <c r="CV1155" s="180">
        <f t="shared" si="2110"/>
        <v>0.94704866037543145</v>
      </c>
      <c r="CW1155" s="180">
        <f t="shared" si="2111"/>
        <v>0.41224973107878493</v>
      </c>
      <c r="CX1155" s="181">
        <f>INDEX('State Tax Lookup'!$D$7:$Z$91,MATCH(Calculation!$C1155,'State Tax Lookup'!$B$7:$B$91,0),MATCH($H1155,'State Tax Lookup'!$D$6:$Z$6,0))</f>
        <v>0.39649667</v>
      </c>
      <c r="CY1155" s="72">
        <v>0.37</v>
      </c>
      <c r="CZ1155" s="70"/>
      <c r="DA1155" s="70"/>
      <c r="DB1155" s="69"/>
      <c r="DC1155" s="111">
        <f>VLOOKUP($H1155,RoR!$E:$F,2,FALSE)</f>
        <v>7.6225000000000001E-2</v>
      </c>
      <c r="DD1155" s="216">
        <f>HLOOKUP($H1155,'GDP-PI'!$D$8:$CQ$11,3,FALSE)</f>
        <v>2.2568307442433211E-2</v>
      </c>
      <c r="DE1155" s="111">
        <f>VLOOKUP(H1155,'HW Dx Data'!$E:$F,2,FALSE)</f>
        <v>346.53371782150339</v>
      </c>
      <c r="DF1155" s="66"/>
      <c r="DG1155" s="69"/>
      <c r="DH1155" s="66">
        <f>HLOOKUP(H1155,'GDP-PI'!$8:$9,2,FALSE)</f>
        <v>78.069000000000003</v>
      </c>
      <c r="DI1155"/>
    </row>
    <row r="1156" spans="1:113" s="160" customFormat="1" ht="21">
      <c r="A1156" s="160" t="s">
        <v>229</v>
      </c>
      <c r="B1156" s="160" t="s">
        <v>229</v>
      </c>
      <c r="C1156" s="160">
        <v>4063183</v>
      </c>
      <c r="D1156" s="161" t="s">
        <v>171</v>
      </c>
      <c r="E1156" s="161" t="s">
        <v>3</v>
      </c>
      <c r="F1156" s="189"/>
      <c r="G1156" s="160" t="s">
        <v>111</v>
      </c>
      <c r="H1156" s="162">
        <v>2001</v>
      </c>
      <c r="I1156" s="163"/>
      <c r="J1156" s="159"/>
      <c r="K1156" s="159"/>
      <c r="L1156" s="159"/>
      <c r="M1156" s="60"/>
      <c r="N1156" s="152"/>
      <c r="O1156" s="60"/>
      <c r="P1156" s="60"/>
      <c r="Q1156" s="159"/>
      <c r="R1156" s="159"/>
      <c r="S1156" s="159"/>
      <c r="T1156" s="159"/>
      <c r="U1156" s="159"/>
      <c r="V1156" s="159"/>
      <c r="W1156" s="159">
        <f t="shared" si="2100"/>
        <v>1684.7816250174358</v>
      </c>
      <c r="X1156" s="163"/>
      <c r="Y1156" s="167">
        <v>132.49377116408647</v>
      </c>
      <c r="Z1156" s="168">
        <v>1.0972384021706975E-2</v>
      </c>
      <c r="AA1156" s="78"/>
      <c r="AB1156" s="168"/>
      <c r="AC1156" s="168"/>
      <c r="AD1156" s="163">
        <f t="shared" si="2005"/>
        <v>1684.7816250174358</v>
      </c>
      <c r="AE1156" s="168"/>
      <c r="AF1156" s="163"/>
      <c r="AG1156" s="163"/>
      <c r="AH1156" s="163"/>
      <c r="AI1156" s="163"/>
      <c r="AJ1156" s="167"/>
      <c r="AK1156" s="168"/>
      <c r="AL1156" s="115"/>
      <c r="AM1156" s="115"/>
      <c r="AN1156" s="115"/>
      <c r="AO1156" s="115"/>
      <c r="AP1156" s="115"/>
      <c r="AQ1156" s="168"/>
      <c r="AR1156" s="115"/>
      <c r="AS1156" s="115"/>
      <c r="AT1156" s="115"/>
      <c r="AU1156" s="115"/>
      <c r="AV1156" s="113">
        <f>IFERROR(INDEX('Total Customers'!$F$7:$AB$91,MATCH($C1156,'Total Customers'!$D$7:$D$91,0),MATCH($G1156,'Total Customers'!$F$5:$AB$5,0)),"NA")</f>
        <v>15251</v>
      </c>
      <c r="AW1156" s="68">
        <f t="shared" ref="AW1156:AW1219" si="2113">LN(AV1156/AV1155)</f>
        <v>1.8663678740947921E-2</v>
      </c>
      <c r="AX1156" s="114"/>
      <c r="AY1156" s="114"/>
      <c r="AZ1156" s="116"/>
      <c r="BA1156" s="116"/>
      <c r="BB1156" s="166"/>
      <c r="BC1156" s="166"/>
      <c r="BD1156" s="166"/>
      <c r="BE1156" s="166"/>
      <c r="BF1156" s="166"/>
      <c r="BG1156" s="166"/>
      <c r="BH1156" s="166"/>
      <c r="BI1156" s="113"/>
      <c r="BJ1156" s="113"/>
      <c r="BK1156" s="113">
        <f>INDEX('Dist. Plant Gas Additions'!$F$7:$AE$91,MATCH($C1156,'Dist. Plant Gas Additions'!$D$7:$D$91,0),MATCH(Calculation!$G1156,'Dist. Plant Gas Additions'!$F$5:$AE$5,0))</f>
        <v>562</v>
      </c>
      <c r="BL1156" s="113">
        <f>INDEX('Gen. Plant Additions'!$F$7:$AE$91,MATCH($C1156,'Gen. Plant Additions'!$D$7:$D$91,0),MATCH(Calculation!$G1156,'Gen. Plant Additions'!$F$5:$AE$5,0))</f>
        <v>190</v>
      </c>
      <c r="BM1156" s="231">
        <f t="shared" si="2101"/>
        <v>0.85347147132044154</v>
      </c>
      <c r="BN1156" s="61">
        <f t="shared" si="2102"/>
        <v>162.1595795508839</v>
      </c>
      <c r="BO1156" s="113">
        <f>INDEX('Dist Plant Depreciation'!$E$7:$AD$94,MATCH($C1156,'Dist Plant Depreciation'!$D$7:$D$94,0),MATCH(Calculation!$G1156,'Dist Plant Depreciation'!$E$5:$AD$5,0))</f>
        <v>13757</v>
      </c>
      <c r="BP1156" s="113">
        <f>INDEX('Gen. Plant Depreciation'!$E$7:$AD$94,MATCH($C1156,'Gen. Plant Depreciation'!$D$7:$D$94,0),MATCH(Calculation!$G1156,'Gen. Plant Depreciation'!$E$5:$AD$5,0))</f>
        <v>1684</v>
      </c>
      <c r="BQ1156" s="113"/>
      <c r="BR1156" s="113"/>
      <c r="BS1156" s="113"/>
      <c r="BT1156" s="113"/>
      <c r="BU1156" s="113"/>
      <c r="BV1156" s="175"/>
      <c r="BW1156" s="113">
        <f>INDEX('Gross Dx Plant'!$E$7:$AD$91,MATCH($C1156,'Gross Dx Plant'!$D$7:$D$91,0),MATCH(Calculation!$G1156,'Gross Dx Plant'!$E$5:$AD$5,0))</f>
        <v>33940</v>
      </c>
      <c r="BX1156" s="113">
        <f>INDEX('Gross Gen Plant'!$E$7:$AD$91,MATCH($C1156,'Gross Gen Plant'!$D$7:$D$91,0),MATCH(Calculation!$G1156,'Gross Gen Plant'!$E$5:$AD$5,0))</f>
        <v>5827</v>
      </c>
      <c r="BY1156" s="113">
        <f t="shared" si="2067"/>
        <v>24326</v>
      </c>
      <c r="BZ1156" s="113"/>
      <c r="CA1156" s="116">
        <v>2001</v>
      </c>
      <c r="CB1156" s="113"/>
      <c r="CC1156" s="113"/>
      <c r="CD1156" s="113"/>
      <c r="CE1156" s="175"/>
      <c r="CF1156" s="113">
        <f t="shared" si="2103"/>
        <v>752</v>
      </c>
      <c r="CG1156" s="113">
        <f t="shared" si="2104"/>
        <v>2.1276151477711509</v>
      </c>
      <c r="CH1156" s="178">
        <v>0.98461538461538467</v>
      </c>
      <c r="CI1156" s="61">
        <f>+CI1153*CH1156+CG1154*CH1155+CG1155*CH1153+CG1156</f>
        <v>132.49377116408647</v>
      </c>
      <c r="CJ1156" s="114">
        <f t="shared" si="2105"/>
        <v>1.0972384021706975E-2</v>
      </c>
      <c r="CK1156" s="114"/>
      <c r="CL1156" s="169">
        <f t="shared" si="2106"/>
        <v>5.2025935498544694E-3</v>
      </c>
      <c r="CM1156" s="169">
        <f>+(CL1156+CL1155+CL1154)/3</f>
        <v>5.1084125458894826E-3</v>
      </c>
      <c r="CN1156" s="114">
        <f>VLOOKUP($H1156,RoR!$E:$F,2,FALSE)</f>
        <v>7.0824999999999999E-2</v>
      </c>
      <c r="CO1156" s="169">
        <v>2.2454495382290052E-2</v>
      </c>
      <c r="CP1156" s="169">
        <f t="shared" si="2112"/>
        <v>4.8370504617709947E-2</v>
      </c>
      <c r="CQ1156" s="169">
        <f>+$CP$2-CM1156</f>
        <v>2.5793529062644142E-2</v>
      </c>
      <c r="CR1156" s="169">
        <f>+((DE1154/DE1153-1)+(DE1155/DE1154-1)+(DE1156/DE1155-1))/3</f>
        <v>2.3947275901631187E-2</v>
      </c>
      <c r="CS1156" s="179">
        <f t="shared" si="2107"/>
        <v>0.85329623209999994</v>
      </c>
      <c r="CT1156" s="180">
        <f t="shared" si="2108"/>
        <v>0.72406708481540816</v>
      </c>
      <c r="CU1156" s="180">
        <f t="shared" si="2109"/>
        <v>0.62201729615248857</v>
      </c>
      <c r="CV1156" s="180">
        <f t="shared" si="2110"/>
        <v>0.9352469954311422</v>
      </c>
      <c r="CW1156" s="180">
        <f t="shared" si="2111"/>
        <v>0.42121864641655071</v>
      </c>
      <c r="CX1156" s="181">
        <f>INDEX('State Tax Lookup'!$D$7:$Z$91,MATCH(Calculation!$C1156,'State Tax Lookup'!$B$7:$B$91,0),MATCH($H1156,'State Tax Lookup'!$D$6:$Z$6,0))</f>
        <v>0.39649667</v>
      </c>
      <c r="CY1156" s="72">
        <v>0.37</v>
      </c>
      <c r="CZ1156" s="70">
        <f t="shared" ref="CZ1156:CZ1177" si="2114">+(DE1156*CQ1156-CR1156)*CS1156/(1-CX1156)</f>
        <v>12.856223135032479</v>
      </c>
      <c r="DA1156" s="70"/>
      <c r="DB1156" s="69"/>
      <c r="DC1156" s="111">
        <f>VLOOKUP($H1156,RoR!$E:$F,2,FALSE)</f>
        <v>7.0824999999999999E-2</v>
      </c>
      <c r="DD1156" s="216">
        <f>HLOOKUP($H1156,'GDP-PI'!$D$8:$CQ$11,3,FALSE)</f>
        <v>2.2454495382290052E-2</v>
      </c>
      <c r="DE1156" s="111">
        <f>VLOOKUP(H1156,'HW Dx Data'!$E:$F,2,FALSE)</f>
        <v>353.44738017483138</v>
      </c>
      <c r="DF1156" s="66"/>
      <c r="DG1156" s="69"/>
      <c r="DH1156" s="66">
        <f>HLOOKUP(H1156,'GDP-PI'!$8:$9,2,FALSE)</f>
        <v>79.822000000000003</v>
      </c>
      <c r="DI1156"/>
    </row>
    <row r="1157" spans="1:113" s="160" customFormat="1" ht="21">
      <c r="A1157" s="160" t="s">
        <v>229</v>
      </c>
      <c r="B1157" s="160" t="s">
        <v>229</v>
      </c>
      <c r="C1157" s="160">
        <v>4063183</v>
      </c>
      <c r="D1157" s="161" t="s">
        <v>171</v>
      </c>
      <c r="E1157" s="161" t="s">
        <v>3</v>
      </c>
      <c r="F1157" s="189"/>
      <c r="G1157" s="160" t="s">
        <v>113</v>
      </c>
      <c r="H1157" s="162">
        <v>2002</v>
      </c>
      <c r="I1157" s="163"/>
      <c r="J1157" s="159"/>
      <c r="K1157" s="159"/>
      <c r="L1157" s="159"/>
      <c r="M1157" s="60"/>
      <c r="N1157" s="152"/>
      <c r="O1157" s="60"/>
      <c r="P1157" s="60"/>
      <c r="Q1157" s="159"/>
      <c r="R1157" s="159"/>
      <c r="S1157" s="159"/>
      <c r="T1157" s="159"/>
      <c r="U1157" s="159"/>
      <c r="V1157" s="159"/>
      <c r="W1157" s="159">
        <f t="shared" si="2100"/>
        <v>1726.4965151126405</v>
      </c>
      <c r="X1157" s="163"/>
      <c r="Y1157" s="167">
        <v>133.48005677951798</v>
      </c>
      <c r="Z1157" s="168">
        <v>7.4164450226491601E-3</v>
      </c>
      <c r="AA1157" s="78"/>
      <c r="AB1157" s="168"/>
      <c r="AC1157" s="168"/>
      <c r="AD1157" s="163">
        <f t="shared" si="2005"/>
        <v>1726.4965151126405</v>
      </c>
      <c r="AE1157" s="168"/>
      <c r="AF1157" s="163"/>
      <c r="AG1157" s="163"/>
      <c r="AH1157" s="163"/>
      <c r="AI1157" s="163"/>
      <c r="AJ1157" s="167"/>
      <c r="AK1157" s="168"/>
      <c r="AL1157" s="115"/>
      <c r="AM1157" s="115"/>
      <c r="AN1157" s="115"/>
      <c r="AO1157" s="115"/>
      <c r="AP1157" s="115"/>
      <c r="AQ1157" s="168"/>
      <c r="AR1157" s="115"/>
      <c r="AS1157" s="115"/>
      <c r="AT1157" s="115"/>
      <c r="AU1157" s="115"/>
      <c r="AV1157" s="113">
        <f>IFERROR(INDEX('Total Customers'!$F$7:$AB$91,MATCH($C1157,'Total Customers'!$D$7:$D$91,0),MATCH($G1157,'Total Customers'!$F$5:$AB$5,0)),"NA")</f>
        <v>15291</v>
      </c>
      <c r="AW1157" s="68">
        <f t="shared" si="2113"/>
        <v>2.6193453519676511E-3</v>
      </c>
      <c r="AX1157" s="114"/>
      <c r="AY1157" s="114"/>
      <c r="AZ1157" s="116"/>
      <c r="BA1157" s="116"/>
      <c r="BB1157" s="166"/>
      <c r="BC1157" s="166"/>
      <c r="BD1157" s="166"/>
      <c r="BE1157" s="166"/>
      <c r="BF1157" s="166"/>
      <c r="BG1157" s="166"/>
      <c r="BH1157" s="166"/>
      <c r="BI1157" s="113"/>
      <c r="BJ1157" s="113"/>
      <c r="BK1157" s="113">
        <f>INDEX('Dist. Plant Gas Additions'!$F$7:$AE$91,MATCH($C1157,'Dist. Plant Gas Additions'!$D$7:$D$91,0),MATCH(Calculation!$G1157,'Dist. Plant Gas Additions'!$F$5:$AE$5,0))</f>
        <v>412</v>
      </c>
      <c r="BL1157" s="113">
        <f>INDEX('Gen. Plant Additions'!$F$7:$AE$91,MATCH($C1157,'Gen. Plant Additions'!$D$7:$D$91,0),MATCH(Calculation!$G1157,'Gen. Plant Additions'!$F$5:$AE$5,0))</f>
        <v>214</v>
      </c>
      <c r="BM1157" s="231">
        <f t="shared" si="2101"/>
        <v>0.85361968991862225</v>
      </c>
      <c r="BN1157" s="61">
        <f t="shared" si="2102"/>
        <v>182.67461364258517</v>
      </c>
      <c r="BO1157" s="113">
        <f>INDEX('Dist Plant Depreciation'!$E$7:$AD$94,MATCH($C1157,'Dist Plant Depreciation'!$D$7:$D$94,0),MATCH(Calculation!$G1157,'Dist Plant Depreciation'!$E$5:$AD$5,0))</f>
        <v>14627</v>
      </c>
      <c r="BP1157" s="113">
        <f>INDEX('Gen. Plant Depreciation'!$E$7:$AD$94,MATCH($C1157,'Gen. Plant Depreciation'!$D$7:$D$94,0),MATCH(Calculation!$G1157,'Gen. Plant Depreciation'!$E$5:$AD$5,0))</f>
        <v>1868</v>
      </c>
      <c r="BQ1157" s="113"/>
      <c r="BR1157" s="113"/>
      <c r="BS1157" s="113"/>
      <c r="BT1157" s="113"/>
      <c r="BU1157" s="113"/>
      <c r="BV1157" s="175"/>
      <c r="BW1157" s="113">
        <f>INDEX('Gross Dx Plant'!$E$7:$AD$91,MATCH($C1157,'Gross Dx Plant'!$D$7:$D$91,0),MATCH(Calculation!$G1157,'Gross Dx Plant'!$E$5:$AD$5,0))</f>
        <v>34301</v>
      </c>
      <c r="BX1157" s="113">
        <f>INDEX('Gross Gen Plant'!$E$7:$AD$91,MATCH($C1157,'Gross Gen Plant'!$D$7:$D$91,0),MATCH(Calculation!$G1157,'Gross Gen Plant'!$E$5:$AD$5,0))</f>
        <v>5882</v>
      </c>
      <c r="BY1157" s="113">
        <f t="shared" si="2067"/>
        <v>23688</v>
      </c>
      <c r="BZ1157" s="113"/>
      <c r="CA1157" s="116">
        <v>2002</v>
      </c>
      <c r="CB1157" s="113"/>
      <c r="CC1157" s="113"/>
      <c r="CD1157" s="113"/>
      <c r="CE1157" s="175"/>
      <c r="CF1157" s="113">
        <f t="shared" si="2103"/>
        <v>626</v>
      </c>
      <c r="CG1157" s="113">
        <f t="shared" si="2104"/>
        <v>1.7324012112478333</v>
      </c>
      <c r="CH1157" s="178">
        <v>0.97916666666666663</v>
      </c>
      <c r="CI1157" s="61">
        <f>+CI1153*CH1157+CG1154*CH1156+CG1155*CH1155+CG1156*CH1154+CG1157</f>
        <v>133.48005677951798</v>
      </c>
      <c r="CJ1157" s="114">
        <f t="shared" si="2105"/>
        <v>7.4164450226491601E-3</v>
      </c>
      <c r="CK1157" s="114"/>
      <c r="CL1157" s="169">
        <f t="shared" si="2106"/>
        <v>5.6313258295916145E-3</v>
      </c>
      <c r="CM1157" s="169">
        <f t="shared" ref="CM1157:CM1177" si="2115">+(CL1157+CL1156+CL1155)/3</f>
        <v>5.3271463630502362E-3</v>
      </c>
      <c r="CN1157" s="114">
        <f>VLOOKUP($H1157,RoR!$E:$F,2,FALSE)</f>
        <v>6.4916666666666664E-2</v>
      </c>
      <c r="CO1157" s="169">
        <v>1.5246423291824351E-2</v>
      </c>
      <c r="CP1157" s="169">
        <f t="shared" si="2112"/>
        <v>4.9670243374842313E-2</v>
      </c>
      <c r="CQ1157" s="169">
        <f t="shared" ref="CQ1157:CQ1177" si="2116">+$CP$2-CM1157</f>
        <v>2.5574795245483388E-2</v>
      </c>
      <c r="CR1157" s="169">
        <f t="shared" ref="CR1157:CR1177" si="2117">+((DE1155/DE1154-1)+(DE1156/DE1155-1)+(DE1157/DE1156-1))/3</f>
        <v>2.5243621214759093E-2</v>
      </c>
      <c r="CS1157" s="179">
        <f t="shared" si="2107"/>
        <v>0.85329623209999994</v>
      </c>
      <c r="CT1157" s="180">
        <f t="shared" si="2108"/>
        <v>0.78996741384417901</v>
      </c>
      <c r="CU1157" s="180">
        <f t="shared" si="2109"/>
        <v>0.58989088575096271</v>
      </c>
      <c r="CV1157" s="180">
        <f t="shared" si="2110"/>
        <v>0.91920675783645744</v>
      </c>
      <c r="CW1157" s="180">
        <f t="shared" si="2111"/>
        <v>0.42834536472275586</v>
      </c>
      <c r="CX1157" s="181">
        <f>INDEX('State Tax Lookup'!$D$7:$Z$91,MATCH(Calculation!$C1157,'State Tax Lookup'!$B$7:$B$91,0),MATCH($H1157,'State Tax Lookup'!$D$6:$Z$6,0))</f>
        <v>0.39649667</v>
      </c>
      <c r="CY1157" s="72">
        <v>0.37</v>
      </c>
      <c r="CZ1157" s="70">
        <f t="shared" si="2114"/>
        <v>13.030774956012586</v>
      </c>
      <c r="DA1157" s="70"/>
      <c r="DB1157" s="69">
        <f>LN(CZ1157/CZ1156)</f>
        <v>1.3485879345383173E-2</v>
      </c>
      <c r="DC1157" s="111">
        <f>VLOOKUP($H1157,RoR!$E:$F,2,FALSE)</f>
        <v>6.4916666666666664E-2</v>
      </c>
      <c r="DD1157" s="216">
        <f>HLOOKUP($H1157,'GDP-PI'!$D$8:$CQ$11,3,FALSE)</f>
        <v>1.5246423291824351E-2</v>
      </c>
      <c r="DE1157" s="111">
        <f>VLOOKUP(H1157,'HW Dx Data'!$E:$F,2,FALSE)</f>
        <v>361.34816573413599</v>
      </c>
      <c r="DF1157" s="66"/>
      <c r="DG1157" s="69"/>
      <c r="DH1157" s="66">
        <f>HLOOKUP(H1157,'GDP-PI'!$8:$9,2,FALSE)</f>
        <v>81.039000000000001</v>
      </c>
      <c r="DI1157" s="69">
        <f>LN(DH1157/DH1156)</f>
        <v>1.513136459537477E-2</v>
      </c>
    </row>
    <row r="1158" spans="1:113" s="160" customFormat="1" ht="21">
      <c r="A1158" s="160" t="s">
        <v>229</v>
      </c>
      <c r="B1158" s="160" t="s">
        <v>229</v>
      </c>
      <c r="C1158" s="160">
        <v>4063183</v>
      </c>
      <c r="D1158" s="161" t="s">
        <v>171</v>
      </c>
      <c r="E1158" s="161" t="s">
        <v>3</v>
      </c>
      <c r="F1158" s="189"/>
      <c r="G1158" s="160" t="s">
        <v>114</v>
      </c>
      <c r="H1158" s="162">
        <v>2003</v>
      </c>
      <c r="I1158" s="163"/>
      <c r="J1158" s="159"/>
      <c r="K1158" s="159"/>
      <c r="L1158" s="159"/>
      <c r="M1158" s="76"/>
      <c r="N1158" s="152"/>
      <c r="O1158" s="76"/>
      <c r="P1158" s="76"/>
      <c r="Q1158" s="159"/>
      <c r="R1158" s="159"/>
      <c r="S1158" s="159"/>
      <c r="T1158" s="159"/>
      <c r="U1158" s="159"/>
      <c r="V1158" s="159"/>
      <c r="W1158" s="159">
        <f t="shared" si="2100"/>
        <v>1765.1189231178773</v>
      </c>
      <c r="X1158" s="163"/>
      <c r="Y1158" s="167">
        <v>135.0608555790524</v>
      </c>
      <c r="Z1158" s="168">
        <v>1.1773379672220389E-2</v>
      </c>
      <c r="AA1158" s="78"/>
      <c r="AB1158" s="168"/>
      <c r="AC1158" s="168"/>
      <c r="AD1158" s="163">
        <f t="shared" si="2005"/>
        <v>1765.1189231178773</v>
      </c>
      <c r="AE1158" s="168"/>
      <c r="AF1158" s="163"/>
      <c r="AG1158" s="163"/>
      <c r="AH1158" s="163"/>
      <c r="AI1158" s="163"/>
      <c r="AJ1158" s="167"/>
      <c r="AK1158" s="168"/>
      <c r="AL1158" s="115"/>
      <c r="AM1158" s="115"/>
      <c r="AN1158" s="115"/>
      <c r="AO1158" s="115"/>
      <c r="AP1158" s="115"/>
      <c r="AQ1158" s="168"/>
      <c r="AR1158" s="115"/>
      <c r="AS1158" s="115"/>
      <c r="AT1158" s="115"/>
      <c r="AU1158" s="115"/>
      <c r="AV1158" s="113">
        <f>IFERROR(INDEX('Total Customers'!$F$7:$AB$91,MATCH($C1158,'Total Customers'!$D$7:$D$91,0),MATCH($G1158,'Total Customers'!$F$5:$AB$5,0)),"NA")</f>
        <v>15474</v>
      </c>
      <c r="AW1158" s="68">
        <f t="shared" si="2113"/>
        <v>1.1896776101248408E-2</v>
      </c>
      <c r="AX1158" s="114"/>
      <c r="AY1158" s="114"/>
      <c r="AZ1158" s="116"/>
      <c r="BA1158" s="116"/>
      <c r="BB1158" s="166"/>
      <c r="BC1158" s="166"/>
      <c r="BD1158" s="166"/>
      <c r="BE1158" s="166"/>
      <c r="BF1158" s="166"/>
      <c r="BG1158" s="166"/>
      <c r="BH1158" s="166"/>
      <c r="BI1158" s="113"/>
      <c r="BJ1158" s="113"/>
      <c r="BK1158" s="113">
        <f>INDEX('Dist. Plant Gas Additions'!$F$7:$AE$91,MATCH($C1158,'Dist. Plant Gas Additions'!$D$7:$D$91,0),MATCH(Calculation!$G1158,'Dist. Plant Gas Additions'!$F$5:$AE$5,0))</f>
        <v>420</v>
      </c>
      <c r="BL1158" s="113">
        <f>INDEX('Gen. Plant Additions'!$F$7:$AE$91,MATCH($C1158,'Gen. Plant Additions'!$D$7:$D$91,0),MATCH(Calculation!$G1158,'Gen. Plant Additions'!$F$5:$AE$5,0))</f>
        <v>445</v>
      </c>
      <c r="BM1158" s="231">
        <f t="shared" si="2101"/>
        <v>0.84915175402090626</v>
      </c>
      <c r="BN1158" s="61">
        <f t="shared" si="2102"/>
        <v>377.87253053930328</v>
      </c>
      <c r="BO1158" s="113">
        <f>INDEX('Dist Plant Depreciation'!$E$7:$AD$94,MATCH($C1158,'Dist Plant Depreciation'!$D$7:$D$94,0),MATCH(Calculation!$G1158,'Dist Plant Depreciation'!$E$5:$AD$5,0))</f>
        <v>15533</v>
      </c>
      <c r="BP1158" s="113">
        <f>INDEX('Gen. Plant Depreciation'!$E$7:$AD$94,MATCH($C1158,'Gen. Plant Depreciation'!$D$7:$D$94,0),MATCH(Calculation!$G1158,'Gen. Plant Depreciation'!$E$5:$AD$5,0))</f>
        <v>2028</v>
      </c>
      <c r="BQ1158" s="113"/>
      <c r="BR1158" s="113"/>
      <c r="BS1158" s="113"/>
      <c r="BT1158" s="113"/>
      <c r="BU1158" s="113"/>
      <c r="BV1158" s="175"/>
      <c r="BW1158" s="113">
        <f>INDEX('Gross Dx Plant'!$E$7:$AD$91,MATCH($C1158,'Gross Dx Plant'!$D$7:$D$91,0),MATCH(Calculation!$G1158,'Gross Dx Plant'!$E$5:$AD$5,0))</f>
        <v>34687</v>
      </c>
      <c r="BX1158" s="113">
        <f>INDEX('Gross Gen Plant'!$E$7:$AD$91,MATCH($C1158,'Gross Gen Plant'!$D$7:$D$91,0),MATCH(Calculation!$G1158,'Gross Gen Plant'!$E$5:$AD$5,0))</f>
        <v>6162</v>
      </c>
      <c r="BY1158" s="113">
        <f t="shared" si="2067"/>
        <v>23288</v>
      </c>
      <c r="BZ1158" s="113"/>
      <c r="CA1158" s="116">
        <v>2003</v>
      </c>
      <c r="CB1158" s="113"/>
      <c r="CC1158" s="113"/>
      <c r="CD1158" s="113"/>
      <c r="CE1158" s="175"/>
      <c r="CF1158" s="113">
        <f t="shared" si="2103"/>
        <v>865</v>
      </c>
      <c r="CG1158" s="113">
        <f t="shared" si="2104"/>
        <v>2.3426941100453531</v>
      </c>
      <c r="CH1158" s="178">
        <v>0.97354497354497349</v>
      </c>
      <c r="CI1158" s="61">
        <f>+CI1153*CH1158+CG1154*CH1157+CG1155*CH1156+CG1156*CH1155+CG1157*CH1154+CG1158</f>
        <v>135.0608555790524</v>
      </c>
      <c r="CJ1158" s="114">
        <f t="shared" si="2105"/>
        <v>1.1773379672220389E-2</v>
      </c>
      <c r="CK1158" s="114"/>
      <c r="CL1158" s="169">
        <f t="shared" si="2106"/>
        <v>5.7079336710908748E-3</v>
      </c>
      <c r="CM1158" s="169">
        <f t="shared" si="2115"/>
        <v>5.5139510168456529E-3</v>
      </c>
      <c r="CN1158" s="114">
        <f>VLOOKUP($H1158,RoR!$E:$F,2,FALSE)</f>
        <v>5.6666666666666671E-2</v>
      </c>
      <c r="CO1158" s="169">
        <v>1.8855119140166909E-2</v>
      </c>
      <c r="CP1158" s="169">
        <f t="shared" si="2112"/>
        <v>3.7811547526499761E-2</v>
      </c>
      <c r="CQ1158" s="169">
        <f t="shared" si="2116"/>
        <v>2.5387990591687972E-2</v>
      </c>
      <c r="CR1158" s="169">
        <f t="shared" si="2117"/>
        <v>2.1375012817671957E-2</v>
      </c>
      <c r="CS1158" s="179">
        <f t="shared" si="2107"/>
        <v>0.85329623209999994</v>
      </c>
      <c r="CT1158" s="180">
        <f t="shared" si="2108"/>
        <v>0.90497737556561086</v>
      </c>
      <c r="CU1158" s="180">
        <f t="shared" si="2109"/>
        <v>0.5338235294117647</v>
      </c>
      <c r="CV1158" s="180">
        <f t="shared" si="2110"/>
        <v>0.88972433127405692</v>
      </c>
      <c r="CW1158" s="180">
        <f t="shared" si="2111"/>
        <v>0.42982423775949252</v>
      </c>
      <c r="CX1158" s="181">
        <f>INDEX('State Tax Lookup'!$D$7:$Z$91,MATCH(Calculation!$C1158,'State Tax Lookup'!$B$7:$B$91,0),MATCH($H1158,'State Tax Lookup'!$D$6:$Z$6,0))</f>
        <v>0.39649667</v>
      </c>
      <c r="CY1158" s="72">
        <v>0.37</v>
      </c>
      <c r="CZ1158" s="70">
        <f t="shared" si="2114"/>
        <v>13.22384006798481</v>
      </c>
      <c r="DA1158" s="70"/>
      <c r="DB1158" s="69">
        <f t="shared" ref="DB1158:DB1175" si="2118">LN(CZ1158/CZ1157)</f>
        <v>1.4707402253312723E-2</v>
      </c>
      <c r="DC1158" s="111">
        <f>VLOOKUP($H1158,RoR!$E:$F,2,FALSE)</f>
        <v>5.6666666666666671E-2</v>
      </c>
      <c r="DD1158" s="216">
        <f>HLOOKUP($H1158,'GDP-PI'!$D$8:$CQ$11,3,FALSE)</f>
        <v>1.8855119140166909E-2</v>
      </c>
      <c r="DE1158" s="111">
        <f>VLOOKUP(H1158,'HW Dx Data'!$E:$F,2,FALSE)</f>
        <v>369.23301095560191</v>
      </c>
      <c r="DF1158" s="66"/>
      <c r="DG1158" s="69"/>
      <c r="DH1158" s="66">
        <f>HLOOKUP(H1158,'GDP-PI'!$8:$9,2,FALSE)</f>
        <v>82.566999999999993</v>
      </c>
      <c r="DI1158" s="69">
        <f t="shared" ref="DI1158:DI1177" si="2119">LN(DH1158/DH1157)</f>
        <v>1.8679564681853753E-2</v>
      </c>
    </row>
    <row r="1159" spans="1:113" s="160" customFormat="1" ht="21">
      <c r="A1159" s="160" t="s">
        <v>229</v>
      </c>
      <c r="B1159" s="160" t="s">
        <v>229</v>
      </c>
      <c r="C1159" s="160">
        <v>4063183</v>
      </c>
      <c r="D1159" s="161" t="s">
        <v>171</v>
      </c>
      <c r="E1159" s="161" t="s">
        <v>3</v>
      </c>
      <c r="F1159" s="189"/>
      <c r="G1159" s="160" t="s">
        <v>115</v>
      </c>
      <c r="H1159" s="162">
        <v>2004</v>
      </c>
      <c r="I1159" s="163"/>
      <c r="J1159" s="159">
        <f>IFERROR(INDEX('Labor Expenditures'!$F$7:$X$91,MATCH($C1159,'Labor Expenditures'!$D$7:$D$91,0),MATCH($G1159,'Labor Expenditures'!$F$5:$X$5,0)),"NA")</f>
        <v>1883.1984048662632</v>
      </c>
      <c r="K1159" s="159">
        <f t="shared" ref="K1159:K1177" si="2120">+J1159/DF1159</f>
        <v>19.95970752375478</v>
      </c>
      <c r="L1159" s="165"/>
      <c r="M1159" s="76"/>
      <c r="N1159" s="152"/>
      <c r="O1159" s="76"/>
      <c r="P1159" s="76"/>
      <c r="Q1159" s="159">
        <f>IFERROR(INDEX('Non-Labor Expenditures'!$F$7:$AB$91,MATCH($C1159,'Non-Labor Expenditures'!$D$7:$D$91,0),MATCH($G1159,'Non-Labor Expenditures'!$F$5:$AB$5,0)),"NA")</f>
        <v>2727.2230231905132</v>
      </c>
      <c r="R1159" s="159">
        <f t="shared" ref="R1159:R1177" si="2121">+Q1159/DH1159</f>
        <v>32.168994588106742</v>
      </c>
      <c r="S1159" s="159"/>
      <c r="T1159" s="159"/>
      <c r="U1159" s="159"/>
      <c r="V1159" s="159"/>
      <c r="W1159" s="159">
        <f t="shared" si="2100"/>
        <v>1982.1070450151826</v>
      </c>
      <c r="X1159" s="163"/>
      <c r="Y1159" s="167">
        <v>135.94758144445004</v>
      </c>
      <c r="Z1159" s="168">
        <v>6.5439219493178555E-3</v>
      </c>
      <c r="AA1159" s="76">
        <f t="shared" ref="AA1159:AA1177" si="2122">+Z1159*$AR1159</f>
        <v>0</v>
      </c>
      <c r="AB1159" s="168"/>
      <c r="AC1159" s="168"/>
      <c r="AD1159" s="163">
        <f t="shared" si="2005"/>
        <v>6592.5284730719595</v>
      </c>
      <c r="AE1159" s="168"/>
      <c r="AF1159" s="163"/>
      <c r="AG1159" s="163"/>
      <c r="AH1159" s="163"/>
      <c r="AI1159" s="163"/>
      <c r="AJ1159" s="167"/>
      <c r="AK1159" s="168"/>
      <c r="AL1159" s="115">
        <f t="shared" ref="AL1159:AL1177" si="2123">+J1159/AD1159</f>
        <v>0.28565646891908503</v>
      </c>
      <c r="AM1159" s="115">
        <f t="shared" ref="AM1159:AM1177" si="2124">+Q1159/AD1159</f>
        <v>0.41368392026370621</v>
      </c>
      <c r="AN1159" s="115">
        <f t="shared" ref="AN1159:AN1177" si="2125">+W1159/AD1159</f>
        <v>0.30065961081720871</v>
      </c>
      <c r="AO1159" s="115"/>
      <c r="AP1159" s="115"/>
      <c r="AQ1159" s="168"/>
      <c r="AR1159" s="115"/>
      <c r="AS1159" s="115"/>
      <c r="AT1159" s="115"/>
      <c r="AU1159" s="115"/>
      <c r="AV1159" s="113">
        <f>IFERROR(INDEX('Total Customers'!$F$7:$AB$91,MATCH($C1159,'Total Customers'!$D$7:$D$91,0),MATCH($G1159,'Total Customers'!$F$5:$AB$5,0)),"NA")</f>
        <v>15476</v>
      </c>
      <c r="AW1159" s="68">
        <f t="shared" si="2113"/>
        <v>1.2924071100382429E-4</v>
      </c>
      <c r="AX1159" s="114"/>
      <c r="AY1159" s="114"/>
      <c r="AZ1159" s="116"/>
      <c r="BA1159" s="116"/>
      <c r="BB1159" s="166"/>
      <c r="BC1159" s="166"/>
      <c r="BD1159" s="166"/>
      <c r="BE1159" s="166"/>
      <c r="BF1159" s="166"/>
      <c r="BG1159" s="166"/>
      <c r="BH1159" s="166"/>
      <c r="BI1159" s="113"/>
      <c r="BJ1159" s="113"/>
      <c r="BK1159" s="113">
        <f>INDEX('Dist. Plant Gas Additions'!$F$7:$AE$91,MATCH($C1159,'Dist. Plant Gas Additions'!$D$7:$D$91,0),MATCH(Calculation!$G1159,'Dist. Plant Gas Additions'!$F$5:$AE$5,0))</f>
        <v>460</v>
      </c>
      <c r="BL1159" s="113">
        <f>INDEX('Gen. Plant Additions'!$F$7:$AE$91,MATCH($C1159,'Gen. Plant Additions'!$D$7:$D$91,0),MATCH(Calculation!$G1159,'Gen. Plant Additions'!$F$5:$AE$5,0))</f>
        <v>239</v>
      </c>
      <c r="BM1159" s="231">
        <f t="shared" si="2101"/>
        <v>0.84958521321496139</v>
      </c>
      <c r="BN1159" s="61">
        <f t="shared" si="2102"/>
        <v>203.05086595837577</v>
      </c>
      <c r="BO1159" s="113">
        <f>INDEX('Dist Plant Depreciation'!$E$7:$AD$94,MATCH($C1159,'Dist Plant Depreciation'!$D$7:$D$94,0),MATCH(Calculation!$G1159,'Dist Plant Depreciation'!$E$5:$AD$5,0))</f>
        <v>16346</v>
      </c>
      <c r="BP1159" s="113">
        <f>INDEX('Gen. Plant Depreciation'!$E$7:$AD$94,MATCH($C1159,'Gen. Plant Depreciation'!$D$7:$D$94,0),MATCH(Calculation!$G1159,'Gen. Plant Depreciation'!$E$5:$AD$5,0))</f>
        <v>2166</v>
      </c>
      <c r="BQ1159" s="113"/>
      <c r="BR1159" s="113"/>
      <c r="BS1159" s="113"/>
      <c r="BT1159" s="113"/>
      <c r="BU1159" s="113"/>
      <c r="BV1159" s="175"/>
      <c r="BW1159" s="113">
        <f>INDEX('Gross Dx Plant'!$E$7:$AD$91,MATCH($C1159,'Gross Dx Plant'!$D$7:$D$91,0),MATCH(Calculation!$G1159,'Gross Dx Plant'!$E$5:$AD$5,0))</f>
        <v>35025</v>
      </c>
      <c r="BX1159" s="113">
        <f>INDEX('Gross Gen Plant'!$E$7:$AD$91,MATCH($C1159,'Gross Gen Plant'!$D$7:$D$91,0),MATCH(Calculation!$G1159,'Gross Gen Plant'!$E$5:$AD$5,0))</f>
        <v>6201</v>
      </c>
      <c r="BY1159" s="113">
        <f t="shared" si="2067"/>
        <v>22714</v>
      </c>
      <c r="BZ1159" s="113"/>
      <c r="CA1159" s="116">
        <v>2004</v>
      </c>
      <c r="CB1159" s="113"/>
      <c r="CC1159" s="113"/>
      <c r="CD1159" s="113"/>
      <c r="CE1159" s="175"/>
      <c r="CF1159" s="113">
        <f t="shared" si="2103"/>
        <v>699</v>
      </c>
      <c r="CG1159" s="113">
        <f t="shared" si="2104"/>
        <v>1.6847953240534586</v>
      </c>
      <c r="CH1159" s="178">
        <v>0.967741935483871</v>
      </c>
      <c r="CI1159" s="61">
        <f>+CI1153*CH1159+CG1154*CH1158+CG1155*CH1157+CG1156*CH1156+CG1157*CH1155+CG1158*CH1154+CG1159</f>
        <v>135.94758144445004</v>
      </c>
      <c r="CJ1159" s="114">
        <f t="shared" si="2105"/>
        <v>6.5439219493178555E-3</v>
      </c>
      <c r="CK1159" s="114"/>
      <c r="CL1159" s="169">
        <f t="shared" si="2106"/>
        <v>5.9089619655837622E-3</v>
      </c>
      <c r="CM1159" s="169">
        <f t="shared" si="2115"/>
        <v>5.7494071554220838E-3</v>
      </c>
      <c r="CN1159" s="114">
        <f>VLOOKUP($H1159,RoR!$E:$F,2,FALSE)</f>
        <v>5.6283333333333331E-2</v>
      </c>
      <c r="CO1159" s="169">
        <v>2.6778252812867276E-2</v>
      </c>
      <c r="CP1159" s="169">
        <f t="shared" si="2112"/>
        <v>2.9505080520466055E-2</v>
      </c>
      <c r="CQ1159" s="169">
        <f t="shared" si="2116"/>
        <v>2.5152534453111542E-2</v>
      </c>
      <c r="CR1159" s="169">
        <f t="shared" si="2117"/>
        <v>5.5940039414565046E-2</v>
      </c>
      <c r="CS1159" s="179">
        <f t="shared" si="2107"/>
        <v>0.85329623209999994</v>
      </c>
      <c r="CT1159" s="180">
        <f t="shared" si="2108"/>
        <v>0.91114097628755619</v>
      </c>
      <c r="CU1159" s="180">
        <f t="shared" si="2109"/>
        <v>0.53081877405981637</v>
      </c>
      <c r="CV1159" s="180">
        <f t="shared" si="2110"/>
        <v>0.88811215519385678</v>
      </c>
      <c r="CW1159" s="180">
        <f t="shared" si="2111"/>
        <v>0.42953609753547711</v>
      </c>
      <c r="CX1159" s="181">
        <f>INDEX('State Tax Lookup'!$D$7:$Z$91,MATCH(Calculation!$C1159,'State Tax Lookup'!$B$7:$B$91,0),MATCH($H1159,'State Tax Lookup'!$D$6:$Z$6,0))</f>
        <v>0.39649667</v>
      </c>
      <c r="CY1159" s="72">
        <v>0.37</v>
      </c>
      <c r="CZ1159" s="70">
        <f t="shared" si="2114"/>
        <v>14.675658883672897</v>
      </c>
      <c r="DA1159" s="70"/>
      <c r="DB1159" s="69">
        <f t="shared" si="2118"/>
        <v>0.10416899670955035</v>
      </c>
      <c r="DC1159" s="111">
        <f>VLOOKUP($H1159,RoR!$E:$F,2,FALSE)</f>
        <v>5.6283333333333331E-2</v>
      </c>
      <c r="DD1159" s="216">
        <f>HLOOKUP($H1159,'GDP-PI'!$D$8:$CQ$11,3,FALSE)</f>
        <v>2.6778252812867276E-2</v>
      </c>
      <c r="DE1159" s="111">
        <f>VLOOKUP(H1159,'HW Dx Data'!$E:$F,2,FALSE)</f>
        <v>414.88719135228365</v>
      </c>
      <c r="DF1159" s="72">
        <f>VLOOKUP(G1159,EG$8:EH$27,2,FALSE)</f>
        <v>94.35</v>
      </c>
      <c r="DG1159" s="69"/>
      <c r="DH1159" s="66">
        <f>HLOOKUP(H1159,'GDP-PI'!$8:$9,2,FALSE)</f>
        <v>84.778000000000006</v>
      </c>
      <c r="DI1159" s="69">
        <f t="shared" si="2119"/>
        <v>2.6425990216022755E-2</v>
      </c>
    </row>
    <row r="1160" spans="1:113" s="160" customFormat="1" ht="21">
      <c r="A1160" s="160" t="s">
        <v>229</v>
      </c>
      <c r="B1160" s="160" t="s">
        <v>229</v>
      </c>
      <c r="C1160" s="160">
        <v>4063183</v>
      </c>
      <c r="D1160" s="161" t="s">
        <v>171</v>
      </c>
      <c r="E1160" s="161" t="s">
        <v>3</v>
      </c>
      <c r="F1160" s="189"/>
      <c r="G1160" s="160" t="s">
        <v>116</v>
      </c>
      <c r="H1160" s="162">
        <v>2005</v>
      </c>
      <c r="I1160" s="163"/>
      <c r="J1160" s="159">
        <f>IFERROR(INDEX('Labor Expenditures'!$F$7:$X$91,MATCH($C1160,'Labor Expenditures'!$D$7:$D$91,0),MATCH($G1160,'Labor Expenditures'!$F$5:$X$5,0)),"NA")</f>
        <v>1902.9459375134886</v>
      </c>
      <c r="K1160" s="159">
        <f t="shared" si="2120"/>
        <v>19.17808956929694</v>
      </c>
      <c r="L1160" s="165">
        <f t="shared" ref="L1160:L1176" si="2126">LN(K1160/K1159)</f>
        <v>-3.994715851780798E-2</v>
      </c>
      <c r="M1160" s="76"/>
      <c r="N1160" s="62">
        <v>100</v>
      </c>
      <c r="O1160" s="77"/>
      <c r="P1160" s="77"/>
      <c r="Q1160" s="159">
        <f>IFERROR(INDEX('Non-Labor Expenditures'!$F$7:$AB$91,MATCH($C1160,'Non-Labor Expenditures'!$D$7:$D$91,0),MATCH($G1160,'Non-Labor Expenditures'!$F$5:$AB$5,0)),"NA")</f>
        <v>2755.8211387940282</v>
      </c>
      <c r="R1160" s="159">
        <f t="shared" si="2121"/>
        <v>31.528609136499689</v>
      </c>
      <c r="S1160" s="165">
        <f>LN(R1160/R1159)</f>
        <v>-2.0107727473971718E-2</v>
      </c>
      <c r="T1160" s="165"/>
      <c r="U1160" s="165"/>
      <c r="V1160" s="165"/>
      <c r="W1160" s="159">
        <f t="shared" si="2100"/>
        <v>2235.9697124822442</v>
      </c>
      <c r="X1160" s="163"/>
      <c r="Y1160" s="167">
        <v>136.88187253258781</v>
      </c>
      <c r="Z1160" s="168">
        <v>6.8489287109282865E-3</v>
      </c>
      <c r="AA1160" s="76">
        <f t="shared" si="2122"/>
        <v>0</v>
      </c>
      <c r="AB1160" s="168"/>
      <c r="AC1160" s="168"/>
      <c r="AD1160" s="163">
        <f t="shared" si="2005"/>
        <v>6894.7367887897608</v>
      </c>
      <c r="AE1160" s="168">
        <f>LN(AD1160/AD1159)</f>
        <v>4.4821378056172777E-2</v>
      </c>
      <c r="AF1160" s="163"/>
      <c r="AG1160" s="163"/>
      <c r="AH1160" s="163"/>
      <c r="AI1160" s="163"/>
      <c r="AJ1160" s="116"/>
      <c r="AK1160" s="114"/>
      <c r="AL1160" s="115">
        <f t="shared" si="2123"/>
        <v>0.27599979459803486</v>
      </c>
      <c r="AM1160" s="115">
        <f t="shared" si="2124"/>
        <v>0.39969925222885266</v>
      </c>
      <c r="AN1160" s="115">
        <f t="shared" si="2125"/>
        <v>0.32430095317311247</v>
      </c>
      <c r="AO1160" s="115">
        <f t="shared" ref="AO1160:AO1176" si="2127">+(((AL1160+AL1159)/2)*L1160+((AM1159+AM1160)/2)*S1160+((AN1159+AN1160)/2)*Z1160)</f>
        <v>-1.7255774302860887E-2</v>
      </c>
      <c r="AP1160" s="166">
        <v>100</v>
      </c>
      <c r="AQ1160" s="168"/>
      <c r="AR1160" s="115"/>
      <c r="AS1160" s="115"/>
      <c r="AT1160" s="115"/>
      <c r="AU1160" s="115"/>
      <c r="AV1160" s="113">
        <f>IFERROR(INDEX('Total Customers'!$F$7:$AB$91,MATCH($C1160,'Total Customers'!$D$7:$D$91,0),MATCH($G1160,'Total Customers'!$F$5:$AB$5,0)),"NA")</f>
        <v>15511</v>
      </c>
      <c r="AW1160" s="68">
        <f t="shared" si="2113"/>
        <v>2.2590128043473226E-3</v>
      </c>
      <c r="AX1160" s="114"/>
      <c r="AY1160" s="114"/>
      <c r="AZ1160" s="116"/>
      <c r="BA1160" s="116"/>
      <c r="BB1160" s="166"/>
      <c r="BC1160" s="166"/>
      <c r="BD1160" s="166"/>
      <c r="BE1160" s="166"/>
      <c r="BF1160" s="166"/>
      <c r="BG1160" s="166"/>
      <c r="BH1160" s="166"/>
      <c r="BI1160" s="113"/>
      <c r="BJ1160" s="113"/>
      <c r="BK1160" s="113">
        <f>INDEX('Dist. Plant Gas Additions'!$F$7:$AE$91,MATCH($C1160,'Dist. Plant Gas Additions'!$D$7:$D$91,0),MATCH(Calculation!$G1160,'Dist. Plant Gas Additions'!$F$5:$AE$5,0))</f>
        <v>686</v>
      </c>
      <c r="BL1160" s="113">
        <f>INDEX('Gen. Plant Additions'!$F$7:$AE$91,MATCH($C1160,'Gen. Plant Additions'!$D$7:$D$91,0),MATCH(Calculation!$G1160,'Gen. Plant Additions'!$F$5:$AE$5,0))</f>
        <v>143</v>
      </c>
      <c r="BM1160" s="231">
        <f t="shared" si="2101"/>
        <v>0.85662746229886721</v>
      </c>
      <c r="BN1160" s="61">
        <f t="shared" si="2102"/>
        <v>122.49772710873802</v>
      </c>
      <c r="BO1160" s="113">
        <f>INDEX('Dist Plant Depreciation'!$E$7:$AD$94,MATCH($C1160,'Dist Plant Depreciation'!$D$7:$D$94,0),MATCH(Calculation!$G1160,'Dist Plant Depreciation'!$E$5:$AD$5,0))</f>
        <v>17185</v>
      </c>
      <c r="BP1160" s="113">
        <f>INDEX('Gen. Plant Depreciation'!$E$7:$AD$94,MATCH($C1160,'Gen. Plant Depreciation'!$D$7:$D$94,0),MATCH(Calculation!$G1160,'Gen. Plant Depreciation'!$E$5:$AD$5,0))</f>
        <v>2136</v>
      </c>
      <c r="BQ1160" s="113"/>
      <c r="BR1160" s="113"/>
      <c r="BS1160" s="113"/>
      <c r="BT1160" s="113"/>
      <c r="BU1160" s="113"/>
      <c r="BV1160" s="175"/>
      <c r="BW1160" s="113">
        <f>INDEX('Gross Dx Plant'!$E$7:$AD$91,MATCH($C1160,'Gross Dx Plant'!$D$7:$D$91,0),MATCH(Calculation!$G1160,'Gross Dx Plant'!$E$5:$AD$5,0))</f>
        <v>35616</v>
      </c>
      <c r="BX1160" s="113">
        <f>INDEX('Gross Gen Plant'!$E$7:$AD$91,MATCH($C1160,'Gross Gen Plant'!$D$7:$D$91,0),MATCH(Calculation!$G1160,'Gross Gen Plant'!$E$5:$AD$5,0))</f>
        <v>5961</v>
      </c>
      <c r="BY1160" s="113">
        <f t="shared" si="2067"/>
        <v>22256</v>
      </c>
      <c r="BZ1160" s="113"/>
      <c r="CA1160" s="116">
        <v>2005</v>
      </c>
      <c r="CB1160" s="113"/>
      <c r="CC1160" s="113"/>
      <c r="CD1160" s="113"/>
      <c r="CE1160" s="175"/>
      <c r="CF1160" s="113">
        <f t="shared" si="2103"/>
        <v>829</v>
      </c>
      <c r="CG1160" s="113">
        <f t="shared" si="2104"/>
        <v>1.7668178131696084</v>
      </c>
      <c r="CH1160" s="178">
        <v>0.96174863387978138</v>
      </c>
      <c r="CI1160" s="61">
        <f>+CI1153*CH1160+CG1154*CH1159+CG1155*CH1158+CG1156*CH1157+CG1157*CH1156+CG1158*CH1155+CG1159*CH1154+CG1160</f>
        <v>136.88187253258781</v>
      </c>
      <c r="CJ1160" s="114">
        <f t="shared" si="2105"/>
        <v>6.8489287109282865E-3</v>
      </c>
      <c r="CK1160" s="114"/>
      <c r="CL1160" s="169">
        <f t="shared" si="2106"/>
        <v>6.1238803676108107E-3</v>
      </c>
      <c r="CM1160" s="169">
        <f t="shared" si="2115"/>
        <v>5.913592001428482E-3</v>
      </c>
      <c r="CN1160" s="114">
        <f>VLOOKUP($H1160,RoR!$E:$F,2,FALSE)</f>
        <v>5.2350000000000001E-2</v>
      </c>
      <c r="CO1160" s="169">
        <v>3.1010403642454332E-2</v>
      </c>
      <c r="CP1160" s="169">
        <f t="shared" si="2112"/>
        <v>2.1339596357545669E-2</v>
      </c>
      <c r="CQ1160" s="169">
        <f t="shared" si="2116"/>
        <v>2.4988349607105144E-2</v>
      </c>
      <c r="CR1160" s="169">
        <f t="shared" si="2117"/>
        <v>9.2129610649277341E-2</v>
      </c>
      <c r="CS1160" s="179">
        <f t="shared" si="2107"/>
        <v>0.85329623209999994</v>
      </c>
      <c r="CT1160" s="180">
        <f t="shared" si="2108"/>
        <v>0.97959983346802826</v>
      </c>
      <c r="CU1160" s="180">
        <f t="shared" si="2109"/>
        <v>0.49744508118433622</v>
      </c>
      <c r="CV1160" s="180">
        <f t="shared" si="2110"/>
        <v>0.87010519444335932</v>
      </c>
      <c r="CW1160" s="180">
        <f t="shared" si="2111"/>
        <v>0.42399975420741998</v>
      </c>
      <c r="CX1160" s="181">
        <f>INDEX('State Tax Lookup'!$D$7:$Z$91,MATCH(Calculation!$C1160,'State Tax Lookup'!$B$7:$B$91,0),MATCH($H1160,'State Tax Lookup'!$D$6:$Z$6,0))</f>
        <v>0.39649667</v>
      </c>
      <c r="CY1160" s="72">
        <v>0.37</v>
      </c>
      <c r="CZ1160" s="70">
        <f t="shared" si="2114"/>
        <v>16.447293057551676</v>
      </c>
      <c r="DA1160" s="70"/>
      <c r="DB1160" s="69">
        <f t="shared" si="2118"/>
        <v>0.11397064481605421</v>
      </c>
      <c r="DC1160" s="111">
        <f>VLOOKUP($H1160,RoR!$E:$F,2,FALSE)</f>
        <v>5.2350000000000001E-2</v>
      </c>
      <c r="DD1160" s="216">
        <f>HLOOKUP($H1160,'GDP-PI'!$D$8:$CQ$11,3,FALSE)</f>
        <v>3.1010403642454332E-2</v>
      </c>
      <c r="DE1160" s="111">
        <f>VLOOKUP(H1160,'HW Dx Data'!$E:$F,2,FALSE)</f>
        <v>469.20514034936258</v>
      </c>
      <c r="DF1160" s="72">
        <f t="shared" ref="DF1160:DF1178" si="2128">VLOOKUP(G1160,EG$8:EH$27,2,FALSE)</f>
        <v>99.224999999999994</v>
      </c>
      <c r="DG1160" s="69">
        <f t="shared" ref="DG1160:DG1178" si="2129">LN(DF1160/DF1159)</f>
        <v>5.0378726854569796E-2</v>
      </c>
      <c r="DH1160" s="66">
        <f>HLOOKUP(H1160,'GDP-PI'!$8:$9,2,FALSE)</f>
        <v>87.406999999999996</v>
      </c>
      <c r="DI1160" s="69">
        <f t="shared" si="2119"/>
        <v>3.0539295810733648E-2</v>
      </c>
    </row>
    <row r="1161" spans="1:113" s="160" customFormat="1" ht="21">
      <c r="A1161" s="160" t="s">
        <v>229</v>
      </c>
      <c r="B1161" s="160" t="s">
        <v>229</v>
      </c>
      <c r="C1161" s="160">
        <v>4063183</v>
      </c>
      <c r="D1161" s="161" t="s">
        <v>171</v>
      </c>
      <c r="E1161" s="161" t="s">
        <v>3</v>
      </c>
      <c r="F1161" s="189"/>
      <c r="G1161" s="160" t="s">
        <v>117</v>
      </c>
      <c r="H1161" s="162">
        <v>2006</v>
      </c>
      <c r="I1161" s="163"/>
      <c r="J1161" s="159">
        <f>IFERROR(INDEX('Labor Expenditures'!$F$7:$X$91,MATCH($C1161,'Labor Expenditures'!$D$7:$D$91,0),MATCH($G1161,'Labor Expenditures'!$F$5:$X$5,0)),"NA")</f>
        <v>1831.3221798897846</v>
      </c>
      <c r="K1161" s="159">
        <f t="shared" si="2120"/>
        <v>16.739690858224723</v>
      </c>
      <c r="L1161" s="165">
        <f t="shared" si="2126"/>
        <v>-0.13598586149946038</v>
      </c>
      <c r="M1161" s="76">
        <f t="shared" ref="M1161:M1177" si="2130">+L1161*$AR1161</f>
        <v>-1.1410652464262842E-4</v>
      </c>
      <c r="N1161" s="62">
        <f>+N1160*EXP(O1161)</f>
        <v>115.45847204310238</v>
      </c>
      <c r="O1161" s="96">
        <f t="shared" ref="O1161:O1177" si="2131">+M1161+M1186+M1211+M1236+M1261+M1286+M1311+M1336+M1361+M1386+M1411+M1436+M1461+M1486+M1511+M1536+M1561+M1586+M1611+M1636+M1661+M1686+M1711+M1736+M1761+M1786+M1811+M1836+M1861+M1886+M1911+M1936+M1961+M1986+M2011+M2036+M2061+M2086+M2111+M2136+M2161+M2186+M2211+M2236+M2261+M2286+M2311+M2336+M2361+M2386+M2411+M2436+M2461+M2486</f>
        <v>0.14374072991000073</v>
      </c>
      <c r="P1161" s="96"/>
      <c r="Q1161" s="159">
        <f>IFERROR(INDEX('Non-Labor Expenditures'!$F$7:$AB$91,MATCH($C1161,'Non-Labor Expenditures'!$D$7:$D$91,0),MATCH($G1161,'Non-Labor Expenditures'!$F$5:$AB$5,0)),"NA")</f>
        <v>2652.0965602822616</v>
      </c>
      <c r="R1161" s="159">
        <f t="shared" si="2121"/>
        <v>29.44353043366856</v>
      </c>
      <c r="S1161" s="165">
        <f t="shared" ref="S1161:S1176" si="2132">LN(R1161/R1160)</f>
        <v>-6.8421153906163171E-2</v>
      </c>
      <c r="T1161" s="165">
        <f t="shared" ref="T1161:T1177" si="2133">+S1161*AR1161</f>
        <v>-5.7412586854124248E-5</v>
      </c>
      <c r="U1161" s="165"/>
      <c r="V1161" s="165"/>
      <c r="W1161" s="159">
        <f t="shared" si="2100"/>
        <v>2195.5495163690953</v>
      </c>
      <c r="X1161" s="163"/>
      <c r="Y1161" s="167">
        <v>139.73240938773219</v>
      </c>
      <c r="Z1161" s="168">
        <v>2.0610922516729278E-2</v>
      </c>
      <c r="AA1161" s="76">
        <f t="shared" si="2122"/>
        <v>1.7294744557483329E-5</v>
      </c>
      <c r="AB1161" s="168"/>
      <c r="AC1161" s="168"/>
      <c r="AD1161" s="163">
        <f t="shared" si="2005"/>
        <v>6678.9682565411422</v>
      </c>
      <c r="AE1161" s="168">
        <f t="shared" ref="AE1161:AE1177" si="2134">LN(AD1161/AD1160)</f>
        <v>-3.1794813296008619E-2</v>
      </c>
      <c r="AF1161" s="163"/>
      <c r="AG1161" s="163"/>
      <c r="AH1161" s="163"/>
      <c r="AI1161" s="163"/>
      <c r="AJ1161" s="116">
        <f t="shared" ref="AJ1161:AJ1177" si="2135">+(AD1161*1000)/AV1161</f>
        <v>437.70681280170015</v>
      </c>
      <c r="AK1161" s="114">
        <f>+AV1161/$AX$11</f>
        <v>4.3997584991330667E-4</v>
      </c>
      <c r="AL1161" s="115">
        <f t="shared" si="2123"/>
        <v>0.27419237665881302</v>
      </c>
      <c r="AM1161" s="115">
        <f t="shared" si="2124"/>
        <v>0.39708177347375373</v>
      </c>
      <c r="AN1161" s="115">
        <f t="shared" si="2125"/>
        <v>0.32872584986743314</v>
      </c>
      <c r="AO1161" s="115">
        <f t="shared" si="2127"/>
        <v>-5.7937774374456782E-2</v>
      </c>
      <c r="AP1161" s="166">
        <f>+AP1160*EXP(AO1161)</f>
        <v>94.370866847202919</v>
      </c>
      <c r="AQ1161" s="168">
        <f>LN(AP1161/AP1160)</f>
        <v>-5.7937774374456838E-2</v>
      </c>
      <c r="AR1161" s="169">
        <f>+AD1161/$AF$11</f>
        <v>8.3910579662049075E-4</v>
      </c>
      <c r="AS1161" s="169">
        <f>+AR1161*AQ1161</f>
        <v>-4.8615922320896863E-5</v>
      </c>
      <c r="AT1161" s="115"/>
      <c r="AU1161" s="115"/>
      <c r="AV1161" s="113">
        <f>IFERROR(INDEX('Total Customers'!$F$7:$AB$91,MATCH($C1161,'Total Customers'!$D$7:$D$91,0),MATCH($G1161,'Total Customers'!$F$5:$AB$5,0)),"NA")</f>
        <v>15259</v>
      </c>
      <c r="AW1161" s="68">
        <f t="shared" si="2113"/>
        <v>-1.6379956733015229E-2</v>
      </c>
      <c r="AX1161" s="114"/>
      <c r="AY1161" s="114"/>
      <c r="AZ1161" s="116">
        <v>8247377</v>
      </c>
      <c r="BA1161" s="116"/>
      <c r="BB1161" s="166"/>
      <c r="BC1161" s="166"/>
      <c r="BD1161" s="166"/>
      <c r="BE1161" s="166"/>
      <c r="BF1161" s="166"/>
      <c r="BG1161" s="166"/>
      <c r="BH1161" s="166"/>
      <c r="BI1161" s="113"/>
      <c r="BJ1161" s="113"/>
      <c r="BK1161" s="113">
        <f>INDEX('Dist. Plant Gas Additions'!$F$7:$AE$91,MATCH($C1161,'Dist. Plant Gas Additions'!$D$7:$D$91,0),MATCH(Calculation!$G1161,'Dist. Plant Gas Additions'!$F$5:$AE$5,0))</f>
        <v>513</v>
      </c>
      <c r="BL1161" s="113">
        <f>INDEX('Gen. Plant Additions'!$F$7:$AE$91,MATCH($C1161,'Gen. Plant Additions'!$D$7:$D$91,0),MATCH(Calculation!$G1161,'Gen. Plant Additions'!$F$5:$AE$5,0))</f>
        <v>1202</v>
      </c>
      <c r="BM1161" s="231">
        <f t="shared" si="2101"/>
        <v>0.84252795741601105</v>
      </c>
      <c r="BN1161" s="61">
        <f t="shared" si="2102"/>
        <v>1012.7186048140453</v>
      </c>
      <c r="BO1161" s="113">
        <f>INDEX('Dist Plant Depreciation'!$E$7:$AD$94,MATCH($C1161,'Dist Plant Depreciation'!$D$7:$D$94,0),MATCH(Calculation!$G1161,'Dist Plant Depreciation'!$E$5:$AD$5,0))</f>
        <v>18071</v>
      </c>
      <c r="BP1161" s="113">
        <f>INDEX('Gen. Plant Depreciation'!$E$7:$AD$94,MATCH($C1161,'Gen. Plant Depreciation'!$D$7:$D$94,0),MATCH(Calculation!$G1161,'Gen. Plant Depreciation'!$E$5:$AD$5,0))</f>
        <v>2013</v>
      </c>
      <c r="BQ1161" s="113"/>
      <c r="BR1161" s="113"/>
      <c r="BS1161" s="113"/>
      <c r="BT1161" s="113"/>
      <c r="BU1161" s="113"/>
      <c r="BV1161" s="175"/>
      <c r="BW1161" s="113">
        <f>INDEX('Gross Dx Plant'!$E$7:$AD$91,MATCH($C1161,'Gross Dx Plant'!$D$7:$D$91,0),MATCH(Calculation!$G1161,'Gross Dx Plant'!$E$5:$AD$5,0))</f>
        <v>36088</v>
      </c>
      <c r="BX1161" s="113">
        <f>INDEX('Gross Gen Plant'!$E$7:$AD$91,MATCH($C1161,'Gross Gen Plant'!$D$7:$D$91,0),MATCH(Calculation!$G1161,'Gross Gen Plant'!$E$5:$AD$5,0))</f>
        <v>6745</v>
      </c>
      <c r="BY1161" s="113">
        <f t="shared" si="2067"/>
        <v>22749</v>
      </c>
      <c r="BZ1161" s="114"/>
      <c r="CA1161" s="116">
        <v>2006</v>
      </c>
      <c r="CB1161" s="113"/>
      <c r="CC1161" s="113"/>
      <c r="CD1161" s="113"/>
      <c r="CE1161" s="175"/>
      <c r="CF1161" s="113">
        <f t="shared" si="2103"/>
        <v>1715</v>
      </c>
      <c r="CG1161" s="113">
        <f t="shared" si="2104"/>
        <v>3.719482303249332</v>
      </c>
      <c r="CH1161" s="178">
        <v>0.9555555555555556</v>
      </c>
      <c r="CI1161" s="61">
        <f>+CI1153*CH1161+CG1154*CH1160+CG1155*CH1159+CG1156*CH1158+CG1157*CH1157+CG1158*CH1156+CG1159*CH1155+CG1160*CH1154+CG1161</f>
        <v>139.73240938773219</v>
      </c>
      <c r="CJ1161" s="114">
        <f t="shared" si="2105"/>
        <v>2.0610922516729278E-2</v>
      </c>
      <c r="CK1161" s="114"/>
      <c r="CL1161" s="169">
        <f t="shared" si="2106"/>
        <v>6.3481411528621247E-3</v>
      </c>
      <c r="CM1161" s="169">
        <f t="shared" si="2115"/>
        <v>6.1269944953522325E-3</v>
      </c>
      <c r="CN1161" s="114">
        <f>VLOOKUP($H1161,RoR!$E:$F,2,FALSE)</f>
        <v>5.5874999999999994E-2</v>
      </c>
      <c r="CO1161" s="169">
        <v>3.0512430354548314E-2</v>
      </c>
      <c r="CP1161" s="169">
        <f t="shared" si="2112"/>
        <v>2.536256964545168E-2</v>
      </c>
      <c r="CQ1161" s="169">
        <f t="shared" si="2116"/>
        <v>2.4774947113181393E-2</v>
      </c>
      <c r="CR1161" s="169">
        <f t="shared" si="2117"/>
        <v>7.9087823893859641E-2</v>
      </c>
      <c r="CS1161" s="179">
        <f t="shared" si="2107"/>
        <v>0.85329623209999994</v>
      </c>
      <c r="CT1161" s="180">
        <f t="shared" si="2108"/>
        <v>0.91779957551769631</v>
      </c>
      <c r="CU1161" s="180">
        <f t="shared" si="2109"/>
        <v>0.52757270693512304</v>
      </c>
      <c r="CV1161" s="180">
        <f t="shared" si="2110"/>
        <v>0.88636824549024895</v>
      </c>
      <c r="CW1161" s="180">
        <f t="shared" si="2111"/>
        <v>0.42918482841932087</v>
      </c>
      <c r="CX1161" s="181">
        <f>INDEX('State Tax Lookup'!$D$7:$Z$91,MATCH(Calculation!$C1161,'State Tax Lookup'!$B$7:$B$91,0),MATCH($H1161,'State Tax Lookup'!$D$6:$Z$6,0))</f>
        <v>0.39649667</v>
      </c>
      <c r="CY1161" s="72">
        <v>0.37</v>
      </c>
      <c r="CZ1161" s="70">
        <f t="shared" si="2114"/>
        <v>16.039739051979986</v>
      </c>
      <c r="DA1161" s="70">
        <v>14.788696346247992</v>
      </c>
      <c r="DB1161" s="69">
        <f t="shared" si="2118"/>
        <v>-2.5091574172427512E-2</v>
      </c>
      <c r="DC1161" s="111">
        <f>VLOOKUP($H1161,RoR!$E:$F,2,FALSE)</f>
        <v>5.5874999999999994E-2</v>
      </c>
      <c r="DD1161" s="216">
        <f>HLOOKUP($H1161,'GDP-PI'!$D$8:$CQ$11,3,FALSE)</f>
        <v>3.0512430354548314E-2</v>
      </c>
      <c r="DE1161" s="111">
        <f>VLOOKUP(H1161,'HW Dx Data'!$E:$F,2,FALSE)</f>
        <v>461.08567272971823</v>
      </c>
      <c r="DF1161" s="72">
        <f t="shared" si="2128"/>
        <v>109.4</v>
      </c>
      <c r="DG1161" s="69">
        <f t="shared" si="2129"/>
        <v>9.7620891318751846E-2</v>
      </c>
      <c r="DH1161" s="66">
        <f>HLOOKUP(H1161,'GDP-PI'!$8:$9,2,FALSE)</f>
        <v>90.073999999999998</v>
      </c>
      <c r="DI1161" s="69">
        <f t="shared" si="2119"/>
        <v>3.005618372545445E-2</v>
      </c>
    </row>
    <row r="1162" spans="1:113" s="160" customFormat="1" ht="21">
      <c r="A1162" s="160" t="s">
        <v>229</v>
      </c>
      <c r="B1162" s="160" t="s">
        <v>229</v>
      </c>
      <c r="C1162" s="160">
        <v>4063183</v>
      </c>
      <c r="D1162" s="161" t="s">
        <v>171</v>
      </c>
      <c r="E1162" s="161" t="s">
        <v>3</v>
      </c>
      <c r="F1162" s="189"/>
      <c r="G1162" s="160" t="s">
        <v>118</v>
      </c>
      <c r="H1162" s="162">
        <v>2007</v>
      </c>
      <c r="I1162" s="163"/>
      <c r="J1162" s="159">
        <f>IFERROR(INDEX('Labor Expenditures'!$F$7:$X$91,MATCH($C1162,'Labor Expenditures'!$D$7:$D$91,0),MATCH($G1162,'Labor Expenditures'!$F$5:$X$5,0)),"NA")</f>
        <v>2220.3464244936977</v>
      </c>
      <c r="K1162" s="159">
        <f t="shared" si="2120"/>
        <v>21.242252327134157</v>
      </c>
      <c r="L1162" s="165">
        <f t="shared" si="2126"/>
        <v>0.23820963487865859</v>
      </c>
      <c r="M1162" s="76">
        <f t="shared" si="2130"/>
        <v>2.2210661075096677E-4</v>
      </c>
      <c r="N1162" s="62">
        <f t="shared" ref="N1162:N1175" si="2136">+N1161*EXP(O1162)</f>
        <v>119.9271689706782</v>
      </c>
      <c r="O1162" s="96">
        <f t="shared" si="2131"/>
        <v>3.7973717385923589E-2</v>
      </c>
      <c r="P1162" s="96"/>
      <c r="Q1162" s="159">
        <f>IFERROR(INDEX('Non-Labor Expenditures'!$F$7:$AB$91,MATCH($C1162,'Non-Labor Expenditures'!$D$7:$D$91,0),MATCH($G1162,'Non-Labor Expenditures'!$F$5:$AB$5,0)),"NA")</f>
        <v>3215.4763261749767</v>
      </c>
      <c r="R1162" s="159">
        <f t="shared" si="2121"/>
        <v>34.762657853953343</v>
      </c>
      <c r="S1162" s="165">
        <f t="shared" si="2132"/>
        <v>0.1660695541833685</v>
      </c>
      <c r="T1162" s="165">
        <f t="shared" si="2133"/>
        <v>1.5484321550377636E-4</v>
      </c>
      <c r="U1162" s="165"/>
      <c r="V1162" s="165"/>
      <c r="W1162" s="159">
        <f t="shared" si="2100"/>
        <v>2403.5580626775077</v>
      </c>
      <c r="X1162" s="163"/>
      <c r="Y1162" s="167">
        <v>141.84364195151321</v>
      </c>
      <c r="Z1162" s="168">
        <v>1.4996105802679894E-2</v>
      </c>
      <c r="AA1162" s="76">
        <f t="shared" si="2122"/>
        <v>1.3982365725856461E-5</v>
      </c>
      <c r="AB1162" s="168"/>
      <c r="AC1162" s="168"/>
      <c r="AD1162" s="163">
        <f t="shared" si="2005"/>
        <v>7839.3808133461825</v>
      </c>
      <c r="AE1162" s="168">
        <f t="shared" si="2134"/>
        <v>0.16019633034796163</v>
      </c>
      <c r="AF1162" s="163"/>
      <c r="AG1162" s="163"/>
      <c r="AH1162" s="163"/>
      <c r="AI1162" s="163"/>
      <c r="AJ1162" s="116">
        <f t="shared" si="2135"/>
        <v>510.44281894427547</v>
      </c>
      <c r="AK1162" s="114">
        <f>+AV1162/$AX$12</f>
        <v>4.3949630026703161E-4</v>
      </c>
      <c r="AL1162" s="115">
        <f t="shared" si="2123"/>
        <v>0.28322982099729876</v>
      </c>
      <c r="AM1162" s="115">
        <f t="shared" si="2124"/>
        <v>0.41016968083764693</v>
      </c>
      <c r="AN1162" s="115">
        <f t="shared" si="2125"/>
        <v>0.30660049816505425</v>
      </c>
      <c r="AO1162" s="115">
        <f t="shared" si="2127"/>
        <v>0.13818532422130872</v>
      </c>
      <c r="AP1162" s="166">
        <f>+AP1161*EXP(AO1162)</f>
        <v>108.35552684178148</v>
      </c>
      <c r="AQ1162" s="168">
        <f>LN(AP1162/AP1161)</f>
        <v>0.13818532422130869</v>
      </c>
      <c r="AR1162" s="169">
        <f>+AD1162/$AF$12</f>
        <v>9.3239977830496018E-4</v>
      </c>
      <c r="AS1162" s="169">
        <f t="shared" ref="AS1162:AS1176" si="2137">+AR1162*AQ1162</f>
        <v>1.2884396566894727E-4</v>
      </c>
      <c r="AT1162" s="115"/>
      <c r="AU1162" s="115"/>
      <c r="AV1162" s="113">
        <f>IFERROR(INDEX('Total Customers'!$F$7:$AB$91,MATCH($C1162,'Total Customers'!$D$7:$D$91,0),MATCH($G1162,'Total Customers'!$F$5:$AB$5,0)),"NA")</f>
        <v>15358</v>
      </c>
      <c r="AW1162" s="68">
        <f t="shared" si="2113"/>
        <v>6.4670179987531889E-3</v>
      </c>
      <c r="AX1162" s="114"/>
      <c r="AY1162" s="114"/>
      <c r="AZ1162" s="116">
        <v>8187757</v>
      </c>
      <c r="BA1162" s="116"/>
      <c r="BB1162" s="166"/>
      <c r="BC1162" s="166"/>
      <c r="BD1162" s="166"/>
      <c r="BE1162" s="166"/>
      <c r="BF1162" s="166"/>
      <c r="BG1162" s="166"/>
      <c r="BH1162" s="166"/>
      <c r="BI1162" s="113"/>
      <c r="BJ1162" s="113"/>
      <c r="BK1162" s="113">
        <f>INDEX('Dist. Plant Gas Additions'!$F$7:$AE$91,MATCH($C1162,'Dist. Plant Gas Additions'!$D$7:$D$91,0),MATCH(Calculation!$G1162,'Dist. Plant Gas Additions'!$F$5:$AE$5,0))</f>
        <v>1106</v>
      </c>
      <c r="BL1162" s="113">
        <f>INDEX('Gen. Plant Additions'!$F$7:$AE$91,MATCH($C1162,'Gen. Plant Additions'!$D$7:$D$91,0),MATCH(Calculation!$G1162,'Gen. Plant Additions'!$F$5:$AE$5,0))</f>
        <v>402</v>
      </c>
      <c r="BM1162" s="231">
        <f t="shared" si="2101"/>
        <v>0.84216974069284689</v>
      </c>
      <c r="BN1162" s="61">
        <f t="shared" si="2102"/>
        <v>338.55223575852443</v>
      </c>
      <c r="BO1162" s="113">
        <f>INDEX('Dist Plant Depreciation'!$E$7:$AD$94,MATCH($C1162,'Dist Plant Depreciation'!$D$7:$D$94,0),MATCH(Calculation!$G1162,'Dist Plant Depreciation'!$E$5:$AD$5,0))</f>
        <v>18649</v>
      </c>
      <c r="BP1162" s="113">
        <f>INDEX('Gen. Plant Depreciation'!$E$7:$AD$94,MATCH($C1162,'Gen. Plant Depreciation'!$D$7:$D$94,0),MATCH(Calculation!$G1162,'Gen. Plant Depreciation'!$E$5:$AD$5,0))</f>
        <v>2220</v>
      </c>
      <c r="BQ1162" s="113"/>
      <c r="BR1162" s="113"/>
      <c r="BS1162" s="113"/>
      <c r="BT1162" s="113"/>
      <c r="BU1162" s="113"/>
      <c r="BV1162" s="175"/>
      <c r="BW1162" s="113">
        <f>INDEX('Gross Dx Plant'!$E$7:$AD$91,MATCH($C1162,'Gross Dx Plant'!$D$7:$D$91,0),MATCH(Calculation!$G1162,'Gross Dx Plant'!$E$5:$AD$5,0))</f>
        <v>37122</v>
      </c>
      <c r="BX1162" s="113">
        <f>INDEX('Gross Gen Plant'!$E$7:$AD$91,MATCH($C1162,'Gross Gen Plant'!$D$7:$D$91,0),MATCH(Calculation!$G1162,'Gross Gen Plant'!$E$5:$AD$5,0))</f>
        <v>6957</v>
      </c>
      <c r="BY1162" s="113">
        <f t="shared" si="2067"/>
        <v>23210</v>
      </c>
      <c r="BZ1162" s="113"/>
      <c r="CA1162" s="116">
        <v>2007</v>
      </c>
      <c r="CB1162" s="113"/>
      <c r="CC1162" s="113"/>
      <c r="CD1162" s="113"/>
      <c r="CE1162" s="175"/>
      <c r="CF1162" s="113">
        <f t="shared" si="2103"/>
        <v>1508</v>
      </c>
      <c r="CG1162" s="113">
        <f t="shared" si="2104"/>
        <v>3.0279767655689418</v>
      </c>
      <c r="CH1162" s="178">
        <v>0.94915254237288138</v>
      </c>
      <c r="CI1162" s="61">
        <f>+CI1153*CH1162+CG1154*CH1161+CG1155*CH1160+CG1156*CH1159+CG1157*CH1158+CG1158*CH1157+CG1159*CH1156+CG1160*CH1155+CG1161*CH1154+CG1162</f>
        <v>141.84364195151321</v>
      </c>
      <c r="CJ1162" s="114">
        <f t="shared" si="2105"/>
        <v>1.4996105802679894E-2</v>
      </c>
      <c r="CK1162" s="114"/>
      <c r="CL1162" s="169">
        <f t="shared" si="2106"/>
        <v>6.560712763809335E-3</v>
      </c>
      <c r="CM1162" s="169">
        <f t="shared" si="2115"/>
        <v>6.3442447614274235E-3</v>
      </c>
      <c r="CN1162" s="114">
        <f>VLOOKUP($H1162,RoR!$E:$F,2,FALSE)</f>
        <v>5.5558333333333321E-2</v>
      </c>
      <c r="CO1162" s="169">
        <v>2.691120634145272E-2</v>
      </c>
      <c r="CP1162" s="169">
        <f t="shared" si="2112"/>
        <v>2.86471269918806E-2</v>
      </c>
      <c r="CQ1162" s="169">
        <f t="shared" si="2116"/>
        <v>2.4557696847106202E-2</v>
      </c>
      <c r="CR1162" s="169">
        <f t="shared" si="2117"/>
        <v>6.4575155250632399E-2</v>
      </c>
      <c r="CS1162" s="179">
        <f t="shared" si="2107"/>
        <v>0.85329623209999994</v>
      </c>
      <c r="CT1162" s="180">
        <f t="shared" si="2108"/>
        <v>0.92303077153834634</v>
      </c>
      <c r="CU1162" s="180">
        <f t="shared" si="2109"/>
        <v>0.52502249887505614</v>
      </c>
      <c r="CV1162" s="180">
        <f t="shared" si="2110"/>
        <v>0.88499666072084604</v>
      </c>
      <c r="CW1162" s="180">
        <f t="shared" si="2111"/>
        <v>0.42887993290280618</v>
      </c>
      <c r="CX1162" s="181">
        <f>INDEX('State Tax Lookup'!$D$7:$Z$91,MATCH(Calculation!$C1162,'State Tax Lookup'!$B$7:$B$91,0),MATCH($H1162,'State Tax Lookup'!$D$6:$Z$6,0))</f>
        <v>0.39649667</v>
      </c>
      <c r="CY1162" s="72">
        <v>0.37</v>
      </c>
      <c r="CZ1162" s="70">
        <f t="shared" si="2114"/>
        <v>17.20114949144023</v>
      </c>
      <c r="DA1162" s="70">
        <v>16.108943221861779</v>
      </c>
      <c r="DB1162" s="69">
        <f t="shared" si="2118"/>
        <v>6.990687875777786E-2</v>
      </c>
      <c r="DC1162" s="111">
        <f>VLOOKUP($H1162,RoR!$E:$F,2,FALSE)</f>
        <v>5.5558333333333321E-2</v>
      </c>
      <c r="DD1162" s="216">
        <f>HLOOKUP($H1162,'GDP-PI'!$D$8:$CQ$11,3,FALSE)</f>
        <v>2.691120634145272E-2</v>
      </c>
      <c r="DE1162" s="111">
        <f>VLOOKUP(H1162,'HW Dx Data'!$E:$F,2,FALSE)</f>
        <v>498.0223154772637</v>
      </c>
      <c r="DF1162" s="72">
        <f t="shared" si="2128"/>
        <v>104.52499999999999</v>
      </c>
      <c r="DG1162" s="69">
        <f t="shared" si="2129"/>
        <v>-4.5584612745252218E-2</v>
      </c>
      <c r="DH1162" s="66">
        <f>HLOOKUP(H1162,'GDP-PI'!$8:$9,2,FALSE)</f>
        <v>92.498000000000005</v>
      </c>
      <c r="DI1162" s="69">
        <f t="shared" si="2119"/>
        <v>2.6555467950038037E-2</v>
      </c>
    </row>
    <row r="1163" spans="1:113" s="160" customFormat="1" ht="21">
      <c r="A1163" s="160" t="s">
        <v>229</v>
      </c>
      <c r="B1163" s="160" t="s">
        <v>229</v>
      </c>
      <c r="C1163" s="160">
        <v>4063183</v>
      </c>
      <c r="D1163" s="161" t="s">
        <v>171</v>
      </c>
      <c r="E1163" s="161" t="s">
        <v>3</v>
      </c>
      <c r="F1163" s="189"/>
      <c r="G1163" s="160" t="s">
        <v>120</v>
      </c>
      <c r="H1163" s="162">
        <v>2008</v>
      </c>
      <c r="I1163" s="163"/>
      <c r="J1163" s="159">
        <f>IFERROR(INDEX('Labor Expenditures'!$F$7:$X$91,MATCH($C1163,'Labor Expenditures'!$D$7:$D$91,0),MATCH($G1163,'Labor Expenditures'!$F$5:$X$5,0)),"NA")</f>
        <v>2364.537472897724</v>
      </c>
      <c r="K1163" s="159">
        <f t="shared" si="2120"/>
        <v>21.914156375326449</v>
      </c>
      <c r="L1163" s="165">
        <f t="shared" si="2126"/>
        <v>3.1140605303014893E-2</v>
      </c>
      <c r="M1163" s="76">
        <f t="shared" si="2130"/>
        <v>2.9641766698929502E-5</v>
      </c>
      <c r="N1163" s="62">
        <f t="shared" si="2136"/>
        <v>113.85362960512441</v>
      </c>
      <c r="O1163" s="96">
        <f t="shared" si="2131"/>
        <v>-5.1970960692855873E-2</v>
      </c>
      <c r="P1163" s="96"/>
      <c r="Q1163" s="159">
        <f>IFERROR(INDEX('Non-Labor Expenditures'!$F$7:$AB$91,MATCH($C1163,'Non-Labor Expenditures'!$D$7:$D$91,0),MATCH($G1163,'Non-Labor Expenditures'!$F$5:$AB$5,0)),"NA")</f>
        <v>3424.2918954369761</v>
      </c>
      <c r="R1163" s="159">
        <f t="shared" si="2121"/>
        <v>36.326613505017569</v>
      </c>
      <c r="S1163" s="165">
        <f t="shared" si="2132"/>
        <v>4.4006866576442989E-2</v>
      </c>
      <c r="T1163" s="165">
        <f t="shared" si="2133"/>
        <v>4.1888757765525881E-5</v>
      </c>
      <c r="U1163" s="165"/>
      <c r="V1163" s="165"/>
      <c r="W1163" s="159">
        <f t="shared" si="2100"/>
        <v>2767.5031195287906</v>
      </c>
      <c r="X1163" s="163"/>
      <c r="Y1163" s="167">
        <v>142.7703388342955</v>
      </c>
      <c r="Z1163" s="168">
        <v>6.5119791726596906E-3</v>
      </c>
      <c r="AA1163" s="76">
        <f t="shared" si="2122"/>
        <v>6.1985489847102793E-6</v>
      </c>
      <c r="AB1163" s="168"/>
      <c r="AC1163" s="168"/>
      <c r="AD1163" s="163">
        <f t="shared" ref="AD1163:AD1229" si="2138">+J1163+Q1163+W1163</f>
        <v>8556.3324878634903</v>
      </c>
      <c r="AE1163" s="168">
        <f t="shared" si="2134"/>
        <v>8.7511797310339007E-2</v>
      </c>
      <c r="AF1163" s="163"/>
      <c r="AG1163" s="163"/>
      <c r="AH1163" s="163"/>
      <c r="AI1163" s="163"/>
      <c r="AJ1163" s="116">
        <f t="shared" si="2135"/>
        <v>558.76265185551426</v>
      </c>
      <c r="AK1163" s="114">
        <f>+AV1163/$AX$13</f>
        <v>4.3586563019472601E-4</v>
      </c>
      <c r="AL1163" s="115">
        <f t="shared" si="2123"/>
        <v>0.27634941445434025</v>
      </c>
      <c r="AM1163" s="115">
        <f t="shared" si="2124"/>
        <v>0.40020556708076443</v>
      </c>
      <c r="AN1163" s="115">
        <f t="shared" si="2125"/>
        <v>0.32344501846489537</v>
      </c>
      <c r="AO1163" s="115">
        <f t="shared" si="2127"/>
        <v>2.8595277400540808E-2</v>
      </c>
      <c r="AP1163" s="166">
        <f t="shared" ref="AP1163:AP1176" si="2139">+AP1162*EXP(AO1163)</f>
        <v>111.49870909785996</v>
      </c>
      <c r="AQ1163" s="168">
        <f t="shared" ref="AQ1163:AQ1176" si="2140">LN(AP1163/AP1162)</f>
        <v>2.8595277400540856E-2</v>
      </c>
      <c r="AR1163" s="169">
        <f>+AD1163/$AF$13</f>
        <v>9.5186867469335026E-4</v>
      </c>
      <c r="AS1163" s="169">
        <f t="shared" si="2137"/>
        <v>2.7218948801741536E-5</v>
      </c>
      <c r="AT1163" s="115"/>
      <c r="AU1163" s="115"/>
      <c r="AV1163" s="113">
        <f>IFERROR(INDEX('Total Customers'!$F$7:$AB$91,MATCH($C1163,'Total Customers'!$D$7:$D$91,0),MATCH($G1163,'Total Customers'!$F$5:$AB$5,0)),"NA")</f>
        <v>15313</v>
      </c>
      <c r="AW1163" s="68">
        <f t="shared" si="2113"/>
        <v>-2.9343700752811159E-3</v>
      </c>
      <c r="AX1163" s="114"/>
      <c r="AY1163" s="114"/>
      <c r="AZ1163" s="116">
        <v>8244107</v>
      </c>
      <c r="BA1163" s="116"/>
      <c r="BB1163" s="166"/>
      <c r="BC1163" s="166"/>
      <c r="BD1163" s="166"/>
      <c r="BE1163" s="166"/>
      <c r="BF1163" s="166"/>
      <c r="BG1163" s="166"/>
      <c r="BH1163" s="166"/>
      <c r="BI1163" s="113"/>
      <c r="BJ1163" s="113"/>
      <c r="BK1163" s="113">
        <f>INDEX('Dist. Plant Gas Additions'!$F$7:$AE$91,MATCH($C1163,'Dist. Plant Gas Additions'!$D$7:$D$91,0),MATCH(Calculation!$G1163,'Dist. Plant Gas Additions'!$F$5:$AE$5,0))</f>
        <v>761</v>
      </c>
      <c r="BL1163" s="113">
        <f>INDEX('Gen. Plant Additions'!$F$7:$AE$91,MATCH($C1163,'Gen. Plant Additions'!$D$7:$D$91,0),MATCH(Calculation!$G1163,'Gen. Plant Additions'!$F$5:$AE$5,0))</f>
        <v>316</v>
      </c>
      <c r="BM1163" s="231">
        <f t="shared" si="2101"/>
        <v>0.84534998209810241</v>
      </c>
      <c r="BN1163" s="61">
        <f t="shared" si="2102"/>
        <v>267.13059434300038</v>
      </c>
      <c r="BO1163" s="113">
        <f>INDEX('Dist Plant Depreciation'!$E$7:$AD$94,MATCH($C1163,'Dist Plant Depreciation'!$D$7:$D$94,0),MATCH(Calculation!$G1163,'Dist Plant Depreciation'!$E$5:$AD$5,0))</f>
        <v>19190</v>
      </c>
      <c r="BP1163" s="113">
        <f>INDEX('Gen. Plant Depreciation'!$E$7:$AD$94,MATCH($C1163,'Gen. Plant Depreciation'!$D$7:$D$94,0),MATCH(Calculation!$G1163,'Gen. Plant Depreciation'!$E$5:$AD$5,0))</f>
        <v>2291</v>
      </c>
      <c r="BQ1163" s="113"/>
      <c r="BR1163" s="113"/>
      <c r="BS1163" s="113"/>
      <c r="BT1163" s="113"/>
      <c r="BU1163" s="113"/>
      <c r="BV1163" s="175"/>
      <c r="BW1163" s="113">
        <f>INDEX('Gross Dx Plant'!$E$7:$AD$91,MATCH($C1163,'Gross Dx Plant'!$D$7:$D$91,0),MATCH(Calculation!$G1163,'Gross Dx Plant'!$E$5:$AD$5,0))</f>
        <v>37777</v>
      </c>
      <c r="BX1163" s="113">
        <f>INDEX('Gross Gen Plant'!$E$7:$AD$91,MATCH($C1163,'Gross Gen Plant'!$D$7:$D$91,0),MATCH(Calculation!$G1163,'Gross Gen Plant'!$E$5:$AD$5,0))</f>
        <v>6911</v>
      </c>
      <c r="BY1163" s="113">
        <f t="shared" si="2067"/>
        <v>23207</v>
      </c>
      <c r="BZ1163" s="113"/>
      <c r="CA1163" s="116">
        <v>2008</v>
      </c>
      <c r="CB1163" s="113"/>
      <c r="CC1163" s="113"/>
      <c r="CD1163" s="113"/>
      <c r="CE1163" s="175"/>
      <c r="CF1163" s="113">
        <f t="shared" si="2103"/>
        <v>1077</v>
      </c>
      <c r="CG1163" s="113">
        <f t="shared" si="2104"/>
        <v>1.889867561339112</v>
      </c>
      <c r="CH1163" s="178">
        <v>0.94252873563218387</v>
      </c>
      <c r="CI1163" s="61">
        <f>+CI1153*CH1163+CG1154*CH1162+CG1155*CH1161+CG1156*CH1160+CG1157*CH1159+CG1158*CH1158+CG1159*CH1157+CG1160*CH1156+CG1161*CH1155+CG1162*CH1154+CG1163</f>
        <v>142.7703388342955</v>
      </c>
      <c r="CJ1163" s="114">
        <f t="shared" si="2105"/>
        <v>6.5119791726596906E-3</v>
      </c>
      <c r="CK1163" s="114"/>
      <c r="CL1163" s="169">
        <f t="shared" si="2106"/>
        <v>6.7903690662853983E-3</v>
      </c>
      <c r="CM1163" s="169">
        <f t="shared" si="2115"/>
        <v>6.5664076609856193E-3</v>
      </c>
      <c r="CN1163" s="114">
        <f>VLOOKUP($H1163,RoR!$E:$F,2,FALSE)</f>
        <v>5.6316666666666668E-2</v>
      </c>
      <c r="CO1163" s="169">
        <v>1.9092304698479889E-2</v>
      </c>
      <c r="CP1163" s="169">
        <f t="shared" si="2112"/>
        <v>3.7224361968186778E-2</v>
      </c>
      <c r="CQ1163" s="169">
        <f t="shared" si="2116"/>
        <v>2.4335533947548005E-2</v>
      </c>
      <c r="CR1163" s="169">
        <f t="shared" si="2117"/>
        <v>6.9030581091053131E-2</v>
      </c>
      <c r="CS1163" s="179">
        <f t="shared" si="2107"/>
        <v>0.85329623209999994</v>
      </c>
      <c r="CT1163" s="180">
        <f t="shared" si="2108"/>
        <v>0.91060168006009956</v>
      </c>
      <c r="CU1163" s="180">
        <f t="shared" si="2109"/>
        <v>0.53108168097070152</v>
      </c>
      <c r="CV1163" s="180">
        <f t="shared" si="2110"/>
        <v>0.88825329850328805</v>
      </c>
      <c r="CW1163" s="180">
        <f t="shared" si="2111"/>
        <v>0.4295627335323573</v>
      </c>
      <c r="CX1163" s="181">
        <f>INDEX('State Tax Lookup'!$D$7:$Z$91,MATCH(Calculation!$C1163,'State Tax Lookup'!$B$7:$B$91,0),MATCH($H1163,'State Tax Lookup'!$D$6:$Z$6,0))</f>
        <v>0.39649667</v>
      </c>
      <c r="CY1163" s="72">
        <v>0.37</v>
      </c>
      <c r="CZ1163" s="70">
        <f t="shared" si="2114"/>
        <v>19.510942340826343</v>
      </c>
      <c r="DA1163" s="70">
        <v>18.300102035478151</v>
      </c>
      <c r="DB1163" s="69">
        <f t="shared" si="2118"/>
        <v>0.12599924138572807</v>
      </c>
      <c r="DC1163" s="111">
        <f>VLOOKUP($H1163,RoR!$E:$F,2,FALSE)</f>
        <v>5.6316666666666668E-2</v>
      </c>
      <c r="DD1163" s="216">
        <f>HLOOKUP($H1163,'GDP-PI'!$D$8:$CQ$11,3,FALSE)</f>
        <v>1.9092304698479889E-2</v>
      </c>
      <c r="DE1163" s="111">
        <f>VLOOKUP(H1163,'HW Dx Data'!$E:$F,2,FALSE)</f>
        <v>569.88120333515076</v>
      </c>
      <c r="DF1163" s="72">
        <f t="shared" si="2128"/>
        <v>107.9</v>
      </c>
      <c r="DG1163" s="69">
        <f t="shared" si="2129"/>
        <v>3.1778595021460486E-2</v>
      </c>
      <c r="DH1163" s="66">
        <f>HLOOKUP(H1163,'GDP-PI'!$8:$9,2,FALSE)</f>
        <v>94.263999999999996</v>
      </c>
      <c r="DI1163" s="69">
        <f t="shared" si="2119"/>
        <v>1.8912333748032254E-2</v>
      </c>
    </row>
    <row r="1164" spans="1:113" s="160" customFormat="1" ht="21">
      <c r="A1164" s="160" t="s">
        <v>229</v>
      </c>
      <c r="B1164" s="160" t="s">
        <v>229</v>
      </c>
      <c r="C1164" s="160">
        <v>4063183</v>
      </c>
      <c r="D1164" s="161" t="s">
        <v>171</v>
      </c>
      <c r="E1164" s="161" t="s">
        <v>3</v>
      </c>
      <c r="F1164" s="189"/>
      <c r="G1164" s="160" t="s">
        <v>125</v>
      </c>
      <c r="H1164" s="162">
        <v>2009</v>
      </c>
      <c r="I1164" s="163"/>
      <c r="J1164" s="159">
        <f>IFERROR(INDEX('Labor Expenditures'!$F$7:$X$91,MATCH($C1164,'Labor Expenditures'!$D$7:$D$91,0),MATCH($G1164,'Labor Expenditures'!$F$5:$X$5,0)),"NA")</f>
        <v>2844.0477732678492</v>
      </c>
      <c r="K1164" s="159">
        <f t="shared" si="2120"/>
        <v>25.639375914066704</v>
      </c>
      <c r="L1164" s="165">
        <f t="shared" si="2126"/>
        <v>0.15699645360936021</v>
      </c>
      <c r="M1164" s="76">
        <f t="shared" si="2130"/>
        <v>1.612639161944766E-4</v>
      </c>
      <c r="N1164" s="62">
        <f t="shared" si="2136"/>
        <v>116.51677686403201</v>
      </c>
      <c r="O1164" s="96">
        <f t="shared" si="2131"/>
        <v>2.3121597463106634E-2</v>
      </c>
      <c r="P1164" s="96"/>
      <c r="Q1164" s="159">
        <f>IFERROR(INDEX('Non-Labor Expenditures'!$F$7:$AB$91,MATCH($C1164,'Non-Labor Expenditures'!$D$7:$D$91,0),MATCH($G1164,'Non-Labor Expenditures'!$F$5:$AB$5,0)),"NA")</f>
        <v>4118.7123705431422</v>
      </c>
      <c r="R1164" s="159">
        <f t="shared" si="2121"/>
        <v>43.355323430174451</v>
      </c>
      <c r="S1164" s="165">
        <f t="shared" si="2132"/>
        <v>0.17687886979193485</v>
      </c>
      <c r="T1164" s="165">
        <f t="shared" si="2133"/>
        <v>1.8168677431194976E-4</v>
      </c>
      <c r="U1164" s="165"/>
      <c r="V1164" s="165"/>
      <c r="W1164" s="159">
        <f t="shared" si="2100"/>
        <v>2667.7221013653784</v>
      </c>
      <c r="X1164" s="163"/>
      <c r="Y1164" s="167">
        <v>145.07319542028802</v>
      </c>
      <c r="Z1164" s="168">
        <v>1.6001093969833249E-2</v>
      </c>
      <c r="AA1164" s="76">
        <f t="shared" si="2122"/>
        <v>1.6436034175598024E-5</v>
      </c>
      <c r="AB1164" s="168"/>
      <c r="AC1164" s="168"/>
      <c r="AD1164" s="163">
        <f t="shared" si="2138"/>
        <v>9630.4822451763703</v>
      </c>
      <c r="AE1164" s="168">
        <f t="shared" si="2134"/>
        <v>0.1182616512727076</v>
      </c>
      <c r="AF1164" s="163"/>
      <c r="AG1164" s="163"/>
      <c r="AH1164" s="163"/>
      <c r="AI1164" s="163"/>
      <c r="AJ1164" s="116">
        <f t="shared" si="2135"/>
        <v>623.04989617496096</v>
      </c>
      <c r="AK1164" s="114">
        <f>+AV1164/$AX$14</f>
        <v>4.3940355735798414E-4</v>
      </c>
      <c r="AL1164" s="115">
        <f t="shared" si="2123"/>
        <v>0.2953172749674452</v>
      </c>
      <c r="AM1164" s="115">
        <f t="shared" si="2124"/>
        <v>0.427674571811405</v>
      </c>
      <c r="AN1164" s="115">
        <f t="shared" si="2125"/>
        <v>0.27700815322114974</v>
      </c>
      <c r="AO1164" s="115">
        <f t="shared" si="2127"/>
        <v>0.12289602690044682</v>
      </c>
      <c r="AP1164" s="166">
        <f t="shared" si="2139"/>
        <v>126.07904356407147</v>
      </c>
      <c r="AQ1164" s="168">
        <f t="shared" si="2140"/>
        <v>0.12289602690044689</v>
      </c>
      <c r="AR1164" s="169">
        <f>+AD1164/$AF$14</f>
        <v>1.0271819043488378E-3</v>
      </c>
      <c r="AS1164" s="169">
        <f t="shared" si="2137"/>
        <v>1.2623657494850705E-4</v>
      </c>
      <c r="AT1164" s="115"/>
      <c r="AU1164" s="115"/>
      <c r="AV1164" s="113">
        <f>IFERROR(INDEX('Total Customers'!$F$7:$AB$91,MATCH($C1164,'Total Customers'!$D$7:$D$91,0),MATCH($G1164,'Total Customers'!$F$5:$AB$5,0)),"NA")</f>
        <v>15457</v>
      </c>
      <c r="AW1164" s="68">
        <f t="shared" si="2113"/>
        <v>9.3598343371109668E-3</v>
      </c>
      <c r="AX1164" s="114"/>
      <c r="AY1164" s="114"/>
      <c r="AZ1164" s="116">
        <v>8336812</v>
      </c>
      <c r="BA1164" s="116"/>
      <c r="BB1164" s="166"/>
      <c r="BC1164" s="166"/>
      <c r="BD1164" s="166"/>
      <c r="BE1164" s="166"/>
      <c r="BF1164" s="166"/>
      <c r="BG1164" s="166"/>
      <c r="BH1164" s="166"/>
      <c r="BI1164" s="113"/>
      <c r="BJ1164" s="113"/>
      <c r="BK1164" s="113">
        <f>INDEX('Dist. Plant Gas Additions'!$F$7:$AE$91,MATCH($C1164,'Dist. Plant Gas Additions'!$D$7:$D$91,0),MATCH(Calculation!$G1164,'Dist. Plant Gas Additions'!$F$5:$AE$5,0))</f>
        <v>1510</v>
      </c>
      <c r="BL1164" s="113">
        <f>INDEX('Gen. Plant Additions'!$F$7:$AE$91,MATCH($C1164,'Gen. Plant Additions'!$D$7:$D$91,0),MATCH(Calculation!$G1164,'Gen. Plant Additions'!$F$5:$AE$5,0))</f>
        <v>313</v>
      </c>
      <c r="BM1164" s="231">
        <f t="shared" si="2101"/>
        <v>0.84485997452119277</v>
      </c>
      <c r="BN1164" s="61">
        <f t="shared" si="2102"/>
        <v>264.44117202513331</v>
      </c>
      <c r="BO1164" s="113">
        <f>INDEX('Dist Plant Depreciation'!$E$7:$AD$94,MATCH($C1164,'Dist Plant Depreciation'!$D$7:$D$94,0),MATCH(Calculation!$G1164,'Dist Plant Depreciation'!$E$5:$AD$5,0))</f>
        <v>19678</v>
      </c>
      <c r="BP1164" s="113">
        <f>INDEX('Gen. Plant Depreciation'!$E$7:$AD$94,MATCH($C1164,'Gen. Plant Depreciation'!$D$7:$D$94,0),MATCH(Calculation!$G1164,'Gen. Plant Depreciation'!$E$5:$AD$5,0))</f>
        <v>2640</v>
      </c>
      <c r="BQ1164" s="113"/>
      <c r="BR1164" s="113"/>
      <c r="BS1164" s="113"/>
      <c r="BT1164" s="113"/>
      <c r="BU1164" s="113"/>
      <c r="BV1164" s="175"/>
      <c r="BW1164" s="113">
        <f>INDEX('Gross Dx Plant'!$E$7:$AD$91,MATCH($C1164,'Gross Dx Plant'!$D$7:$D$91,0),MATCH(Calculation!$G1164,'Gross Dx Plant'!$E$5:$AD$5,0))</f>
        <v>39128</v>
      </c>
      <c r="BX1164" s="113">
        <f>INDEX('Gross Gen Plant'!$E$7:$AD$91,MATCH($C1164,'Gross Gen Plant'!$D$7:$D$91,0),MATCH(Calculation!$G1164,'Gross Gen Plant'!$E$5:$AD$5,0))</f>
        <v>7185</v>
      </c>
      <c r="BY1164" s="113">
        <f t="shared" si="2067"/>
        <v>23995</v>
      </c>
      <c r="BZ1164" s="113"/>
      <c r="CA1164" s="116">
        <v>2009</v>
      </c>
      <c r="CB1164" s="113"/>
      <c r="CC1164" s="113"/>
      <c r="CD1164" s="113"/>
      <c r="CE1164" s="175"/>
      <c r="CF1164" s="113">
        <f t="shared" si="2103"/>
        <v>1823</v>
      </c>
      <c r="CG1164" s="113">
        <f t="shared" si="2104"/>
        <v>3.3088864357485068</v>
      </c>
      <c r="CH1164" s="178">
        <v>0.93567251461988299</v>
      </c>
      <c r="CI1164" s="61">
        <f>+CI1153*CH1164+CG1154*CH1163+CG1155*CH1162+CG1156*CH1161+CG1157*CH1160+CG1158*CH1159+CG1159*CH1158+CG1160*CH1157+CG1161*CH1156+CG1162*CH1155+CG1163*CH1154+CG1164</f>
        <v>145.07319542028802</v>
      </c>
      <c r="CJ1164" s="114">
        <f t="shared" si="2105"/>
        <v>1.6001093969833249E-2</v>
      </c>
      <c r="CK1164" s="114"/>
      <c r="CL1164" s="169">
        <f t="shared" si="2106"/>
        <v>7.0464905944057944E-3</v>
      </c>
      <c r="CM1164" s="169">
        <f t="shared" si="2115"/>
        <v>6.7991908081668426E-3</v>
      </c>
      <c r="CN1164" s="114">
        <f>VLOOKUP($H1164,RoR!$E:$F,2,FALSE)</f>
        <v>5.3133333333333324E-2</v>
      </c>
      <c r="CO1164" s="169">
        <v>7.7972502758210105E-3</v>
      </c>
      <c r="CP1164" s="169">
        <f t="shared" si="2112"/>
        <v>4.5336083057512314E-2</v>
      </c>
      <c r="CQ1164" s="169">
        <f t="shared" si="2116"/>
        <v>2.4102750800366782E-2</v>
      </c>
      <c r="CR1164" s="169">
        <f t="shared" si="2117"/>
        <v>6.3720160300892073E-2</v>
      </c>
      <c r="CS1164" s="179">
        <f t="shared" si="2107"/>
        <v>0.85329623209999994</v>
      </c>
      <c r="CT1164" s="180">
        <f t="shared" si="2108"/>
        <v>0.96515780330083989</v>
      </c>
      <c r="CU1164" s="180">
        <f t="shared" si="2109"/>
        <v>0.50448557089084056</v>
      </c>
      <c r="CV1164" s="180">
        <f t="shared" si="2110"/>
        <v>0.87391435735465484</v>
      </c>
      <c r="CW1164" s="180">
        <f t="shared" si="2111"/>
        <v>0.42551605393279146</v>
      </c>
      <c r="CX1164" s="181">
        <f>INDEX('State Tax Lookup'!$D$7:$Z$91,MATCH(Calculation!$C1164,'State Tax Lookup'!$B$7:$B$91,0),MATCH($H1164,'State Tax Lookup'!$D$6:$Z$6,0))</f>
        <v>0.39649667</v>
      </c>
      <c r="CY1164" s="72">
        <v>0.37</v>
      </c>
      <c r="CZ1164" s="70">
        <f t="shared" si="2114"/>
        <v>18.685408489935956</v>
      </c>
      <c r="DA1164" s="70">
        <v>17.478615056163342</v>
      </c>
      <c r="DB1164" s="69">
        <f t="shared" si="2118"/>
        <v>-4.3232529253359617E-2</v>
      </c>
      <c r="DC1164" s="111">
        <f>VLOOKUP($H1164,RoR!$E:$F,2,FALSE)</f>
        <v>5.3133333333333324E-2</v>
      </c>
      <c r="DD1164" s="216">
        <f>HLOOKUP($H1164,'GDP-PI'!$D$8:$CQ$11,3,FALSE)</f>
        <v>7.7972502758210105E-3</v>
      </c>
      <c r="DE1164" s="111">
        <f>VLOOKUP(H1164,'HW Dx Data'!$E:$F,2,FALSE)</f>
        <v>550.94063679692806</v>
      </c>
      <c r="DF1164" s="72">
        <f t="shared" si="2128"/>
        <v>110.925</v>
      </c>
      <c r="DG1164" s="69">
        <f t="shared" si="2129"/>
        <v>2.7649425000884052E-2</v>
      </c>
      <c r="DH1164" s="66">
        <f>HLOOKUP(H1164,'GDP-PI'!$8:$9,2,FALSE)</f>
        <v>94.998999999999995</v>
      </c>
      <c r="DI1164" s="69">
        <f t="shared" si="2119"/>
        <v>7.7670088183096342E-3</v>
      </c>
    </row>
    <row r="1165" spans="1:113" s="160" customFormat="1" ht="21">
      <c r="A1165" s="160" t="s">
        <v>229</v>
      </c>
      <c r="B1165" s="160" t="s">
        <v>229</v>
      </c>
      <c r="C1165" s="160">
        <v>4063183</v>
      </c>
      <c r="D1165" s="161" t="s">
        <v>171</v>
      </c>
      <c r="E1165" s="161" t="s">
        <v>3</v>
      </c>
      <c r="F1165" s="189"/>
      <c r="G1165" s="160" t="s">
        <v>126</v>
      </c>
      <c r="H1165" s="162">
        <v>2010</v>
      </c>
      <c r="I1165" s="163"/>
      <c r="J1165" s="159">
        <f>IFERROR(INDEX('Labor Expenditures'!$F$7:$X$91,MATCH($C1165,'Labor Expenditures'!$D$7:$D$91,0),MATCH($G1165,'Labor Expenditures'!$F$5:$X$5,0)),"NA")</f>
        <v>3042.3826098550239</v>
      </c>
      <c r="K1165" s="159">
        <f t="shared" si="2120"/>
        <v>26.019949624588616</v>
      </c>
      <c r="L1165" s="165">
        <f t="shared" si="2126"/>
        <v>1.4734245624686709E-2</v>
      </c>
      <c r="M1165" s="76">
        <f t="shared" si="2130"/>
        <v>1.5499889482105899E-5</v>
      </c>
      <c r="N1165" s="62">
        <f t="shared" si="2136"/>
        <v>97.821877797690092</v>
      </c>
      <c r="O1165" s="96">
        <f t="shared" si="2131"/>
        <v>-0.17488701866758205</v>
      </c>
      <c r="P1165" s="96"/>
      <c r="Q1165" s="159">
        <f>IFERROR(INDEX('Non-Labor Expenditures'!$F$7:$AB$91,MATCH($C1165,'Non-Labor Expenditures'!$D$7:$D$91,0),MATCH($G1165,'Non-Labor Expenditures'!$F$5:$AB$5,0)),"NA")</f>
        <v>4405.9382577590368</v>
      </c>
      <c r="R1165" s="159">
        <f t="shared" si="2121"/>
        <v>45.843139120779917</v>
      </c>
      <c r="S1165" s="165">
        <f t="shared" si="2132"/>
        <v>5.57960531645127E-2</v>
      </c>
      <c r="T1165" s="165">
        <f t="shared" si="2133"/>
        <v>5.8695414724093873E-5</v>
      </c>
      <c r="U1165" s="165"/>
      <c r="V1165" s="165"/>
      <c r="W1165" s="159">
        <f t="shared" si="2100"/>
        <v>2774.7357746146122</v>
      </c>
      <c r="X1165" s="163"/>
      <c r="Y1165" s="167">
        <v>146.95197125324171</v>
      </c>
      <c r="Z1165" s="168">
        <v>1.2867396167769217E-2</v>
      </c>
      <c r="AA1165" s="76">
        <f t="shared" si="2122"/>
        <v>1.3536031881315712E-5</v>
      </c>
      <c r="AB1165" s="168"/>
      <c r="AC1165" s="168"/>
      <c r="AD1165" s="163">
        <f t="shared" si="2138"/>
        <v>10223.056642228672</v>
      </c>
      <c r="AE1165" s="168">
        <f t="shared" si="2134"/>
        <v>5.971232248861482E-2</v>
      </c>
      <c r="AF1165" s="163"/>
      <c r="AG1165" s="163"/>
      <c r="AH1165" s="163"/>
      <c r="AI1165" s="163"/>
      <c r="AJ1165" s="116">
        <f t="shared" si="2135"/>
        <v>659.25431367954297</v>
      </c>
      <c r="AK1165" s="114">
        <f>+AV1165/$AX$15</f>
        <v>4.3841299640793674E-4</v>
      </c>
      <c r="AL1165" s="115">
        <f t="shared" si="2123"/>
        <v>0.29760009323314979</v>
      </c>
      <c r="AM1165" s="115">
        <f t="shared" si="2124"/>
        <v>0.43098051903178369</v>
      </c>
      <c r="AN1165" s="115">
        <f t="shared" si="2125"/>
        <v>0.27141938773506663</v>
      </c>
      <c r="AO1165" s="115">
        <f t="shared" si="2127"/>
        <v>3.1851294837837767E-2</v>
      </c>
      <c r="AP1165" s="166">
        <f t="shared" si="2139"/>
        <v>130.15946270882725</v>
      </c>
      <c r="AQ1165" s="168">
        <f t="shared" si="2140"/>
        <v>3.1851294837837718E-2</v>
      </c>
      <c r="AR1165" s="169">
        <f>+AD1165/$AF$15</f>
        <v>1.0519635600574203E-3</v>
      </c>
      <c r="AS1165" s="169">
        <f t="shared" si="2137"/>
        <v>3.3506401510050299E-5</v>
      </c>
      <c r="AT1165" s="115"/>
      <c r="AU1165" s="115"/>
      <c r="AV1165" s="113">
        <f>IFERROR(INDEX('Total Customers'!$F$7:$AB$91,MATCH($C1165,'Total Customers'!$D$7:$D$91,0),MATCH($G1165,'Total Customers'!$F$5:$AB$5,0)),"NA")</f>
        <v>15507</v>
      </c>
      <c r="AW1165" s="68">
        <f t="shared" si="2113"/>
        <v>3.2295597118303983E-3</v>
      </c>
      <c r="AX1165" s="114"/>
      <c r="AY1165" s="114"/>
      <c r="AZ1165" s="116">
        <v>8403441</v>
      </c>
      <c r="BA1165" s="116"/>
      <c r="BB1165" s="166"/>
      <c r="BC1165" s="166"/>
      <c r="BD1165" s="166"/>
      <c r="BE1165" s="166"/>
      <c r="BF1165" s="166"/>
      <c r="BG1165" s="166"/>
      <c r="BH1165" s="166"/>
      <c r="BI1165" s="113"/>
      <c r="BJ1165" s="113"/>
      <c r="BK1165" s="113">
        <f>INDEX('Dist. Plant Gas Additions'!$F$7:$AE$91,MATCH($C1165,'Dist. Plant Gas Additions'!$D$7:$D$91,0),MATCH(Calculation!$G1165,'Dist. Plant Gas Additions'!$F$5:$AE$5,0))</f>
        <v>1074</v>
      </c>
      <c r="BL1165" s="113">
        <f>INDEX('Gen. Plant Additions'!$F$7:$AE$91,MATCH($C1165,'Gen. Plant Additions'!$D$7:$D$91,0),MATCH(Calculation!$G1165,'Gen. Plant Additions'!$F$5:$AE$5,0))</f>
        <v>597</v>
      </c>
      <c r="BM1165" s="231">
        <f t="shared" si="2101"/>
        <v>0.84120963178741326</v>
      </c>
      <c r="BN1165" s="61">
        <f>+BM1165*BL1165</f>
        <v>502.20215017708574</v>
      </c>
      <c r="BO1165" s="113">
        <f>INDEX('Dist Plant Depreciation'!$E$7:$AD$94,MATCH($C1165,'Dist Plant Depreciation'!$D$7:$D$94,0),MATCH(Calculation!$G1165,'Dist Plant Depreciation'!$E$5:$AD$5,0))</f>
        <v>20337</v>
      </c>
      <c r="BP1165" s="113">
        <f>INDEX('Gen. Plant Depreciation'!$E$7:$AD$94,MATCH($C1165,'Gen. Plant Depreciation'!$D$7:$D$94,0),MATCH(Calculation!$G1165,'Gen. Plant Depreciation'!$E$5:$AD$5,0))</f>
        <v>2877</v>
      </c>
      <c r="BQ1165" s="113"/>
      <c r="BR1165" s="113"/>
      <c r="BS1165" s="113"/>
      <c r="BT1165" s="113"/>
      <c r="BU1165" s="113"/>
      <c r="BV1165" s="175"/>
      <c r="BW1165" s="113">
        <f>INDEX('Gross Dx Plant'!$E$7:$AD$91,MATCH($C1165,'Gross Dx Plant'!$D$7:$D$91,0),MATCH(Calculation!$G1165,'Gross Dx Plant'!$E$5:$AD$5,0))</f>
        <v>40140</v>
      </c>
      <c r="BX1165" s="113">
        <f>INDEX('Gross Gen Plant'!$E$7:$AD$91,MATCH($C1165,'Gross Gen Plant'!$D$7:$D$91,0),MATCH(Calculation!$G1165,'Gross Gen Plant'!$E$5:$AD$5,0))</f>
        <v>7577</v>
      </c>
      <c r="BY1165" s="113">
        <f t="shared" si="2067"/>
        <v>24503</v>
      </c>
      <c r="BZ1165" s="113"/>
      <c r="CA1165" s="116">
        <v>2010</v>
      </c>
      <c r="CB1165" s="113"/>
      <c r="CC1165" s="113"/>
      <c r="CD1165" s="113"/>
      <c r="CE1165" s="175"/>
      <c r="CF1165" s="113">
        <f t="shared" si="2103"/>
        <v>1671</v>
      </c>
      <c r="CG1165" s="113">
        <f t="shared" si="2104"/>
        <v>2.9367852873859439</v>
      </c>
      <c r="CH1165" s="178">
        <v>0.9285714285714286</v>
      </c>
      <c r="CI1165" s="61">
        <f>+CI1153*CH1165+CG1154*CH1164+CG1155*CH1163+CG1156*CH1162+CG1157*CH1161+CG1158*CH1160+CG1159*CH1159+CG1160*CH1158+CG1161*CH1157+CG1162*CH1156+CG1163*CH1155+CG1164*CH1154+CG1165</f>
        <v>146.95197125324171</v>
      </c>
      <c r="CJ1165" s="114">
        <f t="shared" si="2105"/>
        <v>1.2867396167769217E-2</v>
      </c>
      <c r="CK1165" s="114"/>
      <c r="CL1165" s="169">
        <f t="shared" si="2106"/>
        <v>7.2929354824446914E-3</v>
      </c>
      <c r="CM1165" s="169">
        <f t="shared" si="2115"/>
        <v>7.0432650477119619E-3</v>
      </c>
      <c r="CN1165" s="114">
        <f>VLOOKUP($H1165,RoR!$E:$F,2,FALSE)</f>
        <v>4.9433333333333322E-2</v>
      </c>
      <c r="CO1165" s="169">
        <v>1.1684333519300205E-2</v>
      </c>
      <c r="CP1165" s="169">
        <f t="shared" si="2112"/>
        <v>3.7748999814033117E-2</v>
      </c>
      <c r="CQ1165" s="169">
        <f t="shared" si="2116"/>
        <v>2.3858676560821662E-2</v>
      </c>
      <c r="CR1165" s="169">
        <f t="shared" si="2117"/>
        <v>4.7937530248493419E-2</v>
      </c>
      <c r="CS1165" s="179">
        <f t="shared" si="2107"/>
        <v>0.85329623209999994</v>
      </c>
      <c r="CT1165" s="180">
        <f t="shared" si="2108"/>
        <v>1.037398205301105</v>
      </c>
      <c r="CU1165" s="180">
        <f t="shared" si="2109"/>
        <v>0.46926837491571133</v>
      </c>
      <c r="CV1165" s="180">
        <f t="shared" si="2110"/>
        <v>0.8548537519972772</v>
      </c>
      <c r="CW1165" s="180">
        <f t="shared" si="2111"/>
        <v>0.41615833911547367</v>
      </c>
      <c r="CX1165" s="181">
        <f>INDEX('State Tax Lookup'!$D$7:$Z$91,MATCH(Calculation!$C1165,'State Tax Lookup'!$B$7:$B$91,0),MATCH($H1165,'State Tax Lookup'!$D$6:$Z$6,0))</f>
        <v>0.39649667</v>
      </c>
      <c r="CY1165" s="72">
        <v>0.37</v>
      </c>
      <c r="CZ1165" s="70">
        <f t="shared" si="2114"/>
        <v>19.126453833018516</v>
      </c>
      <c r="DA1165" s="70">
        <v>17.956102603965455</v>
      </c>
      <c r="DB1165" s="69">
        <f t="shared" si="2118"/>
        <v>2.3329469619776604E-2</v>
      </c>
      <c r="DC1165" s="111">
        <f>VLOOKUP($H1165,RoR!$E:$F,2,FALSE)</f>
        <v>4.9433333333333322E-2</v>
      </c>
      <c r="DD1165" s="216">
        <f>HLOOKUP($H1165,'GDP-PI'!$D$8:$CQ$11,3,FALSE)</f>
        <v>1.1684333519300205E-2</v>
      </c>
      <c r="DE1165" s="111">
        <f>VLOOKUP(H1165,'HW Dx Data'!$E:$F,2,FALSE)</f>
        <v>568.98950262971744</v>
      </c>
      <c r="DF1165" s="72">
        <f t="shared" si="2128"/>
        <v>116.925</v>
      </c>
      <c r="DG1165" s="69">
        <f t="shared" si="2129"/>
        <v>5.2678406346976722E-2</v>
      </c>
      <c r="DH1165" s="66">
        <f>HLOOKUP(H1165,'GDP-PI'!$8:$9,2,FALSE)</f>
        <v>96.108999999999995</v>
      </c>
      <c r="DI1165" s="69">
        <f t="shared" si="2119"/>
        <v>1.1616598807150427E-2</v>
      </c>
    </row>
    <row r="1166" spans="1:113" s="160" customFormat="1" ht="21">
      <c r="A1166" s="160" t="s">
        <v>229</v>
      </c>
      <c r="B1166" s="160" t="s">
        <v>229</v>
      </c>
      <c r="C1166" s="160">
        <v>4063183</v>
      </c>
      <c r="D1166" s="161" t="s">
        <v>171</v>
      </c>
      <c r="E1166" s="161" t="s">
        <v>3</v>
      </c>
      <c r="F1166" s="189"/>
      <c r="G1166" s="160" t="s">
        <v>127</v>
      </c>
      <c r="H1166" s="162">
        <v>2011</v>
      </c>
      <c r="I1166" s="163"/>
      <c r="J1166" s="159">
        <f>IFERROR(INDEX('Labor Expenditures'!$F$7:$X$91,MATCH($C1166,'Labor Expenditures'!$D$7:$D$91,0),MATCH($G1166,'Labor Expenditures'!$F$5:$X$5,0)),"NA")</f>
        <v>2902.5576366865143</v>
      </c>
      <c r="K1166" s="159">
        <f t="shared" si="2120"/>
        <v>24.01288634280467</v>
      </c>
      <c r="L1166" s="165">
        <f t="shared" si="2126"/>
        <v>-8.0272919853618938E-2</v>
      </c>
      <c r="M1166" s="76">
        <f t="shared" si="2130"/>
        <v>-7.9441276070900719E-5</v>
      </c>
      <c r="N1166" s="62">
        <f t="shared" si="2136"/>
        <v>118.15134130134905</v>
      </c>
      <c r="O1166" s="96">
        <f t="shared" si="2131"/>
        <v>0.18881810471119687</v>
      </c>
      <c r="P1166" s="96"/>
      <c r="Q1166" s="159">
        <f>IFERROR(INDEX('Non-Labor Expenditures'!$F$7:$AB$91,MATCH($C1166,'Non-Labor Expenditures'!$D$7:$D$91,0),MATCH($G1166,'Non-Labor Expenditures'!$F$5:$AB$5,0)),"NA")</f>
        <v>4203.4455809084347</v>
      </c>
      <c r="R1166" s="159">
        <f t="shared" si="2121"/>
        <v>42.843338031111742</v>
      </c>
      <c r="S1166" s="165">
        <f t="shared" si="2132"/>
        <v>-6.7675388904959471E-2</v>
      </c>
      <c r="T1166" s="165">
        <f t="shared" si="2133"/>
        <v>-6.697425810607388E-5</v>
      </c>
      <c r="U1166" s="165"/>
      <c r="V1166" s="165"/>
      <c r="W1166" s="159">
        <f t="shared" si="2100"/>
        <v>2994.2769270658951</v>
      </c>
      <c r="X1166" s="163"/>
      <c r="Y1166" s="167">
        <v>147.9358858992677</v>
      </c>
      <c r="Z1166" s="168">
        <v>6.6731692974060204E-3</v>
      </c>
      <c r="AA1166" s="76">
        <f t="shared" si="2122"/>
        <v>6.604033905703141E-6</v>
      </c>
      <c r="AB1166" s="168"/>
      <c r="AC1166" s="168"/>
      <c r="AD1166" s="163">
        <f t="shared" si="2138"/>
        <v>10100.280144660845</v>
      </c>
      <c r="AE1166" s="168">
        <f t="shared" si="2134"/>
        <v>-1.2082463867861843E-2</v>
      </c>
      <c r="AF1166" s="163"/>
      <c r="AG1166" s="163"/>
      <c r="AH1166" s="163"/>
      <c r="AI1166" s="163"/>
      <c r="AJ1166" s="116">
        <f t="shared" si="2135"/>
        <v>651.42084131962883</v>
      </c>
      <c r="AK1166" s="114">
        <f>+AV1166/$AX$16</f>
        <v>4.3624138697582137E-4</v>
      </c>
      <c r="AL1166" s="115">
        <f t="shared" si="2123"/>
        <v>0.28737397330715114</v>
      </c>
      <c r="AM1166" s="115">
        <f t="shared" si="2124"/>
        <v>0.4161711874031967</v>
      </c>
      <c r="AN1166" s="115">
        <f t="shared" si="2125"/>
        <v>0.29645483928965211</v>
      </c>
      <c r="AO1166" s="115">
        <f t="shared" si="2127"/>
        <v>-5.0249688348876477E-2</v>
      </c>
      <c r="AP1166" s="166">
        <f t="shared" si="2139"/>
        <v>123.78060037328289</v>
      </c>
      <c r="AQ1166" s="168">
        <f t="shared" si="2140"/>
        <v>-5.0249688348876519E-2</v>
      </c>
      <c r="AR1166" s="169">
        <f>+AD1166/$AF$16</f>
        <v>9.8963979653119935E-4</v>
      </c>
      <c r="AS1166" s="169">
        <f t="shared" si="2137"/>
        <v>-4.9729091353338337E-5</v>
      </c>
      <c r="AT1166" s="115"/>
      <c r="AU1166" s="115"/>
      <c r="AV1166" s="113">
        <f>IFERROR(INDEX('Total Customers'!$F$7:$AB$91,MATCH($C1166,'Total Customers'!$D$7:$D$91,0),MATCH($G1166,'Total Customers'!$F$5:$AB$5,0)),"NA")</f>
        <v>15505</v>
      </c>
      <c r="AW1166" s="68">
        <f t="shared" si="2113"/>
        <v>-1.2898232959966712E-4</v>
      </c>
      <c r="AX1166" s="114"/>
      <c r="AY1166" s="114"/>
      <c r="AZ1166" s="116">
        <v>8437841</v>
      </c>
      <c r="BA1166" s="116"/>
      <c r="BB1166" s="166"/>
      <c r="BC1166" s="166"/>
      <c r="BD1166" s="166"/>
      <c r="BE1166" s="166"/>
      <c r="BF1166" s="166"/>
      <c r="BG1166" s="166"/>
      <c r="BH1166" s="166"/>
      <c r="BI1166" s="113"/>
      <c r="BJ1166" s="113"/>
      <c r="BK1166" s="113">
        <f>INDEX('Dist. Plant Gas Additions'!$F$7:$AE$91,MATCH($C1166,'Dist. Plant Gas Additions'!$D$7:$D$91,0),MATCH(Calculation!$G1166,'Dist. Plant Gas Additions'!$F$5:$AE$5,0))</f>
        <v>667</v>
      </c>
      <c r="BL1166" s="113">
        <f>INDEX('Gen. Plant Additions'!$F$7:$AE$91,MATCH($C1166,'Gen. Plant Additions'!$D$7:$D$91,0),MATCH(Calculation!$G1166,'Gen. Plant Additions'!$F$5:$AE$5,0))</f>
        <v>614</v>
      </c>
      <c r="BM1166" s="231">
        <f t="shared" si="2101"/>
        <v>0.83551037173957687</v>
      </c>
      <c r="BN1166" s="61">
        <f t="shared" ref="BN1166:BN1185" si="2141">+BM1166*BL1166</f>
        <v>513.00336824810017</v>
      </c>
      <c r="BO1166" s="113">
        <f>INDEX('Dist Plant Depreciation'!$E$7:$AD$94,MATCH($C1166,'Dist Plant Depreciation'!$D$7:$D$94,0),MATCH(Calculation!$G1166,'Dist Plant Depreciation'!$E$5:$AD$5,0))</f>
        <v>20919</v>
      </c>
      <c r="BP1166" s="113">
        <f>INDEX('Gen. Plant Depreciation'!$E$7:$AD$94,MATCH($C1166,'Gen. Plant Depreciation'!$D$7:$D$94,0),MATCH(Calculation!$G1166,'Gen. Plant Depreciation'!$E$5:$AD$5,0))</f>
        <v>3153</v>
      </c>
      <c r="BQ1166" s="113"/>
      <c r="BR1166" s="113"/>
      <c r="BS1166" s="113"/>
      <c r="BT1166" s="113"/>
      <c r="BU1166" s="113"/>
      <c r="BV1166" s="175"/>
      <c r="BW1166" s="113">
        <f>INDEX('Gross Dx Plant'!$E$7:$AD$91,MATCH($C1166,'Gross Dx Plant'!$D$7:$D$91,0),MATCH(Calculation!$G1166,'Gross Dx Plant'!$E$5:$AD$5,0))</f>
        <v>40681</v>
      </c>
      <c r="BX1166" s="113">
        <f>INDEX('Gross Gen Plant'!$E$7:$AD$91,MATCH($C1166,'Gross Gen Plant'!$D$7:$D$91,0),MATCH(Calculation!$G1166,'Gross Gen Plant'!$E$5:$AD$5,0))</f>
        <v>8009</v>
      </c>
      <c r="BY1166" s="113">
        <f t="shared" si="2067"/>
        <v>24618</v>
      </c>
      <c r="BZ1166" s="113"/>
      <c r="CA1166" s="116">
        <v>2011</v>
      </c>
      <c r="CB1166" s="113"/>
      <c r="CC1166" s="113"/>
      <c r="CD1166" s="113"/>
      <c r="CE1166" s="175"/>
      <c r="CF1166" s="113">
        <f t="shared" si="2103"/>
        <v>1281</v>
      </c>
      <c r="CG1166" s="113">
        <f t="shared" si="2104"/>
        <v>2.0944682137400794</v>
      </c>
      <c r="CH1166" s="178">
        <v>0.92121212121212126</v>
      </c>
      <c r="CI1166" s="61">
        <f>+CI1153*CH1166+CG1154*CH1165+CG1155*CH1164+CG1156*CH1163+CG1157*CH1162+CG1158*CH1161+CG1159*CH1160+CG1160*CH1159+CG1161*CH1158+CG1162*CH1157+CG1163*CH1156+CG1164*CH1155+CG1165*CH1154+CG1166</f>
        <v>147.9358858992677</v>
      </c>
      <c r="CJ1166" s="114">
        <f t="shared" si="2105"/>
        <v>6.6731692974060204E-3</v>
      </c>
      <c r="CK1166" s="114"/>
      <c r="CL1166" s="169">
        <f t="shared" si="2106"/>
        <v>7.5572553280028694E-3</v>
      </c>
      <c r="CM1166" s="169">
        <f t="shared" si="2115"/>
        <v>7.2988938016177842E-3</v>
      </c>
      <c r="CN1166" s="114">
        <f>VLOOKUP($H1166,RoR!$E:$F,2,FALSE)</f>
        <v>4.6391666666666664E-2</v>
      </c>
      <c r="CO1166" s="169">
        <v>2.0840920205183799E-2</v>
      </c>
      <c r="CP1166" s="169">
        <f t="shared" si="2112"/>
        <v>2.5550746461482865E-2</v>
      </c>
      <c r="CQ1166" s="169">
        <f t="shared" si="2116"/>
        <v>2.3603047806915842E-2</v>
      </c>
      <c r="CR1166" s="169">
        <f t="shared" si="2117"/>
        <v>2.4810540821321614E-2</v>
      </c>
      <c r="CS1166" s="179">
        <f t="shared" si="2107"/>
        <v>0.85329623209999994</v>
      </c>
      <c r="CT1166" s="180">
        <f t="shared" si="2108"/>
        <v>1.1054151524782025</v>
      </c>
      <c r="CU1166" s="180">
        <f t="shared" si="2109"/>
        <v>0.43611011316687626</v>
      </c>
      <c r="CV1166" s="180">
        <f t="shared" si="2110"/>
        <v>0.83698442246886229</v>
      </c>
      <c r="CW1166" s="180">
        <f t="shared" si="2111"/>
        <v>0.40349573304423936</v>
      </c>
      <c r="CX1166" s="181">
        <f>INDEX('State Tax Lookup'!$D$7:$Z$91,MATCH(Calculation!$C1166,'State Tax Lookup'!$B$7:$B$91,0),MATCH($H1166,'State Tax Lookup'!$D$6:$Z$6,0))</f>
        <v>0.39649667</v>
      </c>
      <c r="CY1166" s="72">
        <v>0.37</v>
      </c>
      <c r="CZ1166" s="70">
        <f t="shared" si="2114"/>
        <v>20.375888132224304</v>
      </c>
      <c r="DA1166" s="70">
        <v>19.146574949201604</v>
      </c>
      <c r="DB1166" s="69">
        <f t="shared" si="2118"/>
        <v>6.3279853252407023E-2</v>
      </c>
      <c r="DC1166" s="111">
        <f>VLOOKUP($H1166,RoR!$E:$F,2,FALSE)</f>
        <v>4.6391666666666664E-2</v>
      </c>
      <c r="DD1166" s="216">
        <f>HLOOKUP($H1166,'GDP-PI'!$D$8:$CQ$11,3,FALSE)</f>
        <v>2.0840920205183799E-2</v>
      </c>
      <c r="DE1166" s="111">
        <f>VLOOKUP(H1166,'HW Dx Data'!$E:$F,2,FALSE)</f>
        <v>611.61109612283201</v>
      </c>
      <c r="DF1166" s="72">
        <f t="shared" si="2128"/>
        <v>120.875</v>
      </c>
      <c r="DG1166" s="69">
        <f t="shared" si="2129"/>
        <v>3.3224250161508609E-2</v>
      </c>
      <c r="DH1166" s="66">
        <f>HLOOKUP(H1166,'GDP-PI'!$8:$9,2,FALSE)</f>
        <v>98.111999999999995</v>
      </c>
      <c r="DI1166" s="69">
        <f t="shared" si="2119"/>
        <v>2.0626719212849295E-2</v>
      </c>
    </row>
    <row r="1167" spans="1:113" s="160" customFormat="1" ht="21">
      <c r="A1167" s="160" t="s">
        <v>229</v>
      </c>
      <c r="B1167" s="160" t="s">
        <v>229</v>
      </c>
      <c r="C1167" s="160">
        <v>4063183</v>
      </c>
      <c r="D1167" s="161" t="s">
        <v>171</v>
      </c>
      <c r="E1167" s="161" t="s">
        <v>3</v>
      </c>
      <c r="F1167" s="189"/>
      <c r="G1167" s="160" t="s">
        <v>128</v>
      </c>
      <c r="H1167" s="162">
        <v>2012</v>
      </c>
      <c r="I1167" s="163"/>
      <c r="J1167" s="159">
        <f>IFERROR(INDEX('Labor Expenditures'!$F$7:$X$91,MATCH($C1167,'Labor Expenditures'!$D$7:$D$91,0),MATCH($G1167,'Labor Expenditures'!$F$5:$X$5,0)),"NA")</f>
        <v>2625.7623630045978</v>
      </c>
      <c r="K1167" s="159">
        <f t="shared" si="2120"/>
        <v>21.0397625240753</v>
      </c>
      <c r="L1167" s="165">
        <f t="shared" si="2126"/>
        <v>-0.13217651627503346</v>
      </c>
      <c r="M1167" s="76">
        <f t="shared" si="2130"/>
        <v>-1.1963389860959115E-4</v>
      </c>
      <c r="N1167" s="62">
        <f t="shared" si="2136"/>
        <v>117.79522616575946</v>
      </c>
      <c r="O1167" s="96">
        <f t="shared" si="2131"/>
        <v>-3.0186106102144108E-3</v>
      </c>
      <c r="P1167" s="96"/>
      <c r="Q1167" s="159">
        <f>IFERROR(INDEX('Non-Labor Expenditures'!$F$7:$AB$91,MATCH($C1167,'Non-Labor Expenditures'!$D$7:$D$91,0),MATCH($G1167,'Non-Labor Expenditures'!$F$5:$AB$5,0)),"NA")</f>
        <v>3802.5943263911226</v>
      </c>
      <c r="R1167" s="159">
        <f t="shared" si="2121"/>
        <v>38.025943263911223</v>
      </c>
      <c r="S1167" s="165">
        <f t="shared" si="2132"/>
        <v>-0.11928151685190712</v>
      </c>
      <c r="T1167" s="165">
        <f t="shared" si="2133"/>
        <v>-1.0796254353811219E-4</v>
      </c>
      <c r="U1167" s="165"/>
      <c r="V1167" s="165"/>
      <c r="W1167" s="159">
        <f t="shared" si="2100"/>
        <v>3250.8878350278883</v>
      </c>
      <c r="X1167" s="163"/>
      <c r="Y1167" s="167">
        <v>150.12314039715585</v>
      </c>
      <c r="Z1167" s="168">
        <v>1.4676916772562925E-2</v>
      </c>
      <c r="AA1167" s="76">
        <f t="shared" si="2122"/>
        <v>1.3284181052378522E-5</v>
      </c>
      <c r="AB1167" s="168"/>
      <c r="AC1167" s="168"/>
      <c r="AD1167" s="163">
        <f t="shared" si="2138"/>
        <v>9679.2445244236078</v>
      </c>
      <c r="AE1167" s="168">
        <f t="shared" si="2134"/>
        <v>-4.2579307312425624E-2</v>
      </c>
      <c r="AF1167" s="163"/>
      <c r="AG1167" s="163"/>
      <c r="AH1167" s="163"/>
      <c r="AI1167" s="163"/>
      <c r="AJ1167" s="116">
        <f t="shared" si="2135"/>
        <v>621.54013513283303</v>
      </c>
      <c r="AK1167" s="114">
        <f>+AV1167/$AX$17</f>
        <v>4.3605482636922908E-4</v>
      </c>
      <c r="AL1167" s="115">
        <f t="shared" si="2123"/>
        <v>0.27127761431990066</v>
      </c>
      <c r="AM1167" s="115">
        <f t="shared" si="2124"/>
        <v>0.39286065320449837</v>
      </c>
      <c r="AN1167" s="115">
        <f t="shared" si="2125"/>
        <v>0.33586173247560108</v>
      </c>
      <c r="AO1167" s="115">
        <f t="shared" si="2127"/>
        <v>-8.0531354047762779E-2</v>
      </c>
      <c r="AP1167" s="166">
        <f t="shared" si="2139"/>
        <v>114.20319711431803</v>
      </c>
      <c r="AQ1167" s="168">
        <f t="shared" si="2140"/>
        <v>-8.0531354047762835E-2</v>
      </c>
      <c r="AR1167" s="169">
        <f>+AD1167/$AF$17</f>
        <v>9.0510706425834695E-4</v>
      </c>
      <c r="AS1167" s="169">
        <f t="shared" si="2137"/>
        <v>-7.2889497442920161E-5</v>
      </c>
      <c r="AT1167" s="115"/>
      <c r="AU1167" s="115"/>
      <c r="AV1167" s="113">
        <f>IFERROR(INDEX('Total Customers'!$F$7:$AB$91,MATCH($C1167,'Total Customers'!$D$7:$D$91,0),MATCH($G1167,'Total Customers'!$F$5:$AB$5,0)),"NA")</f>
        <v>15573</v>
      </c>
      <c r="AW1167" s="68">
        <f t="shared" si="2113"/>
        <v>4.3760929607894964E-3</v>
      </c>
      <c r="AX1167" s="114"/>
      <c r="AY1167" s="114"/>
      <c r="AZ1167" s="116">
        <v>8485072</v>
      </c>
      <c r="BA1167" s="116"/>
      <c r="BB1167" s="166"/>
      <c r="BC1167" s="166"/>
      <c r="BD1167" s="166"/>
      <c r="BE1167" s="166"/>
      <c r="BF1167" s="166"/>
      <c r="BG1167" s="166"/>
      <c r="BH1167" s="166"/>
      <c r="BI1167" s="113"/>
      <c r="BJ1167" s="113"/>
      <c r="BK1167" s="113">
        <f>INDEX('Dist. Plant Gas Additions'!$F$7:$AE$91,MATCH($C1167,'Dist. Plant Gas Additions'!$D$7:$D$91,0),MATCH(Calculation!$G1167,'Dist. Plant Gas Additions'!$F$5:$AE$5,0))</f>
        <v>1518</v>
      </c>
      <c r="BL1167" s="113">
        <f>INDEX('Gen. Plant Additions'!$F$7:$AE$91,MATCH($C1167,'Gen. Plant Additions'!$D$7:$D$91,0),MATCH(Calculation!$G1167,'Gen. Plant Additions'!$F$5:$AE$5,0))</f>
        <v>722</v>
      </c>
      <c r="BM1167" s="231">
        <f t="shared" si="2101"/>
        <v>0.83068291815649631</v>
      </c>
      <c r="BN1167" s="61">
        <f t="shared" si="2141"/>
        <v>599.75306690899038</v>
      </c>
      <c r="BO1167" s="113">
        <f>INDEX('Dist Plant Depreciation'!$E$7:$AD$94,MATCH($C1167,'Dist Plant Depreciation'!$D$7:$D$94,0),MATCH(Calculation!$G1167,'Dist Plant Depreciation'!$E$5:$AD$5,0))</f>
        <v>21139</v>
      </c>
      <c r="BP1167" s="113">
        <f>INDEX('Gen. Plant Depreciation'!$E$7:$AD$94,MATCH($C1167,'Gen. Plant Depreciation'!$D$7:$D$94,0),MATCH(Calculation!$G1167,'Gen. Plant Depreciation'!$E$5:$AD$5,0))</f>
        <v>3492</v>
      </c>
      <c r="BQ1167" s="113"/>
      <c r="BR1167" s="113"/>
      <c r="BS1167" s="113"/>
      <c r="BT1167" s="113"/>
      <c r="BU1167" s="113"/>
      <c r="BV1167" s="175"/>
      <c r="BW1167" s="113">
        <f>INDEX('Gross Dx Plant'!$E$7:$AD$91,MATCH($C1167,'Gross Dx Plant'!$D$7:$D$91,0),MATCH(Calculation!$G1167,'Gross Dx Plant'!$E$5:$AD$5,0))</f>
        <v>42050</v>
      </c>
      <c r="BX1167" s="113">
        <f>INDEX('Gross Gen Plant'!$E$7:$AD$91,MATCH($C1167,'Gross Gen Plant'!$D$7:$D$91,0),MATCH(Calculation!$G1167,'Gross Gen Plant'!$E$5:$AD$5,0))</f>
        <v>8571</v>
      </c>
      <c r="BY1167" s="113">
        <f t="shared" si="2067"/>
        <v>25990</v>
      </c>
      <c r="BZ1167" s="113"/>
      <c r="CA1167" s="116">
        <v>2012</v>
      </c>
      <c r="CB1167" s="113"/>
      <c r="CC1167" s="113"/>
      <c r="CD1167" s="113"/>
      <c r="CE1167" s="175"/>
      <c r="CF1167" s="113">
        <f t="shared" si="2103"/>
        <v>2240</v>
      </c>
      <c r="CG1167" s="113">
        <f t="shared" si="2104"/>
        <v>3.3486848502529361</v>
      </c>
      <c r="CH1167" s="178">
        <v>0.9135802469135802</v>
      </c>
      <c r="CI1167" s="61">
        <f>+CI1153*CH1167+CG1154*CH1166+CG1155*CH1165+CG1156*CH1164+CG1157*CH1163+CG1158*CH1162+CG1159*CH1161+CG1160*CH1160+CG1161*CH1159+CG1162*CH1158+CG1163*CH1157+CG1164*CH1156+CG1165*CH1155+CG1166*CH1154+CG1167</f>
        <v>150.12314039715585</v>
      </c>
      <c r="CJ1167" s="114">
        <f t="shared" si="2105"/>
        <v>1.4676916772562925E-2</v>
      </c>
      <c r="CK1167" s="114"/>
      <c r="CL1167" s="169">
        <f t="shared" si="2106"/>
        <v>7.8509034187663421E-3</v>
      </c>
      <c r="CM1167" s="169">
        <f t="shared" si="2115"/>
        <v>7.5670314097379676E-3</v>
      </c>
      <c r="CN1167" s="114">
        <f>VLOOKUP($H1167,RoR!$E:$F,2,FALSE)</f>
        <v>3.6733333333333333E-2</v>
      </c>
      <c r="CO1167" s="169">
        <v>1.924331376386168E-2</v>
      </c>
      <c r="CP1167" s="169">
        <f t="shared" si="2112"/>
        <v>1.7490019569471653E-2</v>
      </c>
      <c r="CQ1167" s="169">
        <f t="shared" si="2116"/>
        <v>2.3334910198795657E-2</v>
      </c>
      <c r="CR1167" s="169">
        <f t="shared" si="2117"/>
        <v>6.7122682943869583E-2</v>
      </c>
      <c r="CS1167" s="179">
        <f t="shared" si="2107"/>
        <v>0.85329623209999994</v>
      </c>
      <c r="CT1167" s="180">
        <f t="shared" si="2108"/>
        <v>1.3960631020522127</v>
      </c>
      <c r="CU1167" s="180">
        <f t="shared" si="2109"/>
        <v>0.29441923774954631</v>
      </c>
      <c r="CV1167" s="180">
        <f t="shared" si="2110"/>
        <v>0.76377954189366437</v>
      </c>
      <c r="CW1167" s="180">
        <f t="shared" si="2111"/>
        <v>0.31393465103033691</v>
      </c>
      <c r="CX1167" s="181">
        <f>INDEX('State Tax Lookup'!$D$7:$Z$91,MATCH(Calculation!$C1167,'State Tax Lookup'!$B$7:$B$91,0),MATCH($H1167,'State Tax Lookup'!$D$6:$Z$6,0))</f>
        <v>0.39649667</v>
      </c>
      <c r="CY1167" s="72">
        <v>0.37</v>
      </c>
      <c r="CZ1167" s="70">
        <f t="shared" si="2114"/>
        <v>21.97497797959231</v>
      </c>
      <c r="DA1167" s="70">
        <v>20.759737328210988</v>
      </c>
      <c r="DB1167" s="69">
        <f t="shared" si="2118"/>
        <v>7.5552194015842442E-2</v>
      </c>
      <c r="DC1167" s="111">
        <f>VLOOKUP($H1167,RoR!$E:$F,2,FALSE)</f>
        <v>3.6733333333333333E-2</v>
      </c>
      <c r="DD1167" s="216">
        <f>HLOOKUP($H1167,'GDP-PI'!$D$8:$CQ$11,3,FALSE)</f>
        <v>1.924331376386168E-2</v>
      </c>
      <c r="DE1167" s="111">
        <f>VLOOKUP(H1167,'HW Dx Data'!$E:$F,2,FALSE)</f>
        <v>668.91932211262167</v>
      </c>
      <c r="DF1167" s="72">
        <f t="shared" si="2128"/>
        <v>124.80000000000001</v>
      </c>
      <c r="DG1167" s="69">
        <f t="shared" si="2129"/>
        <v>3.1955502161869064E-2</v>
      </c>
      <c r="DH1167" s="66">
        <f>HLOOKUP(H1167,'GDP-PI'!$8:$9,2,FALSE)</f>
        <v>100</v>
      </c>
      <c r="DI1167" s="69">
        <f t="shared" si="2119"/>
        <v>1.9060502738742411E-2</v>
      </c>
    </row>
    <row r="1168" spans="1:113" s="160" customFormat="1" ht="21">
      <c r="A1168" s="160" t="s">
        <v>229</v>
      </c>
      <c r="B1168" s="160" t="s">
        <v>229</v>
      </c>
      <c r="C1168" s="160">
        <v>4063183</v>
      </c>
      <c r="D1168" s="161" t="s">
        <v>171</v>
      </c>
      <c r="E1168" s="161" t="s">
        <v>3</v>
      </c>
      <c r="F1168" s="189"/>
      <c r="G1168" s="160" t="s">
        <v>129</v>
      </c>
      <c r="H1168" s="162">
        <v>2013</v>
      </c>
      <c r="I1168" s="163"/>
      <c r="J1168" s="159">
        <f>IFERROR(INDEX('Labor Expenditures'!$F$7:$X$91,MATCH($C1168,'Labor Expenditures'!$D$7:$D$91,0),MATCH($G1168,'Labor Expenditures'!$F$5:$X$5,0)),"NA")</f>
        <v>2641.0400699098532</v>
      </c>
      <c r="K1168" s="159">
        <f t="shared" si="2120"/>
        <v>20.828391718531964</v>
      </c>
      <c r="L1168" s="165">
        <f t="shared" si="2126"/>
        <v>-1.0097058499259723E-2</v>
      </c>
      <c r="M1168" s="76">
        <f t="shared" si="2130"/>
        <v>-8.8305910374729038E-6</v>
      </c>
      <c r="N1168" s="62">
        <f t="shared" si="2136"/>
        <v>107.54801519584473</v>
      </c>
      <c r="O1168" s="96">
        <f t="shared" si="2131"/>
        <v>-9.1010344655099051E-2</v>
      </c>
      <c r="P1168" s="96"/>
      <c r="Q1168" s="159">
        <f>IFERROR(INDEX('Non-Labor Expenditures'!$F$7:$AB$91,MATCH($C1168,'Non-Labor Expenditures'!$D$7:$D$91,0),MATCH($G1168,'Non-Labor Expenditures'!$F$5:$AB$5,0)),"NA")</f>
        <v>3824.7192994719749</v>
      </c>
      <c r="R1168" s="159">
        <f t="shared" si="2121"/>
        <v>37.580883922769054</v>
      </c>
      <c r="S1168" s="165">
        <f t="shared" si="2132"/>
        <v>-1.1773129447971924E-2</v>
      </c>
      <c r="T1168" s="165">
        <f t="shared" si="2133"/>
        <v>-1.029643350030025E-5</v>
      </c>
      <c r="U1168" s="165"/>
      <c r="V1168" s="165"/>
      <c r="W1168" s="159">
        <f t="shared" si="2100"/>
        <v>3234.307946649566</v>
      </c>
      <c r="X1168" s="163"/>
      <c r="Y1168" s="167">
        <v>170.56509649229227</v>
      </c>
      <c r="Z1168" s="168">
        <v>0.12766112817250477</v>
      </c>
      <c r="AA1168" s="76">
        <f t="shared" si="2122"/>
        <v>1.1164867613240541E-4</v>
      </c>
      <c r="AB1168" s="168"/>
      <c r="AC1168" s="168"/>
      <c r="AD1168" s="163">
        <f t="shared" si="2138"/>
        <v>9700.0673160313945</v>
      </c>
      <c r="AE1168" s="168">
        <f t="shared" si="2134"/>
        <v>2.1489720370527622E-3</v>
      </c>
      <c r="AF1168" s="163"/>
      <c r="AG1168" s="163"/>
      <c r="AH1168" s="163"/>
      <c r="AI1168" s="163"/>
      <c r="AJ1168" s="116">
        <f t="shared" si="2135"/>
        <v>620.05032702834274</v>
      </c>
      <c r="AK1168" s="114">
        <f>+AV1168/$AX$18</f>
        <v>4.3525108679224955E-4</v>
      </c>
      <c r="AL1168" s="115">
        <f t="shared" si="2123"/>
        <v>0.27227028265515035</v>
      </c>
      <c r="AM1168" s="115">
        <f t="shared" si="2124"/>
        <v>0.39429822235881029</v>
      </c>
      <c r="AN1168" s="115">
        <f t="shared" si="2125"/>
        <v>0.33343149498603936</v>
      </c>
      <c r="AO1168" s="115">
        <f t="shared" si="2127"/>
        <v>3.5343585122468164E-2</v>
      </c>
      <c r="AP1168" s="166">
        <f t="shared" si="2139"/>
        <v>118.31172490541366</v>
      </c>
      <c r="AQ1168" s="168">
        <f t="shared" si="2140"/>
        <v>3.5343585122468088E-2</v>
      </c>
      <c r="AR1168" s="169">
        <f>+AD1168/$AF$18</f>
        <v>8.7457065224692202E-4</v>
      </c>
      <c r="AS1168" s="169">
        <f t="shared" si="2137"/>
        <v>3.0910462293301527E-5</v>
      </c>
      <c r="AT1168" s="115"/>
      <c r="AU1168" s="115"/>
      <c r="AV1168" s="113">
        <f>IFERROR(INDEX('Total Customers'!$F$7:$AB$91,MATCH($C1168,'Total Customers'!$D$7:$D$91,0),MATCH($G1168,'Total Customers'!$F$5:$AB$5,0)),"NA")</f>
        <v>15644</v>
      </c>
      <c r="AW1168" s="68">
        <f t="shared" si="2113"/>
        <v>4.5488113800660358E-3</v>
      </c>
      <c r="AX1168" s="114"/>
      <c r="AY1168" s="114"/>
      <c r="AZ1168" s="116">
        <v>8534921</v>
      </c>
      <c r="BA1168" s="116"/>
      <c r="BB1168" s="166"/>
      <c r="BC1168" s="166"/>
      <c r="BD1168" s="166"/>
      <c r="BE1168" s="166"/>
      <c r="BF1168" s="166"/>
      <c r="BG1168" s="166"/>
      <c r="BH1168" s="166"/>
      <c r="BI1168" s="113"/>
      <c r="BJ1168" s="113"/>
      <c r="BK1168" s="113">
        <f>INDEX('Dist. Plant Gas Additions'!$F$7:$AE$91,MATCH($C1168,'Dist. Plant Gas Additions'!$D$7:$D$91,0),MATCH(Calculation!$G1168,'Dist. Plant Gas Additions'!$F$5:$AE$5,0))</f>
        <v>13145</v>
      </c>
      <c r="BL1168" s="113">
        <f>INDEX('Gen. Plant Additions'!$F$7:$AE$91,MATCH($C1168,'Gen. Plant Additions'!$D$7:$D$91,0),MATCH(Calculation!$G1168,'Gen. Plant Additions'!$F$5:$AE$5,0))</f>
        <v>1223</v>
      </c>
      <c r="BM1168" s="231">
        <f t="shared" si="2101"/>
        <v>0.85294754422862795</v>
      </c>
      <c r="BN1168" s="61">
        <f t="shared" si="2141"/>
        <v>1043.1548465916119</v>
      </c>
      <c r="BO1168" s="113">
        <f>INDEX('Dist Plant Depreciation'!$E$7:$AD$94,MATCH($C1168,'Dist Plant Depreciation'!$D$7:$D$94,0),MATCH(Calculation!$G1168,'Dist Plant Depreciation'!$E$5:$AD$5,0))</f>
        <v>21856</v>
      </c>
      <c r="BP1168" s="113">
        <f>INDEX('Gen. Plant Depreciation'!$E$7:$AD$94,MATCH($C1168,'Gen. Plant Depreciation'!$D$7:$D$94,0),MATCH(Calculation!$G1168,'Gen. Plant Depreciation'!$E$5:$AD$5,0))</f>
        <v>3724</v>
      </c>
      <c r="BQ1168" s="113"/>
      <c r="BR1168" s="113"/>
      <c r="BS1168" s="113"/>
      <c r="BT1168" s="113"/>
      <c r="BU1168" s="113"/>
      <c r="BV1168" s="175"/>
      <c r="BW1168" s="113">
        <f>INDEX('Gross Dx Plant'!$E$7:$AD$91,MATCH($C1168,'Gross Dx Plant'!$D$7:$D$91,0),MATCH(Calculation!$G1168,'Gross Dx Plant'!$E$5:$AD$5,0))</f>
        <v>55155</v>
      </c>
      <c r="BX1168" s="113">
        <f>INDEX('Gross Gen Plant'!$E$7:$AD$91,MATCH($C1168,'Gross Gen Plant'!$D$7:$D$91,0),MATCH(Calculation!$G1168,'Gross Gen Plant'!$E$5:$AD$5,0))</f>
        <v>9509</v>
      </c>
      <c r="BY1168" s="113">
        <f t="shared" si="2067"/>
        <v>39084</v>
      </c>
      <c r="BZ1168" s="113"/>
      <c r="CA1168" s="116">
        <v>2013</v>
      </c>
      <c r="CB1168" s="113"/>
      <c r="CC1168" s="113"/>
      <c r="CD1168" s="113"/>
      <c r="CE1168" s="175"/>
      <c r="CF1168" s="113">
        <f t="shared" si="2103"/>
        <v>14368</v>
      </c>
      <c r="CG1168" s="113">
        <f t="shared" si="2104"/>
        <v>21.663075072790843</v>
      </c>
      <c r="CH1168" s="178">
        <v>0.90566037735849059</v>
      </c>
      <c r="CI1168" s="61">
        <f>+CI1153*CH1168+CG1154*CH1167+CG1155*CH1166+CG1156*CH1165+CG1157*CH1164+CG1158*CH1163+CG1159*CH1162+CG1160*CH1161+CG1161*CH1160+CG1162*CH1159+CG1163*CH1158+CG1164*CH1157+CG1165*CH1156+CG1166*CH1155+CG1167*CH1154+CG1168</f>
        <v>170.56509649229227</v>
      </c>
      <c r="CJ1168" s="114">
        <f t="shared" si="2105"/>
        <v>0.12766112817250477</v>
      </c>
      <c r="CK1168" s="114"/>
      <c r="CL1168" s="169">
        <f t="shared" si="2106"/>
        <v>8.1341155961959771E-3</v>
      </c>
      <c r="CM1168" s="169">
        <f t="shared" si="2115"/>
        <v>7.8474247809883959E-3</v>
      </c>
      <c r="CN1168" s="114">
        <f>VLOOKUP($H1168,RoR!$E:$F,2,FALSE)</f>
        <v>4.2350000000000006E-2</v>
      </c>
      <c r="CO1168" s="169">
        <v>1.7730000000000024E-2</v>
      </c>
      <c r="CP1168" s="169">
        <f t="shared" si="2112"/>
        <v>2.4619999999999982E-2</v>
      </c>
      <c r="CQ1168" s="169">
        <f t="shared" si="2116"/>
        <v>2.3054516827545231E-2</v>
      </c>
      <c r="CR1168" s="169">
        <f t="shared" si="2117"/>
        <v>5.3376742735721204E-2</v>
      </c>
      <c r="CS1168" s="179">
        <f t="shared" si="2107"/>
        <v>0.85329623209999994</v>
      </c>
      <c r="CT1168" s="180">
        <f t="shared" si="2108"/>
        <v>1.2109103018193925</v>
      </c>
      <c r="CU1168" s="180">
        <f t="shared" si="2109"/>
        <v>0.38468122786304604</v>
      </c>
      <c r="CV1168" s="180">
        <f t="shared" si="2110"/>
        <v>0.80969194503422559</v>
      </c>
      <c r="CW1168" s="180">
        <f t="shared" si="2111"/>
        <v>0.37716621754800816</v>
      </c>
      <c r="CX1168" s="181">
        <f>INDEX('State Tax Lookup'!$D$7:$Z$91,MATCH(Calculation!$C1168,'State Tax Lookup'!$B$7:$B$91,0),MATCH($H1168,'State Tax Lookup'!$D$6:$Z$6,0))</f>
        <v>0.39649667</v>
      </c>
      <c r="CY1168" s="72">
        <v>0.37</v>
      </c>
      <c r="CZ1168" s="70">
        <f t="shared" si="2114"/>
        <v>21.544366432070998</v>
      </c>
      <c r="DA1168" s="70">
        <v>20.339519021246105</v>
      </c>
      <c r="DB1168" s="69">
        <f t="shared" si="2118"/>
        <v>-1.9790077595794004E-2</v>
      </c>
      <c r="DC1168" s="111">
        <f>VLOOKUP($H1168,RoR!$E:$F,2,FALSE)</f>
        <v>4.2350000000000006E-2</v>
      </c>
      <c r="DD1168" s="216">
        <f>HLOOKUP($H1168,'GDP-PI'!$D$8:$CQ$11,3,FALSE)</f>
        <v>1.7730000000000024E-2</v>
      </c>
      <c r="DE1168" s="111">
        <f>VLOOKUP(H1168,'HW Dx Data'!$E:$F,2,FALSE)</f>
        <v>663.24840548821396</v>
      </c>
      <c r="DF1168" s="72">
        <f t="shared" si="2128"/>
        <v>126.8</v>
      </c>
      <c r="DG1168" s="69">
        <f t="shared" si="2129"/>
        <v>1.5898586067798204E-2</v>
      </c>
      <c r="DH1168" s="66">
        <f>HLOOKUP(H1168,'GDP-PI'!$8:$9,2,FALSE)</f>
        <v>101.773</v>
      </c>
      <c r="DI1168" s="69">
        <f t="shared" si="2119"/>
        <v>1.7574657016510519E-2</v>
      </c>
    </row>
    <row r="1169" spans="1:113" s="160" customFormat="1" ht="21">
      <c r="A1169" s="160" t="s">
        <v>229</v>
      </c>
      <c r="B1169" s="160" t="s">
        <v>229</v>
      </c>
      <c r="C1169" s="160">
        <v>4063183</v>
      </c>
      <c r="D1169" s="161" t="s">
        <v>171</v>
      </c>
      <c r="E1169" s="161" t="s">
        <v>3</v>
      </c>
      <c r="F1169" s="189"/>
      <c r="G1169" s="160" t="s">
        <v>130</v>
      </c>
      <c r="H1169" s="162">
        <v>2014</v>
      </c>
      <c r="I1169" s="163"/>
      <c r="J1169" s="159">
        <f>IFERROR(INDEX('Labor Expenditures'!$F$7:$X$91,MATCH($C1169,'Labor Expenditures'!$D$7:$D$91,0),MATCH($G1169,'Labor Expenditures'!$F$5:$X$5,0)),"NA")</f>
        <v>2731.1089743870057</v>
      </c>
      <c r="K1169" s="159">
        <f t="shared" si="2120"/>
        <v>21.105942615046409</v>
      </c>
      <c r="L1169" s="165">
        <f t="shared" si="2126"/>
        <v>1.3237598924298422E-2</v>
      </c>
      <c r="M1169" s="76">
        <f t="shared" si="2130"/>
        <v>1.2156213296827224E-5</v>
      </c>
      <c r="N1169" s="62">
        <f t="shared" si="2136"/>
        <v>122.41865688217489</v>
      </c>
      <c r="O1169" s="96">
        <f t="shared" si="2131"/>
        <v>0.12950938313803551</v>
      </c>
      <c r="P1169" s="96"/>
      <c r="Q1169" s="159">
        <f>IFERROR(INDEX('Non-Labor Expenditures'!$F$7:$AB$91,MATCH($C1169,'Non-Labor Expenditures'!$D$7:$D$91,0),MATCH($G1169,'Non-Labor Expenditures'!$F$5:$AB$5,0)),"NA")</f>
        <v>3955.1558957057537</v>
      </c>
      <c r="R1169" s="159">
        <f t="shared" si="2121"/>
        <v>38.159868551002475</v>
      </c>
      <c r="S1169" s="165">
        <f t="shared" si="2132"/>
        <v>1.5288887089717325E-2</v>
      </c>
      <c r="T1169" s="165">
        <f t="shared" si="2133"/>
        <v>1.4039930775706134E-5</v>
      </c>
      <c r="U1169" s="165"/>
      <c r="V1169" s="165"/>
      <c r="W1169" s="159">
        <f t="shared" si="2100"/>
        <v>3768.4516573347246</v>
      </c>
      <c r="X1169" s="163"/>
      <c r="Y1169" s="167">
        <v>173.81132513000605</v>
      </c>
      <c r="Z1169" s="168">
        <v>1.8853351094926429E-2</v>
      </c>
      <c r="AA1169" s="76">
        <f t="shared" si="2122"/>
        <v>1.7313212054582876E-5</v>
      </c>
      <c r="AB1169" s="168"/>
      <c r="AC1169" s="168"/>
      <c r="AD1169" s="163">
        <f t="shared" si="2138"/>
        <v>10454.716527427485</v>
      </c>
      <c r="AE1169" s="168">
        <f t="shared" si="2134"/>
        <v>7.4920393641754984E-2</v>
      </c>
      <c r="AF1169" s="163"/>
      <c r="AG1169" s="163"/>
      <c r="AH1169" s="163"/>
      <c r="AI1169" s="163"/>
      <c r="AJ1169" s="116">
        <f t="shared" si="2135"/>
        <v>661.85847856593352</v>
      </c>
      <c r="AK1169" s="114">
        <f>+AV1169/$AX$19</f>
        <v>4.3713161297856932E-4</v>
      </c>
      <c r="AL1169" s="115">
        <f t="shared" si="2123"/>
        <v>0.26123223592165912</v>
      </c>
      <c r="AM1169" s="115">
        <f t="shared" si="2124"/>
        <v>0.3783130690659644</v>
      </c>
      <c r="AN1169" s="115">
        <f t="shared" si="2125"/>
        <v>0.36045469501237637</v>
      </c>
      <c r="AO1169" s="115">
        <f t="shared" si="2127"/>
        <v>1.5978369562408948E-2</v>
      </c>
      <c r="AP1169" s="166">
        <f t="shared" si="2139"/>
        <v>120.21733711453408</v>
      </c>
      <c r="AQ1169" s="168">
        <f t="shared" si="2140"/>
        <v>1.5978369562408862E-2</v>
      </c>
      <c r="AR1169" s="169">
        <f>+AD1169/$AF$19</f>
        <v>9.1830953380176458E-4</v>
      </c>
      <c r="AS1169" s="169">
        <f t="shared" si="2137"/>
        <v>1.4673089103767987E-5</v>
      </c>
      <c r="AT1169" s="115"/>
      <c r="AU1169" s="115"/>
      <c r="AV1169" s="113">
        <f>IFERROR(INDEX('Total Customers'!$F$7:$AB$91,MATCH($C1169,'Total Customers'!$D$7:$D$91,0),MATCH($G1169,'Total Customers'!$F$5:$AB$5,0)),"NA")</f>
        <v>15796</v>
      </c>
      <c r="AW1169" s="68">
        <f t="shared" si="2113"/>
        <v>9.6692865311352565E-3</v>
      </c>
      <c r="AX1169" s="114"/>
      <c r="AY1169" s="114"/>
      <c r="AZ1169" s="116">
        <v>8599754</v>
      </c>
      <c r="BA1169" s="116"/>
      <c r="BB1169" s="166"/>
      <c r="BC1169" s="166"/>
      <c r="BD1169" s="166"/>
      <c r="BE1169" s="166"/>
      <c r="BF1169" s="166"/>
      <c r="BG1169" s="166"/>
      <c r="BH1169" s="166"/>
      <c r="BI1169" s="113"/>
      <c r="BJ1169" s="113"/>
      <c r="BK1169" s="113">
        <f>INDEX('Dist. Plant Gas Additions'!$F$7:$AE$91,MATCH($C1169,'Dist. Plant Gas Additions'!$D$7:$D$91,0),MATCH(Calculation!$G1169,'Dist. Plant Gas Additions'!$F$5:$AE$5,0))</f>
        <v>2787</v>
      </c>
      <c r="BL1169" s="113">
        <f>INDEX('Gen. Plant Additions'!$F$7:$AE$91,MATCH($C1169,'Gen. Plant Additions'!$D$7:$D$91,0),MATCH(Calculation!$G1169,'Gen. Plant Additions'!$F$5:$AE$5,0))</f>
        <v>376</v>
      </c>
      <c r="BM1169" s="231">
        <f t="shared" si="2101"/>
        <v>0.85426157724799856</v>
      </c>
      <c r="BN1169" s="61">
        <f t="shared" si="2141"/>
        <v>321.20235304524743</v>
      </c>
      <c r="BO1169" s="113">
        <f>INDEX('Dist Plant Depreciation'!$E$7:$AD$94,MATCH($C1169,'Dist Plant Depreciation'!$D$7:$D$94,0),MATCH(Calculation!$G1169,'Dist Plant Depreciation'!$E$5:$AD$5,0))</f>
        <v>22673</v>
      </c>
      <c r="BP1169" s="113">
        <f>INDEX('Gen. Plant Depreciation'!$E$7:$AD$94,MATCH($C1169,'Gen. Plant Depreciation'!$D$7:$D$94,0),MATCH(Calculation!$G1169,'Gen. Plant Depreciation'!$E$5:$AD$5,0))</f>
        <v>4306</v>
      </c>
      <c r="BQ1169" s="113"/>
      <c r="BR1169" s="113"/>
      <c r="BS1169" s="113"/>
      <c r="BT1169" s="113"/>
      <c r="BU1169" s="113"/>
      <c r="BV1169" s="175"/>
      <c r="BW1169" s="113">
        <f>INDEX('Gross Dx Plant'!$E$7:$AD$91,MATCH($C1169,'Gross Dx Plant'!$D$7:$D$91,0),MATCH(Calculation!$G1169,'Gross Dx Plant'!$E$5:$AD$5,0))</f>
        <v>57942</v>
      </c>
      <c r="BX1169" s="113">
        <f>INDEX('Gross Gen Plant'!$E$7:$AD$91,MATCH($C1169,'Gross Gen Plant'!$D$7:$D$91,0),MATCH(Calculation!$G1169,'Gross Gen Plant'!$E$5:$AD$5,0))</f>
        <v>9885</v>
      </c>
      <c r="BY1169" s="113">
        <f t="shared" si="2067"/>
        <v>40848</v>
      </c>
      <c r="BZ1169" s="113"/>
      <c r="CA1169" s="116">
        <v>2014</v>
      </c>
      <c r="CB1169" s="113"/>
      <c r="CC1169" s="113"/>
      <c r="CD1169" s="113"/>
      <c r="CE1169" s="175"/>
      <c r="CF1169" s="113">
        <f t="shared" si="2103"/>
        <v>3163</v>
      </c>
      <c r="CG1169" s="113">
        <f t="shared" si="2104"/>
        <v>4.6210994798507423</v>
      </c>
      <c r="CH1169" s="178">
        <v>0.89743589743589747</v>
      </c>
      <c r="CI1169" s="61">
        <f>+CI1153*CH1169+CG1154*CH1168+CG1155*CH1167+CG1156*CH1166+CG1157*CH1165+CG1158*CH1164+CG1159*CH1163+CG1160*CH1162+CG1161*CH1161+CG1162*CH1160+CG1163*CH1159+CG1164*CH1158+CG1165*CH1157+CG1166*CH1156+CG1167*CH1155+CG1168*CH1154+CG1169</f>
        <v>173.81132513000605</v>
      </c>
      <c r="CJ1169" s="114">
        <f t="shared" si="2105"/>
        <v>1.8853351094926429E-2</v>
      </c>
      <c r="CK1169" s="114"/>
      <c r="CL1169" s="169">
        <f t="shared" si="2106"/>
        <v>8.0606810561566888E-3</v>
      </c>
      <c r="CM1169" s="169">
        <f t="shared" si="2115"/>
        <v>8.0152333570396705E-3</v>
      </c>
      <c r="CN1169" s="114">
        <f>VLOOKUP($H1169,RoR!$E:$F,2,FALSE)</f>
        <v>4.1625000000000002E-2</v>
      </c>
      <c r="CO1169" s="169">
        <v>1.841352814597208E-2</v>
      </c>
      <c r="CP1169" s="169">
        <f t="shared" si="2112"/>
        <v>2.3211471854027922E-2</v>
      </c>
      <c r="CQ1169" s="169">
        <f t="shared" si="2116"/>
        <v>2.2886708251493956E-2</v>
      </c>
      <c r="CR1169" s="169">
        <f t="shared" si="2117"/>
        <v>3.9072621432650924E-2</v>
      </c>
      <c r="CS1169" s="179">
        <f t="shared" si="2107"/>
        <v>0.85329623209999994</v>
      </c>
      <c r="CT1169" s="180">
        <f t="shared" si="2108"/>
        <v>1.2320012320012319</v>
      </c>
      <c r="CU1169" s="180">
        <f t="shared" si="2109"/>
        <v>0.37439939939939942</v>
      </c>
      <c r="CV1169" s="180">
        <f t="shared" si="2110"/>
        <v>0.80432100613819935</v>
      </c>
      <c r="CW1169" s="180">
        <f t="shared" si="2111"/>
        <v>0.37100152660040037</v>
      </c>
      <c r="CX1169" s="181">
        <f>INDEX('State Tax Lookup'!$D$7:$Z$91,MATCH(Calculation!$C1169,'State Tax Lookup'!$B$7:$B$91,0),MATCH($H1169,'State Tax Lookup'!$D$6:$Z$6,0))</f>
        <v>0.39649667</v>
      </c>
      <c r="CY1169" s="72">
        <v>0.37</v>
      </c>
      <c r="CZ1169" s="70">
        <f t="shared" si="2114"/>
        <v>22.09392035553428</v>
      </c>
      <c r="DA1169" s="70">
        <v>20.763592984765573</v>
      </c>
      <c r="DB1169" s="69">
        <f t="shared" si="2118"/>
        <v>2.5188109734318186E-2</v>
      </c>
      <c r="DC1169" s="111">
        <f>VLOOKUP($H1169,RoR!$E:$F,2,FALSE)</f>
        <v>4.1625000000000002E-2</v>
      </c>
      <c r="DD1169" s="216">
        <f>HLOOKUP($H1169,'GDP-PI'!$D$8:$CQ$11,3,FALSE)</f>
        <v>1.841352814597208E-2</v>
      </c>
      <c r="DE1169" s="111">
        <f>VLOOKUP(H1169,'HW Dx Data'!$E:$F,2,FALSE)</f>
        <v>684.46914285042885</v>
      </c>
      <c r="DF1169" s="72">
        <f t="shared" si="2128"/>
        <v>129.4</v>
      </c>
      <c r="DG1169" s="69">
        <f t="shared" si="2129"/>
        <v>2.0297340063674733E-2</v>
      </c>
      <c r="DH1169" s="66">
        <f>HLOOKUP(H1169,'GDP-PI'!$8:$9,2,FALSE)</f>
        <v>103.64700000000001</v>
      </c>
      <c r="DI1169" s="69">
        <f t="shared" si="2119"/>
        <v>1.8246051898256087E-2</v>
      </c>
    </row>
    <row r="1170" spans="1:113" s="160" customFormat="1" ht="21">
      <c r="A1170" s="160" t="s">
        <v>229</v>
      </c>
      <c r="B1170" s="160" t="s">
        <v>229</v>
      </c>
      <c r="C1170" s="160">
        <v>4063183</v>
      </c>
      <c r="D1170" s="161" t="s">
        <v>171</v>
      </c>
      <c r="E1170" s="161" t="s">
        <v>3</v>
      </c>
      <c r="F1170" s="189"/>
      <c r="G1170" s="160" t="s">
        <v>132</v>
      </c>
      <c r="H1170" s="162">
        <v>2015</v>
      </c>
      <c r="I1170" s="163"/>
      <c r="J1170" s="159">
        <f>IFERROR(INDEX('Labor Expenditures'!$F$7:$X$91,MATCH($C1170,'Labor Expenditures'!$D$7:$D$91,0),MATCH($G1170,'Labor Expenditures'!$F$5:$X$5,0)),"NA")</f>
        <v>2935.5606901592691</v>
      </c>
      <c r="K1170" s="159">
        <f t="shared" si="2120"/>
        <v>21.989218652878421</v>
      </c>
      <c r="L1170" s="165">
        <f t="shared" si="2126"/>
        <v>4.0997630653965202E-2</v>
      </c>
      <c r="M1170" s="76">
        <f t="shared" si="2130"/>
        <v>3.9077308401370087E-5</v>
      </c>
      <c r="N1170" s="62">
        <f t="shared" si="2136"/>
        <v>122.50973585792687</v>
      </c>
      <c r="O1170" s="96">
        <f t="shared" si="2131"/>
        <v>7.4371924733747873E-4</v>
      </c>
      <c r="P1170" s="96"/>
      <c r="Q1170" s="159">
        <f>IFERROR(INDEX('Non-Labor Expenditures'!$F$7:$AB$91,MATCH($C1170,'Non-Labor Expenditures'!$D$7:$D$91,0),MATCH($G1170,'Non-Labor Expenditures'!$F$5:$AB$5,0)),"NA")</f>
        <v>4251.2401664570962</v>
      </c>
      <c r="R1170" s="159">
        <f t="shared" si="2121"/>
        <v>40.627683430242037</v>
      </c>
      <c r="S1170" s="165">
        <f t="shared" si="2132"/>
        <v>6.2665290242026203E-2</v>
      </c>
      <c r="T1170" s="165">
        <f t="shared" si="2133"/>
        <v>5.9730058390878828E-5</v>
      </c>
      <c r="U1170" s="165"/>
      <c r="V1170" s="165"/>
      <c r="W1170" s="159">
        <f t="shared" si="2100"/>
        <v>3771.9839373056034</v>
      </c>
      <c r="X1170" s="163"/>
      <c r="Y1170" s="167">
        <v>220.31790086686428</v>
      </c>
      <c r="Z1170" s="168">
        <v>0.23710113471802205</v>
      </c>
      <c r="AA1170" s="76">
        <f t="shared" si="2122"/>
        <v>2.2599535670471304E-4</v>
      </c>
      <c r="AB1170" s="168"/>
      <c r="AC1170" s="168"/>
      <c r="AD1170" s="163">
        <f t="shared" si="2138"/>
        <v>10958.784793921968</v>
      </c>
      <c r="AE1170" s="168">
        <f t="shared" si="2134"/>
        <v>4.7088179981583038E-2</v>
      </c>
      <c r="AF1170" s="163"/>
      <c r="AG1170" s="163"/>
      <c r="AH1170" s="163"/>
      <c r="AI1170" s="163"/>
      <c r="AJ1170" s="116">
        <f t="shared" si="2135"/>
        <v>687.6315990413483</v>
      </c>
      <c r="AK1170" s="114">
        <f>+AV1170/$AX$20</f>
        <v>4.3744740859416034E-4</v>
      </c>
      <c r="AL1170" s="115">
        <f t="shared" si="2123"/>
        <v>0.26787282945709534</v>
      </c>
      <c r="AM1170" s="115">
        <f t="shared" si="2124"/>
        <v>0.38792988879706319</v>
      </c>
      <c r="AN1170" s="115">
        <f t="shared" si="2125"/>
        <v>0.34419728174584152</v>
      </c>
      <c r="AO1170" s="115">
        <f t="shared" si="2127"/>
        <v>0.11839133733430317</v>
      </c>
      <c r="AP1170" s="166">
        <f t="shared" si="2139"/>
        <v>135.32679874011728</v>
      </c>
      <c r="AQ1170" s="168">
        <f t="shared" si="2140"/>
        <v>0.11839133733430315</v>
      </c>
      <c r="AR1170" s="169">
        <f>+AD1170/$AF$20</f>
        <v>9.5316016506409042E-4</v>
      </c>
      <c r="AS1170" s="169">
        <f t="shared" si="2137"/>
        <v>1.128459066357228E-4</v>
      </c>
      <c r="AT1170" s="115"/>
      <c r="AU1170" s="115"/>
      <c r="AV1170" s="113">
        <f>IFERROR(INDEX('Total Customers'!$F$7:$AB$91,MATCH($C1170,'Total Customers'!$D$7:$D$91,0),MATCH($G1170,'Total Customers'!$F$5:$AB$5,0)),"NA")</f>
        <v>15937</v>
      </c>
      <c r="AW1170" s="68">
        <f t="shared" si="2113"/>
        <v>8.886706453093635E-3</v>
      </c>
      <c r="AX1170" s="114"/>
      <c r="AY1170" s="114"/>
      <c r="AZ1170" s="116">
        <v>8659109</v>
      </c>
      <c r="BA1170" s="116"/>
      <c r="BB1170" s="166"/>
      <c r="BC1170" s="166"/>
      <c r="BD1170" s="166"/>
      <c r="BE1170" s="166"/>
      <c r="BF1170" s="166"/>
      <c r="BG1170" s="166"/>
      <c r="BH1170" s="166"/>
      <c r="BI1170" s="113"/>
      <c r="BJ1170" s="113"/>
      <c r="BK1170" s="113">
        <f>INDEX('Dist. Plant Gas Additions'!$F$7:$AE$91,MATCH($C1170,'Dist. Plant Gas Additions'!$D$7:$D$91,0),MATCH(Calculation!$G1170,'Dist. Plant Gas Additions'!$F$5:$AE$5,0))</f>
        <v>31793</v>
      </c>
      <c r="BL1170" s="113">
        <f>INDEX('Gen. Plant Additions'!$F$7:$AE$91,MATCH($C1170,'Gen. Plant Additions'!$D$7:$D$91,0),MATCH(Calculation!$G1170,'Gen. Plant Additions'!$F$5:$AE$5,0))</f>
        <v>607</v>
      </c>
      <c r="BM1170" s="231">
        <f t="shared" si="2101"/>
        <v>0.896128186919253</v>
      </c>
      <c r="BN1170" s="61">
        <f t="shared" si="2141"/>
        <v>543.94980945998657</v>
      </c>
      <c r="BO1170" s="113">
        <f>INDEX('Dist Plant Depreciation'!$E$7:$AD$94,MATCH($C1170,'Dist Plant Depreciation'!$D$7:$D$94,0),MATCH(Calculation!$G1170,'Dist Plant Depreciation'!$E$5:$AD$5,0))</f>
        <v>23580</v>
      </c>
      <c r="BP1170" s="113">
        <f>INDEX('Gen. Plant Depreciation'!$E$7:$AD$94,MATCH($C1170,'Gen. Plant Depreciation'!$D$7:$D$94,0),MATCH(Calculation!$G1170,'Gen. Plant Depreciation'!$E$5:$AD$5,0))</f>
        <v>4799</v>
      </c>
      <c r="BQ1170" s="113"/>
      <c r="BR1170" s="113"/>
      <c r="BS1170" s="113"/>
      <c r="BT1170" s="113"/>
      <c r="BU1170" s="113"/>
      <c r="BV1170" s="175"/>
      <c r="BW1170" s="113">
        <f>INDEX('Gross Dx Plant'!$E$7:$AD$91,MATCH($C1170,'Gross Dx Plant'!$D$7:$D$91,0),MATCH(Calculation!$G1170,'Gross Dx Plant'!$E$5:$AD$5,0))</f>
        <v>89594</v>
      </c>
      <c r="BX1170" s="113">
        <f>INDEX('Gross Gen Plant'!$E$7:$AD$91,MATCH($C1170,'Gross Gen Plant'!$D$7:$D$91,0),MATCH(Calculation!$G1170,'Gross Gen Plant'!$E$5:$AD$5,0))</f>
        <v>10385</v>
      </c>
      <c r="BY1170" s="113">
        <f t="shared" si="2067"/>
        <v>71600</v>
      </c>
      <c r="BZ1170" s="113"/>
      <c r="CA1170" s="116">
        <v>2015</v>
      </c>
      <c r="CB1170" s="113"/>
      <c r="CC1170" s="113"/>
      <c r="CD1170" s="113"/>
      <c r="CE1170" s="175"/>
      <c r="CF1170" s="113">
        <f t="shared" si="2103"/>
        <v>32400</v>
      </c>
      <c r="CG1170" s="113">
        <f t="shared" si="2104"/>
        <v>47.956332520471342</v>
      </c>
      <c r="CH1170" s="178">
        <v>0.88888888888888884</v>
      </c>
      <c r="CI1170" s="61">
        <f>+CI1153*CH1170+CG1154*CH1169+CG1155*CH1168+CG1156*CH1167+CG1157*CH1166+CG1158*CH1165+CG1159*CH1164+CG1160*CH1163+CG1161*CH1162+CG1162*CH1161+CG1163*CH1160+CG1164*CH1159+CG1165*CH1158+CG1166*CH1157+CG1167*CH1156+CG1168*CH1155+CG1169*CH1154+CG1170</f>
        <v>220.31790086686428</v>
      </c>
      <c r="CJ1170" s="114">
        <f t="shared" si="2105"/>
        <v>0.23710113471802205</v>
      </c>
      <c r="CK1170" s="114"/>
      <c r="CL1170" s="169">
        <f t="shared" si="2106"/>
        <v>8.3409799823385526E-3</v>
      </c>
      <c r="CM1170" s="169">
        <f t="shared" si="2115"/>
        <v>8.1785922115637389E-3</v>
      </c>
      <c r="CN1170" s="114">
        <f>VLOOKUP($H1170,RoR!$E:$F,2,FALSE)</f>
        <v>3.8866666666666674E-2</v>
      </c>
      <c r="CO1170" s="169">
        <v>9.5709475431029478E-3</v>
      </c>
      <c r="CP1170" s="169">
        <f t="shared" si="2112"/>
        <v>2.9295719123563727E-2</v>
      </c>
      <c r="CQ1170" s="169">
        <f t="shared" si="2116"/>
        <v>2.2723349396969884E-2</v>
      </c>
      <c r="CR1170" s="169">
        <f t="shared" si="2117"/>
        <v>3.5270373279175926E-3</v>
      </c>
      <c r="CS1170" s="179">
        <f t="shared" si="2107"/>
        <v>0.85329623209999994</v>
      </c>
      <c r="CT1170" s="180">
        <f t="shared" si="2108"/>
        <v>1.3194352816994324</v>
      </c>
      <c r="CU1170" s="180">
        <f t="shared" si="2109"/>
        <v>0.33177530017152673</v>
      </c>
      <c r="CV1170" s="180">
        <f t="shared" si="2110"/>
        <v>0.78242572977668579</v>
      </c>
      <c r="CW1170" s="180">
        <f t="shared" si="2111"/>
        <v>0.34251158643433932</v>
      </c>
      <c r="CX1170" s="181">
        <f>INDEX('State Tax Lookup'!$D$7:$Z$91,MATCH(Calculation!$C1170,'State Tax Lookup'!$B$7:$B$91,0),MATCH($H1170,'State Tax Lookup'!$D$6:$Z$6,0))</f>
        <v>0.39649667</v>
      </c>
      <c r="CY1170" s="72">
        <v>0.37</v>
      </c>
      <c r="CZ1170" s="70">
        <f t="shared" si="2114"/>
        <v>21.701600482501725</v>
      </c>
      <c r="DA1170" s="70">
        <v>20.279488671080099</v>
      </c>
      <c r="DB1170" s="69">
        <f t="shared" si="2118"/>
        <v>-1.7916460862281311E-2</v>
      </c>
      <c r="DC1170" s="111">
        <f>VLOOKUP($H1170,RoR!$E:$F,2,FALSE)</f>
        <v>3.8866666666666674E-2</v>
      </c>
      <c r="DD1170" s="216">
        <f>HLOOKUP($H1170,'GDP-PI'!$D$8:$CQ$11,3,FALSE)</f>
        <v>9.5709475431029478E-3</v>
      </c>
      <c r="DE1170" s="111">
        <f>VLOOKUP(H1170,'HW Dx Data'!$E:$F,2,FALSE)</f>
        <v>675.61463308665782</v>
      </c>
      <c r="DF1170" s="72">
        <f t="shared" si="2128"/>
        <v>133.5</v>
      </c>
      <c r="DG1170" s="69">
        <f t="shared" si="2129"/>
        <v>3.1193095773504077E-2</v>
      </c>
      <c r="DH1170" s="66">
        <f>HLOOKUP(H1170,'GDP-PI'!$8:$9,2,FALSE)</f>
        <v>104.639</v>
      </c>
      <c r="DI1170" s="69">
        <f t="shared" si="2119"/>
        <v>9.5254361854427965E-3</v>
      </c>
    </row>
    <row r="1171" spans="1:113" s="160" customFormat="1" ht="21">
      <c r="A1171" s="160" t="s">
        <v>229</v>
      </c>
      <c r="B1171" s="160" t="s">
        <v>229</v>
      </c>
      <c r="C1171" s="160">
        <v>4063183</v>
      </c>
      <c r="D1171" s="161" t="s">
        <v>171</v>
      </c>
      <c r="E1171" s="161" t="s">
        <v>3</v>
      </c>
      <c r="F1171" s="189"/>
      <c r="G1171" s="160" t="s">
        <v>133</v>
      </c>
      <c r="H1171" s="162">
        <v>2016</v>
      </c>
      <c r="I1171" s="163"/>
      <c r="J1171" s="159">
        <f>IFERROR(INDEX('Labor Expenditures'!$F$7:$X$91,MATCH($C1171,'Labor Expenditures'!$D$7:$D$91,0),MATCH($G1171,'Labor Expenditures'!$F$5:$X$5,0)),"NA")</f>
        <v>2884.9848998582529</v>
      </c>
      <c r="K1171" s="159">
        <f t="shared" si="2120"/>
        <v>21.065972251611925</v>
      </c>
      <c r="L1171" s="165">
        <f t="shared" si="2126"/>
        <v>-4.2893222804786711E-2</v>
      </c>
      <c r="M1171" s="76">
        <f t="shared" si="2130"/>
        <v>-4.2648248064304499E-5</v>
      </c>
      <c r="N1171" s="62">
        <f t="shared" si="2136"/>
        <v>303.8889367227145</v>
      </c>
      <c r="O1171" s="96">
        <f t="shared" si="2131"/>
        <v>0.90847179170755132</v>
      </c>
      <c r="P1171" s="96"/>
      <c r="Q1171" s="159">
        <f>IFERROR(INDEX('Non-Labor Expenditures'!$F$7:$AB$91,MATCH($C1171,'Non-Labor Expenditures'!$D$7:$D$91,0),MATCH($G1171,'Non-Labor Expenditures'!$F$5:$AB$5,0)),"NA")</f>
        <v>4177.9969758466086</v>
      </c>
      <c r="R1171" s="159">
        <f t="shared" si="2121"/>
        <v>39.513476733057885</v>
      </c>
      <c r="S1171" s="165">
        <f t="shared" si="2132"/>
        <v>-2.7807895303208614E-2</v>
      </c>
      <c r="T1171" s="165">
        <f t="shared" si="2133"/>
        <v>-2.7649076928420982E-5</v>
      </c>
      <c r="U1171" s="165"/>
      <c r="V1171" s="165"/>
      <c r="W1171" s="159">
        <f t="shared" si="2100"/>
        <v>4766.8100111714257</v>
      </c>
      <c r="X1171" s="163"/>
      <c r="Y1171" s="167">
        <v>219.08180093332956</v>
      </c>
      <c r="Z1171" s="168">
        <v>-5.6263269604168963E-3</v>
      </c>
      <c r="AA1171" s="76">
        <f t="shared" si="2122"/>
        <v>-5.5941934927763542E-6</v>
      </c>
      <c r="AB1171" s="168"/>
      <c r="AC1171" s="168"/>
      <c r="AD1171" s="163">
        <f t="shared" si="2138"/>
        <v>11829.791886876286</v>
      </c>
      <c r="AE1171" s="168">
        <f t="shared" si="2134"/>
        <v>7.647968694988222E-2</v>
      </c>
      <c r="AF1171" s="163"/>
      <c r="AG1171" s="163"/>
      <c r="AH1171" s="163"/>
      <c r="AI1171" s="163"/>
      <c r="AJ1171" s="116">
        <f t="shared" si="2135"/>
        <v>730.73024194677168</v>
      </c>
      <c r="AK1171" s="114">
        <f>+AV1171/$AX$21</f>
        <v>4.4052451070322995E-4</v>
      </c>
      <c r="AL1171" s="115">
        <f t="shared" si="2123"/>
        <v>0.24387452691021491</v>
      </c>
      <c r="AM1171" s="115">
        <f t="shared" si="2124"/>
        <v>0.35317586444454596</v>
      </c>
      <c r="AN1171" s="115">
        <f t="shared" si="2125"/>
        <v>0.40294960864523921</v>
      </c>
      <c r="AO1171" s="115">
        <f t="shared" si="2127"/>
        <v>-2.3381388631985422E-2</v>
      </c>
      <c r="AP1171" s="166">
        <f t="shared" si="2139"/>
        <v>132.19937450335851</v>
      </c>
      <c r="AQ1171" s="168">
        <f t="shared" si="2140"/>
        <v>-2.3381388631985453E-2</v>
      </c>
      <c r="AR1171" s="169">
        <f>+AD1171/$AF$21</f>
        <v>9.9428873084223294E-4</v>
      </c>
      <c r="AS1171" s="169">
        <f t="shared" si="2137"/>
        <v>-2.3247851228225829E-5</v>
      </c>
      <c r="AT1171" s="115"/>
      <c r="AU1171" s="115"/>
      <c r="AV1171" s="113">
        <f>IFERROR(INDEX('Total Customers'!$F$7:$AB$91,MATCH($C1171,'Total Customers'!$D$7:$D$91,0),MATCH($G1171,'Total Customers'!$F$5:$AB$5,0)),"NA")</f>
        <v>16189</v>
      </c>
      <c r="AW1171" s="68">
        <f t="shared" si="2113"/>
        <v>1.5688549381872249E-2</v>
      </c>
      <c r="AX1171" s="114"/>
      <c r="AY1171" s="114"/>
      <c r="AZ1171" s="116">
        <v>8759079</v>
      </c>
      <c r="BA1171" s="116"/>
      <c r="BB1171" s="166"/>
      <c r="BC1171" s="166"/>
      <c r="BD1171" s="166"/>
      <c r="BE1171" s="166"/>
      <c r="BF1171" s="166"/>
      <c r="BG1171" s="166"/>
      <c r="BH1171" s="166"/>
      <c r="BI1171" s="113"/>
      <c r="BJ1171" s="113"/>
      <c r="BK1171" s="113">
        <f>INDEX('Dist. Plant Gas Additions'!$F$7:$AE$91,MATCH($C1171,'Dist. Plant Gas Additions'!$D$7:$D$91,0),MATCH(Calculation!$G1171,'Dist. Plant Gas Additions'!$F$5:$AE$5,0))</f>
        <v>-404</v>
      </c>
      <c r="BL1171" s="113">
        <f>INDEX('Gen. Plant Additions'!$F$7:$AE$91,MATCH($C1171,'Gen. Plant Additions'!$D$7:$D$91,0),MATCH(Calculation!$G1171,'Gen. Plant Additions'!$F$5:$AE$5,0))</f>
        <v>745</v>
      </c>
      <c r="BM1171" s="231">
        <f t="shared" si="2101"/>
        <v>0.89103245074261894</v>
      </c>
      <c r="BN1171" s="61">
        <f t="shared" si="2141"/>
        <v>663.81917580325114</v>
      </c>
      <c r="BO1171" s="113">
        <f>INDEX('Dist Plant Depreciation'!$E$7:$AD$94,MATCH($C1171,'Dist Plant Depreciation'!$D$7:$D$94,0),MATCH(Calculation!$G1171,'Dist Plant Depreciation'!$E$5:$AD$5,0))</f>
        <v>24081</v>
      </c>
      <c r="BP1171" s="113">
        <f>INDEX('Gen. Plant Depreciation'!$E$7:$AD$94,MATCH($C1171,'Gen. Plant Depreciation'!$D$7:$D$94,0),MATCH(Calculation!$G1171,'Gen. Plant Depreciation'!$E$5:$AD$5,0))</f>
        <v>5170</v>
      </c>
      <c r="BQ1171" s="113"/>
      <c r="BR1171" s="113"/>
      <c r="BS1171" s="113"/>
      <c r="BT1171" s="113"/>
      <c r="BU1171" s="113"/>
      <c r="BV1171" s="175"/>
      <c r="BW1171" s="113">
        <f>INDEX('Gross Dx Plant'!$E$7:$AD$91,MATCH($C1171,'Gross Dx Plant'!$D$7:$D$91,0),MATCH(Calculation!$G1171,'Gross Dx Plant'!$E$5:$AD$5,0))</f>
        <v>88909</v>
      </c>
      <c r="BX1171" s="113">
        <f>INDEX('Gross Gen Plant'!$E$7:$AD$91,MATCH($C1171,'Gross Gen Plant'!$D$7:$D$91,0),MATCH(Calculation!$G1171,'Gross Gen Plant'!$E$5:$AD$5,0))</f>
        <v>10873</v>
      </c>
      <c r="BY1171" s="113">
        <f t="shared" si="2067"/>
        <v>70531</v>
      </c>
      <c r="BZ1171" s="113"/>
      <c r="CA1171" s="116">
        <v>2016</v>
      </c>
      <c r="CB1171" s="113"/>
      <c r="CC1171" s="113"/>
      <c r="CD1171" s="113"/>
      <c r="CE1171" s="175"/>
      <c r="CF1171" s="113">
        <f t="shared" si="2103"/>
        <v>341</v>
      </c>
      <c r="CG1171" s="113">
        <f t="shared" si="2104"/>
        <v>0.50785129625445991</v>
      </c>
      <c r="CH1171" s="178">
        <v>0.88</v>
      </c>
      <c r="CI1171" s="61">
        <f>+CI1153*CH1171+CG1154*CH1170+CG1155*CH1169+CG1156*CH1168+CG1157*CH1167+CG1158*CH1166+CG1159*CH1165+CG1160*CH1164+CG1161*CH1163+CG1162*CH1162+CG1163*CH1161+CG1164*CH1160+CG1165*CH1159+CG1166*CH1158+CG1167*CH1157+CG1168*CH1156+CG1169*CH1155+CG1170*CH1154+CG1171</f>
        <v>219.08180093332956</v>
      </c>
      <c r="CJ1171" s="114">
        <f t="shared" si="2105"/>
        <v>-5.6263269604168963E-3</v>
      </c>
      <c r="CK1171" s="114"/>
      <c r="CL1171" s="169">
        <f t="shared" si="2106"/>
        <v>7.9156129525899399E-3</v>
      </c>
      <c r="CM1171" s="169">
        <f t="shared" si="2115"/>
        <v>8.1057579970283938E-3</v>
      </c>
      <c r="CN1171" s="114">
        <f>VLOOKUP($H1171,RoR!$E:$F,2,FALSE)</f>
        <v>3.6658333333333334E-2</v>
      </c>
      <c r="CO1171" s="169">
        <v>1.0483662879041455E-2</v>
      </c>
      <c r="CP1171" s="169">
        <f t="shared" si="2112"/>
        <v>2.6174670454291879E-2</v>
      </c>
      <c r="CQ1171" s="169">
        <f t="shared" si="2116"/>
        <v>2.2796183611505233E-2</v>
      </c>
      <c r="CR1171" s="169">
        <f t="shared" si="2117"/>
        <v>4.301363574220729E-3</v>
      </c>
      <c r="CS1171" s="179">
        <f t="shared" si="2107"/>
        <v>0.85329623209999994</v>
      </c>
      <c r="CT1171" s="180">
        <f t="shared" si="2108"/>
        <v>1.3989193348138562</v>
      </c>
      <c r="CU1171" s="180">
        <f t="shared" si="2109"/>
        <v>0.29302682427824522</v>
      </c>
      <c r="CV1171" s="180">
        <f t="shared" si="2110"/>
        <v>0.76309497491941802</v>
      </c>
      <c r="CW1171" s="180">
        <f t="shared" si="2111"/>
        <v>0.31280857135128509</v>
      </c>
      <c r="CX1171" s="181">
        <f>INDEX('State Tax Lookup'!$D$7:$Z$91,MATCH(Calculation!$C1171,'State Tax Lookup'!$B$7:$B$91,0),MATCH($H1171,'State Tax Lookup'!$D$6:$Z$6,0))</f>
        <v>0.39649667</v>
      </c>
      <c r="CY1171" s="72">
        <v>0.37</v>
      </c>
      <c r="CZ1171" s="70">
        <f t="shared" si="2114"/>
        <v>21.636054049243857</v>
      </c>
      <c r="DA1171" s="70">
        <v>19.909765876209278</v>
      </c>
      <c r="DB1171" s="69">
        <f t="shared" si="2118"/>
        <v>-3.0249206583062276E-3</v>
      </c>
      <c r="DC1171" s="111">
        <f>VLOOKUP($H1171,RoR!$E:$F,2,FALSE)</f>
        <v>3.6658333333333334E-2</v>
      </c>
      <c r="DD1171" s="216">
        <f>HLOOKUP($H1171,'GDP-PI'!$D$8:$CQ$11,3,FALSE)</f>
        <v>1.0483662879041455E-2</v>
      </c>
      <c r="DE1171" s="111">
        <f>VLOOKUP(H1171,'HW Dx Data'!$E:$F,2,FALSE)</f>
        <v>671.45639385971219</v>
      </c>
      <c r="DF1171" s="72">
        <f t="shared" si="2128"/>
        <v>136.94999999999999</v>
      </c>
      <c r="DG1171" s="69">
        <f t="shared" si="2129"/>
        <v>2.5514417868782811E-2</v>
      </c>
      <c r="DH1171" s="66">
        <f>HLOOKUP(H1171,'GDP-PI'!$8:$9,2,FALSE)</f>
        <v>105.736</v>
      </c>
      <c r="DI1171" s="69">
        <f t="shared" si="2119"/>
        <v>1.0429090367205095E-2</v>
      </c>
    </row>
    <row r="1172" spans="1:113" s="160" customFormat="1" ht="21">
      <c r="A1172" s="160" t="s">
        <v>229</v>
      </c>
      <c r="B1172" s="160" t="s">
        <v>229</v>
      </c>
      <c r="C1172" s="160">
        <v>4063183</v>
      </c>
      <c r="D1172" s="161" t="s">
        <v>171</v>
      </c>
      <c r="E1172" s="161" t="s">
        <v>3</v>
      </c>
      <c r="F1172" s="189"/>
      <c r="G1172" s="160" t="s">
        <v>135</v>
      </c>
      <c r="H1172" s="162">
        <v>2017</v>
      </c>
      <c r="I1172" s="163"/>
      <c r="J1172" s="159">
        <f>IFERROR(INDEX('Labor Expenditures'!$F$7:$X$91,MATCH($C1172,'Labor Expenditures'!$D$7:$D$91,0),MATCH($G1172,'Labor Expenditures'!$F$5:$X$5,0)),"NA")</f>
        <v>3451.6752516023721</v>
      </c>
      <c r="K1172" s="159">
        <f t="shared" si="2120"/>
        <v>24.575829488090939</v>
      </c>
      <c r="L1172" s="165">
        <f t="shared" si="2126"/>
        <v>0.1541043695923725</v>
      </c>
      <c r="M1172" s="76">
        <f t="shared" si="2130"/>
        <v>1.661260282099306E-4</v>
      </c>
      <c r="N1172" s="62">
        <f t="shared" si="2136"/>
        <v>170.5325671718881</v>
      </c>
      <c r="O1172" s="96">
        <f t="shared" si="2131"/>
        <v>-0.57773600663617519</v>
      </c>
      <c r="P1172" s="96"/>
      <c r="Q1172" s="159">
        <f>IFERROR(INDEX('Non-Labor Expenditures'!$F$7:$AB$91,MATCH($C1172,'Non-Labor Expenditures'!$D$7:$D$91,0),MATCH($G1172,'Non-Labor Expenditures'!$F$5:$AB$5,0)),"NA")</f>
        <v>4998.6704483298472</v>
      </c>
      <c r="R1172" s="159">
        <f t="shared" si="2121"/>
        <v>46.390942527956554</v>
      </c>
      <c r="S1172" s="165">
        <f t="shared" si="2132"/>
        <v>0.16046243920579284</v>
      </c>
      <c r="T1172" s="165">
        <f t="shared" si="2133"/>
        <v>1.729800898744614E-4</v>
      </c>
      <c r="U1172" s="165"/>
      <c r="V1172" s="165"/>
      <c r="W1172" s="159">
        <f t="shared" si="2100"/>
        <v>4314.120022089618</v>
      </c>
      <c r="X1172" s="163"/>
      <c r="Y1172" s="167">
        <v>217.74784679437997</v>
      </c>
      <c r="Z1172" s="168">
        <v>-6.1074530649159872E-3</v>
      </c>
      <c r="AA1172" s="76">
        <f t="shared" si="2122"/>
        <v>-6.583894556895672E-6</v>
      </c>
      <c r="AB1172" s="168"/>
      <c r="AC1172" s="168"/>
      <c r="AD1172" s="163">
        <f t="shared" si="2138"/>
        <v>12764.465722021836</v>
      </c>
      <c r="AE1172" s="168">
        <f t="shared" si="2134"/>
        <v>7.6044109047902764E-2</v>
      </c>
      <c r="AF1172" s="163"/>
      <c r="AG1172" s="163"/>
      <c r="AH1172" s="163"/>
      <c r="AI1172" s="163"/>
      <c r="AJ1172" s="116">
        <f t="shared" si="2135"/>
        <v>789.44064085730952</v>
      </c>
      <c r="AK1172" s="114">
        <f>+AV1172/$AX$22</f>
        <v>4.3667464198566863E-4</v>
      </c>
      <c r="AL1172" s="115">
        <f t="shared" si="2123"/>
        <v>0.27041282626090529</v>
      </c>
      <c r="AM1172" s="115">
        <f t="shared" si="2124"/>
        <v>0.39160827857494374</v>
      </c>
      <c r="AN1172" s="115">
        <f t="shared" si="2125"/>
        <v>0.33797889516415108</v>
      </c>
      <c r="AO1172" s="115">
        <f t="shared" si="2127"/>
        <v>9.7119311279497217E-2</v>
      </c>
      <c r="AP1172" s="166">
        <f t="shared" si="2139"/>
        <v>145.68263272717761</v>
      </c>
      <c r="AQ1172" s="168">
        <f t="shared" si="2140"/>
        <v>9.7119311279497147E-2</v>
      </c>
      <c r="AR1172" s="169">
        <f>+AD1172/$AF$22</f>
        <v>1.078009849100042E-3</v>
      </c>
      <c r="AS1172" s="169">
        <f t="shared" si="2137"/>
        <v>1.0469557409711072E-4</v>
      </c>
      <c r="AT1172" s="115"/>
      <c r="AU1172" s="115"/>
      <c r="AV1172" s="113">
        <f>IFERROR(INDEX('Total Customers'!$F$7:$AB$91,MATCH($C1172,'Total Customers'!$D$7:$D$91,0),MATCH($G1172,'Total Customers'!$F$5:$AB$5,0)),"NA")</f>
        <v>16169</v>
      </c>
      <c r="AW1172" s="68">
        <f t="shared" si="2113"/>
        <v>-1.2361705016912408E-3</v>
      </c>
      <c r="AX1172" s="114"/>
      <c r="AY1172" s="114"/>
      <c r="AZ1172" s="116">
        <v>8824403</v>
      </c>
      <c r="BA1172" s="116"/>
      <c r="BB1172" s="166"/>
      <c r="BC1172" s="166"/>
      <c r="BD1172" s="166"/>
      <c r="BE1172" s="166"/>
      <c r="BF1172" s="166"/>
      <c r="BG1172" s="166"/>
      <c r="BH1172" s="166"/>
      <c r="BI1172" s="113"/>
      <c r="BJ1172" s="113"/>
      <c r="BK1172" s="113"/>
      <c r="BL1172" s="113"/>
      <c r="BM1172" s="231">
        <f t="shared" si="2101"/>
        <v>0.88670690328198665</v>
      </c>
      <c r="BN1172" s="61">
        <f t="shared" si="2141"/>
        <v>0</v>
      </c>
      <c r="BO1172" s="113"/>
      <c r="BP1172" s="113"/>
      <c r="BQ1172" s="113"/>
      <c r="BR1172" s="113"/>
      <c r="BS1172" s="113"/>
      <c r="BT1172" s="113"/>
      <c r="BU1172" s="113"/>
      <c r="BV1172" s="175"/>
      <c r="BW1172" s="113">
        <f>INDEX('Gross Dx Plant'!$E$7:$AD$91,MATCH($C1172,'Gross Dx Plant'!$D$7:$D$91,0),MATCH(Calculation!$G1172,'Gross Dx Plant'!$E$5:$AD$5,0))</f>
        <v>88590</v>
      </c>
      <c r="BX1172" s="113">
        <f>INDEX('Gross Gen Plant'!$E$7:$AD$91,MATCH($C1172,'Gross Gen Plant'!$D$7:$D$91,0),MATCH(Calculation!$G1172,'Gross Gen Plant'!$E$5:$AD$5,0))</f>
        <v>11319</v>
      </c>
      <c r="BY1172" s="113">
        <f t="shared" si="2067"/>
        <v>99909</v>
      </c>
      <c r="BZ1172" s="113"/>
      <c r="CA1172" s="116">
        <v>2017</v>
      </c>
      <c r="CB1172" s="113"/>
      <c r="CC1172" s="113"/>
      <c r="CD1172" s="113"/>
      <c r="CE1172" s="175"/>
      <c r="CF1172" s="238">
        <v>341</v>
      </c>
      <c r="CG1172" s="113">
        <f t="shared" si="2104"/>
        <v>0.4786444673905641</v>
      </c>
      <c r="CH1172" s="178">
        <v>0.87074829931972786</v>
      </c>
      <c r="CI1172" s="61">
        <f>+CI1153*CH1172+CG1154*CH1171+CG1155*CH1170+CG1156*CH1169+CG1157*CH1168+CG1158*CH1167+CG1159*CH1166+CG1160*CH1165+CG1161*CH1164+CG1162*CH1163+CG1163*CH1162+CG1164*CH1161+CG1165*CH1160+CG1166*CH1159+CG1167*CH1158+CG1168*CH1157+CG1169*CH1156+CG1170*CH1155+CG1171*CH1154+CG1172</f>
        <v>217.74784679437997</v>
      </c>
      <c r="CJ1172" s="114">
        <f t="shared" si="2105"/>
        <v>-6.1074530649159872E-3</v>
      </c>
      <c r="CK1172" s="114"/>
      <c r="CL1172" s="169">
        <f t="shared" si="2106"/>
        <v>8.2736156021091089E-3</v>
      </c>
      <c r="CM1172" s="169">
        <f t="shared" si="2115"/>
        <v>8.1767361790125344E-3</v>
      </c>
      <c r="CN1172" s="114">
        <f>VLOOKUP($H1172,RoR!$E:$F,2,FALSE)</f>
        <v>3.7433333333333339E-2</v>
      </c>
      <c r="CO1172" s="169">
        <v>1.9056896421275615E-2</v>
      </c>
      <c r="CP1172" s="169">
        <f t="shared" si="2112"/>
        <v>1.8376436912057724E-2</v>
      </c>
      <c r="CQ1172" s="169">
        <f t="shared" si="2116"/>
        <v>2.2725205429521091E-2</v>
      </c>
      <c r="CR1172" s="169">
        <f t="shared" si="2117"/>
        <v>1.3976271617800498E-2</v>
      </c>
      <c r="CS1172" s="179">
        <f t="shared" si="2107"/>
        <v>0.90509623210000001</v>
      </c>
      <c r="CT1172" s="180">
        <f t="shared" si="2108"/>
        <v>1.3699568463593395</v>
      </c>
      <c r="CU1172" s="180">
        <f t="shared" si="2109"/>
        <v>0.30714603739982199</v>
      </c>
      <c r="CV1172" s="180">
        <f t="shared" si="2110"/>
        <v>0.77007188472689425</v>
      </c>
      <c r="CW1172" s="180">
        <f t="shared" si="2111"/>
        <v>0.32402839633793828</v>
      </c>
      <c r="CX1172" s="181">
        <f>INDEX('State Tax Lookup'!$D$7:$Z$91,MATCH(Calculation!$C1172,'State Tax Lookup'!$B$7:$B$91,0),MATCH($H1172,'State Tax Lookup'!$D$6:$Z$6,0))</f>
        <v>0.25649666999999998</v>
      </c>
      <c r="CY1172" s="72">
        <v>0.37</v>
      </c>
      <c r="CZ1172" s="70">
        <f t="shared" si="2114"/>
        <v>19.69182288857704</v>
      </c>
      <c r="DA1172" s="70">
        <v>18.231812616449311</v>
      </c>
      <c r="DB1172" s="69">
        <f t="shared" si="2118"/>
        <v>-9.4157624346813837E-2</v>
      </c>
      <c r="DC1172" s="111">
        <f>VLOOKUP($H1172,RoR!$E:$F,2,FALSE)</f>
        <v>3.7433333333333339E-2</v>
      </c>
      <c r="DD1172" s="216">
        <f>HLOOKUP($H1172,'GDP-PI'!$D$8:$CQ$11,3,FALSE)</f>
        <v>1.9056896421275615E-2</v>
      </c>
      <c r="DE1172" s="111">
        <f>VLOOKUP(H1172,'HW Dx Data'!$E:$F,2,FALSE)</f>
        <v>712.42858370229726</v>
      </c>
      <c r="DF1172" s="72">
        <f t="shared" si="2128"/>
        <v>140.44999999999999</v>
      </c>
      <c r="DG1172" s="69">
        <f t="shared" si="2129"/>
        <v>2.5235657841165486E-2</v>
      </c>
      <c r="DH1172" s="66">
        <f>HLOOKUP(H1172,'GDP-PI'!$8:$9,2,FALSE)</f>
        <v>107.751</v>
      </c>
      <c r="DI1172" s="69">
        <f t="shared" si="2119"/>
        <v>1.8877588227745139E-2</v>
      </c>
    </row>
    <row r="1173" spans="1:113" s="160" customFormat="1" ht="21">
      <c r="A1173" s="160" t="s">
        <v>229</v>
      </c>
      <c r="B1173" s="160" t="s">
        <v>229</v>
      </c>
      <c r="C1173" s="160">
        <v>4063183</v>
      </c>
      <c r="D1173" s="161" t="s">
        <v>171</v>
      </c>
      <c r="E1173" s="161" t="s">
        <v>3</v>
      </c>
      <c r="F1173" s="189"/>
      <c r="G1173" s="160" t="s">
        <v>136</v>
      </c>
      <c r="H1173" s="162">
        <v>2018</v>
      </c>
      <c r="I1173" s="163"/>
      <c r="J1173" s="159">
        <f>IFERROR(INDEX('Labor Expenditures'!$F$7:$X$91,MATCH($C1173,'Labor Expenditures'!$D$7:$D$91,0),MATCH($G1173,'Labor Expenditures'!$F$5:$X$5,0)),"NA")</f>
        <v>3450.2757797063036</v>
      </c>
      <c r="K1173" s="159">
        <f t="shared" si="2120"/>
        <v>23.885605951583965</v>
      </c>
      <c r="L1173" s="165">
        <f t="shared" si="2126"/>
        <v>-2.8487402728658826E-2</v>
      </c>
      <c r="M1173" s="76">
        <f t="shared" si="2130"/>
        <v>-2.8695330618118944E-5</v>
      </c>
      <c r="N1173" s="62">
        <f t="shared" si="2136"/>
        <v>117.2973650216953</v>
      </c>
      <c r="O1173" s="96">
        <f t="shared" si="2131"/>
        <v>-0.37421399646535708</v>
      </c>
      <c r="P1173" s="96"/>
      <c r="Q1173" s="159">
        <f>IFERROR(INDEX('Non-Labor Expenditures'!$F$7:$AB$91,MATCH($C1173,'Non-Labor Expenditures'!$D$7:$D$91,0),MATCH($G1173,'Non-Labor Expenditures'!$F$5:$AB$5,0)),"NA")</f>
        <v>4996.6437516390451</v>
      </c>
      <c r="R1173" s="159">
        <f t="shared" si="2121"/>
        <v>45.291453668706559</v>
      </c>
      <c r="S1173" s="165">
        <f t="shared" si="2132"/>
        <v>-2.3985882083175845E-2</v>
      </c>
      <c r="T1173" s="165">
        <f t="shared" si="2133"/>
        <v>-2.4160953636237319E-5</v>
      </c>
      <c r="U1173" s="165"/>
      <c r="V1173" s="165"/>
      <c r="W1173" s="159">
        <f t="shared" si="2100"/>
        <v>4517.588008514751</v>
      </c>
      <c r="X1173" s="163"/>
      <c r="Y1173" s="167">
        <v>214.63254437924178</v>
      </c>
      <c r="Z1173" s="168">
        <v>-1.4410257207265591E-2</v>
      </c>
      <c r="AA1173" s="76">
        <f t="shared" si="2122"/>
        <v>-1.4515436833369935E-5</v>
      </c>
      <c r="AB1173" s="168"/>
      <c r="AC1173" s="168"/>
      <c r="AD1173" s="163">
        <f t="shared" si="2138"/>
        <v>12964.5075398601</v>
      </c>
      <c r="AE1173" s="168">
        <f t="shared" si="2134"/>
        <v>1.5550239552457467E-2</v>
      </c>
      <c r="AF1173" s="163"/>
      <c r="AG1173" s="163"/>
      <c r="AH1173" s="163"/>
      <c r="AI1173" s="163"/>
      <c r="AJ1173" s="116">
        <f t="shared" si="2135"/>
        <v>801.81257590822554</v>
      </c>
      <c r="AK1173" s="114">
        <f>+AV1173/$AX$23</f>
        <v>4.3285029927680351E-4</v>
      </c>
      <c r="AL1173" s="115">
        <f t="shared" si="2123"/>
        <v>0.26613242108103519</v>
      </c>
      <c r="AM1173" s="115">
        <f t="shared" si="2124"/>
        <v>0.38540945240508256</v>
      </c>
      <c r="AN1173" s="115">
        <f t="shared" si="2125"/>
        <v>0.34845812651388225</v>
      </c>
      <c r="AO1173" s="115">
        <f t="shared" si="2127"/>
        <v>-2.1906985126985645E-2</v>
      </c>
      <c r="AP1173" s="166">
        <f t="shared" si="2139"/>
        <v>142.52586929101554</v>
      </c>
      <c r="AQ1173" s="168">
        <f t="shared" si="2140"/>
        <v>-2.1906985126985606E-2</v>
      </c>
      <c r="AR1173" s="169">
        <f>+AD1173/$AF$23</f>
        <v>1.0072989416213412E-3</v>
      </c>
      <c r="AS1173" s="169">
        <f t="shared" si="2137"/>
        <v>-2.2066882932527064E-5</v>
      </c>
      <c r="AT1173" s="115"/>
      <c r="AU1173" s="115"/>
      <c r="AV1173" s="113">
        <f>IFERROR(INDEX('Total Customers'!$F$7:$AB$91,MATCH($C1173,'Total Customers'!$D$7:$D$91,0),MATCH($G1173,'Total Customers'!$F$5:$AB$5,0)),"NA")</f>
        <v>16169</v>
      </c>
      <c r="AW1173" s="68">
        <f t="shared" si="2113"/>
        <v>0</v>
      </c>
      <c r="AX1173" s="114"/>
      <c r="AY1173" s="114"/>
      <c r="AZ1173" s="116">
        <v>8911356</v>
      </c>
      <c r="BA1173" s="116"/>
      <c r="BB1173" s="166"/>
      <c r="BC1173" s="166"/>
      <c r="BD1173" s="166"/>
      <c r="BE1173" s="166"/>
      <c r="BF1173" s="166"/>
      <c r="BG1173" s="166"/>
      <c r="BH1173" s="166"/>
      <c r="BI1173" s="113"/>
      <c r="BJ1173" s="113"/>
      <c r="BK1173" s="113">
        <f>INDEX('Dist. Plant Gas Additions'!$F$7:$AE$91,MATCH($C1173,'Dist. Plant Gas Additions'!$D$7:$D$91,0),MATCH(Calculation!$G1173,'Dist. Plant Gas Additions'!$F$5:$AE$5,0))</f>
        <v>-1827</v>
      </c>
      <c r="BL1173" s="113">
        <f>INDEX('Gen. Plant Additions'!$F$7:$AE$91,MATCH($C1173,'Gen. Plant Additions'!$D$7:$D$91,0),MATCH(Calculation!$G1173,'Gen. Plant Additions'!$F$5:$AE$5,0))</f>
        <v>898</v>
      </c>
      <c r="BM1173" s="231">
        <f t="shared" si="2101"/>
        <v>0.8795922744589364</v>
      </c>
      <c r="BN1173" s="61">
        <f t="shared" si="2141"/>
        <v>789.87386246412484</v>
      </c>
      <c r="BO1173" s="113">
        <f>INDEX('Dist Plant Depreciation'!$E$7:$AD$94,MATCH($C1173,'Dist Plant Depreciation'!$D$7:$D$94,0),MATCH(Calculation!$G1173,'Dist Plant Depreciation'!$E$5:$AD$5,0))</f>
        <v>25692</v>
      </c>
      <c r="BP1173" s="113">
        <f>INDEX('Gen. Plant Depreciation'!$E$7:$AD$94,MATCH($C1173,'Gen. Plant Depreciation'!$D$7:$D$94,0),MATCH(Calculation!$G1173,'Gen. Plant Depreciation'!$E$5:$AD$5,0))</f>
        <v>5439</v>
      </c>
      <c r="BQ1173" s="113"/>
      <c r="BR1173" s="113"/>
      <c r="BS1173" s="113"/>
      <c r="BT1173" s="113"/>
      <c r="BU1173" s="113"/>
      <c r="BV1173" s="175"/>
      <c r="BW1173" s="113">
        <f>INDEX('Gross Dx Plant'!$E$7:$AD$91,MATCH($C1173,'Gross Dx Plant'!$D$7:$D$91,0),MATCH(Calculation!$G1173,'Gross Dx Plant'!$E$5:$AD$5,0))</f>
        <v>86120</v>
      </c>
      <c r="BX1173" s="113">
        <f>INDEX('Gross Gen Plant'!$E$7:$AD$91,MATCH($C1173,'Gross Gen Plant'!$D$7:$D$91,0),MATCH(Calculation!$G1173,'Gross Gen Plant'!$E$5:$AD$5,0))</f>
        <v>11789</v>
      </c>
      <c r="BY1173" s="113">
        <f t="shared" si="2067"/>
        <v>66778</v>
      </c>
      <c r="BZ1173" s="113"/>
      <c r="CA1173" s="116">
        <v>2018</v>
      </c>
      <c r="CB1173" s="113"/>
      <c r="CC1173" s="113"/>
      <c r="CD1173" s="113"/>
      <c r="CE1173" s="175"/>
      <c r="CF1173" s="113">
        <f>+BL1173+BK1173</f>
        <v>-929</v>
      </c>
      <c r="CG1173" s="113">
        <f t="shared" si="2104"/>
        <v>-1.2302408058781884</v>
      </c>
      <c r="CH1173" s="178">
        <v>0.86111111111111116</v>
      </c>
      <c r="CI1173" s="61">
        <f>+CI1153*CH1173++CG1154*CH1172+CG1155*CH1171+CG1156*CH1170+CG1157*CH1169+CG1158*CH1168+CG1159*CH1167+CG1160*CH1166+CG1161*CH1165+CG1162*CH1164+CG1163*CH1163+CG1164*CH1162+CG1165*CH1161+CG1166*CH1160+CG1167*CH1159+CG1168*CH1158+CG1169*CH1157+CG1170*CH1156+CG1171*CH1155+CG1172*CH1154+CG1173</f>
        <v>214.63254437924178</v>
      </c>
      <c r="CJ1173" s="114">
        <f t="shared" si="2105"/>
        <v>-1.4410257207265591E-2</v>
      </c>
      <c r="CK1173" s="114"/>
      <c r="CL1173" s="169">
        <f t="shared" si="2106"/>
        <v>8.657084958640579E-3</v>
      </c>
      <c r="CM1173" s="169">
        <f t="shared" si="2115"/>
        <v>8.2821045044465438E-3</v>
      </c>
      <c r="CN1173" s="114">
        <f>VLOOKUP($H1173,RoR!$E:$F,2,FALSE)</f>
        <v>3.9299999999999995E-2</v>
      </c>
      <c r="CO1173" s="169">
        <v>2.386056741932796E-2</v>
      </c>
      <c r="CP1173" s="169">
        <f t="shared" si="2112"/>
        <v>1.5439432580672034E-2</v>
      </c>
      <c r="CQ1173" s="169">
        <f t="shared" si="2116"/>
        <v>2.2619837104087083E-2</v>
      </c>
      <c r="CR1173" s="169">
        <f t="shared" si="2117"/>
        <v>3.8270792163076606E-2</v>
      </c>
      <c r="CS1173" s="179">
        <f t="shared" si="2107"/>
        <v>0.90509623210000001</v>
      </c>
      <c r="CT1173" s="180">
        <f t="shared" si="2108"/>
        <v>1.3048868010700074</v>
      </c>
      <c r="CU1173" s="180">
        <f t="shared" si="2109"/>
        <v>0.33886768447837151</v>
      </c>
      <c r="CV1173" s="180">
        <f t="shared" si="2110"/>
        <v>0.78602506232557801</v>
      </c>
      <c r="CW1173" s="180">
        <f t="shared" si="2111"/>
        <v>0.34756768162358759</v>
      </c>
      <c r="CX1173" s="181">
        <f>INDEX('State Tax Lookup'!$D$7:$Z$91,MATCH(Calculation!$C1173,'State Tax Lookup'!$B$7:$B$91,0),MATCH($H1173,'State Tax Lookup'!$D$6:$Z$6,0))</f>
        <v>0.25649666999999998</v>
      </c>
      <c r="CY1173" s="72">
        <v>0.37</v>
      </c>
      <c r="CZ1173" s="70">
        <f t="shared" si="2114"/>
        <v>20.746877983049473</v>
      </c>
      <c r="DA1173" s="70">
        <v>19.050901628905343</v>
      </c>
      <c r="DB1173" s="69">
        <f t="shared" si="2118"/>
        <v>5.2192308932923821E-2</v>
      </c>
      <c r="DC1173" s="111">
        <f>VLOOKUP($H1173,RoR!$E:$F,2,FALSE)</f>
        <v>3.9299999999999995E-2</v>
      </c>
      <c r="DD1173" s="216">
        <f>HLOOKUP($H1173,'GDP-PI'!$D$8:$CQ$11,3,FALSE)</f>
        <v>2.386056741932796E-2</v>
      </c>
      <c r="DE1173" s="111">
        <f>VLOOKUP(H1173,'HW Dx Data'!$E:$F,2,FALSE)</f>
        <v>755.13671434174842</v>
      </c>
      <c r="DF1173" s="72">
        <f t="shared" si="2128"/>
        <v>144.44999999999999</v>
      </c>
      <c r="DG1173" s="69">
        <f t="shared" si="2129"/>
        <v>2.80818733619915E-2</v>
      </c>
      <c r="DH1173" s="66">
        <f>HLOOKUP(H1173,'GDP-PI'!$8:$9,2,FALSE)</f>
        <v>110.322</v>
      </c>
      <c r="DI1173" s="69">
        <f t="shared" si="2119"/>
        <v>2.3580352716508712E-2</v>
      </c>
    </row>
    <row r="1174" spans="1:113" s="160" customFormat="1" ht="21">
      <c r="A1174" s="160" t="s">
        <v>229</v>
      </c>
      <c r="B1174" s="160" t="s">
        <v>229</v>
      </c>
      <c r="C1174" s="160">
        <v>4063183</v>
      </c>
      <c r="D1174" s="161" t="s">
        <v>171</v>
      </c>
      <c r="E1174" s="161" t="s">
        <v>3</v>
      </c>
      <c r="F1174" s="189"/>
      <c r="G1174" s="160" t="s">
        <v>140</v>
      </c>
      <c r="H1174" s="162">
        <v>2019</v>
      </c>
      <c r="I1174" s="163"/>
      <c r="J1174" s="159">
        <f>IFERROR(INDEX('Labor Expenditures'!$F$7:$X$91,MATCH($C1174,'Labor Expenditures'!$D$7:$D$91,0),MATCH($G1174,'Labor Expenditures'!$F$5:$X$5,0)),"NA")</f>
        <v>4021.7937134548392</v>
      </c>
      <c r="K1174" s="159">
        <f t="shared" si="2120"/>
        <v>26.87017680611217</v>
      </c>
      <c r="L1174" s="165">
        <f t="shared" si="2126"/>
        <v>0.11774098659683623</v>
      </c>
      <c r="M1174" s="76">
        <f t="shared" si="2130"/>
        <v>1.271108699916696E-4</v>
      </c>
      <c r="N1174" s="62">
        <f t="shared" si="2136"/>
        <v>117.07516457824602</v>
      </c>
      <c r="O1174" s="96">
        <f t="shared" si="2131"/>
        <v>-1.8961310047887637E-3</v>
      </c>
      <c r="P1174" s="96"/>
      <c r="Q1174" s="159">
        <f>IFERROR(INDEX('Non-Labor Expenditures'!$F$7:$AB$91,MATCH($C1174,'Non-Labor Expenditures'!$D$7:$D$91,0),MATCH($G1174,'Non-Labor Expenditures'!$F$5:$AB$5,0)),"NA")</f>
        <v>5824.3084645326217</v>
      </c>
      <c r="R1174" s="159">
        <f t="shared" si="2121"/>
        <v>51.855521506193327</v>
      </c>
      <c r="S1174" s="165">
        <f t="shared" si="2132"/>
        <v>0.13534306504460616</v>
      </c>
      <c r="T1174" s="165">
        <f t="shared" si="2133"/>
        <v>1.461137301665968E-4</v>
      </c>
      <c r="U1174" s="165"/>
      <c r="V1174" s="165"/>
      <c r="W1174" s="159">
        <f t="shared" si="2100"/>
        <v>4479.2216740840549</v>
      </c>
      <c r="X1174" s="163"/>
      <c r="Y1174" s="167">
        <v>186.33540178330267</v>
      </c>
      <c r="Z1174" s="168">
        <v>-0.14137918481629266</v>
      </c>
      <c r="AA1174" s="76">
        <f t="shared" si="2122"/>
        <v>-1.5263020720428458E-4</v>
      </c>
      <c r="AB1174" s="168"/>
      <c r="AC1174" s="168"/>
      <c r="AD1174" s="163">
        <f t="shared" si="2138"/>
        <v>14325.323852071517</v>
      </c>
      <c r="AE1174" s="168">
        <f t="shared" si="2134"/>
        <v>9.9813435363821146E-2</v>
      </c>
      <c r="AF1174" s="163"/>
      <c r="AG1174" s="163"/>
      <c r="AH1174" s="163"/>
      <c r="AI1174" s="163"/>
      <c r="AJ1174" s="116">
        <f t="shared" si="2135"/>
        <v>869.41335510539034</v>
      </c>
      <c r="AK1174" s="114">
        <f>+AV1174/$AX$24</f>
        <v>4.3745778115583103E-4</v>
      </c>
      <c r="AL1174" s="115">
        <f t="shared" si="2123"/>
        <v>0.2807471408664361</v>
      </c>
      <c r="AM1174" s="115">
        <f t="shared" si="2124"/>
        <v>0.40657429630747205</v>
      </c>
      <c r="AN1174" s="115">
        <f t="shared" si="2125"/>
        <v>0.3126785628260918</v>
      </c>
      <c r="AO1174" s="115">
        <f t="shared" si="2127"/>
        <v>3.9054340499293565E-2</v>
      </c>
      <c r="AP1174" s="166">
        <f t="shared" si="2139"/>
        <v>148.20224521057108</v>
      </c>
      <c r="AQ1174" s="168">
        <f t="shared" si="2140"/>
        <v>3.9054340499293592E-2</v>
      </c>
      <c r="AR1174" s="169">
        <f>+AD1174/$AF$24</f>
        <v>1.0795804729148172E-3</v>
      </c>
      <c r="AS1174" s="169">
        <f t="shared" si="2137"/>
        <v>4.2162303385603675E-5</v>
      </c>
      <c r="AT1174" s="115"/>
      <c r="AU1174" s="115"/>
      <c r="AV1174" s="113">
        <f>IFERROR(INDEX('Total Customers'!$F$7:$AB$91,MATCH($C1174,'Total Customers'!$D$7:$D$91,0),MATCH($G1174,'Total Customers'!$F$5:$AB$5,0)),"NA")</f>
        <v>16477</v>
      </c>
      <c r="AW1174" s="68">
        <f t="shared" si="2113"/>
        <v>1.8869640317616881E-2</v>
      </c>
      <c r="AX1174" s="114"/>
      <c r="AY1174" s="114"/>
      <c r="AZ1174" s="116">
        <v>8963640</v>
      </c>
      <c r="BA1174" s="116"/>
      <c r="BB1174" s="166"/>
      <c r="BC1174" s="166"/>
      <c r="BD1174" s="166"/>
      <c r="BE1174" s="166"/>
      <c r="BF1174" s="166"/>
      <c r="BG1174" s="166"/>
      <c r="BH1174" s="166"/>
      <c r="BI1174" s="113"/>
      <c r="BJ1174" s="113"/>
      <c r="BK1174" s="113">
        <f>INDEX('Dist. Plant Gas Additions'!$F$7:$AE$91,MATCH($C1174,'Dist. Plant Gas Additions'!$D$7:$D$91,0),MATCH(Calculation!$G1174,'Dist. Plant Gas Additions'!$F$5:$AE$5,0))</f>
        <v>-21150</v>
      </c>
      <c r="BL1174" s="113">
        <f>INDEX('Gen. Plant Additions'!$F$7:$AE$91,MATCH($C1174,'Gen. Plant Additions'!$D$7:$D$91,0),MATCH(Calculation!$G1174,'Gen. Plant Additions'!$F$5:$AE$5,0))</f>
        <v>772</v>
      </c>
      <c r="BM1174" s="231">
        <f t="shared" si="2101"/>
        <v>0.84152046783625734</v>
      </c>
      <c r="BN1174" s="61">
        <f t="shared" si="2141"/>
        <v>649.65380116959068</v>
      </c>
      <c r="BO1174" s="113">
        <f>INDEX('Dist Plant Depreciation'!$E$7:$AD$94,MATCH($C1174,'Dist Plant Depreciation'!$D$7:$D$94,0),MATCH(Calculation!$G1174,'Dist Plant Depreciation'!$E$5:$AD$5,0))</f>
        <v>26977</v>
      </c>
      <c r="BP1174" s="113">
        <f>INDEX('Gen. Plant Depreciation'!$E$7:$AD$94,MATCH($C1174,'Gen. Plant Depreciation'!$D$7:$D$94,0),MATCH(Calculation!$G1174,'Gen. Plant Depreciation'!$E$5:$AD$5,0))</f>
        <v>5829</v>
      </c>
      <c r="BQ1174" s="113"/>
      <c r="BR1174" s="113"/>
      <c r="BS1174" s="113"/>
      <c r="BT1174" s="113"/>
      <c r="BU1174" s="113"/>
      <c r="BV1174" s="175"/>
      <c r="BW1174" s="113">
        <f>INDEX('Gross Dx Plant'!$E$7:$AD$91,MATCH($C1174,'Gross Dx Plant'!$D$7:$D$91,0),MATCH(Calculation!$G1174,'Gross Dx Plant'!$E$5:$AD$5,0))</f>
        <v>64755</v>
      </c>
      <c r="BX1174" s="113">
        <f>INDEX('Gross Gen Plant'!$E$7:$AD$91,MATCH($C1174,'Gross Gen Plant'!$D$7:$D$91,0),MATCH(Calculation!$G1174,'Gross Gen Plant'!$E$5:$AD$5,0))</f>
        <v>12195</v>
      </c>
      <c r="BY1174" s="113">
        <f t="shared" si="2067"/>
        <v>44144</v>
      </c>
      <c r="BZ1174" s="113"/>
      <c r="CA1174" s="116">
        <v>2019</v>
      </c>
      <c r="CB1174" s="113"/>
      <c r="CC1174" s="113"/>
      <c r="CD1174" s="113"/>
      <c r="CE1174" s="175"/>
      <c r="CF1174" s="113">
        <f>+BL1174+BK1174</f>
        <v>-20378</v>
      </c>
      <c r="CG1174" s="113">
        <f t="shared" si="2104"/>
        <v>-26.343845819190395</v>
      </c>
      <c r="CH1174" s="178">
        <v>0.85106382978723405</v>
      </c>
      <c r="CI1174" s="61">
        <f>CI1153*CH1174+CG1154*CH1173+CG1155*CH1172+CG1156*CH1171+CG1157*CH1170+CG1158*CH1169+CG1159*CH1168+CG1160*CH1167+CG1161*CH1166+CG1162*CH1165+CG1163*CH1164+CG1164*CH1163+CG1165*CH1162+CG1166*CH1161+CG1167*CH1160+CG1168*CH1159+CG1169*CH1158+CG1170*CH1157+CG1171*CH1156+CG1172*CH1155+CG1173*CH1154+CG1174</f>
        <v>186.33540178330267</v>
      </c>
      <c r="CJ1174" s="114">
        <f t="shared" si="2105"/>
        <v>-0.14137918481629266</v>
      </c>
      <c r="CK1174" s="114"/>
      <c r="CL1174" s="169">
        <f t="shared" si="2106"/>
        <v>9.1006551797539279E-3</v>
      </c>
      <c r="CM1174" s="169">
        <f t="shared" si="2115"/>
        <v>8.6771185801678714E-3</v>
      </c>
      <c r="CN1174" s="114">
        <f>VLOOKUP($H1174,RoR!$E:$F,2,FALSE)</f>
        <v>3.3875000000000009E-2</v>
      </c>
      <c r="CO1174" s="169">
        <v>1.8092492884465461E-2</v>
      </c>
      <c r="CP1174" s="169">
        <f t="shared" si="2112"/>
        <v>1.5782507115534548E-2</v>
      </c>
      <c r="CQ1174" s="169">
        <f t="shared" si="2116"/>
        <v>2.2224823028365752E-2</v>
      </c>
      <c r="CR1174" s="169">
        <f t="shared" si="2117"/>
        <v>4.8445665544254078E-2</v>
      </c>
      <c r="CS1174" s="179">
        <f t="shared" si="2107"/>
        <v>0.90509623210000001</v>
      </c>
      <c r="CT1174" s="180">
        <f t="shared" si="2108"/>
        <v>1.513861292459078</v>
      </c>
      <c r="CU1174" s="180">
        <f t="shared" si="2109"/>
        <v>0.23699261992619944</v>
      </c>
      <c r="CV1174" s="180">
        <f t="shared" si="2110"/>
        <v>0.73619765810468829</v>
      </c>
      <c r="CW1174" s="180">
        <f t="shared" si="2111"/>
        <v>0.26412854465362851</v>
      </c>
      <c r="CX1174" s="181">
        <f>INDEX('State Tax Lookup'!$D$7:$Z$91,MATCH(Calculation!$C1174,'State Tax Lookup'!$B$7:$B$91,0),MATCH($H1174,'State Tax Lookup'!$D$6:$Z$6,0))</f>
        <v>0.25649666999999998</v>
      </c>
      <c r="CY1174" s="72">
        <v>0.37</v>
      </c>
      <c r="CZ1174" s="70">
        <f t="shared" si="2114"/>
        <v>20.86925674314125</v>
      </c>
      <c r="DA1174" s="70">
        <v>19.236104090735289</v>
      </c>
      <c r="DB1174" s="69">
        <f t="shared" si="2118"/>
        <v>5.8813300972796849E-3</v>
      </c>
      <c r="DC1174" s="111">
        <f>VLOOKUP($H1174,RoR!$E:$F,2,FALSE)</f>
        <v>3.3875000000000009E-2</v>
      </c>
      <c r="DD1174" s="216">
        <f>HLOOKUP($H1174,'GDP-PI'!$D$8:$CQ$11,3,FALSE)</f>
        <v>1.8092492884465461E-2</v>
      </c>
      <c r="DE1174" s="111">
        <f>VLOOKUP(H1174,'HW Dx Data'!$E:$F,2,FALSE)</f>
        <v>773.53929793938721</v>
      </c>
      <c r="DF1174" s="72">
        <f t="shared" si="2128"/>
        <v>149.67500000000001</v>
      </c>
      <c r="DG1174" s="69">
        <f t="shared" si="2129"/>
        <v>3.5532849899171604E-2</v>
      </c>
      <c r="DH1174" s="66">
        <f>HLOOKUP(H1174,'GDP-PI'!$8:$9,2,FALSE)</f>
        <v>112.318</v>
      </c>
      <c r="DI1174" s="69">
        <f t="shared" si="2119"/>
        <v>1.7930771451401852E-2</v>
      </c>
    </row>
    <row r="1175" spans="1:113" s="160" customFormat="1" ht="21">
      <c r="A1175" s="160" t="s">
        <v>229</v>
      </c>
      <c r="B1175" s="160" t="s">
        <v>229</v>
      </c>
      <c r="C1175" s="160">
        <v>4063183</v>
      </c>
      <c r="D1175" s="160" t="s">
        <v>171</v>
      </c>
      <c r="E1175" s="160" t="s">
        <v>3</v>
      </c>
      <c r="G1175" s="161" t="s">
        <v>141</v>
      </c>
      <c r="H1175" s="162">
        <v>2020</v>
      </c>
      <c r="I1175" s="163"/>
      <c r="J1175" s="159">
        <f>IFERROR(INDEX('Labor Expenditures'!$F$7:$X$91,MATCH($C1175,'Labor Expenditures'!$D$7:$D$91,0),MATCH($G1175,'Labor Expenditures'!$F$5:$X$5,0)),"NA")</f>
        <v>3625.2895969231431</v>
      </c>
      <c r="K1175" s="159">
        <f t="shared" si="2120"/>
        <v>23.671495898943146</v>
      </c>
      <c r="L1175" s="165">
        <f t="shared" si="2126"/>
        <v>-0.12674538303659433</v>
      </c>
      <c r="M1175" s="76">
        <f t="shared" si="2130"/>
        <v>-1.1904187105358721E-4</v>
      </c>
      <c r="N1175" s="62">
        <f t="shared" si="2136"/>
        <v>115.83921276581198</v>
      </c>
      <c r="O1175" s="96">
        <f t="shared" si="2131"/>
        <v>-1.061302808009831E-2</v>
      </c>
      <c r="P1175" s="96"/>
      <c r="Q1175" s="159">
        <f>IFERROR(INDEX('Non-Labor Expenditures'!$F$7:$AB$91,MATCH($C1175,'Non-Labor Expenditures'!$D$7:$D$91,0),MATCH($G1175,'Non-Labor Expenditures'!$F$5:$AB$5,0)),"NA")</f>
        <v>5250.0964470411091</v>
      </c>
      <c r="R1175" s="159">
        <f t="shared" si="2121"/>
        <v>46.206282592794672</v>
      </c>
      <c r="S1175" s="165">
        <f t="shared" si="2132"/>
        <v>-0.11534564330061853</v>
      </c>
      <c r="T1175" s="165">
        <f t="shared" si="2133"/>
        <v>-1.0833500098714325E-4</v>
      </c>
      <c r="U1175" s="165"/>
      <c r="V1175" s="165"/>
      <c r="W1175" s="159">
        <f t="shared" si="2100"/>
        <v>3970.2284156737769</v>
      </c>
      <c r="X1175" s="163"/>
      <c r="Y1175" s="167">
        <v>188.14748743782408</v>
      </c>
      <c r="Z1175" s="168">
        <v>9.6778776824520581E-3</v>
      </c>
      <c r="AA1175" s="76">
        <f t="shared" si="2122"/>
        <v>9.0896618049922766E-6</v>
      </c>
      <c r="AB1175" s="168"/>
      <c r="AC1175" s="168"/>
      <c r="AD1175" s="163">
        <f t="shared" si="2138"/>
        <v>12845.614459638029</v>
      </c>
      <c r="AE1175" s="168">
        <f t="shared" si="2134"/>
        <v>-0.1090264039179091</v>
      </c>
      <c r="AF1175" s="163"/>
      <c r="AG1175" s="163"/>
      <c r="AH1175" s="163"/>
      <c r="AI1175" s="163"/>
      <c r="AJ1175" s="116">
        <f t="shared" si="2135"/>
        <v>781.22085140412514</v>
      </c>
      <c r="AK1175" s="114">
        <f>+AV1175/$AX$25</f>
        <v>4.3347233112340562E-4</v>
      </c>
      <c r="AL1175" s="115">
        <f t="shared" si="2123"/>
        <v>0.28222002211837349</v>
      </c>
      <c r="AM1175" s="115">
        <f t="shared" si="2124"/>
        <v>0.40870730345654865</v>
      </c>
      <c r="AN1175" s="115">
        <f t="shared" si="2125"/>
        <v>0.30907267442507785</v>
      </c>
      <c r="AO1175" s="115">
        <f t="shared" si="2127"/>
        <v>-7.9687718441221425E-2</v>
      </c>
      <c r="AP1175" s="166">
        <f t="shared" si="2139"/>
        <v>136.85064438549995</v>
      </c>
      <c r="AQ1175" s="168">
        <f t="shared" si="2140"/>
        <v>-7.9687718441221439E-2</v>
      </c>
      <c r="AR1175" s="169">
        <f>+AD1175/$AF$25</f>
        <v>9.3922057120784485E-4</v>
      </c>
      <c r="AS1175" s="169">
        <f t="shared" si="2137"/>
        <v>-7.4844344432613917E-5</v>
      </c>
      <c r="AT1175" s="115"/>
      <c r="AU1175" s="115"/>
      <c r="AV1175" s="113">
        <f>IFERROR(INDEX('Total Customers'!$F$7:$AB$91,MATCH($C1175,'Total Customers'!$D$7:$D$91,0),MATCH($G1175,'Total Customers'!$F$5:$AB$5,0)),"NA")</f>
        <v>16443</v>
      </c>
      <c r="AW1175" s="68">
        <f t="shared" si="2113"/>
        <v>-2.0656143432053777E-3</v>
      </c>
      <c r="AX1175" s="114"/>
      <c r="AY1175" s="114"/>
      <c r="AZ1175" s="116">
        <v>9060252</v>
      </c>
      <c r="BA1175" s="116"/>
      <c r="BB1175" s="166"/>
      <c r="BC1175" s="166"/>
      <c r="BD1175" s="166"/>
      <c r="BE1175" s="166"/>
      <c r="BF1175" s="166"/>
      <c r="BG1175" s="166"/>
      <c r="BH1175" s="166"/>
      <c r="BI1175" s="113"/>
      <c r="BJ1175" s="113"/>
      <c r="BK1175" s="113">
        <f>INDEX('Dist. Plant Gas Additions'!$F$7:$AE$91,MATCH($C1175,'Dist. Plant Gas Additions'!$D$7:$D$91,0),MATCH(Calculation!$G1175,'Dist. Plant Gas Additions'!$F$5:$AE$5,0))</f>
        <v>32</v>
      </c>
      <c r="BL1175" s="113">
        <f>INDEX('Gen. Plant Additions'!$F$7:$AE$91,MATCH($C1175,'Gen. Plant Additions'!$D$7:$D$91,0),MATCH(Calculation!$G1175,'Gen. Plant Additions'!$F$5:$AE$5,0))</f>
        <v>2987</v>
      </c>
      <c r="BM1175" s="231">
        <f t="shared" si="2101"/>
        <v>0.81002740891853664</v>
      </c>
      <c r="BN1175" s="61">
        <f t="shared" si="2141"/>
        <v>2419.5518704396691</v>
      </c>
      <c r="BO1175" s="113">
        <f>INDEX('Dist Plant Depreciation'!$E$7:$AD$94,MATCH($C1175,'Dist Plant Depreciation'!$D$7:$D$94,0),MATCH(Calculation!$G1175,'Dist Plant Depreciation'!$E$5:$AD$5,0))</f>
        <v>28377</v>
      </c>
      <c r="BP1175" s="113">
        <f>INDEX('Gen. Plant Depreciation'!$E$7:$AD$94,MATCH($C1175,'Gen. Plant Depreciation'!$D$7:$D$94,0),MATCH(Calculation!$G1175,'Gen. Plant Depreciation'!$E$5:$AD$5,0))</f>
        <v>6497</v>
      </c>
      <c r="BQ1175" s="113"/>
      <c r="BR1175" s="113"/>
      <c r="BS1175" s="113"/>
      <c r="BT1175" s="113"/>
      <c r="BU1175" s="113"/>
      <c r="BV1175" s="175"/>
      <c r="BW1175" s="113">
        <f>INDEX('Gross Dx Plant'!$E$7:$AD$91,MATCH($C1175,'Gross Dx Plant'!$D$7:$D$91,0),MATCH(Calculation!$G1175,'Gross Dx Plant'!$E$5:$AD$5,0))</f>
        <v>64722</v>
      </c>
      <c r="BX1175" s="113">
        <f>INDEX('Gross Gen Plant'!$E$7:$AD$91,MATCH($C1175,'Gross Gen Plant'!$D$7:$D$91,0),MATCH(Calculation!$G1175,'Gross Gen Plant'!$E$5:$AD$5,0))</f>
        <v>15179</v>
      </c>
      <c r="BY1175" s="113">
        <f t="shared" si="2067"/>
        <v>45027</v>
      </c>
      <c r="BZ1175" s="113"/>
      <c r="CA1175" s="116">
        <v>2020</v>
      </c>
      <c r="CB1175" s="113"/>
      <c r="CC1175" s="113"/>
      <c r="CD1175" s="113"/>
      <c r="CE1175" s="175"/>
      <c r="CF1175" s="113">
        <f>+BL1175+BK1175</f>
        <v>3019</v>
      </c>
      <c r="CG1175" s="113">
        <f t="shared" si="2104"/>
        <v>3.7130410252173074</v>
      </c>
      <c r="CH1175" s="178">
        <v>0.84057971014492749</v>
      </c>
      <c r="CI1175" s="61">
        <f>CI1153*CH1175+CG1154*CH1174+CG1155*CH1173+CG1156*CH1172+CG1157*CH1171+CG1158*CH1170+CG1159*CH1169+CG1160*CH1168+CG1161*CH1167+CG1162*CH1166+CG1163*CH1165+CG1164*CH1164+CG1165*CH1163+CG1166*CH1162+CG1167*CH1161+CG1168*CH1160+CG1169*CH1159+CG1170*CH1158+CG1171*CH1157+CG1172*CH1156+CG1173*CH1155+CG1174*CH1154+CG1175</f>
        <v>188.14748743782408</v>
      </c>
      <c r="CJ1175" s="114">
        <f t="shared" si="2105"/>
        <v>9.6778776824520581E-3</v>
      </c>
      <c r="CK1175" s="114"/>
      <c r="CL1175" s="169">
        <f t="shared" si="2106"/>
        <v>1.0201793929135365E-2</v>
      </c>
      <c r="CM1175" s="169">
        <f t="shared" si="2115"/>
        <v>9.3198446891766245E-3</v>
      </c>
      <c r="CN1175" s="114">
        <f>VLOOKUP($H1175,RoR!$E:$F,2,FALSE)</f>
        <v>2.4766666666666666E-2</v>
      </c>
      <c r="CO1175" s="169">
        <v>1.1618796630994188E-2</v>
      </c>
      <c r="CP1175" s="169">
        <f t="shared" si="2112"/>
        <v>1.3147870035672478E-2</v>
      </c>
      <c r="CQ1175" s="169">
        <f t="shared" si="2116"/>
        <v>2.1582096919357002E-2</v>
      </c>
      <c r="CR1175" s="169">
        <f t="shared" si="2117"/>
        <v>4.5144642961987357E-2</v>
      </c>
      <c r="CS1175" s="179">
        <f t="shared" si="2107"/>
        <v>0.90509623210000001</v>
      </c>
      <c r="CT1175" s="180">
        <f t="shared" si="2108"/>
        <v>2.0706077233668081</v>
      </c>
      <c r="CU1175" s="180">
        <f t="shared" si="2109"/>
        <v>-3.4421265141318998E-2</v>
      </c>
      <c r="CV1175" s="180">
        <f t="shared" si="2110"/>
        <v>0.62416226176410472</v>
      </c>
      <c r="CW1175" s="180">
        <f t="shared" si="2111"/>
        <v>-4.4485877841158712E-2</v>
      </c>
      <c r="CX1175" s="181">
        <f>INDEX('State Tax Lookup'!$D$7:$Z$91,MATCH(Calculation!$C1175,'State Tax Lookup'!$B$7:$B$91,0),MATCH($H1175,'State Tax Lookup'!$D$6:$Z$6,0))</f>
        <v>0.25649666999999998</v>
      </c>
      <c r="CY1175" s="72">
        <v>0.37</v>
      </c>
      <c r="CZ1175" s="70">
        <f t="shared" si="2114"/>
        <v>21.306892719671829</v>
      </c>
      <c r="DA1175" s="70">
        <v>19.952659173050833</v>
      </c>
      <c r="DB1175" s="69">
        <f t="shared" si="2118"/>
        <v>2.0753515424385825E-2</v>
      </c>
      <c r="DC1175" s="111">
        <f>VLOOKUP($H1175,RoR!$E:$F,2,FALSE)</f>
        <v>2.4766666666666666E-2</v>
      </c>
      <c r="DD1175" s="216">
        <f>HLOOKUP($H1175,'GDP-PI'!$D$8:$CQ$11,3,FALSE)</f>
        <v>1.1618796630994188E-2</v>
      </c>
      <c r="DE1175" s="111">
        <f>VLOOKUP(H1175,'HW Dx Data'!$E:$F,2,FALSE)</f>
        <v>813.080162458833</v>
      </c>
      <c r="DF1175" s="72">
        <f t="shared" si="2128"/>
        <v>153.15</v>
      </c>
      <c r="DG1175" s="69">
        <f t="shared" si="2129"/>
        <v>2.2951556467368479E-2</v>
      </c>
      <c r="DH1175" s="66">
        <f>HLOOKUP(H1175,'GDP-PI'!$8:$9,2,FALSE)</f>
        <v>113.623</v>
      </c>
      <c r="DI1175" s="69">
        <f t="shared" si="2119"/>
        <v>1.1551816731392881E-2</v>
      </c>
    </row>
    <row r="1176" spans="1:113" s="160" customFormat="1" ht="21">
      <c r="A1176" s="160" t="s">
        <v>229</v>
      </c>
      <c r="B1176" s="160" t="s">
        <v>229</v>
      </c>
      <c r="C1176" s="160">
        <v>4063183</v>
      </c>
      <c r="D1176" s="160" t="s">
        <v>171</v>
      </c>
      <c r="E1176" s="160" t="s">
        <v>3</v>
      </c>
      <c r="G1176" s="161" t="s">
        <v>142</v>
      </c>
      <c r="H1176" s="162">
        <v>2021</v>
      </c>
      <c r="I1176" s="163"/>
      <c r="J1176" s="159">
        <v>3578.194154465094</v>
      </c>
      <c r="K1176" s="159">
        <f t="shared" si="2120"/>
        <v>22.754811793100757</v>
      </c>
      <c r="L1176" s="164">
        <f t="shared" si="2126"/>
        <v>-3.9494989203965006E-2</v>
      </c>
      <c r="M1176" s="76">
        <f t="shared" si="2130"/>
        <v>-3.2559221435909571E-5</v>
      </c>
      <c r="N1176" s="166">
        <f>+N1175*EXP(O1176)</f>
        <v>116.90511271292932</v>
      </c>
      <c r="O1176" s="114">
        <f t="shared" si="2131"/>
        <v>9.1594705646847532E-3</v>
      </c>
      <c r="P1176" s="114"/>
      <c r="Q1176" s="159">
        <v>5043.9604346074211</v>
      </c>
      <c r="R1176" s="159">
        <f t="shared" si="2121"/>
        <v>42.568659250632301</v>
      </c>
      <c r="S1176" s="165">
        <f t="shared" si="2132"/>
        <v>-8.1997491524817487E-2</v>
      </c>
      <c r="T1176" s="165">
        <f t="shared" si="2133"/>
        <v>-6.7597802596123388E-5</v>
      </c>
      <c r="U1176" s="165"/>
      <c r="V1176" s="165"/>
      <c r="W1176" s="159">
        <f t="shared" si="2100"/>
        <v>4009.4229573000312</v>
      </c>
      <c r="X1176" s="163"/>
      <c r="Y1176" s="167">
        <v>168.20221206085887</v>
      </c>
      <c r="Z1176" s="168"/>
      <c r="AA1176" s="76">
        <f t="shared" si="2122"/>
        <v>0</v>
      </c>
      <c r="AB1176" s="168"/>
      <c r="AC1176" s="168"/>
      <c r="AD1176" s="163">
        <f t="shared" si="2138"/>
        <v>12631.577546372548</v>
      </c>
      <c r="AE1176" s="168">
        <f t="shared" si="2134"/>
        <v>-1.6802632638429058E-2</v>
      </c>
      <c r="AF1176" s="113"/>
      <c r="AG1176" s="114"/>
      <c r="AH1176" s="114"/>
      <c r="AI1176" s="114"/>
      <c r="AJ1176" s="116">
        <f t="shared" si="2135"/>
        <v>757.74310416152059</v>
      </c>
      <c r="AK1176" s="114">
        <f>+AV1176/$AX$26</f>
        <v>4.317950837020955E-4</v>
      </c>
      <c r="AL1176" s="115">
        <f t="shared" si="2123"/>
        <v>0.2832737353136589</v>
      </c>
      <c r="AM1176" s="115">
        <f t="shared" si="2124"/>
        <v>0.39931357869515771</v>
      </c>
      <c r="AN1176" s="115">
        <f t="shared" si="2125"/>
        <v>0.31741268599118333</v>
      </c>
      <c r="AO1176" s="115">
        <f t="shared" si="2127"/>
        <v>-4.4294927640398905E-2</v>
      </c>
      <c r="AP1176" s="166">
        <f t="shared" si="2139"/>
        <v>130.92114776777933</v>
      </c>
      <c r="AQ1176" s="168">
        <f t="shared" si="2140"/>
        <v>-4.4294927640399072E-2</v>
      </c>
      <c r="AR1176" s="169">
        <f>+AD1176/$AF$26</f>
        <v>8.2438866530037849E-4</v>
      </c>
      <c r="AS1176" s="169">
        <f t="shared" si="2137"/>
        <v>-3.6516236277045435E-5</v>
      </c>
      <c r="AT1176" s="115"/>
      <c r="AU1176" s="115"/>
      <c r="AV1176" s="113">
        <f>INDEX('Total Customers'!$E$7:$E$91,MATCH(Calculation!$C1176,'Total Customers'!$D$7:$D$91,0))</f>
        <v>16670</v>
      </c>
      <c r="AW1176" s="68">
        <f t="shared" si="2113"/>
        <v>1.3710842030613665E-2</v>
      </c>
      <c r="AX1176" s="113"/>
      <c r="AY1176" s="113"/>
      <c r="AZ1176" s="116"/>
      <c r="BA1176" s="116"/>
      <c r="BB1176" s="166"/>
      <c r="BC1176" s="166"/>
      <c r="BD1176" s="166"/>
      <c r="BE1176" s="166"/>
      <c r="BF1176" s="166"/>
      <c r="BG1176" s="166"/>
      <c r="BH1176" s="166"/>
      <c r="BI1176" s="113"/>
      <c r="BJ1176" s="113"/>
      <c r="BK1176" s="113">
        <f>INDEX('Dist. Plant Gas Additions'!$E$7:$AE$91,MATCH($C1176,'Dist. Plant Gas Additions'!$D$7:$D$91,0),MATCH(Calculation!$G1176,'Dist. Plant Gas Additions'!$E$5:$AE$5,0))</f>
        <v>-105</v>
      </c>
      <c r="BL1176" s="113">
        <f>INDEX('Gen. Plant Additions'!$E$7:$AE$91,MATCH($C1176,'Gen. Plant Additions'!$D$7:$D$91,0),MATCH(Calculation!$G1176,'Gen. Plant Additions'!$E$5:$AE$5,0))</f>
        <v>586</v>
      </c>
      <c r="BM1176" s="232"/>
      <c r="BN1176" s="61">
        <f t="shared" si="2141"/>
        <v>0</v>
      </c>
      <c r="BO1176" s="113"/>
      <c r="BP1176" s="113"/>
      <c r="BQ1176" s="175"/>
      <c r="BR1176" s="175"/>
      <c r="BS1176" s="170"/>
      <c r="BT1176" s="176"/>
      <c r="BU1176" s="177"/>
      <c r="BV1176" s="177"/>
      <c r="BW1176" s="113"/>
      <c r="BX1176" s="113"/>
      <c r="BY1176" s="113"/>
      <c r="BZ1176" s="113"/>
      <c r="CA1176" s="116">
        <v>2021</v>
      </c>
      <c r="CB1176" s="113"/>
      <c r="CC1176" s="113"/>
      <c r="CD1176" s="113"/>
      <c r="CE1176" s="175"/>
      <c r="CF1176" s="113">
        <f t="shared" ref="CF1176" si="2142">+BL1176+BK1176</f>
        <v>481</v>
      </c>
      <c r="CG1176" s="113">
        <f t="shared" si="2104"/>
        <v>0.51552883280290884</v>
      </c>
      <c r="CH1176" s="178">
        <f>+(51-23)/(51-23*0.75)</f>
        <v>0.82962962962962961</v>
      </c>
      <c r="CI1176" s="113">
        <f>CI1153*CH1176+CG1154*CH1175+CG1155*CH1174+CG1156*CH1173+CG1157*CH1172+CG1158*CH1171+CG1159*CH1170+CG1160*CH1169+CG1161*CH1168+CG1162*CH1167+CG1163*CH1166+CG1164*CH1165+CG1165*CH1164+CG1166*CH1163+CG1167*CH1162+CG1158*CH1161+CG1169*CH1160+CG1170*CH1159+CG1171*CH1158+CG1172*CH1157+CG1173*CH1156+CG1174*CH1155+CG1176+CG1175*CH1154</f>
        <v>168.20221206085887</v>
      </c>
      <c r="CJ1176" s="114"/>
      <c r="CK1176" s="113"/>
      <c r="CL1176" s="169">
        <f t="shared" si="2106"/>
        <v>0.10874875071892562</v>
      </c>
      <c r="CM1176" s="169">
        <f t="shared" si="2115"/>
        <v>4.2683733275938301E-2</v>
      </c>
      <c r="CN1176" s="114">
        <f>VLOOKUP($H1176,RoR!$E:$F,2,FALSE)</f>
        <v>2.7033333333333336E-2</v>
      </c>
      <c r="CO1176" s="169"/>
      <c r="CP1176" s="169"/>
      <c r="CQ1176" s="169">
        <f t="shared" si="2116"/>
        <v>-1.1781791667404676E-2</v>
      </c>
      <c r="CR1176" s="169">
        <f t="shared" si="2117"/>
        <v>7.433422950153494E-2</v>
      </c>
      <c r="CS1176" s="179">
        <f t="shared" si="2107"/>
        <v>0.90509623210000001</v>
      </c>
      <c r="CT1176" s="180">
        <f t="shared" si="2108"/>
        <v>1.8969932656739068</v>
      </c>
      <c r="CU1176" s="180">
        <f t="shared" si="2109"/>
        <v>5.0215782983970621E-2</v>
      </c>
      <c r="CV1176" s="180">
        <f t="shared" si="2110"/>
        <v>0.655952481704143</v>
      </c>
      <c r="CW1176" s="180">
        <f t="shared" si="2111"/>
        <v>6.2485378865697057E-2</v>
      </c>
      <c r="CX1176" s="181">
        <f>CX1175</f>
        <v>0.25649666999999998</v>
      </c>
      <c r="CY1176" s="72">
        <v>0.37</v>
      </c>
      <c r="CZ1176" s="220">
        <v>21.31</v>
      </c>
      <c r="DA1176" s="182"/>
      <c r="DB1176" s="169">
        <f>LN(CZ1177/CZ1175)</f>
        <v>0.32939418548689614</v>
      </c>
      <c r="DC1176" s="181">
        <f>VLOOKUP($H1176,RoR!$E:$F,2,FALSE)</f>
        <v>2.7033333333333336E-2</v>
      </c>
      <c r="DD1176" s="183">
        <f>HLOOKUP($H1176,'GDP-PI'!$D$8:$CR$11,3,FALSE)</f>
        <v>4.2834637353352578E-2</v>
      </c>
      <c r="DE1176" s="181">
        <f>VLOOKUP(H1176,'HW Dx Data'!$E:$F,2,FALSE)</f>
        <v>933.02249921662576</v>
      </c>
      <c r="DF1176" s="72">
        <f t="shared" si="2128"/>
        <v>157.25</v>
      </c>
      <c r="DG1176" s="69">
        <f t="shared" si="2129"/>
        <v>2.6419062301765574E-2</v>
      </c>
      <c r="DH1176" s="175">
        <f>HLOOKUP(H1176,'GDP-PI'!$8:$9,2,FALSE)</f>
        <v>118.49</v>
      </c>
      <c r="DI1176" s="169">
        <f t="shared" si="2119"/>
        <v>4.194261824609434E-2</v>
      </c>
    </row>
    <row r="1177" spans="1:113" s="160" customFormat="1" ht="21">
      <c r="G1177" s="161" t="s">
        <v>144</v>
      </c>
      <c r="H1177" s="162"/>
      <c r="I1177" s="163"/>
      <c r="J1177" s="159">
        <v>3343.1484679342066</v>
      </c>
      <c r="K1177" s="159">
        <f t="shared" si="2120"/>
        <v>20.566893066343933</v>
      </c>
      <c r="L1177" s="164">
        <f t="shared" ref="L1177" si="2143">LN(K1177/K1176)</f>
        <v>-0.10109398015078973</v>
      </c>
      <c r="M1177" s="76">
        <f t="shared" si="2130"/>
        <v>-8.6020938435868652E-5</v>
      </c>
      <c r="N1177" s="166">
        <f>+N1176*EXP(O1177)</f>
        <v>116.84625403851281</v>
      </c>
      <c r="O1177" s="114">
        <f t="shared" si="2131"/>
        <v>-5.0360069742871492E-4</v>
      </c>
      <c r="P1177" s="114"/>
      <c r="Q1177" s="163">
        <v>4712.6309728711103</v>
      </c>
      <c r="R1177" s="159">
        <f t="shared" si="2121"/>
        <v>37.034428077572578</v>
      </c>
      <c r="S1177" s="165">
        <f t="shared" ref="S1177" si="2144">LN(R1177/R1176)</f>
        <v>-0.13927031558340874</v>
      </c>
      <c r="T1177" s="165">
        <f t="shared" si="2133"/>
        <v>-1.1850520896372893E-4</v>
      </c>
      <c r="U1177" s="166"/>
      <c r="V1177" s="114"/>
      <c r="W1177" s="159">
        <f t="shared" si="2100"/>
        <v>4982.0249634684988</v>
      </c>
      <c r="X1177" s="168"/>
      <c r="Y1177" s="167">
        <v>185.04345280290775</v>
      </c>
      <c r="Z1177" s="168">
        <v>9.5423778689154914E-2</v>
      </c>
      <c r="AA1177" s="76">
        <f t="shared" si="2122"/>
        <v>8.1196160045278693E-5</v>
      </c>
      <c r="AB1177" s="166"/>
      <c r="AC1177" s="114"/>
      <c r="AD1177" s="163">
        <f t="shared" si="2138"/>
        <v>13037.804404273815</v>
      </c>
      <c r="AE1177" s="168">
        <f t="shared" si="2134"/>
        <v>3.1653335153275848E-2</v>
      </c>
      <c r="AF1177" s="113"/>
      <c r="AG1177" s="114"/>
      <c r="AH1177" s="114"/>
      <c r="AI1177" s="114"/>
      <c r="AJ1177" s="116">
        <f t="shared" si="2135"/>
        <v>784.13450437684583</v>
      </c>
      <c r="AK1177" s="114"/>
      <c r="AL1177" s="115">
        <f t="shared" si="2123"/>
        <v>0.25641959062051251</v>
      </c>
      <c r="AM1177" s="115">
        <f t="shared" si="2124"/>
        <v>0.36145894099518028</v>
      </c>
      <c r="AN1177" s="115">
        <f t="shared" si="2125"/>
        <v>0.38212146838430727</v>
      </c>
      <c r="AO1177" s="115"/>
      <c r="AP1177" s="166"/>
      <c r="AQ1177" s="168"/>
      <c r="AR1177" s="169">
        <f>+AD1177/$AF$26</f>
        <v>8.5090069960210848E-4</v>
      </c>
      <c r="AS1177" s="169">
        <f t="shared" ref="AS1177" si="2145">+AR1177*AQ1177</f>
        <v>0</v>
      </c>
      <c r="AT1177" s="166"/>
      <c r="AU1177" s="168"/>
      <c r="AV1177" s="113">
        <v>16627</v>
      </c>
      <c r="AW1177" s="68">
        <f t="shared" si="2113"/>
        <v>-2.5828167044602149E-3</v>
      </c>
      <c r="AX1177" s="113"/>
      <c r="AY1177" s="113"/>
      <c r="AZ1177" s="113"/>
      <c r="BA1177" s="113"/>
      <c r="BB1177" s="171"/>
      <c r="BC1177" s="172"/>
      <c r="BD1177" s="173"/>
      <c r="BE1177" s="115"/>
      <c r="BF1177" s="174"/>
      <c r="BG1177" s="174"/>
      <c r="BH1177" s="166"/>
      <c r="BI1177" s="113"/>
      <c r="BJ1177" s="113"/>
      <c r="BK1177" s="113"/>
      <c r="BL1177" s="113"/>
      <c r="BM1177" s="232"/>
      <c r="BN1177" s="61">
        <f t="shared" si="2141"/>
        <v>0</v>
      </c>
      <c r="BO1177" s="113"/>
      <c r="BP1177" s="113"/>
      <c r="BQ1177" s="175"/>
      <c r="BR1177" s="175"/>
      <c r="BS1177" s="170"/>
      <c r="BT1177" s="176"/>
      <c r="BU1177" s="177"/>
      <c r="BV1177" s="177"/>
      <c r="BW1177" s="113"/>
      <c r="BX1177" s="113"/>
      <c r="BY1177" s="113"/>
      <c r="BZ1177" s="113"/>
      <c r="CA1177" s="116">
        <v>2022</v>
      </c>
      <c r="CB1177" s="113"/>
      <c r="CC1177" s="113"/>
      <c r="CD1177" s="113"/>
      <c r="CE1177" s="175"/>
      <c r="CF1177" s="238">
        <v>-255</v>
      </c>
      <c r="CG1177" s="113">
        <f>+CF1177/DE1177</f>
        <v>-0.24737827533687101</v>
      </c>
      <c r="CH1177" s="178">
        <f>+(51-24)/(51-24*0.75)</f>
        <v>0.81818181818181823</v>
      </c>
      <c r="CI1177" s="113">
        <f>+CI1153*CH1177+CG1154*CH1176+CG1155*CH1175+CG1156*CH1174+CG1157*CH1173+CG1158*CH1172+CG1159*CH1171+CG1160*CH1170+CG1161*CH1169+CG1162*CH1168+CG1163*CH1167+CG1164*CH1166+CG1165*CH1165+CG1166*CH1164+CG1167*CH1163+CG1168*CH1162+CG1169*CH1161+CG1170*CH1160+CG1171*CH1159+CG1172*CH1158+CG1173*CH1157+CG1174*CH1156+CG1175*CH1155+CG1176*CH1154+CG1177*CH1153</f>
        <v>184.32945119252369</v>
      </c>
      <c r="CJ1177" s="114">
        <f t="shared" ref="CJ1177" si="2146">LN(CI1177/CI1176)</f>
        <v>9.1557753369167105E-2</v>
      </c>
      <c r="CK1177" s="113"/>
      <c r="CL1177" s="169">
        <f t="shared" si="2106"/>
        <v>-9.7350785143521384E-2</v>
      </c>
      <c r="CM1177" s="169">
        <f t="shared" si="2115"/>
        <v>7.1999198348465339E-3</v>
      </c>
      <c r="CN1177" s="114"/>
      <c r="CO1177" s="169"/>
      <c r="CP1177" s="169"/>
      <c r="CQ1177" s="69">
        <f t="shared" si="2116"/>
        <v>2.370202177368709E-2</v>
      </c>
      <c r="CR1177" s="169">
        <f t="shared" si="2117"/>
        <v>0.10114668178709289</v>
      </c>
      <c r="CS1177" s="179">
        <f t="shared" si="2107"/>
        <v>0.90509623210000001</v>
      </c>
      <c r="CT1177" s="180">
        <f t="shared" si="2108"/>
        <v>1.2820512820512819</v>
      </c>
      <c r="CU1177" s="180">
        <f t="shared" si="2109"/>
        <v>0.35000000000000003</v>
      </c>
      <c r="CV1177" s="180">
        <f t="shared" si="2110"/>
        <v>0.79171095533705893</v>
      </c>
      <c r="CW1177" s="180">
        <f t="shared" si="2111"/>
        <v>0.35525491585637264</v>
      </c>
      <c r="CX1177" s="181">
        <f>CX1176</f>
        <v>0.25649666999999998</v>
      </c>
      <c r="CY1177" s="72">
        <v>0.37</v>
      </c>
      <c r="CZ1177" s="182">
        <f t="shared" si="2114"/>
        <v>29.619259476004416</v>
      </c>
      <c r="DA1177" s="182"/>
      <c r="DB1177" s="169">
        <f t="shared" ref="DB1177" si="2147">LN(CZ1177/CZ1176)</f>
        <v>0.32924836160648729</v>
      </c>
      <c r="DC1177" s="181">
        <v>0.04</v>
      </c>
      <c r="DD1177" s="183">
        <v>7.0000000000000001E-3</v>
      </c>
      <c r="DE1177" s="181">
        <v>1030.81</v>
      </c>
      <c r="DF1177" s="72">
        <f t="shared" si="2128"/>
        <v>162.55000000000001</v>
      </c>
      <c r="DG1177" s="169">
        <f t="shared" si="2129"/>
        <v>3.3148751169364422E-2</v>
      </c>
      <c r="DH1177" s="175">
        <v>127.25</v>
      </c>
      <c r="DI1177" s="169">
        <f t="shared" si="2119"/>
        <v>7.1325086601983473E-2</v>
      </c>
    </row>
    <row r="1178" spans="1:113" s="160" customFormat="1" ht="21">
      <c r="A1178" s="160" t="s">
        <v>230</v>
      </c>
      <c r="B1178" s="160" t="s">
        <v>230</v>
      </c>
      <c r="C1178" s="160">
        <v>4063281</v>
      </c>
      <c r="D1178" s="161" t="s">
        <v>192</v>
      </c>
      <c r="E1178" s="161"/>
      <c r="F1178" s="189"/>
      <c r="G1178" s="160" t="s">
        <v>100</v>
      </c>
      <c r="H1178" s="162">
        <v>1998</v>
      </c>
      <c r="I1178" s="163"/>
      <c r="J1178" s="159"/>
      <c r="K1178" s="159"/>
      <c r="L1178" s="159"/>
      <c r="M1178" s="60"/>
      <c r="N1178" s="131"/>
      <c r="O1178" s="76"/>
      <c r="P1178" s="76"/>
      <c r="Q1178" s="159"/>
      <c r="R1178" s="159"/>
      <c r="S1178" s="159"/>
      <c r="T1178" s="159"/>
      <c r="U1178" s="159"/>
      <c r="V1178" s="159"/>
      <c r="W1178" s="159"/>
      <c r="X1178" s="163"/>
      <c r="Y1178" s="167">
        <v>42.360815871670312</v>
      </c>
      <c r="Z1178" s="168"/>
      <c r="AA1178" s="78"/>
      <c r="AB1178" s="168"/>
      <c r="AC1178" s="168"/>
      <c r="AD1178" s="163">
        <f t="shared" si="2138"/>
        <v>0</v>
      </c>
      <c r="AE1178" s="163"/>
      <c r="AF1178" s="163"/>
      <c r="AG1178" s="114"/>
      <c r="AH1178" s="114"/>
      <c r="AI1178" s="114"/>
      <c r="AJ1178" s="166">
        <f>+(AJ1175+AJ1176+AJ1177)/3</f>
        <v>774.36615331416397</v>
      </c>
      <c r="AK1178" s="168"/>
      <c r="AL1178" s="115"/>
      <c r="AM1178" s="115"/>
      <c r="AN1178" s="115"/>
      <c r="AO1178" s="115"/>
      <c r="AP1178" s="115"/>
      <c r="AQ1178" s="168">
        <f>AVERAGE(AQ1187:AQ1201)</f>
        <v>-1.1017315927729802E-2</v>
      </c>
      <c r="AR1178" s="115"/>
      <c r="AS1178" s="115"/>
      <c r="AT1178" s="115"/>
      <c r="AU1178" s="115"/>
      <c r="AV1178" s="113">
        <f>IFERROR(INDEX('Total Customers'!$F$7:$AB$91,MATCH($C1178,'Total Customers'!$D$7:$D$91,0),MATCH($G1178,'Total Customers'!$F$5:$AB$5,0)),"NA")</f>
        <v>11232</v>
      </c>
      <c r="AW1178" s="68"/>
      <c r="AX1178" s="114"/>
      <c r="AY1178" s="114"/>
      <c r="AZ1178" s="116"/>
      <c r="BA1178" s="116"/>
      <c r="BB1178" s="166"/>
      <c r="BC1178" s="166"/>
      <c r="BD1178" s="166"/>
      <c r="BE1178" s="166"/>
      <c r="BF1178" s="166"/>
      <c r="BG1178" s="166"/>
      <c r="BH1178" s="166"/>
      <c r="BI1178" s="113">
        <f>INDEX('Gross Dx Plant'!$E$7:$AD$91,MATCH($C1178,'Gross Dx Plant'!$D$7:$D$91,0),MATCH(Calculation!$G1178,'Gross Dx Plant'!$E$5:$AD$5,0))</f>
        <v>14321</v>
      </c>
      <c r="BJ1178" s="113">
        <f>INDEX('Gross Gen Plant'!$E$7:$AD$91,MATCH($C1178,'Gross Gen Plant'!$D$7:$D$91,0),MATCH(Calculation!$G1178,'Gross Gen Plant'!$E$5:$AD$5,0))</f>
        <v>221</v>
      </c>
      <c r="BK1178" s="113">
        <f>INDEX('Dist. Plant Gas Additions'!$F$7:$AE$91,MATCH($C1178,'Dist. Plant Gas Additions'!$D$7:$D$91,0),MATCH(Calculation!$G1178,'Dist. Plant Gas Additions'!$F$5:$AE$5,0))</f>
        <v>337</v>
      </c>
      <c r="BL1178" s="113">
        <f>INDEX('Gen. Plant Additions'!$F$7:$AE$91,MATCH($C1178,'Gen. Plant Additions'!$D$7:$D$91,0),MATCH(Calculation!$G1178,'Gen. Plant Additions'!$F$5:$AE$5,0))</f>
        <v>3</v>
      </c>
      <c r="BM1178" s="231">
        <f>+(BW1178/(BW1178+BX1178))</f>
        <v>0.98480264062714895</v>
      </c>
      <c r="BN1178" s="61">
        <f t="shared" si="2141"/>
        <v>2.954407921881447</v>
      </c>
      <c r="BO1178" s="113">
        <f>INDEX('Dist Plant Depreciation'!$E$7:$AD$94,MATCH($C1178,'Dist Plant Depreciation'!$D$7:$D$94,0),MATCH(Calculation!$G1178,'Dist Plant Depreciation'!$E$5:$AD$5,0))</f>
        <v>5923</v>
      </c>
      <c r="BP1178" s="113">
        <f>INDEX('Gen. Plant Depreciation'!$E$7:$AD$94,MATCH($C1178,'Gen. Plant Depreciation'!$D$7:$D$94,0),MATCH(Calculation!$G1178,'Gen. Plant Depreciation'!$E$5:$AD$5,0))</f>
        <v>74</v>
      </c>
      <c r="BQ1178" s="113"/>
      <c r="BR1178" s="113"/>
      <c r="BS1178" s="113"/>
      <c r="BT1178" s="113"/>
      <c r="BU1178" s="113"/>
      <c r="BV1178" s="175"/>
      <c r="BW1178" s="113">
        <f>INDEX('Gross Dx Plant'!$E$7:$AD$91,MATCH($C1178,'Gross Dx Plant'!$D$7:$D$91,0),MATCH(Calculation!$G1178,'Gross Dx Plant'!$E$5:$AD$5,0))</f>
        <v>14321</v>
      </c>
      <c r="BX1178" s="113">
        <f>INDEX('Gross Gen Plant'!$E$7:$AD$91,MATCH($C1178,'Gross Gen Plant'!$D$7:$D$91,0),MATCH(Calculation!$G1178,'Gross Gen Plant'!$E$5:$AD$5,0))</f>
        <v>221</v>
      </c>
      <c r="BY1178" s="113">
        <f t="shared" si="2067"/>
        <v>8545</v>
      </c>
      <c r="BZ1178" s="113"/>
      <c r="CA1178" s="116">
        <v>1998</v>
      </c>
      <c r="CB1178" s="113">
        <f>BI1178+BJ1178</f>
        <v>14542</v>
      </c>
      <c r="CC1178" s="113">
        <f>5923+74</f>
        <v>5997</v>
      </c>
      <c r="CD1178" s="113">
        <f>+CB1178-CC1178</f>
        <v>8545</v>
      </c>
      <c r="CE1178" s="113">
        <f>CD1178/$BV$3</f>
        <v>42.360815871670312</v>
      </c>
      <c r="CF1178" s="175"/>
      <c r="CG1178" s="175"/>
      <c r="CH1178" s="178">
        <v>1</v>
      </c>
      <c r="CI1178" s="113">
        <f>+CE1178</f>
        <v>42.360815871670312</v>
      </c>
      <c r="CJ1178" s="114"/>
      <c r="CK1178" s="114"/>
      <c r="CL1178" s="169"/>
      <c r="CM1178" s="169"/>
      <c r="CN1178" s="114" t="e">
        <f>VLOOKUP($H1178,RoR!$E:$F,2,FALSE)</f>
        <v>#N/A</v>
      </c>
      <c r="CO1178" s="169">
        <v>1.1028127770464469E-2</v>
      </c>
      <c r="CP1178" s="169"/>
      <c r="CQ1178" s="169"/>
      <c r="CR1178" s="169"/>
      <c r="CS1178" s="179"/>
      <c r="CT1178" s="182" t="e">
        <f>2/(DC1178*39)</f>
        <v>#N/A</v>
      </c>
      <c r="CU1178" s="180" t="e">
        <f>+(DC1178*40-(1+DC1178))/(DC1178*40)</f>
        <v>#N/A</v>
      </c>
      <c r="CV1178" s="180" t="e">
        <f>+(1-(1/(1+DC1178)^40))</f>
        <v>#N/A</v>
      </c>
      <c r="CW1178" s="180" t="e">
        <f>+CV1178*CU1178*CT1178</f>
        <v>#N/A</v>
      </c>
      <c r="CX1178" s="181">
        <f>INDEX('State Tax Lookup'!$D$7:$Z$91,MATCH(Calculation!$C1178,'State Tax Lookup'!$B$7:$B$91,0),MATCH($H1178,'State Tax Lookup'!$D$6:$Z$6,0))</f>
        <v>0.40134999999999998</v>
      </c>
      <c r="CY1178" s="72">
        <v>0.37</v>
      </c>
      <c r="CZ1178" s="66"/>
      <c r="DA1178" s="66"/>
      <c r="DB1178" s="69"/>
      <c r="DC1178" s="111" t="e">
        <f>VLOOKUP($H1178,RoR!$E:$F,2,FALSE)</f>
        <v>#N/A</v>
      </c>
      <c r="DD1178" s="216">
        <f>HLOOKUP($H1178,'GDP-PI'!$D$8:$CQ$11,3,FALSE)</f>
        <v>1.1028127770464469E-2</v>
      </c>
      <c r="DE1178" s="111">
        <f>VLOOKUP(H1178,'HW Dx Data'!$E:$F,2,FALSE)</f>
        <v>329.24564746449528</v>
      </c>
      <c r="DF1178" s="72" t="e">
        <f t="shared" si="2128"/>
        <v>#N/A</v>
      </c>
      <c r="DG1178" s="169" t="e">
        <f t="shared" si="2129"/>
        <v>#N/A</v>
      </c>
      <c r="DH1178" s="66">
        <f>HLOOKUP(H1178,'GDP-PI'!$8:$9,2,FALSE)</f>
        <v>75.266999999999996</v>
      </c>
      <c r="DI1178"/>
    </row>
    <row r="1179" spans="1:113" s="160" customFormat="1" ht="21">
      <c r="A1179" s="160" t="s">
        <v>230</v>
      </c>
      <c r="B1179" s="160" t="s">
        <v>230</v>
      </c>
      <c r="C1179" s="160">
        <v>4063281</v>
      </c>
      <c r="D1179" s="161" t="s">
        <v>192</v>
      </c>
      <c r="E1179" s="161"/>
      <c r="F1179" s="189"/>
      <c r="G1179" s="160" t="s">
        <v>106</v>
      </c>
      <c r="H1179" s="162">
        <v>1999</v>
      </c>
      <c r="I1179" s="163"/>
      <c r="J1179" s="159"/>
      <c r="K1179" s="159"/>
      <c r="L1179" s="159"/>
      <c r="M1179" s="60"/>
      <c r="N1179" s="152"/>
      <c r="O1179" s="60"/>
      <c r="P1179" s="60"/>
      <c r="Q1179" s="159"/>
      <c r="R1179" s="159"/>
      <c r="S1179" s="159"/>
      <c r="T1179" s="187"/>
      <c r="U1179" s="159"/>
      <c r="V1179" s="159"/>
      <c r="W1179" s="159">
        <f t="shared" ref="W1179:W1202" si="2148">+CI1178*CZ1179</f>
        <v>0</v>
      </c>
      <c r="X1179" s="163"/>
      <c r="Y1179" s="167">
        <v>43.116292363439044</v>
      </c>
      <c r="Z1179" s="168">
        <v>1.7677157779277263E-2</v>
      </c>
      <c r="AA1179" s="78"/>
      <c r="AB1179" s="168"/>
      <c r="AC1179" s="168"/>
      <c r="AD1179" s="163">
        <f t="shared" si="2138"/>
        <v>0</v>
      </c>
      <c r="AE1179" s="168"/>
      <c r="AF1179" s="163"/>
      <c r="AG1179" s="114"/>
      <c r="AH1179" s="114"/>
      <c r="AI1179" s="114"/>
      <c r="AJ1179" s="167"/>
      <c r="AK1179" s="168"/>
      <c r="AL1179" s="115"/>
      <c r="AM1179" s="115"/>
      <c r="AN1179" s="115"/>
      <c r="AO1179" s="115"/>
      <c r="AP1179" s="115"/>
      <c r="AQ1179" s="168"/>
      <c r="AR1179" s="115"/>
      <c r="AS1179" s="115"/>
      <c r="AT1179" s="115"/>
      <c r="AU1179" s="115"/>
      <c r="AV1179" s="113">
        <f>IFERROR(INDEX('Total Customers'!$F$7:$AB$91,MATCH($C1179,'Total Customers'!$D$7:$D$91,0),MATCH($G1179,'Total Customers'!$F$5:$AB$5,0)),"NA")</f>
        <v>11379</v>
      </c>
      <c r="AW1179" s="68">
        <f t="shared" si="2113"/>
        <v>1.3002704091416335E-2</v>
      </c>
      <c r="AX1179" s="114"/>
      <c r="AY1179" s="114"/>
      <c r="AZ1179" s="116"/>
      <c r="BA1179" s="116"/>
      <c r="BB1179" s="166"/>
      <c r="BC1179" s="166"/>
      <c r="BD1179" s="166"/>
      <c r="BE1179" s="166"/>
      <c r="BF1179" s="166"/>
      <c r="BG1179" s="166"/>
      <c r="BH1179" s="166"/>
      <c r="BI1179" s="113"/>
      <c r="BJ1179" s="113"/>
      <c r="BK1179" s="113">
        <f>INDEX('Dist. Plant Gas Additions'!$F$7:$AE$91,MATCH($C1179,'Dist. Plant Gas Additions'!$D$7:$D$91,0),MATCH(Calculation!$G1179,'Dist. Plant Gas Additions'!$F$5:$AE$5,0))</f>
        <v>316</v>
      </c>
      <c r="BL1179" s="113">
        <f>INDEX('Gen. Plant Additions'!$F$7:$AE$91,MATCH($C1179,'Gen. Plant Additions'!$D$7:$D$91,0),MATCH(Calculation!$G1179,'Gen. Plant Additions'!$F$5:$AE$5,0))</f>
        <v>8</v>
      </c>
      <c r="BM1179" s="231">
        <f t="shared" ref="BM1179:BM1200" si="2149">+(BW1179/(BW1179+BX1179))</f>
        <v>0.98478701825557813</v>
      </c>
      <c r="BN1179" s="61">
        <f t="shared" si="2141"/>
        <v>7.878296146044625</v>
      </c>
      <c r="BO1179" s="113">
        <f>INDEX('Dist Plant Depreciation'!$E$7:$AD$94,MATCH($C1179,'Dist Plant Depreciation'!$D$7:$D$94,0),MATCH(Calculation!$G1179,'Dist Plant Depreciation'!$E$5:$AD$5,0))</f>
        <v>6236</v>
      </c>
      <c r="BP1179" s="113">
        <f>INDEX('Gen. Plant Depreciation'!$E$7:$AD$94,MATCH($C1179,'Gen. Plant Depreciation'!$D$7:$D$94,0),MATCH(Calculation!$G1179,'Gen. Plant Depreciation'!$E$5:$AD$5,0))</f>
        <v>83</v>
      </c>
      <c r="BQ1179" s="113"/>
      <c r="BR1179" s="113"/>
      <c r="BS1179" s="113"/>
      <c r="BT1179" s="113"/>
      <c r="BU1179" s="113"/>
      <c r="BV1179" s="175"/>
      <c r="BW1179" s="113">
        <f>INDEX('Gross Dx Plant'!$E$7:$AD$91,MATCH($C1179,'Gross Dx Plant'!$D$7:$D$91,0),MATCH(Calculation!$G1179,'Gross Dx Plant'!$E$5:$AD$5,0))</f>
        <v>14565</v>
      </c>
      <c r="BX1179" s="113">
        <f>INDEX('Gross Gen Plant'!$E$7:$AD$91,MATCH($C1179,'Gross Gen Plant'!$D$7:$D$91,0),MATCH(Calculation!$G1179,'Gross Gen Plant'!$E$5:$AD$5,0))</f>
        <v>225</v>
      </c>
      <c r="BY1179" s="113">
        <f t="shared" si="2067"/>
        <v>8471</v>
      </c>
      <c r="BZ1179" s="113"/>
      <c r="CA1179" s="116">
        <v>1999</v>
      </c>
      <c r="CB1179" s="113"/>
      <c r="CC1179" s="113"/>
      <c r="CD1179" s="113"/>
      <c r="CE1179" s="175"/>
      <c r="CF1179" s="113">
        <f t="shared" ref="CF1179:CF1201" si="2150">+BL1179+BK1179</f>
        <v>324</v>
      </c>
      <c r="CG1179" s="113">
        <f t="shared" ref="CG1179:CG1201" si="2151">+CF1179/$DE1179</f>
        <v>0.96622681948848255</v>
      </c>
      <c r="CH1179" s="178">
        <v>0.99502487562189057</v>
      </c>
      <c r="CI1179" s="61">
        <f>+CI1178*CH1179+CG1179</f>
        <v>43.116292363439044</v>
      </c>
      <c r="CJ1179" s="114">
        <f t="shared" ref="CJ1179:CJ1200" si="2152">LN(CI1179/CI1178)</f>
        <v>1.7677157779277263E-2</v>
      </c>
      <c r="CK1179" s="114"/>
      <c r="CL1179" s="169">
        <f t="shared" ref="CL1179:CL1202" si="2153">+(CI1178-CI1179+CG1179)/CI1178</f>
        <v>4.9751243781093945E-3</v>
      </c>
      <c r="CM1179" s="169"/>
      <c r="CN1179" s="114">
        <f>VLOOKUP($H1179,RoR!$E:$F,2,FALSE)</f>
        <v>7.0416666666666669E-2</v>
      </c>
      <c r="CO1179" s="169">
        <v>1.4335631817396832E-2</v>
      </c>
      <c r="CP1179" s="169">
        <f>+CN1179-CO1179</f>
        <v>5.6081034849269837E-2</v>
      </c>
      <c r="CQ1179" s="169"/>
      <c r="CR1179" s="169"/>
      <c r="CS1179" s="179">
        <f t="shared" ref="CS1179:CS1202" si="2154">1-CX1179*CY1179</f>
        <v>0.85150049999999999</v>
      </c>
      <c r="CT1179" s="180">
        <f t="shared" ref="CT1179:CT1202" si="2155">2/(DC1179*39)</f>
        <v>0.72826581702321336</v>
      </c>
      <c r="CU1179" s="180">
        <f t="shared" ref="CU1179:CU1202" si="2156">+(DC1179*40-(1+DC1179))/(DC1179*40)</f>
        <v>0.61997041420118348</v>
      </c>
      <c r="CV1179" s="180">
        <f t="shared" ref="CV1179:CV1202" si="2157">+(1-(1/(1+DC1179)^40))</f>
        <v>0.93425155319585029</v>
      </c>
      <c r="CW1179" s="180">
        <f t="shared" ref="CW1179:CW1202" si="2158">+CV1179*CU1179*CT1179</f>
        <v>0.42181762214141483</v>
      </c>
      <c r="CX1179" s="181">
        <f>INDEX('State Tax Lookup'!$D$7:$Z$91,MATCH(Calculation!$C1179,'State Tax Lookup'!$B$7:$B$91,0),MATCH($H1179,'State Tax Lookup'!$D$6:$Z$6,0))</f>
        <v>0.40134999999999998</v>
      </c>
      <c r="CY1179" s="72">
        <v>0.37</v>
      </c>
      <c r="CZ1179" s="70"/>
      <c r="DA1179" s="70"/>
      <c r="DB1179" s="69"/>
      <c r="DC1179" s="111">
        <f>VLOOKUP($H1179,RoR!$E:$F,2,FALSE)</f>
        <v>7.0416666666666669E-2</v>
      </c>
      <c r="DD1179" s="216">
        <f>HLOOKUP($H1179,'GDP-PI'!$D$8:$CQ$11,3,FALSE)</f>
        <v>1.4335631817396832E-2</v>
      </c>
      <c r="DE1179" s="111">
        <f>VLOOKUP(H1179,'HW Dx Data'!$E:$F,2,FALSE)</f>
        <v>335.32499146683239</v>
      </c>
      <c r="DF1179" s="66"/>
      <c r="DG1179" s="69"/>
      <c r="DH1179" s="66">
        <f>HLOOKUP(H1179,'GDP-PI'!$8:$9,2,FALSE)</f>
        <v>76.346000000000004</v>
      </c>
      <c r="DI1179"/>
    </row>
    <row r="1180" spans="1:113" s="160" customFormat="1" ht="21">
      <c r="A1180" s="160" t="s">
        <v>230</v>
      </c>
      <c r="B1180" s="160" t="s">
        <v>230</v>
      </c>
      <c r="C1180" s="160">
        <v>4063281</v>
      </c>
      <c r="D1180" s="161" t="s">
        <v>192</v>
      </c>
      <c r="E1180" s="161"/>
      <c r="F1180" s="189"/>
      <c r="G1180" s="160" t="s">
        <v>107</v>
      </c>
      <c r="H1180" s="162">
        <v>2000</v>
      </c>
      <c r="I1180" s="163"/>
      <c r="J1180" s="159"/>
      <c r="K1180" s="159"/>
      <c r="L1180" s="159"/>
      <c r="M1180" s="60"/>
      <c r="N1180" s="152"/>
      <c r="O1180" s="60"/>
      <c r="P1180" s="60"/>
      <c r="Q1180" s="159"/>
      <c r="R1180" s="159"/>
      <c r="S1180" s="159"/>
      <c r="T1180" s="159"/>
      <c r="U1180" s="159"/>
      <c r="V1180" s="159"/>
      <c r="W1180" s="159">
        <f t="shared" si="2148"/>
        <v>0</v>
      </c>
      <c r="X1180" s="163"/>
      <c r="Y1180" s="167">
        <v>44.204466386581061</v>
      </c>
      <c r="Z1180" s="168">
        <v>2.4924894695066153E-2</v>
      </c>
      <c r="AA1180" s="78"/>
      <c r="AB1180" s="168"/>
      <c r="AC1180" s="168"/>
      <c r="AD1180" s="163">
        <f t="shared" si="2138"/>
        <v>0</v>
      </c>
      <c r="AE1180" s="168"/>
      <c r="AF1180" s="163"/>
      <c r="AG1180" s="163"/>
      <c r="AH1180" s="163"/>
      <c r="AI1180" s="163"/>
      <c r="AJ1180" s="167"/>
      <c r="AK1180" s="168"/>
      <c r="AL1180" s="115"/>
      <c r="AM1180" s="115"/>
      <c r="AN1180" s="115"/>
      <c r="AO1180" s="115"/>
      <c r="AP1180" s="115"/>
      <c r="AQ1180" s="168"/>
      <c r="AR1180" s="115"/>
      <c r="AS1180" s="115"/>
      <c r="AT1180" s="115"/>
      <c r="AU1180" s="115"/>
      <c r="AV1180" s="113">
        <f>IFERROR(INDEX('Total Customers'!$F$7:$AB$91,MATCH($C1180,'Total Customers'!$D$7:$D$91,0),MATCH($G1180,'Total Customers'!$F$5:$AB$5,0)),"NA")</f>
        <v>11478</v>
      </c>
      <c r="AW1180" s="68">
        <f t="shared" si="2113"/>
        <v>8.6626083112991657E-3</v>
      </c>
      <c r="AX1180" s="114"/>
      <c r="AY1180" s="114"/>
      <c r="AZ1180" s="116"/>
      <c r="BA1180" s="116"/>
      <c r="BB1180" s="166"/>
      <c r="BC1180" s="166"/>
      <c r="BD1180" s="166"/>
      <c r="BE1180" s="166"/>
      <c r="BF1180" s="166"/>
      <c r="BG1180" s="166"/>
      <c r="BH1180" s="166"/>
      <c r="BI1180" s="113"/>
      <c r="BJ1180" s="113"/>
      <c r="BK1180" s="113">
        <f>INDEX('Dist. Plant Gas Additions'!$F$7:$AE$91,MATCH($C1180,'Dist. Plant Gas Additions'!$D$7:$D$91,0),MATCH(Calculation!$G1180,'Dist. Plant Gas Additions'!$F$5:$AE$5,0))</f>
        <v>442</v>
      </c>
      <c r="BL1180" s="113">
        <f>INDEX('Gen. Plant Additions'!$F$7:$AE$91,MATCH($C1180,'Gen. Plant Additions'!$D$7:$D$91,0),MATCH(Calculation!$G1180,'Gen. Plant Additions'!$F$5:$AE$5,0))</f>
        <v>12</v>
      </c>
      <c r="BM1180" s="231">
        <f t="shared" si="2149"/>
        <v>0.98441302203222625</v>
      </c>
      <c r="BN1180" s="61">
        <f t="shared" si="2141"/>
        <v>11.812956264386715</v>
      </c>
      <c r="BO1180" s="113">
        <f>INDEX('Dist Plant Depreciation'!$E$7:$AD$94,MATCH($C1180,'Dist Plant Depreciation'!$D$7:$D$94,0),MATCH(Calculation!$G1180,'Dist Plant Depreciation'!$E$5:$AD$5,0))</f>
        <v>6718</v>
      </c>
      <c r="BP1180" s="113">
        <f>INDEX('Gen. Plant Depreciation'!$E$7:$AD$94,MATCH($C1180,'Gen. Plant Depreciation'!$D$7:$D$94,0),MATCH(Calculation!$G1180,'Gen. Plant Depreciation'!$E$5:$AD$5,0))</f>
        <v>93</v>
      </c>
      <c r="BQ1180" s="113"/>
      <c r="BR1180" s="113"/>
      <c r="BS1180" s="113"/>
      <c r="BT1180" s="113"/>
      <c r="BU1180" s="113"/>
      <c r="BV1180" s="175"/>
      <c r="BW1180" s="113">
        <f>INDEX('Gross Dx Plant'!$E$7:$AD$91,MATCH($C1180,'Gross Dx Plant'!$D$7:$D$91,0),MATCH(Calculation!$G1180,'Gross Dx Plant'!$E$5:$AD$5,0))</f>
        <v>14968</v>
      </c>
      <c r="BX1180" s="113">
        <f>INDEX('Gross Gen Plant'!$E$7:$AD$91,MATCH($C1180,'Gross Gen Plant'!$D$7:$D$91,0),MATCH(Calculation!$G1180,'Gross Gen Plant'!$E$5:$AD$5,0))</f>
        <v>237</v>
      </c>
      <c r="BY1180" s="113">
        <f t="shared" si="2067"/>
        <v>8394</v>
      </c>
      <c r="BZ1180" s="113"/>
      <c r="CA1180" s="116">
        <v>2000</v>
      </c>
      <c r="CB1180" s="113"/>
      <c r="CC1180" s="113"/>
      <c r="CD1180" s="113"/>
      <c r="CE1180" s="175"/>
      <c r="CF1180" s="113">
        <f t="shared" si="2150"/>
        <v>454</v>
      </c>
      <c r="CG1180" s="113">
        <f t="shared" si="2151"/>
        <v>1.3101178230334618</v>
      </c>
      <c r="CH1180" s="178">
        <v>0.98989898989898994</v>
      </c>
      <c r="CI1180" s="61">
        <f>+CI1178*CH1180+CG1179*CH1179+CG1180</f>
        <v>44.204466386581061</v>
      </c>
      <c r="CJ1180" s="114">
        <f t="shared" si="2152"/>
        <v>2.4924894695066153E-2</v>
      </c>
      <c r="CK1180" s="114"/>
      <c r="CL1180" s="169">
        <f t="shared" si="2153"/>
        <v>5.1475622722988324E-3</v>
      </c>
      <c r="CM1180" s="169"/>
      <c r="CN1180" s="114">
        <f>VLOOKUP($H1180,RoR!$E:$F,2,FALSE)</f>
        <v>7.6225000000000001E-2</v>
      </c>
      <c r="CO1180" s="169">
        <v>2.2568307442433211E-2</v>
      </c>
      <c r="CP1180" s="169">
        <f t="shared" ref="CP1180:CP1200" si="2159">+CN1180-CO1180</f>
        <v>5.365669255756679E-2</v>
      </c>
      <c r="CQ1180" s="169"/>
      <c r="CR1180" s="169"/>
      <c r="CS1180" s="179">
        <f t="shared" si="2154"/>
        <v>0.85150049999999999</v>
      </c>
      <c r="CT1180" s="180">
        <f t="shared" si="2155"/>
        <v>0.67277207323124022</v>
      </c>
      <c r="CU1180" s="180">
        <f t="shared" si="2156"/>
        <v>0.6470236142997704</v>
      </c>
      <c r="CV1180" s="180">
        <f t="shared" si="2157"/>
        <v>0.94704866037543145</v>
      </c>
      <c r="CW1180" s="180">
        <f t="shared" si="2158"/>
        <v>0.41224973107878493</v>
      </c>
      <c r="CX1180" s="181">
        <f>INDEX('State Tax Lookup'!$D$7:$Z$91,MATCH(Calculation!$C1180,'State Tax Lookup'!$B$7:$B$91,0),MATCH($H1180,'State Tax Lookup'!$D$6:$Z$6,0))</f>
        <v>0.40134999999999998</v>
      </c>
      <c r="CY1180" s="72">
        <v>0.37</v>
      </c>
      <c r="CZ1180" s="70"/>
      <c r="DA1180" s="70"/>
      <c r="DB1180" s="69"/>
      <c r="DC1180" s="111">
        <f>VLOOKUP($H1180,RoR!$E:$F,2,FALSE)</f>
        <v>7.6225000000000001E-2</v>
      </c>
      <c r="DD1180" s="216">
        <f>HLOOKUP($H1180,'GDP-PI'!$D$8:$CQ$11,3,FALSE)</f>
        <v>2.2568307442433211E-2</v>
      </c>
      <c r="DE1180" s="111">
        <f>VLOOKUP(H1180,'HW Dx Data'!$E:$F,2,FALSE)</f>
        <v>346.53371782150339</v>
      </c>
      <c r="DF1180" s="66"/>
      <c r="DG1180" s="69"/>
      <c r="DH1180" s="66">
        <f>HLOOKUP(H1180,'GDP-PI'!$8:$9,2,FALSE)</f>
        <v>78.069000000000003</v>
      </c>
      <c r="DI1180"/>
    </row>
    <row r="1181" spans="1:113" s="160" customFormat="1" ht="21">
      <c r="A1181" s="160" t="s">
        <v>230</v>
      </c>
      <c r="B1181" s="160" t="s">
        <v>230</v>
      </c>
      <c r="C1181" s="160">
        <v>4063281</v>
      </c>
      <c r="D1181" s="161" t="s">
        <v>192</v>
      </c>
      <c r="E1181" s="161"/>
      <c r="F1181" s="189"/>
      <c r="G1181" s="160" t="s">
        <v>111</v>
      </c>
      <c r="H1181" s="162">
        <v>2001</v>
      </c>
      <c r="I1181" s="163"/>
      <c r="J1181" s="159"/>
      <c r="K1181" s="159"/>
      <c r="L1181" s="159"/>
      <c r="M1181" s="60"/>
      <c r="N1181" s="152"/>
      <c r="O1181" s="60"/>
      <c r="P1181" s="60"/>
      <c r="Q1181" s="159"/>
      <c r="R1181" s="159"/>
      <c r="S1181" s="159"/>
      <c r="T1181" s="159"/>
      <c r="U1181" s="159"/>
      <c r="V1181" s="159"/>
      <c r="W1181" s="159">
        <f t="shared" si="2148"/>
        <v>571.90611007851055</v>
      </c>
      <c r="X1181" s="163"/>
      <c r="Y1181" s="167">
        <v>45.155503655611085</v>
      </c>
      <c r="Z1181" s="168">
        <v>2.1286336119727425E-2</v>
      </c>
      <c r="AA1181" s="78"/>
      <c r="AB1181" s="168"/>
      <c r="AC1181" s="168"/>
      <c r="AD1181" s="163">
        <f t="shared" si="2138"/>
        <v>571.90611007851055</v>
      </c>
      <c r="AE1181" s="168"/>
      <c r="AF1181" s="163"/>
      <c r="AG1181" s="163"/>
      <c r="AH1181" s="163"/>
      <c r="AI1181" s="163"/>
      <c r="AJ1181" s="167"/>
      <c r="AK1181" s="168"/>
      <c r="AL1181" s="115"/>
      <c r="AM1181" s="115"/>
      <c r="AN1181" s="115"/>
      <c r="AO1181" s="115"/>
      <c r="AP1181" s="115"/>
      <c r="AQ1181" s="168"/>
      <c r="AR1181" s="115"/>
      <c r="AS1181" s="115"/>
      <c r="AT1181" s="115"/>
      <c r="AU1181" s="115"/>
      <c r="AV1181" s="113">
        <f>IFERROR(INDEX('Total Customers'!$F$7:$AB$91,MATCH($C1181,'Total Customers'!$D$7:$D$91,0),MATCH($G1181,'Total Customers'!$F$5:$AB$5,0)),"NA")</f>
        <v>11650</v>
      </c>
      <c r="AW1181" s="68">
        <f t="shared" si="2113"/>
        <v>1.4874020325538839E-2</v>
      </c>
      <c r="AX1181" s="114"/>
      <c r="AY1181" s="114"/>
      <c r="AZ1181" s="116"/>
      <c r="BA1181" s="116"/>
      <c r="BB1181" s="166"/>
      <c r="BC1181" s="166"/>
      <c r="BD1181" s="166"/>
      <c r="BE1181" s="166"/>
      <c r="BF1181" s="166"/>
      <c r="BG1181" s="166"/>
      <c r="BH1181" s="166"/>
      <c r="BI1181" s="113"/>
      <c r="BJ1181" s="113"/>
      <c r="BK1181" s="113">
        <f>INDEX('Dist. Plant Gas Additions'!$F$7:$AE$91,MATCH($C1181,'Dist. Plant Gas Additions'!$D$7:$D$91,0),MATCH(Calculation!$G1181,'Dist. Plant Gas Additions'!$F$5:$AE$5,0))</f>
        <v>417</v>
      </c>
      <c r="BL1181" s="113">
        <f>INDEX('Gen. Plant Additions'!$F$7:$AE$91,MATCH($C1181,'Gen. Plant Additions'!$D$7:$D$91,0),MATCH(Calculation!$G1181,'Gen. Plant Additions'!$F$5:$AE$5,0))</f>
        <v>0</v>
      </c>
      <c r="BM1181" s="231">
        <f t="shared" si="2149"/>
        <v>0.98479599692070818</v>
      </c>
      <c r="BN1181" s="61">
        <f t="shared" si="2141"/>
        <v>0</v>
      </c>
      <c r="BO1181" s="113">
        <f>INDEX('Dist Plant Depreciation'!$E$7:$AD$94,MATCH($C1181,'Dist Plant Depreciation'!$D$7:$D$94,0),MATCH(Calculation!$G1181,'Dist Plant Depreciation'!$E$5:$AD$5,0))</f>
        <v>7237</v>
      </c>
      <c r="BP1181" s="113">
        <f>INDEX('Gen. Plant Depreciation'!$E$7:$AD$94,MATCH($C1181,'Gen. Plant Depreciation'!$D$7:$D$94,0),MATCH(Calculation!$G1181,'Gen. Plant Depreciation'!$E$5:$AD$5,0))</f>
        <v>102</v>
      </c>
      <c r="BQ1181" s="113"/>
      <c r="BR1181" s="113"/>
      <c r="BS1181" s="113"/>
      <c r="BT1181" s="113"/>
      <c r="BU1181" s="113"/>
      <c r="BV1181" s="175"/>
      <c r="BW1181" s="113">
        <f>INDEX('Gross Dx Plant'!$E$7:$AD$91,MATCH($C1181,'Gross Dx Plant'!$D$7:$D$91,0),MATCH(Calculation!$G1181,'Gross Dx Plant'!$E$5:$AD$5,0))</f>
        <v>15351</v>
      </c>
      <c r="BX1181" s="113">
        <f>INDEX('Gross Gen Plant'!$E$7:$AD$91,MATCH($C1181,'Gross Gen Plant'!$D$7:$D$91,0),MATCH(Calculation!$G1181,'Gross Gen Plant'!$E$5:$AD$5,0))</f>
        <v>237</v>
      </c>
      <c r="BY1181" s="113">
        <f t="shared" si="2067"/>
        <v>8249</v>
      </c>
      <c r="BZ1181" s="113"/>
      <c r="CA1181" s="116">
        <v>2001</v>
      </c>
      <c r="CB1181" s="113"/>
      <c r="CC1181" s="113"/>
      <c r="CD1181" s="113"/>
      <c r="CE1181" s="175"/>
      <c r="CF1181" s="113">
        <f t="shared" si="2150"/>
        <v>417</v>
      </c>
      <c r="CG1181" s="113">
        <f t="shared" si="2151"/>
        <v>1.1798078678465025</v>
      </c>
      <c r="CH1181" s="178">
        <v>0.98461538461538467</v>
      </c>
      <c r="CI1181" s="61">
        <f>+CI1178*CH1181+CG1179*CH1180+CG1180*CH1178+CG1181</f>
        <v>45.155503655611085</v>
      </c>
      <c r="CJ1181" s="114">
        <f t="shared" si="2152"/>
        <v>2.1286336119727425E-2</v>
      </c>
      <c r="CK1181" s="114"/>
      <c r="CL1181" s="169">
        <f t="shared" si="2153"/>
        <v>5.1752824435388929E-3</v>
      </c>
      <c r="CM1181" s="169">
        <f>+(CL1181+CL1180+CL1179)/3</f>
        <v>5.0993230313157063E-3</v>
      </c>
      <c r="CN1181" s="114">
        <f>VLOOKUP($H1181,RoR!$E:$F,2,FALSE)</f>
        <v>7.0824999999999999E-2</v>
      </c>
      <c r="CO1181" s="169">
        <v>2.2454495382290052E-2</v>
      </c>
      <c r="CP1181" s="169">
        <f t="shared" si="2159"/>
        <v>4.8370504617709947E-2</v>
      </c>
      <c r="CQ1181" s="169">
        <f>+$CP$2-CM1181</f>
        <v>2.5802618577217919E-2</v>
      </c>
      <c r="CR1181" s="169">
        <f>+((DE1179/DE1178-1)+(DE1180/DE1179-1)+(DE1181/DE1180-1))/3</f>
        <v>2.3947275901631187E-2</v>
      </c>
      <c r="CS1181" s="179">
        <f t="shared" si="2154"/>
        <v>0.85150049999999999</v>
      </c>
      <c r="CT1181" s="180">
        <f t="shared" si="2155"/>
        <v>0.72406708481540816</v>
      </c>
      <c r="CU1181" s="180">
        <f t="shared" si="2156"/>
        <v>0.62201729615248857</v>
      </c>
      <c r="CV1181" s="180">
        <f t="shared" si="2157"/>
        <v>0.9352469954311422</v>
      </c>
      <c r="CW1181" s="180">
        <f t="shared" si="2158"/>
        <v>0.42121864641655071</v>
      </c>
      <c r="CX1181" s="181">
        <f>INDEX('State Tax Lookup'!$D$7:$Z$91,MATCH(Calculation!$C1181,'State Tax Lookup'!$B$7:$B$91,0),MATCH($H1181,'State Tax Lookup'!$D$6:$Z$6,0))</f>
        <v>0.40134999999999998</v>
      </c>
      <c r="CY1181" s="72">
        <v>0.37</v>
      </c>
      <c r="CZ1181" s="70">
        <f t="shared" ref="CZ1181:CZ1202" si="2160">+(DE1181*CQ1181-CR1181)*CS1181/(1-CX1181)</f>
        <v>12.937744911951281</v>
      </c>
      <c r="DA1181" s="70"/>
      <c r="DB1181" s="69"/>
      <c r="DC1181" s="111">
        <f>VLOOKUP($H1181,RoR!$E:$F,2,FALSE)</f>
        <v>7.0824999999999999E-2</v>
      </c>
      <c r="DD1181" s="216">
        <f>HLOOKUP($H1181,'GDP-PI'!$D$8:$CQ$11,3,FALSE)</f>
        <v>2.2454495382290052E-2</v>
      </c>
      <c r="DE1181" s="111">
        <f>VLOOKUP(H1181,'HW Dx Data'!$E:$F,2,FALSE)</f>
        <v>353.44738017483138</v>
      </c>
      <c r="DF1181" s="66"/>
      <c r="DG1181" s="69"/>
      <c r="DH1181" s="66">
        <f>HLOOKUP(H1181,'GDP-PI'!$8:$9,2,FALSE)</f>
        <v>79.822000000000003</v>
      </c>
      <c r="DI1181"/>
    </row>
    <row r="1182" spans="1:113" s="160" customFormat="1" ht="21">
      <c r="A1182" s="160" t="s">
        <v>230</v>
      </c>
      <c r="B1182" s="160" t="s">
        <v>230</v>
      </c>
      <c r="C1182" s="160">
        <v>4063281</v>
      </c>
      <c r="D1182" s="161" t="s">
        <v>192</v>
      </c>
      <c r="E1182" s="161"/>
      <c r="F1182" s="189"/>
      <c r="G1182" s="160" t="s">
        <v>113</v>
      </c>
      <c r="H1182" s="162">
        <v>2002</v>
      </c>
      <c r="I1182" s="163"/>
      <c r="J1182" s="159"/>
      <c r="K1182" s="159"/>
      <c r="L1182" s="159"/>
      <c r="M1182" s="60"/>
      <c r="N1182" s="152"/>
      <c r="O1182" s="60"/>
      <c r="P1182" s="60"/>
      <c r="Q1182" s="159"/>
      <c r="R1182" s="159"/>
      <c r="S1182" s="159"/>
      <c r="T1182" s="159"/>
      <c r="U1182" s="159"/>
      <c r="V1182" s="159"/>
      <c r="W1182" s="159">
        <f t="shared" si="2148"/>
        <v>592.01820567682762</v>
      </c>
      <c r="X1182" s="163"/>
      <c r="Y1182" s="167">
        <v>47.612548946437627</v>
      </c>
      <c r="Z1182" s="168">
        <v>5.2984190252350759E-2</v>
      </c>
      <c r="AA1182" s="78"/>
      <c r="AB1182" s="168"/>
      <c r="AC1182" s="168"/>
      <c r="AD1182" s="163">
        <f t="shared" si="2138"/>
        <v>592.01820567682762</v>
      </c>
      <c r="AE1182" s="168"/>
      <c r="AF1182" s="163"/>
      <c r="AG1182" s="163"/>
      <c r="AH1182" s="163"/>
      <c r="AI1182" s="163"/>
      <c r="AJ1182" s="167"/>
      <c r="AK1182" s="168"/>
      <c r="AL1182" s="115"/>
      <c r="AM1182" s="115"/>
      <c r="AN1182" s="115"/>
      <c r="AO1182" s="115"/>
      <c r="AP1182" s="115"/>
      <c r="AQ1182" s="168"/>
      <c r="AR1182" s="115"/>
      <c r="AS1182" s="115"/>
      <c r="AT1182" s="115"/>
      <c r="AU1182" s="115"/>
      <c r="AV1182" s="113">
        <f>IFERROR(INDEX('Total Customers'!$F$7:$AB$91,MATCH($C1182,'Total Customers'!$D$7:$D$91,0),MATCH($G1182,'Total Customers'!$F$5:$AB$5,0)),"NA")</f>
        <v>11775</v>
      </c>
      <c r="AW1182" s="68">
        <f t="shared" si="2113"/>
        <v>1.0672459890771979E-2</v>
      </c>
      <c r="AX1182" s="114"/>
      <c r="AY1182" s="114"/>
      <c r="AZ1182" s="116"/>
      <c r="BA1182" s="116"/>
      <c r="BB1182" s="166"/>
      <c r="BC1182" s="166"/>
      <c r="BD1182" s="166"/>
      <c r="BE1182" s="166"/>
      <c r="BF1182" s="166"/>
      <c r="BG1182" s="166"/>
      <c r="BH1182" s="166"/>
      <c r="BI1182" s="113"/>
      <c r="BJ1182" s="113"/>
      <c r="BK1182" s="113">
        <f>INDEX('Dist. Plant Gas Additions'!$F$7:$AE$91,MATCH($C1182,'Dist. Plant Gas Additions'!$D$7:$D$91,0),MATCH(Calculation!$G1182,'Dist. Plant Gas Additions'!$F$5:$AE$5,0))</f>
        <v>948</v>
      </c>
      <c r="BL1182" s="113">
        <f>INDEX('Gen. Plant Additions'!$F$7:$AE$91,MATCH($C1182,'Gen. Plant Additions'!$D$7:$D$91,0),MATCH(Calculation!$G1182,'Gen. Plant Additions'!$F$5:$AE$5,0))</f>
        <v>32</v>
      </c>
      <c r="BM1182" s="231">
        <f t="shared" si="2149"/>
        <v>0.9843569999393682</v>
      </c>
      <c r="BN1182" s="61">
        <f t="shared" si="2141"/>
        <v>31.499423998059783</v>
      </c>
      <c r="BO1182" s="113">
        <f>INDEX('Dist Plant Depreciation'!$E$7:$AD$94,MATCH($C1182,'Dist Plant Depreciation'!$D$7:$D$94,0),MATCH(Calculation!$G1182,'Dist Plant Depreciation'!$E$5:$AD$5,0))</f>
        <v>7719</v>
      </c>
      <c r="BP1182" s="113">
        <f>INDEX('Gen. Plant Depreciation'!$E$7:$AD$94,MATCH($C1182,'Gen. Plant Depreciation'!$D$7:$D$94,0),MATCH(Calculation!$G1182,'Gen. Plant Depreciation'!$E$5:$AD$5,0))</f>
        <v>112</v>
      </c>
      <c r="BQ1182" s="113"/>
      <c r="BR1182" s="113"/>
      <c r="BS1182" s="113"/>
      <c r="BT1182" s="113"/>
      <c r="BU1182" s="113"/>
      <c r="BV1182" s="175"/>
      <c r="BW1182" s="113">
        <f>INDEX('Gross Dx Plant'!$E$7:$AD$91,MATCH($C1182,'Gross Dx Plant'!$D$7:$D$91,0),MATCH(Calculation!$G1182,'Gross Dx Plant'!$E$5:$AD$5,0))</f>
        <v>16235</v>
      </c>
      <c r="BX1182" s="113">
        <f>INDEX('Gross Gen Plant'!$E$7:$AD$91,MATCH($C1182,'Gross Gen Plant'!$D$7:$D$91,0),MATCH(Calculation!$G1182,'Gross Gen Plant'!$E$5:$AD$5,0))</f>
        <v>258</v>
      </c>
      <c r="BY1182" s="113">
        <f t="shared" si="2067"/>
        <v>8662</v>
      </c>
      <c r="BZ1182" s="113"/>
      <c r="CA1182" s="116">
        <v>2002</v>
      </c>
      <c r="CB1182" s="113"/>
      <c r="CC1182" s="113"/>
      <c r="CD1182" s="113"/>
      <c r="CE1182" s="175"/>
      <c r="CF1182" s="113">
        <f t="shared" si="2150"/>
        <v>980</v>
      </c>
      <c r="CG1182" s="113">
        <f t="shared" si="2151"/>
        <v>2.7120657939662567</v>
      </c>
      <c r="CH1182" s="178">
        <v>0.97916666666666663</v>
      </c>
      <c r="CI1182" s="61">
        <f>+CI1178*CH1182+CG1179*CH1181+CG1180*CH1180+CG1181*CH1179+CG1182</f>
        <v>47.612548946437627</v>
      </c>
      <c r="CJ1182" s="114">
        <f t="shared" si="2152"/>
        <v>5.2984190252350759E-2</v>
      </c>
      <c r="CK1182" s="114"/>
      <c r="CL1182" s="169">
        <f t="shared" si="2153"/>
        <v>5.6476062161699564E-3</v>
      </c>
      <c r="CM1182" s="169">
        <f t="shared" ref="CM1182:CM1202" si="2161">+(CL1182+CL1181+CL1180)/3</f>
        <v>5.3234836440025609E-3</v>
      </c>
      <c r="CN1182" s="114">
        <f>VLOOKUP($H1182,RoR!$E:$F,2,FALSE)</f>
        <v>6.4916666666666664E-2</v>
      </c>
      <c r="CO1182" s="169">
        <v>1.5246423291824351E-2</v>
      </c>
      <c r="CP1182" s="169">
        <f t="shared" si="2159"/>
        <v>4.9670243374842313E-2</v>
      </c>
      <c r="CQ1182" s="169">
        <f t="shared" ref="CQ1182:CQ1202" si="2162">+$CP$2-CM1182</f>
        <v>2.5578457964531065E-2</v>
      </c>
      <c r="CR1182" s="169">
        <f t="shared" ref="CR1182:CR1202" si="2163">+((DE1180/DE1179-1)+(DE1181/DE1180-1)+(DE1182/DE1181-1))/3</f>
        <v>2.5243621214759093E-2</v>
      </c>
      <c r="CS1182" s="179">
        <f t="shared" si="2154"/>
        <v>0.85150049999999999</v>
      </c>
      <c r="CT1182" s="180">
        <f t="shared" si="2155"/>
        <v>0.78996741384417901</v>
      </c>
      <c r="CU1182" s="180">
        <f t="shared" si="2156"/>
        <v>0.58989088575096271</v>
      </c>
      <c r="CV1182" s="180">
        <f t="shared" si="2157"/>
        <v>0.91920675783645744</v>
      </c>
      <c r="CW1182" s="180">
        <f t="shared" si="2158"/>
        <v>0.42834536472275586</v>
      </c>
      <c r="CX1182" s="181">
        <f>INDEX('State Tax Lookup'!$D$7:$Z$91,MATCH(Calculation!$C1182,'State Tax Lookup'!$B$7:$B$91,0),MATCH($H1182,'State Tax Lookup'!$D$6:$Z$6,0))</f>
        <v>0.40134999999999998</v>
      </c>
      <c r="CY1182" s="72">
        <v>0.37</v>
      </c>
      <c r="CZ1182" s="70">
        <f t="shared" si="2160"/>
        <v>13.110654466219483</v>
      </c>
      <c r="DA1182" s="70"/>
      <c r="DB1182" s="69">
        <f>LN(CZ1182/CZ1181)</f>
        <v>1.3276216436460644E-2</v>
      </c>
      <c r="DC1182" s="111">
        <f>VLOOKUP($H1182,RoR!$E:$F,2,FALSE)</f>
        <v>6.4916666666666664E-2</v>
      </c>
      <c r="DD1182" s="216">
        <f>HLOOKUP($H1182,'GDP-PI'!$D$8:$CQ$11,3,FALSE)</f>
        <v>1.5246423291824351E-2</v>
      </c>
      <c r="DE1182" s="111">
        <f>VLOOKUP(H1182,'HW Dx Data'!$E:$F,2,FALSE)</f>
        <v>361.34816573413599</v>
      </c>
      <c r="DF1182" s="66"/>
      <c r="DG1182" s="69"/>
      <c r="DH1182" s="66">
        <f>HLOOKUP(H1182,'GDP-PI'!$8:$9,2,FALSE)</f>
        <v>81.039000000000001</v>
      </c>
      <c r="DI1182" s="69">
        <f>LN(DH1182/DH1181)</f>
        <v>1.513136459537477E-2</v>
      </c>
    </row>
    <row r="1183" spans="1:113" s="160" customFormat="1" ht="21">
      <c r="A1183" s="160" t="s">
        <v>230</v>
      </c>
      <c r="B1183" s="160" t="s">
        <v>230</v>
      </c>
      <c r="C1183" s="160">
        <v>4063281</v>
      </c>
      <c r="D1183" s="161" t="s">
        <v>192</v>
      </c>
      <c r="E1183" s="161"/>
      <c r="F1183" s="189"/>
      <c r="G1183" s="160" t="s">
        <v>114</v>
      </c>
      <c r="H1183" s="162">
        <v>2003</v>
      </c>
      <c r="I1183" s="163"/>
      <c r="J1183" s="159"/>
      <c r="K1183" s="159"/>
      <c r="L1183" s="159"/>
      <c r="M1183" s="76"/>
      <c r="N1183" s="152"/>
      <c r="O1183" s="76"/>
      <c r="P1183" s="76"/>
      <c r="Q1183" s="159"/>
      <c r="R1183" s="159"/>
      <c r="S1183" s="159"/>
      <c r="T1183" s="159"/>
      <c r="U1183" s="159"/>
      <c r="V1183" s="159"/>
      <c r="W1183" s="159">
        <f t="shared" si="2148"/>
        <v>633.81438598870363</v>
      </c>
      <c r="X1183" s="163"/>
      <c r="Y1183" s="167">
        <v>49.157254487855909</v>
      </c>
      <c r="Z1183" s="168">
        <v>3.1928074819870061E-2</v>
      </c>
      <c r="AA1183" s="78"/>
      <c r="AB1183" s="168"/>
      <c r="AC1183" s="168"/>
      <c r="AD1183" s="163">
        <f t="shared" si="2138"/>
        <v>633.81438598870363</v>
      </c>
      <c r="AE1183" s="168"/>
      <c r="AF1183" s="163"/>
      <c r="AG1183" s="163"/>
      <c r="AH1183" s="163"/>
      <c r="AI1183" s="163"/>
      <c r="AJ1183" s="167"/>
      <c r="AK1183" s="168"/>
      <c r="AL1183" s="115"/>
      <c r="AM1183" s="115"/>
      <c r="AN1183" s="115"/>
      <c r="AO1183" s="115"/>
      <c r="AP1183" s="115"/>
      <c r="AQ1183" s="168"/>
      <c r="AR1183" s="115"/>
      <c r="AS1183" s="115"/>
      <c r="AT1183" s="115"/>
      <c r="AU1183" s="115"/>
      <c r="AV1183" s="113">
        <f>IFERROR(INDEX('Total Customers'!$F$7:$AB$91,MATCH($C1183,'Total Customers'!$D$7:$D$91,0),MATCH($G1183,'Total Customers'!$F$5:$AB$5,0)),"NA")</f>
        <v>11874</v>
      </c>
      <c r="AW1183" s="68">
        <f t="shared" si="2113"/>
        <v>8.3724959460021835E-3</v>
      </c>
      <c r="AX1183" s="114"/>
      <c r="AY1183" s="114"/>
      <c r="AZ1183" s="116"/>
      <c r="BA1183" s="116"/>
      <c r="BB1183" s="166"/>
      <c r="BC1183" s="166"/>
      <c r="BD1183" s="166"/>
      <c r="BE1183" s="166"/>
      <c r="BF1183" s="166"/>
      <c r="BG1183" s="166"/>
      <c r="BH1183" s="166"/>
      <c r="BI1183" s="113"/>
      <c r="BJ1183" s="113"/>
      <c r="BK1183" s="113">
        <f>INDEX('Dist. Plant Gas Additions'!$F$7:$AE$91,MATCH($C1183,'Dist. Plant Gas Additions'!$D$7:$D$91,0),MATCH(Calculation!$G1183,'Dist. Plant Gas Additions'!$F$5:$AE$5,0))</f>
        <v>618</v>
      </c>
      <c r="BL1183" s="113">
        <f>INDEX('Gen. Plant Additions'!$F$7:$AE$91,MATCH($C1183,'Gen. Plant Additions'!$D$7:$D$91,0),MATCH(Calculation!$G1183,'Gen. Plant Additions'!$F$5:$AE$5,0))</f>
        <v>52</v>
      </c>
      <c r="BM1183" s="231">
        <f t="shared" si="2149"/>
        <v>0.98178399341873313</v>
      </c>
      <c r="BN1183" s="61">
        <f t="shared" si="2141"/>
        <v>51.052767657774126</v>
      </c>
      <c r="BO1183" s="113">
        <f>INDEX('Dist Plant Depreciation'!$E$7:$AD$94,MATCH($C1183,'Dist Plant Depreciation'!$D$7:$D$94,0),MATCH(Calculation!$G1183,'Dist Plant Depreciation'!$E$5:$AD$5,0))</f>
        <v>8152</v>
      </c>
      <c r="BP1183" s="113">
        <f>INDEX('Gen. Plant Depreciation'!$E$7:$AD$94,MATCH($C1183,'Gen. Plant Depreciation'!$D$7:$D$94,0),MATCH(Calculation!$G1183,'Gen. Plant Depreciation'!$E$5:$AD$5,0))</f>
        <v>126</v>
      </c>
      <c r="BQ1183" s="113"/>
      <c r="BR1183" s="113"/>
      <c r="BS1183" s="113"/>
      <c r="BT1183" s="113"/>
      <c r="BU1183" s="113"/>
      <c r="BV1183" s="175"/>
      <c r="BW1183" s="113">
        <f>INDEX('Gross Dx Plant'!$E$7:$AD$91,MATCH($C1183,'Gross Dx Plant'!$D$7:$D$91,0),MATCH(Calculation!$G1183,'Gross Dx Plant'!$E$5:$AD$5,0))</f>
        <v>16708</v>
      </c>
      <c r="BX1183" s="113">
        <f>INDEX('Gross Gen Plant'!$E$7:$AD$91,MATCH($C1183,'Gross Gen Plant'!$D$7:$D$91,0),MATCH(Calculation!$G1183,'Gross Gen Plant'!$E$5:$AD$5,0))</f>
        <v>310</v>
      </c>
      <c r="BY1183" s="113">
        <f t="shared" si="2067"/>
        <v>8740</v>
      </c>
      <c r="BZ1183" s="113"/>
      <c r="CA1183" s="116">
        <v>2003</v>
      </c>
      <c r="CB1183" s="113"/>
      <c r="CC1183" s="113"/>
      <c r="CD1183" s="113"/>
      <c r="CE1183" s="175"/>
      <c r="CF1183" s="113">
        <f t="shared" si="2150"/>
        <v>670</v>
      </c>
      <c r="CG1183" s="113">
        <f t="shared" si="2151"/>
        <v>1.8145723164513141</v>
      </c>
      <c r="CH1183" s="178">
        <v>0.97354497354497349</v>
      </c>
      <c r="CI1183" s="61">
        <f>+CI1178*CH1183+CG1179*CH1182+CG1180*CH1181+CG1181*CH1180+CG1182*CH1179+CG1183</f>
        <v>49.157254487855909</v>
      </c>
      <c r="CJ1183" s="114">
        <f t="shared" si="2152"/>
        <v>3.1928074819870061E-2</v>
      </c>
      <c r="CK1183" s="114"/>
      <c r="CL1183" s="169">
        <f t="shared" si="2153"/>
        <v>5.6679757963939937E-3</v>
      </c>
      <c r="CM1183" s="169">
        <f t="shared" si="2161"/>
        <v>5.4969548187009483E-3</v>
      </c>
      <c r="CN1183" s="114">
        <f>VLOOKUP($H1183,RoR!$E:$F,2,FALSE)</f>
        <v>5.6666666666666671E-2</v>
      </c>
      <c r="CO1183" s="169">
        <v>1.8855119140166909E-2</v>
      </c>
      <c r="CP1183" s="169">
        <f t="shared" si="2159"/>
        <v>3.7811547526499761E-2</v>
      </c>
      <c r="CQ1183" s="169">
        <f t="shared" si="2162"/>
        <v>2.5404986789832676E-2</v>
      </c>
      <c r="CR1183" s="169">
        <f t="shared" si="2163"/>
        <v>2.1375012817671957E-2</v>
      </c>
      <c r="CS1183" s="179">
        <f t="shared" si="2154"/>
        <v>0.85150049999999999</v>
      </c>
      <c r="CT1183" s="180">
        <f t="shared" si="2155"/>
        <v>0.90497737556561086</v>
      </c>
      <c r="CU1183" s="180">
        <f t="shared" si="2156"/>
        <v>0.5338235294117647</v>
      </c>
      <c r="CV1183" s="180">
        <f t="shared" si="2157"/>
        <v>0.88972433127405692</v>
      </c>
      <c r="CW1183" s="180">
        <f t="shared" si="2158"/>
        <v>0.42982423775949252</v>
      </c>
      <c r="CX1183" s="181">
        <f>INDEX('State Tax Lookup'!$D$7:$Z$91,MATCH(Calculation!$C1183,'State Tax Lookup'!$B$7:$B$91,0),MATCH($H1183,'State Tax Lookup'!$D$6:$Z$6,0))</f>
        <v>0.40134999999999998</v>
      </c>
      <c r="CY1183" s="72">
        <v>0.37</v>
      </c>
      <c r="CZ1183" s="70">
        <f t="shared" si="2160"/>
        <v>13.311918811608292</v>
      </c>
      <c r="DA1183" s="70"/>
      <c r="DB1183" s="69">
        <f t="shared" ref="DB1183:DB1200" si="2164">LN(CZ1183/CZ1182)</f>
        <v>1.5234567497415879E-2</v>
      </c>
      <c r="DC1183" s="111">
        <f>VLOOKUP($H1183,RoR!$E:$F,2,FALSE)</f>
        <v>5.6666666666666671E-2</v>
      </c>
      <c r="DD1183" s="216">
        <f>HLOOKUP($H1183,'GDP-PI'!$D$8:$CQ$11,3,FALSE)</f>
        <v>1.8855119140166909E-2</v>
      </c>
      <c r="DE1183" s="111">
        <f>VLOOKUP(H1183,'HW Dx Data'!$E:$F,2,FALSE)</f>
        <v>369.23301095560191</v>
      </c>
      <c r="DF1183" s="66"/>
      <c r="DG1183" s="69"/>
      <c r="DH1183" s="66">
        <f>HLOOKUP(H1183,'GDP-PI'!$8:$9,2,FALSE)</f>
        <v>82.566999999999993</v>
      </c>
      <c r="DI1183" s="69">
        <f t="shared" ref="DI1183:DI1202" si="2165">LN(DH1183/DH1182)</f>
        <v>1.8679564681853753E-2</v>
      </c>
    </row>
    <row r="1184" spans="1:113" s="160" customFormat="1" ht="21">
      <c r="A1184" s="160" t="s">
        <v>230</v>
      </c>
      <c r="B1184" s="160" t="s">
        <v>230</v>
      </c>
      <c r="C1184" s="160">
        <v>4063281</v>
      </c>
      <c r="D1184" s="161" t="s">
        <v>192</v>
      </c>
      <c r="E1184" s="161"/>
      <c r="F1184" s="189"/>
      <c r="G1184" s="160" t="s">
        <v>115</v>
      </c>
      <c r="H1184" s="162">
        <v>2004</v>
      </c>
      <c r="I1184" s="163"/>
      <c r="J1184" s="159">
        <f>IFERROR(INDEX('Labor Expenditures'!$F$7:$X$91,MATCH($C1184,'Labor Expenditures'!$D$7:$D$91,0),MATCH($G1184,'Labor Expenditures'!$F$5:$X$5,0)),"NA")</f>
        <v>1387.230690759362</v>
      </c>
      <c r="K1184" s="159">
        <f t="shared" ref="K1184:K1202" si="2166">+J1184/DF1184</f>
        <v>14.703027988970451</v>
      </c>
      <c r="L1184" s="165"/>
      <c r="M1184" s="76"/>
      <c r="N1184" s="152"/>
      <c r="O1184" s="76"/>
      <c r="P1184" s="76"/>
      <c r="Q1184" s="159">
        <f>IFERROR(INDEX('Non-Labor Expenditures'!$F$7:$AB$91,MATCH($C1184,'Non-Labor Expenditures'!$D$7:$D$91,0),MATCH($G1184,'Non-Labor Expenditures'!$F$5:$AB$5,0)),"NA")</f>
        <v>2008.969139172611</v>
      </c>
      <c r="R1184" s="159">
        <f t="shared" ref="R1184:R1202" si="2167">+Q1184/DH1184</f>
        <v>23.69682157131108</v>
      </c>
      <c r="S1184" s="159"/>
      <c r="T1184" s="159"/>
      <c r="U1184" s="159"/>
      <c r="V1184" s="159"/>
      <c r="W1184" s="159">
        <f t="shared" si="2148"/>
        <v>726.53526320504955</v>
      </c>
      <c r="X1184" s="163"/>
      <c r="Y1184" s="167">
        <v>50.258028860576182</v>
      </c>
      <c r="Z1184" s="168">
        <v>2.2145877855306466E-2</v>
      </c>
      <c r="AA1184" s="76">
        <f t="shared" ref="AA1184:AA1202" si="2168">+Z1184*$AR1184</f>
        <v>0</v>
      </c>
      <c r="AB1184" s="168"/>
      <c r="AC1184" s="168"/>
      <c r="AD1184" s="163">
        <f t="shared" si="2138"/>
        <v>4122.7350931370229</v>
      </c>
      <c r="AE1184" s="168"/>
      <c r="AF1184" s="163"/>
      <c r="AG1184" s="163"/>
      <c r="AH1184" s="163"/>
      <c r="AI1184" s="163"/>
      <c r="AJ1184" s="167"/>
      <c r="AK1184" s="168"/>
      <c r="AL1184" s="115">
        <f t="shared" ref="AL1184:AL1202" si="2169">+J1184/AD1184</f>
        <v>0.33648310148974592</v>
      </c>
      <c r="AM1184" s="115">
        <f t="shared" ref="AM1184:AM1202" si="2170">+Q1184/AD1184</f>
        <v>0.48729037733151315</v>
      </c>
      <c r="AN1184" s="115">
        <f t="shared" ref="AN1184:AN1202" si="2171">+W1184/AD1184</f>
        <v>0.17622652117874082</v>
      </c>
      <c r="AO1184" s="115"/>
      <c r="AP1184" s="115"/>
      <c r="AQ1184" s="168"/>
      <c r="AR1184" s="115"/>
      <c r="AS1184" s="115"/>
      <c r="AT1184" s="115"/>
      <c r="AU1184" s="115"/>
      <c r="AV1184" s="113">
        <f>IFERROR(INDEX('Total Customers'!$F$7:$AB$91,MATCH($C1184,'Total Customers'!$D$7:$D$91,0),MATCH($G1184,'Total Customers'!$F$5:$AB$5,0)),"NA")</f>
        <v>11884</v>
      </c>
      <c r="AW1184" s="68">
        <f t="shared" si="2113"/>
        <v>8.4182175187754327E-4</v>
      </c>
      <c r="AX1184" s="114"/>
      <c r="AY1184" s="114"/>
      <c r="AZ1184" s="116"/>
      <c r="BA1184" s="116"/>
      <c r="BB1184" s="166"/>
      <c r="BC1184" s="166"/>
      <c r="BD1184" s="166"/>
      <c r="BE1184" s="166"/>
      <c r="BF1184" s="166"/>
      <c r="BG1184" s="166"/>
      <c r="BH1184" s="166"/>
      <c r="BI1184" s="113"/>
      <c r="BJ1184" s="113"/>
      <c r="BK1184" s="113">
        <f>INDEX('Dist. Plant Gas Additions'!$F$7:$AE$91,MATCH($C1184,'Dist. Plant Gas Additions'!$D$7:$D$91,0),MATCH(Calculation!$G1184,'Dist. Plant Gas Additions'!$F$5:$AE$5,0))</f>
        <v>525</v>
      </c>
      <c r="BL1184" s="113">
        <f>INDEX('Gen. Plant Additions'!$F$7:$AE$91,MATCH($C1184,'Gen. Plant Additions'!$D$7:$D$91,0),MATCH(Calculation!$G1184,'Gen. Plant Additions'!$F$5:$AE$5,0))</f>
        <v>51</v>
      </c>
      <c r="BM1184" s="231">
        <f t="shared" si="2149"/>
        <v>0.97810555427517865</v>
      </c>
      <c r="BN1184" s="61">
        <f t="shared" si="2141"/>
        <v>49.883383268034109</v>
      </c>
      <c r="BO1184" s="113">
        <f>INDEX('Dist Plant Depreciation'!$E$7:$AD$94,MATCH($C1184,'Dist Plant Depreciation'!$D$7:$D$94,0),MATCH(Calculation!$G1184,'Dist Plant Depreciation'!$E$5:$AD$5,0))</f>
        <v>8683</v>
      </c>
      <c r="BP1184" s="113">
        <f>INDEX('Gen. Plant Depreciation'!$E$7:$AD$94,MATCH($C1184,'Gen. Plant Depreciation'!$D$7:$D$94,0),MATCH(Calculation!$G1184,'Gen. Plant Depreciation'!$E$5:$AD$5,0))</f>
        <v>148</v>
      </c>
      <c r="BQ1184" s="113"/>
      <c r="BR1184" s="113"/>
      <c r="BS1184" s="113"/>
      <c r="BT1184" s="113"/>
      <c r="BU1184" s="113"/>
      <c r="BV1184" s="175"/>
      <c r="BW1184" s="113">
        <f>INDEX('Gross Dx Plant'!$E$7:$AD$91,MATCH($C1184,'Gross Dx Plant'!$D$7:$D$91,0),MATCH(Calculation!$G1184,'Gross Dx Plant'!$E$5:$AD$5,0))</f>
        <v>16976</v>
      </c>
      <c r="BX1184" s="113">
        <f>INDEX('Gross Gen Plant'!$E$7:$AD$91,MATCH($C1184,'Gross Gen Plant'!$D$7:$D$91,0),MATCH(Calculation!$G1184,'Gross Gen Plant'!$E$5:$AD$5,0))</f>
        <v>380</v>
      </c>
      <c r="BY1184" s="113">
        <f t="shared" si="2067"/>
        <v>8525</v>
      </c>
      <c r="BZ1184" s="113"/>
      <c r="CA1184" s="116">
        <v>2004</v>
      </c>
      <c r="CB1184" s="113"/>
      <c r="CC1184" s="113"/>
      <c r="CD1184" s="113"/>
      <c r="CE1184" s="175"/>
      <c r="CF1184" s="113">
        <f t="shared" si="2150"/>
        <v>576</v>
      </c>
      <c r="CG1184" s="113">
        <f t="shared" si="2151"/>
        <v>1.3883291940698028</v>
      </c>
      <c r="CH1184" s="178">
        <v>0.967741935483871</v>
      </c>
      <c r="CI1184" s="61">
        <f>+CI1178*CH1184+CG1179*CH1183+CG1180*CH1182+CG1181*CH1181+CG1182*CH1180+CG1183*CH1179+CG1184</f>
        <v>50.258028860576182</v>
      </c>
      <c r="CJ1184" s="114">
        <f t="shared" si="2152"/>
        <v>2.2145877855306466E-2</v>
      </c>
      <c r="CK1184" s="114"/>
      <c r="CL1184" s="169">
        <f t="shared" si="2153"/>
        <v>5.8496924684955367E-3</v>
      </c>
      <c r="CM1184" s="169">
        <f t="shared" si="2161"/>
        <v>5.7217581603531617E-3</v>
      </c>
      <c r="CN1184" s="114">
        <f>VLOOKUP($H1184,RoR!$E:$F,2,FALSE)</f>
        <v>5.6283333333333331E-2</v>
      </c>
      <c r="CO1184" s="169">
        <v>2.6778252812867276E-2</v>
      </c>
      <c r="CP1184" s="169">
        <f t="shared" si="2159"/>
        <v>2.9505080520466055E-2</v>
      </c>
      <c r="CQ1184" s="169">
        <f t="shared" si="2162"/>
        <v>2.5180183448180463E-2</v>
      </c>
      <c r="CR1184" s="169">
        <f t="shared" si="2163"/>
        <v>5.5940039414565046E-2</v>
      </c>
      <c r="CS1184" s="179">
        <f t="shared" si="2154"/>
        <v>0.85150049999999999</v>
      </c>
      <c r="CT1184" s="180">
        <f t="shared" si="2155"/>
        <v>0.91114097628755619</v>
      </c>
      <c r="CU1184" s="180">
        <f t="shared" si="2156"/>
        <v>0.53081877405981637</v>
      </c>
      <c r="CV1184" s="180">
        <f t="shared" si="2157"/>
        <v>0.88811215519385678</v>
      </c>
      <c r="CW1184" s="180">
        <f t="shared" si="2158"/>
        <v>0.42953609753547711</v>
      </c>
      <c r="CX1184" s="181">
        <f>INDEX('State Tax Lookup'!$D$7:$Z$91,MATCH(Calculation!$C1184,'State Tax Lookup'!$B$7:$B$91,0),MATCH($H1184,'State Tax Lookup'!$D$6:$Z$6,0))</f>
        <v>0.40134999999999998</v>
      </c>
      <c r="CY1184" s="72">
        <v>0.37</v>
      </c>
      <c r="CZ1184" s="70">
        <f t="shared" si="2160"/>
        <v>14.779817765952266</v>
      </c>
      <c r="DA1184" s="70"/>
      <c r="DB1184" s="69">
        <f t="shared" si="2164"/>
        <v>0.1046028004981982</v>
      </c>
      <c r="DC1184" s="111">
        <f>VLOOKUP($H1184,RoR!$E:$F,2,FALSE)</f>
        <v>5.6283333333333331E-2</v>
      </c>
      <c r="DD1184" s="216">
        <f>HLOOKUP($H1184,'GDP-PI'!$D$8:$CQ$11,3,FALSE)</f>
        <v>2.6778252812867276E-2</v>
      </c>
      <c r="DE1184" s="111">
        <f>VLOOKUP(H1184,'HW Dx Data'!$E:$F,2,FALSE)</f>
        <v>414.88719135228365</v>
      </c>
      <c r="DF1184" s="72">
        <f>VLOOKUP(G1184,EG$8:EH$27,2,FALSE)</f>
        <v>94.35</v>
      </c>
      <c r="DG1184" s="69"/>
      <c r="DH1184" s="66">
        <f>HLOOKUP(H1184,'GDP-PI'!$8:$9,2,FALSE)</f>
        <v>84.778000000000006</v>
      </c>
      <c r="DI1184" s="69">
        <f t="shared" si="2165"/>
        <v>2.6425990216022755E-2</v>
      </c>
    </row>
    <row r="1185" spans="1:113" s="160" customFormat="1" ht="21">
      <c r="A1185" s="160" t="s">
        <v>230</v>
      </c>
      <c r="B1185" s="160" t="s">
        <v>230</v>
      </c>
      <c r="C1185" s="160">
        <v>4063281</v>
      </c>
      <c r="D1185" s="161" t="s">
        <v>192</v>
      </c>
      <c r="E1185" s="161"/>
      <c r="F1185" s="189"/>
      <c r="G1185" s="160" t="s">
        <v>116</v>
      </c>
      <c r="H1185" s="162">
        <v>2005</v>
      </c>
      <c r="I1185" s="163"/>
      <c r="J1185" s="159">
        <f>IFERROR(INDEX('Labor Expenditures'!$F$7:$X$91,MATCH($C1185,'Labor Expenditures'!$D$7:$D$91,0),MATCH($G1185,'Labor Expenditures'!$F$5:$X$5,0)),"NA")</f>
        <v>1537.4452186554706</v>
      </c>
      <c r="K1185" s="159">
        <f t="shared" si="2166"/>
        <v>15.494534831498823</v>
      </c>
      <c r="L1185" s="165">
        <f t="shared" ref="L1185:L1201" si="2172">LN(K1185/K1184)</f>
        <v>5.2433912017182956E-2</v>
      </c>
      <c r="M1185" s="76"/>
      <c r="N1185" s="62">
        <v>100</v>
      </c>
      <c r="O1185" s="77"/>
      <c r="P1185" s="77"/>
      <c r="Q1185" s="159">
        <f>IFERROR(INDEX('Non-Labor Expenditures'!$F$7:$AB$91,MATCH($C1185,'Non-Labor Expenditures'!$D$7:$D$91,0),MATCH($G1185,'Non-Labor Expenditures'!$F$5:$AB$5,0)),"NA")</f>
        <v>2226.507831769929</v>
      </c>
      <c r="R1185" s="159">
        <f t="shared" si="2167"/>
        <v>25.47287782179836</v>
      </c>
      <c r="S1185" s="165">
        <f>LN(R1185/R1184)</f>
        <v>7.2273343061019443E-2</v>
      </c>
      <c r="T1185" s="165"/>
      <c r="U1185" s="165"/>
      <c r="V1185" s="165"/>
      <c r="W1185" s="159">
        <f t="shared" si="2148"/>
        <v>833.54541416108464</v>
      </c>
      <c r="X1185" s="163"/>
      <c r="Y1185" s="167">
        <v>51.088041677800206</v>
      </c>
      <c r="Z1185" s="168">
        <v>1.6380139280287271E-2</v>
      </c>
      <c r="AA1185" s="76">
        <f t="shared" si="2168"/>
        <v>0</v>
      </c>
      <c r="AB1185" s="168"/>
      <c r="AC1185" s="168"/>
      <c r="AD1185" s="163">
        <f t="shared" si="2138"/>
        <v>4597.4984645864843</v>
      </c>
      <c r="AE1185" s="168">
        <f>LN(AD1185/AD1184)</f>
        <v>0.1089955428662225</v>
      </c>
      <c r="AF1185" s="163"/>
      <c r="AG1185" s="163"/>
      <c r="AH1185" s="163"/>
      <c r="AI1185" s="163"/>
      <c r="AJ1185" s="116"/>
      <c r="AK1185" s="114"/>
      <c r="AL1185" s="115">
        <f t="shared" si="2169"/>
        <v>0.33440907713141654</v>
      </c>
      <c r="AM1185" s="115">
        <f t="shared" si="2170"/>
        <v>0.48428680268633634</v>
      </c>
      <c r="AN1185" s="115">
        <f t="shared" si="2171"/>
        <v>0.18130412018224715</v>
      </c>
      <c r="AO1185" s="115">
        <f t="shared" ref="AO1185:AO1201" si="2173">+(((AL1185+AL1184)/2)*L1185+((AM1184+AM1185)/2)*S1185+((AN1184+AN1185)/2)*Z1185)</f>
        <v>5.5626517005494765E-2</v>
      </c>
      <c r="AP1185" s="166">
        <v>100</v>
      </c>
      <c r="AQ1185" s="168"/>
      <c r="AR1185" s="115"/>
      <c r="AS1185" s="115"/>
      <c r="AT1185" s="115"/>
      <c r="AU1185" s="115"/>
      <c r="AV1185" s="113">
        <f>IFERROR(INDEX('Total Customers'!$F$7:$AB$91,MATCH($C1185,'Total Customers'!$D$7:$D$91,0),MATCH($G1185,'Total Customers'!$F$5:$AB$5,0)),"NA")</f>
        <v>11979</v>
      </c>
      <c r="AW1185" s="68">
        <f t="shared" si="2113"/>
        <v>7.9621591488326648E-3</v>
      </c>
      <c r="AX1185" s="114"/>
      <c r="AY1185" s="114"/>
      <c r="AZ1185" s="116"/>
      <c r="BA1185" s="116"/>
      <c r="BB1185" s="166"/>
      <c r="BC1185" s="166"/>
      <c r="BD1185" s="166"/>
      <c r="BE1185" s="166"/>
      <c r="BF1185" s="166"/>
      <c r="BG1185" s="166"/>
      <c r="BH1185" s="166"/>
      <c r="BI1185" s="113"/>
      <c r="BJ1185" s="113"/>
      <c r="BK1185" s="113">
        <f>INDEX('Dist. Plant Gas Additions'!$F$7:$AE$91,MATCH($C1185,'Dist. Plant Gas Additions'!$D$7:$D$91,0),MATCH(Calculation!$G1185,'Dist. Plant Gas Additions'!$F$5:$AE$5,0))</f>
        <v>507</v>
      </c>
      <c r="BL1185" s="113">
        <f>INDEX('Gen. Plant Additions'!$F$7:$AE$91,MATCH($C1185,'Gen. Plant Additions'!$D$7:$D$91,0),MATCH(Calculation!$G1185,'Gen. Plant Additions'!$F$5:$AE$5,0))</f>
        <v>25</v>
      </c>
      <c r="BM1185" s="231">
        <f t="shared" si="2149"/>
        <v>0.97619315623592973</v>
      </c>
      <c r="BN1185" s="61">
        <f t="shared" si="2141"/>
        <v>24.404828905898242</v>
      </c>
      <c r="BO1185" s="113">
        <f>INDEX('Dist Plant Depreciation'!$E$7:$AD$94,MATCH($C1185,'Dist Plant Depreciation'!$D$7:$D$94,0),MATCH(Calculation!$G1185,'Dist Plant Depreciation'!$E$5:$AD$5,0))</f>
        <v>9200</v>
      </c>
      <c r="BP1185" s="113">
        <f>INDEX('Gen. Plant Depreciation'!$E$7:$AD$94,MATCH($C1185,'Gen. Plant Depreciation'!$D$7:$D$94,0),MATCH(Calculation!$G1185,'Gen. Plant Depreciation'!$E$5:$AD$5,0))</f>
        <v>168</v>
      </c>
      <c r="BQ1185" s="113"/>
      <c r="BR1185" s="113"/>
      <c r="BS1185" s="113"/>
      <c r="BT1185" s="113"/>
      <c r="BU1185" s="113"/>
      <c r="BV1185" s="175"/>
      <c r="BW1185" s="113">
        <f>INDEX('Gross Dx Plant'!$E$7:$AD$91,MATCH($C1185,'Gross Dx Plant'!$D$7:$D$91,0),MATCH(Calculation!$G1185,'Gross Dx Plant'!$E$5:$AD$5,0))</f>
        <v>17345</v>
      </c>
      <c r="BX1185" s="113">
        <f>INDEX('Gross Gen Plant'!$E$7:$AD$91,MATCH($C1185,'Gross Gen Plant'!$D$7:$D$91,0),MATCH(Calculation!$G1185,'Gross Gen Plant'!$E$5:$AD$5,0))</f>
        <v>423</v>
      </c>
      <c r="BY1185" s="113">
        <f t="shared" si="2067"/>
        <v>8400</v>
      </c>
      <c r="BZ1185" s="113"/>
      <c r="CA1185" s="116">
        <v>2005</v>
      </c>
      <c r="CB1185" s="113"/>
      <c r="CC1185" s="113"/>
      <c r="CD1185" s="113"/>
      <c r="CE1185" s="175"/>
      <c r="CF1185" s="113">
        <f t="shared" si="2150"/>
        <v>532</v>
      </c>
      <c r="CG1185" s="113">
        <f t="shared" si="2151"/>
        <v>1.1338324205141517</v>
      </c>
      <c r="CH1185" s="178">
        <v>0.96174863387978138</v>
      </c>
      <c r="CI1185" s="61">
        <f>+CI1178*CH1185+CG1179*CH1184+CG1180*CH1183+CG1181*CH1182+CG1182*CH1181+CG1183*CH1180+CG1184*CH1179+CG1185</f>
        <v>51.088041677800206</v>
      </c>
      <c r="CJ1185" s="114">
        <f t="shared" si="2152"/>
        <v>1.6380139280287271E-2</v>
      </c>
      <c r="CK1185" s="114"/>
      <c r="CL1185" s="169">
        <f t="shared" si="2153"/>
        <v>6.045195368345471E-3</v>
      </c>
      <c r="CM1185" s="169">
        <f t="shared" si="2161"/>
        <v>5.8542878777450005E-3</v>
      </c>
      <c r="CN1185" s="114">
        <f>VLOOKUP($H1185,RoR!$E:$F,2,FALSE)</f>
        <v>5.2350000000000001E-2</v>
      </c>
      <c r="CO1185" s="169">
        <v>3.1010403642454332E-2</v>
      </c>
      <c r="CP1185" s="169">
        <f t="shared" si="2159"/>
        <v>2.1339596357545669E-2</v>
      </c>
      <c r="CQ1185" s="169">
        <f t="shared" si="2162"/>
        <v>2.5047653730788624E-2</v>
      </c>
      <c r="CR1185" s="169">
        <f t="shared" si="2163"/>
        <v>9.2129610649277341E-2</v>
      </c>
      <c r="CS1185" s="179">
        <f t="shared" si="2154"/>
        <v>0.85150049999999999</v>
      </c>
      <c r="CT1185" s="180">
        <f t="shared" si="2155"/>
        <v>0.97959983346802826</v>
      </c>
      <c r="CU1185" s="180">
        <f t="shared" si="2156"/>
        <v>0.49744508118433622</v>
      </c>
      <c r="CV1185" s="180">
        <f t="shared" si="2157"/>
        <v>0.87010519444335932</v>
      </c>
      <c r="CW1185" s="180">
        <f t="shared" si="2158"/>
        <v>0.42399975420741998</v>
      </c>
      <c r="CX1185" s="181">
        <f>INDEX('State Tax Lookup'!$D$7:$Z$91,MATCH(Calculation!$C1185,'State Tax Lookup'!$B$7:$B$91,0),MATCH($H1185,'State Tax Lookup'!$D$6:$Z$6,0))</f>
        <v>0.40134999999999998</v>
      </c>
      <c r="CY1185" s="72">
        <v>0.37</v>
      </c>
      <c r="CZ1185" s="70">
        <f t="shared" si="2160"/>
        <v>16.585318466696595</v>
      </c>
      <c r="DA1185" s="70"/>
      <c r="DB1185" s="69">
        <f t="shared" si="2164"/>
        <v>0.11525528863585026</v>
      </c>
      <c r="DC1185" s="111">
        <f>VLOOKUP($H1185,RoR!$E:$F,2,FALSE)</f>
        <v>5.2350000000000001E-2</v>
      </c>
      <c r="DD1185" s="216">
        <f>HLOOKUP($H1185,'GDP-PI'!$D$8:$CQ$11,3,FALSE)</f>
        <v>3.1010403642454332E-2</v>
      </c>
      <c r="DE1185" s="111">
        <f>VLOOKUP(H1185,'HW Dx Data'!$E:$F,2,FALSE)</f>
        <v>469.20514034936258</v>
      </c>
      <c r="DF1185" s="72">
        <f t="shared" ref="DF1185:DF1203" si="2174">VLOOKUP(G1185,EG$8:EH$27,2,FALSE)</f>
        <v>99.224999999999994</v>
      </c>
      <c r="DG1185" s="69">
        <f t="shared" ref="DG1185:DG1203" si="2175">LN(DF1185/DF1184)</f>
        <v>5.0378726854569796E-2</v>
      </c>
      <c r="DH1185" s="66">
        <f>HLOOKUP(H1185,'GDP-PI'!$8:$9,2,FALSE)</f>
        <v>87.406999999999996</v>
      </c>
      <c r="DI1185" s="69">
        <f t="shared" si="2165"/>
        <v>3.0539295810733648E-2</v>
      </c>
    </row>
    <row r="1186" spans="1:113" s="160" customFormat="1" ht="21">
      <c r="A1186" s="160" t="s">
        <v>230</v>
      </c>
      <c r="B1186" s="160" t="s">
        <v>230</v>
      </c>
      <c r="C1186" s="160">
        <v>4063281</v>
      </c>
      <c r="D1186" s="161" t="s">
        <v>192</v>
      </c>
      <c r="E1186" s="161"/>
      <c r="F1186" s="189"/>
      <c r="G1186" s="160" t="s">
        <v>117</v>
      </c>
      <c r="H1186" s="162">
        <v>2006</v>
      </c>
      <c r="I1186" s="163"/>
      <c r="J1186" s="159">
        <f>IFERROR(INDEX('Labor Expenditures'!$F$7:$X$91,MATCH($C1186,'Labor Expenditures'!$D$7:$D$91,0),MATCH($G1186,'Labor Expenditures'!$F$5:$X$5,0)),"NA")</f>
        <v>1621.2258941285252</v>
      </c>
      <c r="K1186" s="159">
        <f t="shared" si="2166"/>
        <v>14.819249489291821</v>
      </c>
      <c r="L1186" s="165">
        <f t="shared" si="2172"/>
        <v>-4.4560393396577996E-2</v>
      </c>
      <c r="M1186" s="76">
        <f t="shared" ref="M1186:M1202" si="2176">+L1186*$AR1186</f>
        <v>-2.6849471825703175E-5</v>
      </c>
      <c r="N1186" s="62">
        <f>+N1185*EXP(O1186)</f>
        <v>115.47164735976827</v>
      </c>
      <c r="O1186" s="96">
        <f t="shared" ref="O1186:O1202" si="2177">+M1186+M1211+M1236+M1261+M1286+M1311+M1336+M1361+M1386+M1411+M1436+M1461+M1486+M1511+M1536+M1561+M1586+M1611+M1636+M1661+M1686+M1711+M1736+M1761+M1786+M1811+M1836+M1861+M1886+M1911+M1936+M1961+M1986+M2011+M2036+M2061+M2086+M2111+M2136+M2161+M2186+M2211+M2236+M2261+M2286+M2311+M2336+M2361+M2386+M2411+M2436+M2461+M2486+M2511</f>
        <v>0.14385483643464334</v>
      </c>
      <c r="P1186" s="96"/>
      <c r="Q1186" s="159">
        <f>IFERROR(INDEX('Non-Labor Expenditures'!$F$7:$AB$91,MATCH($C1186,'Non-Labor Expenditures'!$D$7:$D$91,0),MATCH($G1186,'Non-Labor Expenditures'!$F$5:$AB$5,0)),"NA")</f>
        <v>2347.8378979266026</v>
      </c>
      <c r="R1186" s="159">
        <f t="shared" si="2167"/>
        <v>26.065655993145665</v>
      </c>
      <c r="S1186" s="165">
        <f t="shared" ref="S1186:S1201" si="2178">LN(R1186/R1185)</f>
        <v>2.3004314196718934E-2</v>
      </c>
      <c r="T1186" s="165">
        <f t="shared" ref="T1186:T1202" si="2179">+S1186*AR1186</f>
        <v>1.3861046521682216E-5</v>
      </c>
      <c r="U1186" s="165"/>
      <c r="V1186" s="165"/>
      <c r="W1186" s="159">
        <f t="shared" si="2148"/>
        <v>826.93857355684167</v>
      </c>
      <c r="X1186" s="163"/>
      <c r="Y1186" s="167">
        <v>51.857284379206398</v>
      </c>
      <c r="Z1186" s="168">
        <v>1.4944962505218755E-2</v>
      </c>
      <c r="AA1186" s="76">
        <f t="shared" si="2168"/>
        <v>9.004955278309466E-6</v>
      </c>
      <c r="AB1186" s="168"/>
      <c r="AC1186" s="168"/>
      <c r="AD1186" s="163">
        <f t="shared" si="2138"/>
        <v>4796.0023656119702</v>
      </c>
      <c r="AE1186" s="168">
        <f t="shared" ref="AE1186:AE1202" si="2180">LN(AD1186/AD1185)</f>
        <v>4.2270386882779745E-2</v>
      </c>
      <c r="AF1186" s="163"/>
      <c r="AG1186" s="163"/>
      <c r="AH1186" s="163"/>
      <c r="AI1186" s="163"/>
      <c r="AJ1186" s="116">
        <f t="shared" ref="AJ1186:AJ1202" si="2181">+(AD1186*1000)/AV1186</f>
        <v>398.40524718491196</v>
      </c>
      <c r="AK1186" s="114">
        <f>+AV1186/$AX$11</f>
        <v>3.4710199103849437E-4</v>
      </c>
      <c r="AL1186" s="115">
        <f t="shared" si="2169"/>
        <v>0.33803692545127773</v>
      </c>
      <c r="AM1186" s="115">
        <f t="shared" si="2170"/>
        <v>0.48954060464209515</v>
      </c>
      <c r="AN1186" s="115">
        <f t="shared" si="2171"/>
        <v>0.17242246990662696</v>
      </c>
      <c r="AO1186" s="115">
        <f t="shared" si="2173"/>
        <v>-1.1378980677523133E-3</v>
      </c>
      <c r="AP1186" s="166">
        <f>+AP1185*EXP(AO1186)</f>
        <v>99.886274909276324</v>
      </c>
      <c r="AQ1186" s="168">
        <f>LN(AP1186/AP1185)</f>
        <v>-1.1378980677521644E-3</v>
      </c>
      <c r="AR1186" s="169">
        <f>+AD1186/$AF$11</f>
        <v>6.0254117567474336E-4</v>
      </c>
      <c r="AS1186" s="169">
        <f>+AR1186*AQ1186</f>
        <v>-6.8563043954140793E-7</v>
      </c>
      <c r="AT1186" s="115"/>
      <c r="AU1186" s="115"/>
      <c r="AV1186" s="113">
        <f>IFERROR(INDEX('Total Customers'!$F$7:$AB$91,MATCH($C1186,'Total Customers'!$D$7:$D$91,0),MATCH($G1186,'Total Customers'!$F$5:$AB$5,0)),"NA")</f>
        <v>12038</v>
      </c>
      <c r="AW1186" s="68">
        <f t="shared" si="2113"/>
        <v>4.9131963763851105E-3</v>
      </c>
      <c r="AX1186" s="114"/>
      <c r="AY1186" s="114"/>
      <c r="AZ1186" s="116"/>
      <c r="BA1186" s="116"/>
      <c r="BB1186" s="166"/>
      <c r="BC1186" s="166"/>
      <c r="BD1186" s="166"/>
      <c r="BE1186" s="166"/>
      <c r="BF1186" s="166"/>
      <c r="BG1186" s="166"/>
      <c r="BH1186" s="166"/>
      <c r="BI1186" s="113"/>
      <c r="BJ1186" s="113"/>
      <c r="BK1186" s="113">
        <f>INDEX('Dist. Plant Gas Additions'!$F$7:$AE$91,MATCH($C1186,'Dist. Plant Gas Additions'!$D$7:$D$91,0),MATCH(Calculation!$G1186,'Dist. Plant Gas Additions'!$F$5:$AE$5,0))</f>
        <v>476</v>
      </c>
      <c r="BL1186" s="113">
        <f>INDEX('Gen. Plant Additions'!$F$7:$AE$91,MATCH($C1186,'Gen. Plant Additions'!$D$7:$D$91,0),MATCH(Calculation!$G1186,'Gen. Plant Additions'!$F$5:$AE$5,0))</f>
        <v>26</v>
      </c>
      <c r="BM1186" s="231">
        <f t="shared" si="2149"/>
        <v>0.97536756638139122</v>
      </c>
      <c r="BN1186" s="61">
        <f>+BM1186*BL1186</f>
        <v>25.359556725916171</v>
      </c>
      <c r="BO1186" s="113">
        <f>INDEX('Dist Plant Depreciation'!$E$7:$AD$94,MATCH($C1186,'Dist Plant Depreciation'!$D$7:$D$94,0),MATCH(Calculation!$G1186,'Dist Plant Depreciation'!$E$5:$AD$5,0))</f>
        <v>9786</v>
      </c>
      <c r="BP1186" s="113">
        <f>INDEX('Gen. Plant Depreciation'!$E$7:$AD$94,MATCH($C1186,'Gen. Plant Depreciation'!$D$7:$D$94,0),MATCH(Calculation!$G1186,'Gen. Plant Depreciation'!$E$5:$AD$5,0))</f>
        <v>169</v>
      </c>
      <c r="BQ1186" s="113"/>
      <c r="BR1186" s="113"/>
      <c r="BS1186" s="113"/>
      <c r="BT1186" s="113"/>
      <c r="BU1186" s="113"/>
      <c r="BV1186" s="175"/>
      <c r="BW1186" s="113">
        <f>INDEX('Gross Dx Plant'!$E$7:$AD$91,MATCH($C1186,'Gross Dx Plant'!$D$7:$D$91,0),MATCH(Calculation!$G1186,'Gross Dx Plant'!$E$5:$AD$5,0))</f>
        <v>17779</v>
      </c>
      <c r="BX1186" s="113">
        <f>INDEX('Gross Gen Plant'!$E$7:$AD$91,MATCH($C1186,'Gross Gen Plant'!$D$7:$D$91,0),MATCH(Calculation!$G1186,'Gross Gen Plant'!$E$5:$AD$5,0))</f>
        <v>449</v>
      </c>
      <c r="BY1186" s="113">
        <f t="shared" si="2067"/>
        <v>8273</v>
      </c>
      <c r="BZ1186" s="114"/>
      <c r="CA1186" s="116">
        <v>2006</v>
      </c>
      <c r="CB1186" s="113"/>
      <c r="CC1186" s="113"/>
      <c r="CD1186" s="113"/>
      <c r="CE1186" s="175"/>
      <c r="CF1186" s="113">
        <f t="shared" si="2150"/>
        <v>502</v>
      </c>
      <c r="CG1186" s="113">
        <f t="shared" si="2151"/>
        <v>1.0887347616508249</v>
      </c>
      <c r="CH1186" s="178">
        <v>0.9555555555555556</v>
      </c>
      <c r="CI1186" s="61">
        <f>+CI1178*CH1186+CG1179*CH1185+CG1180*CH1184+CG1181*CH1183+CG1182*CH1182+CG1183*CH1181+CG1184*CH1180+CG1185*CH1179+CG1186</f>
        <v>51.857284379206398</v>
      </c>
      <c r="CJ1186" s="114">
        <f t="shared" si="2152"/>
        <v>1.4944962505218755E-2</v>
      </c>
      <c r="CK1186" s="114"/>
      <c r="CL1186" s="169">
        <f t="shared" si="2153"/>
        <v>6.2537542985027948E-3</v>
      </c>
      <c r="CM1186" s="169">
        <f t="shared" si="2161"/>
        <v>6.0495473784479342E-3</v>
      </c>
      <c r="CN1186" s="114">
        <f>VLOOKUP($H1186,RoR!$E:$F,2,FALSE)</f>
        <v>5.5874999999999994E-2</v>
      </c>
      <c r="CO1186" s="169">
        <v>3.0512430354548314E-2</v>
      </c>
      <c r="CP1186" s="169">
        <f t="shared" si="2159"/>
        <v>2.536256964545168E-2</v>
      </c>
      <c r="CQ1186" s="169">
        <f t="shared" si="2162"/>
        <v>2.485239423008569E-2</v>
      </c>
      <c r="CR1186" s="169">
        <f t="shared" si="2163"/>
        <v>7.9087823893859641E-2</v>
      </c>
      <c r="CS1186" s="179">
        <f t="shared" si="2154"/>
        <v>0.85150049999999999</v>
      </c>
      <c r="CT1186" s="180">
        <f t="shared" si="2155"/>
        <v>0.91779957551769631</v>
      </c>
      <c r="CU1186" s="180">
        <f t="shared" si="2156"/>
        <v>0.52757270693512304</v>
      </c>
      <c r="CV1186" s="180">
        <f t="shared" si="2157"/>
        <v>0.88636824549024895</v>
      </c>
      <c r="CW1186" s="180">
        <f t="shared" si="2158"/>
        <v>0.42918482841932087</v>
      </c>
      <c r="CX1186" s="181">
        <f>INDEX('State Tax Lookup'!$D$7:$Z$91,MATCH(Calculation!$C1186,'State Tax Lookup'!$B$7:$B$91,0),MATCH($H1186,'State Tax Lookup'!$D$6:$Z$6,0))</f>
        <v>0.40134999999999998</v>
      </c>
      <c r="CY1186" s="72">
        <v>0.37</v>
      </c>
      <c r="CZ1186" s="70">
        <f t="shared" si="2160"/>
        <v>16.186538892450432</v>
      </c>
      <c r="DA1186" s="70">
        <v>14.788696346247992</v>
      </c>
      <c r="DB1186" s="69">
        <f t="shared" si="2164"/>
        <v>-2.4337910048976164E-2</v>
      </c>
      <c r="DC1186" s="111">
        <f>VLOOKUP($H1186,RoR!$E:$F,2,FALSE)</f>
        <v>5.5874999999999994E-2</v>
      </c>
      <c r="DD1186" s="216">
        <f>HLOOKUP($H1186,'GDP-PI'!$D$8:$CQ$11,3,FALSE)</f>
        <v>3.0512430354548314E-2</v>
      </c>
      <c r="DE1186" s="111">
        <f>VLOOKUP(H1186,'HW Dx Data'!$E:$F,2,FALSE)</f>
        <v>461.08567272971823</v>
      </c>
      <c r="DF1186" s="72">
        <f t="shared" si="2174"/>
        <v>109.4</v>
      </c>
      <c r="DG1186" s="69">
        <f t="shared" si="2175"/>
        <v>9.7620891318751846E-2</v>
      </c>
      <c r="DH1186" s="66">
        <f>HLOOKUP(H1186,'GDP-PI'!$8:$9,2,FALSE)</f>
        <v>90.073999999999998</v>
      </c>
      <c r="DI1186" s="69">
        <f t="shared" si="2165"/>
        <v>3.005618372545445E-2</v>
      </c>
    </row>
    <row r="1187" spans="1:113" s="160" customFormat="1" ht="21">
      <c r="A1187" s="160" t="s">
        <v>230</v>
      </c>
      <c r="B1187" s="160" t="s">
        <v>230</v>
      </c>
      <c r="C1187" s="160">
        <v>4063281</v>
      </c>
      <c r="D1187" s="161" t="s">
        <v>192</v>
      </c>
      <c r="E1187" s="161"/>
      <c r="F1187" s="189"/>
      <c r="G1187" s="160" t="s">
        <v>118</v>
      </c>
      <c r="H1187" s="162">
        <v>2007</v>
      </c>
      <c r="I1187" s="163"/>
      <c r="J1187" s="159">
        <f>IFERROR(INDEX('Labor Expenditures'!$F$7:$X$91,MATCH($C1187,'Labor Expenditures'!$D$7:$D$91,0),MATCH($G1187,'Labor Expenditures'!$F$5:$X$5,0)),"NA")</f>
        <v>1591.4363480371192</v>
      </c>
      <c r="K1187" s="159">
        <f t="shared" si="2166"/>
        <v>15.225413518652182</v>
      </c>
      <c r="L1187" s="165">
        <f t="shared" si="2172"/>
        <v>2.7038996892313334E-2</v>
      </c>
      <c r="M1187" s="76">
        <f t="shared" si="2176"/>
        <v>1.5425955482312179E-5</v>
      </c>
      <c r="N1187" s="62">
        <f t="shared" ref="N1187:N1200" si="2182">+N1186*EXP(O1187)</f>
        <v>119.91421752549384</v>
      </c>
      <c r="O1187" s="96">
        <f t="shared" si="2177"/>
        <v>3.7751610775172625E-2</v>
      </c>
      <c r="P1187" s="96"/>
      <c r="Q1187" s="159">
        <f>IFERROR(INDEX('Non-Labor Expenditures'!$F$7:$AB$91,MATCH($C1187,'Non-Labor Expenditures'!$D$7:$D$91,0),MATCH($G1187,'Non-Labor Expenditures'!$F$5:$AB$5,0)),"NA")</f>
        <v>2304.6970712665216</v>
      </c>
      <c r="R1187" s="159">
        <f t="shared" si="2167"/>
        <v>24.916182741967624</v>
      </c>
      <c r="S1187" s="165">
        <f t="shared" si="2178"/>
        <v>-4.5101083802976748E-2</v>
      </c>
      <c r="T1187" s="165">
        <f t="shared" si="2179"/>
        <v>-2.5730514845635125E-5</v>
      </c>
      <c r="U1187" s="165"/>
      <c r="V1187" s="165"/>
      <c r="W1187" s="159">
        <f t="shared" si="2148"/>
        <v>900.55046274345636</v>
      </c>
      <c r="X1187" s="163"/>
      <c r="Y1187" s="167">
        <v>52.47343241322087</v>
      </c>
      <c r="Z1187" s="168">
        <v>1.1811577958029108E-2</v>
      </c>
      <c r="AA1187" s="76">
        <f t="shared" si="2168"/>
        <v>6.7385959798018311E-6</v>
      </c>
      <c r="AB1187" s="168"/>
      <c r="AC1187" s="168"/>
      <c r="AD1187" s="163">
        <f t="shared" si="2138"/>
        <v>4796.6838820470975</v>
      </c>
      <c r="AE1187" s="168">
        <f t="shared" si="2180"/>
        <v>1.4209084268561076E-4</v>
      </c>
      <c r="AF1187" s="163"/>
      <c r="AG1187" s="163"/>
      <c r="AH1187" s="163"/>
      <c r="AI1187" s="163"/>
      <c r="AJ1187" s="116">
        <f t="shared" si="2181"/>
        <v>396.15823274257491</v>
      </c>
      <c r="AK1187" s="114">
        <f>+AV1187/$AX$12</f>
        <v>3.4649180906584317E-4</v>
      </c>
      <c r="AL1187" s="115">
        <f t="shared" si="2169"/>
        <v>0.33177845094055608</v>
      </c>
      <c r="AM1187" s="115">
        <f t="shared" si="2170"/>
        <v>0.48047716462877221</v>
      </c>
      <c r="AN1187" s="115">
        <f t="shared" si="2171"/>
        <v>0.18774438443067157</v>
      </c>
      <c r="AO1187" s="115">
        <f t="shared" si="2173"/>
        <v>-1.069178897183818E-2</v>
      </c>
      <c r="AP1187" s="166">
        <f>+AP1186*EXP(AO1187)</f>
        <v>98.824000861151191</v>
      </c>
      <c r="AQ1187" s="168">
        <f>LN(AP1187/AP1186)</f>
        <v>-1.0691788971838123E-2</v>
      </c>
      <c r="AR1187" s="169">
        <f>+AD1187/$AF$12</f>
        <v>5.7050768354122941E-4</v>
      </c>
      <c r="AS1187" s="169">
        <f t="shared" ref="AS1187:AS1201" si="2183">+AR1187*AQ1187</f>
        <v>-6.09974775923503E-6</v>
      </c>
      <c r="AT1187" s="115"/>
      <c r="AU1187" s="115"/>
      <c r="AV1187" s="113">
        <f>IFERROR(INDEX('Total Customers'!$F$7:$AB$91,MATCH($C1187,'Total Customers'!$D$7:$D$91,0),MATCH($G1187,'Total Customers'!$F$5:$AB$5,0)),"NA")</f>
        <v>12108</v>
      </c>
      <c r="AW1187" s="68">
        <f t="shared" si="2113"/>
        <v>5.7980780338931556E-3</v>
      </c>
      <c r="AX1187" s="114"/>
      <c r="AY1187" s="114"/>
      <c r="AZ1187" s="116"/>
      <c r="BA1187" s="116"/>
      <c r="BB1187" s="166"/>
      <c r="BC1187" s="166"/>
      <c r="BD1187" s="166"/>
      <c r="BE1187" s="166"/>
      <c r="BF1187" s="166"/>
      <c r="BG1187" s="166"/>
      <c r="BH1187" s="166"/>
      <c r="BI1187" s="113"/>
      <c r="BJ1187" s="113"/>
      <c r="BK1187" s="113">
        <f>INDEX('Dist. Plant Gas Additions'!$F$7:$AE$91,MATCH($C1187,'Dist. Plant Gas Additions'!$D$7:$D$91,0),MATCH(Calculation!$G1187,'Dist. Plant Gas Additions'!$F$5:$AE$5,0))</f>
        <v>396</v>
      </c>
      <c r="BL1187" s="113">
        <f>INDEX('Gen. Plant Additions'!$F$7:$AE$91,MATCH($C1187,'Gen. Plant Additions'!$D$7:$D$91,0),MATCH(Calculation!$G1187,'Gen. Plant Additions'!$F$5:$AE$5,0))</f>
        <v>78</v>
      </c>
      <c r="BM1187" s="231">
        <f t="shared" si="2149"/>
        <v>0.97180229441406674</v>
      </c>
      <c r="BN1187" s="61">
        <f t="shared" ref="BN1187:BN1206" si="2184">+BM1187*BL1187</f>
        <v>75.800578964297202</v>
      </c>
      <c r="BO1187" s="113">
        <f>INDEX('Dist Plant Depreciation'!$E$7:$AD$94,MATCH($C1187,'Dist Plant Depreciation'!$D$7:$D$94,0),MATCH(Calculation!$G1187,'Dist Plant Depreciation'!$E$5:$AD$5,0))</f>
        <v>10337</v>
      </c>
      <c r="BP1187" s="113">
        <f>INDEX('Gen. Plant Depreciation'!$E$7:$AD$94,MATCH($C1187,'Gen. Plant Depreciation'!$D$7:$D$94,0),MATCH(Calculation!$G1187,'Gen. Plant Depreciation'!$E$5:$AD$5,0))</f>
        <v>179</v>
      </c>
      <c r="BQ1187" s="113"/>
      <c r="BR1187" s="113"/>
      <c r="BS1187" s="113"/>
      <c r="BT1187" s="113"/>
      <c r="BU1187" s="113"/>
      <c r="BV1187" s="175"/>
      <c r="BW1187" s="113">
        <f>INDEX('Gross Dx Plant'!$E$7:$AD$91,MATCH($C1187,'Gross Dx Plant'!$D$7:$D$91,0),MATCH(Calculation!$G1187,'Gross Dx Plant'!$E$5:$AD$5,0))</f>
        <v>18128</v>
      </c>
      <c r="BX1187" s="113">
        <f>INDEX('Gross Gen Plant'!$E$7:$AD$91,MATCH($C1187,'Gross Gen Plant'!$D$7:$D$91,0),MATCH(Calculation!$G1187,'Gross Gen Plant'!$E$5:$AD$5,0))</f>
        <v>526</v>
      </c>
      <c r="BY1187" s="113">
        <f t="shared" si="2067"/>
        <v>8138</v>
      </c>
      <c r="BZ1187" s="113"/>
      <c r="CA1187" s="116">
        <v>2007</v>
      </c>
      <c r="CB1187" s="113"/>
      <c r="CC1187" s="113"/>
      <c r="CD1187" s="113"/>
      <c r="CE1187" s="175"/>
      <c r="CF1187" s="113">
        <f t="shared" si="2150"/>
        <v>474</v>
      </c>
      <c r="CG1187" s="113">
        <f t="shared" si="2151"/>
        <v>0.95176458015893783</v>
      </c>
      <c r="CH1187" s="178">
        <v>0.94915254237288138</v>
      </c>
      <c r="CI1187" s="61">
        <f>+CI1178*CH1187+CG1179*CH1186+CG1180*CH1185+CG1181*CH1184+CG1182*CH1183+CG1183*CH1182+CG1184*CH1181+CG1185*CH1180+CG1186*CH1179+CG1187</f>
        <v>52.47343241322087</v>
      </c>
      <c r="CJ1187" s="114">
        <f t="shared" si="2152"/>
        <v>1.1811577958029108E-2</v>
      </c>
      <c r="CK1187" s="114"/>
      <c r="CL1187" s="169">
        <f t="shared" si="2153"/>
        <v>6.4719267536315584E-3</v>
      </c>
      <c r="CM1187" s="169">
        <f t="shared" si="2161"/>
        <v>6.2569588068266081E-3</v>
      </c>
      <c r="CN1187" s="114">
        <f>VLOOKUP($H1187,RoR!$E:$F,2,FALSE)</f>
        <v>5.5558333333333321E-2</v>
      </c>
      <c r="CO1187" s="169">
        <v>2.691120634145272E-2</v>
      </c>
      <c r="CP1187" s="169">
        <f t="shared" si="2159"/>
        <v>2.86471269918806E-2</v>
      </c>
      <c r="CQ1187" s="169">
        <f t="shared" si="2162"/>
        <v>2.4644982801707016E-2</v>
      </c>
      <c r="CR1187" s="169">
        <f t="shared" si="2163"/>
        <v>6.4575155250632399E-2</v>
      </c>
      <c r="CS1187" s="179">
        <f t="shared" si="2154"/>
        <v>0.85150049999999999</v>
      </c>
      <c r="CT1187" s="180">
        <f t="shared" si="2155"/>
        <v>0.92303077153834634</v>
      </c>
      <c r="CU1187" s="180">
        <f t="shared" si="2156"/>
        <v>0.52502249887505614</v>
      </c>
      <c r="CV1187" s="180">
        <f t="shared" si="2157"/>
        <v>0.88499666072084604</v>
      </c>
      <c r="CW1187" s="180">
        <f t="shared" si="2158"/>
        <v>0.42887993290280618</v>
      </c>
      <c r="CX1187" s="181">
        <f>INDEX('State Tax Lookup'!$D$7:$Z$91,MATCH(Calculation!$C1187,'State Tax Lookup'!$B$7:$B$91,0),MATCH($H1187,'State Tax Lookup'!$D$6:$Z$6,0))</f>
        <v>0.40134999999999998</v>
      </c>
      <c r="CY1187" s="72">
        <v>0.37</v>
      </c>
      <c r="CZ1187" s="70">
        <f t="shared" si="2160"/>
        <v>17.365939491898207</v>
      </c>
      <c r="DA1187" s="70">
        <v>16.108943221861779</v>
      </c>
      <c r="DB1187" s="69">
        <f t="shared" si="2164"/>
        <v>7.0330823089166161E-2</v>
      </c>
      <c r="DC1187" s="111">
        <f>VLOOKUP($H1187,RoR!$E:$F,2,FALSE)</f>
        <v>5.5558333333333321E-2</v>
      </c>
      <c r="DD1187" s="216">
        <f>HLOOKUP($H1187,'GDP-PI'!$D$8:$CQ$11,3,FALSE)</f>
        <v>2.691120634145272E-2</v>
      </c>
      <c r="DE1187" s="111">
        <f>VLOOKUP(H1187,'HW Dx Data'!$E:$F,2,FALSE)</f>
        <v>498.0223154772637</v>
      </c>
      <c r="DF1187" s="72">
        <f t="shared" si="2174"/>
        <v>104.52499999999999</v>
      </c>
      <c r="DG1187" s="69">
        <f t="shared" si="2175"/>
        <v>-4.5584612745252218E-2</v>
      </c>
      <c r="DH1187" s="66">
        <f>HLOOKUP(H1187,'GDP-PI'!$8:$9,2,FALSE)</f>
        <v>92.498000000000005</v>
      </c>
      <c r="DI1187" s="69">
        <f t="shared" si="2165"/>
        <v>2.6555467950038037E-2</v>
      </c>
    </row>
    <row r="1188" spans="1:113" s="160" customFormat="1" ht="21">
      <c r="A1188" s="160" t="s">
        <v>230</v>
      </c>
      <c r="B1188" s="160" t="s">
        <v>230</v>
      </c>
      <c r="C1188" s="160">
        <v>4063281</v>
      </c>
      <c r="D1188" s="161" t="s">
        <v>192</v>
      </c>
      <c r="E1188" s="161"/>
      <c r="F1188" s="189"/>
      <c r="G1188" s="160" t="s">
        <v>120</v>
      </c>
      <c r="H1188" s="162">
        <v>2008</v>
      </c>
      <c r="I1188" s="163"/>
      <c r="J1188" s="159">
        <f>IFERROR(INDEX('Labor Expenditures'!$F$7:$X$91,MATCH($C1188,'Labor Expenditures'!$D$7:$D$91,0),MATCH($G1188,'Labor Expenditures'!$F$5:$X$5,0)),"NA")</f>
        <v>1615.5188599493317</v>
      </c>
      <c r="K1188" s="159">
        <f t="shared" si="2166"/>
        <v>14.972371269224576</v>
      </c>
      <c r="L1188" s="165">
        <f t="shared" si="2172"/>
        <v>-1.6759386424562876E-2</v>
      </c>
      <c r="M1188" s="76">
        <f t="shared" si="2176"/>
        <v>-9.301392734924127E-6</v>
      </c>
      <c r="N1188" s="62">
        <f t="shared" si="2182"/>
        <v>113.83795965904169</v>
      </c>
      <c r="O1188" s="96">
        <f t="shared" si="2177"/>
        <v>-5.2000602459554804E-2</v>
      </c>
      <c r="P1188" s="96"/>
      <c r="Q1188" s="159">
        <f>IFERROR(INDEX('Non-Labor Expenditures'!$F$7:$AB$91,MATCH($C1188,'Non-Labor Expenditures'!$D$7:$D$91,0),MATCH($G1188,'Non-Labor Expenditures'!$F$5:$AB$5,0)),"NA")</f>
        <v>2339.5730465081797</v>
      </c>
      <c r="R1188" s="159">
        <f t="shared" si="2167"/>
        <v>24.819369499577569</v>
      </c>
      <c r="S1188" s="165">
        <f t="shared" si="2178"/>
        <v>-3.8931251511346646E-3</v>
      </c>
      <c r="T1188" s="165">
        <f t="shared" si="2179"/>
        <v>-2.1606689576559985E-6</v>
      </c>
      <c r="U1188" s="165"/>
      <c r="V1188" s="165"/>
      <c r="W1188" s="159">
        <f t="shared" si="2148"/>
        <v>1033.7585393424952</v>
      </c>
      <c r="X1188" s="163"/>
      <c r="Y1188" s="167">
        <v>53.304363415286907</v>
      </c>
      <c r="Z1188" s="168">
        <v>1.5711200783959083E-2</v>
      </c>
      <c r="AA1188" s="76">
        <f t="shared" si="2168"/>
        <v>8.7196538779409901E-6</v>
      </c>
      <c r="AB1188" s="168"/>
      <c r="AC1188" s="168"/>
      <c r="AD1188" s="163">
        <f t="shared" si="2138"/>
        <v>4988.8504458000061</v>
      </c>
      <c r="AE1188" s="168">
        <f t="shared" si="2180"/>
        <v>3.928069038595508E-2</v>
      </c>
      <c r="AF1188" s="163"/>
      <c r="AG1188" s="163"/>
      <c r="AH1188" s="163"/>
      <c r="AI1188" s="163"/>
      <c r="AJ1188" s="116">
        <f t="shared" si="2181"/>
        <v>410.26730639802685</v>
      </c>
      <c r="AK1188" s="114">
        <f>+AV1188/$AX$13</f>
        <v>3.4611937981896874E-4</v>
      </c>
      <c r="AL1188" s="115">
        <f t="shared" si="2169"/>
        <v>0.32382587481839598</v>
      </c>
      <c r="AM1188" s="115">
        <f t="shared" si="2170"/>
        <v>0.4689603490675513</v>
      </c>
      <c r="AN1188" s="115">
        <f t="shared" si="2171"/>
        <v>0.20721377611405284</v>
      </c>
      <c r="AO1188" s="115">
        <f t="shared" si="2173"/>
        <v>-4.2392691697149439E-3</v>
      </c>
      <c r="AP1188" s="166">
        <f t="shared" ref="AP1188:AP1201" si="2185">+AP1187*EXP(AO1188)</f>
        <v>98.405946070550897</v>
      </c>
      <c r="AQ1188" s="168">
        <f t="shared" ref="AQ1188:AQ1201" si="2186">LN(AP1188/AP1187)</f>
        <v>-4.2392691697149369E-3</v>
      </c>
      <c r="AR1188" s="169">
        <f>+AD1188/$AF$13</f>
        <v>5.5499601830839276E-4</v>
      </c>
      <c r="AS1188" s="169">
        <f t="shared" si="2183"/>
        <v>-2.3527775097293163E-6</v>
      </c>
      <c r="AT1188" s="115"/>
      <c r="AU1188" s="115"/>
      <c r="AV1188" s="113">
        <f>IFERROR(INDEX('Total Customers'!$F$7:$AB$91,MATCH($C1188,'Total Customers'!$D$7:$D$91,0),MATCH($G1188,'Total Customers'!$F$5:$AB$5,0)),"NA")</f>
        <v>12160</v>
      </c>
      <c r="AW1188" s="68">
        <f t="shared" si="2113"/>
        <v>4.285485378548639E-3</v>
      </c>
      <c r="AX1188" s="114"/>
      <c r="AY1188" s="114"/>
      <c r="AZ1188" s="116"/>
      <c r="BA1188" s="116"/>
      <c r="BB1188" s="166"/>
      <c r="BC1188" s="166"/>
      <c r="BD1188" s="166"/>
      <c r="BE1188" s="166"/>
      <c r="BF1188" s="166"/>
      <c r="BG1188" s="166"/>
      <c r="BH1188" s="166"/>
      <c r="BI1188" s="113"/>
      <c r="BJ1188" s="113"/>
      <c r="BK1188" s="113">
        <f>INDEX('Dist. Plant Gas Additions'!$F$7:$AE$91,MATCH($C1188,'Dist. Plant Gas Additions'!$D$7:$D$91,0),MATCH(Calculation!$G1188,'Dist. Plant Gas Additions'!$F$5:$AE$5,0))</f>
        <v>642</v>
      </c>
      <c r="BL1188" s="113">
        <f>INDEX('Gen. Plant Additions'!$F$7:$AE$91,MATCH($C1188,'Gen. Plant Additions'!$D$7:$D$91,0),MATCH(Calculation!$G1188,'Gen. Plant Additions'!$F$5:$AE$5,0))</f>
        <v>32</v>
      </c>
      <c r="BM1188" s="231">
        <f t="shared" si="2149"/>
        <v>0.97104908166441839</v>
      </c>
      <c r="BN1188" s="61">
        <f t="shared" si="2184"/>
        <v>31.073570613261388</v>
      </c>
      <c r="BO1188" s="113">
        <f>INDEX('Dist Plant Depreciation'!$E$7:$AD$94,MATCH($C1188,'Dist Plant Depreciation'!$D$7:$D$94,0),MATCH(Calculation!$G1188,'Dist Plant Depreciation'!$E$5:$AD$5,0))</f>
        <v>10866</v>
      </c>
      <c r="BP1188" s="113">
        <f>INDEX('Gen. Plant Depreciation'!$E$7:$AD$94,MATCH($C1188,'Gen. Plant Depreciation'!$D$7:$D$94,0),MATCH(Calculation!$G1188,'Gen. Plant Depreciation'!$E$5:$AD$5,0))</f>
        <v>198</v>
      </c>
      <c r="BQ1188" s="113"/>
      <c r="BR1188" s="113"/>
      <c r="BS1188" s="113"/>
      <c r="BT1188" s="113"/>
      <c r="BU1188" s="113"/>
      <c r="BV1188" s="175"/>
      <c r="BW1188" s="113">
        <f>INDEX('Gross Dx Plant'!$E$7:$AD$91,MATCH($C1188,'Gross Dx Plant'!$D$7:$D$91,0),MATCH(Calculation!$G1188,'Gross Dx Plant'!$E$5:$AD$5,0))</f>
        <v>18716</v>
      </c>
      <c r="BX1188" s="113">
        <f>INDEX('Gross Gen Plant'!$E$7:$AD$91,MATCH($C1188,'Gross Gen Plant'!$D$7:$D$91,0),MATCH(Calculation!$G1188,'Gross Gen Plant'!$E$5:$AD$5,0))</f>
        <v>558</v>
      </c>
      <c r="BY1188" s="113">
        <f t="shared" si="2067"/>
        <v>8210</v>
      </c>
      <c r="BZ1188" s="113"/>
      <c r="CA1188" s="116">
        <v>2008</v>
      </c>
      <c r="CB1188" s="113"/>
      <c r="CC1188" s="113"/>
      <c r="CD1188" s="113"/>
      <c r="CE1188" s="175"/>
      <c r="CF1188" s="113">
        <f t="shared" si="2150"/>
        <v>674</v>
      </c>
      <c r="CG1188" s="113">
        <f t="shared" si="2151"/>
        <v>1.1827026335585529</v>
      </c>
      <c r="CH1188" s="178">
        <v>0.94252873563218387</v>
      </c>
      <c r="CI1188" s="61">
        <f>+CI1178*CH1188+CG1179*CH1187+CG1180*CH1186+CG1181*CH1185+CG1182*CH1184+CG1183*CH1183+CG1184*CH1182+CG1185*CH1181+CG1186*CH1180+CG1187*CH1179+CG1188</f>
        <v>53.304363415286907</v>
      </c>
      <c r="CJ1188" s="114">
        <f t="shared" si="2152"/>
        <v>1.5711200783959083E-2</v>
      </c>
      <c r="CK1188" s="114"/>
      <c r="CL1188" s="169">
        <f t="shared" si="2153"/>
        <v>6.7038044838074115E-3</v>
      </c>
      <c r="CM1188" s="169">
        <f t="shared" si="2161"/>
        <v>6.4764951786472555E-3</v>
      </c>
      <c r="CN1188" s="114">
        <f>VLOOKUP($H1188,RoR!$E:$F,2,FALSE)</f>
        <v>5.6316666666666668E-2</v>
      </c>
      <c r="CO1188" s="169">
        <v>1.9092304698479889E-2</v>
      </c>
      <c r="CP1188" s="169">
        <f t="shared" si="2159"/>
        <v>3.7224361968186778E-2</v>
      </c>
      <c r="CQ1188" s="169">
        <f t="shared" si="2162"/>
        <v>2.442544642988637E-2</v>
      </c>
      <c r="CR1188" s="169">
        <f t="shared" si="2163"/>
        <v>6.9030581091053131E-2</v>
      </c>
      <c r="CS1188" s="179">
        <f t="shared" si="2154"/>
        <v>0.85150049999999999</v>
      </c>
      <c r="CT1188" s="180">
        <f t="shared" si="2155"/>
        <v>0.91060168006009956</v>
      </c>
      <c r="CU1188" s="180">
        <f t="shared" si="2156"/>
        <v>0.53108168097070152</v>
      </c>
      <c r="CV1188" s="180">
        <f t="shared" si="2157"/>
        <v>0.88825329850328805</v>
      </c>
      <c r="CW1188" s="180">
        <f t="shared" si="2158"/>
        <v>0.4295627335323573</v>
      </c>
      <c r="CX1188" s="181">
        <f>INDEX('State Tax Lookup'!$D$7:$Z$91,MATCH(Calculation!$C1188,'State Tax Lookup'!$B$7:$B$91,0),MATCH($H1188,'State Tax Lookup'!$D$6:$Z$6,0))</f>
        <v>0.40134999999999998</v>
      </c>
      <c r="CY1188" s="72">
        <v>0.37</v>
      </c>
      <c r="CZ1188" s="70">
        <f t="shared" si="2160"/>
        <v>19.700608323118502</v>
      </c>
      <c r="DA1188" s="70">
        <v>18.300102035478151</v>
      </c>
      <c r="DB1188" s="69">
        <f t="shared" si="2164"/>
        <v>0.12613872726640774</v>
      </c>
      <c r="DC1188" s="111">
        <f>VLOOKUP($H1188,RoR!$E:$F,2,FALSE)</f>
        <v>5.6316666666666668E-2</v>
      </c>
      <c r="DD1188" s="216">
        <f>HLOOKUP($H1188,'GDP-PI'!$D$8:$CQ$11,3,FALSE)</f>
        <v>1.9092304698479889E-2</v>
      </c>
      <c r="DE1188" s="111">
        <f>VLOOKUP(H1188,'HW Dx Data'!$E:$F,2,FALSE)</f>
        <v>569.88120333515076</v>
      </c>
      <c r="DF1188" s="72">
        <f t="shared" si="2174"/>
        <v>107.9</v>
      </c>
      <c r="DG1188" s="69">
        <f t="shared" si="2175"/>
        <v>3.1778595021460486E-2</v>
      </c>
      <c r="DH1188" s="66">
        <f>HLOOKUP(H1188,'GDP-PI'!$8:$9,2,FALSE)</f>
        <v>94.263999999999996</v>
      </c>
      <c r="DI1188" s="69">
        <f t="shared" si="2165"/>
        <v>1.8912333748032254E-2</v>
      </c>
    </row>
    <row r="1189" spans="1:113" s="160" customFormat="1" ht="21">
      <c r="A1189" s="160" t="s">
        <v>230</v>
      </c>
      <c r="B1189" s="160" t="s">
        <v>230</v>
      </c>
      <c r="C1189" s="160">
        <v>4063281</v>
      </c>
      <c r="D1189" s="161" t="s">
        <v>192</v>
      </c>
      <c r="E1189" s="161"/>
      <c r="F1189" s="189"/>
      <c r="G1189" s="160" t="s">
        <v>125</v>
      </c>
      <c r="H1189" s="162">
        <v>2009</v>
      </c>
      <c r="I1189" s="163"/>
      <c r="J1189" s="159">
        <f>IFERROR(INDEX('Labor Expenditures'!$F$7:$X$91,MATCH($C1189,'Labor Expenditures'!$D$7:$D$91,0),MATCH($G1189,'Labor Expenditures'!$F$5:$X$5,0)),"NA")</f>
        <v>1550.9284016796626</v>
      </c>
      <c r="K1189" s="159">
        <f t="shared" si="2166"/>
        <v>13.981775088390016</v>
      </c>
      <c r="L1189" s="165">
        <f t="shared" si="2172"/>
        <v>-6.8451885141486299E-2</v>
      </c>
      <c r="M1189" s="76">
        <f t="shared" si="2176"/>
        <v>-3.5066118291222228E-5</v>
      </c>
      <c r="N1189" s="62">
        <f t="shared" si="2182"/>
        <v>116.48195453179916</v>
      </c>
      <c r="O1189" s="96">
        <f t="shared" si="2177"/>
        <v>2.2960333546912157E-2</v>
      </c>
      <c r="P1189" s="96"/>
      <c r="Q1189" s="159">
        <f>IFERROR(INDEX('Non-Labor Expenditures'!$F$7:$AB$91,MATCH($C1189,'Non-Labor Expenditures'!$D$7:$D$91,0),MATCH($G1189,'Non-Labor Expenditures'!$F$5:$AB$5,0)),"NA")</f>
        <v>2246.0339991001729</v>
      </c>
      <c r="R1189" s="159">
        <f t="shared" si="2167"/>
        <v>23.642712019075706</v>
      </c>
      <c r="S1189" s="165">
        <f t="shared" si="2178"/>
        <v>-4.8569468958911996E-2</v>
      </c>
      <c r="T1189" s="165">
        <f t="shared" si="2179"/>
        <v>-2.4880874213102407E-5</v>
      </c>
      <c r="U1189" s="165"/>
      <c r="V1189" s="165"/>
      <c r="W1189" s="159">
        <f t="shared" si="2148"/>
        <v>1005.9310871399889</v>
      </c>
      <c r="X1189" s="163"/>
      <c r="Y1189" s="167">
        <v>54.393873104903747</v>
      </c>
      <c r="Z1189" s="168">
        <v>2.023332774752859E-2</v>
      </c>
      <c r="AA1189" s="76">
        <f t="shared" si="2168"/>
        <v>1.0365006935212961E-5</v>
      </c>
      <c r="AB1189" s="168"/>
      <c r="AC1189" s="168"/>
      <c r="AD1189" s="163">
        <f t="shared" si="2138"/>
        <v>4802.8934879198241</v>
      </c>
      <c r="AE1189" s="168">
        <f t="shared" si="2180"/>
        <v>-3.7986965360465724E-2</v>
      </c>
      <c r="AF1189" s="163"/>
      <c r="AG1189" s="163"/>
      <c r="AH1189" s="163"/>
      <c r="AI1189" s="163"/>
      <c r="AJ1189" s="116">
        <f t="shared" si="2181"/>
        <v>391.65730146944662</v>
      </c>
      <c r="AK1189" s="114">
        <f>+AV1189/$AX$14</f>
        <v>3.4860618644503845E-4</v>
      </c>
      <c r="AL1189" s="115">
        <f t="shared" si="2169"/>
        <v>0.32291542704008275</v>
      </c>
      <c r="AM1189" s="115">
        <f t="shared" si="2170"/>
        <v>0.4676418506363651</v>
      </c>
      <c r="AN1189" s="115">
        <f t="shared" si="2171"/>
        <v>0.20944272232355221</v>
      </c>
      <c r="AO1189" s="115">
        <f t="shared" si="2173"/>
        <v>-4.0665292642707129E-2</v>
      </c>
      <c r="AP1189" s="166">
        <f t="shared" si="2185"/>
        <v>94.48451296831459</v>
      </c>
      <c r="AQ1189" s="168">
        <f t="shared" si="2186"/>
        <v>-4.0665292642707115E-2</v>
      </c>
      <c r="AR1189" s="169">
        <f>+AD1189/$AF$14</f>
        <v>5.1227396029696602E-4</v>
      </c>
      <c r="AS1189" s="169">
        <f t="shared" si="2183"/>
        <v>-2.083177050871465E-5</v>
      </c>
      <c r="AT1189" s="115"/>
      <c r="AU1189" s="115"/>
      <c r="AV1189" s="113">
        <f>IFERROR(INDEX('Total Customers'!$F$7:$AB$91,MATCH($C1189,'Total Customers'!$D$7:$D$91,0),MATCH($G1189,'Total Customers'!$F$5:$AB$5,0)),"NA")</f>
        <v>12263</v>
      </c>
      <c r="AW1189" s="68">
        <f t="shared" si="2113"/>
        <v>8.4347222418680139E-3</v>
      </c>
      <c r="AX1189" s="114"/>
      <c r="AY1189" s="114"/>
      <c r="AZ1189" s="116"/>
      <c r="BA1189" s="116"/>
      <c r="BB1189" s="166"/>
      <c r="BC1189" s="166"/>
      <c r="BD1189" s="166"/>
      <c r="BE1189" s="166"/>
      <c r="BF1189" s="166"/>
      <c r="BG1189" s="166"/>
      <c r="BH1189" s="166"/>
      <c r="BI1189" s="113"/>
      <c r="BJ1189" s="113"/>
      <c r="BK1189" s="113">
        <f>INDEX('Dist. Plant Gas Additions'!$F$7:$AE$91,MATCH($C1189,'Dist. Plant Gas Additions'!$D$7:$D$91,0),MATCH(Calculation!$G1189,'Dist. Plant Gas Additions'!$F$5:$AE$5,0))</f>
        <v>563</v>
      </c>
      <c r="BL1189" s="113">
        <f>INDEX('Gen. Plant Additions'!$F$7:$AE$91,MATCH($C1189,'Gen. Plant Additions'!$D$7:$D$91,0),MATCH(Calculation!$G1189,'Gen. Plant Additions'!$F$5:$AE$5,0))</f>
        <v>241</v>
      </c>
      <c r="BM1189" s="231">
        <f t="shared" si="2149"/>
        <v>0.96011979036685802</v>
      </c>
      <c r="BN1189" s="61">
        <f t="shared" si="2184"/>
        <v>231.38886947841277</v>
      </c>
      <c r="BO1189" s="113">
        <f>INDEX('Dist Plant Depreciation'!$E$7:$AD$94,MATCH($C1189,'Dist Plant Depreciation'!$D$7:$D$94,0),MATCH(Calculation!$G1189,'Dist Plant Depreciation'!$E$5:$AD$5,0))</f>
        <v>11468</v>
      </c>
      <c r="BP1189" s="113">
        <f>INDEX('Gen. Plant Depreciation'!$E$7:$AD$94,MATCH($C1189,'Gen. Plant Depreciation'!$D$7:$D$94,0),MATCH(Calculation!$G1189,'Gen. Plant Depreciation'!$E$5:$AD$5,0))</f>
        <v>246</v>
      </c>
      <c r="BQ1189" s="113"/>
      <c r="BR1189" s="113"/>
      <c r="BS1189" s="113"/>
      <c r="BT1189" s="113"/>
      <c r="BU1189" s="113"/>
      <c r="BV1189" s="175"/>
      <c r="BW1189" s="113">
        <f>INDEX('Gross Dx Plant'!$E$7:$AD$91,MATCH($C1189,'Gross Dx Plant'!$D$7:$D$91,0),MATCH(Calculation!$G1189,'Gross Dx Plant'!$E$5:$AD$5,0))</f>
        <v>19236</v>
      </c>
      <c r="BX1189" s="113">
        <f>INDEX('Gross Gen Plant'!$E$7:$AD$91,MATCH($C1189,'Gross Gen Plant'!$D$7:$D$91,0),MATCH(Calculation!$G1189,'Gross Gen Plant'!$E$5:$AD$5,0))</f>
        <v>799</v>
      </c>
      <c r="BY1189" s="113">
        <f t="shared" si="2067"/>
        <v>8321</v>
      </c>
      <c r="BZ1189" s="113"/>
      <c r="CA1189" s="116">
        <v>2009</v>
      </c>
      <c r="CB1189" s="113"/>
      <c r="CC1189" s="113"/>
      <c r="CD1189" s="113"/>
      <c r="CE1189" s="175"/>
      <c r="CF1189" s="113">
        <f t="shared" si="2150"/>
        <v>804</v>
      </c>
      <c r="CG1189" s="113">
        <f t="shared" si="2151"/>
        <v>1.4593223775873831</v>
      </c>
      <c r="CH1189" s="178">
        <v>0.93567251461988299</v>
      </c>
      <c r="CI1189" s="61">
        <f>+CI1178*CH1189+CG1179*CH1188+CG1180*CH1187+CG1181*CH1186+CG1182*CH1185+CG1183*CH1184+CG1184*CH1183+CG1185*CH1182+CG1186*CH1181+CG1187*CH1180+CG1188*CH1179+CG1189</f>
        <v>54.393873104903747</v>
      </c>
      <c r="CJ1189" s="114">
        <f t="shared" si="2152"/>
        <v>2.023332774752859E-2</v>
      </c>
      <c r="CK1189" s="114"/>
      <c r="CL1189" s="169">
        <f t="shared" si="2153"/>
        <v>6.9377563913367475E-3</v>
      </c>
      <c r="CM1189" s="169">
        <f t="shared" si="2161"/>
        <v>6.7044958762585731E-3</v>
      </c>
      <c r="CN1189" s="114">
        <f>VLOOKUP($H1189,RoR!$E:$F,2,FALSE)</f>
        <v>5.3133333333333324E-2</v>
      </c>
      <c r="CO1189" s="169">
        <v>7.7972502758210105E-3</v>
      </c>
      <c r="CP1189" s="169">
        <f t="shared" si="2159"/>
        <v>4.5336083057512314E-2</v>
      </c>
      <c r="CQ1189" s="169">
        <f t="shared" si="2162"/>
        <v>2.4197445732275051E-2</v>
      </c>
      <c r="CR1189" s="169">
        <f t="shared" si="2163"/>
        <v>6.3720160300892073E-2</v>
      </c>
      <c r="CS1189" s="179">
        <f t="shared" si="2154"/>
        <v>0.85150049999999999</v>
      </c>
      <c r="CT1189" s="180">
        <f t="shared" si="2155"/>
        <v>0.96515780330083989</v>
      </c>
      <c r="CU1189" s="180">
        <f t="shared" si="2156"/>
        <v>0.50448557089084056</v>
      </c>
      <c r="CV1189" s="180">
        <f t="shared" si="2157"/>
        <v>0.87391435735465484</v>
      </c>
      <c r="CW1189" s="180">
        <f t="shared" si="2158"/>
        <v>0.42551605393279146</v>
      </c>
      <c r="CX1189" s="181">
        <f>INDEX('State Tax Lookup'!$D$7:$Z$91,MATCH(Calculation!$C1189,'State Tax Lookup'!$B$7:$B$91,0),MATCH($H1189,'State Tax Lookup'!$D$6:$Z$6,0))</f>
        <v>0.40134999999999998</v>
      </c>
      <c r="CY1189" s="72">
        <v>0.37</v>
      </c>
      <c r="CZ1189" s="70">
        <f t="shared" si="2160"/>
        <v>18.871458595292083</v>
      </c>
      <c r="DA1189" s="70">
        <v>17.478615056163342</v>
      </c>
      <c r="DB1189" s="69">
        <f t="shared" si="2164"/>
        <v>-4.2998861172301402E-2</v>
      </c>
      <c r="DC1189" s="111">
        <f>VLOOKUP($H1189,RoR!$E:$F,2,FALSE)</f>
        <v>5.3133333333333324E-2</v>
      </c>
      <c r="DD1189" s="216">
        <f>HLOOKUP($H1189,'GDP-PI'!$D$8:$CQ$11,3,FALSE)</f>
        <v>7.7972502758210105E-3</v>
      </c>
      <c r="DE1189" s="111">
        <f>VLOOKUP(H1189,'HW Dx Data'!$E:$F,2,FALSE)</f>
        <v>550.94063679692806</v>
      </c>
      <c r="DF1189" s="72">
        <f t="shared" si="2174"/>
        <v>110.925</v>
      </c>
      <c r="DG1189" s="69">
        <f t="shared" si="2175"/>
        <v>2.7649425000884052E-2</v>
      </c>
      <c r="DH1189" s="66">
        <f>HLOOKUP(H1189,'GDP-PI'!$8:$9,2,FALSE)</f>
        <v>94.998999999999995</v>
      </c>
      <c r="DI1189" s="69">
        <f t="shared" si="2165"/>
        <v>7.7670088183096342E-3</v>
      </c>
    </row>
    <row r="1190" spans="1:113" s="160" customFormat="1" ht="21">
      <c r="A1190" s="160" t="s">
        <v>230</v>
      </c>
      <c r="B1190" s="160" t="s">
        <v>230</v>
      </c>
      <c r="C1190" s="160">
        <v>4063281</v>
      </c>
      <c r="D1190" s="161" t="s">
        <v>192</v>
      </c>
      <c r="E1190" s="161"/>
      <c r="F1190" s="189"/>
      <c r="G1190" s="160" t="s">
        <v>126</v>
      </c>
      <c r="H1190" s="162">
        <v>2010</v>
      </c>
      <c r="I1190" s="163"/>
      <c r="J1190" s="159">
        <f>IFERROR(INDEX('Labor Expenditures'!$F$7:$X$91,MATCH($C1190,'Labor Expenditures'!$D$7:$D$91,0),MATCH($G1190,'Labor Expenditures'!$F$5:$X$5,0)),"NA")</f>
        <v>1568.1777202576584</v>
      </c>
      <c r="K1190" s="159">
        <f t="shared" si="2166"/>
        <v>13.411825702438815</v>
      </c>
      <c r="L1190" s="165">
        <f t="shared" si="2172"/>
        <v>-4.1617869286936449E-2</v>
      </c>
      <c r="M1190" s="76">
        <f t="shared" si="2176"/>
        <v>-2.0943417717576741E-5</v>
      </c>
      <c r="N1190" s="62">
        <f t="shared" si="2182"/>
        <v>97.791126880171561</v>
      </c>
      <c r="O1190" s="96">
        <f t="shared" si="2177"/>
        <v>-0.17490251855706415</v>
      </c>
      <c r="P1190" s="96"/>
      <c r="Q1190" s="159">
        <f>IFERROR(INDEX('Non-Labor Expenditures'!$F$7:$AB$91,MATCH($C1190,'Non-Labor Expenditures'!$D$7:$D$91,0),MATCH($G1190,'Non-Labor Expenditures'!$F$5:$AB$5,0)),"NA")</f>
        <v>2271.0142341294177</v>
      </c>
      <c r="R1190" s="159">
        <f t="shared" si="2167"/>
        <v>23.629568865864986</v>
      </c>
      <c r="S1190" s="165">
        <f t="shared" si="2178"/>
        <v>-5.5606174711015049E-4</v>
      </c>
      <c r="T1190" s="165">
        <f t="shared" si="2179"/>
        <v>-2.798277193433578E-7</v>
      </c>
      <c r="U1190" s="165"/>
      <c r="V1190" s="165"/>
      <c r="W1190" s="159">
        <f t="shared" si="2148"/>
        <v>1051.2463444946004</v>
      </c>
      <c r="X1190" s="163"/>
      <c r="Y1190" s="167">
        <v>55.060081285607268</v>
      </c>
      <c r="Z1190" s="168">
        <v>1.217345525204855E-2</v>
      </c>
      <c r="AA1190" s="76">
        <f t="shared" si="2168"/>
        <v>6.126064663524459E-6</v>
      </c>
      <c r="AB1190" s="168"/>
      <c r="AC1190" s="168"/>
      <c r="AD1190" s="163">
        <f t="shared" si="2138"/>
        <v>4890.4382988816769</v>
      </c>
      <c r="AE1190" s="168">
        <f t="shared" si="2180"/>
        <v>1.806338486305948E-2</v>
      </c>
      <c r="AF1190" s="163"/>
      <c r="AG1190" s="163"/>
      <c r="AH1190" s="163"/>
      <c r="AI1190" s="163"/>
      <c r="AJ1190" s="116">
        <f t="shared" si="2181"/>
        <v>396.75793435678054</v>
      </c>
      <c r="AK1190" s="114">
        <f>+AV1190/$AX$15</f>
        <v>3.4847995058516983E-4</v>
      </c>
      <c r="AL1190" s="115">
        <f t="shared" si="2169"/>
        <v>0.32066199886751706</v>
      </c>
      <c r="AM1190" s="115">
        <f t="shared" si="2170"/>
        <v>0.46437846576016362</v>
      </c>
      <c r="AN1190" s="115">
        <f t="shared" si="2171"/>
        <v>0.21495953537231921</v>
      </c>
      <c r="AO1190" s="115">
        <f t="shared" si="2173"/>
        <v>-1.1068070069997028E-2</v>
      </c>
      <c r="AP1190" s="166">
        <f t="shared" si="2185"/>
        <v>93.444517745038326</v>
      </c>
      <c r="AQ1190" s="168">
        <f t="shared" si="2186"/>
        <v>-1.1068070069996877E-2</v>
      </c>
      <c r="AR1190" s="169">
        <f>+AD1190/$AF$15</f>
        <v>5.0323137816550188E-4</v>
      </c>
      <c r="AS1190" s="169">
        <f t="shared" si="2183"/>
        <v>-5.569800154956871E-6</v>
      </c>
      <c r="AT1190" s="115"/>
      <c r="AU1190" s="115"/>
      <c r="AV1190" s="113">
        <f>IFERROR(INDEX('Total Customers'!$F$7:$AB$91,MATCH($C1190,'Total Customers'!$D$7:$D$91,0),MATCH($G1190,'Total Customers'!$F$5:$AB$5,0)),"NA")</f>
        <v>12326</v>
      </c>
      <c r="AW1190" s="68">
        <f t="shared" si="2113"/>
        <v>5.1242537601623745E-3</v>
      </c>
      <c r="AX1190" s="114"/>
      <c r="AY1190" s="114"/>
      <c r="AZ1190" s="116"/>
      <c r="BA1190" s="116"/>
      <c r="BB1190" s="166"/>
      <c r="BC1190" s="166"/>
      <c r="BD1190" s="166"/>
      <c r="BE1190" s="166"/>
      <c r="BF1190" s="166"/>
      <c r="BG1190" s="166"/>
      <c r="BH1190" s="166"/>
      <c r="BI1190" s="113"/>
      <c r="BJ1190" s="113"/>
      <c r="BK1190" s="113">
        <f>INDEX('Dist. Plant Gas Additions'!$F$7:$AE$91,MATCH($C1190,'Dist. Plant Gas Additions'!$D$7:$D$91,0),MATCH(Calculation!$G1190,'Dist. Plant Gas Additions'!$F$5:$AE$5,0))</f>
        <v>402</v>
      </c>
      <c r="BL1190" s="113">
        <f>INDEX('Gen. Plant Additions'!$F$7:$AE$91,MATCH($C1190,'Gen. Plant Additions'!$D$7:$D$91,0),MATCH(Calculation!$G1190,'Gen. Plant Additions'!$F$5:$AE$5,0))</f>
        <v>199</v>
      </c>
      <c r="BM1190" s="231">
        <f t="shared" si="2149"/>
        <v>0.9515322228157933</v>
      </c>
      <c r="BN1190" s="61">
        <f t="shared" si="2184"/>
        <v>189.35491234034288</v>
      </c>
      <c r="BO1190" s="113">
        <f>INDEX('Dist Plant Depreciation'!$E$7:$AD$94,MATCH($C1190,'Dist Plant Depreciation'!$D$7:$D$94,0),MATCH(Calculation!$G1190,'Dist Plant Depreciation'!$E$5:$AD$5,0))</f>
        <v>12109</v>
      </c>
      <c r="BP1190" s="113">
        <f>INDEX('Gen. Plant Depreciation'!$E$7:$AD$94,MATCH($C1190,'Gen. Plant Depreciation'!$D$7:$D$94,0),MATCH(Calculation!$G1190,'Gen. Plant Depreciation'!$E$5:$AD$5,0))</f>
        <v>262</v>
      </c>
      <c r="BQ1190" s="113"/>
      <c r="BR1190" s="113"/>
      <c r="BS1190" s="113"/>
      <c r="BT1190" s="113"/>
      <c r="BU1190" s="113"/>
      <c r="BV1190" s="175"/>
      <c r="BW1190" s="113">
        <f>INDEX('Gross Dx Plant'!$E$7:$AD$91,MATCH($C1190,'Gross Dx Plant'!$D$7:$D$91,0),MATCH(Calculation!$G1190,'Gross Dx Plant'!$E$5:$AD$5,0))</f>
        <v>19593</v>
      </c>
      <c r="BX1190" s="113">
        <f>INDEX('Gross Gen Plant'!$E$7:$AD$91,MATCH($C1190,'Gross Gen Plant'!$D$7:$D$91,0),MATCH(Calculation!$G1190,'Gross Gen Plant'!$E$5:$AD$5,0))</f>
        <v>998</v>
      </c>
      <c r="BY1190" s="113">
        <f t="shared" si="2067"/>
        <v>8220</v>
      </c>
      <c r="BZ1190" s="113"/>
      <c r="CA1190" s="116">
        <v>2010</v>
      </c>
      <c r="CB1190" s="113"/>
      <c r="CC1190" s="113"/>
      <c r="CD1190" s="113"/>
      <c r="CE1190" s="175"/>
      <c r="CF1190" s="113">
        <f t="shared" si="2150"/>
        <v>601</v>
      </c>
      <c r="CG1190" s="113">
        <f t="shared" si="2151"/>
        <v>1.0562585025248068</v>
      </c>
      <c r="CH1190" s="178">
        <v>0.9285714285714286</v>
      </c>
      <c r="CI1190" s="61">
        <f>+CI1178*CH1190+CG1179*CH1189+CG1180*CH1188+CG1181*CH1187+CG1182*CH1186+CG1183*CH1185+CG1184*CH1184+CG1185*CH1183+CG1186*CH1182+CG1187*CH1181+CG1188*CH1180+CG1189*CH1179+CG1190</f>
        <v>55.060081285607268</v>
      </c>
      <c r="CJ1190" s="114">
        <f t="shared" si="2152"/>
        <v>1.217345525204855E-2</v>
      </c>
      <c r="CK1190" s="114"/>
      <c r="CL1190" s="169">
        <f t="shared" si="2153"/>
        <v>7.1708503100898335E-3</v>
      </c>
      <c r="CM1190" s="169">
        <f t="shared" si="2161"/>
        <v>6.9374703950779966E-3</v>
      </c>
      <c r="CN1190" s="114">
        <f>VLOOKUP($H1190,RoR!$E:$F,2,FALSE)</f>
        <v>4.9433333333333322E-2</v>
      </c>
      <c r="CO1190" s="169">
        <v>1.1684333519300205E-2</v>
      </c>
      <c r="CP1190" s="169">
        <f t="shared" si="2159"/>
        <v>3.7748999814033117E-2</v>
      </c>
      <c r="CQ1190" s="169">
        <f t="shared" si="2162"/>
        <v>2.3964471213455629E-2</v>
      </c>
      <c r="CR1190" s="169">
        <f t="shared" si="2163"/>
        <v>4.7937530248493419E-2</v>
      </c>
      <c r="CS1190" s="179">
        <f t="shared" si="2154"/>
        <v>0.85150049999999999</v>
      </c>
      <c r="CT1190" s="180">
        <f t="shared" si="2155"/>
        <v>1.037398205301105</v>
      </c>
      <c r="CU1190" s="180">
        <f t="shared" si="2156"/>
        <v>0.46926837491571133</v>
      </c>
      <c r="CV1190" s="180">
        <f t="shared" si="2157"/>
        <v>0.8548537519972772</v>
      </c>
      <c r="CW1190" s="180">
        <f t="shared" si="2158"/>
        <v>0.41615833911547367</v>
      </c>
      <c r="CX1190" s="181">
        <f>INDEX('State Tax Lookup'!$D$7:$Z$91,MATCH(Calculation!$C1190,'State Tax Lookup'!$B$7:$B$91,0),MATCH($H1190,'State Tax Lookup'!$D$6:$Z$6,0))</f>
        <v>0.40134999999999998</v>
      </c>
      <c r="CY1190" s="72">
        <v>0.37</v>
      </c>
      <c r="CZ1190" s="70">
        <f t="shared" si="2160"/>
        <v>19.326558020002953</v>
      </c>
      <c r="DA1190" s="70">
        <v>17.956102603965455</v>
      </c>
      <c r="DB1190" s="69">
        <f t="shared" si="2164"/>
        <v>2.3829559775097174E-2</v>
      </c>
      <c r="DC1190" s="111">
        <f>VLOOKUP($H1190,RoR!$E:$F,2,FALSE)</f>
        <v>4.9433333333333322E-2</v>
      </c>
      <c r="DD1190" s="216">
        <f>HLOOKUP($H1190,'GDP-PI'!$D$8:$CQ$11,3,FALSE)</f>
        <v>1.1684333519300205E-2</v>
      </c>
      <c r="DE1190" s="111">
        <f>VLOOKUP(H1190,'HW Dx Data'!$E:$F,2,FALSE)</f>
        <v>568.98950262971744</v>
      </c>
      <c r="DF1190" s="72">
        <f t="shared" si="2174"/>
        <v>116.925</v>
      </c>
      <c r="DG1190" s="69">
        <f t="shared" si="2175"/>
        <v>5.2678406346976722E-2</v>
      </c>
      <c r="DH1190" s="66">
        <f>HLOOKUP(H1190,'GDP-PI'!$8:$9,2,FALSE)</f>
        <v>96.108999999999995</v>
      </c>
      <c r="DI1190" s="69">
        <f t="shared" si="2165"/>
        <v>1.1616598807150427E-2</v>
      </c>
    </row>
    <row r="1191" spans="1:113" s="160" customFormat="1" ht="21">
      <c r="A1191" s="160" t="s">
        <v>230</v>
      </c>
      <c r="B1191" s="160" t="s">
        <v>230</v>
      </c>
      <c r="C1191" s="160">
        <v>4063281</v>
      </c>
      <c r="D1191" s="161" t="s">
        <v>192</v>
      </c>
      <c r="E1191" s="161"/>
      <c r="F1191" s="189"/>
      <c r="G1191" s="160" t="s">
        <v>127</v>
      </c>
      <c r="H1191" s="162">
        <v>2011</v>
      </c>
      <c r="I1191" s="163"/>
      <c r="J1191" s="159">
        <f>IFERROR(INDEX('Labor Expenditures'!$F$7:$X$91,MATCH($C1191,'Labor Expenditures'!$D$7:$D$91,0),MATCH($G1191,'Labor Expenditures'!$F$5:$X$5,0)),"NA")</f>
        <v>1619.2926589918366</v>
      </c>
      <c r="K1191" s="159">
        <f t="shared" si="2166"/>
        <v>13.396423238815608</v>
      </c>
      <c r="L1191" s="165">
        <f t="shared" si="2172"/>
        <v>-1.149084026467764E-3</v>
      </c>
      <c r="M1191" s="76">
        <f t="shared" si="2176"/>
        <v>-5.7404923787972156E-7</v>
      </c>
      <c r="N1191" s="62">
        <f t="shared" si="2182"/>
        <v>118.12358320561857</v>
      </c>
      <c r="O1191" s="96">
        <f t="shared" si="2177"/>
        <v>0.18889754598726777</v>
      </c>
      <c r="P1191" s="96"/>
      <c r="Q1191" s="159">
        <f>IFERROR(INDEX('Non-Labor Expenditures'!$F$7:$AB$91,MATCH($C1191,'Non-Labor Expenditures'!$D$7:$D$91,0),MATCH($G1191,'Non-Labor Expenditures'!$F$5:$AB$5,0)),"NA")</f>
        <v>2345.0382123701615</v>
      </c>
      <c r="R1191" s="159">
        <f t="shared" si="2167"/>
        <v>23.901645184790461</v>
      </c>
      <c r="S1191" s="165">
        <f t="shared" si="2178"/>
        <v>1.1448446922191484E-2</v>
      </c>
      <c r="T1191" s="165">
        <f t="shared" si="2179"/>
        <v>5.7193138875948277E-6</v>
      </c>
      <c r="U1191" s="165"/>
      <c r="V1191" s="165"/>
      <c r="W1191" s="159">
        <f t="shared" si="2148"/>
        <v>1134.3006376891142</v>
      </c>
      <c r="X1191" s="163"/>
      <c r="Y1191" s="167">
        <v>55.78395522295331</v>
      </c>
      <c r="Z1191" s="168">
        <v>1.3061311209208514E-2</v>
      </c>
      <c r="AA1191" s="76">
        <f t="shared" si="2168"/>
        <v>6.5250543673503529E-6</v>
      </c>
      <c r="AB1191" s="168"/>
      <c r="AC1191" s="168"/>
      <c r="AD1191" s="163">
        <f t="shared" si="2138"/>
        <v>5098.6315090511125</v>
      </c>
      <c r="AE1191" s="168">
        <f t="shared" si="2180"/>
        <v>4.1690241021073722E-2</v>
      </c>
      <c r="AF1191" s="163"/>
      <c r="AG1191" s="163"/>
      <c r="AH1191" s="163"/>
      <c r="AI1191" s="163"/>
      <c r="AJ1191" s="116">
        <f t="shared" si="2181"/>
        <v>413.6485079548201</v>
      </c>
      <c r="AK1191" s="114">
        <f>+AV1191/$AX$16</f>
        <v>3.4679853826920183E-4</v>
      </c>
      <c r="AL1191" s="115">
        <f t="shared" si="2169"/>
        <v>0.3175935848898398</v>
      </c>
      <c r="AM1191" s="115">
        <f t="shared" si="2170"/>
        <v>0.45993482921980922</v>
      </c>
      <c r="AN1191" s="115">
        <f t="shared" si="2171"/>
        <v>0.22247158589035093</v>
      </c>
      <c r="AO1191" s="115">
        <f t="shared" si="2173"/>
        <v>7.7809832041797321E-3</v>
      </c>
      <c r="AP1191" s="166">
        <f t="shared" si="2185"/>
        <v>94.174444057624839</v>
      </c>
      <c r="AQ1191" s="168">
        <f t="shared" si="2186"/>
        <v>7.7809832041798276E-3</v>
      </c>
      <c r="AR1191" s="169">
        <f>+AD1191/$AF$16</f>
        <v>4.9957115812002432E-4</v>
      </c>
      <c r="AS1191" s="169">
        <f t="shared" si="2183"/>
        <v>3.8871547906245745E-6</v>
      </c>
      <c r="AT1191" s="115"/>
      <c r="AU1191" s="115"/>
      <c r="AV1191" s="113">
        <f>IFERROR(INDEX('Total Customers'!$F$7:$AB$91,MATCH($C1191,'Total Customers'!$D$7:$D$91,0),MATCH($G1191,'Total Customers'!$F$5:$AB$5,0)),"NA")</f>
        <v>12326</v>
      </c>
      <c r="AW1191" s="68">
        <f t="shared" si="2113"/>
        <v>0</v>
      </c>
      <c r="AX1191" s="114"/>
      <c r="AY1191" s="114"/>
      <c r="AZ1191" s="116"/>
      <c r="BA1191" s="116"/>
      <c r="BB1191" s="166"/>
      <c r="BC1191" s="166"/>
      <c r="BD1191" s="166"/>
      <c r="BE1191" s="166"/>
      <c r="BF1191" s="166"/>
      <c r="BG1191" s="166"/>
      <c r="BH1191" s="166"/>
      <c r="BI1191" s="113"/>
      <c r="BJ1191" s="113"/>
      <c r="BK1191" s="113">
        <f>INDEX('Dist. Plant Gas Additions'!$F$7:$AE$91,MATCH($C1191,'Dist. Plant Gas Additions'!$D$7:$D$91,0),MATCH(Calculation!$G1191,'Dist. Plant Gas Additions'!$F$5:$AE$5,0))</f>
        <v>547</v>
      </c>
      <c r="BL1191" s="113">
        <f>INDEX('Gen. Plant Additions'!$F$7:$AE$91,MATCH($C1191,'Gen. Plant Additions'!$D$7:$D$91,0),MATCH(Calculation!$G1191,'Gen. Plant Additions'!$F$5:$AE$5,0))</f>
        <v>146</v>
      </c>
      <c r="BM1191" s="231">
        <f t="shared" si="2149"/>
        <v>0.94609875612514138</v>
      </c>
      <c r="BN1191" s="61">
        <f t="shared" si="2184"/>
        <v>138.13041839427063</v>
      </c>
      <c r="BO1191" s="113">
        <f>INDEX('Dist Plant Depreciation'!$E$7:$AD$94,MATCH($C1191,'Dist Plant Depreciation'!$D$7:$D$94,0),MATCH(Calculation!$G1191,'Dist Plant Depreciation'!$E$5:$AD$5,0))</f>
        <v>12633</v>
      </c>
      <c r="BP1191" s="113">
        <f>INDEX('Gen. Plant Depreciation'!$E$7:$AD$94,MATCH($C1191,'Gen. Plant Depreciation'!$D$7:$D$94,0),MATCH(Calculation!$G1191,'Gen. Plant Depreciation'!$E$5:$AD$5,0))</f>
        <v>365</v>
      </c>
      <c r="BQ1191" s="113"/>
      <c r="BR1191" s="113"/>
      <c r="BS1191" s="113"/>
      <c r="BT1191" s="113"/>
      <c r="BU1191" s="113"/>
      <c r="BV1191" s="175"/>
      <c r="BW1191" s="113">
        <f>INDEX('Gross Dx Plant'!$E$7:$AD$91,MATCH($C1191,'Gross Dx Plant'!$D$7:$D$91,0),MATCH(Calculation!$G1191,'Gross Dx Plant'!$E$5:$AD$5,0))</f>
        <v>20080</v>
      </c>
      <c r="BX1191" s="113">
        <f>INDEX('Gross Gen Plant'!$E$7:$AD$91,MATCH($C1191,'Gross Gen Plant'!$D$7:$D$91,0),MATCH(Calculation!$G1191,'Gross Gen Plant'!$E$5:$AD$5,0))</f>
        <v>1144</v>
      </c>
      <c r="BY1191" s="113">
        <f t="shared" si="2067"/>
        <v>8226</v>
      </c>
      <c r="BZ1191" s="113"/>
      <c r="CA1191" s="116">
        <v>2011</v>
      </c>
      <c r="CB1191" s="113"/>
      <c r="CC1191" s="113"/>
      <c r="CD1191" s="113"/>
      <c r="CE1191" s="175"/>
      <c r="CF1191" s="113">
        <f t="shared" si="2150"/>
        <v>693</v>
      </c>
      <c r="CG1191" s="113">
        <f t="shared" si="2151"/>
        <v>1.1330729680888953</v>
      </c>
      <c r="CH1191" s="178">
        <v>0.92121212121212126</v>
      </c>
      <c r="CI1191" s="61">
        <f>+CI1178*CH1191+CG1179*CH1190+CG1180*CH1189+CG1181*CH1188+CG1182*CH1187+CG1183*CH1186+CG1184*CH1185+CG1185*CH1184+CG1186*CH1183+CG1187*CH1182+CG1188*CH1181+CG1189*CH1180+CG1190*CH1179+CG1191</f>
        <v>55.78395522295331</v>
      </c>
      <c r="CJ1191" s="114">
        <f t="shared" si="2152"/>
        <v>1.3061311209208514E-2</v>
      </c>
      <c r="CK1191" s="114"/>
      <c r="CL1191" s="169">
        <f t="shared" si="2153"/>
        <v>7.4318639055445468E-3</v>
      </c>
      <c r="CM1191" s="169">
        <f t="shared" si="2161"/>
        <v>7.1801568689903762E-3</v>
      </c>
      <c r="CN1191" s="114">
        <f>VLOOKUP($H1191,RoR!$E:$F,2,FALSE)</f>
        <v>4.6391666666666664E-2</v>
      </c>
      <c r="CO1191" s="169">
        <v>2.0840920205183799E-2</v>
      </c>
      <c r="CP1191" s="169">
        <f t="shared" si="2159"/>
        <v>2.5550746461482865E-2</v>
      </c>
      <c r="CQ1191" s="169">
        <f t="shared" si="2162"/>
        <v>2.3721784739543249E-2</v>
      </c>
      <c r="CR1191" s="169">
        <f t="shared" si="2163"/>
        <v>2.4810540821321614E-2</v>
      </c>
      <c r="CS1191" s="179">
        <f t="shared" si="2154"/>
        <v>0.85150049999999999</v>
      </c>
      <c r="CT1191" s="180">
        <f t="shared" si="2155"/>
        <v>1.1054151524782025</v>
      </c>
      <c r="CU1191" s="180">
        <f t="shared" si="2156"/>
        <v>0.43611011316687626</v>
      </c>
      <c r="CV1191" s="180">
        <f t="shared" si="2157"/>
        <v>0.83698442246886229</v>
      </c>
      <c r="CW1191" s="180">
        <f t="shared" si="2158"/>
        <v>0.40349573304423936</v>
      </c>
      <c r="CX1191" s="181">
        <f>INDEX('State Tax Lookup'!$D$7:$Z$91,MATCH(Calculation!$C1191,'State Tax Lookup'!$B$7:$B$91,0),MATCH($H1191,'State Tax Lookup'!$D$6:$Z$6,0))</f>
        <v>0.40134999999999998</v>
      </c>
      <c r="CY1191" s="72">
        <v>0.37</v>
      </c>
      <c r="CZ1191" s="70">
        <f t="shared" si="2160"/>
        <v>20.601143536372167</v>
      </c>
      <c r="DA1191" s="70">
        <v>19.146574949201604</v>
      </c>
      <c r="DB1191" s="69">
        <f t="shared" si="2164"/>
        <v>6.3866372513109296E-2</v>
      </c>
      <c r="DC1191" s="111">
        <f>VLOOKUP($H1191,RoR!$E:$F,2,FALSE)</f>
        <v>4.6391666666666664E-2</v>
      </c>
      <c r="DD1191" s="216">
        <f>HLOOKUP($H1191,'GDP-PI'!$D$8:$CQ$11,3,FALSE)</f>
        <v>2.0840920205183799E-2</v>
      </c>
      <c r="DE1191" s="111">
        <f>VLOOKUP(H1191,'HW Dx Data'!$E:$F,2,FALSE)</f>
        <v>611.61109612283201</v>
      </c>
      <c r="DF1191" s="72">
        <f t="shared" si="2174"/>
        <v>120.875</v>
      </c>
      <c r="DG1191" s="69">
        <f t="shared" si="2175"/>
        <v>3.3224250161508609E-2</v>
      </c>
      <c r="DH1191" s="66">
        <f>HLOOKUP(H1191,'GDP-PI'!$8:$9,2,FALSE)</f>
        <v>98.111999999999995</v>
      </c>
      <c r="DI1191" s="69">
        <f t="shared" si="2165"/>
        <v>2.0626719212849295E-2</v>
      </c>
    </row>
    <row r="1192" spans="1:113" s="160" customFormat="1" ht="21">
      <c r="A1192" s="160" t="s">
        <v>230</v>
      </c>
      <c r="B1192" s="160" t="s">
        <v>230</v>
      </c>
      <c r="C1192" s="160">
        <v>4063281</v>
      </c>
      <c r="D1192" s="161" t="s">
        <v>192</v>
      </c>
      <c r="E1192" s="161"/>
      <c r="F1192" s="189"/>
      <c r="G1192" s="160" t="s">
        <v>128</v>
      </c>
      <c r="H1192" s="162">
        <v>2012</v>
      </c>
      <c r="I1192" s="163"/>
      <c r="J1192" s="159">
        <f>IFERROR(INDEX('Labor Expenditures'!$F$7:$X$91,MATCH($C1192,'Labor Expenditures'!$D$7:$D$91,0),MATCH($G1192,'Labor Expenditures'!$F$5:$X$5,0)),"NA")</f>
        <v>1598.5986349579066</v>
      </c>
      <c r="K1192" s="159">
        <f t="shared" si="2166"/>
        <v>12.809283933957584</v>
      </c>
      <c r="L1192" s="165">
        <f t="shared" si="2172"/>
        <v>-4.4817533492516617E-2</v>
      </c>
      <c r="M1192" s="76">
        <f t="shared" si="2176"/>
        <v>-2.1599310814660262E-5</v>
      </c>
      <c r="N1192" s="62">
        <f t="shared" si="2182"/>
        <v>117.78164156871021</v>
      </c>
      <c r="O1192" s="96">
        <f t="shared" si="2177"/>
        <v>-2.8989767116048186E-3</v>
      </c>
      <c r="P1192" s="96"/>
      <c r="Q1192" s="159">
        <f>IFERROR(INDEX('Non-Labor Expenditures'!$F$7:$AB$91,MATCH($C1192,'Non-Labor Expenditures'!$D$7:$D$91,0),MATCH($G1192,'Non-Labor Expenditures'!$F$5:$AB$5,0)),"NA")</f>
        <v>2315.0694004584925</v>
      </c>
      <c r="R1192" s="159">
        <f t="shared" si="2167"/>
        <v>23.150694004584924</v>
      </c>
      <c r="S1192" s="165">
        <f t="shared" si="2178"/>
        <v>-3.1922534069390267E-2</v>
      </c>
      <c r="T1192" s="165">
        <f t="shared" si="2179"/>
        <v>-1.5384709546130456E-5</v>
      </c>
      <c r="U1192" s="165"/>
      <c r="V1192" s="165"/>
      <c r="W1192" s="159">
        <f t="shared" si="2148"/>
        <v>1240.2018392896507</v>
      </c>
      <c r="X1192" s="163"/>
      <c r="Y1192" s="167">
        <v>56.360409166950923</v>
      </c>
      <c r="Z1192" s="168">
        <v>1.0280659653958791E-2</v>
      </c>
      <c r="AA1192" s="76">
        <f t="shared" si="2168"/>
        <v>4.9546493513006712E-6</v>
      </c>
      <c r="AB1192" s="168"/>
      <c r="AC1192" s="168"/>
      <c r="AD1192" s="163">
        <f t="shared" si="2138"/>
        <v>5153.8698747060498</v>
      </c>
      <c r="AE1192" s="168">
        <f t="shared" si="2180"/>
        <v>1.0775692309422262E-2</v>
      </c>
      <c r="AF1192" s="163"/>
      <c r="AG1192" s="163"/>
      <c r="AH1192" s="163"/>
      <c r="AI1192" s="163"/>
      <c r="AJ1192" s="116">
        <f t="shared" si="2181"/>
        <v>416.27250421662626</v>
      </c>
      <c r="AK1192" s="114">
        <f>+AV1192/$AX$17</f>
        <v>3.4667660728680572E-4</v>
      </c>
      <c r="AL1192" s="115">
        <f t="shared" si="2169"/>
        <v>0.31017442694924119</v>
      </c>
      <c r="AM1192" s="115">
        <f t="shared" si="2170"/>
        <v>0.44919050281426287</v>
      </c>
      <c r="AN1192" s="115">
        <f t="shared" si="2171"/>
        <v>0.24063507023649591</v>
      </c>
      <c r="AO1192" s="115">
        <f t="shared" si="2173"/>
        <v>-2.6197778183104471E-2</v>
      </c>
      <c r="AP1192" s="166">
        <f t="shared" si="2185"/>
        <v>91.739319559432815</v>
      </c>
      <c r="AQ1192" s="168">
        <f t="shared" si="2186"/>
        <v>-2.6197778183104516E-2</v>
      </c>
      <c r="AR1192" s="169">
        <f>+AD1192/$AF$17</f>
        <v>4.8193885587806379E-4</v>
      </c>
      <c r="AS1192" s="169">
        <f t="shared" si="2183"/>
        <v>-1.262572724411269E-5</v>
      </c>
      <c r="AT1192" s="115"/>
      <c r="AU1192" s="115"/>
      <c r="AV1192" s="113">
        <f>IFERROR(INDEX('Total Customers'!$F$7:$AB$91,MATCH($C1192,'Total Customers'!$D$7:$D$91,0),MATCH($G1192,'Total Customers'!$F$5:$AB$5,0)),"NA")</f>
        <v>12381</v>
      </c>
      <c r="AW1192" s="68">
        <f t="shared" si="2113"/>
        <v>4.4521868985031091E-3</v>
      </c>
      <c r="AX1192" s="114"/>
      <c r="AY1192" s="114"/>
      <c r="AZ1192" s="116"/>
      <c r="BA1192" s="116"/>
      <c r="BB1192" s="166"/>
      <c r="BC1192" s="166"/>
      <c r="BD1192" s="166"/>
      <c r="BE1192" s="166"/>
      <c r="BF1192" s="166"/>
      <c r="BG1192" s="166"/>
      <c r="BH1192" s="166"/>
      <c r="BI1192" s="113"/>
      <c r="BJ1192" s="113"/>
      <c r="BK1192" s="113">
        <f>INDEX('Dist. Plant Gas Additions'!$F$7:$AE$91,MATCH($C1192,'Dist. Plant Gas Additions'!$D$7:$D$91,0),MATCH(Calculation!$G1192,'Dist. Plant Gas Additions'!$F$5:$AE$5,0))</f>
        <v>662</v>
      </c>
      <c r="BL1192" s="113">
        <f>INDEX('Gen. Plant Additions'!$F$7:$AE$91,MATCH($C1192,'Gen. Plant Additions'!$D$7:$D$91,0),MATCH(Calculation!$G1192,'Gen. Plant Additions'!$F$5:$AE$5,0))</f>
        <v>11</v>
      </c>
      <c r="BM1192" s="231">
        <f t="shared" si="2149"/>
        <v>0.94707418778353114</v>
      </c>
      <c r="BN1192" s="61">
        <f t="shared" si="2184"/>
        <v>10.417816065618842</v>
      </c>
      <c r="BO1192" s="113">
        <f>INDEX('Dist Plant Depreciation'!$E$7:$AD$94,MATCH($C1192,'Dist Plant Depreciation'!$D$7:$D$94,0),MATCH(Calculation!$G1192,'Dist Plant Depreciation'!$E$5:$AD$5,0))</f>
        <v>13304</v>
      </c>
      <c r="BP1192" s="113">
        <f>INDEX('Gen. Plant Depreciation'!$E$7:$AD$94,MATCH($C1192,'Gen. Plant Depreciation'!$D$7:$D$94,0),MATCH(Calculation!$G1192,'Gen. Plant Depreciation'!$E$5:$AD$5,0))</f>
        <v>270</v>
      </c>
      <c r="BQ1192" s="113"/>
      <c r="BR1192" s="113"/>
      <c r="BS1192" s="113"/>
      <c r="BT1192" s="113"/>
      <c r="BU1192" s="113"/>
      <c r="BV1192" s="175"/>
      <c r="BW1192" s="113">
        <f>INDEX('Gross Dx Plant'!$E$7:$AD$91,MATCH($C1192,'Gross Dx Plant'!$D$7:$D$91,0),MATCH(Calculation!$G1192,'Gross Dx Plant'!$E$5:$AD$5,0))</f>
        <v>20668</v>
      </c>
      <c r="BX1192" s="113">
        <f>INDEX('Gross Gen Plant'!$E$7:$AD$91,MATCH($C1192,'Gross Gen Plant'!$D$7:$D$91,0),MATCH(Calculation!$G1192,'Gross Gen Plant'!$E$5:$AD$5,0))</f>
        <v>1155</v>
      </c>
      <c r="BY1192" s="113">
        <f t="shared" si="2067"/>
        <v>8249</v>
      </c>
      <c r="BZ1192" s="113"/>
      <c r="CA1192" s="116">
        <v>2012</v>
      </c>
      <c r="CB1192" s="113"/>
      <c r="CC1192" s="113"/>
      <c r="CD1192" s="113"/>
      <c r="CE1192" s="175"/>
      <c r="CF1192" s="113">
        <f t="shared" si="2150"/>
        <v>673</v>
      </c>
      <c r="CG1192" s="113">
        <f t="shared" si="2151"/>
        <v>1.0061004036697436</v>
      </c>
      <c r="CH1192" s="178">
        <v>0.9135802469135802</v>
      </c>
      <c r="CI1192" s="61">
        <f>+CI1178*CH1192+CG1179*CH1191+CG1180*CH1190+CG1181*CH1189+CG1182*CH1188+CG1183*CH1187+CG1184*CH1186+CG1185*CH1185+CG1186*CH1184+CG1187*CH1183+CG1188*CH1182+CG1189*CH1181+CG1190*CH1180+CG1191*CH1179+CG1192</f>
        <v>56.360409166950923</v>
      </c>
      <c r="CJ1192" s="114">
        <f t="shared" si="2152"/>
        <v>1.0280659653958791E-2</v>
      </c>
      <c r="CK1192" s="114"/>
      <c r="CL1192" s="169">
        <f t="shared" si="2153"/>
        <v>7.7019719730332887E-3</v>
      </c>
      <c r="CM1192" s="169">
        <f t="shared" si="2161"/>
        <v>7.434895396222556E-3</v>
      </c>
      <c r="CN1192" s="114">
        <f>VLOOKUP($H1192,RoR!$E:$F,2,FALSE)</f>
        <v>3.6733333333333333E-2</v>
      </c>
      <c r="CO1192" s="169">
        <v>1.924331376386168E-2</v>
      </c>
      <c r="CP1192" s="169">
        <f t="shared" si="2159"/>
        <v>1.7490019569471653E-2</v>
      </c>
      <c r="CQ1192" s="169">
        <f t="shared" si="2162"/>
        <v>2.346704621231107E-2</v>
      </c>
      <c r="CR1192" s="169">
        <f t="shared" si="2163"/>
        <v>6.7122682943869583E-2</v>
      </c>
      <c r="CS1192" s="179">
        <f t="shared" si="2154"/>
        <v>0.85150049999999999</v>
      </c>
      <c r="CT1192" s="180">
        <f t="shared" si="2155"/>
        <v>1.3960631020522127</v>
      </c>
      <c r="CU1192" s="180">
        <f t="shared" si="2156"/>
        <v>0.29441923774954631</v>
      </c>
      <c r="CV1192" s="180">
        <f t="shared" si="2157"/>
        <v>0.76377954189366437</v>
      </c>
      <c r="CW1192" s="180">
        <f t="shared" si="2158"/>
        <v>0.31393465103033691</v>
      </c>
      <c r="CX1192" s="181">
        <f>INDEX('State Tax Lookup'!$D$7:$Z$91,MATCH(Calculation!$C1192,'State Tax Lookup'!$B$7:$B$91,0),MATCH($H1192,'State Tax Lookup'!$D$6:$Z$6,0))</f>
        <v>0.40134999999999998</v>
      </c>
      <c r="CY1192" s="72">
        <v>0.37</v>
      </c>
      <c r="CZ1192" s="70">
        <f t="shared" si="2160"/>
        <v>22.23223208775536</v>
      </c>
      <c r="DA1192" s="70">
        <v>20.759737328210988</v>
      </c>
      <c r="DB1192" s="69">
        <f t="shared" si="2164"/>
        <v>7.6196546012179969E-2</v>
      </c>
      <c r="DC1192" s="111">
        <f>VLOOKUP($H1192,RoR!$E:$F,2,FALSE)</f>
        <v>3.6733333333333333E-2</v>
      </c>
      <c r="DD1192" s="216">
        <f>HLOOKUP($H1192,'GDP-PI'!$D$8:$CQ$11,3,FALSE)</f>
        <v>1.924331376386168E-2</v>
      </c>
      <c r="DE1192" s="111">
        <f>VLOOKUP(H1192,'HW Dx Data'!$E:$F,2,FALSE)</f>
        <v>668.91932211262167</v>
      </c>
      <c r="DF1192" s="72">
        <f t="shared" si="2174"/>
        <v>124.80000000000001</v>
      </c>
      <c r="DG1192" s="69">
        <f t="shared" si="2175"/>
        <v>3.1955502161869064E-2</v>
      </c>
      <c r="DH1192" s="66">
        <f>HLOOKUP(H1192,'GDP-PI'!$8:$9,2,FALSE)</f>
        <v>100</v>
      </c>
      <c r="DI1192" s="69">
        <f t="shared" si="2165"/>
        <v>1.9060502738742411E-2</v>
      </c>
    </row>
    <row r="1193" spans="1:113" s="160" customFormat="1" ht="21">
      <c r="A1193" s="160" t="s">
        <v>230</v>
      </c>
      <c r="B1193" s="160" t="s">
        <v>230</v>
      </c>
      <c r="C1193" s="160">
        <v>4063281</v>
      </c>
      <c r="D1193" s="161" t="s">
        <v>192</v>
      </c>
      <c r="E1193" s="161"/>
      <c r="F1193" s="189"/>
      <c r="G1193" s="160" t="s">
        <v>129</v>
      </c>
      <c r="H1193" s="162">
        <v>2013</v>
      </c>
      <c r="I1193" s="163"/>
      <c r="J1193" s="159">
        <f>IFERROR(INDEX('Labor Expenditures'!$F$7:$X$91,MATCH($C1193,'Labor Expenditures'!$D$7:$D$91,0),MATCH($G1193,'Labor Expenditures'!$F$5:$X$5,0)),"NA")</f>
        <v>1547.7991506599569</v>
      </c>
      <c r="K1193" s="159">
        <f t="shared" si="2166"/>
        <v>12.206617907412911</v>
      </c>
      <c r="L1193" s="165">
        <f t="shared" si="2172"/>
        <v>-4.8191959264849558E-2</v>
      </c>
      <c r="M1193" s="76">
        <f t="shared" si="2176"/>
        <v>-2.1804295495225341E-5</v>
      </c>
      <c r="N1193" s="62">
        <f t="shared" si="2182"/>
        <v>107.53656195365458</v>
      </c>
      <c r="O1193" s="96">
        <f t="shared" si="2177"/>
        <v>-9.1001514064061581E-2</v>
      </c>
      <c r="P1193" s="96"/>
      <c r="Q1193" s="159">
        <f>IFERROR(INDEX('Non-Labor Expenditures'!$F$7:$AB$91,MATCH($C1193,'Non-Labor Expenditures'!$D$7:$D$91,0),MATCH($G1193,'Non-Labor Expenditures'!$F$5:$AB$5,0)),"NA")</f>
        <v>2241.5022591601696</v>
      </c>
      <c r="R1193" s="159">
        <f t="shared" si="2167"/>
        <v>22.024527715211004</v>
      </c>
      <c r="S1193" s="165">
        <f t="shared" si="2178"/>
        <v>-4.9868030213561794E-2</v>
      </c>
      <c r="T1193" s="165">
        <f t="shared" si="2179"/>
        <v>-2.2562628353946442E-5</v>
      </c>
      <c r="U1193" s="165"/>
      <c r="V1193" s="165"/>
      <c r="W1193" s="159">
        <f t="shared" si="2148"/>
        <v>1228.8911750534824</v>
      </c>
      <c r="X1193" s="163"/>
      <c r="Y1193" s="167">
        <v>57.955945926466349</v>
      </c>
      <c r="Z1193" s="168">
        <v>2.7916222061784037E-2</v>
      </c>
      <c r="AA1193" s="76">
        <f t="shared" si="2168"/>
        <v>1.2630604030856228E-5</v>
      </c>
      <c r="AB1193" s="168"/>
      <c r="AC1193" s="168"/>
      <c r="AD1193" s="163">
        <f t="shared" si="2138"/>
        <v>5018.1925848736091</v>
      </c>
      <c r="AE1193" s="168">
        <f t="shared" si="2180"/>
        <v>-2.6678038454957725E-2</v>
      </c>
      <c r="AF1193" s="163"/>
      <c r="AG1193" s="163"/>
      <c r="AH1193" s="163"/>
      <c r="AI1193" s="163"/>
      <c r="AJ1193" s="116">
        <f t="shared" si="2181"/>
        <v>403.65126969704062</v>
      </c>
      <c r="AK1193" s="114">
        <f>+AV1193/$AX$18</f>
        <v>3.4588605925602446E-4</v>
      </c>
      <c r="AL1193" s="115">
        <f t="shared" si="2169"/>
        <v>0.30843757478051048</v>
      </c>
      <c r="AM1193" s="115">
        <f t="shared" si="2170"/>
        <v>0.44667521647470315</v>
      </c>
      <c r="AN1193" s="115">
        <f t="shared" si="2171"/>
        <v>0.24488720874478631</v>
      </c>
      <c r="AO1193" s="115">
        <f t="shared" si="2173"/>
        <v>-3.0466617694459359E-2</v>
      </c>
      <c r="AP1193" s="166">
        <f t="shared" si="2185"/>
        <v>88.986480561720697</v>
      </c>
      <c r="AQ1193" s="168">
        <f t="shared" si="2186"/>
        <v>-3.0466617694459377E-2</v>
      </c>
      <c r="AR1193" s="169">
        <f>+AD1193/$AF$18</f>
        <v>4.5244675310657153E-4</v>
      </c>
      <c r="AS1193" s="169">
        <f t="shared" si="2183"/>
        <v>-1.3784522253997364E-5</v>
      </c>
      <c r="AT1193" s="115"/>
      <c r="AU1193" s="115"/>
      <c r="AV1193" s="113">
        <f>IFERROR(INDEX('Total Customers'!$F$7:$AB$91,MATCH($C1193,'Total Customers'!$D$7:$D$91,0),MATCH($G1193,'Total Customers'!$F$5:$AB$5,0)),"NA")</f>
        <v>12432</v>
      </c>
      <c r="AW1193" s="68">
        <f t="shared" si="2113"/>
        <v>4.110754186737192E-3</v>
      </c>
      <c r="AX1193" s="114"/>
      <c r="AY1193" s="114"/>
      <c r="AZ1193" s="116"/>
      <c r="BA1193" s="116"/>
      <c r="BB1193" s="166"/>
      <c r="BC1193" s="166"/>
      <c r="BD1193" s="166"/>
      <c r="BE1193" s="166"/>
      <c r="BF1193" s="166"/>
      <c r="BG1193" s="166"/>
      <c r="BH1193" s="166"/>
      <c r="BI1193" s="113"/>
      <c r="BJ1193" s="113"/>
      <c r="BK1193" s="113">
        <f>INDEX('Dist. Plant Gas Additions'!$F$7:$AE$91,MATCH($C1193,'Dist. Plant Gas Additions'!$D$7:$D$91,0),MATCH(Calculation!$G1193,'Dist. Plant Gas Additions'!$F$5:$AE$5,0))</f>
        <v>1344</v>
      </c>
      <c r="BL1193" s="113">
        <f>INDEX('Gen. Plant Additions'!$F$7:$AE$91,MATCH($C1193,'Gen. Plant Additions'!$D$7:$D$91,0),MATCH(Calculation!$G1193,'Gen. Plant Additions'!$F$5:$AE$5,0))</f>
        <v>13</v>
      </c>
      <c r="BM1193" s="231">
        <f t="shared" si="2149"/>
        <v>0.94949844344517464</v>
      </c>
      <c r="BN1193" s="61">
        <f t="shared" si="2184"/>
        <v>12.34347976478727</v>
      </c>
      <c r="BO1193" s="113">
        <f>INDEX('Dist Plant Depreciation'!$E$7:$AD$94,MATCH($C1193,'Dist Plant Depreciation'!$D$7:$D$94,0),MATCH(Calculation!$G1193,'Dist Plant Depreciation'!$E$5:$AD$5,0))</f>
        <v>13849</v>
      </c>
      <c r="BP1193" s="113">
        <f>INDEX('Gen. Plant Depreciation'!$E$7:$AD$94,MATCH($C1193,'Gen. Plant Depreciation'!$D$7:$D$94,0),MATCH(Calculation!$G1193,'Gen. Plant Depreciation'!$E$5:$AD$5,0))</f>
        <v>420</v>
      </c>
      <c r="BQ1193" s="113"/>
      <c r="BR1193" s="113"/>
      <c r="BS1193" s="113"/>
      <c r="BT1193" s="113"/>
      <c r="BU1193" s="113"/>
      <c r="BV1193" s="175"/>
      <c r="BW1193" s="113">
        <f>INDEX('Gross Dx Plant'!$E$7:$AD$91,MATCH($C1193,'Gross Dx Plant'!$D$7:$D$91,0),MATCH(Calculation!$G1193,'Gross Dx Plant'!$E$5:$AD$5,0))</f>
        <v>21960</v>
      </c>
      <c r="BX1193" s="113">
        <f>INDEX('Gross Gen Plant'!$E$7:$AD$91,MATCH($C1193,'Gross Gen Plant'!$D$7:$D$91,0),MATCH(Calculation!$G1193,'Gross Gen Plant'!$E$5:$AD$5,0))</f>
        <v>1168</v>
      </c>
      <c r="BY1193" s="113">
        <f t="shared" si="2067"/>
        <v>8859</v>
      </c>
      <c r="BZ1193" s="113"/>
      <c r="CA1193" s="116">
        <v>2013</v>
      </c>
      <c r="CB1193" s="113"/>
      <c r="CC1193" s="113"/>
      <c r="CD1193" s="113"/>
      <c r="CE1193" s="175"/>
      <c r="CF1193" s="113">
        <f t="shared" si="2150"/>
        <v>1357</v>
      </c>
      <c r="CG1193" s="113">
        <f t="shared" si="2151"/>
        <v>2.0459905953352711</v>
      </c>
      <c r="CH1193" s="178">
        <v>0.90566037735849059</v>
      </c>
      <c r="CI1193" s="61">
        <f>+CI1178*CH1193+CG1179*CH1192+CG1180*CH1191+CG1181*CH1190+CG1182*CH1189+CG1183*CH1188+CG1184*CH1187+CG1185*CH1186+CG1186*CH1185+CG1187*CH1184+CG1188*CH1183+CG1189*CH1182+CG1190*CH1181+CG1191*CH1180+CG1192*CH1179+CG1193</f>
        <v>57.955945926466349</v>
      </c>
      <c r="CJ1193" s="114">
        <f t="shared" si="2152"/>
        <v>2.7916222061784037E-2</v>
      </c>
      <c r="CK1193" s="114"/>
      <c r="CL1193" s="169">
        <f t="shared" si="2153"/>
        <v>7.9923805110340852E-3</v>
      </c>
      <c r="CM1193" s="169">
        <f t="shared" si="2161"/>
        <v>7.7087387965373072E-3</v>
      </c>
      <c r="CN1193" s="114">
        <f>VLOOKUP($H1193,RoR!$E:$F,2,FALSE)</f>
        <v>4.2350000000000006E-2</v>
      </c>
      <c r="CO1193" s="169">
        <v>1.7730000000000024E-2</v>
      </c>
      <c r="CP1193" s="169">
        <f t="shared" si="2159"/>
        <v>2.4619999999999982E-2</v>
      </c>
      <c r="CQ1193" s="169">
        <f t="shared" si="2162"/>
        <v>2.3193202811996317E-2</v>
      </c>
      <c r="CR1193" s="169">
        <f t="shared" si="2163"/>
        <v>5.3376742735721204E-2</v>
      </c>
      <c r="CS1193" s="179">
        <f t="shared" si="2154"/>
        <v>0.85150049999999999</v>
      </c>
      <c r="CT1193" s="180">
        <f t="shared" si="2155"/>
        <v>1.2109103018193925</v>
      </c>
      <c r="CU1193" s="180">
        <f t="shared" si="2156"/>
        <v>0.38468122786304604</v>
      </c>
      <c r="CV1193" s="180">
        <f t="shared" si="2157"/>
        <v>0.80969194503422559</v>
      </c>
      <c r="CW1193" s="180">
        <f t="shared" si="2158"/>
        <v>0.37716621754800816</v>
      </c>
      <c r="CX1193" s="181">
        <f>INDEX('State Tax Lookup'!$D$7:$Z$91,MATCH(Calculation!$C1193,'State Tax Lookup'!$B$7:$B$91,0),MATCH($H1193,'State Tax Lookup'!$D$6:$Z$6,0))</f>
        <v>0.40134999999999998</v>
      </c>
      <c r="CY1193" s="72">
        <v>0.37</v>
      </c>
      <c r="CZ1193" s="70">
        <f t="shared" si="2160"/>
        <v>21.804156378873305</v>
      </c>
      <c r="DA1193" s="70">
        <v>20.339519021246105</v>
      </c>
      <c r="DB1193" s="69">
        <f t="shared" si="2164"/>
        <v>-1.9442520538228047E-2</v>
      </c>
      <c r="DC1193" s="111">
        <f>VLOOKUP($H1193,RoR!$E:$F,2,FALSE)</f>
        <v>4.2350000000000006E-2</v>
      </c>
      <c r="DD1193" s="216">
        <f>HLOOKUP($H1193,'GDP-PI'!$D$8:$CQ$11,3,FALSE)</f>
        <v>1.7730000000000024E-2</v>
      </c>
      <c r="DE1193" s="111">
        <f>VLOOKUP(H1193,'HW Dx Data'!$E:$F,2,FALSE)</f>
        <v>663.24840548821396</v>
      </c>
      <c r="DF1193" s="72">
        <f t="shared" si="2174"/>
        <v>126.8</v>
      </c>
      <c r="DG1193" s="69">
        <f t="shared" si="2175"/>
        <v>1.5898586067798204E-2</v>
      </c>
      <c r="DH1193" s="66">
        <f>HLOOKUP(H1193,'GDP-PI'!$8:$9,2,FALSE)</f>
        <v>101.773</v>
      </c>
      <c r="DI1193" s="69">
        <f t="shared" si="2165"/>
        <v>1.7574657016510519E-2</v>
      </c>
    </row>
    <row r="1194" spans="1:113" s="160" customFormat="1" ht="21">
      <c r="A1194" s="160" t="s">
        <v>230</v>
      </c>
      <c r="B1194" s="160" t="s">
        <v>230</v>
      </c>
      <c r="C1194" s="160">
        <v>4063281</v>
      </c>
      <c r="D1194" s="161" t="s">
        <v>192</v>
      </c>
      <c r="E1194" s="161"/>
      <c r="F1194" s="189"/>
      <c r="G1194" s="160" t="s">
        <v>130</v>
      </c>
      <c r="H1194" s="162">
        <v>2014</v>
      </c>
      <c r="I1194" s="163"/>
      <c r="J1194" s="159">
        <f>IFERROR(INDEX('Labor Expenditures'!$F$7:$X$91,MATCH($C1194,'Labor Expenditures'!$D$7:$D$91,0),MATCH($G1194,'Labor Expenditures'!$F$5:$X$5,0)),"NA")</f>
        <v>1464.4265597298224</v>
      </c>
      <c r="K1194" s="159">
        <f t="shared" si="2166"/>
        <v>11.317052239024902</v>
      </c>
      <c r="L1194" s="165">
        <f t="shared" si="2172"/>
        <v>-7.5667620141590952E-2</v>
      </c>
      <c r="M1194" s="76">
        <f t="shared" si="2176"/>
        <v>-3.2404212024830876E-5</v>
      </c>
      <c r="N1194" s="62">
        <f t="shared" si="2182"/>
        <v>122.40413202278853</v>
      </c>
      <c r="O1194" s="96">
        <f t="shared" si="2177"/>
        <v>0.1294972269247387</v>
      </c>
      <c r="P1194" s="96"/>
      <c r="Q1194" s="159">
        <f>IFERROR(INDEX('Non-Labor Expenditures'!$F$7:$AB$91,MATCH($C1194,'Non-Labor Expenditures'!$D$7:$D$91,0),MATCH($G1194,'Non-Labor Expenditures'!$F$5:$AB$5,0)),"NA")</f>
        <v>2120.7631756413221</v>
      </c>
      <c r="R1194" s="159">
        <f t="shared" si="2167"/>
        <v>20.461404340128723</v>
      </c>
      <c r="S1194" s="165">
        <f t="shared" si="2178"/>
        <v>-7.3616331976172303E-2</v>
      </c>
      <c r="T1194" s="165">
        <f t="shared" si="2179"/>
        <v>-3.1525759966845287E-5</v>
      </c>
      <c r="U1194" s="165"/>
      <c r="V1194" s="165"/>
      <c r="W1194" s="159">
        <f t="shared" si="2148"/>
        <v>1290.2586013091316</v>
      </c>
      <c r="X1194" s="163"/>
      <c r="Y1194" s="167">
        <v>59.054872956280299</v>
      </c>
      <c r="Z1194" s="168">
        <v>1.8783892835604828E-2</v>
      </c>
      <c r="AA1194" s="76">
        <f t="shared" si="2168"/>
        <v>8.0440913161755307E-6</v>
      </c>
      <c r="AB1194" s="168"/>
      <c r="AC1194" s="168"/>
      <c r="AD1194" s="163">
        <f t="shared" si="2138"/>
        <v>4875.448336680276</v>
      </c>
      <c r="AE1194" s="168">
        <f t="shared" si="2180"/>
        <v>-2.8857759299115531E-2</v>
      </c>
      <c r="AF1194" s="163"/>
      <c r="AG1194" s="163"/>
      <c r="AH1194" s="163"/>
      <c r="AI1194" s="163"/>
      <c r="AJ1194" s="116">
        <f t="shared" si="2181"/>
        <v>390.50447230118351</v>
      </c>
      <c r="AK1194" s="114">
        <f>+AV1194/$AX$19</f>
        <v>3.4550444340576334E-4</v>
      </c>
      <c r="AL1194" s="115">
        <f t="shared" si="2169"/>
        <v>0.30036756798595465</v>
      </c>
      <c r="AM1194" s="115">
        <f t="shared" si="2170"/>
        <v>0.43498833936682901</v>
      </c>
      <c r="AN1194" s="115">
        <f t="shared" si="2171"/>
        <v>0.26464409264721628</v>
      </c>
      <c r="AO1194" s="115">
        <f t="shared" si="2173"/>
        <v>-5.0700345969744529E-2</v>
      </c>
      <c r="AP1194" s="166">
        <f t="shared" si="2185"/>
        <v>84.587297570902379</v>
      </c>
      <c r="AQ1194" s="168">
        <f t="shared" si="2186"/>
        <v>-5.070034596974448E-2</v>
      </c>
      <c r="AR1194" s="169">
        <f>+AD1194/$AF$19</f>
        <v>4.2824410182579263E-4</v>
      </c>
      <c r="AS1194" s="169">
        <f t="shared" si="2183"/>
        <v>-2.1712124122070171E-5</v>
      </c>
      <c r="AT1194" s="115"/>
      <c r="AU1194" s="115"/>
      <c r="AV1194" s="113">
        <f>IFERROR(INDEX('Total Customers'!$F$7:$AB$91,MATCH($C1194,'Total Customers'!$D$7:$D$91,0),MATCH($G1194,'Total Customers'!$F$5:$AB$5,0)),"NA")</f>
        <v>12485</v>
      </c>
      <c r="AW1194" s="68">
        <f t="shared" si="2113"/>
        <v>4.2541301064448287E-3</v>
      </c>
      <c r="AX1194" s="114"/>
      <c r="AY1194" s="114"/>
      <c r="AZ1194" s="116"/>
      <c r="BA1194" s="116"/>
      <c r="BB1194" s="166"/>
      <c r="BC1194" s="166"/>
      <c r="BD1194" s="166"/>
      <c r="BE1194" s="166"/>
      <c r="BF1194" s="166"/>
      <c r="BG1194" s="166"/>
      <c r="BH1194" s="166"/>
      <c r="BI1194" s="113"/>
      <c r="BJ1194" s="113"/>
      <c r="BK1194" s="113">
        <f>INDEX('Dist. Plant Gas Additions'!$F$7:$AE$91,MATCH($C1194,'Dist. Plant Gas Additions'!$D$7:$D$91,0),MATCH(Calculation!$G1194,'Dist. Plant Gas Additions'!$F$5:$AE$5,0))</f>
        <v>1048</v>
      </c>
      <c r="BL1194" s="113">
        <f>INDEX('Gen. Plant Additions'!$F$7:$AE$91,MATCH($C1194,'Gen. Plant Additions'!$D$7:$D$91,0),MATCH(Calculation!$G1194,'Gen. Plant Additions'!$F$5:$AE$5,0))</f>
        <v>31</v>
      </c>
      <c r="BM1194" s="231">
        <f t="shared" si="2149"/>
        <v>0.95005826535708338</v>
      </c>
      <c r="BN1194" s="61">
        <f t="shared" si="2184"/>
        <v>29.451806226069586</v>
      </c>
      <c r="BO1194" s="113">
        <f>INDEX('Dist Plant Depreciation'!$E$7:$AD$94,MATCH($C1194,'Dist Plant Depreciation'!$D$7:$D$94,0),MATCH(Calculation!$G1194,'Dist Plant Depreciation'!$E$5:$AD$5,0))</f>
        <v>14424</v>
      </c>
      <c r="BP1194" s="113">
        <f>INDEX('Gen. Plant Depreciation'!$E$7:$AD$94,MATCH($C1194,'Gen. Plant Depreciation'!$D$7:$D$94,0),MATCH(Calculation!$G1194,'Gen. Plant Depreciation'!$E$5:$AD$5,0))</f>
        <v>478</v>
      </c>
      <c r="BQ1194" s="113"/>
      <c r="BR1194" s="113"/>
      <c r="BS1194" s="113"/>
      <c r="BT1194" s="113"/>
      <c r="BU1194" s="113"/>
      <c r="BV1194" s="175"/>
      <c r="BW1194" s="113">
        <f>INDEX('Gross Dx Plant'!$E$7:$AD$91,MATCH($C1194,'Gross Dx Plant'!$D$7:$D$91,0),MATCH(Calculation!$G1194,'Gross Dx Plant'!$E$5:$AD$5,0))</f>
        <v>22828</v>
      </c>
      <c r="BX1194" s="113">
        <f>INDEX('Gross Gen Plant'!$E$7:$AD$91,MATCH($C1194,'Gross Gen Plant'!$D$7:$D$91,0),MATCH(Calculation!$G1194,'Gross Gen Plant'!$E$5:$AD$5,0))</f>
        <v>1200</v>
      </c>
      <c r="BY1194" s="113">
        <f t="shared" si="2067"/>
        <v>9126</v>
      </c>
      <c r="BZ1194" s="113"/>
      <c r="CA1194" s="116">
        <v>2014</v>
      </c>
      <c r="CB1194" s="113"/>
      <c r="CC1194" s="113"/>
      <c r="CD1194" s="113"/>
      <c r="CE1194" s="175"/>
      <c r="CF1194" s="113">
        <f t="shared" si="2150"/>
        <v>1079</v>
      </c>
      <c r="CG1194" s="113">
        <f t="shared" si="2151"/>
        <v>1.576404153891543</v>
      </c>
      <c r="CH1194" s="178">
        <v>0.89743589743589747</v>
      </c>
      <c r="CI1194" s="61">
        <f>+CI1178*CH1194+CG1179*CH1193+CG1180*CH1192+CG1181*CH1191+CG1182*CH1190+CG1183*CH1189+CG1184*CH1188+CG1185*CH1187+CG1186*CH1186+CG1187*CH1185+CG1188*CH1184+CG1189*CH1183+CG1190*CH1182+CG1191*CH1181+CG1192*CH1180+CG1193*CH1179+CG1194</f>
        <v>59.054872956280299</v>
      </c>
      <c r="CJ1194" s="114">
        <f t="shared" si="2152"/>
        <v>1.8783892835604828E-2</v>
      </c>
      <c r="CK1194" s="114"/>
      <c r="CL1194" s="169">
        <f t="shared" si="2153"/>
        <v>8.2386218781315169E-3</v>
      </c>
      <c r="CM1194" s="169">
        <f t="shared" si="2161"/>
        <v>7.9776581207329639E-3</v>
      </c>
      <c r="CN1194" s="114">
        <f>VLOOKUP($H1194,RoR!$E:$F,2,FALSE)</f>
        <v>4.1625000000000002E-2</v>
      </c>
      <c r="CO1194" s="169">
        <v>1.841352814597208E-2</v>
      </c>
      <c r="CP1194" s="169">
        <f t="shared" si="2159"/>
        <v>2.3211471854027922E-2</v>
      </c>
      <c r="CQ1194" s="169">
        <f t="shared" si="2162"/>
        <v>2.2924283487800661E-2</v>
      </c>
      <c r="CR1194" s="169">
        <f t="shared" si="2163"/>
        <v>3.9072621432650924E-2</v>
      </c>
      <c r="CS1194" s="179">
        <f t="shared" si="2154"/>
        <v>0.85150049999999999</v>
      </c>
      <c r="CT1194" s="180">
        <f t="shared" si="2155"/>
        <v>1.2320012320012319</v>
      </c>
      <c r="CU1194" s="180">
        <f t="shared" si="2156"/>
        <v>0.37439939939939942</v>
      </c>
      <c r="CV1194" s="180">
        <f t="shared" si="2157"/>
        <v>0.80432100613819935</v>
      </c>
      <c r="CW1194" s="180">
        <f t="shared" si="2158"/>
        <v>0.37100152660040037</v>
      </c>
      <c r="CX1194" s="181">
        <f>INDEX('State Tax Lookup'!$D$7:$Z$91,MATCH(Calculation!$C1194,'State Tax Lookup'!$B$7:$B$91,0),MATCH($H1194,'State Tax Lookup'!$D$6:$Z$6,0))</f>
        <v>0.40134999999999998</v>
      </c>
      <c r="CY1194" s="72">
        <v>0.37</v>
      </c>
      <c r="CZ1194" s="70">
        <f t="shared" si="2160"/>
        <v>22.262747690223065</v>
      </c>
      <c r="DA1194" s="70">
        <v>20.763592984765573</v>
      </c>
      <c r="DB1194" s="69">
        <f t="shared" si="2164"/>
        <v>2.0814163245082631E-2</v>
      </c>
      <c r="DC1194" s="111">
        <f>VLOOKUP($H1194,RoR!$E:$F,2,FALSE)</f>
        <v>4.1625000000000002E-2</v>
      </c>
      <c r="DD1194" s="216">
        <f>HLOOKUP($H1194,'GDP-PI'!$D$8:$CQ$11,3,FALSE)</f>
        <v>1.841352814597208E-2</v>
      </c>
      <c r="DE1194" s="111">
        <f>VLOOKUP(H1194,'HW Dx Data'!$E:$F,2,FALSE)</f>
        <v>684.46914285042885</v>
      </c>
      <c r="DF1194" s="72">
        <f t="shared" si="2174"/>
        <v>129.4</v>
      </c>
      <c r="DG1194" s="69">
        <f t="shared" si="2175"/>
        <v>2.0297340063674733E-2</v>
      </c>
      <c r="DH1194" s="66">
        <f>HLOOKUP(H1194,'GDP-PI'!$8:$9,2,FALSE)</f>
        <v>103.64700000000001</v>
      </c>
      <c r="DI1194" s="69">
        <f t="shared" si="2165"/>
        <v>1.8246051898256087E-2</v>
      </c>
    </row>
    <row r="1195" spans="1:113" s="160" customFormat="1" ht="21">
      <c r="A1195" s="160" t="s">
        <v>230</v>
      </c>
      <c r="B1195" s="160" t="s">
        <v>230</v>
      </c>
      <c r="C1195" s="160">
        <v>4063281</v>
      </c>
      <c r="D1195" s="161" t="s">
        <v>192</v>
      </c>
      <c r="E1195" s="161"/>
      <c r="F1195" s="189"/>
      <c r="G1195" s="160" t="s">
        <v>132</v>
      </c>
      <c r="H1195" s="162">
        <v>2015</v>
      </c>
      <c r="I1195" s="163"/>
      <c r="J1195" s="159">
        <f>IFERROR(INDEX('Labor Expenditures'!$F$7:$X$91,MATCH($C1195,'Labor Expenditures'!$D$7:$D$91,0),MATCH($G1195,'Labor Expenditures'!$F$5:$X$5,0)),"NA")</f>
        <v>1605.1418520042516</v>
      </c>
      <c r="K1195" s="159">
        <f t="shared" si="2166"/>
        <v>12.023534471941959</v>
      </c>
      <c r="L1195" s="165">
        <f t="shared" si="2172"/>
        <v>6.0555299178157461E-2</v>
      </c>
      <c r="M1195" s="76">
        <f t="shared" si="2176"/>
        <v>2.7465754015130863E-5</v>
      </c>
      <c r="N1195" s="62">
        <f t="shared" si="2182"/>
        <v>122.49041350291554</v>
      </c>
      <c r="O1195" s="96">
        <f t="shared" si="2177"/>
        <v>7.0464193893610898E-4</v>
      </c>
      <c r="P1195" s="96"/>
      <c r="Q1195" s="159">
        <f>IFERROR(INDEX('Non-Labor Expenditures'!$F$7:$AB$91,MATCH($C1195,'Non-Labor Expenditures'!$D$7:$D$91,0),MATCH($G1195,'Non-Labor Expenditures'!$F$5:$AB$5,0)),"NA")</f>
        <v>2324.5452008459679</v>
      </c>
      <c r="R1195" s="159">
        <f t="shared" si="2167"/>
        <v>22.21490267343885</v>
      </c>
      <c r="S1195" s="165">
        <f t="shared" si="2178"/>
        <v>8.2222958766218879E-2</v>
      </c>
      <c r="T1195" s="165">
        <f t="shared" si="2179"/>
        <v>3.7293442366209937E-5</v>
      </c>
      <c r="U1195" s="165"/>
      <c r="V1195" s="165"/>
      <c r="W1195" s="159">
        <f t="shared" si="2148"/>
        <v>1285.0916916713081</v>
      </c>
      <c r="X1195" s="163"/>
      <c r="Y1195" s="167">
        <v>59.273739550176025</v>
      </c>
      <c r="Z1195" s="168">
        <v>3.6993054994253075E-3</v>
      </c>
      <c r="AA1195" s="76">
        <f t="shared" si="2168"/>
        <v>1.6778748722735296E-6</v>
      </c>
      <c r="AB1195" s="168"/>
      <c r="AC1195" s="168"/>
      <c r="AD1195" s="163">
        <f t="shared" si="2138"/>
        <v>5214.7787445215272</v>
      </c>
      <c r="AE1195" s="168">
        <f t="shared" si="2180"/>
        <v>6.7284594087394137E-2</v>
      </c>
      <c r="AF1195" s="163"/>
      <c r="AG1195" s="163"/>
      <c r="AH1195" s="163"/>
      <c r="AI1195" s="163"/>
      <c r="AJ1195" s="116">
        <f t="shared" si="2181"/>
        <v>414.85908866519708</v>
      </c>
      <c r="AK1195" s="114">
        <f>+AV1195/$AX$20</f>
        <v>3.4502816879140337E-4</v>
      </c>
      <c r="AL1195" s="115">
        <f t="shared" si="2169"/>
        <v>0.30780631943216386</v>
      </c>
      <c r="AM1195" s="115">
        <f t="shared" si="2170"/>
        <v>0.44576104082806151</v>
      </c>
      <c r="AN1195" s="115">
        <f t="shared" si="2171"/>
        <v>0.24643263973977469</v>
      </c>
      <c r="AO1195" s="115">
        <f t="shared" si="2173"/>
        <v>5.5568300321416027E-2</v>
      </c>
      <c r="AP1195" s="166">
        <f t="shared" si="2185"/>
        <v>89.420718755352439</v>
      </c>
      <c r="AQ1195" s="168">
        <f t="shared" si="2186"/>
        <v>5.5568300321416055E-2</v>
      </c>
      <c r="AR1195" s="169">
        <f>+AD1195/$AF$20</f>
        <v>4.5356483062406979E-4</v>
      </c>
      <c r="AS1195" s="169">
        <f t="shared" si="2183"/>
        <v>2.5203826723350516E-5</v>
      </c>
      <c r="AT1195" s="115"/>
      <c r="AU1195" s="115"/>
      <c r="AV1195" s="113">
        <f>IFERROR(INDEX('Total Customers'!$F$7:$AB$91,MATCH($C1195,'Total Customers'!$D$7:$D$91,0),MATCH($G1195,'Total Customers'!$F$5:$AB$5,0)),"NA")</f>
        <v>12570</v>
      </c>
      <c r="AW1195" s="68">
        <f t="shared" si="2113"/>
        <v>6.7850988704195253E-3</v>
      </c>
      <c r="AX1195" s="114"/>
      <c r="AY1195" s="114"/>
      <c r="AZ1195" s="116"/>
      <c r="BA1195" s="116"/>
      <c r="BB1195" s="166"/>
      <c r="BC1195" s="166"/>
      <c r="BD1195" s="166"/>
      <c r="BE1195" s="166"/>
      <c r="BF1195" s="166"/>
      <c r="BG1195" s="166"/>
      <c r="BH1195" s="166"/>
      <c r="BI1195" s="113"/>
      <c r="BJ1195" s="113"/>
      <c r="BK1195" s="113">
        <f>INDEX('Dist. Plant Gas Additions'!$F$7:$AE$91,MATCH($C1195,'Dist. Plant Gas Additions'!$D$7:$D$91,0),MATCH(Calculation!$G1195,'Dist. Plant Gas Additions'!$F$5:$AE$5,0))</f>
        <v>488</v>
      </c>
      <c r="BL1195" s="113">
        <f>INDEX('Gen. Plant Additions'!$F$7:$AE$91,MATCH($C1195,'Gen. Plant Additions'!$D$7:$D$91,0),MATCH(Calculation!$G1195,'Gen. Plant Additions'!$F$5:$AE$5,0))</f>
        <v>0</v>
      </c>
      <c r="BM1195" s="231">
        <f t="shared" si="2149"/>
        <v>0.95090418132722365</v>
      </c>
      <c r="BN1195" s="61">
        <f t="shared" si="2184"/>
        <v>0</v>
      </c>
      <c r="BO1195" s="113">
        <f>INDEX('Dist Plant Depreciation'!$E$7:$AD$94,MATCH($C1195,'Dist Plant Depreciation'!$D$7:$D$94,0),MATCH(Calculation!$G1195,'Dist Plant Depreciation'!$E$5:$AD$5,0))</f>
        <v>15137</v>
      </c>
      <c r="BP1195" s="113">
        <f>INDEX('Gen. Plant Depreciation'!$E$7:$AD$94,MATCH($C1195,'Gen. Plant Depreciation'!$D$7:$D$94,0),MATCH(Calculation!$G1195,'Gen. Plant Depreciation'!$E$5:$AD$5,0))</f>
        <v>549</v>
      </c>
      <c r="BQ1195" s="113"/>
      <c r="BR1195" s="113"/>
      <c r="BS1195" s="113"/>
      <c r="BT1195" s="113"/>
      <c r="BU1195" s="113"/>
      <c r="BV1195" s="175"/>
      <c r="BW1195" s="113">
        <f>INDEX('Gross Dx Plant'!$E$7:$AD$91,MATCH($C1195,'Gross Dx Plant'!$D$7:$D$91,0),MATCH(Calculation!$G1195,'Gross Dx Plant'!$E$5:$AD$5,0))</f>
        <v>23242</v>
      </c>
      <c r="BX1195" s="113">
        <f>INDEX('Gross Gen Plant'!$E$7:$AD$91,MATCH($C1195,'Gross Gen Plant'!$D$7:$D$91,0),MATCH(Calculation!$G1195,'Gross Gen Plant'!$E$5:$AD$5,0))</f>
        <v>1200</v>
      </c>
      <c r="BY1195" s="113">
        <f t="shared" si="2067"/>
        <v>8756</v>
      </c>
      <c r="BZ1195" s="113"/>
      <c r="CA1195" s="116">
        <v>2015</v>
      </c>
      <c r="CB1195" s="113"/>
      <c r="CC1195" s="113"/>
      <c r="CD1195" s="113"/>
      <c r="CE1195" s="175"/>
      <c r="CF1195" s="113">
        <f t="shared" si="2150"/>
        <v>488</v>
      </c>
      <c r="CG1195" s="113">
        <f t="shared" si="2151"/>
        <v>0.72230525524660538</v>
      </c>
      <c r="CH1195" s="178">
        <v>0.88888888888888884</v>
      </c>
      <c r="CI1195" s="61">
        <f>+CI1178*CH1195+CG1179*CH1194+CG1180*CH1193+CG1181*CH1192+CG1182*CH1191+CG1183*CH1190+CG1184*CH1189+CG1185*CH1188+CG1186*CH1187+CG1187*CH1186+CG1188*CH1185+CG1189*CH1184+CG1190*CH1183+CG1191*CH1182+CG1192*CH1181+CG1193*CH1180+CG1194*CH1179+CG1195</f>
        <v>59.273739550176025</v>
      </c>
      <c r="CJ1195" s="114">
        <f t="shared" si="2152"/>
        <v>3.6993054994253075E-3</v>
      </c>
      <c r="CK1195" s="114"/>
      <c r="CL1195" s="169">
        <f t="shared" si="2153"/>
        <v>8.5249300548590982E-3</v>
      </c>
      <c r="CM1195" s="169">
        <f t="shared" si="2161"/>
        <v>8.2519774813415662E-3</v>
      </c>
      <c r="CN1195" s="114">
        <f>VLOOKUP($H1195,RoR!$E:$F,2,FALSE)</f>
        <v>3.8866666666666674E-2</v>
      </c>
      <c r="CO1195" s="169">
        <v>9.5709475431029478E-3</v>
      </c>
      <c r="CP1195" s="169">
        <f t="shared" si="2159"/>
        <v>2.9295719123563727E-2</v>
      </c>
      <c r="CQ1195" s="169">
        <f t="shared" si="2162"/>
        <v>2.2649964127192057E-2</v>
      </c>
      <c r="CR1195" s="169">
        <f t="shared" si="2163"/>
        <v>3.5270373279175926E-3</v>
      </c>
      <c r="CS1195" s="179">
        <f t="shared" si="2154"/>
        <v>0.85150049999999999</v>
      </c>
      <c r="CT1195" s="180">
        <f t="shared" si="2155"/>
        <v>1.3194352816994324</v>
      </c>
      <c r="CU1195" s="180">
        <f t="shared" si="2156"/>
        <v>0.33177530017152673</v>
      </c>
      <c r="CV1195" s="180">
        <f t="shared" si="2157"/>
        <v>0.78242572977668579</v>
      </c>
      <c r="CW1195" s="180">
        <f t="shared" si="2158"/>
        <v>0.34251158643433932</v>
      </c>
      <c r="CX1195" s="181">
        <f>INDEX('State Tax Lookup'!$D$7:$Z$91,MATCH(Calculation!$C1195,'State Tax Lookup'!$B$7:$B$91,0),MATCH($H1195,'State Tax Lookup'!$D$6:$Z$6,0))</f>
        <v>0.40134999999999998</v>
      </c>
      <c r="CY1195" s="72">
        <v>0.37</v>
      </c>
      <c r="CZ1195" s="70">
        <f t="shared" si="2160"/>
        <v>21.760976314735135</v>
      </c>
      <c r="DA1195" s="70">
        <v>20.279488671080099</v>
      </c>
      <c r="DB1195" s="69">
        <f t="shared" si="2164"/>
        <v>-2.2796486061904864E-2</v>
      </c>
      <c r="DC1195" s="111">
        <f>VLOOKUP($H1195,RoR!$E:$F,2,FALSE)</f>
        <v>3.8866666666666674E-2</v>
      </c>
      <c r="DD1195" s="216">
        <f>HLOOKUP($H1195,'GDP-PI'!$D$8:$CQ$11,3,FALSE)</f>
        <v>9.5709475431029478E-3</v>
      </c>
      <c r="DE1195" s="111">
        <f>VLOOKUP(H1195,'HW Dx Data'!$E:$F,2,FALSE)</f>
        <v>675.61463308665782</v>
      </c>
      <c r="DF1195" s="72">
        <f t="shared" si="2174"/>
        <v>133.5</v>
      </c>
      <c r="DG1195" s="69">
        <f t="shared" si="2175"/>
        <v>3.1193095773504077E-2</v>
      </c>
      <c r="DH1195" s="66">
        <f>HLOOKUP(H1195,'GDP-PI'!$8:$9,2,FALSE)</f>
        <v>104.639</v>
      </c>
      <c r="DI1195" s="69">
        <f t="shared" si="2165"/>
        <v>9.5254361854427965E-3</v>
      </c>
    </row>
    <row r="1196" spans="1:113" s="160" customFormat="1" ht="21">
      <c r="A1196" s="160" t="s">
        <v>230</v>
      </c>
      <c r="B1196" s="160" t="s">
        <v>230</v>
      </c>
      <c r="C1196" s="160">
        <v>4063281</v>
      </c>
      <c r="D1196" s="161" t="s">
        <v>192</v>
      </c>
      <c r="E1196" s="161"/>
      <c r="F1196" s="189"/>
      <c r="G1196" s="160" t="s">
        <v>133</v>
      </c>
      <c r="H1196" s="162">
        <v>2016</v>
      </c>
      <c r="I1196" s="163"/>
      <c r="J1196" s="159">
        <f>IFERROR(INDEX('Labor Expenditures'!$F$7:$X$91,MATCH($C1196,'Labor Expenditures'!$D$7:$D$91,0),MATCH($G1196,'Labor Expenditures'!$F$5:$X$5,0)),"NA")</f>
        <v>1400.6314451372921</v>
      </c>
      <c r="K1196" s="159">
        <f t="shared" si="2166"/>
        <v>10.227319789246383</v>
      </c>
      <c r="L1196" s="165">
        <f t="shared" si="2172"/>
        <v>-0.16180338467875541</v>
      </c>
      <c r="M1196" s="76">
        <f t="shared" si="2176"/>
        <v>-6.3837108702815526E-5</v>
      </c>
      <c r="N1196" s="62">
        <f t="shared" si="2182"/>
        <v>303.85396562623072</v>
      </c>
      <c r="O1196" s="96">
        <f t="shared" si="2177"/>
        <v>0.90851443995561565</v>
      </c>
      <c r="P1196" s="96"/>
      <c r="Q1196" s="159">
        <f>IFERROR(INDEX('Non-Labor Expenditures'!$F$7:$AB$91,MATCH($C1196,'Non-Labor Expenditures'!$D$7:$D$91,0),MATCH($G1196,'Non-Labor Expenditures'!$F$5:$AB$5,0)),"NA")</f>
        <v>2028.3759344275206</v>
      </c>
      <c r="R1196" s="159">
        <f t="shared" si="2167"/>
        <v>19.183399546299469</v>
      </c>
      <c r="S1196" s="165">
        <f t="shared" si="2178"/>
        <v>-0.14671805717717742</v>
      </c>
      <c r="T1196" s="165">
        <f t="shared" si="2179"/>
        <v>-5.7885418054021284E-5</v>
      </c>
      <c r="U1196" s="165"/>
      <c r="V1196" s="165"/>
      <c r="W1196" s="159">
        <f t="shared" si="2148"/>
        <v>1265.0694539119472</v>
      </c>
      <c r="X1196" s="163"/>
      <c r="Y1196" s="167">
        <v>61.079538899173663</v>
      </c>
      <c r="Z1196" s="168">
        <v>3.00105639095288E-2</v>
      </c>
      <c r="AA1196" s="76">
        <f t="shared" si="2168"/>
        <v>1.1840219747745013E-5</v>
      </c>
      <c r="AB1196" s="168"/>
      <c r="AC1196" s="168"/>
      <c r="AD1196" s="163">
        <f t="shared" si="2138"/>
        <v>4694.0768334767599</v>
      </c>
      <c r="AE1196" s="168">
        <f t="shared" si="2180"/>
        <v>-0.10519519506806035</v>
      </c>
      <c r="AF1196" s="163"/>
      <c r="AG1196" s="163"/>
      <c r="AH1196" s="163"/>
      <c r="AI1196" s="163"/>
      <c r="AJ1196" s="116">
        <f t="shared" si="2181"/>
        <v>371.01460903230787</v>
      </c>
      <c r="AK1196" s="114">
        <f>+AV1196/$AX$21</f>
        <v>3.4427797327921832E-4</v>
      </c>
      <c r="AL1196" s="115">
        <f t="shared" si="2169"/>
        <v>0.29838272674797423</v>
      </c>
      <c r="AM1196" s="115">
        <f t="shared" si="2170"/>
        <v>0.43211391853702663</v>
      </c>
      <c r="AN1196" s="115">
        <f t="shared" si="2171"/>
        <v>0.26950335471499914</v>
      </c>
      <c r="AO1196" s="115">
        <f t="shared" si="2173"/>
        <v>-0.10570000888743036</v>
      </c>
      <c r="AP1196" s="166">
        <f t="shared" si="2185"/>
        <v>80.451329561358506</v>
      </c>
      <c r="AQ1196" s="168">
        <f t="shared" si="2186"/>
        <v>-0.10570000888743039</v>
      </c>
      <c r="AR1196" s="169">
        <f>+AD1196/$AF$21</f>
        <v>3.9453506383415763E-4</v>
      </c>
      <c r="AS1196" s="169">
        <f t="shared" si="2183"/>
        <v>-4.1702359753673379E-5</v>
      </c>
      <c r="AT1196" s="115"/>
      <c r="AU1196" s="115"/>
      <c r="AV1196" s="113">
        <f>IFERROR(INDEX('Total Customers'!$F$7:$AB$91,MATCH($C1196,'Total Customers'!$D$7:$D$91,0),MATCH($G1196,'Total Customers'!$F$5:$AB$5,0)),"NA")</f>
        <v>12652</v>
      </c>
      <c r="AW1196" s="68">
        <f t="shared" si="2113"/>
        <v>6.5022828412463329E-3</v>
      </c>
      <c r="AX1196" s="114"/>
      <c r="AY1196" s="114"/>
      <c r="AZ1196" s="116"/>
      <c r="BA1196" s="116"/>
      <c r="BB1196" s="166"/>
      <c r="BC1196" s="166"/>
      <c r="BD1196" s="166"/>
      <c r="BE1196" s="166"/>
      <c r="BF1196" s="166"/>
      <c r="BG1196" s="166"/>
      <c r="BH1196" s="166"/>
      <c r="BI1196" s="113"/>
      <c r="BJ1196" s="113"/>
      <c r="BK1196" s="113">
        <f>INDEX('Dist. Plant Gas Additions'!$F$7:$AE$91,MATCH($C1196,'Dist. Plant Gas Additions'!$D$7:$D$91,0),MATCH(Calculation!$G1196,'Dist. Plant Gas Additions'!$F$5:$AE$5,0))</f>
        <v>1438</v>
      </c>
      <c r="BL1196" s="113">
        <f>INDEX('Gen. Plant Additions'!$F$7:$AE$91,MATCH($C1196,'Gen. Plant Additions'!$D$7:$D$91,0),MATCH(Calculation!$G1196,'Gen. Plant Additions'!$F$5:$AE$5,0))</f>
        <v>128</v>
      </c>
      <c r="BM1196" s="231">
        <f t="shared" si="2149"/>
        <v>0.94917461411773718</v>
      </c>
      <c r="BN1196" s="61">
        <f t="shared" si="2184"/>
        <v>121.49435060707036</v>
      </c>
      <c r="BO1196" s="113">
        <f>INDEX('Dist Plant Depreciation'!$E$7:$AD$94,MATCH($C1196,'Dist Plant Depreciation'!$D$7:$D$94,0),MATCH(Calculation!$G1196,'Dist Plant Depreciation'!$E$5:$AD$5,0))</f>
        <v>15821</v>
      </c>
      <c r="BP1196" s="113">
        <f>INDEX('Gen. Plant Depreciation'!$E$7:$AD$94,MATCH($C1196,'Gen. Plant Depreciation'!$D$7:$D$94,0),MATCH(Calculation!$G1196,'Gen. Plant Depreciation'!$E$5:$AD$5,0))</f>
        <v>521</v>
      </c>
      <c r="BQ1196" s="113"/>
      <c r="BR1196" s="113"/>
      <c r="BS1196" s="113"/>
      <c r="BT1196" s="113"/>
      <c r="BU1196" s="113"/>
      <c r="BV1196" s="175"/>
      <c r="BW1196" s="113">
        <f>INDEX('Gross Dx Plant'!$E$7:$AD$91,MATCH($C1196,'Gross Dx Plant'!$D$7:$D$91,0),MATCH(Calculation!$G1196,'Gross Dx Plant'!$E$5:$AD$5,0))</f>
        <v>24782</v>
      </c>
      <c r="BX1196" s="113">
        <f>INDEX('Gross Gen Plant'!$E$7:$AD$91,MATCH($C1196,'Gross Gen Plant'!$D$7:$D$91,0),MATCH(Calculation!$G1196,'Gross Gen Plant'!$E$5:$AD$5,0))</f>
        <v>1327</v>
      </c>
      <c r="BY1196" s="113">
        <f t="shared" si="2067"/>
        <v>9767</v>
      </c>
      <c r="BZ1196" s="113"/>
      <c r="CA1196" s="116">
        <v>2016</v>
      </c>
      <c r="CB1196" s="113"/>
      <c r="CC1196" s="113"/>
      <c r="CD1196" s="113"/>
      <c r="CE1196" s="175"/>
      <c r="CF1196" s="113">
        <f t="shared" si="2150"/>
        <v>1566</v>
      </c>
      <c r="CG1196" s="113">
        <f t="shared" si="2151"/>
        <v>2.3322437827990741</v>
      </c>
      <c r="CH1196" s="178">
        <v>0.88</v>
      </c>
      <c r="CI1196" s="61">
        <f>+CI1178*CH1196+CG1179*CH1195+CG1180*CH1194+CG1181*CH1193+CG1182*CH1192+CG1183*CH1191+CG1184*CH1190+CG1185*CH1189+CG1186*CH1188+CG1187*CH1187+CG1188*CH1186+CG1189*CH1185+CG1190*CH1184+CG1191*CH1183+CG1192*CH1182+CG1193*CH1181+CG1194*CH1180+CG1195*CH1179+CG1196</f>
        <v>61.079538899173663</v>
      </c>
      <c r="CJ1196" s="114">
        <f t="shared" si="2152"/>
        <v>3.00105639095288E-2</v>
      </c>
      <c r="CK1196" s="114"/>
      <c r="CL1196" s="169">
        <f t="shared" si="2153"/>
        <v>8.8815795628314192E-3</v>
      </c>
      <c r="CM1196" s="169">
        <f t="shared" si="2161"/>
        <v>8.5483771652740109E-3</v>
      </c>
      <c r="CN1196" s="114">
        <f>VLOOKUP($H1196,RoR!$E:$F,2,FALSE)</f>
        <v>3.6658333333333334E-2</v>
      </c>
      <c r="CO1196" s="169">
        <v>1.0483662879041455E-2</v>
      </c>
      <c r="CP1196" s="169">
        <f t="shared" si="2159"/>
        <v>2.6174670454291879E-2</v>
      </c>
      <c r="CQ1196" s="169">
        <f t="shared" si="2162"/>
        <v>2.2353564443259616E-2</v>
      </c>
      <c r="CR1196" s="169">
        <f t="shared" si="2163"/>
        <v>4.301363574220729E-3</v>
      </c>
      <c r="CS1196" s="179">
        <f t="shared" si="2154"/>
        <v>0.85150049999999999</v>
      </c>
      <c r="CT1196" s="180">
        <f t="shared" si="2155"/>
        <v>1.3989193348138562</v>
      </c>
      <c r="CU1196" s="180">
        <f t="shared" si="2156"/>
        <v>0.29302682427824522</v>
      </c>
      <c r="CV1196" s="180">
        <f t="shared" si="2157"/>
        <v>0.76309497491941802</v>
      </c>
      <c r="CW1196" s="180">
        <f t="shared" si="2158"/>
        <v>0.31280857135128509</v>
      </c>
      <c r="CX1196" s="181">
        <f>INDEX('State Tax Lookup'!$D$7:$Z$91,MATCH(Calculation!$C1196,'State Tax Lookup'!$B$7:$B$91,0),MATCH($H1196,'State Tax Lookup'!$D$6:$Z$6,0))</f>
        <v>0.40134999999999998</v>
      </c>
      <c r="CY1196" s="72">
        <v>0.37</v>
      </c>
      <c r="CZ1196" s="70">
        <f t="shared" si="2160"/>
        <v>21.342831809034905</v>
      </c>
      <c r="DA1196" s="70">
        <v>19.909765876209278</v>
      </c>
      <c r="DB1196" s="69">
        <f t="shared" si="2164"/>
        <v>-1.9402351736647883E-2</v>
      </c>
      <c r="DC1196" s="111">
        <f>VLOOKUP($H1196,RoR!$E:$F,2,FALSE)</f>
        <v>3.6658333333333334E-2</v>
      </c>
      <c r="DD1196" s="216">
        <f>HLOOKUP($H1196,'GDP-PI'!$D$8:$CQ$11,3,FALSE)</f>
        <v>1.0483662879041455E-2</v>
      </c>
      <c r="DE1196" s="111">
        <f>VLOOKUP(H1196,'HW Dx Data'!$E:$F,2,FALSE)</f>
        <v>671.45639385971219</v>
      </c>
      <c r="DF1196" s="72">
        <f t="shared" si="2174"/>
        <v>136.94999999999999</v>
      </c>
      <c r="DG1196" s="69">
        <f t="shared" si="2175"/>
        <v>2.5514417868782811E-2</v>
      </c>
      <c r="DH1196" s="66">
        <f>HLOOKUP(H1196,'GDP-PI'!$8:$9,2,FALSE)</f>
        <v>105.736</v>
      </c>
      <c r="DI1196" s="69">
        <f t="shared" si="2165"/>
        <v>1.0429090367205095E-2</v>
      </c>
    </row>
    <row r="1197" spans="1:113" s="160" customFormat="1" ht="21">
      <c r="A1197" s="160" t="s">
        <v>230</v>
      </c>
      <c r="B1197" s="160" t="s">
        <v>230</v>
      </c>
      <c r="C1197" s="160">
        <v>4063281</v>
      </c>
      <c r="D1197" s="161" t="s">
        <v>192</v>
      </c>
      <c r="E1197" s="161"/>
      <c r="F1197" s="189"/>
      <c r="G1197" s="160" t="s">
        <v>135</v>
      </c>
      <c r="H1197" s="162">
        <v>2017</v>
      </c>
      <c r="I1197" s="163"/>
      <c r="J1197" s="159">
        <f>IFERROR(INDEX('Labor Expenditures'!$F$7:$X$91,MATCH($C1197,'Labor Expenditures'!$D$7:$D$91,0),MATCH($G1197,'Labor Expenditures'!$F$5:$X$5,0)),"NA")</f>
        <v>1383.0778572526083</v>
      </c>
      <c r="K1197" s="159">
        <f t="shared" si="2166"/>
        <v>9.8474749537387574</v>
      </c>
      <c r="L1197" s="165">
        <f t="shared" si="2172"/>
        <v>-3.7847478004204585E-2</v>
      </c>
      <c r="M1197" s="76">
        <f t="shared" si="2176"/>
        <v>-1.4570346161922316E-5</v>
      </c>
      <c r="N1197" s="62">
        <f t="shared" si="2182"/>
        <v>170.4846182471571</v>
      </c>
      <c r="O1197" s="96">
        <f t="shared" si="2177"/>
        <v>-0.57790213266438517</v>
      </c>
      <c r="P1197" s="96"/>
      <c r="Q1197" s="159">
        <f>IFERROR(INDEX('Non-Labor Expenditures'!$F$7:$AB$91,MATCH($C1197,'Non-Labor Expenditures'!$D$7:$D$91,0),MATCH($G1197,'Non-Labor Expenditures'!$F$5:$AB$5,0)),"NA")</f>
        <v>2002.9550606125244</v>
      </c>
      <c r="R1197" s="159">
        <f t="shared" si="2167"/>
        <v>18.588737558004329</v>
      </c>
      <c r="S1197" s="165">
        <f t="shared" si="2178"/>
        <v>-3.1489408390784249E-2</v>
      </c>
      <c r="T1197" s="165">
        <f t="shared" si="2179"/>
        <v>-1.2122646075305123E-5</v>
      </c>
      <c r="U1197" s="165"/>
      <c r="V1197" s="165"/>
      <c r="W1197" s="159">
        <f t="shared" si="2148"/>
        <v>1172.3713368117571</v>
      </c>
      <c r="X1197" s="163"/>
      <c r="Y1197" s="167">
        <v>64.511394804252049</v>
      </c>
      <c r="Z1197" s="168">
        <v>5.4664940637865131E-2</v>
      </c>
      <c r="AA1197" s="76">
        <f t="shared" si="2168"/>
        <v>2.1044654756814851E-5</v>
      </c>
      <c r="AB1197" s="168"/>
      <c r="AC1197" s="168"/>
      <c r="AD1197" s="163">
        <f t="shared" si="2138"/>
        <v>4558.4042546768896</v>
      </c>
      <c r="AE1197" s="168">
        <f t="shared" si="2180"/>
        <v>-2.9328847607255945E-2</v>
      </c>
      <c r="AF1197" s="163"/>
      <c r="AG1197" s="163"/>
      <c r="AH1197" s="163"/>
      <c r="AI1197" s="163"/>
      <c r="AJ1197" s="116">
        <f t="shared" si="2181"/>
        <v>358.44965437421479</v>
      </c>
      <c r="AK1197" s="114">
        <f>+AV1197/$AX$22</f>
        <v>3.4344680698446088E-4</v>
      </c>
      <c r="AL1197" s="115">
        <f t="shared" si="2169"/>
        <v>0.30341272515125889</v>
      </c>
      <c r="AM1197" s="115">
        <f t="shared" si="2170"/>
        <v>0.43939829569909405</v>
      </c>
      <c r="AN1197" s="115">
        <f t="shared" si="2171"/>
        <v>0.25718897914964711</v>
      </c>
      <c r="AO1197" s="115">
        <f t="shared" si="2173"/>
        <v>-1.0714119497647456E-2</v>
      </c>
      <c r="AP1197" s="166">
        <f t="shared" si="2185"/>
        <v>79.593965554458819</v>
      </c>
      <c r="AQ1197" s="168">
        <f t="shared" si="2186"/>
        <v>-1.0714119497647482E-2</v>
      </c>
      <c r="AR1197" s="169">
        <f>+AD1197/$AF$22</f>
        <v>3.8497535186634245E-4</v>
      </c>
      <c r="AS1197" s="169">
        <f t="shared" si="2183"/>
        <v>-4.1246719235448798E-6</v>
      </c>
      <c r="AT1197" s="115"/>
      <c r="AU1197" s="115"/>
      <c r="AV1197" s="113">
        <f>IFERROR(INDEX('Total Customers'!$F$7:$AB$91,MATCH($C1197,'Total Customers'!$D$7:$D$91,0),MATCH($G1197,'Total Customers'!$F$5:$AB$5,0)),"NA")</f>
        <v>12717</v>
      </c>
      <c r="AW1197" s="68">
        <f t="shared" si="2113"/>
        <v>5.1243755952073977E-3</v>
      </c>
      <c r="AX1197" s="114"/>
      <c r="AY1197" s="114"/>
      <c r="AZ1197" s="116"/>
      <c r="BA1197" s="116"/>
      <c r="BB1197" s="166"/>
      <c r="BC1197" s="166"/>
      <c r="BD1197" s="166"/>
      <c r="BE1197" s="166"/>
      <c r="BF1197" s="166"/>
      <c r="BG1197" s="166"/>
      <c r="BH1197" s="166"/>
      <c r="BI1197" s="113"/>
      <c r="BJ1197" s="113"/>
      <c r="BK1197" s="113">
        <f>INDEX('Dist. Plant Gas Additions'!$F$7:$AE$91,MATCH($C1197,'Dist. Plant Gas Additions'!$D$7:$D$91,0),MATCH(Calculation!$G1197,'Dist. Plant Gas Additions'!$F$5:$AE$5,0))</f>
        <v>2475</v>
      </c>
      <c r="BL1197" s="113">
        <f>INDEX('Gen. Plant Additions'!$F$7:$AE$91,MATCH($C1197,'Gen. Plant Additions'!$D$7:$D$91,0),MATCH(Calculation!$G1197,'Gen. Plant Additions'!$F$5:$AE$5,0))</f>
        <v>368</v>
      </c>
      <c r="BM1197" s="231">
        <f t="shared" si="2149"/>
        <v>0.94040293941844522</v>
      </c>
      <c r="BN1197" s="61">
        <f t="shared" si="2184"/>
        <v>346.06828170598783</v>
      </c>
      <c r="BO1197" s="113">
        <f>INDEX('Dist Plant Depreciation'!$E$7:$AD$94,MATCH($C1197,'Dist Plant Depreciation'!$D$7:$D$94,0),MATCH(Calculation!$G1197,'Dist Plant Depreciation'!$E$5:$AD$5,0))</f>
        <v>16773</v>
      </c>
      <c r="BP1197" s="113">
        <f>INDEX('Gen. Plant Depreciation'!$E$7:$AD$94,MATCH($C1197,'Gen. Plant Depreciation'!$D$7:$D$94,0),MATCH(Calculation!$G1197,'Gen. Plant Depreciation'!$E$5:$AD$5,0))</f>
        <v>474</v>
      </c>
      <c r="BQ1197" s="113"/>
      <c r="BR1197" s="113"/>
      <c r="BS1197" s="113"/>
      <c r="BT1197" s="113"/>
      <c r="BU1197" s="113"/>
      <c r="BV1197" s="175"/>
      <c r="BW1197" s="113">
        <f>INDEX('Gross Dx Plant'!$E$7:$AD$91,MATCH($C1197,'Gross Dx Plant'!$D$7:$D$91,0),MATCH(Calculation!$G1197,'Gross Dx Plant'!$E$5:$AD$5,0))</f>
        <v>26746</v>
      </c>
      <c r="BX1197" s="113">
        <f>INDEX('Gross Gen Plant'!$E$7:$AD$91,MATCH($C1197,'Gross Gen Plant'!$D$7:$D$91,0),MATCH(Calculation!$G1197,'Gross Gen Plant'!$E$5:$AD$5,0))</f>
        <v>1695</v>
      </c>
      <c r="BY1197" s="113">
        <f t="shared" si="2067"/>
        <v>11194</v>
      </c>
      <c r="BZ1197" s="113"/>
      <c r="CA1197" s="116">
        <v>2017</v>
      </c>
      <c r="CB1197" s="113"/>
      <c r="CC1197" s="113"/>
      <c r="CD1197" s="113"/>
      <c r="CE1197" s="175"/>
      <c r="CF1197" s="113">
        <f t="shared" si="2150"/>
        <v>2843</v>
      </c>
      <c r="CG1197" s="113">
        <f t="shared" si="2151"/>
        <v>3.9905754275406857</v>
      </c>
      <c r="CH1197" s="178">
        <v>0.87074829931972786</v>
      </c>
      <c r="CI1197" s="61">
        <f>+CI1178*CH1197+CG1179*CH1196+CG1180*CH1195+CG1181*CH1194+CG1182*CH1193+CG1183*CH1192+CG1184*CH1191+CG1185*CH1190+CG1186*CH1189+CG1187*CH1188+CG1188*CH1187+CG1189*CH1186+CG1190*CH1185+CG1191*CH1184+CG1192*CH1183+CG1193*CH1182+CG1194*CH1181+CG1195*CH1180+CG1196*CH1179+CG1197</f>
        <v>64.511394804252049</v>
      </c>
      <c r="CJ1197" s="114">
        <f t="shared" si="2152"/>
        <v>5.4664940637865131E-2</v>
      </c>
      <c r="CK1197" s="114"/>
      <c r="CL1197" s="169">
        <f t="shared" si="2153"/>
        <v>9.1474089774089377E-3</v>
      </c>
      <c r="CM1197" s="169">
        <f t="shared" si="2161"/>
        <v>8.8513061983664845E-3</v>
      </c>
      <c r="CN1197" s="114">
        <f>VLOOKUP($H1197,RoR!$E:$F,2,FALSE)</f>
        <v>3.7433333333333339E-2</v>
      </c>
      <c r="CO1197" s="169">
        <v>1.9056896421275615E-2</v>
      </c>
      <c r="CP1197" s="169">
        <f t="shared" si="2159"/>
        <v>1.8376436912057724E-2</v>
      </c>
      <c r="CQ1197" s="169">
        <f t="shared" si="2162"/>
        <v>2.2050635410167142E-2</v>
      </c>
      <c r="CR1197" s="169">
        <f t="shared" si="2163"/>
        <v>1.3976271617800498E-2</v>
      </c>
      <c r="CS1197" s="179">
        <f t="shared" si="2154"/>
        <v>0.90330050000000006</v>
      </c>
      <c r="CT1197" s="180">
        <f t="shared" si="2155"/>
        <v>1.3699568463593395</v>
      </c>
      <c r="CU1197" s="180">
        <f t="shared" si="2156"/>
        <v>0.30714603739982199</v>
      </c>
      <c r="CV1197" s="180">
        <f t="shared" si="2157"/>
        <v>0.77007188472689425</v>
      </c>
      <c r="CW1197" s="180">
        <f t="shared" si="2158"/>
        <v>0.32402839633793828</v>
      </c>
      <c r="CX1197" s="181">
        <f>INDEX('State Tax Lookup'!$D$7:$Z$91,MATCH(Calculation!$C1197,'State Tax Lookup'!$B$7:$B$91,0),MATCH($H1197,'State Tax Lookup'!$D$6:$Z$6,0))</f>
        <v>0.26134999999999997</v>
      </c>
      <c r="CY1197" s="72">
        <v>0.37</v>
      </c>
      <c r="CZ1197" s="70">
        <f t="shared" si="2160"/>
        <v>19.194174644098663</v>
      </c>
      <c r="DA1197" s="70">
        <v>18.231812616449311</v>
      </c>
      <c r="DB1197" s="69">
        <f t="shared" si="2164"/>
        <v>-0.1061091076054395</v>
      </c>
      <c r="DC1197" s="111">
        <f>VLOOKUP($H1197,RoR!$E:$F,2,FALSE)</f>
        <v>3.7433333333333339E-2</v>
      </c>
      <c r="DD1197" s="216">
        <f>HLOOKUP($H1197,'GDP-PI'!$D$8:$CQ$11,3,FALSE)</f>
        <v>1.9056896421275615E-2</v>
      </c>
      <c r="DE1197" s="111">
        <f>VLOOKUP(H1197,'HW Dx Data'!$E:$F,2,FALSE)</f>
        <v>712.42858370229726</v>
      </c>
      <c r="DF1197" s="72">
        <f t="shared" si="2174"/>
        <v>140.44999999999999</v>
      </c>
      <c r="DG1197" s="69">
        <f t="shared" si="2175"/>
        <v>2.5235657841165486E-2</v>
      </c>
      <c r="DH1197" s="66">
        <f>HLOOKUP(H1197,'GDP-PI'!$8:$9,2,FALSE)</f>
        <v>107.751</v>
      </c>
      <c r="DI1197" s="69">
        <f t="shared" si="2165"/>
        <v>1.8877588227745139E-2</v>
      </c>
    </row>
    <row r="1198" spans="1:113" s="160" customFormat="1" ht="21">
      <c r="A1198" s="160" t="s">
        <v>230</v>
      </c>
      <c r="B1198" s="160" t="s">
        <v>230</v>
      </c>
      <c r="C1198" s="160">
        <v>4063281</v>
      </c>
      <c r="D1198" s="161" t="s">
        <v>192</v>
      </c>
      <c r="E1198" s="161"/>
      <c r="F1198" s="189"/>
      <c r="G1198" s="160" t="s">
        <v>136</v>
      </c>
      <c r="H1198" s="162">
        <v>2018</v>
      </c>
      <c r="I1198" s="163"/>
      <c r="J1198" s="159">
        <f>IFERROR(INDEX('Labor Expenditures'!$F$7:$X$91,MATCH($C1198,'Labor Expenditures'!$D$7:$D$91,0),MATCH($G1198,'Labor Expenditures'!$F$5:$X$5,0)),"NA")</f>
        <v>1439.1617637630518</v>
      </c>
      <c r="K1198" s="159">
        <f t="shared" si="2166"/>
        <v>9.9630444012672346</v>
      </c>
      <c r="L1198" s="165">
        <f t="shared" si="2172"/>
        <v>1.1667615222477796E-2</v>
      </c>
      <c r="M1198" s="76">
        <f t="shared" si="2176"/>
        <v>4.3679502966981818E-6</v>
      </c>
      <c r="N1198" s="62">
        <f t="shared" si="2182"/>
        <v>117.26774931559814</v>
      </c>
      <c r="O1198" s="96">
        <f t="shared" si="2177"/>
        <v>-0.37418530113473897</v>
      </c>
      <c r="P1198" s="96"/>
      <c r="Q1198" s="159">
        <f>IFERROR(INDEX('Non-Labor Expenditures'!$F$7:$AB$91,MATCH($C1198,'Non-Labor Expenditures'!$D$7:$D$91,0),MATCH($G1198,'Non-Labor Expenditures'!$F$5:$AB$5,0)),"NA")</f>
        <v>2084.1750322684629</v>
      </c>
      <c r="R1198" s="159">
        <f t="shared" si="2167"/>
        <v>18.891744459568017</v>
      </c>
      <c r="S1198" s="165">
        <f t="shared" si="2178"/>
        <v>1.6169135867960583E-2</v>
      </c>
      <c r="T1198" s="165">
        <f t="shared" si="2179"/>
        <v>6.0531634327252985E-6</v>
      </c>
      <c r="U1198" s="165"/>
      <c r="V1198" s="165"/>
      <c r="W1198" s="159">
        <f t="shared" si="2148"/>
        <v>1294.9565429642137</v>
      </c>
      <c r="X1198" s="163"/>
      <c r="Y1198" s="167">
        <v>68.117734341620917</v>
      </c>
      <c r="Z1198" s="168">
        <v>5.4395723599218779E-2</v>
      </c>
      <c r="AA1198" s="76">
        <f t="shared" si="2168"/>
        <v>2.0363871494200889E-5</v>
      </c>
      <c r="AB1198" s="168"/>
      <c r="AC1198" s="168"/>
      <c r="AD1198" s="163">
        <f t="shared" si="2138"/>
        <v>4818.2933389957279</v>
      </c>
      <c r="AE1198" s="168">
        <f t="shared" si="2180"/>
        <v>5.5447168183445472E-2</v>
      </c>
      <c r="AF1198" s="163"/>
      <c r="AG1198" s="163"/>
      <c r="AH1198" s="163"/>
      <c r="AI1198" s="163"/>
      <c r="AJ1198" s="116">
        <f t="shared" si="2181"/>
        <v>377.34304479565571</v>
      </c>
      <c r="AK1198" s="114">
        <f>+AV1198/$AX$23</f>
        <v>3.4183100200788568E-4</v>
      </c>
      <c r="AL1198" s="115">
        <f t="shared" si="2169"/>
        <v>0.29868703761050275</v>
      </c>
      <c r="AM1198" s="115">
        <f t="shared" si="2170"/>
        <v>0.43255461750339708</v>
      </c>
      <c r="AN1198" s="115">
        <f t="shared" si="2171"/>
        <v>0.26875834488610029</v>
      </c>
      <c r="AO1198" s="115">
        <f t="shared" si="2173"/>
        <v>2.4866539373740896E-2</v>
      </c>
      <c r="AP1198" s="166">
        <f t="shared" si="2185"/>
        <v>81.598005537833103</v>
      </c>
      <c r="AQ1198" s="168">
        <f t="shared" si="2186"/>
        <v>2.4866539373740913E-2</v>
      </c>
      <c r="AR1198" s="169">
        <f>+AD1198/$AF$23</f>
        <v>3.7436530202703932E-4</v>
      </c>
      <c r="AS1198" s="169">
        <f t="shared" si="2183"/>
        <v>9.309169523017782E-6</v>
      </c>
      <c r="AT1198" s="115"/>
      <c r="AU1198" s="115"/>
      <c r="AV1198" s="113">
        <f>IFERROR(INDEX('Total Customers'!$F$7:$AB$91,MATCH($C1198,'Total Customers'!$D$7:$D$91,0),MATCH($G1198,'Total Customers'!$F$5:$AB$5,0)),"NA")</f>
        <v>12769</v>
      </c>
      <c r="AW1198" s="68">
        <f t="shared" si="2113"/>
        <v>4.0806774039342476E-3</v>
      </c>
      <c r="AX1198" s="114"/>
      <c r="AY1198" s="114"/>
      <c r="AZ1198" s="116"/>
      <c r="BA1198" s="116"/>
      <c r="BB1198" s="166"/>
      <c r="BC1198" s="166"/>
      <c r="BD1198" s="166"/>
      <c r="BE1198" s="166"/>
      <c r="BF1198" s="166"/>
      <c r="BG1198" s="166"/>
      <c r="BH1198" s="166"/>
      <c r="BI1198" s="113"/>
      <c r="BJ1198" s="113"/>
      <c r="BK1198" s="113">
        <f>INDEX('Dist. Plant Gas Additions'!$F$7:$AE$91,MATCH($C1198,'Dist. Plant Gas Additions'!$D$7:$D$91,0),MATCH(Calculation!$G1198,'Dist. Plant Gas Additions'!$F$5:$AE$5,0))</f>
        <v>2761</v>
      </c>
      <c r="BL1198" s="113">
        <f>INDEX('Gen. Plant Additions'!$F$7:$AE$91,MATCH($C1198,'Gen. Plant Additions'!$D$7:$D$91,0),MATCH(Calculation!$G1198,'Gen. Plant Additions'!$F$5:$AE$5,0))</f>
        <v>416</v>
      </c>
      <c r="BM1198" s="231">
        <f t="shared" si="2149"/>
        <v>0.9330664887702913</v>
      </c>
      <c r="BN1198" s="61">
        <f t="shared" si="2184"/>
        <v>388.15565932844117</v>
      </c>
      <c r="BO1198" s="113">
        <f>INDEX('Dist Plant Depreciation'!$E$7:$AD$94,MATCH($C1198,'Dist Plant Depreciation'!$D$7:$D$94,0),MATCH(Calculation!$G1198,'Dist Plant Depreciation'!$E$5:$AD$5,0))</f>
        <v>17587</v>
      </c>
      <c r="BP1198" s="113">
        <f>INDEX('Gen. Plant Depreciation'!$E$7:$AD$94,MATCH($C1198,'Gen. Plant Depreciation'!$D$7:$D$94,0),MATCH(Calculation!$G1198,'Gen. Plant Depreciation'!$E$5:$AD$5,0))</f>
        <v>494</v>
      </c>
      <c r="BQ1198" s="113"/>
      <c r="BR1198" s="113"/>
      <c r="BS1198" s="113"/>
      <c r="BT1198" s="113"/>
      <c r="BU1198" s="113"/>
      <c r="BV1198" s="175"/>
      <c r="BW1198" s="113">
        <f>INDEX('Gross Dx Plant'!$E$7:$AD$91,MATCH($C1198,'Gross Dx Plant'!$D$7:$D$91,0),MATCH(Calculation!$G1198,'Gross Dx Plant'!$E$5:$AD$5,0))</f>
        <v>29372</v>
      </c>
      <c r="BX1198" s="113">
        <f>INDEX('Gross Gen Plant'!$E$7:$AD$91,MATCH($C1198,'Gross Gen Plant'!$D$7:$D$91,0),MATCH(Calculation!$G1198,'Gross Gen Plant'!$E$5:$AD$5,0))</f>
        <v>2107</v>
      </c>
      <c r="BY1198" s="113">
        <f t="shared" si="2067"/>
        <v>13398</v>
      </c>
      <c r="BZ1198" s="113"/>
      <c r="CA1198" s="116">
        <v>2018</v>
      </c>
      <c r="CB1198" s="113"/>
      <c r="CC1198" s="113"/>
      <c r="CD1198" s="113"/>
      <c r="CE1198" s="175"/>
      <c r="CF1198" s="113">
        <f t="shared" si="2150"/>
        <v>3177</v>
      </c>
      <c r="CG1198" s="113">
        <f t="shared" si="2151"/>
        <v>4.2071851886706186</v>
      </c>
      <c r="CH1198" s="178">
        <v>0.86111111111111116</v>
      </c>
      <c r="CI1198" s="61">
        <f>+CI1178*CH1198++CG1179*CH1197+CG1180*CH1196+CG1181*CH1195+CG1182*CH1194+CG1183*CH1193+CG1184*CH1192+CG1185*CH1191+CG1186*CH1190+CG1187*CH1189+CG1188*CH1188+CG1189*CH1187+CG1190*CH1186+CG1191*CH1185+CG1192*CH1184+CG1193*CH1183+CG1194*CH1182+CG1195*CH1181+CG1196*CH1180+CG1197*CH1179+CG1198</f>
        <v>68.117734341620917</v>
      </c>
      <c r="CJ1198" s="114">
        <f t="shared" si="2152"/>
        <v>5.4395723599218779E-2</v>
      </c>
      <c r="CK1198" s="114"/>
      <c r="CL1198" s="169">
        <f t="shared" si="2153"/>
        <v>9.3137910461385358E-3</v>
      </c>
      <c r="CM1198" s="169">
        <f t="shared" si="2161"/>
        <v>9.1142598621262987E-3</v>
      </c>
      <c r="CN1198" s="114">
        <f>VLOOKUP($H1198,RoR!$E:$F,2,FALSE)</f>
        <v>3.9299999999999995E-2</v>
      </c>
      <c r="CO1198" s="169">
        <v>2.386056741932796E-2</v>
      </c>
      <c r="CP1198" s="169">
        <f t="shared" si="2159"/>
        <v>1.5439432580672034E-2</v>
      </c>
      <c r="CQ1198" s="169">
        <f t="shared" si="2162"/>
        <v>2.1787681746407328E-2</v>
      </c>
      <c r="CR1198" s="169">
        <f t="shared" si="2163"/>
        <v>3.8270792163076606E-2</v>
      </c>
      <c r="CS1198" s="179">
        <f t="shared" si="2154"/>
        <v>0.90330050000000006</v>
      </c>
      <c r="CT1198" s="180">
        <f t="shared" si="2155"/>
        <v>1.3048868010700074</v>
      </c>
      <c r="CU1198" s="180">
        <f t="shared" si="2156"/>
        <v>0.33886768447837151</v>
      </c>
      <c r="CV1198" s="180">
        <f t="shared" si="2157"/>
        <v>0.78602506232557801</v>
      </c>
      <c r="CW1198" s="180">
        <f t="shared" si="2158"/>
        <v>0.34756768162358759</v>
      </c>
      <c r="CX1198" s="181">
        <f>INDEX('State Tax Lookup'!$D$7:$Z$91,MATCH(Calculation!$C1198,'State Tax Lookup'!$B$7:$B$91,0),MATCH($H1198,'State Tax Lookup'!$D$6:$Z$6,0))</f>
        <v>0.26134999999999997</v>
      </c>
      <c r="CY1198" s="72">
        <v>0.37</v>
      </c>
      <c r="CZ1198" s="70">
        <f t="shared" si="2160"/>
        <v>20.073299405376691</v>
      </c>
      <c r="DA1198" s="70">
        <v>19.050901628905343</v>
      </c>
      <c r="DB1198" s="69">
        <f t="shared" si="2164"/>
        <v>4.4783715139369219E-2</v>
      </c>
      <c r="DC1198" s="111">
        <f>VLOOKUP($H1198,RoR!$E:$F,2,FALSE)</f>
        <v>3.9299999999999995E-2</v>
      </c>
      <c r="DD1198" s="216">
        <f>HLOOKUP($H1198,'GDP-PI'!$D$8:$CQ$11,3,FALSE)</f>
        <v>2.386056741932796E-2</v>
      </c>
      <c r="DE1198" s="111">
        <f>VLOOKUP(H1198,'HW Dx Data'!$E:$F,2,FALSE)</f>
        <v>755.13671434174842</v>
      </c>
      <c r="DF1198" s="72">
        <f t="shared" si="2174"/>
        <v>144.44999999999999</v>
      </c>
      <c r="DG1198" s="69">
        <f t="shared" si="2175"/>
        <v>2.80818733619915E-2</v>
      </c>
      <c r="DH1198" s="66">
        <f>HLOOKUP(H1198,'GDP-PI'!$8:$9,2,FALSE)</f>
        <v>110.322</v>
      </c>
      <c r="DI1198" s="69">
        <f t="shared" si="2165"/>
        <v>2.3580352716508712E-2</v>
      </c>
    </row>
    <row r="1199" spans="1:113" s="160" customFormat="1" ht="21">
      <c r="A1199" s="160" t="s">
        <v>230</v>
      </c>
      <c r="B1199" s="160" t="s">
        <v>230</v>
      </c>
      <c r="C1199" s="160">
        <v>4063281</v>
      </c>
      <c r="D1199" s="161" t="s">
        <v>192</v>
      </c>
      <c r="E1199" s="161"/>
      <c r="F1199" s="189"/>
      <c r="G1199" s="160" t="s">
        <v>140</v>
      </c>
      <c r="H1199" s="162">
        <v>2019</v>
      </c>
      <c r="I1199" s="163"/>
      <c r="J1199" s="159">
        <f>IFERROR(INDEX('Labor Expenditures'!$F$7:$X$91,MATCH($C1199,'Labor Expenditures'!$D$7:$D$91,0),MATCH($G1199,'Labor Expenditures'!$F$5:$X$5,0)),"NA")</f>
        <v>1452.8549370943911</v>
      </c>
      <c r="K1199" s="159">
        <f t="shared" si="2166"/>
        <v>9.7067308307625915</v>
      </c>
      <c r="L1199" s="165">
        <f t="shared" si="2172"/>
        <v>-2.6063142718384294E-2</v>
      </c>
      <c r="M1199" s="76">
        <f t="shared" si="2176"/>
        <v>-9.710471469761781E-6</v>
      </c>
      <c r="N1199" s="62">
        <f t="shared" si="2182"/>
        <v>117.03072815104822</v>
      </c>
      <c r="O1199" s="96">
        <f t="shared" si="2177"/>
        <v>-2.0232418747804333E-3</v>
      </c>
      <c r="P1199" s="96"/>
      <c r="Q1199" s="159">
        <f>IFERROR(INDEX('Non-Labor Expenditures'!$F$7:$AB$91,MATCH($C1199,'Non-Labor Expenditures'!$D$7:$D$91,0),MATCH($G1199,'Non-Labor Expenditures'!$F$5:$AB$5,0)),"NA")</f>
        <v>2104.0053047842357</v>
      </c>
      <c r="R1199" s="159">
        <f t="shared" si="2167"/>
        <v>18.732574518636689</v>
      </c>
      <c r="S1199" s="165">
        <f t="shared" si="2178"/>
        <v>-8.4610642706143529E-3</v>
      </c>
      <c r="T1199" s="165">
        <f t="shared" si="2179"/>
        <v>-3.1523797452740484E-6</v>
      </c>
      <c r="U1199" s="165"/>
      <c r="V1199" s="165"/>
      <c r="W1199" s="159">
        <f t="shared" si="2148"/>
        <v>1386.9633162630316</v>
      </c>
      <c r="X1199" s="163"/>
      <c r="Y1199" s="167">
        <v>70.883306197821355</v>
      </c>
      <c r="Z1199" s="168">
        <v>3.9797354782525635E-2</v>
      </c>
      <c r="AA1199" s="76">
        <f t="shared" si="2168"/>
        <v>1.4827493459378931E-5</v>
      </c>
      <c r="AB1199" s="168"/>
      <c r="AC1199" s="168"/>
      <c r="AD1199" s="163">
        <f t="shared" si="2138"/>
        <v>4943.8235581416584</v>
      </c>
      <c r="AE1199" s="168">
        <f t="shared" si="2180"/>
        <v>2.5719245125218729E-2</v>
      </c>
      <c r="AF1199" s="163"/>
      <c r="AG1199" s="163"/>
      <c r="AH1199" s="163"/>
      <c r="AI1199" s="163"/>
      <c r="AJ1199" s="116">
        <f t="shared" si="2181"/>
        <v>385.81423116448087</v>
      </c>
      <c r="AK1199" s="114">
        <f>+AV1199/$AX$24</f>
        <v>3.4020659147483272E-4</v>
      </c>
      <c r="AL1199" s="115">
        <f t="shared" si="2169"/>
        <v>0.29387273231096195</v>
      </c>
      <c r="AM1199" s="115">
        <f t="shared" si="2170"/>
        <v>0.4255826042414656</v>
      </c>
      <c r="AN1199" s="115">
        <f t="shared" si="2171"/>
        <v>0.28054466344757245</v>
      </c>
      <c r="AO1199" s="115">
        <f t="shared" si="2173"/>
        <v>-4.2195866653100406E-4</v>
      </c>
      <c r="AP1199" s="166">
        <f t="shared" si="2185"/>
        <v>81.563581815429529</v>
      </c>
      <c r="AQ1199" s="168">
        <f t="shared" si="2186"/>
        <v>-4.2195866653097982E-4</v>
      </c>
      <c r="AR1199" s="169">
        <f>+AD1199/$AF$24</f>
        <v>3.7257484926835993E-4</v>
      </c>
      <c r="AS1199" s="169">
        <f t="shared" si="2183"/>
        <v>-1.5721118658025797E-7</v>
      </c>
      <c r="AT1199" s="115"/>
      <c r="AU1199" s="115"/>
      <c r="AV1199" s="113">
        <f>IFERROR(INDEX('Total Customers'!$F$7:$AB$91,MATCH($C1199,'Total Customers'!$D$7:$D$91,0),MATCH($G1199,'Total Customers'!$F$5:$AB$5,0)),"NA")</f>
        <v>12814</v>
      </c>
      <c r="AW1199" s="68">
        <f t="shared" si="2113"/>
        <v>3.5179647742857364E-3</v>
      </c>
      <c r="AX1199" s="114"/>
      <c r="AY1199" s="114"/>
      <c r="AZ1199" s="116"/>
      <c r="BA1199" s="116"/>
      <c r="BB1199" s="166"/>
      <c r="BC1199" s="166"/>
      <c r="BD1199" s="166"/>
      <c r="BE1199" s="166"/>
      <c r="BF1199" s="166"/>
      <c r="BG1199" s="166"/>
      <c r="BH1199" s="166"/>
      <c r="BI1199" s="113"/>
      <c r="BJ1199" s="113"/>
      <c r="BK1199" s="113">
        <f>INDEX('Dist. Plant Gas Additions'!$F$7:$AE$91,MATCH($C1199,'Dist. Plant Gas Additions'!$D$7:$D$91,0),MATCH(Calculation!$G1199,'Dist. Plant Gas Additions'!$F$5:$AE$5,0))</f>
        <v>2188</v>
      </c>
      <c r="BL1199" s="113">
        <f>INDEX('Gen. Plant Additions'!$F$7:$AE$91,MATCH($C1199,'Gen. Plant Additions'!$D$7:$D$91,0),MATCH(Calculation!$G1199,'Gen. Plant Additions'!$F$5:$AE$5,0))</f>
        <v>451</v>
      </c>
      <c r="BM1199" s="231">
        <f t="shared" si="2149"/>
        <v>0.92492959399202068</v>
      </c>
      <c r="BN1199" s="61">
        <f t="shared" si="2184"/>
        <v>417.14324689040131</v>
      </c>
      <c r="BO1199" s="113">
        <f>INDEX('Dist Plant Depreciation'!$E$7:$AD$94,MATCH($C1199,'Dist Plant Depreciation'!$D$7:$D$94,0),MATCH(Calculation!$G1199,'Dist Plant Depreciation'!$E$5:$AD$5,0))</f>
        <v>18624</v>
      </c>
      <c r="BP1199" s="113">
        <f>INDEX('Gen. Plant Depreciation'!$E$7:$AD$94,MATCH($C1199,'Gen. Plant Depreciation'!$D$7:$D$94,0),MATCH(Calculation!$G1199,'Gen. Plant Depreciation'!$E$5:$AD$5,0))</f>
        <v>856</v>
      </c>
      <c r="BQ1199" s="113"/>
      <c r="BR1199" s="113"/>
      <c r="BS1199" s="113"/>
      <c r="BT1199" s="113"/>
      <c r="BU1199" s="113"/>
      <c r="BV1199" s="175"/>
      <c r="BW1199" s="113">
        <f>INDEX('Gross Dx Plant'!$E$7:$AD$91,MATCH($C1199,'Gross Dx Plant'!$D$7:$D$91,0),MATCH(Calculation!$G1199,'Gross Dx Plant'!$E$5:$AD$5,0))</f>
        <v>31529</v>
      </c>
      <c r="BX1199" s="113">
        <f>INDEX('Gross Gen Plant'!$E$7:$AD$91,MATCH($C1199,'Gross Gen Plant'!$D$7:$D$91,0),MATCH(Calculation!$G1199,'Gross Gen Plant'!$E$5:$AD$5,0))</f>
        <v>2559</v>
      </c>
      <c r="BY1199" s="113">
        <f t="shared" ref="BY1199:BY1268" si="2187">IF(OR(BO1199="NA",BP1199="NA"),"NA",(SUM(BW1199:BX1199)-SUM(BO1199:BP1199)))</f>
        <v>14608</v>
      </c>
      <c r="BZ1199" s="113"/>
      <c r="CA1199" s="116">
        <v>2019</v>
      </c>
      <c r="CB1199" s="113"/>
      <c r="CC1199" s="113"/>
      <c r="CD1199" s="113"/>
      <c r="CE1199" s="175"/>
      <c r="CF1199" s="113">
        <f t="shared" si="2150"/>
        <v>2639</v>
      </c>
      <c r="CG1199" s="113">
        <f t="shared" si="2151"/>
        <v>3.4115913787831706</v>
      </c>
      <c r="CH1199" s="178">
        <v>0.85106382978723405</v>
      </c>
      <c r="CI1199" s="61">
        <f>CI1178*CH1199+CG1179*CH1198+CG1180*CH1197+CG1181*CH1196+CG1182*CH1195+CG1183*CH1194+CG1184*CH1193+CG1185*CH1192+CG1186*CH1191+CG1187*CH1190+CG1188*CH1189+CG1189*CH1188+CG1190*CH1187+CG1191*CH1186+CG1192*CH1185+CG1193*CH1184+CG1194*CH1183+CG1195*CH1182+CG1196*CH1181+CG1197*CH1180+CG1198*CH1179+CG1199</f>
        <v>70.883306197821355</v>
      </c>
      <c r="CJ1199" s="114">
        <f t="shared" si="2152"/>
        <v>3.9797354782525635E-2</v>
      </c>
      <c r="CK1199" s="114"/>
      <c r="CL1199" s="169">
        <f t="shared" si="2153"/>
        <v>9.4838668494586931E-3</v>
      </c>
      <c r="CM1199" s="169">
        <f t="shared" si="2161"/>
        <v>9.3150222910020567E-3</v>
      </c>
      <c r="CN1199" s="114">
        <f>VLOOKUP($H1199,RoR!$E:$F,2,FALSE)</f>
        <v>3.3875000000000009E-2</v>
      </c>
      <c r="CO1199" s="169">
        <v>1.8092492884465461E-2</v>
      </c>
      <c r="CP1199" s="169">
        <f t="shared" si="2159"/>
        <v>1.5782507115534548E-2</v>
      </c>
      <c r="CQ1199" s="169">
        <f t="shared" si="2162"/>
        <v>2.1586919317531567E-2</v>
      </c>
      <c r="CR1199" s="169">
        <f t="shared" si="2163"/>
        <v>4.8445665544254078E-2</v>
      </c>
      <c r="CS1199" s="179">
        <f t="shared" si="2154"/>
        <v>0.90330050000000006</v>
      </c>
      <c r="CT1199" s="180">
        <f t="shared" si="2155"/>
        <v>1.513861292459078</v>
      </c>
      <c r="CU1199" s="180">
        <f t="shared" si="2156"/>
        <v>0.23699261992619944</v>
      </c>
      <c r="CV1199" s="180">
        <f t="shared" si="2157"/>
        <v>0.73619765810468829</v>
      </c>
      <c r="CW1199" s="180">
        <f t="shared" si="2158"/>
        <v>0.26412854465362851</v>
      </c>
      <c r="CX1199" s="181">
        <f>INDEX('State Tax Lookup'!$D$7:$Z$91,MATCH(Calculation!$C1199,'State Tax Lookup'!$B$7:$B$91,0),MATCH($H1199,'State Tax Lookup'!$D$6:$Z$6,0))</f>
        <v>0.26134999999999997</v>
      </c>
      <c r="CY1199" s="72">
        <v>0.37</v>
      </c>
      <c r="CZ1199" s="70">
        <f t="shared" si="2160"/>
        <v>20.361266117677921</v>
      </c>
      <c r="DA1199" s="70">
        <v>19.236104090735289</v>
      </c>
      <c r="DB1199" s="69">
        <f t="shared" si="2164"/>
        <v>1.424383209162137E-2</v>
      </c>
      <c r="DC1199" s="111">
        <f>VLOOKUP($H1199,RoR!$E:$F,2,FALSE)</f>
        <v>3.3875000000000009E-2</v>
      </c>
      <c r="DD1199" s="216">
        <f>HLOOKUP($H1199,'GDP-PI'!$D$8:$CQ$11,3,FALSE)</f>
        <v>1.8092492884465461E-2</v>
      </c>
      <c r="DE1199" s="111">
        <f>VLOOKUP(H1199,'HW Dx Data'!$E:$F,2,FALSE)</f>
        <v>773.53929793938721</v>
      </c>
      <c r="DF1199" s="72">
        <f t="shared" si="2174"/>
        <v>149.67500000000001</v>
      </c>
      <c r="DG1199" s="69">
        <f t="shared" si="2175"/>
        <v>3.5532849899171604E-2</v>
      </c>
      <c r="DH1199" s="66">
        <f>HLOOKUP(H1199,'GDP-PI'!$8:$9,2,FALSE)</f>
        <v>112.318</v>
      </c>
      <c r="DI1199" s="69">
        <f t="shared" si="2165"/>
        <v>1.7930771451401852E-2</v>
      </c>
    </row>
    <row r="1200" spans="1:113" s="160" customFormat="1" ht="21">
      <c r="A1200" s="160" t="s">
        <v>230</v>
      </c>
      <c r="B1200" s="160" t="s">
        <v>230</v>
      </c>
      <c r="C1200" s="160">
        <v>4063281</v>
      </c>
      <c r="D1200" s="160" t="s">
        <v>192</v>
      </c>
      <c r="G1200" s="161" t="s">
        <v>141</v>
      </c>
      <c r="H1200" s="162">
        <v>2020</v>
      </c>
      <c r="I1200" s="163"/>
      <c r="J1200" s="159">
        <f>IFERROR(INDEX('Labor Expenditures'!$F$7:$X$91,MATCH($C1200,'Labor Expenditures'!$D$7:$D$91,0),MATCH($G1200,'Labor Expenditures'!$F$5:$X$5,0)),"NA")</f>
        <v>1485.6332152052296</v>
      </c>
      <c r="K1200" s="159">
        <f t="shared" si="2166"/>
        <v>9.7005107097958181</v>
      </c>
      <c r="L1200" s="165">
        <f t="shared" si="2172"/>
        <v>-6.4101033284491311E-4</v>
      </c>
      <c r="M1200" s="76">
        <f t="shared" si="2176"/>
        <v>-2.4095261902194209E-7</v>
      </c>
      <c r="N1200" s="62">
        <f t="shared" si="2182"/>
        <v>115.8090307530902</v>
      </c>
      <c r="O1200" s="96">
        <f t="shared" si="2177"/>
        <v>-1.0493986209044723E-2</v>
      </c>
      <c r="P1200" s="96"/>
      <c r="Q1200" s="159">
        <f>IFERROR(INDEX('Non-Labor Expenditures'!$F$7:$AB$91,MATCH($C1200,'Non-Labor Expenditures'!$D$7:$D$91,0),MATCH($G1200,'Non-Labor Expenditures'!$F$5:$AB$5,0)),"NA")</f>
        <v>2151.4743736265959</v>
      </c>
      <c r="R1200" s="159">
        <f t="shared" si="2167"/>
        <v>18.935201267583111</v>
      </c>
      <c r="S1200" s="165">
        <f t="shared" si="2178"/>
        <v>1.0758729403130324E-2</v>
      </c>
      <c r="T1200" s="165">
        <f t="shared" si="2179"/>
        <v>4.044153259632123E-6</v>
      </c>
      <c r="U1200" s="165"/>
      <c r="V1200" s="165"/>
      <c r="W1200" s="159">
        <f t="shared" si="2148"/>
        <v>1503.9670384241283</v>
      </c>
      <c r="X1200" s="163"/>
      <c r="Y1200" s="167">
        <v>72.111325440549379</v>
      </c>
      <c r="Z1200" s="168">
        <v>1.7176161362357712E-2</v>
      </c>
      <c r="AA1200" s="76">
        <f t="shared" si="2168"/>
        <v>6.4564342459747648E-6</v>
      </c>
      <c r="AB1200" s="168"/>
      <c r="AC1200" s="168"/>
      <c r="AD1200" s="163">
        <f t="shared" si="2138"/>
        <v>5141.0746272559536</v>
      </c>
      <c r="AE1200" s="168">
        <f t="shared" si="2180"/>
        <v>3.9123097624846975E-2</v>
      </c>
      <c r="AF1200" s="163"/>
      <c r="AG1200" s="163"/>
      <c r="AH1200" s="163"/>
      <c r="AI1200" s="163"/>
      <c r="AJ1200" s="116">
        <f t="shared" si="2181"/>
        <v>399.36880503813825</v>
      </c>
      <c r="AK1200" s="114">
        <f>+AV1200/$AX$25</f>
        <v>3.3935956446826013E-4</v>
      </c>
      <c r="AL1200" s="115">
        <f t="shared" si="2169"/>
        <v>0.28897328339273409</v>
      </c>
      <c r="AM1200" s="115">
        <f t="shared" si="2170"/>
        <v>0.41848728711704081</v>
      </c>
      <c r="AN1200" s="115">
        <f t="shared" si="2171"/>
        <v>0.2925394294902251</v>
      </c>
      <c r="AO1200" s="115">
        <f t="shared" si="2173"/>
        <v>9.2754470472161191E-3</v>
      </c>
      <c r="AP1200" s="166">
        <f t="shared" si="2185"/>
        <v>82.323639989991236</v>
      </c>
      <c r="AQ1200" s="168">
        <f t="shared" si="2186"/>
        <v>9.2754470472162023E-3</v>
      </c>
      <c r="AR1200" s="169">
        <f>+AD1200/$AF$25</f>
        <v>3.7589506233472604E-4</v>
      </c>
      <c r="AS1200" s="169">
        <f t="shared" si="2183"/>
        <v>3.4865947459957847E-6</v>
      </c>
      <c r="AT1200" s="115"/>
      <c r="AU1200" s="115"/>
      <c r="AV1200" s="113">
        <f>IFERROR(INDEX('Total Customers'!$F$7:$AB$91,MATCH($C1200,'Total Customers'!$D$7:$D$91,0),MATCH($G1200,'Total Customers'!$F$5:$AB$5,0)),"NA")</f>
        <v>12873</v>
      </c>
      <c r="AW1200" s="68">
        <f t="shared" si="2113"/>
        <v>4.5937714606674677E-3</v>
      </c>
      <c r="AX1200" s="114"/>
      <c r="AY1200" s="114"/>
      <c r="AZ1200" s="116"/>
      <c r="BA1200" s="116"/>
      <c r="BB1200" s="166"/>
      <c r="BC1200" s="166"/>
      <c r="BD1200" s="166"/>
      <c r="BE1200" s="166"/>
      <c r="BF1200" s="166"/>
      <c r="BG1200" s="166"/>
      <c r="BH1200" s="166"/>
      <c r="BI1200" s="113"/>
      <c r="BJ1200" s="113"/>
      <c r="BK1200" s="113">
        <f>INDEX('Dist. Plant Gas Additions'!$F$7:$AE$91,MATCH($C1200,'Dist. Plant Gas Additions'!$D$7:$D$91,0),MATCH(Calculation!$G1200,'Dist. Plant Gas Additions'!$F$5:$AE$5,0))</f>
        <v>1436</v>
      </c>
      <c r="BL1200" s="113">
        <f>INDEX('Gen. Plant Additions'!$F$7:$AE$91,MATCH($C1200,'Gen. Plant Additions'!$D$7:$D$91,0),MATCH(Calculation!$G1200,'Gen. Plant Additions'!$F$5:$AE$5,0))</f>
        <v>123</v>
      </c>
      <c r="BM1200" s="231">
        <f t="shared" si="2149"/>
        <v>0.92459514170040491</v>
      </c>
      <c r="BN1200" s="61">
        <f t="shared" si="2184"/>
        <v>113.7252024291498</v>
      </c>
      <c r="BO1200" s="113">
        <f>INDEX('Dist Plant Depreciation'!$E$7:$AD$94,MATCH($C1200,'Dist Plant Depreciation'!$D$7:$D$94,0),MATCH(Calculation!$G1200,'Dist Plant Depreciation'!$E$5:$AD$5,0))</f>
        <v>19590</v>
      </c>
      <c r="BP1200" s="113">
        <f>INDEX('Gen. Plant Depreciation'!$E$7:$AD$94,MATCH($C1200,'Gen. Plant Depreciation'!$D$7:$D$94,0),MATCH(Calculation!$G1200,'Gen. Plant Depreciation'!$E$5:$AD$5,0))</f>
        <v>1000</v>
      </c>
      <c r="BQ1200" s="113"/>
      <c r="BR1200" s="113"/>
      <c r="BS1200" s="113"/>
      <c r="BT1200" s="113"/>
      <c r="BU1200" s="113"/>
      <c r="BV1200" s="175"/>
      <c r="BW1200" s="113">
        <f>INDEX('Gross Dx Plant'!$E$7:$AD$91,MATCH($C1200,'Gross Dx Plant'!$D$7:$D$91,0),MATCH(Calculation!$G1200,'Gross Dx Plant'!$E$5:$AD$5,0))</f>
        <v>32886</v>
      </c>
      <c r="BX1200" s="113">
        <f>INDEX('Gross Gen Plant'!$E$7:$AD$91,MATCH($C1200,'Gross Gen Plant'!$D$7:$D$91,0),MATCH(Calculation!$G1200,'Gross Gen Plant'!$E$5:$AD$5,0))</f>
        <v>2682</v>
      </c>
      <c r="BY1200" s="113">
        <f t="shared" si="2187"/>
        <v>14978</v>
      </c>
      <c r="BZ1200" s="113"/>
      <c r="CA1200" s="116">
        <v>2020</v>
      </c>
      <c r="CB1200" s="113"/>
      <c r="CC1200" s="113"/>
      <c r="CD1200" s="113"/>
      <c r="CE1200" s="175"/>
      <c r="CF1200" s="113">
        <f t="shared" si="2150"/>
        <v>1559</v>
      </c>
      <c r="CG1200" s="113">
        <f t="shared" si="2151"/>
        <v>1.9174001186862477</v>
      </c>
      <c r="CH1200" s="178">
        <v>0.84057971014492749</v>
      </c>
      <c r="CI1200" s="61">
        <f>CI1178*CH1200+CG1179*CH1199+CG1180*CH1198+CG1181*CH1197+CG1182*CH1196+CG1183*CH1195+CG1184*CH1194+CG1185*CH1193+CG1186*CH1192+CG1187*CH1191+CG1188*CH1190+CG1189*CH1189+CG1190*CH1188+CG1191*CH1187+CG1192*CH1186+CG1193*CH1185+CG1194*CH1184+CG1195*CH1183+CG1196*CH1182+CG1197*CH1181+CG1198*CH1180+CG1199*CH1179+CG1200</f>
        <v>72.111325440549379</v>
      </c>
      <c r="CJ1200" s="114">
        <f t="shared" si="2152"/>
        <v>1.7176161362357712E-2</v>
      </c>
      <c r="CK1200" s="114"/>
      <c r="CL1200" s="169">
        <f t="shared" si="2153"/>
        <v>9.7255745102280827E-3</v>
      </c>
      <c r="CM1200" s="169">
        <f t="shared" si="2161"/>
        <v>9.5077441352751039E-3</v>
      </c>
      <c r="CN1200" s="114">
        <f>VLOOKUP($H1200,RoR!$E:$F,2,FALSE)</f>
        <v>2.4766666666666666E-2</v>
      </c>
      <c r="CO1200" s="169">
        <v>1.1618796630994188E-2</v>
      </c>
      <c r="CP1200" s="169">
        <f t="shared" si="2159"/>
        <v>1.3147870035672478E-2</v>
      </c>
      <c r="CQ1200" s="169">
        <f t="shared" si="2162"/>
        <v>2.1394197473258519E-2</v>
      </c>
      <c r="CR1200" s="169">
        <f t="shared" si="2163"/>
        <v>4.5144642961987357E-2</v>
      </c>
      <c r="CS1200" s="179">
        <f t="shared" si="2154"/>
        <v>0.90330050000000006</v>
      </c>
      <c r="CT1200" s="180">
        <f t="shared" si="2155"/>
        <v>2.0706077233668081</v>
      </c>
      <c r="CU1200" s="180">
        <f t="shared" si="2156"/>
        <v>-3.4421265141318998E-2</v>
      </c>
      <c r="CV1200" s="180">
        <f t="shared" si="2157"/>
        <v>0.62416226176410472</v>
      </c>
      <c r="CW1200" s="180">
        <f t="shared" si="2158"/>
        <v>-4.4485877841158712E-2</v>
      </c>
      <c r="CX1200" s="181">
        <f>INDEX('State Tax Lookup'!$D$7:$Z$91,MATCH(Calculation!$C1200,'State Tax Lookup'!$B$7:$B$91,0),MATCH($H1200,'State Tax Lookup'!$D$6:$Z$6,0))</f>
        <v>0.26134999999999997</v>
      </c>
      <c r="CY1200" s="72">
        <v>0.37</v>
      </c>
      <c r="CZ1200" s="70">
        <f t="shared" si="2160"/>
        <v>21.217506901086871</v>
      </c>
      <c r="DA1200" s="70">
        <v>19.952659173050833</v>
      </c>
      <c r="DB1200" s="69">
        <f t="shared" si="2164"/>
        <v>4.1192261840878673E-2</v>
      </c>
      <c r="DC1200" s="111">
        <f>VLOOKUP($H1200,RoR!$E:$F,2,FALSE)</f>
        <v>2.4766666666666666E-2</v>
      </c>
      <c r="DD1200" s="216">
        <f>HLOOKUP($H1200,'GDP-PI'!$D$8:$CQ$11,3,FALSE)</f>
        <v>1.1618796630994188E-2</v>
      </c>
      <c r="DE1200" s="111">
        <f>VLOOKUP(H1200,'HW Dx Data'!$E:$F,2,FALSE)</f>
        <v>813.080162458833</v>
      </c>
      <c r="DF1200" s="72">
        <f t="shared" si="2174"/>
        <v>153.15</v>
      </c>
      <c r="DG1200" s="69">
        <f t="shared" si="2175"/>
        <v>2.2951556467368479E-2</v>
      </c>
      <c r="DH1200" s="66">
        <f>HLOOKUP(H1200,'GDP-PI'!$8:$9,2,FALSE)</f>
        <v>113.623</v>
      </c>
      <c r="DI1200" s="69">
        <f t="shared" si="2165"/>
        <v>1.1551816731392881E-2</v>
      </c>
    </row>
    <row r="1201" spans="1:113" s="160" customFormat="1" ht="21">
      <c r="A1201" s="160" t="s">
        <v>230</v>
      </c>
      <c r="B1201" s="160" t="s">
        <v>230</v>
      </c>
      <c r="C1201" s="160">
        <v>4063281</v>
      </c>
      <c r="D1201" s="160" t="s">
        <v>192</v>
      </c>
      <c r="G1201" s="161" t="s">
        <v>142</v>
      </c>
      <c r="H1201" s="162">
        <v>2021</v>
      </c>
      <c r="I1201" s="163"/>
      <c r="J1201" s="159">
        <v>1627.5865850867478</v>
      </c>
      <c r="K1201" s="159">
        <f t="shared" si="2166"/>
        <v>10.350312146815567</v>
      </c>
      <c r="L1201" s="164">
        <f t="shared" si="2172"/>
        <v>6.4838143751453498E-2</v>
      </c>
      <c r="M1201" s="76">
        <f t="shared" si="2176"/>
        <v>2.3571230875928197E-5</v>
      </c>
      <c r="N1201" s="166">
        <f>+N1200*EXP(O1201)</f>
        <v>116.87845838865931</v>
      </c>
      <c r="O1201" s="114">
        <f t="shared" si="2177"/>
        <v>9.1920297861206642E-3</v>
      </c>
      <c r="P1201" s="114"/>
      <c r="Q1201" s="159">
        <v>2294.3088006644521</v>
      </c>
      <c r="R1201" s="159">
        <f t="shared" si="2167"/>
        <v>19.362889700940602</v>
      </c>
      <c r="S1201" s="165">
        <f t="shared" si="2178"/>
        <v>2.2335641430601724E-2</v>
      </c>
      <c r="T1201" s="165">
        <f t="shared" si="2179"/>
        <v>8.1198894734067429E-6</v>
      </c>
      <c r="U1201" s="165"/>
      <c r="V1201" s="165"/>
      <c r="W1201" s="159">
        <f t="shared" si="2148"/>
        <v>1648.3877324205503</v>
      </c>
      <c r="X1201" s="163"/>
      <c r="Y1201" s="167">
        <v>73.644954910789011</v>
      </c>
      <c r="Z1201" s="168"/>
      <c r="AA1201" s="76">
        <f t="shared" si="2168"/>
        <v>0</v>
      </c>
      <c r="AB1201" s="168"/>
      <c r="AC1201" s="168"/>
      <c r="AD1201" s="163">
        <f t="shared" si="2138"/>
        <v>5570.2831181717502</v>
      </c>
      <c r="AE1201" s="168">
        <f t="shared" si="2180"/>
        <v>8.0183752697394028E-2</v>
      </c>
      <c r="AF1201" s="113"/>
      <c r="AG1201" s="114"/>
      <c r="AH1201" s="114"/>
      <c r="AI1201" s="114"/>
      <c r="AJ1201" s="116">
        <f t="shared" si="2181"/>
        <v>430.03806980404158</v>
      </c>
      <c r="AK1201" s="114">
        <f>+AV1201/$AX$26</f>
        <v>3.3551540007158029E-4</v>
      </c>
      <c r="AL1201" s="115">
        <f t="shared" si="2169"/>
        <v>0.29219099829542344</v>
      </c>
      <c r="AM1201" s="115">
        <f t="shared" si="2170"/>
        <v>0.41188369639234396</v>
      </c>
      <c r="AN1201" s="115">
        <f t="shared" si="2171"/>
        <v>0.2959253053122326</v>
      </c>
      <c r="AO1201" s="115">
        <f t="shared" si="2173"/>
        <v>2.8114240890674339E-2</v>
      </c>
      <c r="AP1201" s="166">
        <f t="shared" si="2185"/>
        <v>84.670948423633746</v>
      </c>
      <c r="AQ1201" s="168">
        <f t="shared" si="2186"/>
        <v>2.8114240890674248E-2</v>
      </c>
      <c r="AR1201" s="169">
        <f>+AD1201/$AF$26</f>
        <v>3.6353956964413857E-4</v>
      </c>
      <c r="AS1201" s="169">
        <f t="shared" si="2183"/>
        <v>1.022063903426736E-5</v>
      </c>
      <c r="AT1201" s="115"/>
      <c r="AU1201" s="115"/>
      <c r="AV1201" s="113">
        <f>INDEX('Total Customers'!$E$7:$E$91,MATCH(Calculation!$C1201,'Total Customers'!$D$7:$D$91,0))</f>
        <v>12953</v>
      </c>
      <c r="AW1201" s="68">
        <f t="shared" si="2113"/>
        <v>6.1953268706215463E-3</v>
      </c>
      <c r="AX1201" s="113"/>
      <c r="AY1201" s="113"/>
      <c r="AZ1201" s="116"/>
      <c r="BA1201" s="116"/>
      <c r="BB1201" s="166"/>
      <c r="BC1201" s="166"/>
      <c r="BD1201" s="166"/>
      <c r="BE1201" s="166"/>
      <c r="BF1201" s="166"/>
      <c r="BG1201" s="166"/>
      <c r="BH1201" s="166"/>
      <c r="BI1201" s="113"/>
      <c r="BJ1201" s="113"/>
      <c r="BK1201" s="113">
        <f>INDEX('Dist. Plant Gas Additions'!$E$7:$AE$91,MATCH($C1201,'Dist. Plant Gas Additions'!$D$7:$D$91,0),MATCH(Calculation!$G1201,'Dist. Plant Gas Additions'!$E$5:$AE$5,0))</f>
        <v>2722</v>
      </c>
      <c r="BL1201" s="113">
        <f>INDEX('Gen. Plant Additions'!$E$7:$AE$91,MATCH($C1201,'Gen. Plant Additions'!$D$7:$D$91,0),MATCH(Calculation!$G1201,'Gen. Plant Additions'!$E$5:$AE$5,0))</f>
        <v>-406</v>
      </c>
      <c r="BM1201" s="232"/>
      <c r="BN1201" s="61">
        <f t="shared" si="2184"/>
        <v>0</v>
      </c>
      <c r="BO1201" s="113"/>
      <c r="BP1201" s="113"/>
      <c r="BQ1201" s="175"/>
      <c r="BR1201" s="175"/>
      <c r="BS1201" s="170"/>
      <c r="BT1201" s="176"/>
      <c r="BU1201" s="177"/>
      <c r="BV1201" s="177"/>
      <c r="BW1201" s="113"/>
      <c r="BX1201" s="113"/>
      <c r="BY1201" s="113"/>
      <c r="BZ1201" s="113"/>
      <c r="CA1201" s="116">
        <v>2021</v>
      </c>
      <c r="CB1201" s="113"/>
      <c r="CC1201" s="113"/>
      <c r="CD1201" s="113"/>
      <c r="CE1201" s="175"/>
      <c r="CF1201" s="113">
        <f t="shared" si="2150"/>
        <v>2316</v>
      </c>
      <c r="CG1201" s="113">
        <f t="shared" si="2151"/>
        <v>2.4822552531632782</v>
      </c>
      <c r="CH1201" s="178">
        <f>+(51-23)/(51-23*0.75)</f>
        <v>0.82962962962962961</v>
      </c>
      <c r="CI1201" s="113">
        <f>CI1178*CH1201+CG1179*CH1200+CG1180*CH1199+CG1181*CH1198+CG1182*CH1197+CG1183*CH1196+CG1184*CH1195+CG1185*CH1194+CG1186*CH1193+CG1187*CH1192+CG1188*CH1191+CG1189*CH1190+CG1190*CH1189+CG1191*CH1188+CG1192*CH1187+CG1183*CH1186+CG1194*CH1185+CG1195*CH1184+CG1196*CH1183+CG1197*CH1182+CG1198*CH1181+CG1199*CH1180+CG1201+CG1200*CH1179</f>
        <v>73.644954910789011</v>
      </c>
      <c r="CJ1201" s="114"/>
      <c r="CK1201" s="113"/>
      <c r="CL1201" s="169">
        <f t="shared" si="2153"/>
        <v>1.3155017982656838E-2</v>
      </c>
      <c r="CM1201" s="169">
        <f t="shared" si="2161"/>
        <v>1.0788153114114537E-2</v>
      </c>
      <c r="CN1201" s="114">
        <f>VLOOKUP($H1201,RoR!$E:$F,2,FALSE)</f>
        <v>2.7033333333333336E-2</v>
      </c>
      <c r="CO1201" s="169"/>
      <c r="CP1201" s="169"/>
      <c r="CQ1201" s="169">
        <f t="shared" si="2162"/>
        <v>2.011378849441909E-2</v>
      </c>
      <c r="CR1201" s="169">
        <f t="shared" si="2163"/>
        <v>7.433422950153494E-2</v>
      </c>
      <c r="CS1201" s="179">
        <f t="shared" si="2154"/>
        <v>0.90330050000000006</v>
      </c>
      <c r="CT1201" s="180">
        <f t="shared" si="2155"/>
        <v>1.8969932656739068</v>
      </c>
      <c r="CU1201" s="180">
        <f t="shared" si="2156"/>
        <v>5.0215782983970621E-2</v>
      </c>
      <c r="CV1201" s="180">
        <f t="shared" si="2157"/>
        <v>0.655952481704143</v>
      </c>
      <c r="CW1201" s="180">
        <f t="shared" si="2158"/>
        <v>6.2485378865697057E-2</v>
      </c>
      <c r="CX1201" s="181">
        <f>CX1200</f>
        <v>0.26134999999999997</v>
      </c>
      <c r="CY1201" s="72">
        <v>0.37</v>
      </c>
      <c r="CZ1201" s="182">
        <f t="shared" si="2160"/>
        <v>22.858929888614067</v>
      </c>
      <c r="DA1201" s="182"/>
      <c r="DB1201" s="169">
        <f>LN(CZ1202/CZ1200)</f>
        <v>0.20640963789900688</v>
      </c>
      <c r="DC1201" s="181">
        <f>VLOOKUP($H1201,RoR!$E:$F,2,FALSE)</f>
        <v>2.7033333333333336E-2</v>
      </c>
      <c r="DD1201" s="183">
        <f>HLOOKUP($H1201,'GDP-PI'!$D$8:$CR$11,3,FALSE)</f>
        <v>4.2834637353352578E-2</v>
      </c>
      <c r="DE1201" s="181">
        <f>VLOOKUP(H1201,'HW Dx Data'!$E:$F,2,FALSE)</f>
        <v>933.02249921662576</v>
      </c>
      <c r="DF1201" s="72">
        <f t="shared" si="2174"/>
        <v>157.25</v>
      </c>
      <c r="DG1201" s="69">
        <f t="shared" si="2175"/>
        <v>2.6419062301765574E-2</v>
      </c>
      <c r="DH1201" s="175">
        <f>HLOOKUP(H1201,'GDP-PI'!$8:$9,2,FALSE)</f>
        <v>118.49</v>
      </c>
      <c r="DI1201" s="169">
        <f t="shared" si="2165"/>
        <v>4.194261824609434E-2</v>
      </c>
    </row>
    <row r="1202" spans="1:113" s="160" customFormat="1" ht="21">
      <c r="G1202" s="161" t="s">
        <v>144</v>
      </c>
      <c r="H1202" s="162"/>
      <c r="I1202" s="163"/>
      <c r="J1202" s="159">
        <v>1760.4766365271946</v>
      </c>
      <c r="K1202" s="159">
        <f t="shared" si="2166"/>
        <v>10.830369957103626</v>
      </c>
      <c r="L1202" s="164">
        <f t="shared" ref="L1202" si="2188">LN(K1202/K1201)</f>
        <v>4.5337542457609889E-2</v>
      </c>
      <c r="M1202" s="76">
        <f t="shared" si="2176"/>
        <v>1.8235500743124917E-5</v>
      </c>
      <c r="N1202" s="166">
        <f>+N1201*EXP(O1202)</f>
        <v>116.8296624989709</v>
      </c>
      <c r="O1202" s="114">
        <f t="shared" si="2177"/>
        <v>-4.1757975899284596E-4</v>
      </c>
      <c r="P1202" s="114"/>
      <c r="Q1202" s="163">
        <v>2481.6357406467687</v>
      </c>
      <c r="R1202" s="159">
        <f t="shared" si="2167"/>
        <v>19.502049042410757</v>
      </c>
      <c r="S1202" s="165">
        <f t="shared" ref="S1202" si="2189">LN(R1202/R1201)</f>
        <v>7.1612070249909609E-3</v>
      </c>
      <c r="T1202" s="165">
        <f t="shared" si="2179"/>
        <v>2.880354535052106E-6</v>
      </c>
      <c r="U1202" s="166"/>
      <c r="V1202" s="114"/>
      <c r="W1202" s="159">
        <f t="shared" si="2148"/>
        <v>1920.7901478551994</v>
      </c>
      <c r="X1202" s="168"/>
      <c r="Y1202" s="167">
        <v>73.095544880603256</v>
      </c>
      <c r="Z1202" s="168">
        <v>-7.4882203378133106E-3</v>
      </c>
      <c r="AA1202" s="76">
        <f t="shared" si="2168"/>
        <v>-3.0118846354001627E-6</v>
      </c>
      <c r="AB1202" s="166"/>
      <c r="AC1202" s="114"/>
      <c r="AD1202" s="163">
        <f t="shared" si="2138"/>
        <v>6162.9025250291625</v>
      </c>
      <c r="AE1202" s="168">
        <f t="shared" si="2180"/>
        <v>0.10110197393614827</v>
      </c>
      <c r="AF1202" s="113"/>
      <c r="AG1202" s="114"/>
      <c r="AH1202" s="114"/>
      <c r="AI1202" s="114"/>
      <c r="AJ1202" s="116">
        <f t="shared" si="2181"/>
        <v>475.71613469927928</v>
      </c>
      <c r="AK1202" s="114"/>
      <c r="AL1202" s="115">
        <f t="shared" si="2169"/>
        <v>0.28565706327131374</v>
      </c>
      <c r="AM1202" s="115">
        <f t="shared" si="2170"/>
        <v>0.40267320967161097</v>
      </c>
      <c r="AN1202" s="115">
        <f t="shared" si="2171"/>
        <v>0.31166972705707535</v>
      </c>
      <c r="AO1202" s="115"/>
      <c r="AP1202" s="166"/>
      <c r="AQ1202" s="168"/>
      <c r="AR1202" s="169">
        <f>+AD1202/$AF$26</f>
        <v>4.0221634774701152E-4</v>
      </c>
      <c r="AS1202" s="169"/>
      <c r="AT1202" s="166"/>
      <c r="AU1202" s="168"/>
      <c r="AV1202" s="113">
        <v>12955</v>
      </c>
      <c r="AW1202" s="68">
        <f t="shared" si="2113"/>
        <v>1.543924659543449E-4</v>
      </c>
      <c r="AX1202" s="113"/>
      <c r="AY1202" s="113"/>
      <c r="AZ1202" s="113"/>
      <c r="BA1202" s="113"/>
      <c r="BB1202" s="171"/>
      <c r="BC1202" s="172"/>
      <c r="BD1202" s="173"/>
      <c r="BE1202" s="115"/>
      <c r="BF1202" s="174"/>
      <c r="BG1202" s="174"/>
      <c r="BH1202" s="166"/>
      <c r="BI1202" s="113"/>
      <c r="BJ1202" s="113"/>
      <c r="BK1202" s="113"/>
      <c r="BL1202" s="113"/>
      <c r="BM1202" s="232"/>
      <c r="BN1202" s="61">
        <f t="shared" si="2184"/>
        <v>0</v>
      </c>
      <c r="BO1202" s="113"/>
      <c r="BP1202" s="113"/>
      <c r="BQ1202" s="175"/>
      <c r="BR1202" s="175"/>
      <c r="BS1202" s="170"/>
      <c r="BT1202" s="176"/>
      <c r="BU1202" s="177"/>
      <c r="BV1202" s="177"/>
      <c r="BW1202" s="113"/>
      <c r="BX1202" s="113"/>
      <c r="BY1202" s="113"/>
      <c r="BZ1202" s="113"/>
      <c r="CA1202" s="116">
        <v>2022</v>
      </c>
      <c r="CB1202" s="113"/>
      <c r="CC1202" s="113"/>
      <c r="CD1202" s="113"/>
      <c r="CE1202" s="175"/>
      <c r="CF1202" s="238">
        <v>2239</v>
      </c>
      <c r="CG1202" s="113"/>
      <c r="CH1202" s="178">
        <f>+(51-24)/(51-24*0.75)</f>
        <v>0.81818181818181823</v>
      </c>
      <c r="CI1202" s="113">
        <f>+CI1178*CH1202+CG1179*CH1201+CG1180*CH1200+CG1181*CH1199+CG1182*CH1198+CG1183*CH1197+CG1184*CH1196+CG1185*CH1195+CG1186*CH1194+CG1187*CH1193+CG1188*CH1192+CG1189*CH1191+CG1190*CH1190+CG1191*CH1189+CG1192*CH1188+CG1193*CH1187+CG1194*CH1186+CG1195*CH1185+CG1196*CH1184+CG1197*CH1183+CG1198*CH1182+CG1199*CH1181+CG1200*CH1180+CG1201*CH1179+CG1202*CH1178</f>
        <v>73.095544880603256</v>
      </c>
      <c r="CJ1202" s="114">
        <f t="shared" ref="CJ1202" si="2190">LN(CI1202/CI1201)</f>
        <v>-7.4882203378133106E-3</v>
      </c>
      <c r="CK1202" s="113"/>
      <c r="CL1202" s="169">
        <f t="shared" si="2153"/>
        <v>7.4602534668028637E-3</v>
      </c>
      <c r="CM1202" s="169">
        <f t="shared" si="2161"/>
        <v>1.0113615319895929E-2</v>
      </c>
      <c r="CN1202" s="114"/>
      <c r="CO1202" s="169"/>
      <c r="CP1202" s="169"/>
      <c r="CQ1202" s="69">
        <f t="shared" si="2162"/>
        <v>2.0788326288637696E-2</v>
      </c>
      <c r="CR1202" s="169">
        <f t="shared" si="2163"/>
        <v>0.10114668178709289</v>
      </c>
      <c r="CS1202" s="179">
        <f t="shared" si="2154"/>
        <v>0.90330050000000006</v>
      </c>
      <c r="CT1202" s="180">
        <f t="shared" si="2155"/>
        <v>1.2820512820512819</v>
      </c>
      <c r="CU1202" s="180">
        <f t="shared" si="2156"/>
        <v>0.35000000000000003</v>
      </c>
      <c r="CV1202" s="180">
        <f t="shared" si="2157"/>
        <v>0.79171095533705893</v>
      </c>
      <c r="CW1202" s="180">
        <f t="shared" si="2158"/>
        <v>0.35525491585637264</v>
      </c>
      <c r="CX1202" s="181">
        <f>CX1201</f>
        <v>0.26134999999999997</v>
      </c>
      <c r="CY1202" s="72">
        <v>0.37</v>
      </c>
      <c r="CZ1202" s="182">
        <f t="shared" si="2160"/>
        <v>26.081761475473495</v>
      </c>
      <c r="DA1202" s="182"/>
      <c r="DB1202" s="169">
        <f t="shared" ref="DB1202" si="2191">LN(CZ1202/CZ1201)</f>
        <v>0.1318944302658494</v>
      </c>
      <c r="DC1202" s="181">
        <v>0.04</v>
      </c>
      <c r="DD1202" s="183">
        <v>7.0000000000000001E-3</v>
      </c>
      <c r="DE1202" s="181">
        <v>1030.81</v>
      </c>
      <c r="DF1202" s="72">
        <f t="shared" si="2174"/>
        <v>162.55000000000001</v>
      </c>
      <c r="DG1202" s="169">
        <f t="shared" si="2175"/>
        <v>3.3148751169364422E-2</v>
      </c>
      <c r="DH1202" s="175">
        <v>127.25</v>
      </c>
      <c r="DI1202" s="169">
        <f t="shared" si="2165"/>
        <v>7.1325086601983473E-2</v>
      </c>
    </row>
    <row r="1203" spans="1:113" s="160" customFormat="1" ht="21">
      <c r="A1203" s="160" t="s">
        <v>231</v>
      </c>
      <c r="B1203" s="160" t="s">
        <v>231</v>
      </c>
      <c r="C1203" s="160">
        <v>4059746</v>
      </c>
      <c r="D1203" s="161" t="s">
        <v>177</v>
      </c>
      <c r="E1203" s="161"/>
      <c r="F1203" s="189"/>
      <c r="G1203" s="160" t="s">
        <v>100</v>
      </c>
      <c r="H1203" s="162">
        <v>1998</v>
      </c>
      <c r="I1203" s="163"/>
      <c r="J1203" s="159"/>
      <c r="K1203" s="159"/>
      <c r="L1203" s="159"/>
      <c r="M1203" s="60"/>
      <c r="N1203" s="131"/>
      <c r="O1203" s="76"/>
      <c r="P1203" s="76"/>
      <c r="Q1203" s="165"/>
      <c r="R1203" s="165"/>
      <c r="S1203" s="165"/>
      <c r="T1203" s="159"/>
      <c r="U1203" s="165"/>
      <c r="V1203" s="165"/>
      <c r="W1203" s="159"/>
      <c r="X1203" s="163"/>
      <c r="Y1203" s="167">
        <v>3146.5633858998472</v>
      </c>
      <c r="Z1203" s="168"/>
      <c r="AA1203" s="78"/>
      <c r="AB1203" s="168"/>
      <c r="AC1203" s="168"/>
      <c r="AD1203" s="163">
        <f t="shared" si="2138"/>
        <v>0</v>
      </c>
      <c r="AE1203" s="163"/>
      <c r="AF1203" s="163"/>
      <c r="AG1203" s="114"/>
      <c r="AH1203" s="114"/>
      <c r="AI1203" s="114"/>
      <c r="AJ1203" s="166">
        <f>+(AJ1200+AJ1201+AJ1202)/3</f>
        <v>435.04100318048637</v>
      </c>
      <c r="AK1203" s="168"/>
      <c r="AL1203" s="115"/>
      <c r="AM1203" s="115"/>
      <c r="AN1203" s="115"/>
      <c r="AO1203" s="115"/>
      <c r="AP1203" s="115"/>
      <c r="AQ1203" s="168">
        <f>AVERAGE(AQ1212:AQ1226)</f>
        <v>-4.2642383261030193E-4</v>
      </c>
      <c r="AR1203" s="115"/>
      <c r="AS1203" s="115"/>
      <c r="AT1203" s="115"/>
      <c r="AU1203" s="115"/>
      <c r="AV1203" s="113">
        <f>IFERROR(INDEX('Total Customers'!$F$7:$AB$91,MATCH($C1203,'Total Customers'!$D$7:$D$91,0),MATCH($G1203,'Total Customers'!$F$5:$AB$5,0)),"NA")</f>
        <v>1171867</v>
      </c>
      <c r="AW1203" s="68"/>
      <c r="AX1203" s="114"/>
      <c r="AY1203" s="114"/>
      <c r="AZ1203" s="116"/>
      <c r="BA1203" s="116"/>
      <c r="BB1203" s="166"/>
      <c r="BC1203" s="166"/>
      <c r="BD1203" s="166"/>
      <c r="BE1203" s="166"/>
      <c r="BF1203" s="166"/>
      <c r="BG1203" s="166"/>
      <c r="BH1203" s="166"/>
      <c r="BI1203" s="113">
        <f>INDEX('Gross Dx Plant'!$E$7:$AD$91,MATCH($C1203,'Gross Dx Plant'!$D$7:$D$91,0),MATCH(Calculation!$G1203,'Gross Dx Plant'!$E$5:$AD$5,0))</f>
        <v>960981</v>
      </c>
      <c r="BJ1203" s="113">
        <f>INDEX('Gross Gen Plant'!$E$7:$AD$91,MATCH($C1203,'Gross Gen Plant'!$D$7:$D$91,0),MATCH(Calculation!$G1203,'Gross Gen Plant'!$E$5:$AD$5,0))</f>
        <v>83637</v>
      </c>
      <c r="BK1203" s="113">
        <f>INDEX('Dist. Plant Gas Additions'!$F$7:$AE$91,MATCH($C1203,'Dist. Plant Gas Additions'!$D$7:$D$91,0),MATCH(Calculation!$G1203,'Dist. Plant Gas Additions'!$F$5:$AE$5,0))</f>
        <v>42230</v>
      </c>
      <c r="BL1203" s="113">
        <f>INDEX('Gen. Plant Additions'!$F$7:$AE$91,MATCH($C1203,'Gen. Plant Additions'!$D$7:$D$91,0),MATCH(Calculation!$G1203,'Gen. Plant Additions'!$F$5:$AE$5,0))</f>
        <v>5870</v>
      </c>
      <c r="BM1203" s="231">
        <f>+(BW1203/(BW1203+BX1203))</f>
        <v>0.91993532564056912</v>
      </c>
      <c r="BN1203" s="61">
        <f t="shared" si="2184"/>
        <v>5400.0203615101409</v>
      </c>
      <c r="BO1203" s="113">
        <f>INDEX('Dist Plant Depreciation'!$E$7:$AD$94,MATCH($C1203,'Dist Plant Depreciation'!$D$7:$D$94,0),MATCH(Calculation!$G1203,'Dist Plant Depreciation'!$E$5:$AD$5,0))</f>
        <v>373335</v>
      </c>
      <c r="BP1203" s="113">
        <f>INDEX('Gen. Plant Depreciation'!$E$7:$AD$94,MATCH($C1203,'Gen. Plant Depreciation'!$D$7:$D$94,0),MATCH(Calculation!$G1203,'Gen. Plant Depreciation'!$E$5:$AD$5,0))</f>
        <v>36560</v>
      </c>
      <c r="BQ1203" s="113"/>
      <c r="BR1203" s="113"/>
      <c r="BS1203" s="113"/>
      <c r="BT1203" s="113"/>
      <c r="BU1203" s="113"/>
      <c r="BV1203" s="175"/>
      <c r="BW1203" s="113">
        <f>INDEX('Gross Dx Plant'!$E$7:$AD$91,MATCH($C1203,'Gross Dx Plant'!$D$7:$D$91,0),MATCH(Calculation!$G1203,'Gross Dx Plant'!$E$5:$AD$5,0))</f>
        <v>960981</v>
      </c>
      <c r="BX1203" s="113">
        <f>INDEX('Gross Gen Plant'!$E$7:$AD$91,MATCH($C1203,'Gross Gen Plant'!$D$7:$D$91,0),MATCH(Calculation!$G1203,'Gross Gen Plant'!$E$5:$AD$5,0))</f>
        <v>83637</v>
      </c>
      <c r="BY1203" s="113">
        <f t="shared" si="2187"/>
        <v>634723</v>
      </c>
      <c r="BZ1203" s="113"/>
      <c r="CA1203" s="116">
        <v>1998</v>
      </c>
      <c r="CB1203" s="113">
        <f>BI1203+BJ1203</f>
        <v>1044618</v>
      </c>
      <c r="CC1203" s="113">
        <f>373335+36560</f>
        <v>409895</v>
      </c>
      <c r="CD1203" s="113">
        <f>+CB1203-CC1203</f>
        <v>634723</v>
      </c>
      <c r="CE1203" s="113">
        <f>CD1203/$BV$3</f>
        <v>3146.5633858998472</v>
      </c>
      <c r="CF1203" s="175"/>
      <c r="CG1203" s="175"/>
      <c r="CH1203" s="178">
        <v>1</v>
      </c>
      <c r="CI1203" s="113">
        <f>+CE1203</f>
        <v>3146.5633858998472</v>
      </c>
      <c r="CJ1203" s="114"/>
      <c r="CK1203" s="114"/>
      <c r="CL1203" s="169"/>
      <c r="CM1203" s="169"/>
      <c r="CN1203" s="114" t="e">
        <f>VLOOKUP($H1203,RoR!$E:$F,2,FALSE)</f>
        <v>#N/A</v>
      </c>
      <c r="CO1203" s="169">
        <v>1.1028127770464469E-2</v>
      </c>
      <c r="CP1203" s="169"/>
      <c r="CQ1203" s="169"/>
      <c r="CR1203" s="169"/>
      <c r="CS1203" s="179"/>
      <c r="CT1203" s="182" t="e">
        <f>2/(DC1203*39)</f>
        <v>#N/A</v>
      </c>
      <c r="CU1203" s="180" t="e">
        <f>+(DC1203*40-(1+DC1203))/(DC1203*40)</f>
        <v>#N/A</v>
      </c>
      <c r="CV1203" s="180" t="e">
        <f>+(1-(1/(1+DC1203)^40))</f>
        <v>#N/A</v>
      </c>
      <c r="CW1203" s="180" t="e">
        <f>+CV1203*CU1203*CT1203</f>
        <v>#N/A</v>
      </c>
      <c r="CX1203" s="181">
        <f>INDEX('State Tax Lookup'!$D$7:$Z$91,MATCH(Calculation!$C1203,'State Tax Lookup'!$B$7:$B$91,0),MATCH($H1203,'State Tax Lookup'!$D$6:$Z$6,0))</f>
        <v>0.35</v>
      </c>
      <c r="CY1203" s="72">
        <v>0.37</v>
      </c>
      <c r="CZ1203" s="66"/>
      <c r="DA1203" s="66"/>
      <c r="DB1203" s="69"/>
      <c r="DC1203" s="111" t="e">
        <f>VLOOKUP($H1203,RoR!$E:$F,2,FALSE)</f>
        <v>#N/A</v>
      </c>
      <c r="DD1203" s="216">
        <f>HLOOKUP($H1203,'GDP-PI'!$D$8:$CQ$11,3,FALSE)</f>
        <v>1.1028127770464469E-2</v>
      </c>
      <c r="DE1203" s="111">
        <f>VLOOKUP(H1203,'HW Dx Data'!$E:$F,2,FALSE)</f>
        <v>329.24564746449528</v>
      </c>
      <c r="DF1203" s="72" t="e">
        <f t="shared" si="2174"/>
        <v>#N/A</v>
      </c>
      <c r="DG1203" s="169" t="e">
        <f t="shared" si="2175"/>
        <v>#N/A</v>
      </c>
      <c r="DH1203" s="66">
        <f>HLOOKUP(H1203,'GDP-PI'!$8:$9,2,FALSE)</f>
        <v>75.266999999999996</v>
      </c>
      <c r="DI1203"/>
    </row>
    <row r="1204" spans="1:113" s="160" customFormat="1" ht="21">
      <c r="A1204" s="160" t="s">
        <v>231</v>
      </c>
      <c r="B1204" s="160" t="s">
        <v>231</v>
      </c>
      <c r="C1204" s="160">
        <v>4059746</v>
      </c>
      <c r="D1204" s="161" t="s">
        <v>177</v>
      </c>
      <c r="E1204" s="161"/>
      <c r="F1204" s="189"/>
      <c r="G1204" s="160" t="s">
        <v>106</v>
      </c>
      <c r="H1204" s="162">
        <v>1999</v>
      </c>
      <c r="I1204" s="163"/>
      <c r="J1204" s="159"/>
      <c r="K1204" s="163"/>
      <c r="L1204" s="163"/>
      <c r="M1204" s="60"/>
      <c r="N1204" s="152"/>
      <c r="O1204" s="60"/>
      <c r="P1204" s="59"/>
      <c r="Q1204" s="169"/>
      <c r="R1204" s="169"/>
      <c r="S1204" s="169"/>
      <c r="T1204" s="187"/>
      <c r="U1204" s="169"/>
      <c r="V1204" s="169"/>
      <c r="W1204" s="159">
        <f t="shared" ref="W1204:W1227" si="2192">+CI1203*CZ1204</f>
        <v>0</v>
      </c>
      <c r="X1204" s="163"/>
      <c r="Y1204" s="167">
        <v>3247.8849126618707</v>
      </c>
      <c r="Z1204" s="168">
        <v>3.1693119704852474E-2</v>
      </c>
      <c r="AA1204" s="78"/>
      <c r="AB1204" s="168"/>
      <c r="AC1204" s="168"/>
      <c r="AD1204" s="163">
        <f t="shared" si="2138"/>
        <v>0</v>
      </c>
      <c r="AE1204" s="168"/>
      <c r="AF1204" s="163"/>
      <c r="AG1204" s="114"/>
      <c r="AH1204" s="114"/>
      <c r="AI1204" s="114"/>
      <c r="AJ1204" s="167"/>
      <c r="AK1204" s="168"/>
      <c r="AL1204" s="115"/>
      <c r="AM1204" s="115"/>
      <c r="AN1204" s="115"/>
      <c r="AO1204" s="115"/>
      <c r="AP1204" s="115"/>
      <c r="AQ1204" s="168"/>
      <c r="AR1204" s="115"/>
      <c r="AS1204" s="115"/>
      <c r="AT1204" s="115"/>
      <c r="AU1204" s="115"/>
      <c r="AV1204" s="113">
        <f>IFERROR(INDEX('Total Customers'!$F$7:$AB$91,MATCH($C1204,'Total Customers'!$D$7:$D$91,0),MATCH($G1204,'Total Customers'!$F$5:$AB$5,0)),"NA")</f>
        <v>1201730</v>
      </c>
      <c r="AW1204" s="68">
        <f t="shared" si="2113"/>
        <v>2.5163981770271598E-2</v>
      </c>
      <c r="AX1204" s="114"/>
      <c r="AY1204" s="114"/>
      <c r="AZ1204" s="116"/>
      <c r="BA1204" s="116"/>
      <c r="BB1204" s="166"/>
      <c r="BC1204" s="166"/>
      <c r="BD1204" s="166"/>
      <c r="BE1204" s="166"/>
      <c r="BF1204" s="166"/>
      <c r="BG1204" s="166"/>
      <c r="BH1204" s="166"/>
      <c r="BI1204" s="113"/>
      <c r="BJ1204" s="113"/>
      <c r="BK1204" s="113">
        <f>INDEX('Dist. Plant Gas Additions'!$F$7:$AE$91,MATCH($C1204,'Dist. Plant Gas Additions'!$D$7:$D$91,0),MATCH(Calculation!$G1204,'Dist. Plant Gas Additions'!$F$5:$AE$5,0))</f>
        <v>35618</v>
      </c>
      <c r="BL1204" s="113">
        <f>INDEX('Gen. Plant Additions'!$F$7:$AE$91,MATCH($C1204,'Gen. Plant Additions'!$D$7:$D$91,0),MATCH(Calculation!$G1204,'Gen. Plant Additions'!$F$5:$AE$5,0))</f>
        <v>3607</v>
      </c>
      <c r="BM1204" s="231">
        <f t="shared" ref="BM1204:BM1225" si="2193">+(BW1204/(BW1204+BX1204))</f>
        <v>0.92255556968263264</v>
      </c>
      <c r="BN1204" s="61">
        <f t="shared" si="2184"/>
        <v>3327.6579398452559</v>
      </c>
      <c r="BO1204" s="113">
        <f>INDEX('Dist Plant Depreciation'!$E$7:$AD$94,MATCH($C1204,'Dist Plant Depreciation'!$D$7:$D$94,0),MATCH(Calculation!$G1204,'Dist Plant Depreciation'!$E$5:$AD$5,0))</f>
        <v>392864</v>
      </c>
      <c r="BP1204" s="113">
        <f>INDEX('Gen. Plant Depreciation'!$E$7:$AD$94,MATCH($C1204,'Gen. Plant Depreciation'!$D$7:$D$94,0),MATCH(Calculation!$G1204,'Gen. Plant Depreciation'!$E$5:$AD$5,0))</f>
        <v>38602</v>
      </c>
      <c r="BQ1204" s="113"/>
      <c r="BR1204" s="113"/>
      <c r="BS1204" s="113"/>
      <c r="BT1204" s="113"/>
      <c r="BU1204" s="113"/>
      <c r="BV1204" s="175"/>
      <c r="BW1204" s="113">
        <f>INDEX('Gross Dx Plant'!$E$7:$AD$91,MATCH($C1204,'Gross Dx Plant'!$D$7:$D$91,0),MATCH(Calculation!$G1204,'Gross Dx Plant'!$E$5:$AD$5,0))</f>
        <v>994073</v>
      </c>
      <c r="BX1204" s="113">
        <f>INDEX('Gross Gen Plant'!$E$7:$AD$91,MATCH($C1204,'Gross Gen Plant'!$D$7:$D$91,0),MATCH(Calculation!$G1204,'Gross Gen Plant'!$E$5:$AD$5,0))</f>
        <v>83448</v>
      </c>
      <c r="BY1204" s="113">
        <f t="shared" si="2187"/>
        <v>646055</v>
      </c>
      <c r="BZ1204" s="113"/>
      <c r="CA1204" s="116">
        <v>1999</v>
      </c>
      <c r="CB1204" s="113"/>
      <c r="CC1204" s="113"/>
      <c r="CD1204" s="113"/>
      <c r="CE1204" s="175"/>
      <c r="CF1204" s="113">
        <f t="shared" ref="CF1204:CF1226" si="2194">+BL1204+BK1204</f>
        <v>39225</v>
      </c>
      <c r="CG1204" s="113">
        <f t="shared" ref="CG1204:CG1226" si="2195">+CF1204/$DE1204</f>
        <v>116.97607097048063</v>
      </c>
      <c r="CH1204" s="178">
        <v>0.99502487562189057</v>
      </c>
      <c r="CI1204" s="61">
        <f>+CI1203*CH1204+CG1204</f>
        <v>3247.8849126618707</v>
      </c>
      <c r="CJ1204" s="114">
        <f t="shared" ref="CJ1204:CJ1225" si="2196">LN(CI1204/CI1203)</f>
        <v>3.1693119704852474E-2</v>
      </c>
      <c r="CK1204" s="114"/>
      <c r="CL1204" s="169">
        <f t="shared" ref="CL1204:CL1227" si="2197">+(CI1203-CI1204+CG1204)/CI1203</f>
        <v>4.9751243781095125E-3</v>
      </c>
      <c r="CM1204" s="169"/>
      <c r="CN1204" s="114">
        <f>VLOOKUP($H1204,RoR!$E:$F,2,FALSE)</f>
        <v>7.0416666666666669E-2</v>
      </c>
      <c r="CO1204" s="169">
        <v>1.4335631817396832E-2</v>
      </c>
      <c r="CP1204" s="169">
        <f>+CN1204-CO1204</f>
        <v>5.6081034849269837E-2</v>
      </c>
      <c r="CQ1204" s="169"/>
      <c r="CR1204" s="169"/>
      <c r="CS1204" s="179">
        <f t="shared" ref="CS1204:CS1227" si="2198">1-CX1204*CY1204</f>
        <v>0.87050000000000005</v>
      </c>
      <c r="CT1204" s="180">
        <f t="shared" ref="CT1204:CT1227" si="2199">2/(DC1204*39)</f>
        <v>0.72826581702321336</v>
      </c>
      <c r="CU1204" s="180">
        <f t="shared" ref="CU1204:CU1227" si="2200">+(DC1204*40-(1+DC1204))/(DC1204*40)</f>
        <v>0.61997041420118348</v>
      </c>
      <c r="CV1204" s="180">
        <f t="shared" ref="CV1204:CV1227" si="2201">+(1-(1/(1+DC1204)^40))</f>
        <v>0.93425155319585029</v>
      </c>
      <c r="CW1204" s="180">
        <f t="shared" ref="CW1204:CW1227" si="2202">+CV1204*CU1204*CT1204</f>
        <v>0.42181762214141483</v>
      </c>
      <c r="CX1204" s="181">
        <f>INDEX('State Tax Lookup'!$D$7:$Z$91,MATCH(Calculation!$C1204,'State Tax Lookup'!$B$7:$B$91,0),MATCH($H1204,'State Tax Lookup'!$D$6:$Z$6,0))</f>
        <v>0.35</v>
      </c>
      <c r="CY1204" s="72">
        <v>0.37</v>
      </c>
      <c r="CZ1204" s="70"/>
      <c r="DA1204" s="70"/>
      <c r="DB1204" s="69"/>
      <c r="DC1204" s="111">
        <f>VLOOKUP($H1204,RoR!$E:$F,2,FALSE)</f>
        <v>7.0416666666666669E-2</v>
      </c>
      <c r="DD1204" s="216">
        <f>HLOOKUP($H1204,'GDP-PI'!$D$8:$CQ$11,3,FALSE)</f>
        <v>1.4335631817396832E-2</v>
      </c>
      <c r="DE1204" s="111">
        <f>VLOOKUP(H1204,'HW Dx Data'!$E:$F,2,FALSE)</f>
        <v>335.32499146683239</v>
      </c>
      <c r="DF1204" s="66"/>
      <c r="DG1204" s="69"/>
      <c r="DH1204" s="66">
        <f>HLOOKUP(H1204,'GDP-PI'!$8:$9,2,FALSE)</f>
        <v>76.346000000000004</v>
      </c>
      <c r="DI1204"/>
    </row>
    <row r="1205" spans="1:113" s="160" customFormat="1" ht="21">
      <c r="A1205" s="160" t="s">
        <v>231</v>
      </c>
      <c r="B1205" s="160" t="s">
        <v>231</v>
      </c>
      <c r="C1205" s="160">
        <v>4059746</v>
      </c>
      <c r="D1205" s="161" t="s">
        <v>177</v>
      </c>
      <c r="E1205" s="161"/>
      <c r="F1205" s="189"/>
      <c r="G1205" s="160" t="s">
        <v>107</v>
      </c>
      <c r="H1205" s="162">
        <v>2000</v>
      </c>
      <c r="I1205" s="163"/>
      <c r="J1205" s="159"/>
      <c r="K1205" s="159"/>
      <c r="L1205" s="159"/>
      <c r="M1205" s="60"/>
      <c r="N1205" s="152"/>
      <c r="O1205" s="60"/>
      <c r="P1205" s="60"/>
      <c r="Q1205" s="159"/>
      <c r="R1205" s="159"/>
      <c r="S1205" s="159"/>
      <c r="T1205" s="159"/>
      <c r="U1205" s="159"/>
      <c r="V1205" s="159"/>
      <c r="W1205" s="159">
        <f t="shared" si="2192"/>
        <v>0</v>
      </c>
      <c r="X1205" s="163"/>
      <c r="Y1205" s="167">
        <v>3381.1363370076415</v>
      </c>
      <c r="Z1205" s="168">
        <v>4.0207858997320246E-2</v>
      </c>
      <c r="AA1205" s="78"/>
      <c r="AB1205" s="168"/>
      <c r="AC1205" s="168"/>
      <c r="AD1205" s="163">
        <f t="shared" si="2138"/>
        <v>0</v>
      </c>
      <c r="AE1205" s="168"/>
      <c r="AF1205" s="163"/>
      <c r="AG1205" s="163"/>
      <c r="AH1205" s="163"/>
      <c r="AI1205" s="163"/>
      <c r="AJ1205" s="167"/>
      <c r="AK1205" s="168"/>
      <c r="AL1205" s="115"/>
      <c r="AM1205" s="115"/>
      <c r="AN1205" s="115"/>
      <c r="AO1205" s="115"/>
      <c r="AP1205" s="115"/>
      <c r="AQ1205" s="168"/>
      <c r="AR1205" s="115"/>
      <c r="AS1205" s="115"/>
      <c r="AT1205" s="115"/>
      <c r="AU1205" s="115"/>
      <c r="AV1205" s="113">
        <f>IFERROR(INDEX('Total Customers'!$F$7:$AB$91,MATCH($C1205,'Total Customers'!$D$7:$D$91,0),MATCH($G1205,'Total Customers'!$F$5:$AB$5,0)),"NA")</f>
        <v>1234870</v>
      </c>
      <c r="AW1205" s="68">
        <f t="shared" si="2113"/>
        <v>2.720351612454901E-2</v>
      </c>
      <c r="AX1205" s="114"/>
      <c r="AY1205" s="114"/>
      <c r="AZ1205" s="116"/>
      <c r="BA1205" s="116"/>
      <c r="BB1205" s="166"/>
      <c r="BC1205" s="166"/>
      <c r="BD1205" s="166"/>
      <c r="BE1205" s="166"/>
      <c r="BF1205" s="166"/>
      <c r="BG1205" s="166"/>
      <c r="BH1205" s="166"/>
      <c r="BI1205" s="113"/>
      <c r="BJ1205" s="113"/>
      <c r="BK1205" s="113">
        <f>INDEX('Dist. Plant Gas Additions'!$F$7:$AE$91,MATCH($C1205,'Dist. Plant Gas Additions'!$D$7:$D$91,0),MATCH(Calculation!$G1205,'Dist. Plant Gas Additions'!$F$5:$AE$5,0))</f>
        <v>46321</v>
      </c>
      <c r="BL1205" s="113">
        <f>INDEX('Gen. Plant Additions'!$F$7:$AE$91,MATCH($C1205,'Gen. Plant Additions'!$D$7:$D$91,0),MATCH(Calculation!$G1205,'Gen. Plant Additions'!$F$5:$AE$5,0))</f>
        <v>5646</v>
      </c>
      <c r="BM1205" s="231">
        <f t="shared" si="2193"/>
        <v>0.92326637207632745</v>
      </c>
      <c r="BN1205" s="61">
        <f t="shared" si="2184"/>
        <v>5212.7619367429452</v>
      </c>
      <c r="BO1205" s="113">
        <f>INDEX('Dist Plant Depreciation'!$E$7:$AD$94,MATCH($C1205,'Dist Plant Depreciation'!$D$7:$D$94,0),MATCH(Calculation!$G1205,'Dist Plant Depreciation'!$E$5:$AD$5,0))</f>
        <v>410935</v>
      </c>
      <c r="BP1205" s="113">
        <f>INDEX('Gen. Plant Depreciation'!$E$7:$AD$94,MATCH($C1205,'Gen. Plant Depreciation'!$D$7:$D$94,0),MATCH(Calculation!$G1205,'Gen. Plant Depreciation'!$E$5:$AD$5,0))</f>
        <v>41638</v>
      </c>
      <c r="BQ1205" s="113"/>
      <c r="BR1205" s="113"/>
      <c r="BS1205" s="113"/>
      <c r="BT1205" s="113"/>
      <c r="BU1205" s="113"/>
      <c r="BV1205" s="175"/>
      <c r="BW1205" s="113">
        <f>INDEX('Gross Dx Plant'!$E$7:$AD$91,MATCH($C1205,'Gross Dx Plant'!$D$7:$D$91,0),MATCH(Calculation!$G1205,'Gross Dx Plant'!$E$5:$AD$5,0))</f>
        <v>1036541</v>
      </c>
      <c r="BX1205" s="113">
        <f>INDEX('Gross Gen Plant'!$E$7:$AD$91,MATCH($C1205,'Gross Gen Plant'!$D$7:$D$91,0),MATCH(Calculation!$G1205,'Gross Gen Plant'!$E$5:$AD$5,0))</f>
        <v>86148</v>
      </c>
      <c r="BY1205" s="113">
        <f t="shared" si="2187"/>
        <v>670116</v>
      </c>
      <c r="BZ1205" s="113"/>
      <c r="CA1205" s="116">
        <v>2000</v>
      </c>
      <c r="CB1205" s="113"/>
      <c r="CC1205" s="113"/>
      <c r="CD1205" s="113"/>
      <c r="CE1205" s="175"/>
      <c r="CF1205" s="113">
        <f t="shared" si="2194"/>
        <v>51967</v>
      </c>
      <c r="CG1205" s="113">
        <f t="shared" si="2195"/>
        <v>149.96231918409674</v>
      </c>
      <c r="CH1205" s="178">
        <v>0.98989898989898994</v>
      </c>
      <c r="CI1205" s="61">
        <f>+CI1203*CH1205+CG1204*CH1204+CG1205</f>
        <v>3381.1363370076415</v>
      </c>
      <c r="CJ1205" s="114">
        <f t="shared" si="2196"/>
        <v>4.0207858997320246E-2</v>
      </c>
      <c r="CK1205" s="114"/>
      <c r="CL1205" s="169">
        <f t="shared" si="2197"/>
        <v>5.1451622479535943E-3</v>
      </c>
      <c r="CM1205" s="169"/>
      <c r="CN1205" s="114">
        <f>VLOOKUP($H1205,RoR!$E:$F,2,FALSE)</f>
        <v>7.6225000000000001E-2</v>
      </c>
      <c r="CO1205" s="169">
        <v>2.2568307442433211E-2</v>
      </c>
      <c r="CP1205" s="169">
        <f t="shared" ref="CP1205:CP1225" si="2203">+CN1205-CO1205</f>
        <v>5.365669255756679E-2</v>
      </c>
      <c r="CQ1205" s="169"/>
      <c r="CR1205" s="169"/>
      <c r="CS1205" s="179">
        <f t="shared" si="2198"/>
        <v>0.87050000000000005</v>
      </c>
      <c r="CT1205" s="180">
        <f t="shared" si="2199"/>
        <v>0.67277207323124022</v>
      </c>
      <c r="CU1205" s="180">
        <f t="shared" si="2200"/>
        <v>0.6470236142997704</v>
      </c>
      <c r="CV1205" s="180">
        <f t="shared" si="2201"/>
        <v>0.94704866037543145</v>
      </c>
      <c r="CW1205" s="180">
        <f t="shared" si="2202"/>
        <v>0.41224973107878493</v>
      </c>
      <c r="CX1205" s="181">
        <f>INDEX('State Tax Lookup'!$D$7:$Z$91,MATCH(Calculation!$C1205,'State Tax Lookup'!$B$7:$B$91,0),MATCH($H1205,'State Tax Lookup'!$D$6:$Z$6,0))</f>
        <v>0.35</v>
      </c>
      <c r="CY1205" s="72">
        <v>0.37</v>
      </c>
      <c r="CZ1205" s="70"/>
      <c r="DA1205" s="70"/>
      <c r="DB1205" s="69"/>
      <c r="DC1205" s="111">
        <f>VLOOKUP($H1205,RoR!$E:$F,2,FALSE)</f>
        <v>7.6225000000000001E-2</v>
      </c>
      <c r="DD1205" s="216">
        <f>HLOOKUP($H1205,'GDP-PI'!$D$8:$CQ$11,3,FALSE)</f>
        <v>2.2568307442433211E-2</v>
      </c>
      <c r="DE1205" s="111">
        <f>VLOOKUP(H1205,'HW Dx Data'!$E:$F,2,FALSE)</f>
        <v>346.53371782150339</v>
      </c>
      <c r="DF1205" s="66"/>
      <c r="DG1205" s="69"/>
      <c r="DH1205" s="66">
        <f>HLOOKUP(H1205,'GDP-PI'!$8:$9,2,FALSE)</f>
        <v>78.069000000000003</v>
      </c>
      <c r="DI1205"/>
    </row>
    <row r="1206" spans="1:113" s="160" customFormat="1" ht="21">
      <c r="A1206" s="160" t="s">
        <v>231</v>
      </c>
      <c r="B1206" s="160" t="s">
        <v>231</v>
      </c>
      <c r="C1206" s="160">
        <v>4059746</v>
      </c>
      <c r="D1206" s="161" t="s">
        <v>177</v>
      </c>
      <c r="E1206" s="161"/>
      <c r="F1206" s="189"/>
      <c r="G1206" s="160" t="s">
        <v>111</v>
      </c>
      <c r="H1206" s="162">
        <v>2001</v>
      </c>
      <c r="I1206" s="163"/>
      <c r="J1206" s="159"/>
      <c r="K1206" s="159"/>
      <c r="L1206" s="159"/>
      <c r="M1206" s="60"/>
      <c r="N1206" s="152"/>
      <c r="O1206" s="60"/>
      <c r="P1206" s="60"/>
      <c r="Q1206" s="159"/>
      <c r="R1206" s="159"/>
      <c r="S1206" s="159"/>
      <c r="T1206" s="159"/>
      <c r="U1206" s="159"/>
      <c r="V1206" s="159"/>
      <c r="W1206" s="159">
        <f t="shared" si="2192"/>
        <v>41231.875529292556</v>
      </c>
      <c r="X1206" s="163"/>
      <c r="Y1206" s="167">
        <v>3466.3369623966296</v>
      </c>
      <c r="Z1206" s="168">
        <v>2.4886558580068805E-2</v>
      </c>
      <c r="AA1206" s="78"/>
      <c r="AB1206" s="168"/>
      <c r="AC1206" s="168"/>
      <c r="AD1206" s="163">
        <f t="shared" si="2138"/>
        <v>41231.875529292556</v>
      </c>
      <c r="AE1206" s="168"/>
      <c r="AF1206" s="163"/>
      <c r="AG1206" s="163"/>
      <c r="AH1206" s="163"/>
      <c r="AI1206" s="163"/>
      <c r="AJ1206" s="167"/>
      <c r="AK1206" s="168"/>
      <c r="AL1206" s="115"/>
      <c r="AM1206" s="115"/>
      <c r="AN1206" s="115"/>
      <c r="AO1206" s="115"/>
      <c r="AP1206" s="115"/>
      <c r="AQ1206" s="168"/>
      <c r="AR1206" s="115"/>
      <c r="AS1206" s="115"/>
      <c r="AT1206" s="115"/>
      <c r="AU1206" s="115"/>
      <c r="AV1206" s="113">
        <f>IFERROR(INDEX('Total Customers'!$F$7:$AB$91,MATCH($C1206,'Total Customers'!$D$7:$D$91,0),MATCH($G1206,'Total Customers'!$F$5:$AB$5,0)),"NA")</f>
        <v>1221538</v>
      </c>
      <c r="AW1206" s="68">
        <f t="shared" si="2113"/>
        <v>-1.0854980857862318E-2</v>
      </c>
      <c r="AX1206" s="114"/>
      <c r="AY1206" s="114"/>
      <c r="AZ1206" s="116"/>
      <c r="BA1206" s="116"/>
      <c r="BB1206" s="166"/>
      <c r="BC1206" s="166"/>
      <c r="BD1206" s="166"/>
      <c r="BE1206" s="166"/>
      <c r="BF1206" s="166"/>
      <c r="BG1206" s="166"/>
      <c r="BH1206" s="166"/>
      <c r="BI1206" s="113"/>
      <c r="BJ1206" s="113"/>
      <c r="BK1206" s="113">
        <f>INDEX('Dist. Plant Gas Additions'!$F$7:$AE$91,MATCH($C1206,'Dist. Plant Gas Additions'!$D$7:$D$91,0),MATCH(Calculation!$G1206,'Dist. Plant Gas Additions'!$F$5:$AE$5,0))</f>
        <v>34271</v>
      </c>
      <c r="BL1206" s="113">
        <f>INDEX('Gen. Plant Additions'!$F$7:$AE$91,MATCH($C1206,'Gen. Plant Additions'!$D$7:$D$91,0),MATCH(Calculation!$G1206,'Gen. Plant Additions'!$F$5:$AE$5,0))</f>
        <v>1931</v>
      </c>
      <c r="BM1206" s="231">
        <f t="shared" si="2193"/>
        <v>0.92844257419120935</v>
      </c>
      <c r="BN1206" s="61">
        <f t="shared" si="2184"/>
        <v>1792.8226107632252</v>
      </c>
      <c r="BO1206" s="113">
        <f>INDEX('Dist Plant Depreciation'!$E$7:$AD$94,MATCH($C1206,'Dist Plant Depreciation'!$D$7:$D$94,0),MATCH(Calculation!$G1206,'Dist Plant Depreciation'!$E$5:$AD$5,0))</f>
        <v>412027</v>
      </c>
      <c r="BP1206" s="113">
        <f>INDEX('Gen. Plant Depreciation'!$E$7:$AD$94,MATCH($C1206,'Gen. Plant Depreciation'!$D$7:$D$94,0),MATCH(Calculation!$G1206,'Gen. Plant Depreciation'!$E$5:$AD$5,0))</f>
        <v>41761</v>
      </c>
      <c r="BQ1206" s="113"/>
      <c r="BR1206" s="113"/>
      <c r="BS1206" s="113"/>
      <c r="BT1206" s="113"/>
      <c r="BU1206" s="113"/>
      <c r="BV1206" s="175"/>
      <c r="BW1206" s="113">
        <f>INDEX('Gross Dx Plant'!$E$7:$AD$91,MATCH($C1206,'Gross Dx Plant'!$D$7:$D$91,0),MATCH(Calculation!$G1206,'Gross Dx Plant'!$E$5:$AD$5,0))</f>
        <v>1055071</v>
      </c>
      <c r="BX1206" s="113">
        <f>INDEX('Gross Gen Plant'!$E$7:$AD$91,MATCH($C1206,'Gross Gen Plant'!$D$7:$D$91,0),MATCH(Calculation!$G1206,'Gross Gen Plant'!$E$5:$AD$5,0))</f>
        <v>81317</v>
      </c>
      <c r="BY1206" s="113">
        <f t="shared" si="2187"/>
        <v>682600</v>
      </c>
      <c r="BZ1206" s="113"/>
      <c r="CA1206" s="116">
        <v>2001</v>
      </c>
      <c r="CB1206" s="113"/>
      <c r="CC1206" s="113"/>
      <c r="CD1206" s="113"/>
      <c r="CE1206" s="175"/>
      <c r="CF1206" s="113">
        <f t="shared" si="2194"/>
        <v>36202</v>
      </c>
      <c r="CG1206" s="113">
        <f t="shared" si="2195"/>
        <v>102.42543029203617</v>
      </c>
      <c r="CH1206" s="178">
        <v>0.98461538461538467</v>
      </c>
      <c r="CI1206" s="61">
        <f>+CI1203*CH1206+CG1204*CH1205+CG1205*CH1203+CG1206</f>
        <v>3466.3369623966296</v>
      </c>
      <c r="CJ1206" s="114">
        <f t="shared" si="2196"/>
        <v>2.4886558580068805E-2</v>
      </c>
      <c r="CK1206" s="114"/>
      <c r="CL1206" s="169">
        <f t="shared" si="2197"/>
        <v>5.0943834220811956E-3</v>
      </c>
      <c r="CM1206" s="169">
        <f>+(CL1206+CL1205+CL1204)/3</f>
        <v>5.071556682714768E-3</v>
      </c>
      <c r="CN1206" s="114">
        <f>VLOOKUP($H1206,RoR!$E:$F,2,FALSE)</f>
        <v>7.0824999999999999E-2</v>
      </c>
      <c r="CO1206" s="169">
        <v>2.2454495382290052E-2</v>
      </c>
      <c r="CP1206" s="169">
        <f t="shared" si="2203"/>
        <v>4.8370504617709947E-2</v>
      </c>
      <c r="CQ1206" s="169">
        <f>+$CP$2-CM1206</f>
        <v>2.5830384925818857E-2</v>
      </c>
      <c r="CR1206" s="169">
        <f>+((DE1204/DE1203-1)+(DE1205/DE1204-1)+(DE1206/DE1205-1))/3</f>
        <v>2.3947275901631187E-2</v>
      </c>
      <c r="CS1206" s="179">
        <f t="shared" si="2198"/>
        <v>0.87050000000000005</v>
      </c>
      <c r="CT1206" s="180">
        <f t="shared" si="2199"/>
        <v>0.72406708481540816</v>
      </c>
      <c r="CU1206" s="180">
        <f t="shared" si="2200"/>
        <v>0.62201729615248857</v>
      </c>
      <c r="CV1206" s="180">
        <f t="shared" si="2201"/>
        <v>0.9352469954311422</v>
      </c>
      <c r="CW1206" s="180">
        <f t="shared" si="2202"/>
        <v>0.42121864641655071</v>
      </c>
      <c r="CX1206" s="181">
        <f>INDEX('State Tax Lookup'!$D$7:$Z$91,MATCH(Calculation!$C1206,'State Tax Lookup'!$B$7:$B$91,0),MATCH($H1206,'State Tax Lookup'!$D$6:$Z$6,0))</f>
        <v>0.35</v>
      </c>
      <c r="CY1206" s="72">
        <v>0.37</v>
      </c>
      <c r="CZ1206" s="70">
        <f t="shared" ref="CZ1206:CZ1227" si="2204">+(DE1206*CQ1206-CR1206)*CS1206/(1-CX1206)</f>
        <v>12.194679959514266</v>
      </c>
      <c r="DA1206" s="70"/>
      <c r="DB1206" s="69"/>
      <c r="DC1206" s="111">
        <f>VLOOKUP($H1206,RoR!$E:$F,2,FALSE)</f>
        <v>7.0824999999999999E-2</v>
      </c>
      <c r="DD1206" s="216">
        <f>HLOOKUP($H1206,'GDP-PI'!$D$8:$CQ$11,3,FALSE)</f>
        <v>2.2454495382290052E-2</v>
      </c>
      <c r="DE1206" s="111">
        <f>VLOOKUP(H1206,'HW Dx Data'!$E:$F,2,FALSE)</f>
        <v>353.44738017483138</v>
      </c>
      <c r="DF1206" s="66"/>
      <c r="DG1206" s="69"/>
      <c r="DH1206" s="66">
        <f>HLOOKUP(H1206,'GDP-PI'!$8:$9,2,FALSE)</f>
        <v>79.822000000000003</v>
      </c>
      <c r="DI1206"/>
    </row>
    <row r="1207" spans="1:113" s="160" customFormat="1" ht="21">
      <c r="A1207" s="160" t="s">
        <v>231</v>
      </c>
      <c r="B1207" s="160" t="s">
        <v>231</v>
      </c>
      <c r="C1207" s="160">
        <v>4059746</v>
      </c>
      <c r="D1207" s="161" t="s">
        <v>177</v>
      </c>
      <c r="E1207" s="161"/>
      <c r="F1207" s="189"/>
      <c r="G1207" s="160" t="s">
        <v>113</v>
      </c>
      <c r="H1207" s="162">
        <v>2002</v>
      </c>
      <c r="I1207" s="163"/>
      <c r="J1207" s="159"/>
      <c r="K1207" s="159"/>
      <c r="L1207" s="159"/>
      <c r="M1207" s="60"/>
      <c r="N1207" s="152"/>
      <c r="O1207" s="60"/>
      <c r="P1207" s="60"/>
      <c r="Q1207" s="159"/>
      <c r="R1207" s="159"/>
      <c r="S1207" s="159"/>
      <c r="T1207" s="159"/>
      <c r="U1207" s="159"/>
      <c r="V1207" s="159"/>
      <c r="W1207" s="159">
        <f t="shared" si="2192"/>
        <v>42802.240893773582</v>
      </c>
      <c r="X1207" s="163"/>
      <c r="Y1207" s="167">
        <v>3631.1889201580966</v>
      </c>
      <c r="Z1207" s="168">
        <v>4.6461714910821815E-2</v>
      </c>
      <c r="AA1207" s="78"/>
      <c r="AB1207" s="168"/>
      <c r="AC1207" s="168"/>
      <c r="AD1207" s="163">
        <f t="shared" si="2138"/>
        <v>42802.240893773582</v>
      </c>
      <c r="AE1207" s="168"/>
      <c r="AF1207" s="163"/>
      <c r="AG1207" s="163"/>
      <c r="AH1207" s="163"/>
      <c r="AI1207" s="163"/>
      <c r="AJ1207" s="167"/>
      <c r="AK1207" s="168"/>
      <c r="AL1207" s="115"/>
      <c r="AM1207" s="115"/>
      <c r="AN1207" s="115"/>
      <c r="AO1207" s="115"/>
      <c r="AP1207" s="115"/>
      <c r="AQ1207" s="168"/>
      <c r="AR1207" s="115"/>
      <c r="AS1207" s="115"/>
      <c r="AT1207" s="115"/>
      <c r="AU1207" s="115"/>
      <c r="AV1207" s="113">
        <f>IFERROR(INDEX('Total Customers'!$F$7:$AB$91,MATCH($C1207,'Total Customers'!$D$7:$D$91,0),MATCH($G1207,'Total Customers'!$F$5:$AB$5,0)),"NA")</f>
        <v>1213805</v>
      </c>
      <c r="AW1207" s="68">
        <f t="shared" si="2113"/>
        <v>-6.3506668177181723E-3</v>
      </c>
      <c r="AX1207" s="114"/>
      <c r="AY1207" s="114"/>
      <c r="AZ1207" s="116"/>
      <c r="BA1207" s="116"/>
      <c r="BB1207" s="166"/>
      <c r="BC1207" s="166"/>
      <c r="BD1207" s="166"/>
      <c r="BE1207" s="166"/>
      <c r="BF1207" s="166"/>
      <c r="BG1207" s="166"/>
      <c r="BH1207" s="166"/>
      <c r="BI1207" s="113"/>
      <c r="BJ1207" s="113"/>
      <c r="BK1207" s="113">
        <f>INDEX('Dist. Plant Gas Additions'!$F$7:$AE$91,MATCH($C1207,'Dist. Plant Gas Additions'!$D$7:$D$91,0),MATCH(Calculation!$G1207,'Dist. Plant Gas Additions'!$F$5:$AE$5,0))</f>
        <v>61019</v>
      </c>
      <c r="BL1207" s="113">
        <f>INDEX('Gen. Plant Additions'!$F$7:$AE$91,MATCH($C1207,'Gen. Plant Additions'!$D$7:$D$91,0),MATCH(Calculation!$G1207,'Gen. Plant Additions'!$F$5:$AE$5,0))</f>
        <v>5700</v>
      </c>
      <c r="BM1207" s="231">
        <f t="shared" si="2193"/>
        <v>0.94745254745254748</v>
      </c>
      <c r="BN1207" s="61">
        <f>+BM1207*BL1207</f>
        <v>5400.4795204795209</v>
      </c>
      <c r="BO1207" s="113">
        <f>INDEX('Dist Plant Depreciation'!$E$7:$AD$94,MATCH($C1207,'Dist Plant Depreciation'!$D$7:$D$94,0),MATCH(Calculation!$G1207,'Dist Plant Depreciation'!$E$5:$AD$5,0))</f>
        <v>380465</v>
      </c>
      <c r="BP1207" s="113">
        <f>INDEX('Gen. Plant Depreciation'!$E$7:$AD$94,MATCH($C1207,'Gen. Plant Depreciation'!$D$7:$D$94,0),MATCH(Calculation!$G1207,'Gen. Plant Depreciation'!$E$5:$AD$5,0))</f>
        <v>26110</v>
      </c>
      <c r="BQ1207" s="113"/>
      <c r="BR1207" s="113"/>
      <c r="BS1207" s="113"/>
      <c r="BT1207" s="113"/>
      <c r="BU1207" s="113"/>
      <c r="BV1207" s="175"/>
      <c r="BW1207" s="113">
        <f>INDEX('Gross Dx Plant'!$E$7:$AD$91,MATCH($C1207,'Gross Dx Plant'!$D$7:$D$91,0),MATCH(Calculation!$G1207,'Gross Dx Plant'!$E$5:$AD$5,0))</f>
        <v>1114370</v>
      </c>
      <c r="BX1207" s="113">
        <f>INDEX('Gross Gen Plant'!$E$7:$AD$91,MATCH($C1207,'Gross Gen Plant'!$D$7:$D$91,0),MATCH(Calculation!$G1207,'Gross Gen Plant'!$E$5:$AD$5,0))</f>
        <v>61805</v>
      </c>
      <c r="BY1207" s="113">
        <f t="shared" si="2187"/>
        <v>769600</v>
      </c>
      <c r="BZ1207" s="113"/>
      <c r="CA1207" s="116">
        <v>2002</v>
      </c>
      <c r="CB1207" s="113"/>
      <c r="CC1207" s="113"/>
      <c r="CD1207" s="113"/>
      <c r="CE1207" s="175"/>
      <c r="CF1207" s="113">
        <f t="shared" si="2194"/>
        <v>66719</v>
      </c>
      <c r="CG1207" s="113">
        <f t="shared" si="2195"/>
        <v>184.63909970166804</v>
      </c>
      <c r="CH1207" s="178">
        <v>0.97916666666666663</v>
      </c>
      <c r="CI1207" s="61">
        <f>+CI1203*CH1207+CG1204*CH1206+CG1205*CH1205+CG1206*CH1204+CG1207</f>
        <v>3631.1889201580966</v>
      </c>
      <c r="CJ1207" s="114">
        <f t="shared" si="2196"/>
        <v>4.6461714910821815E-2</v>
      </c>
      <c r="CK1207" s="114"/>
      <c r="CL1207" s="169">
        <f t="shared" si="2197"/>
        <v>5.7083723119982456E-3</v>
      </c>
      <c r="CM1207" s="169">
        <f t="shared" ref="CM1207:CM1227" si="2205">+(CL1207+CL1206+CL1205)/3</f>
        <v>5.3159726606776779E-3</v>
      </c>
      <c r="CN1207" s="114">
        <f>VLOOKUP($H1207,RoR!$E:$F,2,FALSE)</f>
        <v>6.4916666666666664E-2</v>
      </c>
      <c r="CO1207" s="169">
        <v>1.5246423291824351E-2</v>
      </c>
      <c r="CP1207" s="169">
        <f t="shared" si="2203"/>
        <v>4.9670243374842313E-2</v>
      </c>
      <c r="CQ1207" s="169">
        <f t="shared" ref="CQ1207:CQ1227" si="2206">+$CP$2-CM1207</f>
        <v>2.5585968947855947E-2</v>
      </c>
      <c r="CR1207" s="169">
        <f t="shared" ref="CR1207:CR1226" si="2207">+((DE1205/DE1204-1)+(DE1206/DE1205-1)+(DE1207/DE1206-1))/3</f>
        <v>2.5243621214759093E-2</v>
      </c>
      <c r="CS1207" s="179">
        <f t="shared" si="2198"/>
        <v>0.87050000000000005</v>
      </c>
      <c r="CT1207" s="180">
        <f t="shared" si="2199"/>
        <v>0.78996741384417901</v>
      </c>
      <c r="CU1207" s="180">
        <f t="shared" si="2200"/>
        <v>0.58989088575096271</v>
      </c>
      <c r="CV1207" s="180">
        <f t="shared" si="2201"/>
        <v>0.91920675783645744</v>
      </c>
      <c r="CW1207" s="180">
        <f t="shared" si="2202"/>
        <v>0.42834536472275586</v>
      </c>
      <c r="CX1207" s="181">
        <f>INDEX('State Tax Lookup'!$D$7:$Z$91,MATCH(Calculation!$C1207,'State Tax Lookup'!$B$7:$B$91,0),MATCH($H1207,'State Tax Lookup'!$D$6:$Z$6,0))</f>
        <v>0.35</v>
      </c>
      <c r="CY1207" s="72">
        <v>0.37</v>
      </c>
      <c r="CZ1207" s="70">
        <f t="shared" si="2204"/>
        <v>12.347974636655076</v>
      </c>
      <c r="DA1207" s="70"/>
      <c r="DB1207" s="69">
        <f>LN(CZ1207/CZ1206)</f>
        <v>1.249226485177604E-2</v>
      </c>
      <c r="DC1207" s="111">
        <f>VLOOKUP($H1207,RoR!$E:$F,2,FALSE)</f>
        <v>6.4916666666666664E-2</v>
      </c>
      <c r="DD1207" s="216">
        <f>HLOOKUP($H1207,'GDP-PI'!$D$8:$CQ$11,3,FALSE)</f>
        <v>1.5246423291824351E-2</v>
      </c>
      <c r="DE1207" s="111">
        <f>VLOOKUP(H1207,'HW Dx Data'!$E:$F,2,FALSE)</f>
        <v>361.34816573413599</v>
      </c>
      <c r="DF1207" s="66"/>
      <c r="DG1207" s="69"/>
      <c r="DH1207" s="66">
        <f>HLOOKUP(H1207,'GDP-PI'!$8:$9,2,FALSE)</f>
        <v>81.039000000000001</v>
      </c>
      <c r="DI1207" s="69">
        <f>LN(DH1207/DH1206)</f>
        <v>1.513136459537477E-2</v>
      </c>
    </row>
    <row r="1208" spans="1:113" s="160" customFormat="1" ht="21">
      <c r="A1208" s="160" t="s">
        <v>231</v>
      </c>
      <c r="B1208" s="160" t="s">
        <v>231</v>
      </c>
      <c r="C1208" s="160">
        <v>4059746</v>
      </c>
      <c r="D1208" s="161" t="s">
        <v>177</v>
      </c>
      <c r="E1208" s="161"/>
      <c r="F1208" s="189"/>
      <c r="G1208" s="160" t="s">
        <v>114</v>
      </c>
      <c r="H1208" s="162">
        <v>2003</v>
      </c>
      <c r="I1208" s="163"/>
      <c r="J1208" s="159"/>
      <c r="K1208" s="159"/>
      <c r="L1208" s="159"/>
      <c r="M1208" s="76"/>
      <c r="N1208" s="152"/>
      <c r="O1208" s="76"/>
      <c r="P1208" s="76"/>
      <c r="Q1208" s="159"/>
      <c r="R1208" s="159"/>
      <c r="S1208" s="159"/>
      <c r="T1208" s="159"/>
      <c r="U1208" s="159"/>
      <c r="V1208" s="159"/>
      <c r="W1208" s="159">
        <f t="shared" si="2192"/>
        <v>45527.947514697458</v>
      </c>
      <c r="X1208" s="163"/>
      <c r="Y1208" s="167">
        <v>3787.8425789533258</v>
      </c>
      <c r="Z1208" s="168">
        <v>4.2236495767700499E-2</v>
      </c>
      <c r="AA1208" s="78"/>
      <c r="AB1208" s="168"/>
      <c r="AC1208" s="168"/>
      <c r="AD1208" s="163">
        <f t="shared" si="2138"/>
        <v>45527.947514697458</v>
      </c>
      <c r="AE1208" s="168"/>
      <c r="AF1208" s="163"/>
      <c r="AG1208" s="163"/>
      <c r="AH1208" s="163"/>
      <c r="AI1208" s="163"/>
      <c r="AJ1208" s="167"/>
      <c r="AK1208" s="168"/>
      <c r="AL1208" s="115"/>
      <c r="AM1208" s="115"/>
      <c r="AN1208" s="115"/>
      <c r="AO1208" s="115"/>
      <c r="AP1208" s="115"/>
      <c r="AQ1208" s="168"/>
      <c r="AR1208" s="115"/>
      <c r="AS1208" s="115"/>
      <c r="AT1208" s="115"/>
      <c r="AU1208" s="115"/>
      <c r="AV1208" s="113">
        <f>IFERROR(INDEX('Total Customers'!$F$7:$AB$91,MATCH($C1208,'Total Customers'!$D$7:$D$91,0),MATCH($G1208,'Total Customers'!$F$5:$AB$5,0)),"NA")</f>
        <v>1215966</v>
      </c>
      <c r="AW1208" s="68">
        <f t="shared" si="2113"/>
        <v>1.7787689208463855E-3</v>
      </c>
      <c r="AX1208" s="114"/>
      <c r="AY1208" s="114"/>
      <c r="AZ1208" s="116"/>
      <c r="BA1208" s="116"/>
      <c r="BB1208" s="166"/>
      <c r="BC1208" s="166"/>
      <c r="BD1208" s="166"/>
      <c r="BE1208" s="166"/>
      <c r="BF1208" s="166"/>
      <c r="BG1208" s="166"/>
      <c r="BH1208" s="166"/>
      <c r="BI1208" s="113"/>
      <c r="BJ1208" s="113"/>
      <c r="BK1208" s="113">
        <f>INDEX('Dist. Plant Gas Additions'!$F$7:$AE$91,MATCH($C1208,'Dist. Plant Gas Additions'!$D$7:$D$91,0),MATCH(Calculation!$G1208,'Dist. Plant Gas Additions'!$F$5:$AE$5,0))</f>
        <v>61448</v>
      </c>
      <c r="BL1208" s="113">
        <f>INDEX('Gen. Plant Additions'!$F$7:$AE$91,MATCH($C1208,'Gen. Plant Additions'!$D$7:$D$91,0),MATCH(Calculation!$G1208,'Gen. Plant Additions'!$F$5:$AE$5,0))</f>
        <v>3986</v>
      </c>
      <c r="BM1208" s="231">
        <f t="shared" si="2193"/>
        <v>0.90406427403208001</v>
      </c>
      <c r="BN1208" s="61">
        <f t="shared" ref="BN1208:BN1227" si="2208">+BM1208*BL1208</f>
        <v>3603.6001962918708</v>
      </c>
      <c r="BO1208" s="113">
        <f>INDEX('Dist Plant Depreciation'!$E$7:$AD$94,MATCH($C1208,'Dist Plant Depreciation'!$D$7:$D$94,0),MATCH(Calculation!$G1208,'Dist Plant Depreciation'!$E$5:$AD$5,0))</f>
        <v>411484</v>
      </c>
      <c r="BP1208" s="113">
        <f>INDEX('Gen. Plant Depreciation'!$E$7:$AD$94,MATCH($C1208,'Gen. Plant Depreciation'!$D$7:$D$94,0),MATCH(Calculation!$G1208,'Gen. Plant Depreciation'!$E$5:$AD$5,0))</f>
        <v>138844</v>
      </c>
      <c r="BQ1208" s="113"/>
      <c r="BR1208" s="113"/>
      <c r="BS1208" s="113"/>
      <c r="BT1208" s="113"/>
      <c r="BU1208" s="113"/>
      <c r="BV1208" s="175"/>
      <c r="BW1208" s="113">
        <f>INDEX('Gross Dx Plant'!$E$7:$AD$91,MATCH($C1208,'Gross Dx Plant'!$D$7:$D$91,0),MATCH(Calculation!$G1208,'Gross Dx Plant'!$E$5:$AD$5,0))</f>
        <v>1173536</v>
      </c>
      <c r="BX1208" s="113">
        <f>INDEX('Gross Gen Plant'!$E$7:$AD$91,MATCH($C1208,'Gross Gen Plant'!$D$7:$D$91,0),MATCH(Calculation!$G1208,'Gross Gen Plant'!$E$5:$AD$5,0))</f>
        <v>124531</v>
      </c>
      <c r="BY1208" s="113">
        <f t="shared" si="2187"/>
        <v>747739</v>
      </c>
      <c r="BZ1208" s="113"/>
      <c r="CA1208" s="116">
        <v>2003</v>
      </c>
      <c r="CB1208" s="113"/>
      <c r="CC1208" s="113"/>
      <c r="CD1208" s="113"/>
      <c r="CE1208" s="175"/>
      <c r="CF1208" s="113">
        <f t="shared" si="2194"/>
        <v>65434</v>
      </c>
      <c r="CG1208" s="113">
        <f t="shared" si="2195"/>
        <v>177.21600739503774</v>
      </c>
      <c r="CH1208" s="178">
        <v>0.97354497354497349</v>
      </c>
      <c r="CI1208" s="61">
        <f>+CI1203*CH1208+CG1204*CH1207+CG1205*CH1206+CG1206*CH1205+CG1207*CH1204+CG1208</f>
        <v>3787.8425789533258</v>
      </c>
      <c r="CJ1208" s="114">
        <f t="shared" si="2196"/>
        <v>4.2236495767700499E-2</v>
      </c>
      <c r="CK1208" s="114"/>
      <c r="CL1208" s="169">
        <f t="shared" si="2197"/>
        <v>5.6627041588663291E-3</v>
      </c>
      <c r="CM1208" s="169">
        <f t="shared" si="2205"/>
        <v>5.4884866309819228E-3</v>
      </c>
      <c r="CN1208" s="114">
        <f>VLOOKUP($H1208,RoR!$E:$F,2,FALSE)</f>
        <v>5.6666666666666671E-2</v>
      </c>
      <c r="CO1208" s="169">
        <v>1.8855119140166909E-2</v>
      </c>
      <c r="CP1208" s="169">
        <f t="shared" si="2203"/>
        <v>3.7811547526499761E-2</v>
      </c>
      <c r="CQ1208" s="169">
        <f t="shared" si="2206"/>
        <v>2.5413454977551701E-2</v>
      </c>
      <c r="CR1208" s="169">
        <f t="shared" si="2207"/>
        <v>2.1375012817671957E-2</v>
      </c>
      <c r="CS1208" s="179">
        <f t="shared" si="2198"/>
        <v>0.87050000000000005</v>
      </c>
      <c r="CT1208" s="180">
        <f t="shared" si="2199"/>
        <v>0.90497737556561086</v>
      </c>
      <c r="CU1208" s="180">
        <f t="shared" si="2200"/>
        <v>0.5338235294117647</v>
      </c>
      <c r="CV1208" s="180">
        <f t="shared" si="2201"/>
        <v>0.88972433127405692</v>
      </c>
      <c r="CW1208" s="180">
        <f t="shared" si="2202"/>
        <v>0.42982423775949252</v>
      </c>
      <c r="CX1208" s="181">
        <f>INDEX('State Tax Lookup'!$D$7:$Z$91,MATCH(Calculation!$C1208,'State Tax Lookup'!$B$7:$B$91,0),MATCH($H1208,'State Tax Lookup'!$D$6:$Z$6,0))</f>
        <v>0.35</v>
      </c>
      <c r="CY1208" s="72">
        <v>0.37</v>
      </c>
      <c r="CZ1208" s="70">
        <f t="shared" si="2204"/>
        <v>12.538027768798997</v>
      </c>
      <c r="DA1208" s="70"/>
      <c r="DB1208" s="69">
        <f t="shared" ref="DB1208:DB1225" si="2209">LN(CZ1208/CZ1207)</f>
        <v>1.527419502731522E-2</v>
      </c>
      <c r="DC1208" s="111">
        <f>VLOOKUP($H1208,RoR!$E:$F,2,FALSE)</f>
        <v>5.6666666666666671E-2</v>
      </c>
      <c r="DD1208" s="216">
        <f>HLOOKUP($H1208,'GDP-PI'!$D$8:$CQ$11,3,FALSE)</f>
        <v>1.8855119140166909E-2</v>
      </c>
      <c r="DE1208" s="111">
        <f>VLOOKUP(H1208,'HW Dx Data'!$E:$F,2,FALSE)</f>
        <v>369.23301095560191</v>
      </c>
      <c r="DF1208" s="66"/>
      <c r="DG1208" s="69"/>
      <c r="DH1208" s="66">
        <f>HLOOKUP(H1208,'GDP-PI'!$8:$9,2,FALSE)</f>
        <v>82.566999999999993</v>
      </c>
      <c r="DI1208" s="69">
        <f t="shared" ref="DI1208:DI1227" si="2210">LN(DH1208/DH1207)</f>
        <v>1.8679564681853753E-2</v>
      </c>
    </row>
    <row r="1209" spans="1:113" s="160" customFormat="1" ht="21">
      <c r="A1209" s="160" t="s">
        <v>231</v>
      </c>
      <c r="B1209" s="160" t="s">
        <v>231</v>
      </c>
      <c r="C1209" s="160">
        <v>4059746</v>
      </c>
      <c r="D1209" s="161" t="s">
        <v>177</v>
      </c>
      <c r="E1209" s="161"/>
      <c r="F1209" s="189"/>
      <c r="G1209" s="160" t="s">
        <v>115</v>
      </c>
      <c r="H1209" s="162">
        <v>2004</v>
      </c>
      <c r="I1209" s="163"/>
      <c r="J1209" s="159">
        <f>IFERROR(INDEX('Labor Expenditures'!$F$7:$X$91,MATCH($C1209,'Labor Expenditures'!$D$7:$D$91,0),MATCH($G1209,'Labor Expenditures'!$F$5:$X$5,0)),"NA")</f>
        <v>48343.436546285091</v>
      </c>
      <c r="K1209" s="159">
        <f t="shared" ref="K1209:K1227" si="2211">+J1209/DF1209</f>
        <v>512.38406514345627</v>
      </c>
      <c r="L1209" s="165"/>
      <c r="M1209" s="76"/>
      <c r="N1209" s="152"/>
      <c r="O1209" s="76"/>
      <c r="P1209" s="76"/>
      <c r="Q1209" s="159">
        <f>IFERROR(INDEX('Non-Labor Expenditures'!$F$7:$AB$91,MATCH($C1209,'Non-Labor Expenditures'!$D$7:$D$91,0),MATCH($G1209,'Non-Labor Expenditures'!$F$5:$AB$5,0)),"NA")</f>
        <v>70010.325427469419</v>
      </c>
      <c r="R1209" s="159">
        <f t="shared" ref="R1209:R1227" si="2212">+Q1209/DH1209</f>
        <v>825.80770279399621</v>
      </c>
      <c r="S1209" s="159"/>
      <c r="T1209" s="159"/>
      <c r="U1209" s="159"/>
      <c r="V1209" s="159"/>
      <c r="W1209" s="159">
        <f t="shared" si="2192"/>
        <v>52682.480723660432</v>
      </c>
      <c r="X1209" s="163"/>
      <c r="Y1209" s="167">
        <v>3908.6621476444902</v>
      </c>
      <c r="Z1209" s="168">
        <v>3.1398537085032568E-2</v>
      </c>
      <c r="AA1209" s="76">
        <f t="shared" ref="AA1209:AA1227" si="2213">+Z1209*$AR1209</f>
        <v>0</v>
      </c>
      <c r="AB1209" s="168"/>
      <c r="AC1209" s="168"/>
      <c r="AD1209" s="163">
        <f t="shared" si="2138"/>
        <v>171036.24269741494</v>
      </c>
      <c r="AE1209" s="168"/>
      <c r="AF1209" s="163"/>
      <c r="AG1209" s="163"/>
      <c r="AH1209" s="163"/>
      <c r="AI1209" s="163"/>
      <c r="AJ1209" s="167"/>
      <c r="AK1209" s="168"/>
      <c r="AL1209" s="115">
        <f t="shared" ref="AL1209:AL1227" si="2214">+J1209/AD1209</f>
        <v>0.28265024876517447</v>
      </c>
      <c r="AM1209" s="115">
        <f t="shared" ref="AM1209:AM1227" si="2215">+Q1209/AD1209</f>
        <v>0.40933035199636997</v>
      </c>
      <c r="AN1209" s="115">
        <f t="shared" ref="AN1209:AN1227" si="2216">+W1209/AD1209</f>
        <v>0.30801939923845556</v>
      </c>
      <c r="AO1209" s="115"/>
      <c r="AP1209" s="115"/>
      <c r="AQ1209" s="168"/>
      <c r="AR1209" s="115"/>
      <c r="AS1209" s="115"/>
      <c r="AT1209" s="115"/>
      <c r="AU1209" s="115"/>
      <c r="AV1209" s="113">
        <f>IFERROR(INDEX('Total Customers'!$F$7:$AB$91,MATCH($C1209,'Total Customers'!$D$7:$D$91,0),MATCH($G1209,'Total Customers'!$F$5:$AB$5,0)),"NA")</f>
        <v>1217546</v>
      </c>
      <c r="AW1209" s="68">
        <f t="shared" si="2113"/>
        <v>1.2985349749787855E-3</v>
      </c>
      <c r="AX1209" s="114"/>
      <c r="AY1209" s="114"/>
      <c r="AZ1209" s="116"/>
      <c r="BA1209" s="116"/>
      <c r="BB1209" s="166"/>
      <c r="BC1209" s="166"/>
      <c r="BD1209" s="166"/>
      <c r="BE1209" s="166"/>
      <c r="BF1209" s="166"/>
      <c r="BG1209" s="166"/>
      <c r="BH1209" s="166"/>
      <c r="BI1209" s="113"/>
      <c r="BJ1209" s="113"/>
      <c r="BK1209" s="113">
        <f>INDEX('Dist. Plant Gas Additions'!$F$7:$AE$91,MATCH($C1209,'Dist. Plant Gas Additions'!$D$7:$D$91,0),MATCH(Calculation!$G1209,'Dist. Plant Gas Additions'!$F$5:$AE$5,0))</f>
        <v>55008</v>
      </c>
      <c r="BL1209" s="113">
        <f>INDEX('Gen. Plant Additions'!$F$7:$AE$91,MATCH($C1209,'Gen. Plant Additions'!$D$7:$D$91,0),MATCH(Calculation!$G1209,'Gen. Plant Additions'!$F$5:$AE$5,0))</f>
        <v>4289</v>
      </c>
      <c r="BM1209" s="231">
        <f t="shared" si="2193"/>
        <v>0.90745687709509604</v>
      </c>
      <c r="BN1209" s="61">
        <f t="shared" si="2208"/>
        <v>3892.082545860867</v>
      </c>
      <c r="BO1209" s="113">
        <f>INDEX('Dist Plant Depreciation'!$E$7:$AD$94,MATCH($C1209,'Dist Plant Depreciation'!$D$7:$D$94,0),MATCH(Calculation!$G1209,'Dist Plant Depreciation'!$E$5:$AD$5,0))</f>
        <v>438381</v>
      </c>
      <c r="BP1209" s="113">
        <f>INDEX('Gen. Plant Depreciation'!$E$7:$AD$94,MATCH($C1209,'Gen. Plant Depreciation'!$D$7:$D$94,0),MATCH(Calculation!$G1209,'Gen. Plant Depreciation'!$E$5:$AD$5,0))</f>
        <v>140244</v>
      </c>
      <c r="BQ1209" s="113"/>
      <c r="BR1209" s="113"/>
      <c r="BS1209" s="113"/>
      <c r="BT1209" s="113"/>
      <c r="BU1209" s="113"/>
      <c r="BV1209" s="175"/>
      <c r="BW1209" s="113">
        <f>INDEX('Gross Dx Plant'!$E$7:$AD$91,MATCH($C1209,'Gross Dx Plant'!$D$7:$D$91,0),MATCH(Calculation!$G1209,'Gross Dx Plant'!$E$5:$AD$5,0))</f>
        <v>1226310</v>
      </c>
      <c r="BX1209" s="113">
        <f>INDEX('Gross Gen Plant'!$E$7:$AD$91,MATCH($C1209,'Gross Gen Plant'!$D$7:$D$91,0),MATCH(Calculation!$G1209,'Gross Gen Plant'!$E$5:$AD$5,0))</f>
        <v>125060</v>
      </c>
      <c r="BY1209" s="113">
        <f t="shared" si="2187"/>
        <v>772745</v>
      </c>
      <c r="BZ1209" s="113"/>
      <c r="CA1209" s="116">
        <v>2004</v>
      </c>
      <c r="CB1209" s="113"/>
      <c r="CC1209" s="113"/>
      <c r="CD1209" s="113"/>
      <c r="CE1209" s="175"/>
      <c r="CF1209" s="113">
        <f t="shared" si="2194"/>
        <v>59297</v>
      </c>
      <c r="CG1209" s="113">
        <f t="shared" si="2195"/>
        <v>142.92318788325883</v>
      </c>
      <c r="CH1209" s="178">
        <v>0.967741935483871</v>
      </c>
      <c r="CI1209" s="61">
        <f>+CI1203*CH1209+CG1204*CH1208+CG1205*CH1207+CG1206*CH1206+CG1207*CH1205+CG1208*CH1204+CG1209</f>
        <v>3908.6621476444902</v>
      </c>
      <c r="CJ1209" s="114">
        <f t="shared" si="2196"/>
        <v>3.1398537085032568E-2</v>
      </c>
      <c r="CK1209" s="114"/>
      <c r="CL1209" s="169">
        <f t="shared" si="2197"/>
        <v>5.8354112483212364E-3</v>
      </c>
      <c r="CM1209" s="169">
        <f t="shared" si="2205"/>
        <v>5.7354959063952706E-3</v>
      </c>
      <c r="CN1209" s="114">
        <f>VLOOKUP($H1209,RoR!$E:$F,2,FALSE)</f>
        <v>5.6283333333333331E-2</v>
      </c>
      <c r="CO1209" s="169">
        <v>2.6778252812867276E-2</v>
      </c>
      <c r="CP1209" s="169">
        <f t="shared" si="2203"/>
        <v>2.9505080520466055E-2</v>
      </c>
      <c r="CQ1209" s="169">
        <f t="shared" si="2206"/>
        <v>2.5166445702138353E-2</v>
      </c>
      <c r="CR1209" s="169">
        <f t="shared" si="2207"/>
        <v>5.5940039414565046E-2</v>
      </c>
      <c r="CS1209" s="179">
        <f t="shared" si="2198"/>
        <v>0.87050000000000005</v>
      </c>
      <c r="CT1209" s="180">
        <f t="shared" si="2199"/>
        <v>0.91114097628755619</v>
      </c>
      <c r="CU1209" s="180">
        <f t="shared" si="2200"/>
        <v>0.53081877405981637</v>
      </c>
      <c r="CV1209" s="180">
        <f t="shared" si="2201"/>
        <v>0.88811215519385678</v>
      </c>
      <c r="CW1209" s="180">
        <f t="shared" si="2202"/>
        <v>0.42953609753547711</v>
      </c>
      <c r="CX1209" s="181">
        <f>INDEX('State Tax Lookup'!$D$7:$Z$91,MATCH(Calculation!$C1209,'State Tax Lookup'!$B$7:$B$91,0),MATCH($H1209,'State Tax Lookup'!$D$6:$Z$6,0))</f>
        <v>0.35</v>
      </c>
      <c r="CY1209" s="72">
        <v>0.37</v>
      </c>
      <c r="CZ1209" s="70">
        <f t="shared" si="2204"/>
        <v>13.908307862735388</v>
      </c>
      <c r="DA1209" s="70"/>
      <c r="DB1209" s="69">
        <f t="shared" si="2209"/>
        <v>0.10372010193856701</v>
      </c>
      <c r="DC1209" s="111">
        <f>VLOOKUP($H1209,RoR!$E:$F,2,FALSE)</f>
        <v>5.6283333333333331E-2</v>
      </c>
      <c r="DD1209" s="216">
        <f>HLOOKUP($H1209,'GDP-PI'!$D$8:$CQ$11,3,FALSE)</f>
        <v>2.6778252812867276E-2</v>
      </c>
      <c r="DE1209" s="111">
        <f>VLOOKUP(H1209,'HW Dx Data'!$E:$F,2,FALSE)</f>
        <v>414.88719135228365</v>
      </c>
      <c r="DF1209" s="72">
        <f>VLOOKUP(G1209,EG$8:EH$27,2,FALSE)</f>
        <v>94.35</v>
      </c>
      <c r="DG1209" s="69"/>
      <c r="DH1209" s="66">
        <f>HLOOKUP(H1209,'GDP-PI'!$8:$9,2,FALSE)</f>
        <v>84.778000000000006</v>
      </c>
      <c r="DI1209" s="69">
        <f t="shared" si="2210"/>
        <v>2.6425990216022755E-2</v>
      </c>
    </row>
    <row r="1210" spans="1:113" s="160" customFormat="1" ht="21">
      <c r="A1210" s="160" t="s">
        <v>231</v>
      </c>
      <c r="B1210" s="160" t="s">
        <v>231</v>
      </c>
      <c r="C1210" s="160">
        <v>4059746</v>
      </c>
      <c r="D1210" s="161" t="s">
        <v>177</v>
      </c>
      <c r="E1210" s="161"/>
      <c r="F1210" s="189"/>
      <c r="G1210" s="160" t="s">
        <v>116</v>
      </c>
      <c r="H1210" s="162">
        <v>2005</v>
      </c>
      <c r="I1210" s="163"/>
      <c r="J1210" s="159">
        <f>IFERROR(INDEX('Labor Expenditures'!$F$7:$X$91,MATCH($C1210,'Labor Expenditures'!$D$7:$D$91,0),MATCH($G1210,'Labor Expenditures'!$F$5:$X$5,0)),"NA")</f>
        <v>55033.466797274566</v>
      </c>
      <c r="K1210" s="159">
        <f t="shared" si="2211"/>
        <v>554.63307429855956</v>
      </c>
      <c r="L1210" s="165">
        <f t="shared" ref="L1210:L1226" si="2217">LN(K1210/K1209)</f>
        <v>7.9232296647361977E-2</v>
      </c>
      <c r="M1210" s="76"/>
      <c r="N1210" s="62">
        <v>100</v>
      </c>
      <c r="O1210" s="77"/>
      <c r="P1210" s="77"/>
      <c r="Q1210" s="159">
        <f>IFERROR(INDEX('Non-Labor Expenditures'!$F$7:$AB$91,MATCH($C1210,'Non-Labor Expenditures'!$D$7:$D$91,0),MATCH($G1210,'Non-Labor Expenditures'!$F$5:$AB$5,0)),"NA")</f>
        <v>79698.738756194158</v>
      </c>
      <c r="R1210" s="159">
        <f t="shared" si="2212"/>
        <v>911.81185438459352</v>
      </c>
      <c r="S1210" s="165">
        <f>LN(R1210/R1209)</f>
        <v>9.9071727691198111E-2</v>
      </c>
      <c r="T1210" s="165"/>
      <c r="U1210" s="165"/>
      <c r="V1210" s="165"/>
      <c r="W1210" s="159">
        <f t="shared" si="2192"/>
        <v>61073.301931712442</v>
      </c>
      <c r="X1210" s="163"/>
      <c r="Y1210" s="167">
        <v>4027.3609193405409</v>
      </c>
      <c r="Z1210" s="168">
        <v>2.9916149001687337E-2</v>
      </c>
      <c r="AA1210" s="76">
        <f t="shared" si="2213"/>
        <v>0</v>
      </c>
      <c r="AB1210" s="168"/>
      <c r="AC1210" s="168"/>
      <c r="AD1210" s="163">
        <f t="shared" si="2138"/>
        <v>195805.50748518115</v>
      </c>
      <c r="AE1210" s="168">
        <f>LN(AD1210/AD1209)</f>
        <v>0.13524637817288884</v>
      </c>
      <c r="AF1210" s="163"/>
      <c r="AG1210" s="163"/>
      <c r="AH1210" s="163"/>
      <c r="AI1210" s="163"/>
      <c r="AJ1210" s="116"/>
      <c r="AK1210" s="114"/>
      <c r="AL1210" s="115">
        <f t="shared" si="2214"/>
        <v>0.2810618940401336</v>
      </c>
      <c r="AM1210" s="115">
        <f t="shared" si="2215"/>
        <v>0.40703011769076963</v>
      </c>
      <c r="AN1210" s="115">
        <f t="shared" si="2216"/>
        <v>0.31190798826909688</v>
      </c>
      <c r="AO1210" s="115">
        <f t="shared" ref="AO1210:AO1226" si="2218">+(((AL1210+AL1209)/2)*L1210+((AM1209+AM1210)/2)*S1210+((AN1209+AN1210)/2)*Z1210)</f>
        <v>7.2044144984037911E-2</v>
      </c>
      <c r="AP1210" s="166">
        <v>100</v>
      </c>
      <c r="AQ1210" s="168"/>
      <c r="AR1210" s="115"/>
      <c r="AS1210" s="115"/>
      <c r="AT1210" s="115"/>
      <c r="AU1210" s="115"/>
      <c r="AV1210" s="113">
        <f>IFERROR(INDEX('Total Customers'!$F$7:$AB$91,MATCH($C1210,'Total Customers'!$D$7:$D$91,0),MATCH($G1210,'Total Customers'!$F$5:$AB$5,0)),"NA")</f>
        <v>1218695</v>
      </c>
      <c r="AW1210" s="68">
        <f t="shared" si="2113"/>
        <v>9.4325650474801331E-4</v>
      </c>
      <c r="AX1210" s="114"/>
      <c r="AY1210" s="114"/>
      <c r="AZ1210" s="116"/>
      <c r="BA1210" s="116"/>
      <c r="BB1210" s="166"/>
      <c r="BC1210" s="166"/>
      <c r="BD1210" s="166"/>
      <c r="BE1210" s="166"/>
      <c r="BF1210" s="166"/>
      <c r="BG1210" s="166"/>
      <c r="BH1210" s="166"/>
      <c r="BI1210" s="113"/>
      <c r="BJ1210" s="113"/>
      <c r="BK1210" s="113">
        <f>INDEX('Dist. Plant Gas Additions'!$F$7:$AE$91,MATCH($C1210,'Dist. Plant Gas Additions'!$D$7:$D$91,0),MATCH(Calculation!$G1210,'Dist. Plant Gas Additions'!$F$5:$AE$5,0))</f>
        <v>58561</v>
      </c>
      <c r="BL1210" s="113">
        <f>INDEX('Gen. Plant Additions'!$F$7:$AE$91,MATCH($C1210,'Gen. Plant Additions'!$D$7:$D$91,0),MATCH(Calculation!$G1210,'Gen. Plant Additions'!$F$5:$AE$5,0))</f>
        <v>8175</v>
      </c>
      <c r="BM1210" s="231">
        <f t="shared" si="2193"/>
        <v>0.90779957602731565</v>
      </c>
      <c r="BN1210" s="61">
        <f t="shared" si="2208"/>
        <v>7421.2615340233051</v>
      </c>
      <c r="BO1210" s="113">
        <f>INDEX('Dist Plant Depreciation'!$E$7:$AD$94,MATCH($C1210,'Dist Plant Depreciation'!$D$7:$D$94,0),MATCH(Calculation!$G1210,'Dist Plant Depreciation'!$E$5:$AD$5,0))</f>
        <v>450655</v>
      </c>
      <c r="BP1210" s="113">
        <f>INDEX('Gen. Plant Depreciation'!$E$7:$AD$94,MATCH($C1210,'Gen. Plant Depreciation'!$D$7:$D$94,0),MATCH(Calculation!$G1210,'Gen. Plant Depreciation'!$E$5:$AD$5,0))</f>
        <v>82645</v>
      </c>
      <c r="BQ1210" s="113"/>
      <c r="BR1210" s="113"/>
      <c r="BS1210" s="113"/>
      <c r="BT1210" s="113"/>
      <c r="BU1210" s="113"/>
      <c r="BV1210" s="175"/>
      <c r="BW1210" s="113">
        <f>INDEX('Gross Dx Plant'!$E$7:$AD$91,MATCH($C1210,'Gross Dx Plant'!$D$7:$D$91,0),MATCH(Calculation!$G1210,'Gross Dx Plant'!$E$5:$AD$5,0))</f>
        <v>1265006</v>
      </c>
      <c r="BX1210" s="113">
        <f>INDEX('Gross Gen Plant'!$E$7:$AD$91,MATCH($C1210,'Gross Gen Plant'!$D$7:$D$91,0),MATCH(Calculation!$G1210,'Gross Gen Plant'!$E$5:$AD$5,0))</f>
        <v>128480</v>
      </c>
      <c r="BY1210" s="113">
        <f t="shared" si="2187"/>
        <v>860186</v>
      </c>
      <c r="BZ1210" s="113"/>
      <c r="CA1210" s="116">
        <v>2005</v>
      </c>
      <c r="CB1210" s="113"/>
      <c r="CC1210" s="113"/>
      <c r="CD1210" s="113"/>
      <c r="CE1210" s="175"/>
      <c r="CF1210" s="113">
        <f t="shared" si="2194"/>
        <v>66736</v>
      </c>
      <c r="CG1210" s="113">
        <f t="shared" si="2195"/>
        <v>142.23203085607599</v>
      </c>
      <c r="CH1210" s="178">
        <v>0.96174863387978138</v>
      </c>
      <c r="CI1210" s="61">
        <f>+CI1203*CH1210+CG1204*CH1209+CG1205*CH1208+CG1206*CH1207+CG1207*CH1206+CG1208*CH1205+CG1209*CH1204+CG1210</f>
        <v>4027.3609193405409</v>
      </c>
      <c r="CJ1210" s="114">
        <f t="shared" si="2196"/>
        <v>2.9916149001687337E-2</v>
      </c>
      <c r="CK1210" s="114"/>
      <c r="CL1210" s="169">
        <f t="shared" si="2197"/>
        <v>6.0207964441765169E-3</v>
      </c>
      <c r="CM1210" s="169">
        <f t="shared" si="2205"/>
        <v>5.8396372837880269E-3</v>
      </c>
      <c r="CN1210" s="114">
        <f>VLOOKUP($H1210,RoR!$E:$F,2,FALSE)</f>
        <v>5.2350000000000001E-2</v>
      </c>
      <c r="CO1210" s="169">
        <v>3.1010403642454332E-2</v>
      </c>
      <c r="CP1210" s="169">
        <f t="shared" si="2203"/>
        <v>2.1339596357545669E-2</v>
      </c>
      <c r="CQ1210" s="169">
        <f t="shared" si="2206"/>
        <v>2.5062304324745599E-2</v>
      </c>
      <c r="CR1210" s="169">
        <f t="shared" si="2207"/>
        <v>9.2129610649277341E-2</v>
      </c>
      <c r="CS1210" s="179">
        <f t="shared" si="2198"/>
        <v>0.87050000000000005</v>
      </c>
      <c r="CT1210" s="180">
        <f t="shared" si="2199"/>
        <v>0.97959983346802826</v>
      </c>
      <c r="CU1210" s="180">
        <f t="shared" si="2200"/>
        <v>0.49744508118433622</v>
      </c>
      <c r="CV1210" s="180">
        <f t="shared" si="2201"/>
        <v>0.87010519444335932</v>
      </c>
      <c r="CW1210" s="180">
        <f t="shared" si="2202"/>
        <v>0.42399975420741998</v>
      </c>
      <c r="CX1210" s="181">
        <f>INDEX('State Tax Lookup'!$D$7:$Z$91,MATCH(Calculation!$C1210,'State Tax Lookup'!$B$7:$B$91,0),MATCH($H1210,'State Tax Lookup'!$D$6:$Z$6,0))</f>
        <v>0.35</v>
      </c>
      <c r="CY1210" s="72">
        <v>0.37</v>
      </c>
      <c r="CZ1210" s="70">
        <f t="shared" si="2204"/>
        <v>15.625116631919072</v>
      </c>
      <c r="DA1210" s="70"/>
      <c r="DB1210" s="69">
        <f t="shared" si="2209"/>
        <v>0.11639331047851992</v>
      </c>
      <c r="DC1210" s="111">
        <f>VLOOKUP($H1210,RoR!$E:$F,2,FALSE)</f>
        <v>5.2350000000000001E-2</v>
      </c>
      <c r="DD1210" s="216">
        <f>HLOOKUP($H1210,'GDP-PI'!$D$8:$CQ$11,3,FALSE)</f>
        <v>3.1010403642454332E-2</v>
      </c>
      <c r="DE1210" s="111">
        <f>VLOOKUP(H1210,'HW Dx Data'!$E:$F,2,FALSE)</f>
        <v>469.20514034936258</v>
      </c>
      <c r="DF1210" s="72">
        <f t="shared" ref="DF1210:DF1228" si="2219">VLOOKUP(G1210,EG$8:EH$27,2,FALSE)</f>
        <v>99.224999999999994</v>
      </c>
      <c r="DG1210" s="69">
        <f t="shared" ref="DG1210:DG1228" si="2220">LN(DF1210/DF1209)</f>
        <v>5.0378726854569796E-2</v>
      </c>
      <c r="DH1210" s="66">
        <f>HLOOKUP(H1210,'GDP-PI'!$8:$9,2,FALSE)</f>
        <v>87.406999999999996</v>
      </c>
      <c r="DI1210" s="69">
        <f t="shared" si="2210"/>
        <v>3.0539295810733648E-2</v>
      </c>
    </row>
    <row r="1211" spans="1:113" s="160" customFormat="1" ht="21">
      <c r="A1211" s="160" t="s">
        <v>231</v>
      </c>
      <c r="B1211" s="160" t="s">
        <v>231</v>
      </c>
      <c r="C1211" s="160">
        <v>4059746</v>
      </c>
      <c r="D1211" s="161" t="s">
        <v>177</v>
      </c>
      <c r="E1211" s="161"/>
      <c r="F1211" s="189"/>
      <c r="G1211" s="160" t="s">
        <v>117</v>
      </c>
      <c r="H1211" s="162">
        <v>2006</v>
      </c>
      <c r="I1211" s="163"/>
      <c r="J1211" s="159">
        <f>IFERROR(INDEX('Labor Expenditures'!$F$7:$X$91,MATCH($C1211,'Labor Expenditures'!$D$7:$D$91,0),MATCH($G1211,'Labor Expenditures'!$F$5:$X$5,0)),"NA")</f>
        <v>58497.879170367589</v>
      </c>
      <c r="K1211" s="159">
        <f t="shared" si="2211"/>
        <v>534.71553172182439</v>
      </c>
      <c r="L1211" s="165">
        <f t="shared" si="2217"/>
        <v>-3.657187863846395E-2</v>
      </c>
      <c r="M1211" s="76">
        <f t="shared" ref="M1211:M1227" si="2221">+L1211*$AR1211</f>
        <v>-9.4034318497347952E-4</v>
      </c>
      <c r="N1211" s="62">
        <f>+N1210*EXP(O1211)</f>
        <v>115.47474775413251</v>
      </c>
      <c r="O1211" s="96">
        <f t="shared" ref="O1211:O1227" si="2222">+M1211+M1236+M1261+M1286+M1311+M1336+M1361+M1386+M1411+M1436+M1461+M1486+M1511+M1536+M1561+M1586+M1611+M1636+M1661+M1686+M1711+M1736+M1761+M1786+M1811+M1836+M1861+M1886+M1911+M1936+M1961+M1986+M2011+M2036+M2061+M2086+M2111+M2136+M2161+M2186+M2211+M2236+M2261+M2286+M2311+M2336+M2361+M2386+M2411+M2436+M2461+M2486+M2511+M2536</f>
        <v>0.14388168590646905</v>
      </c>
      <c r="P1211" s="96"/>
      <c r="Q1211" s="159">
        <f>IFERROR(INDEX('Non-Labor Expenditures'!$F$7:$AB$91,MATCH($C1211,'Non-Labor Expenditures'!$D$7:$D$91,0),MATCH($G1211,'Non-Labor Expenditures'!$F$5:$AB$5,0)),"NA")</f>
        <v>84715.854935408628</v>
      </c>
      <c r="R1211" s="159">
        <f t="shared" si="2212"/>
        <v>940.51396557728788</v>
      </c>
      <c r="S1211" s="165">
        <f t="shared" ref="S1211:S1226" si="2223">LN(R1211/R1210)</f>
        <v>3.0992828954833716E-2</v>
      </c>
      <c r="T1211" s="165">
        <f t="shared" ref="T1211:T1227" si="2224">+S1211*AR1211</f>
        <v>7.9689358533731271E-4</v>
      </c>
      <c r="U1211" s="165"/>
      <c r="V1211" s="165"/>
      <c r="W1211" s="159">
        <f t="shared" si="2192"/>
        <v>61445.700317113486</v>
      </c>
      <c r="X1211" s="163"/>
      <c r="Y1211" s="167">
        <v>4152.151576450864</v>
      </c>
      <c r="Z1211" s="168">
        <v>3.0515349329026348E-2</v>
      </c>
      <c r="AA1211" s="76">
        <f t="shared" si="2213"/>
        <v>7.8461653726630048E-4</v>
      </c>
      <c r="AB1211" s="168"/>
      <c r="AC1211" s="168"/>
      <c r="AD1211" s="163">
        <f t="shared" si="2138"/>
        <v>204659.4344228897</v>
      </c>
      <c r="AE1211" s="168">
        <f t="shared" ref="AE1211:AE1227" si="2225">LN(AD1211/AD1210)</f>
        <v>4.4225444341527358E-2</v>
      </c>
      <c r="AF1211" s="163"/>
      <c r="AG1211" s="163"/>
      <c r="AH1211" s="163"/>
      <c r="AI1211" s="163"/>
      <c r="AJ1211" s="116">
        <f t="shared" ref="AJ1211:AJ1227" si="2226">+(AD1211*1000)/AV1211</f>
        <v>168.3071168653718</v>
      </c>
      <c r="AK1211" s="114">
        <f>+AV1211/$AX$11</f>
        <v>3.5061626173693031E-2</v>
      </c>
      <c r="AL1211" s="115">
        <f t="shared" si="2214"/>
        <v>0.28583035683316155</v>
      </c>
      <c r="AM1211" s="115">
        <f t="shared" si="2215"/>
        <v>0.41393574244107151</v>
      </c>
      <c r="AN1211" s="115">
        <f t="shared" si="2216"/>
        <v>0.300233900725767</v>
      </c>
      <c r="AO1211" s="115">
        <f t="shared" si="2218"/>
        <v>1.1695731731204312E-2</v>
      </c>
      <c r="AP1211" s="166">
        <f>+AP1210*EXP(AO1211)</f>
        <v>101.17643942265082</v>
      </c>
      <c r="AQ1211" s="168">
        <f>LN(AP1211/AP1210)</f>
        <v>1.1695731731204279E-2</v>
      </c>
      <c r="AR1211" s="169">
        <f>+AD1211/$AF$11</f>
        <v>2.5712192536494066E-2</v>
      </c>
      <c r="AS1211" s="169">
        <f>+AR1211*AQ1211</f>
        <v>3.0072290612790747E-4</v>
      </c>
      <c r="AT1211" s="115"/>
      <c r="AU1211" s="115"/>
      <c r="AV1211" s="113">
        <f>IFERROR(INDEX('Total Customers'!$F$7:$AB$91,MATCH($C1211,'Total Customers'!$D$7:$D$91,0),MATCH($G1211,'Total Customers'!$F$5:$AB$5,0)),"NA")</f>
        <v>1215988</v>
      </c>
      <c r="AW1211" s="68">
        <f t="shared" si="2113"/>
        <v>-2.223699032254162E-3</v>
      </c>
      <c r="AX1211" s="114"/>
      <c r="AY1211" s="114"/>
      <c r="AZ1211" s="116"/>
      <c r="BA1211" s="116"/>
      <c r="BB1211" s="166"/>
      <c r="BC1211" s="166"/>
      <c r="BD1211" s="166"/>
      <c r="BE1211" s="166"/>
      <c r="BF1211" s="166"/>
      <c r="BG1211" s="166"/>
      <c r="BH1211" s="166"/>
      <c r="BI1211" s="113"/>
      <c r="BJ1211" s="113"/>
      <c r="BK1211" s="113">
        <f>INDEX('Dist. Plant Gas Additions'!$F$7:$AE$91,MATCH($C1211,'Dist. Plant Gas Additions'!$D$7:$D$91,0),MATCH(Calculation!$G1211,'Dist. Plant Gas Additions'!$F$5:$AE$5,0))</f>
        <v>61306</v>
      </c>
      <c r="BL1211" s="113">
        <f>INDEX('Gen. Plant Additions'!$F$7:$AE$91,MATCH($C1211,'Gen. Plant Additions'!$D$7:$D$91,0),MATCH(Calculation!$G1211,'Gen. Plant Additions'!$F$5:$AE$5,0))</f>
        <v>7768</v>
      </c>
      <c r="BM1211" s="231">
        <f t="shared" si="2193"/>
        <v>0.90801853672237043</v>
      </c>
      <c r="BN1211" s="61">
        <f t="shared" si="2208"/>
        <v>7053.4879932593731</v>
      </c>
      <c r="BO1211" s="113">
        <f>INDEX('Dist Plant Depreciation'!$E$7:$AD$94,MATCH($C1211,'Dist Plant Depreciation'!$D$7:$D$94,0),MATCH(Calculation!$G1211,'Dist Plant Depreciation'!$E$5:$AD$5,0))</f>
        <v>478599</v>
      </c>
      <c r="BP1211" s="113">
        <f>INDEX('Gen. Plant Depreciation'!$E$7:$AD$94,MATCH($C1211,'Gen. Plant Depreciation'!$D$7:$D$94,0),MATCH(Calculation!$G1211,'Gen. Plant Depreciation'!$E$5:$AD$5,0))</f>
        <v>76859</v>
      </c>
      <c r="BQ1211" s="113"/>
      <c r="BR1211" s="113"/>
      <c r="BS1211" s="113"/>
      <c r="BT1211" s="113"/>
      <c r="BU1211" s="113"/>
      <c r="BV1211" s="175"/>
      <c r="BW1211" s="113">
        <f>INDEX('Gross Dx Plant'!$E$7:$AD$91,MATCH($C1211,'Gross Dx Plant'!$D$7:$D$91,0),MATCH(Calculation!$G1211,'Gross Dx Plant'!$E$5:$AD$5,0))</f>
        <v>1325530</v>
      </c>
      <c r="BX1211" s="113">
        <f>INDEX('Gross Gen Plant'!$E$7:$AD$91,MATCH($C1211,'Gross Gen Plant'!$D$7:$D$91,0),MATCH(Calculation!$G1211,'Gross Gen Plant'!$E$5:$AD$5,0))</f>
        <v>134275</v>
      </c>
      <c r="BY1211" s="113">
        <f t="shared" si="2187"/>
        <v>904347</v>
      </c>
      <c r="BZ1211" s="114"/>
      <c r="CA1211" s="116">
        <v>2006</v>
      </c>
      <c r="CB1211" s="113"/>
      <c r="CC1211" s="113"/>
      <c r="CD1211" s="113"/>
      <c r="CE1211" s="175"/>
      <c r="CF1211" s="113">
        <f t="shared" si="2194"/>
        <v>69074</v>
      </c>
      <c r="CG1211" s="113">
        <f t="shared" si="2195"/>
        <v>149.80730064993838</v>
      </c>
      <c r="CH1211" s="178">
        <v>0.9555555555555556</v>
      </c>
      <c r="CI1211" s="61">
        <f>+CI1203*CH1211+CG1204*CH1210+CG1205*CH1209+CG1206*CH1208+CG1207*CH1207+CG1208*CH1206+CG1209*CH1205+CG1210*CH1204+CG1211</f>
        <v>4152.151576450864</v>
      </c>
      <c r="CJ1211" s="114">
        <f t="shared" si="2196"/>
        <v>3.0515349329026348E-2</v>
      </c>
      <c r="CK1211" s="114"/>
      <c r="CL1211" s="169">
        <f t="shared" si="2197"/>
        <v>6.2116716233397941E-3</v>
      </c>
      <c r="CM1211" s="169">
        <f t="shared" si="2205"/>
        <v>6.0226264386125166E-3</v>
      </c>
      <c r="CN1211" s="114">
        <f>VLOOKUP($H1211,RoR!$E:$F,2,FALSE)</f>
        <v>5.5874999999999994E-2</v>
      </c>
      <c r="CO1211" s="169">
        <v>3.0512430354548314E-2</v>
      </c>
      <c r="CP1211" s="169">
        <f t="shared" si="2203"/>
        <v>2.536256964545168E-2</v>
      </c>
      <c r="CQ1211" s="169">
        <f t="shared" si="2206"/>
        <v>2.4879315169921108E-2</v>
      </c>
      <c r="CR1211" s="169">
        <f t="shared" si="2207"/>
        <v>7.9087823893859641E-2</v>
      </c>
      <c r="CS1211" s="179">
        <f t="shared" si="2198"/>
        <v>0.87050000000000005</v>
      </c>
      <c r="CT1211" s="180">
        <f t="shared" si="2199"/>
        <v>0.91779957551769631</v>
      </c>
      <c r="CU1211" s="180">
        <f t="shared" si="2200"/>
        <v>0.52757270693512304</v>
      </c>
      <c r="CV1211" s="180">
        <f t="shared" si="2201"/>
        <v>0.88636824549024895</v>
      </c>
      <c r="CW1211" s="180">
        <f t="shared" si="2202"/>
        <v>0.42918482841932087</v>
      </c>
      <c r="CX1211" s="181">
        <f>INDEX('State Tax Lookup'!$D$7:$Z$91,MATCH(Calculation!$C1211,'State Tax Lookup'!$B$7:$B$91,0),MATCH($H1211,'State Tax Lookup'!$D$6:$Z$6,0))</f>
        <v>0.35</v>
      </c>
      <c r="CY1211" s="72">
        <v>0.37</v>
      </c>
      <c r="CZ1211" s="70">
        <f t="shared" si="2204"/>
        <v>15.257063259970973</v>
      </c>
      <c r="DA1211" s="70">
        <v>14.788696346247992</v>
      </c>
      <c r="DB1211" s="69">
        <f t="shared" si="2209"/>
        <v>-2.3837099623355677E-2</v>
      </c>
      <c r="DC1211" s="111">
        <f>VLOOKUP($H1211,RoR!$E:$F,2,FALSE)</f>
        <v>5.5874999999999994E-2</v>
      </c>
      <c r="DD1211" s="216">
        <f>HLOOKUP($H1211,'GDP-PI'!$D$8:$CQ$11,3,FALSE)</f>
        <v>3.0512430354548314E-2</v>
      </c>
      <c r="DE1211" s="111">
        <f>VLOOKUP(H1211,'HW Dx Data'!$E:$F,2,FALSE)</f>
        <v>461.08567272971823</v>
      </c>
      <c r="DF1211" s="72">
        <f t="shared" si="2219"/>
        <v>109.4</v>
      </c>
      <c r="DG1211" s="69">
        <f t="shared" si="2220"/>
        <v>9.7620891318751846E-2</v>
      </c>
      <c r="DH1211" s="66">
        <f>HLOOKUP(H1211,'GDP-PI'!$8:$9,2,FALSE)</f>
        <v>90.073999999999998</v>
      </c>
      <c r="DI1211" s="69">
        <f t="shared" si="2210"/>
        <v>3.005618372545445E-2</v>
      </c>
    </row>
    <row r="1212" spans="1:113" s="160" customFormat="1" ht="21">
      <c r="A1212" s="160" t="s">
        <v>231</v>
      </c>
      <c r="B1212" s="160" t="s">
        <v>231</v>
      </c>
      <c r="C1212" s="160">
        <v>4059746</v>
      </c>
      <c r="D1212" s="161" t="s">
        <v>177</v>
      </c>
      <c r="E1212" s="161"/>
      <c r="F1212" s="189"/>
      <c r="G1212" s="160" t="s">
        <v>118</v>
      </c>
      <c r="H1212" s="162">
        <v>2007</v>
      </c>
      <c r="I1212" s="163"/>
      <c r="J1212" s="159">
        <f>IFERROR(INDEX('Labor Expenditures'!$F$7:$X$91,MATCH($C1212,'Labor Expenditures'!$D$7:$D$91,0),MATCH($G1212,'Labor Expenditures'!$F$5:$X$5,0)),"NA")</f>
        <v>60021.416821556013</v>
      </c>
      <c r="K1212" s="159">
        <f t="shared" si="2211"/>
        <v>574.23024942890231</v>
      </c>
      <c r="L1212" s="165">
        <f t="shared" si="2217"/>
        <v>7.1295558220205391E-2</v>
      </c>
      <c r="M1212" s="76">
        <f t="shared" si="2221"/>
        <v>1.8227843753225166E-3</v>
      </c>
      <c r="N1212" s="62">
        <f t="shared" ref="N1212:N1225" si="2227">+N1211*EXP(O1212)</f>
        <v>119.91558737534177</v>
      </c>
      <c r="O1212" s="96">
        <f t="shared" si="2222"/>
        <v>3.7736184819690308E-2</v>
      </c>
      <c r="P1212" s="96"/>
      <c r="Q1212" s="159">
        <f>IFERROR(INDEX('Non-Labor Expenditures'!$F$7:$AB$91,MATCH($C1212,'Non-Labor Expenditures'!$D$7:$D$91,0),MATCH($G1212,'Non-Labor Expenditures'!$F$5:$AB$5,0)),"NA")</f>
        <v>86922.222011910955</v>
      </c>
      <c r="R1212" s="159">
        <f t="shared" si="2212"/>
        <v>939.72001569667395</v>
      </c>
      <c r="S1212" s="165">
        <f t="shared" si="2223"/>
        <v>-8.4452247508502915E-4</v>
      </c>
      <c r="T1212" s="165">
        <f t="shared" si="2224"/>
        <v>-2.159156068936458E-5</v>
      </c>
      <c r="U1212" s="165"/>
      <c r="V1212" s="165"/>
      <c r="W1212" s="159">
        <f t="shared" si="2192"/>
        <v>68013.772582258767</v>
      </c>
      <c r="X1212" s="163"/>
      <c r="Y1212" s="167">
        <v>4264.4146378450969</v>
      </c>
      <c r="Z1212" s="168">
        <v>2.6678271607232244E-2</v>
      </c>
      <c r="AA1212" s="76">
        <f t="shared" si="2213"/>
        <v>6.8207245809167E-4</v>
      </c>
      <c r="AB1212" s="168"/>
      <c r="AC1212" s="168"/>
      <c r="AD1212" s="163">
        <f t="shared" si="2138"/>
        <v>214957.41141572574</v>
      </c>
      <c r="AE1212" s="168">
        <f t="shared" si="2225"/>
        <v>4.9092619908769647E-2</v>
      </c>
      <c r="AF1212" s="163"/>
      <c r="AG1212" s="163"/>
      <c r="AH1212" s="163"/>
      <c r="AI1212" s="163"/>
      <c r="AJ1212" s="116">
        <f t="shared" si="2226"/>
        <v>177.67703769047301</v>
      </c>
      <c r="AK1212" s="114">
        <f>+AV1212/$AX$12</f>
        <v>3.4621165092157867E-2</v>
      </c>
      <c r="AL1212" s="115">
        <f t="shared" si="2214"/>
        <v>0.27922469118999166</v>
      </c>
      <c r="AM1212" s="115">
        <f t="shared" si="2215"/>
        <v>0.40436950482160461</v>
      </c>
      <c r="AN1212" s="115">
        <f t="shared" si="2216"/>
        <v>0.31640580398840368</v>
      </c>
      <c r="AO1212" s="115">
        <f t="shared" si="2218"/>
        <v>2.8022859713665235E-2</v>
      </c>
      <c r="AP1212" s="166">
        <f>+AP1211*EXP(AO1212)</f>
        <v>104.05179223436988</v>
      </c>
      <c r="AQ1212" s="168">
        <f>LN(AP1212/AP1211)</f>
        <v>2.8022859713665211E-2</v>
      </c>
      <c r="AR1212" s="169">
        <f>+AD1212/$AF$12</f>
        <v>2.5566590974610445E-2</v>
      </c>
      <c r="AS1212" s="169">
        <f t="shared" ref="AS1212:AS1226" si="2228">+AR1212*AQ1212</f>
        <v>7.1644899223816756E-4</v>
      </c>
      <c r="AT1212" s="115"/>
      <c r="AU1212" s="115"/>
      <c r="AV1212" s="113">
        <f>IFERROR(INDEX('Total Customers'!$F$7:$AB$91,MATCH($C1212,'Total Customers'!$D$7:$D$91,0),MATCH($G1212,'Total Customers'!$F$5:$AB$5,0)),"NA")</f>
        <v>1209821</v>
      </c>
      <c r="AW1212" s="68">
        <f t="shared" si="2113"/>
        <v>-5.084500293173538E-3</v>
      </c>
      <c r="AX1212" s="114"/>
      <c r="AY1212" s="114"/>
      <c r="AZ1212" s="116"/>
      <c r="BA1212" s="116"/>
      <c r="BB1212" s="166"/>
      <c r="BC1212" s="166"/>
      <c r="BD1212" s="166"/>
      <c r="BE1212" s="166"/>
      <c r="BF1212" s="166"/>
      <c r="BG1212" s="166"/>
      <c r="BH1212" s="166"/>
      <c r="BI1212" s="113"/>
      <c r="BJ1212" s="113"/>
      <c r="BK1212" s="113">
        <f>INDEX('Dist. Plant Gas Additions'!$F$7:$AE$91,MATCH($C1212,'Dist. Plant Gas Additions'!$D$7:$D$91,0),MATCH(Calculation!$G1212,'Dist. Plant Gas Additions'!$F$5:$AE$5,0))</f>
        <v>66456</v>
      </c>
      <c r="BL1212" s="113">
        <f>INDEX('Gen. Plant Additions'!$F$7:$AE$91,MATCH($C1212,'Gen. Plant Additions'!$D$7:$D$91,0),MATCH(Calculation!$G1212,'Gen. Plant Additions'!$F$5:$AE$5,0))</f>
        <v>2700</v>
      </c>
      <c r="BM1212" s="231">
        <f t="shared" si="2193"/>
        <v>0.91278544258303829</v>
      </c>
      <c r="BN1212" s="61">
        <f t="shared" si="2208"/>
        <v>2464.5206949742033</v>
      </c>
      <c r="BO1212" s="113">
        <f>INDEX('Dist Plant Depreciation'!$E$7:$AD$94,MATCH($C1212,'Dist Plant Depreciation'!$D$7:$D$94,0),MATCH(Calculation!$G1212,'Dist Plant Depreciation'!$E$5:$AD$5,0))</f>
        <v>513518</v>
      </c>
      <c r="BP1212" s="113">
        <f>INDEX('Gen. Plant Depreciation'!$E$7:$AD$94,MATCH($C1212,'Gen. Plant Depreciation'!$D$7:$D$94,0),MATCH(Calculation!$G1212,'Gen. Plant Depreciation'!$E$5:$AD$5,0))</f>
        <v>83528</v>
      </c>
      <c r="BQ1212" s="113"/>
      <c r="BR1212" s="113"/>
      <c r="BS1212" s="113"/>
      <c r="BT1212" s="113"/>
      <c r="BU1212" s="113"/>
      <c r="BV1212" s="175"/>
      <c r="BW1212" s="113">
        <f>INDEX('Gross Dx Plant'!$E$7:$AD$91,MATCH($C1212,'Gross Dx Plant'!$D$7:$D$91,0),MATCH(Calculation!$G1212,'Gross Dx Plant'!$E$5:$AD$5,0))</f>
        <v>1400672</v>
      </c>
      <c r="BX1212" s="113">
        <f>INDEX('Gross Gen Plant'!$E$7:$AD$91,MATCH($C1212,'Gross Gen Plant'!$D$7:$D$91,0),MATCH(Calculation!$G1212,'Gross Gen Plant'!$E$5:$AD$5,0))</f>
        <v>133831</v>
      </c>
      <c r="BY1212" s="113">
        <f t="shared" si="2187"/>
        <v>937457</v>
      </c>
      <c r="BZ1212" s="113"/>
      <c r="CA1212" s="116">
        <v>2007</v>
      </c>
      <c r="CB1212" s="113"/>
      <c r="CC1212" s="113"/>
      <c r="CD1212" s="113"/>
      <c r="CE1212" s="175"/>
      <c r="CF1212" s="113">
        <f t="shared" si="2194"/>
        <v>69156</v>
      </c>
      <c r="CG1212" s="113">
        <f t="shared" si="2195"/>
        <v>138.86124747989768</v>
      </c>
      <c r="CH1212" s="178">
        <v>0.94915254237288138</v>
      </c>
      <c r="CI1212" s="61">
        <f>+CI1203*CH1212+CG1204*CH1211+CG1205*CH1210+CG1206*CH1209+CG1207*CH1208+CG1208*CH1207+CG1209*CH1206+CG1210*CH1205+CG1211*CH1204+CG1212</f>
        <v>4264.4146378450969</v>
      </c>
      <c r="CJ1212" s="114">
        <f t="shared" si="2196"/>
        <v>2.6678271607232244E-2</v>
      </c>
      <c r="CK1212" s="114"/>
      <c r="CL1212" s="169">
        <f t="shared" si="2197"/>
        <v>6.4058803239548786E-3</v>
      </c>
      <c r="CM1212" s="169">
        <f t="shared" si="2205"/>
        <v>6.2127827971570626E-3</v>
      </c>
      <c r="CN1212" s="114">
        <f>VLOOKUP($H1212,RoR!$E:$F,2,FALSE)</f>
        <v>5.5558333333333321E-2</v>
      </c>
      <c r="CO1212" s="169">
        <v>2.691120634145272E-2</v>
      </c>
      <c r="CP1212" s="169">
        <f t="shared" si="2203"/>
        <v>2.86471269918806E-2</v>
      </c>
      <c r="CQ1212" s="169">
        <f t="shared" si="2206"/>
        <v>2.4689158811376562E-2</v>
      </c>
      <c r="CR1212" s="169">
        <f t="shared" si="2207"/>
        <v>6.4575155250632399E-2</v>
      </c>
      <c r="CS1212" s="179">
        <f t="shared" si="2198"/>
        <v>0.87050000000000005</v>
      </c>
      <c r="CT1212" s="180">
        <f t="shared" si="2199"/>
        <v>0.92303077153834634</v>
      </c>
      <c r="CU1212" s="180">
        <f t="shared" si="2200"/>
        <v>0.52502249887505614</v>
      </c>
      <c r="CV1212" s="180">
        <f t="shared" si="2201"/>
        <v>0.88499666072084604</v>
      </c>
      <c r="CW1212" s="180">
        <f t="shared" si="2202"/>
        <v>0.42887993290280618</v>
      </c>
      <c r="CX1212" s="181">
        <f>INDEX('State Tax Lookup'!$D$7:$Z$91,MATCH(Calculation!$C1212,'State Tax Lookup'!$B$7:$B$91,0),MATCH($H1212,'State Tax Lookup'!$D$6:$Z$6,0))</f>
        <v>0.35</v>
      </c>
      <c r="CY1212" s="72">
        <v>0.37</v>
      </c>
      <c r="CZ1212" s="70">
        <f t="shared" si="2204"/>
        <v>16.380368425854751</v>
      </c>
      <c r="DA1212" s="70">
        <v>16.108943221861779</v>
      </c>
      <c r="DB1212" s="69">
        <f t="shared" si="2209"/>
        <v>7.1041010178826247E-2</v>
      </c>
      <c r="DC1212" s="111">
        <f>VLOOKUP($H1212,RoR!$E:$F,2,FALSE)</f>
        <v>5.5558333333333321E-2</v>
      </c>
      <c r="DD1212" s="216">
        <f>HLOOKUP($H1212,'GDP-PI'!$D$8:$CQ$11,3,FALSE)</f>
        <v>2.691120634145272E-2</v>
      </c>
      <c r="DE1212" s="111">
        <f>VLOOKUP(H1212,'HW Dx Data'!$E:$F,2,FALSE)</f>
        <v>498.0223154772637</v>
      </c>
      <c r="DF1212" s="72">
        <f t="shared" si="2219"/>
        <v>104.52499999999999</v>
      </c>
      <c r="DG1212" s="69">
        <f t="shared" si="2220"/>
        <v>-4.5584612745252218E-2</v>
      </c>
      <c r="DH1212" s="66">
        <f>HLOOKUP(H1212,'GDP-PI'!$8:$9,2,FALSE)</f>
        <v>92.498000000000005</v>
      </c>
      <c r="DI1212" s="69">
        <f t="shared" si="2210"/>
        <v>2.6555467950038037E-2</v>
      </c>
    </row>
    <row r="1213" spans="1:113" s="160" customFormat="1" ht="21">
      <c r="A1213" s="160" t="s">
        <v>231</v>
      </c>
      <c r="B1213" s="160" t="s">
        <v>231</v>
      </c>
      <c r="C1213" s="160">
        <v>4059746</v>
      </c>
      <c r="D1213" s="161" t="s">
        <v>177</v>
      </c>
      <c r="E1213" s="161"/>
      <c r="F1213" s="189"/>
      <c r="G1213" s="160" t="s">
        <v>120</v>
      </c>
      <c r="H1213" s="162">
        <v>2008</v>
      </c>
      <c r="I1213" s="163"/>
      <c r="J1213" s="159">
        <f>IFERROR(INDEX('Labor Expenditures'!$F$7:$X$91,MATCH($C1213,'Labor Expenditures'!$D$7:$D$91,0),MATCH($G1213,'Labor Expenditures'!$F$5:$X$5,0)),"NA")</f>
        <v>65992.14568423164</v>
      </c>
      <c r="K1213" s="159">
        <f t="shared" si="2211"/>
        <v>611.60468660084928</v>
      </c>
      <c r="L1213" s="165">
        <f t="shared" si="2217"/>
        <v>6.3055689581364829E-2</v>
      </c>
      <c r="M1213" s="76">
        <f t="shared" si="2221"/>
        <v>1.689722715498141E-3</v>
      </c>
      <c r="N1213" s="62">
        <f t="shared" si="2227"/>
        <v>113.84031896485338</v>
      </c>
      <c r="O1213" s="96">
        <f t="shared" si="2222"/>
        <v>-5.199130106681988E-2</v>
      </c>
      <c r="P1213" s="96"/>
      <c r="Q1213" s="159">
        <f>IFERROR(INDEX('Non-Labor Expenditures'!$F$7:$AB$91,MATCH($C1213,'Non-Labor Expenditures'!$D$7:$D$91,0),MATCH($G1213,'Non-Labor Expenditures'!$F$5:$AB$5,0)),"NA")</f>
        <v>95568.952583389691</v>
      </c>
      <c r="R1213" s="159">
        <f t="shared" si="2212"/>
        <v>1013.8435944092092</v>
      </c>
      <c r="S1213" s="165">
        <f t="shared" si="2223"/>
        <v>7.5921950854793169E-2</v>
      </c>
      <c r="T1213" s="165">
        <f t="shared" si="2224"/>
        <v>2.0345038776991009E-3</v>
      </c>
      <c r="U1213" s="165"/>
      <c r="V1213" s="165"/>
      <c r="W1213" s="159">
        <f t="shared" si="2192"/>
        <v>79319.477483726281</v>
      </c>
      <c r="X1213" s="163"/>
      <c r="Y1213" s="167">
        <v>4435.0567688288047</v>
      </c>
      <c r="Z1213" s="168">
        <v>3.9235492209710982E-2</v>
      </c>
      <c r="AA1213" s="76">
        <f t="shared" si="2213"/>
        <v>1.0514055572249602E-3</v>
      </c>
      <c r="AB1213" s="168"/>
      <c r="AC1213" s="168"/>
      <c r="AD1213" s="163">
        <f t="shared" si="2138"/>
        <v>240880.57575134761</v>
      </c>
      <c r="AE1213" s="168">
        <f t="shared" si="2225"/>
        <v>0.11386135230303587</v>
      </c>
      <c r="AF1213" s="163"/>
      <c r="AG1213" s="163"/>
      <c r="AH1213" s="163"/>
      <c r="AI1213" s="163"/>
      <c r="AJ1213" s="116">
        <f t="shared" si="2226"/>
        <v>200.51909059993889</v>
      </c>
      <c r="AK1213" s="114">
        <f>+AV1213/$AX$13</f>
        <v>3.4193093683045218E-2</v>
      </c>
      <c r="AL1213" s="115">
        <f t="shared" si="2214"/>
        <v>0.27396208880019024</v>
      </c>
      <c r="AM1213" s="115">
        <f t="shared" si="2215"/>
        <v>0.39674827364262905</v>
      </c>
      <c r="AN1213" s="115">
        <f t="shared" si="2216"/>
        <v>0.32928963755718077</v>
      </c>
      <c r="AO1213" s="115">
        <f t="shared" si="2218"/>
        <v>6.0519088475822984E-2</v>
      </c>
      <c r="AP1213" s="166">
        <f t="shared" ref="AP1213:AP1226" si="2229">+AP1212*EXP(AO1213)</f>
        <v>110.54336262307974</v>
      </c>
      <c r="AQ1213" s="168">
        <f t="shared" ref="AQ1213:AQ1226" si="2230">LN(AP1213/AP1212)</f>
        <v>6.0519088475822949E-2</v>
      </c>
      <c r="AR1213" s="169">
        <f>+AD1213/$AF$13</f>
        <v>2.6797307692873341E-2</v>
      </c>
      <c r="AS1213" s="169">
        <f t="shared" si="2228"/>
        <v>1.6217486351788528E-3</v>
      </c>
      <c r="AT1213" s="115"/>
      <c r="AU1213" s="115"/>
      <c r="AV1213" s="113">
        <f>IFERROR(INDEX('Total Customers'!$F$7:$AB$91,MATCH($C1213,'Total Customers'!$D$7:$D$91,0),MATCH($G1213,'Total Customers'!$F$5:$AB$5,0)),"NA")</f>
        <v>1201285</v>
      </c>
      <c r="AW1213" s="68">
        <f t="shared" si="2113"/>
        <v>-7.0805975868077249E-3</v>
      </c>
      <c r="AX1213" s="114"/>
      <c r="AY1213" s="114"/>
      <c r="AZ1213" s="116"/>
      <c r="BA1213" s="116"/>
      <c r="BB1213" s="166"/>
      <c r="BC1213" s="166"/>
      <c r="BD1213" s="166"/>
      <c r="BE1213" s="166"/>
      <c r="BF1213" s="166"/>
      <c r="BG1213" s="166"/>
      <c r="BH1213" s="166"/>
      <c r="BI1213" s="113"/>
      <c r="BJ1213" s="113"/>
      <c r="BK1213" s="113">
        <f>INDEX('Dist. Plant Gas Additions'!$F$7:$AE$91,MATCH($C1213,'Dist. Plant Gas Additions'!$D$7:$D$91,0),MATCH(Calculation!$G1213,'Dist. Plant Gas Additions'!$F$5:$AE$5,0))</f>
        <v>107979</v>
      </c>
      <c r="BL1213" s="113">
        <f>INDEX('Gen. Plant Additions'!$F$7:$AE$91,MATCH($C1213,'Gen. Plant Additions'!$D$7:$D$91,0),MATCH(Calculation!$G1213,'Gen. Plant Additions'!$F$5:$AE$5,0))</f>
        <v>5332</v>
      </c>
      <c r="BM1213" s="231">
        <f t="shared" si="2193"/>
        <v>0.91705718625338439</v>
      </c>
      <c r="BN1213" s="61">
        <f t="shared" si="2208"/>
        <v>4889.7489171030456</v>
      </c>
      <c r="BO1213" s="113">
        <f>INDEX('Dist Plant Depreciation'!$E$7:$AD$94,MATCH($C1213,'Dist Plant Depreciation'!$D$7:$D$94,0),MATCH(Calculation!$G1213,'Dist Plant Depreciation'!$E$5:$AD$5,0))</f>
        <v>567057</v>
      </c>
      <c r="BP1213" s="113">
        <f>INDEX('Gen. Plant Depreciation'!$E$7:$AD$94,MATCH($C1213,'Gen. Plant Depreciation'!$D$7:$D$94,0),MATCH(Calculation!$G1213,'Gen. Plant Depreciation'!$E$5:$AD$5,0))</f>
        <v>89350</v>
      </c>
      <c r="BQ1213" s="113"/>
      <c r="BR1213" s="113"/>
      <c r="BS1213" s="113"/>
      <c r="BT1213" s="113"/>
      <c r="BU1213" s="113"/>
      <c r="BV1213" s="175"/>
      <c r="BW1213" s="113">
        <f>INDEX('Gross Dx Plant'!$E$7:$AD$91,MATCH($C1213,'Gross Dx Plant'!$D$7:$D$91,0),MATCH(Calculation!$G1213,'Gross Dx Plant'!$E$5:$AD$5,0))</f>
        <v>1499781</v>
      </c>
      <c r="BX1213" s="113">
        <f>INDEX('Gross Gen Plant'!$E$7:$AD$91,MATCH($C1213,'Gross Gen Plant'!$D$7:$D$91,0),MATCH(Calculation!$G1213,'Gross Gen Plant'!$E$5:$AD$5,0))</f>
        <v>135647</v>
      </c>
      <c r="BY1213" s="113">
        <f t="shared" si="2187"/>
        <v>979021</v>
      </c>
      <c r="BZ1213" s="113"/>
      <c r="CA1213" s="116">
        <v>2008</v>
      </c>
      <c r="CB1213" s="113"/>
      <c r="CC1213" s="113"/>
      <c r="CD1213" s="113"/>
      <c r="CE1213" s="175"/>
      <c r="CF1213" s="113">
        <f t="shared" si="2194"/>
        <v>113311</v>
      </c>
      <c r="CG1213" s="113">
        <f t="shared" si="2195"/>
        <v>198.83266782070206</v>
      </c>
      <c r="CH1213" s="178">
        <v>0.94252873563218387</v>
      </c>
      <c r="CI1213" s="61">
        <f>+CI1203*CH1213+CG1204*CH1212+CG1205*CH1211+CG1206*CH1210+CG1207*CH1209+CG1208*CH1208+CG1209*CH1207+CG1210*CH1206+CG1211*CH1205+CG1212*CH1204+CG1213</f>
        <v>4435.0567688288047</v>
      </c>
      <c r="CJ1213" s="114">
        <f t="shared" si="2196"/>
        <v>3.9235492209710982E-2</v>
      </c>
      <c r="CK1213" s="114"/>
      <c r="CL1213" s="169">
        <f t="shared" si="2197"/>
        <v>6.610646297574743E-3</v>
      </c>
      <c r="CM1213" s="169">
        <f t="shared" si="2205"/>
        <v>6.4093994149564716E-3</v>
      </c>
      <c r="CN1213" s="114">
        <f>VLOOKUP($H1213,RoR!$E:$F,2,FALSE)</f>
        <v>5.6316666666666668E-2</v>
      </c>
      <c r="CO1213" s="169">
        <v>1.9092304698479889E-2</v>
      </c>
      <c r="CP1213" s="169">
        <f t="shared" si="2203"/>
        <v>3.7224361968186778E-2</v>
      </c>
      <c r="CQ1213" s="169">
        <f t="shared" si="2206"/>
        <v>2.4492542193577153E-2</v>
      </c>
      <c r="CR1213" s="169">
        <f t="shared" si="2207"/>
        <v>6.9030581091053131E-2</v>
      </c>
      <c r="CS1213" s="179">
        <f t="shared" si="2198"/>
        <v>0.87050000000000005</v>
      </c>
      <c r="CT1213" s="180">
        <f t="shared" si="2199"/>
        <v>0.91060168006009956</v>
      </c>
      <c r="CU1213" s="180">
        <f t="shared" si="2200"/>
        <v>0.53108168097070152</v>
      </c>
      <c r="CV1213" s="180">
        <f t="shared" si="2201"/>
        <v>0.88825329850328805</v>
      </c>
      <c r="CW1213" s="180">
        <f t="shared" si="2202"/>
        <v>0.4295627335323573</v>
      </c>
      <c r="CX1213" s="181">
        <f>INDEX('State Tax Lookup'!$D$7:$Z$91,MATCH(Calculation!$C1213,'State Tax Lookup'!$B$7:$B$91,0),MATCH($H1213,'State Tax Lookup'!$D$6:$Z$6,0))</f>
        <v>0.35</v>
      </c>
      <c r="CY1213" s="72">
        <v>0.37</v>
      </c>
      <c r="CZ1213" s="70">
        <f t="shared" si="2204"/>
        <v>18.600320142369686</v>
      </c>
      <c r="DA1213" s="70">
        <v>18.300102035478151</v>
      </c>
      <c r="DB1213" s="69">
        <f t="shared" si="2209"/>
        <v>0.12709522193349329</v>
      </c>
      <c r="DC1213" s="111">
        <f>VLOOKUP($H1213,RoR!$E:$F,2,FALSE)</f>
        <v>5.6316666666666668E-2</v>
      </c>
      <c r="DD1213" s="216">
        <f>HLOOKUP($H1213,'GDP-PI'!$D$8:$CQ$11,3,FALSE)</f>
        <v>1.9092304698479889E-2</v>
      </c>
      <c r="DE1213" s="111">
        <f>VLOOKUP(H1213,'HW Dx Data'!$E:$F,2,FALSE)</f>
        <v>569.88120333515076</v>
      </c>
      <c r="DF1213" s="72">
        <f t="shared" si="2219"/>
        <v>107.9</v>
      </c>
      <c r="DG1213" s="69">
        <f t="shared" si="2220"/>
        <v>3.1778595021460486E-2</v>
      </c>
      <c r="DH1213" s="66">
        <f>HLOOKUP(H1213,'GDP-PI'!$8:$9,2,FALSE)</f>
        <v>94.263999999999996</v>
      </c>
      <c r="DI1213" s="69">
        <f t="shared" si="2210"/>
        <v>1.8912333748032254E-2</v>
      </c>
    </row>
    <row r="1214" spans="1:113" s="160" customFormat="1" ht="21">
      <c r="A1214" s="160" t="s">
        <v>231</v>
      </c>
      <c r="B1214" s="160" t="s">
        <v>231</v>
      </c>
      <c r="C1214" s="160">
        <v>4059746</v>
      </c>
      <c r="D1214" s="161" t="s">
        <v>177</v>
      </c>
      <c r="E1214" s="161"/>
      <c r="F1214" s="189"/>
      <c r="G1214" s="160" t="s">
        <v>125</v>
      </c>
      <c r="H1214" s="162">
        <v>2009</v>
      </c>
      <c r="I1214" s="163"/>
      <c r="J1214" s="159">
        <f>IFERROR(INDEX('Labor Expenditures'!$F$7:$X$91,MATCH($C1214,'Labor Expenditures'!$D$7:$D$91,0),MATCH($G1214,'Labor Expenditures'!$F$5:$X$5,0)),"NA")</f>
        <v>62209.956168217257</v>
      </c>
      <c r="K1214" s="159">
        <f t="shared" si="2211"/>
        <v>560.82899407903767</v>
      </c>
      <c r="L1214" s="165">
        <f t="shared" si="2217"/>
        <v>-8.6670101212393963E-2</v>
      </c>
      <c r="M1214" s="76">
        <f t="shared" si="2221"/>
        <v>-2.1393986738017386E-3</v>
      </c>
      <c r="N1214" s="62">
        <f t="shared" si="2227"/>
        <v>116.48845336099897</v>
      </c>
      <c r="O1214" s="96">
        <f t="shared" si="2222"/>
        <v>2.2995399665203382E-2</v>
      </c>
      <c r="P1214" s="96"/>
      <c r="Q1214" s="159">
        <f>IFERROR(INDEX('Non-Labor Expenditures'!$F$7:$AB$91,MATCH($C1214,'Non-Labor Expenditures'!$D$7:$D$91,0),MATCH($G1214,'Non-Labor Expenditures'!$F$5:$AB$5,0)),"NA")</f>
        <v>90091.635748641856</v>
      </c>
      <c r="R1214" s="159">
        <f t="shared" si="2212"/>
        <v>948.34299043823478</v>
      </c>
      <c r="S1214" s="165">
        <f t="shared" si="2223"/>
        <v>-6.6787685029819757E-2</v>
      </c>
      <c r="T1214" s="165">
        <f t="shared" si="2224"/>
        <v>-1.6486133370137541E-3</v>
      </c>
      <c r="U1214" s="165"/>
      <c r="V1214" s="165"/>
      <c r="W1214" s="159">
        <f t="shared" si="2192"/>
        <v>79130.240246037152</v>
      </c>
      <c r="X1214" s="163"/>
      <c r="Y1214" s="167">
        <v>4622.900533089266</v>
      </c>
      <c r="Z1214" s="168">
        <v>4.148191324497566E-2</v>
      </c>
      <c r="AA1214" s="76">
        <f t="shared" si="2213"/>
        <v>1.0239557695401519E-3</v>
      </c>
      <c r="AB1214" s="168"/>
      <c r="AC1214" s="168"/>
      <c r="AD1214" s="163">
        <f t="shared" si="2138"/>
        <v>231431.83216289629</v>
      </c>
      <c r="AE1214" s="168">
        <f t="shared" si="2225"/>
        <v>-4.0015905705883245E-2</v>
      </c>
      <c r="AF1214" s="163"/>
      <c r="AG1214" s="163"/>
      <c r="AH1214" s="163"/>
      <c r="AI1214" s="163"/>
      <c r="AJ1214" s="116">
        <f t="shared" si="2226"/>
        <v>193.86829840126413</v>
      </c>
      <c r="AK1214" s="114">
        <f>+AV1214/$AX$14</f>
        <v>3.3935531592453411E-2</v>
      </c>
      <c r="AL1214" s="115">
        <f t="shared" si="2214"/>
        <v>0.26880466523045099</v>
      </c>
      <c r="AM1214" s="115">
        <f t="shared" si="2215"/>
        <v>0.38927936103979721</v>
      </c>
      <c r="AN1214" s="115">
        <f t="shared" si="2216"/>
        <v>0.34191597372975169</v>
      </c>
      <c r="AO1214" s="115">
        <f t="shared" si="2218"/>
        <v>-3.5847861329758465E-2</v>
      </c>
      <c r="AP1214" s="166">
        <f t="shared" si="2229"/>
        <v>106.6508062409641</v>
      </c>
      <c r="AQ1214" s="168">
        <f t="shared" si="2230"/>
        <v>-3.5847861329758465E-2</v>
      </c>
      <c r="AR1214" s="169">
        <f>+AD1214/$AF$14</f>
        <v>2.4684391086136188E-2</v>
      </c>
      <c r="AS1214" s="169">
        <f t="shared" si="2228"/>
        <v>-8.8488262866533607E-4</v>
      </c>
      <c r="AT1214" s="115"/>
      <c r="AU1214" s="115"/>
      <c r="AV1214" s="113">
        <f>IFERROR(INDEX('Total Customers'!$F$7:$AB$91,MATCH($C1214,'Total Customers'!$D$7:$D$91,0),MATCH($G1214,'Total Customers'!$F$5:$AB$5,0)),"NA")</f>
        <v>1193758</v>
      </c>
      <c r="AW1214" s="68">
        <f t="shared" si="2113"/>
        <v>-6.2855028332199463E-3</v>
      </c>
      <c r="AX1214" s="114"/>
      <c r="AY1214" s="114"/>
      <c r="AZ1214" s="116"/>
      <c r="BA1214" s="116"/>
      <c r="BB1214" s="166"/>
      <c r="BC1214" s="166"/>
      <c r="BD1214" s="166"/>
      <c r="BE1214" s="166"/>
      <c r="BF1214" s="166"/>
      <c r="BG1214" s="166"/>
      <c r="BH1214" s="166"/>
      <c r="BI1214" s="113"/>
      <c r="BJ1214" s="113"/>
      <c r="BK1214" s="113">
        <f>INDEX('Dist. Plant Gas Additions'!$F$7:$AE$91,MATCH($C1214,'Dist. Plant Gas Additions'!$D$7:$D$91,0),MATCH(Calculation!$G1214,'Dist. Plant Gas Additions'!$F$5:$AE$5,0))</f>
        <v>115442</v>
      </c>
      <c r="BL1214" s="113">
        <f>INDEX('Gen. Plant Additions'!$F$7:$AE$91,MATCH($C1214,'Gen. Plant Additions'!$D$7:$D$91,0),MATCH(Calculation!$G1214,'Gen. Plant Additions'!$F$5:$AE$5,0))</f>
        <v>4659</v>
      </c>
      <c r="BM1214" s="231">
        <f t="shared" si="2193"/>
        <v>0.92108737792953377</v>
      </c>
      <c r="BN1214" s="61">
        <f t="shared" si="2208"/>
        <v>4291.3460937736982</v>
      </c>
      <c r="BO1214" s="113">
        <f>INDEX('Dist Plant Depreciation'!$E$7:$AD$94,MATCH($C1214,'Dist Plant Depreciation'!$D$7:$D$94,0),MATCH(Calculation!$G1214,'Dist Plant Depreciation'!$E$5:$AD$5,0))</f>
        <v>603245</v>
      </c>
      <c r="BP1214" s="113">
        <f>INDEX('Gen. Plant Depreciation'!$E$7:$AD$94,MATCH($C1214,'Gen. Plant Depreciation'!$D$7:$D$94,0),MATCH(Calculation!$G1214,'Gen. Plant Depreciation'!$E$5:$AD$5,0))</f>
        <v>80139</v>
      </c>
      <c r="BQ1214" s="113"/>
      <c r="BR1214" s="113"/>
      <c r="BS1214" s="113"/>
      <c r="BT1214" s="113"/>
      <c r="BU1214" s="113"/>
      <c r="BV1214" s="175"/>
      <c r="BW1214" s="113">
        <f>INDEX('Gross Dx Plant'!$E$7:$AD$91,MATCH($C1214,'Gross Dx Plant'!$D$7:$D$91,0),MATCH(Calculation!$G1214,'Gross Dx Plant'!$E$5:$AD$5,0))</f>
        <v>1609369</v>
      </c>
      <c r="BX1214" s="113">
        <f>INDEX('Gross Gen Plant'!$E$7:$AD$91,MATCH($C1214,'Gross Gen Plant'!$D$7:$D$91,0),MATCH(Calculation!$G1214,'Gross Gen Plant'!$E$5:$AD$5,0))</f>
        <v>137880</v>
      </c>
      <c r="BY1214" s="113">
        <f t="shared" si="2187"/>
        <v>1063865</v>
      </c>
      <c r="BZ1214" s="113"/>
      <c r="CA1214" s="116">
        <v>2009</v>
      </c>
      <c r="CB1214" s="113"/>
      <c r="CC1214" s="113"/>
      <c r="CD1214" s="113"/>
      <c r="CE1214" s="175"/>
      <c r="CF1214" s="113">
        <f t="shared" si="2194"/>
        <v>120101</v>
      </c>
      <c r="CG1214" s="113">
        <f t="shared" si="2195"/>
        <v>217.99263292365958</v>
      </c>
      <c r="CH1214" s="178">
        <v>0.93567251461988299</v>
      </c>
      <c r="CI1214" s="61">
        <f>+CI1203*CH1214+CG1204*CH1213+CG1205*CH1212+CG1206*CH1211+CG1207*CH1210+CG1208*CH1209+CG1209*CH1208+CG1210*CH1207+CG1211*CH1206+CG1212*CH1205+CG1213*CH1204+CG1214</f>
        <v>4622.900533089266</v>
      </c>
      <c r="CJ1214" s="114">
        <f t="shared" si="2196"/>
        <v>4.148191324497566E-2</v>
      </c>
      <c r="CK1214" s="114"/>
      <c r="CL1214" s="169">
        <f t="shared" si="2197"/>
        <v>6.7978540601995301E-3</v>
      </c>
      <c r="CM1214" s="169">
        <f t="shared" si="2205"/>
        <v>6.6047935605763842E-3</v>
      </c>
      <c r="CN1214" s="114">
        <f>VLOOKUP($H1214,RoR!$E:$F,2,FALSE)</f>
        <v>5.3133333333333324E-2</v>
      </c>
      <c r="CO1214" s="169">
        <v>7.7972502758210105E-3</v>
      </c>
      <c r="CP1214" s="169">
        <f t="shared" si="2203"/>
        <v>4.5336083057512314E-2</v>
      </c>
      <c r="CQ1214" s="169">
        <f t="shared" si="2206"/>
        <v>2.429714804795724E-2</v>
      </c>
      <c r="CR1214" s="169">
        <f t="shared" si="2207"/>
        <v>6.3720160300892073E-2</v>
      </c>
      <c r="CS1214" s="179">
        <f t="shared" si="2198"/>
        <v>0.87050000000000005</v>
      </c>
      <c r="CT1214" s="180">
        <f t="shared" si="2199"/>
        <v>0.96515780330083989</v>
      </c>
      <c r="CU1214" s="180">
        <f t="shared" si="2200"/>
        <v>0.50448557089084056</v>
      </c>
      <c r="CV1214" s="180">
        <f t="shared" si="2201"/>
        <v>0.87391435735465484</v>
      </c>
      <c r="CW1214" s="180">
        <f t="shared" si="2202"/>
        <v>0.42551605393279146</v>
      </c>
      <c r="CX1214" s="181">
        <f>INDEX('State Tax Lookup'!$D$7:$Z$91,MATCH(Calculation!$C1214,'State Tax Lookup'!$B$7:$B$91,0),MATCH($H1214,'State Tax Lookup'!$D$6:$Z$6,0))</f>
        <v>0.35</v>
      </c>
      <c r="CY1214" s="72">
        <v>0.37</v>
      </c>
      <c r="CZ1214" s="70">
        <f t="shared" si="2204"/>
        <v>17.841990389433867</v>
      </c>
      <c r="DA1214" s="70">
        <v>17.478615056163342</v>
      </c>
      <c r="DB1214" s="69">
        <f t="shared" si="2209"/>
        <v>-4.1624102683421711E-2</v>
      </c>
      <c r="DC1214" s="111">
        <f>VLOOKUP($H1214,RoR!$E:$F,2,FALSE)</f>
        <v>5.3133333333333324E-2</v>
      </c>
      <c r="DD1214" s="216">
        <f>HLOOKUP($H1214,'GDP-PI'!$D$8:$CQ$11,3,FALSE)</f>
        <v>7.7972502758210105E-3</v>
      </c>
      <c r="DE1214" s="111">
        <f>VLOOKUP(H1214,'HW Dx Data'!$E:$F,2,FALSE)</f>
        <v>550.94063679692806</v>
      </c>
      <c r="DF1214" s="72">
        <f t="shared" si="2219"/>
        <v>110.925</v>
      </c>
      <c r="DG1214" s="69">
        <f t="shared" si="2220"/>
        <v>2.7649425000884052E-2</v>
      </c>
      <c r="DH1214" s="66">
        <f>HLOOKUP(H1214,'GDP-PI'!$8:$9,2,FALSE)</f>
        <v>94.998999999999995</v>
      </c>
      <c r="DI1214" s="69">
        <f t="shared" si="2210"/>
        <v>7.7670088183096342E-3</v>
      </c>
    </row>
    <row r="1215" spans="1:113" s="160" customFormat="1" ht="21">
      <c r="A1215" s="160" t="s">
        <v>231</v>
      </c>
      <c r="B1215" s="160" t="s">
        <v>231</v>
      </c>
      <c r="C1215" s="160">
        <v>4059746</v>
      </c>
      <c r="D1215" s="161" t="s">
        <v>177</v>
      </c>
      <c r="E1215" s="161"/>
      <c r="F1215" s="189"/>
      <c r="G1215" s="160" t="s">
        <v>126</v>
      </c>
      <c r="H1215" s="162">
        <v>2010</v>
      </c>
      <c r="I1215" s="163"/>
      <c r="J1215" s="159">
        <f>IFERROR(INDEX('Labor Expenditures'!$F$7:$X$91,MATCH($C1215,'Labor Expenditures'!$D$7:$D$91,0),MATCH($G1215,'Labor Expenditures'!$F$5:$X$5,0)),"NA")</f>
        <v>63587.528138708694</v>
      </c>
      <c r="K1215" s="159">
        <f t="shared" si="2211"/>
        <v>543.8317565850648</v>
      </c>
      <c r="L1215" s="165">
        <f t="shared" si="2217"/>
        <v>-3.0776107627606752E-2</v>
      </c>
      <c r="M1215" s="76">
        <f t="shared" si="2221"/>
        <v>-7.6097480616209962E-4</v>
      </c>
      <c r="N1215" s="62">
        <f t="shared" si="2227"/>
        <v>97.79863111594014</v>
      </c>
      <c r="O1215" s="96">
        <f t="shared" si="2222"/>
        <v>-0.17488157513934657</v>
      </c>
      <c r="P1215" s="96"/>
      <c r="Q1215" s="159">
        <f>IFERROR(INDEX('Non-Labor Expenditures'!$F$7:$AB$91,MATCH($C1215,'Non-Labor Expenditures'!$D$7:$D$91,0),MATCH($G1215,'Non-Labor Expenditures'!$F$5:$AB$5,0)),"NA")</f>
        <v>92086.617256866419</v>
      </c>
      <c r="R1215" s="159">
        <f t="shared" si="2212"/>
        <v>958.14769955848487</v>
      </c>
      <c r="S1215" s="165">
        <f t="shared" si="2223"/>
        <v>1.0285699912219495E-2</v>
      </c>
      <c r="T1215" s="165">
        <f t="shared" si="2224"/>
        <v>2.5432580986692565E-4</v>
      </c>
      <c r="U1215" s="165"/>
      <c r="V1215" s="165"/>
      <c r="W1215" s="159">
        <f t="shared" si="2192"/>
        <v>84616.385820491952</v>
      </c>
      <c r="X1215" s="163"/>
      <c r="Y1215" s="167">
        <v>4869.7558199102214</v>
      </c>
      <c r="Z1215" s="168">
        <v>5.2021467077164048E-2</v>
      </c>
      <c r="AA1215" s="76">
        <f t="shared" si="2213"/>
        <v>1.2862908560211379E-3</v>
      </c>
      <c r="AB1215" s="168"/>
      <c r="AC1215" s="168"/>
      <c r="AD1215" s="163">
        <f t="shared" si="2138"/>
        <v>240290.53121606709</v>
      </c>
      <c r="AE1215" s="168">
        <f t="shared" si="2225"/>
        <v>3.7563369290071029E-2</v>
      </c>
      <c r="AF1215" s="163"/>
      <c r="AG1215" s="163"/>
      <c r="AH1215" s="163"/>
      <c r="AI1215" s="163"/>
      <c r="AJ1215" s="116">
        <f t="shared" si="2226"/>
        <v>202.51090653628407</v>
      </c>
      <c r="AK1215" s="114">
        <f>+AV1215/$AX$15</f>
        <v>3.3546241785375366E-2</v>
      </c>
      <c r="AL1215" s="115">
        <f t="shared" si="2214"/>
        <v>0.26462768972586509</v>
      </c>
      <c r="AM1215" s="115">
        <f t="shared" si="2215"/>
        <v>0.38323032035774629</v>
      </c>
      <c r="AN1215" s="115">
        <f t="shared" si="2216"/>
        <v>0.35214198991638856</v>
      </c>
      <c r="AO1215" s="115">
        <f t="shared" si="2218"/>
        <v>1.3817372349708659E-2</v>
      </c>
      <c r="AP1215" s="166">
        <f t="shared" si="2229"/>
        <v>108.13466806975489</v>
      </c>
      <c r="AQ1215" s="168">
        <f t="shared" si="2230"/>
        <v>1.3817372349708755E-2</v>
      </c>
      <c r="AR1215" s="169">
        <f>+AD1215/$AF$15</f>
        <v>2.4726154956629109E-2</v>
      </c>
      <c r="AS1215" s="169">
        <f t="shared" si="2228"/>
        <v>3.4165048981234111E-4</v>
      </c>
      <c r="AT1215" s="115"/>
      <c r="AU1215" s="115"/>
      <c r="AV1215" s="113">
        <f>IFERROR(INDEX('Total Customers'!$F$7:$AB$91,MATCH($C1215,'Total Customers'!$D$7:$D$91,0),MATCH($G1215,'Total Customers'!$F$5:$AB$5,0)),"NA")</f>
        <v>1186556</v>
      </c>
      <c r="AW1215" s="68">
        <f t="shared" si="2113"/>
        <v>-6.0513209410025439E-3</v>
      </c>
      <c r="AX1215" s="114"/>
      <c r="AY1215" s="114"/>
      <c r="AZ1215" s="116"/>
      <c r="BA1215" s="116"/>
      <c r="BB1215" s="166"/>
      <c r="BC1215" s="166"/>
      <c r="BD1215" s="166"/>
      <c r="BE1215" s="166"/>
      <c r="BF1215" s="166"/>
      <c r="BG1215" s="166"/>
      <c r="BH1215" s="166"/>
      <c r="BI1215" s="113"/>
      <c r="BJ1215" s="113"/>
      <c r="BK1215" s="113">
        <f>INDEX('Dist. Plant Gas Additions'!$F$7:$AE$91,MATCH($C1215,'Dist. Plant Gas Additions'!$D$7:$D$91,0),MATCH(Calculation!$G1215,'Dist. Plant Gas Additions'!$F$5:$AE$5,0))</f>
        <v>142061</v>
      </c>
      <c r="BL1215" s="113">
        <f>INDEX('Gen. Plant Additions'!$F$7:$AE$91,MATCH($C1215,'Gen. Plant Additions'!$D$7:$D$91,0),MATCH(Calculation!$G1215,'Gen. Plant Additions'!$F$5:$AE$5,0))</f>
        <v>16766</v>
      </c>
      <c r="BM1215" s="231">
        <f t="shared" si="2193"/>
        <v>0.9247505678698974</v>
      </c>
      <c r="BN1215" s="61">
        <f t="shared" si="2208"/>
        <v>15504.368020906701</v>
      </c>
      <c r="BO1215" s="113">
        <f>INDEX('Dist Plant Depreciation'!$E$7:$AD$94,MATCH($C1215,'Dist Plant Depreciation'!$D$7:$D$94,0),MATCH(Calculation!$G1215,'Dist Plant Depreciation'!$E$5:$AD$5,0))</f>
        <v>642201</v>
      </c>
      <c r="BP1215" s="113">
        <f>INDEX('Gen. Plant Depreciation'!$E$7:$AD$94,MATCH($C1215,'Gen. Plant Depreciation'!$D$7:$D$94,0),MATCH(Calculation!$G1215,'Gen. Plant Depreciation'!$E$5:$AD$5,0))</f>
        <v>70978</v>
      </c>
      <c r="BQ1215" s="113"/>
      <c r="BR1215" s="113"/>
      <c r="BS1215" s="113"/>
      <c r="BT1215" s="113"/>
      <c r="BU1215" s="113"/>
      <c r="BV1215" s="175"/>
      <c r="BW1215" s="113">
        <f>INDEX('Gross Dx Plant'!$E$7:$AD$91,MATCH($C1215,'Gross Dx Plant'!$D$7:$D$91,0),MATCH(Calculation!$G1215,'Gross Dx Plant'!$E$5:$AD$5,0))</f>
        <v>1750182</v>
      </c>
      <c r="BX1215" s="113">
        <f>INDEX('Gross Gen Plant'!$E$7:$AD$91,MATCH($C1215,'Gross Gen Plant'!$D$7:$D$91,0),MATCH(Calculation!$G1215,'Gross Gen Plant'!$E$5:$AD$5,0))</f>
        <v>142417</v>
      </c>
      <c r="BY1215" s="113">
        <f t="shared" si="2187"/>
        <v>1179420</v>
      </c>
      <c r="BZ1215" s="113"/>
      <c r="CA1215" s="116">
        <v>2010</v>
      </c>
      <c r="CB1215" s="113"/>
      <c r="CC1215" s="113"/>
      <c r="CD1215" s="113"/>
      <c r="CE1215" s="175"/>
      <c r="CF1215" s="113">
        <f t="shared" si="2194"/>
        <v>158827</v>
      </c>
      <c r="CG1215" s="113">
        <f t="shared" si="2195"/>
        <v>279.1387174384484</v>
      </c>
      <c r="CH1215" s="178">
        <v>0.9285714285714286</v>
      </c>
      <c r="CI1215" s="61">
        <f>+CI1203*CH1215+CG1204*CH1214+CG1205*CH1213+CG1206*CH1212+CG1207*CH1211+CG1208*CH1210+CG1209*CH1209+CG1210*CH1208+CG1211*CH1207+CG1212*CH1206+CG1213*CH1205+CG1214*CH1204+CG1215</f>
        <v>4869.7558199102214</v>
      </c>
      <c r="CJ1215" s="114">
        <f t="shared" si="2196"/>
        <v>5.2021467077164048E-2</v>
      </c>
      <c r="CK1215" s="114"/>
      <c r="CL1215" s="169">
        <f t="shared" si="2197"/>
        <v>6.9833712376933914E-3</v>
      </c>
      <c r="CM1215" s="169">
        <f t="shared" si="2205"/>
        <v>6.7972905318225548E-3</v>
      </c>
      <c r="CN1215" s="114">
        <f>VLOOKUP($H1215,RoR!$E:$F,2,FALSE)</f>
        <v>4.9433333333333322E-2</v>
      </c>
      <c r="CO1215" s="169">
        <v>1.1684333519300205E-2</v>
      </c>
      <c r="CP1215" s="169">
        <f t="shared" si="2203"/>
        <v>3.7748999814033117E-2</v>
      </c>
      <c r="CQ1215" s="169">
        <f t="shared" si="2206"/>
        <v>2.4104651076711069E-2</v>
      </c>
      <c r="CR1215" s="169">
        <f t="shared" si="2207"/>
        <v>4.7937530248493419E-2</v>
      </c>
      <c r="CS1215" s="179">
        <f t="shared" si="2198"/>
        <v>0.87050000000000005</v>
      </c>
      <c r="CT1215" s="180">
        <f t="shared" si="2199"/>
        <v>1.037398205301105</v>
      </c>
      <c r="CU1215" s="180">
        <f t="shared" si="2200"/>
        <v>0.46926837491571133</v>
      </c>
      <c r="CV1215" s="180">
        <f t="shared" si="2201"/>
        <v>0.8548537519972772</v>
      </c>
      <c r="CW1215" s="180">
        <f t="shared" si="2202"/>
        <v>0.41615833911547367</v>
      </c>
      <c r="CX1215" s="181">
        <f>INDEX('State Tax Lookup'!$D$7:$Z$91,MATCH(Calculation!$C1215,'State Tax Lookup'!$B$7:$B$91,0),MATCH($H1215,'State Tax Lookup'!$D$6:$Z$6,0))</f>
        <v>0.35</v>
      </c>
      <c r="CY1215" s="72">
        <v>0.37</v>
      </c>
      <c r="CZ1215" s="70">
        <f t="shared" si="2204"/>
        <v>18.303743551226013</v>
      </c>
      <c r="DA1215" s="70">
        <v>17.956102603965455</v>
      </c>
      <c r="DB1215" s="69">
        <f t="shared" si="2209"/>
        <v>2.5550914724474013E-2</v>
      </c>
      <c r="DC1215" s="111">
        <f>VLOOKUP($H1215,RoR!$E:$F,2,FALSE)</f>
        <v>4.9433333333333322E-2</v>
      </c>
      <c r="DD1215" s="216">
        <f>HLOOKUP($H1215,'GDP-PI'!$D$8:$CQ$11,3,FALSE)</f>
        <v>1.1684333519300205E-2</v>
      </c>
      <c r="DE1215" s="111">
        <f>VLOOKUP(H1215,'HW Dx Data'!$E:$F,2,FALSE)</f>
        <v>568.98950262971744</v>
      </c>
      <c r="DF1215" s="72">
        <f t="shared" si="2219"/>
        <v>116.925</v>
      </c>
      <c r="DG1215" s="69">
        <f t="shared" si="2220"/>
        <v>5.2678406346976722E-2</v>
      </c>
      <c r="DH1215" s="66">
        <f>HLOOKUP(H1215,'GDP-PI'!$8:$9,2,FALSE)</f>
        <v>96.108999999999995</v>
      </c>
      <c r="DI1215" s="69">
        <f t="shared" si="2210"/>
        <v>1.1616598807150427E-2</v>
      </c>
    </row>
    <row r="1216" spans="1:113" s="160" customFormat="1" ht="21">
      <c r="A1216" s="160" t="s">
        <v>231</v>
      </c>
      <c r="B1216" s="160" t="s">
        <v>231</v>
      </c>
      <c r="C1216" s="160">
        <v>4059746</v>
      </c>
      <c r="D1216" s="161" t="s">
        <v>177</v>
      </c>
      <c r="E1216" s="161"/>
      <c r="F1216" s="189"/>
      <c r="G1216" s="160" t="s">
        <v>127</v>
      </c>
      <c r="H1216" s="162">
        <v>2011</v>
      </c>
      <c r="I1216" s="163"/>
      <c r="J1216" s="159">
        <f>IFERROR(INDEX('Labor Expenditures'!$F$7:$X$91,MATCH($C1216,'Labor Expenditures'!$D$7:$D$91,0),MATCH($G1216,'Labor Expenditures'!$F$5:$X$5,0)),"NA")</f>
        <v>56965.937046217638</v>
      </c>
      <c r="K1216" s="159">
        <f t="shared" si="2211"/>
        <v>471.2797273730518</v>
      </c>
      <c r="L1216" s="165">
        <f t="shared" si="2217"/>
        <v>-0.14318810930710454</v>
      </c>
      <c r="M1216" s="76">
        <f t="shared" si="2221"/>
        <v>-3.293266742819156E-3</v>
      </c>
      <c r="N1216" s="62">
        <f t="shared" si="2227"/>
        <v>118.13271551497847</v>
      </c>
      <c r="O1216" s="96">
        <f t="shared" si="2222"/>
        <v>0.18889812003650566</v>
      </c>
      <c r="P1216" s="96"/>
      <c r="Q1216" s="159">
        <f>IFERROR(INDEX('Non-Labor Expenditures'!$F$7:$AB$91,MATCH($C1216,'Non-Labor Expenditures'!$D$7:$D$91,0),MATCH($G1216,'Non-Labor Expenditures'!$F$5:$AB$5,0)),"NA")</f>
        <v>82497.316612318944</v>
      </c>
      <c r="R1216" s="159">
        <f t="shared" si="2212"/>
        <v>840.84838360566448</v>
      </c>
      <c r="S1216" s="165">
        <f t="shared" si="2223"/>
        <v>-0.13059057835844504</v>
      </c>
      <c r="T1216" s="165">
        <f t="shared" si="2224"/>
        <v>-3.0035287896077231E-3</v>
      </c>
      <c r="U1216" s="165"/>
      <c r="V1216" s="165"/>
      <c r="W1216" s="159">
        <f t="shared" si="2192"/>
        <v>95270.866740779456</v>
      </c>
      <c r="X1216" s="163"/>
      <c r="Y1216" s="167">
        <v>5132.0731576330136</v>
      </c>
      <c r="Z1216" s="168">
        <v>5.246590565274397E-2</v>
      </c>
      <c r="AA1216" s="76">
        <f t="shared" si="2213"/>
        <v>1.2066939290851875E-3</v>
      </c>
      <c r="AB1216" s="168"/>
      <c r="AC1216" s="168"/>
      <c r="AD1216" s="163">
        <f t="shared" si="2138"/>
        <v>234734.12039931605</v>
      </c>
      <c r="AE1216" s="168">
        <f t="shared" si="2225"/>
        <v>-2.3395266885675624E-2</v>
      </c>
      <c r="AF1216" s="163"/>
      <c r="AG1216" s="163"/>
      <c r="AH1216" s="163"/>
      <c r="AI1216" s="163"/>
      <c r="AJ1216" s="116">
        <f t="shared" si="2226"/>
        <v>198.6008756791307</v>
      </c>
      <c r="AK1216" s="114">
        <f>+AV1216/$AX$16</f>
        <v>3.3254479760129976E-2</v>
      </c>
      <c r="AL1216" s="115">
        <f t="shared" si="2214"/>
        <v>0.24268281470674352</v>
      </c>
      <c r="AM1216" s="115">
        <f t="shared" si="2215"/>
        <v>0.35145004259278245</v>
      </c>
      <c r="AN1216" s="115">
        <f t="shared" si="2216"/>
        <v>0.40586714270047403</v>
      </c>
      <c r="AO1216" s="115">
        <f t="shared" si="2218"/>
        <v>-6.4406764915922982E-2</v>
      </c>
      <c r="AP1216" s="166">
        <f t="shared" si="2229"/>
        <v>101.38960914720279</v>
      </c>
      <c r="AQ1216" s="168">
        <f t="shared" si="2230"/>
        <v>-6.4406764915922968E-2</v>
      </c>
      <c r="AR1216" s="169">
        <f>+AD1216/$AF$16</f>
        <v>2.2999582568381288E-2</v>
      </c>
      <c r="AS1216" s="169">
        <f t="shared" si="2228"/>
        <v>-1.4813287076460933E-3</v>
      </c>
      <c r="AT1216" s="115"/>
      <c r="AU1216" s="115"/>
      <c r="AV1216" s="113">
        <f>IFERROR(INDEX('Total Customers'!$F$7:$AB$91,MATCH($C1216,'Total Customers'!$D$7:$D$91,0),MATCH($G1216,'Total Customers'!$F$5:$AB$5,0)),"NA")</f>
        <v>1181939</v>
      </c>
      <c r="AW1216" s="68">
        <f t="shared" si="2113"/>
        <v>-3.8986832128376668E-3</v>
      </c>
      <c r="AX1216" s="114"/>
      <c r="AY1216" s="114"/>
      <c r="AZ1216" s="116"/>
      <c r="BA1216" s="116"/>
      <c r="BB1216" s="166"/>
      <c r="BC1216" s="166"/>
      <c r="BD1216" s="166"/>
      <c r="BE1216" s="166"/>
      <c r="BF1216" s="166"/>
      <c r="BG1216" s="166"/>
      <c r="BH1216" s="166"/>
      <c r="BI1216" s="113"/>
      <c r="BJ1216" s="113"/>
      <c r="BK1216" s="113">
        <f>INDEX('Dist. Plant Gas Additions'!$F$7:$AE$91,MATCH($C1216,'Dist. Plant Gas Additions'!$D$7:$D$91,0),MATCH(Calculation!$G1216,'Dist. Plant Gas Additions'!$F$5:$AE$5,0))</f>
        <v>168082</v>
      </c>
      <c r="BL1216" s="113">
        <f>INDEX('Gen. Plant Additions'!$F$7:$AE$91,MATCH($C1216,'Gen. Plant Additions'!$D$7:$D$91,0),MATCH(Calculation!$G1216,'Gen. Plant Additions'!$F$5:$AE$5,0))</f>
        <v>13645</v>
      </c>
      <c r="BM1216" s="231">
        <f t="shared" si="2193"/>
        <v>0.9266063522692789</v>
      </c>
      <c r="BN1216" s="61">
        <f t="shared" si="2208"/>
        <v>12643.543676714311</v>
      </c>
      <c r="BO1216" s="113">
        <f>INDEX('Dist Plant Depreciation'!$E$7:$AD$94,MATCH($C1216,'Dist Plant Depreciation'!$D$7:$D$94,0),MATCH(Calculation!$G1216,'Dist Plant Depreciation'!$E$5:$AD$5,0))</f>
        <v>681706</v>
      </c>
      <c r="BP1216" s="113">
        <f>INDEX('Gen. Plant Depreciation'!$E$7:$AD$94,MATCH($C1216,'Gen. Plant Depreciation'!$D$7:$D$94,0),MATCH(Calculation!$G1216,'Gen. Plant Depreciation'!$E$5:$AD$5,0))</f>
        <v>61309</v>
      </c>
      <c r="BQ1216" s="113"/>
      <c r="BR1216" s="113"/>
      <c r="BS1216" s="113"/>
      <c r="BT1216" s="113"/>
      <c r="BU1216" s="113"/>
      <c r="BV1216" s="175"/>
      <c r="BW1216" s="113">
        <f>INDEX('Gross Dx Plant'!$E$7:$AD$91,MATCH($C1216,'Gross Dx Plant'!$D$7:$D$91,0),MATCH(Calculation!$G1216,'Gross Dx Plant'!$E$5:$AD$5,0))</f>
        <v>1905414</v>
      </c>
      <c r="BX1216" s="113">
        <f>INDEX('Gross Gen Plant'!$E$7:$AD$91,MATCH($C1216,'Gross Gen Plant'!$D$7:$D$91,0),MATCH(Calculation!$G1216,'Gross Gen Plant'!$E$5:$AD$5,0))</f>
        <v>150922</v>
      </c>
      <c r="BY1216" s="113">
        <f t="shared" si="2187"/>
        <v>1313321</v>
      </c>
      <c r="BZ1216" s="113"/>
      <c r="CA1216" s="116">
        <v>2011</v>
      </c>
      <c r="CB1216" s="113"/>
      <c r="CC1216" s="113"/>
      <c r="CD1216" s="113"/>
      <c r="CE1216" s="175"/>
      <c r="CF1216" s="113">
        <f t="shared" si="2194"/>
        <v>181727</v>
      </c>
      <c r="CG1216" s="113">
        <f t="shared" si="2195"/>
        <v>297.12835681369512</v>
      </c>
      <c r="CH1216" s="178">
        <v>0.92121212121212126</v>
      </c>
      <c r="CI1216" s="61">
        <f>+CI1203*CH1216+CG1204*CH1215+CG1205*CH1214+CG1206*CH1213+CG1207*CH1212+CG1208*CH1211+CG1209*CH1210+CG1210*CH1209+CG1211*CH1208+CG1212*CH1207+CG1213*CH1206+CG1214*CH1205+CG1215*CH1204+CG1216</f>
        <v>5132.0731576330136</v>
      </c>
      <c r="CJ1216" s="114">
        <f t="shared" si="2196"/>
        <v>5.246590565274397E-2</v>
      </c>
      <c r="CK1216" s="114"/>
      <c r="CL1216" s="169">
        <f t="shared" si="2197"/>
        <v>7.1484116202657315E-3</v>
      </c>
      <c r="CM1216" s="169">
        <f t="shared" si="2205"/>
        <v>6.9765456393862182E-3</v>
      </c>
      <c r="CN1216" s="114">
        <f>VLOOKUP($H1216,RoR!$E:$F,2,FALSE)</f>
        <v>4.6391666666666664E-2</v>
      </c>
      <c r="CO1216" s="169">
        <v>2.0840920205183799E-2</v>
      </c>
      <c r="CP1216" s="169">
        <f t="shared" si="2203"/>
        <v>2.5550746461482865E-2</v>
      </c>
      <c r="CQ1216" s="169">
        <f t="shared" si="2206"/>
        <v>2.3925395969147407E-2</v>
      </c>
      <c r="CR1216" s="169">
        <f t="shared" si="2207"/>
        <v>2.4810540821321614E-2</v>
      </c>
      <c r="CS1216" s="179">
        <f t="shared" si="2198"/>
        <v>0.87050000000000005</v>
      </c>
      <c r="CT1216" s="180">
        <f t="shared" si="2199"/>
        <v>1.1054151524782025</v>
      </c>
      <c r="CU1216" s="180">
        <f t="shared" si="2200"/>
        <v>0.43611011316687626</v>
      </c>
      <c r="CV1216" s="180">
        <f t="shared" si="2201"/>
        <v>0.83698442246886229</v>
      </c>
      <c r="CW1216" s="180">
        <f t="shared" si="2202"/>
        <v>0.40349573304423936</v>
      </c>
      <c r="CX1216" s="181">
        <f>INDEX('State Tax Lookup'!$D$7:$Z$91,MATCH(Calculation!$C1216,'State Tax Lookup'!$B$7:$B$91,0),MATCH($H1216,'State Tax Lookup'!$D$6:$Z$6,0))</f>
        <v>0.35</v>
      </c>
      <c r="CY1216" s="72">
        <v>0.37</v>
      </c>
      <c r="CZ1216" s="70">
        <f t="shared" si="2204"/>
        <v>19.56378723369663</v>
      </c>
      <c r="DA1216" s="70">
        <v>19.146574949201604</v>
      </c>
      <c r="DB1216" s="69">
        <f t="shared" si="2209"/>
        <v>6.6574662651666006E-2</v>
      </c>
      <c r="DC1216" s="111">
        <f>VLOOKUP($H1216,RoR!$E:$F,2,FALSE)</f>
        <v>4.6391666666666664E-2</v>
      </c>
      <c r="DD1216" s="216">
        <f>HLOOKUP($H1216,'GDP-PI'!$D$8:$CQ$11,3,FALSE)</f>
        <v>2.0840920205183799E-2</v>
      </c>
      <c r="DE1216" s="111">
        <f>VLOOKUP(H1216,'HW Dx Data'!$E:$F,2,FALSE)</f>
        <v>611.61109612283201</v>
      </c>
      <c r="DF1216" s="72">
        <f t="shared" si="2219"/>
        <v>120.875</v>
      </c>
      <c r="DG1216" s="69">
        <f t="shared" si="2220"/>
        <v>3.3224250161508609E-2</v>
      </c>
      <c r="DH1216" s="66">
        <f>HLOOKUP(H1216,'GDP-PI'!$8:$9,2,FALSE)</f>
        <v>98.111999999999995</v>
      </c>
      <c r="DI1216" s="69">
        <f t="shared" si="2210"/>
        <v>2.0626719212849295E-2</v>
      </c>
    </row>
    <row r="1217" spans="1:113" s="160" customFormat="1" ht="21">
      <c r="A1217" s="160" t="s">
        <v>231</v>
      </c>
      <c r="B1217" s="160" t="s">
        <v>231</v>
      </c>
      <c r="C1217" s="160">
        <v>4059746</v>
      </c>
      <c r="D1217" s="161" t="s">
        <v>177</v>
      </c>
      <c r="E1217" s="161"/>
      <c r="F1217" s="189"/>
      <c r="G1217" s="160" t="s">
        <v>128</v>
      </c>
      <c r="H1217" s="162">
        <v>2012</v>
      </c>
      <c r="I1217" s="163"/>
      <c r="J1217" s="159">
        <f>IFERROR(INDEX('Labor Expenditures'!$F$7:$X$91,MATCH($C1217,'Labor Expenditures'!$D$7:$D$91,0),MATCH($G1217,'Labor Expenditures'!$F$5:$X$5,0)),"NA")</f>
        <v>57417.203838511479</v>
      </c>
      <c r="K1217" s="159">
        <f t="shared" si="2211"/>
        <v>460.07374870602143</v>
      </c>
      <c r="L1217" s="165">
        <f t="shared" si="2217"/>
        <v>-2.4065018824670294E-2</v>
      </c>
      <c r="M1217" s="76">
        <f t="shared" si="2221"/>
        <v>-5.6103694895717207E-4</v>
      </c>
      <c r="N1217" s="62">
        <f t="shared" si="2227"/>
        <v>117.79329166849692</v>
      </c>
      <c r="O1217" s="96">
        <f t="shared" si="2222"/>
        <v>-2.8773774007901593E-3</v>
      </c>
      <c r="P1217" s="96"/>
      <c r="Q1217" s="159">
        <f>IFERROR(INDEX('Non-Labor Expenditures'!$F$7:$AB$91,MATCH($C1217,'Non-Labor Expenditures'!$D$7:$D$91,0),MATCH($G1217,'Non-Labor Expenditures'!$F$5:$AB$5,0)),"NA")</f>
        <v>83150.835212570993</v>
      </c>
      <c r="R1217" s="159">
        <f t="shared" si="2212"/>
        <v>831.50835212570996</v>
      </c>
      <c r="S1217" s="165">
        <f t="shared" si="2223"/>
        <v>-1.1170019401543916E-2</v>
      </c>
      <c r="T1217" s="165">
        <f t="shared" si="2224"/>
        <v>-2.6041091638001135E-4</v>
      </c>
      <c r="U1217" s="165"/>
      <c r="V1217" s="165"/>
      <c r="W1217" s="159">
        <f t="shared" si="2192"/>
        <v>108746.01762022584</v>
      </c>
      <c r="X1217" s="163"/>
      <c r="Y1217" s="167">
        <v>5404.4099007711475</v>
      </c>
      <c r="Z1217" s="168">
        <v>5.1705566744016981E-2</v>
      </c>
      <c r="AA1217" s="76">
        <f t="shared" si="2213"/>
        <v>1.2054315694291649E-3</v>
      </c>
      <c r="AB1217" s="168"/>
      <c r="AC1217" s="168"/>
      <c r="AD1217" s="163">
        <f t="shared" si="2138"/>
        <v>249314.05667130832</v>
      </c>
      <c r="AE1217" s="168">
        <f t="shared" si="2225"/>
        <v>6.0259902432953184E-2</v>
      </c>
      <c r="AF1217" s="163"/>
      <c r="AG1217" s="163"/>
      <c r="AH1217" s="163"/>
      <c r="AI1217" s="163"/>
      <c r="AJ1217" s="116">
        <f t="shared" si="2226"/>
        <v>209.47099723015501</v>
      </c>
      <c r="AK1217" s="114">
        <f>+AV1217/$AX$17</f>
        <v>3.3326651434101809E-2</v>
      </c>
      <c r="AL1217" s="115">
        <f t="shared" si="2214"/>
        <v>0.23030070829182892</v>
      </c>
      <c r="AM1217" s="115">
        <f t="shared" si="2215"/>
        <v>0.33351843984551471</v>
      </c>
      <c r="AN1217" s="115">
        <f t="shared" si="2216"/>
        <v>0.43618085186265632</v>
      </c>
      <c r="AO1217" s="115">
        <f t="shared" si="2218"/>
        <v>1.2252550080774097E-2</v>
      </c>
      <c r="AP1217" s="166">
        <f t="shared" si="2229"/>
        <v>102.63953214600228</v>
      </c>
      <c r="AQ1217" s="168">
        <f t="shared" si="2230"/>
        <v>1.2252550080774131E-2</v>
      </c>
      <c r="AR1217" s="169">
        <f>+AD1217/$AF$17</f>
        <v>2.3313380847307882E-2</v>
      </c>
      <c r="AS1217" s="169">
        <f t="shared" si="2228"/>
        <v>2.8564836638380025E-4</v>
      </c>
      <c r="AT1217" s="115"/>
      <c r="AU1217" s="115"/>
      <c r="AV1217" s="113">
        <f>IFERROR(INDEX('Total Customers'!$F$7:$AB$91,MATCH($C1217,'Total Customers'!$D$7:$D$91,0),MATCH($G1217,'Total Customers'!$F$5:$AB$5,0)),"NA")</f>
        <v>1190208</v>
      </c>
      <c r="AW1217" s="68">
        <f t="shared" si="2113"/>
        <v>6.971771558238922E-3</v>
      </c>
      <c r="AX1217" s="114"/>
      <c r="AY1217" s="114"/>
      <c r="AZ1217" s="116"/>
      <c r="BA1217" s="116"/>
      <c r="BB1217" s="166"/>
      <c r="BC1217" s="166"/>
      <c r="BD1217" s="166"/>
      <c r="BE1217" s="166"/>
      <c r="BF1217" s="166"/>
      <c r="BG1217" s="166"/>
      <c r="BH1217" s="166"/>
      <c r="BI1217" s="113"/>
      <c r="BJ1217" s="113"/>
      <c r="BK1217" s="113">
        <f>INDEX('Dist. Plant Gas Additions'!$F$7:$AE$91,MATCH($C1217,'Dist. Plant Gas Additions'!$D$7:$D$91,0),MATCH(Calculation!$G1217,'Dist. Plant Gas Additions'!$F$5:$AE$5,0))</f>
        <v>199361</v>
      </c>
      <c r="BL1217" s="113">
        <f>INDEX('Gen. Plant Additions'!$F$7:$AE$91,MATCH($C1217,'Gen. Plant Additions'!$D$7:$D$91,0),MATCH(Calculation!$G1217,'Gen. Plant Additions'!$F$5:$AE$5,0))</f>
        <v>7916</v>
      </c>
      <c r="BM1217" s="231">
        <f t="shared" si="2193"/>
        <v>0.93230375236610619</v>
      </c>
      <c r="BN1217" s="61">
        <f t="shared" si="2208"/>
        <v>7380.1165037300962</v>
      </c>
      <c r="BO1217" s="113">
        <f>INDEX('Dist Plant Depreciation'!$E$7:$AD$94,MATCH($C1217,'Dist Plant Depreciation'!$D$7:$D$94,0),MATCH(Calculation!$G1217,'Dist Plant Depreciation'!$E$5:$AD$5,0))</f>
        <v>723495</v>
      </c>
      <c r="BP1217" s="113">
        <f>INDEX('Gen. Plant Depreciation'!$E$7:$AD$94,MATCH($C1217,'Gen. Plant Depreciation'!$D$7:$D$94,0),MATCH(Calculation!$G1217,'Gen. Plant Depreciation'!$E$5:$AD$5,0))</f>
        <v>47271</v>
      </c>
      <c r="BQ1217" s="113"/>
      <c r="BR1217" s="113"/>
      <c r="BS1217" s="113"/>
      <c r="BT1217" s="113"/>
      <c r="BU1217" s="113"/>
      <c r="BV1217" s="175"/>
      <c r="BW1217" s="113">
        <f>INDEX('Gross Dx Plant'!$E$7:$AD$91,MATCH($C1217,'Gross Dx Plant'!$D$7:$D$91,0),MATCH(Calculation!$G1217,'Gross Dx Plant'!$E$5:$AD$5,0))</f>
        <v>2093255</v>
      </c>
      <c r="BX1217" s="113">
        <f>INDEX('Gross Gen Plant'!$E$7:$AD$91,MATCH($C1217,'Gross Gen Plant'!$D$7:$D$91,0),MATCH(Calculation!$G1217,'Gross Gen Plant'!$E$5:$AD$5,0))</f>
        <v>151995</v>
      </c>
      <c r="BY1217" s="113">
        <f t="shared" si="2187"/>
        <v>1474484</v>
      </c>
      <c r="BZ1217" s="113"/>
      <c r="CA1217" s="116">
        <v>2012</v>
      </c>
      <c r="CB1217" s="113"/>
      <c r="CC1217" s="113"/>
      <c r="CD1217" s="113"/>
      <c r="CE1217" s="175"/>
      <c r="CF1217" s="113">
        <f t="shared" si="2194"/>
        <v>207277</v>
      </c>
      <c r="CG1217" s="113">
        <f t="shared" si="2195"/>
        <v>309.86845969012404</v>
      </c>
      <c r="CH1217" s="178">
        <v>0.9135802469135802</v>
      </c>
      <c r="CI1217" s="61">
        <f>+CI1203*CH1217+CG1204*CH1216+CG1205*CH1215+CG1206*CH1214+CG1207*CH1213+CG1208*CH1212+CG1209*CH1211+CG1210*CH1210+CG1211*CH1209+CG1212*CH1208+CG1213*CH1207+CG1214*CH1206+CG1215*CH1205+CG1216*CH1204+CG1217</f>
        <v>5404.4099007711475</v>
      </c>
      <c r="CJ1217" s="114">
        <f t="shared" si="2196"/>
        <v>5.1705566744016981E-2</v>
      </c>
      <c r="CK1217" s="114"/>
      <c r="CL1217" s="169">
        <f t="shared" si="2197"/>
        <v>7.3131686550821336E-3</v>
      </c>
      <c r="CM1217" s="169">
        <f t="shared" si="2205"/>
        <v>7.1483171710137522E-3</v>
      </c>
      <c r="CN1217" s="114">
        <f>VLOOKUP($H1217,RoR!$E:$F,2,FALSE)</f>
        <v>3.6733333333333333E-2</v>
      </c>
      <c r="CO1217" s="169">
        <v>1.924331376386168E-2</v>
      </c>
      <c r="CP1217" s="169">
        <f t="shared" si="2203"/>
        <v>1.7490019569471653E-2</v>
      </c>
      <c r="CQ1217" s="169">
        <f t="shared" si="2206"/>
        <v>2.3753624437519872E-2</v>
      </c>
      <c r="CR1217" s="169">
        <f t="shared" si="2207"/>
        <v>6.7122682943869583E-2</v>
      </c>
      <c r="CS1217" s="179">
        <f t="shared" si="2198"/>
        <v>0.87050000000000005</v>
      </c>
      <c r="CT1217" s="180">
        <f t="shared" si="2199"/>
        <v>1.3960631020522127</v>
      </c>
      <c r="CU1217" s="180">
        <f t="shared" si="2200"/>
        <v>0.29441923774954631</v>
      </c>
      <c r="CV1217" s="180">
        <f t="shared" si="2201"/>
        <v>0.76377954189366437</v>
      </c>
      <c r="CW1217" s="180">
        <f t="shared" si="2202"/>
        <v>0.31393465103033691</v>
      </c>
      <c r="CX1217" s="181">
        <f>INDEX('State Tax Lookup'!$D$7:$Z$91,MATCH(Calculation!$C1217,'State Tax Lookup'!$B$7:$B$91,0),MATCH($H1217,'State Tax Lookup'!$D$6:$Z$6,0))</f>
        <v>0.35</v>
      </c>
      <c r="CY1217" s="72">
        <v>0.37</v>
      </c>
      <c r="CZ1217" s="70">
        <f t="shared" si="2204"/>
        <v>21.189490928921419</v>
      </c>
      <c r="DA1217" s="70">
        <v>20.759737328210988</v>
      </c>
      <c r="DB1217" s="69">
        <f t="shared" si="2209"/>
        <v>7.9825080653657454E-2</v>
      </c>
      <c r="DC1217" s="111">
        <f>VLOOKUP($H1217,RoR!$E:$F,2,FALSE)</f>
        <v>3.6733333333333333E-2</v>
      </c>
      <c r="DD1217" s="216">
        <f>HLOOKUP($H1217,'GDP-PI'!$D$8:$CQ$11,3,FALSE)</f>
        <v>1.924331376386168E-2</v>
      </c>
      <c r="DE1217" s="111">
        <f>VLOOKUP(H1217,'HW Dx Data'!$E:$F,2,FALSE)</f>
        <v>668.91932211262167</v>
      </c>
      <c r="DF1217" s="72">
        <f t="shared" si="2219"/>
        <v>124.80000000000001</v>
      </c>
      <c r="DG1217" s="69">
        <f t="shared" si="2220"/>
        <v>3.1955502161869064E-2</v>
      </c>
      <c r="DH1217" s="66">
        <f>HLOOKUP(H1217,'GDP-PI'!$8:$9,2,FALSE)</f>
        <v>100</v>
      </c>
      <c r="DI1217" s="69">
        <f t="shared" si="2210"/>
        <v>1.9060502738742411E-2</v>
      </c>
    </row>
    <row r="1218" spans="1:113" s="160" customFormat="1" ht="21">
      <c r="A1218" s="160" t="s">
        <v>231</v>
      </c>
      <c r="B1218" s="160" t="s">
        <v>231</v>
      </c>
      <c r="C1218" s="160">
        <v>4059746</v>
      </c>
      <c r="D1218" s="161" t="s">
        <v>177</v>
      </c>
      <c r="E1218" s="161"/>
      <c r="F1218" s="189"/>
      <c r="G1218" s="160" t="s">
        <v>129</v>
      </c>
      <c r="H1218" s="162">
        <v>2013</v>
      </c>
      <c r="I1218" s="163"/>
      <c r="J1218" s="159">
        <f>IFERROR(INDEX('Labor Expenditures'!$F$7:$X$91,MATCH($C1218,'Labor Expenditures'!$D$7:$D$91,0),MATCH($G1218,'Labor Expenditures'!$F$5:$X$5,0)),"NA")</f>
        <v>53787.378632157721</v>
      </c>
      <c r="K1218" s="159">
        <f t="shared" si="2211"/>
        <v>424.1906832189095</v>
      </c>
      <c r="L1218" s="165">
        <f t="shared" si="2217"/>
        <v>-8.1203721197626894E-2</v>
      </c>
      <c r="M1218" s="76">
        <f t="shared" si="2221"/>
        <v>-1.7902882316004989E-3</v>
      </c>
      <c r="N1218" s="62">
        <f t="shared" si="2227"/>
        <v>107.54954370145433</v>
      </c>
      <c r="O1218" s="96">
        <f t="shared" si="2222"/>
        <v>-9.0979709768566355E-2</v>
      </c>
      <c r="P1218" s="96"/>
      <c r="Q1218" s="159">
        <f>IFERROR(INDEX('Non-Labor Expenditures'!$F$7:$AB$91,MATCH($C1218,'Non-Labor Expenditures'!$D$7:$D$91,0),MATCH($G1218,'Non-Labor Expenditures'!$F$5:$AB$5,0)),"NA")</f>
        <v>77894.170355939365</v>
      </c>
      <c r="R1218" s="159">
        <f t="shared" si="2212"/>
        <v>765.3716639574285</v>
      </c>
      <c r="S1218" s="165">
        <f t="shared" si="2223"/>
        <v>-8.2879792146339226E-2</v>
      </c>
      <c r="T1218" s="165">
        <f t="shared" si="2224"/>
        <v>-1.8272403570764293E-3</v>
      </c>
      <c r="U1218" s="165"/>
      <c r="V1218" s="165"/>
      <c r="W1218" s="159">
        <f t="shared" si="2192"/>
        <v>112845.48149208968</v>
      </c>
      <c r="X1218" s="163"/>
      <c r="Y1218" s="167">
        <v>5700.8852532184246</v>
      </c>
      <c r="Z1218" s="168">
        <v>5.3406201778310236E-2</v>
      </c>
      <c r="AA1218" s="76">
        <f t="shared" si="2213"/>
        <v>1.1774398159106118E-3</v>
      </c>
      <c r="AB1218" s="168"/>
      <c r="AC1218" s="168"/>
      <c r="AD1218" s="163">
        <f t="shared" si="2138"/>
        <v>244527.03048018675</v>
      </c>
      <c r="AE1218" s="168">
        <f t="shared" si="2225"/>
        <v>-1.9387516586504915E-2</v>
      </c>
      <c r="AF1218" s="163"/>
      <c r="AG1218" s="163"/>
      <c r="AH1218" s="163"/>
      <c r="AI1218" s="163"/>
      <c r="AJ1218" s="116">
        <f t="shared" si="2226"/>
        <v>205.36720172152326</v>
      </c>
      <c r="AK1218" s="114">
        <f>+AV1218/$AX$18</f>
        <v>3.3127437645357284E-2</v>
      </c>
      <c r="AL1218" s="115">
        <f t="shared" si="2214"/>
        <v>0.21996496062841586</v>
      </c>
      <c r="AM1218" s="115">
        <f t="shared" si="2215"/>
        <v>0.31855034677751459</v>
      </c>
      <c r="AN1218" s="115">
        <f t="shared" si="2216"/>
        <v>0.46148469259406966</v>
      </c>
      <c r="AO1218" s="115">
        <f t="shared" si="2218"/>
        <v>-2.13328330738011E-2</v>
      </c>
      <c r="AP1218" s="166">
        <f t="shared" si="2229"/>
        <v>100.47313004547829</v>
      </c>
      <c r="AQ1218" s="168">
        <f t="shared" si="2230"/>
        <v>-2.1332833073800982E-2</v>
      </c>
      <c r="AR1218" s="169">
        <f>+AD1218/$AF$18</f>
        <v>2.204687427123498E-2</v>
      </c>
      <c r="AS1218" s="169">
        <f t="shared" si="2228"/>
        <v>-4.7032228862733347E-4</v>
      </c>
      <c r="AT1218" s="115"/>
      <c r="AU1218" s="115"/>
      <c r="AV1218" s="113">
        <f>IFERROR(INDEX('Total Customers'!$F$7:$AB$91,MATCH($C1218,'Total Customers'!$D$7:$D$91,0),MATCH($G1218,'Total Customers'!$F$5:$AB$5,0)),"NA")</f>
        <v>1190682</v>
      </c>
      <c r="AW1218" s="68">
        <f t="shared" si="2113"/>
        <v>3.9817043732582192E-4</v>
      </c>
      <c r="AX1218" s="114"/>
      <c r="AY1218" s="114"/>
      <c r="AZ1218" s="116"/>
      <c r="BA1218" s="116"/>
      <c r="BB1218" s="166"/>
      <c r="BC1218" s="166"/>
      <c r="BD1218" s="166"/>
      <c r="BE1218" s="166"/>
      <c r="BF1218" s="166"/>
      <c r="BG1218" s="166"/>
      <c r="BH1218" s="166"/>
      <c r="BI1218" s="113"/>
      <c r="BJ1218" s="113"/>
      <c r="BK1218" s="113">
        <f>INDEX('Dist. Plant Gas Additions'!$F$7:$AE$91,MATCH($C1218,'Dist. Plant Gas Additions'!$D$7:$D$91,0),MATCH(Calculation!$G1218,'Dist. Plant Gas Additions'!$F$5:$AE$5,0))</f>
        <v>217175</v>
      </c>
      <c r="BL1218" s="113">
        <f>INDEX('Gen. Plant Additions'!$F$7:$AE$91,MATCH($C1218,'Gen. Plant Additions'!$D$7:$D$91,0),MATCH(Calculation!$G1218,'Gen. Plant Additions'!$F$5:$AE$5,0))</f>
        <v>6276</v>
      </c>
      <c r="BM1218" s="231">
        <f t="shared" si="2193"/>
        <v>0.93690910964408003</v>
      </c>
      <c r="BN1218" s="61">
        <f t="shared" si="2208"/>
        <v>5880.0415721262461</v>
      </c>
      <c r="BO1218" s="113">
        <f>INDEX('Dist Plant Depreciation'!$E$7:$AD$94,MATCH($C1218,'Dist Plant Depreciation'!$D$7:$D$94,0),MATCH(Calculation!$G1218,'Dist Plant Depreciation'!$E$5:$AD$5,0))</f>
        <v>769372</v>
      </c>
      <c r="BP1218" s="113">
        <f>INDEX('Gen. Plant Depreciation'!$E$7:$AD$94,MATCH($C1218,'Gen. Plant Depreciation'!$D$7:$D$94,0),MATCH(Calculation!$G1218,'Gen. Plant Depreciation'!$E$5:$AD$5,0))</f>
        <v>33064</v>
      </c>
      <c r="BQ1218" s="113"/>
      <c r="BR1218" s="113"/>
      <c r="BS1218" s="113"/>
      <c r="BT1218" s="113"/>
      <c r="BU1218" s="113"/>
      <c r="BV1218" s="175"/>
      <c r="BW1218" s="113">
        <f>INDEX('Gross Dx Plant'!$E$7:$AD$91,MATCH($C1218,'Gross Dx Plant'!$D$7:$D$91,0),MATCH(Calculation!$G1218,'Gross Dx Plant'!$E$5:$AD$5,0))</f>
        <v>2300392</v>
      </c>
      <c r="BX1218" s="113">
        <f>INDEX('Gross Gen Plant'!$E$7:$AD$91,MATCH($C1218,'Gross Gen Plant'!$D$7:$D$91,0),MATCH(Calculation!$G1218,'Gross Gen Plant'!$E$5:$AD$5,0))</f>
        <v>154907</v>
      </c>
      <c r="BY1218" s="113">
        <f t="shared" si="2187"/>
        <v>1652863</v>
      </c>
      <c r="BZ1218" s="113"/>
      <c r="CA1218" s="116">
        <v>2013</v>
      </c>
      <c r="CB1218" s="113"/>
      <c r="CC1218" s="113"/>
      <c r="CD1218" s="113"/>
      <c r="CE1218" s="175"/>
      <c r="CF1218" s="113">
        <f t="shared" si="2194"/>
        <v>223451</v>
      </c>
      <c r="CG1218" s="113">
        <f t="shared" si="2195"/>
        <v>336.90393848066441</v>
      </c>
      <c r="CH1218" s="178">
        <v>0.90566037735849059</v>
      </c>
      <c r="CI1218" s="61">
        <f>+CI1203*CH1218+CG1204*CH1217+CG1205*CH1216+CG1206*CH1215+CG1207*CH1214+CG1208*CH1213+CG1209*CH1212+CG1210*CH1211+CG1211*CH1210+CG1212*CH1209+CG1213*CH1208+CG1214*CH1207+CG1215*CH1206+CG1216*CH1205+CG1217*CH1204+CG1218</f>
        <v>5700.8852532184246</v>
      </c>
      <c r="CJ1218" s="114">
        <f t="shared" si="2196"/>
        <v>5.3406201778310236E-2</v>
      </c>
      <c r="CK1218" s="114"/>
      <c r="CL1218" s="169">
        <f t="shared" si="2197"/>
        <v>7.4806661181674181E-3</v>
      </c>
      <c r="CM1218" s="169">
        <f t="shared" si="2205"/>
        <v>7.3140821311717605E-3</v>
      </c>
      <c r="CN1218" s="114">
        <f>VLOOKUP($H1218,RoR!$E:$F,2,FALSE)</f>
        <v>4.2350000000000006E-2</v>
      </c>
      <c r="CO1218" s="169">
        <v>1.7730000000000024E-2</v>
      </c>
      <c r="CP1218" s="169">
        <f t="shared" si="2203"/>
        <v>2.4619999999999982E-2</v>
      </c>
      <c r="CQ1218" s="169">
        <f t="shared" si="2206"/>
        <v>2.3587859477361865E-2</v>
      </c>
      <c r="CR1218" s="169">
        <f t="shared" si="2207"/>
        <v>5.3376742735721204E-2</v>
      </c>
      <c r="CS1218" s="179">
        <f t="shared" si="2198"/>
        <v>0.87050000000000005</v>
      </c>
      <c r="CT1218" s="180">
        <f t="shared" si="2199"/>
        <v>1.2109103018193925</v>
      </c>
      <c r="CU1218" s="180">
        <f t="shared" si="2200"/>
        <v>0.38468122786304604</v>
      </c>
      <c r="CV1218" s="180">
        <f t="shared" si="2201"/>
        <v>0.80969194503422559</v>
      </c>
      <c r="CW1218" s="180">
        <f t="shared" si="2202"/>
        <v>0.37716621754800816</v>
      </c>
      <c r="CX1218" s="181">
        <f>INDEX('State Tax Lookup'!$D$7:$Z$91,MATCH(Calculation!$C1218,'State Tax Lookup'!$B$7:$B$91,0),MATCH($H1218,'State Tax Lookup'!$D$6:$Z$6,0))</f>
        <v>0.35</v>
      </c>
      <c r="CY1218" s="72">
        <v>0.37</v>
      </c>
      <c r="CZ1218" s="70">
        <f t="shared" si="2204"/>
        <v>20.880259559140381</v>
      </c>
      <c r="DA1218" s="70">
        <v>20.339519021246105</v>
      </c>
      <c r="DB1218" s="69">
        <f t="shared" si="2209"/>
        <v>-1.4701153942279832E-2</v>
      </c>
      <c r="DC1218" s="111">
        <f>VLOOKUP($H1218,RoR!$E:$F,2,FALSE)</f>
        <v>4.2350000000000006E-2</v>
      </c>
      <c r="DD1218" s="216">
        <f>HLOOKUP($H1218,'GDP-PI'!$D$8:$CQ$11,3,FALSE)</f>
        <v>1.7730000000000024E-2</v>
      </c>
      <c r="DE1218" s="111">
        <f>VLOOKUP(H1218,'HW Dx Data'!$E:$F,2,FALSE)</f>
        <v>663.24840548821396</v>
      </c>
      <c r="DF1218" s="72">
        <f t="shared" si="2219"/>
        <v>126.8</v>
      </c>
      <c r="DG1218" s="69">
        <f t="shared" si="2220"/>
        <v>1.5898586067798204E-2</v>
      </c>
      <c r="DH1218" s="66">
        <f>HLOOKUP(H1218,'GDP-PI'!$8:$9,2,FALSE)</f>
        <v>101.773</v>
      </c>
      <c r="DI1218" s="69">
        <f t="shared" si="2210"/>
        <v>1.7574657016510519E-2</v>
      </c>
    </row>
    <row r="1219" spans="1:113" s="160" customFormat="1" ht="21">
      <c r="A1219" s="160" t="s">
        <v>231</v>
      </c>
      <c r="B1219" s="160" t="s">
        <v>231</v>
      </c>
      <c r="C1219" s="160">
        <v>4059746</v>
      </c>
      <c r="D1219" s="161" t="s">
        <v>177</v>
      </c>
      <c r="E1219" s="161"/>
      <c r="F1219" s="189"/>
      <c r="G1219" s="160" t="s">
        <v>130</v>
      </c>
      <c r="H1219" s="162">
        <v>2014</v>
      </c>
      <c r="I1219" s="163"/>
      <c r="J1219" s="159">
        <f>IFERROR(INDEX('Labor Expenditures'!$F$7:$X$91,MATCH($C1219,'Labor Expenditures'!$D$7:$D$91,0),MATCH($G1219,'Labor Expenditures'!$F$5:$X$5,0)),"NA")</f>
        <v>54232.6483570071</v>
      </c>
      <c r="K1219" s="159">
        <f t="shared" si="2211"/>
        <v>419.10856535554171</v>
      </c>
      <c r="L1219" s="165">
        <f t="shared" si="2217"/>
        <v>-1.2053086488577818E-2</v>
      </c>
      <c r="M1219" s="76">
        <f t="shared" si="2221"/>
        <v>-2.6983631992926865E-4</v>
      </c>
      <c r="N1219" s="62">
        <f t="shared" si="2227"/>
        <v>122.42287552706971</v>
      </c>
      <c r="O1219" s="96">
        <f t="shared" si="2222"/>
        <v>0.12952963113676352</v>
      </c>
      <c r="P1219" s="96"/>
      <c r="Q1219" s="159">
        <f>IFERROR(INDEX('Non-Labor Expenditures'!$F$7:$AB$91,MATCH($C1219,'Non-Labor Expenditures'!$D$7:$D$91,0),MATCH($G1219,'Non-Labor Expenditures'!$F$5:$AB$5,0)),"NA")</f>
        <v>78539.004082434141</v>
      </c>
      <c r="R1219" s="159">
        <f t="shared" si="2212"/>
        <v>757.75472596827831</v>
      </c>
      <c r="S1219" s="165">
        <f t="shared" si="2223"/>
        <v>-1.0001798323159099E-2</v>
      </c>
      <c r="T1219" s="165">
        <f t="shared" si="2224"/>
        <v>-2.2391347268216832E-4</v>
      </c>
      <c r="U1219" s="165"/>
      <c r="V1219" s="165"/>
      <c r="W1219" s="159">
        <f t="shared" si="2192"/>
        <v>122102.21027301134</v>
      </c>
      <c r="X1219" s="163"/>
      <c r="Y1219" s="167">
        <v>5975.5135522944183</v>
      </c>
      <c r="Z1219" s="168">
        <v>4.7048573935157635E-2</v>
      </c>
      <c r="AA1219" s="76">
        <f t="shared" si="2213"/>
        <v>1.0532915415992353E-3</v>
      </c>
      <c r="AB1219" s="168"/>
      <c r="AC1219" s="168"/>
      <c r="AD1219" s="163">
        <f t="shared" si="2138"/>
        <v>254873.8627124526</v>
      </c>
      <c r="AE1219" s="168">
        <f t="shared" si="2225"/>
        <v>4.144290983071023E-2</v>
      </c>
      <c r="AF1219" s="163"/>
      <c r="AG1219" s="163"/>
      <c r="AH1219" s="163"/>
      <c r="AI1219" s="163"/>
      <c r="AJ1219" s="116">
        <f t="shared" si="2226"/>
        <v>213.93162778664455</v>
      </c>
      <c r="AK1219" s="114">
        <f>+AV1219/$AX$19</f>
        <v>3.296973037923575E-2</v>
      </c>
      <c r="AL1219" s="115">
        <f t="shared" si="2214"/>
        <v>0.21278230643128793</v>
      </c>
      <c r="AM1219" s="115">
        <f t="shared" si="2215"/>
        <v>0.30814852196531994</v>
      </c>
      <c r="AN1219" s="115">
        <f t="shared" si="2216"/>
        <v>0.47906917160339207</v>
      </c>
      <c r="AO1219" s="115">
        <f t="shared" si="2218"/>
        <v>1.6383831043804205E-2</v>
      </c>
      <c r="AP1219" s="166">
        <f t="shared" si="2229"/>
        <v>102.13282377764318</v>
      </c>
      <c r="AQ1219" s="168">
        <f t="shared" si="2230"/>
        <v>1.6383831043804163E-2</v>
      </c>
      <c r="AR1219" s="169">
        <f>+AD1219/$AF$19</f>
        <v>2.2387321304379645E-2</v>
      </c>
      <c r="AS1219" s="169">
        <f t="shared" si="2228"/>
        <v>3.6679008977431356E-4</v>
      </c>
      <c r="AT1219" s="115"/>
      <c r="AU1219" s="115"/>
      <c r="AV1219" s="113">
        <f>IFERROR(INDEX('Total Customers'!$F$7:$AB$91,MATCH($C1219,'Total Customers'!$D$7:$D$91,0),MATCH($G1219,'Total Customers'!$F$5:$AB$5,0)),"NA")</f>
        <v>1191380</v>
      </c>
      <c r="AW1219" s="68">
        <f t="shared" si="2113"/>
        <v>5.8604689548574578E-4</v>
      </c>
      <c r="AX1219" s="114"/>
      <c r="AY1219" s="114"/>
      <c r="AZ1219" s="116"/>
      <c r="BA1219" s="116"/>
      <c r="BB1219" s="166"/>
      <c r="BC1219" s="166"/>
      <c r="BD1219" s="166"/>
      <c r="BE1219" s="166"/>
      <c r="BF1219" s="166"/>
      <c r="BG1219" s="166"/>
      <c r="BH1219" s="166"/>
      <c r="BI1219" s="113"/>
      <c r="BJ1219" s="113"/>
      <c r="BK1219" s="113">
        <f>INDEX('Dist. Plant Gas Additions'!$F$7:$AE$91,MATCH($C1219,'Dist. Plant Gas Additions'!$D$7:$D$91,0),MATCH(Calculation!$G1219,'Dist. Plant Gas Additions'!$F$5:$AE$5,0))</f>
        <v>208114</v>
      </c>
      <c r="BL1219" s="113">
        <f>INDEX('Gen. Plant Additions'!$F$7:$AE$91,MATCH($C1219,'Gen. Plant Additions'!$D$7:$D$91,0),MATCH(Calculation!$G1219,'Gen. Plant Additions'!$F$5:$AE$5,0))</f>
        <v>9691</v>
      </c>
      <c r="BM1219" s="231">
        <f t="shared" si="2193"/>
        <v>0.94121927408809047</v>
      </c>
      <c r="BN1219" s="61">
        <f t="shared" si="2208"/>
        <v>9121.3559851876853</v>
      </c>
      <c r="BO1219" s="113">
        <f>INDEX('Dist Plant Depreciation'!$E$7:$AD$94,MATCH($C1219,'Dist Plant Depreciation'!$D$7:$D$94,0),MATCH(Calculation!$G1219,'Dist Plant Depreciation'!$E$5:$AD$5,0))</f>
        <v>818318</v>
      </c>
      <c r="BP1219" s="113">
        <f>INDEX('Gen. Plant Depreciation'!$E$7:$AD$94,MATCH($C1219,'Gen. Plant Depreciation'!$D$7:$D$94,0),MATCH(Calculation!$G1219,'Gen. Plant Depreciation'!$E$5:$AD$5,0))</f>
        <v>14505</v>
      </c>
      <c r="BQ1219" s="113"/>
      <c r="BR1219" s="113"/>
      <c r="BS1219" s="113"/>
      <c r="BT1219" s="113"/>
      <c r="BU1219" s="113"/>
      <c r="BV1219" s="175"/>
      <c r="BW1219" s="113">
        <f>INDEX('Gross Dx Plant'!$E$7:$AD$91,MATCH($C1219,'Gross Dx Plant'!$D$7:$D$91,0),MATCH(Calculation!$G1219,'Gross Dx Plant'!$E$5:$AD$5,0))</f>
        <v>2499020</v>
      </c>
      <c r="BX1219" s="113">
        <f>INDEX('Gross Gen Plant'!$E$7:$AD$91,MATCH($C1219,'Gross Gen Plant'!$D$7:$D$91,0),MATCH(Calculation!$G1219,'Gross Gen Plant'!$E$5:$AD$5,0))</f>
        <v>156068</v>
      </c>
      <c r="BY1219" s="113">
        <f t="shared" si="2187"/>
        <v>1822265</v>
      </c>
      <c r="BZ1219" s="113"/>
      <c r="CA1219" s="116">
        <v>2014</v>
      </c>
      <c r="CB1219" s="113"/>
      <c r="CC1219" s="113"/>
      <c r="CD1219" s="113"/>
      <c r="CE1219" s="175"/>
      <c r="CF1219" s="113">
        <f t="shared" si="2194"/>
        <v>217805</v>
      </c>
      <c r="CG1219" s="113">
        <f t="shared" si="2195"/>
        <v>318.21010819123961</v>
      </c>
      <c r="CH1219" s="178">
        <v>0.89743589743589747</v>
      </c>
      <c r="CI1219" s="61">
        <f>+CI1203*CH1219+CG1204*CH1218+CG1205*CH1217+CG1206*CH1216+CG1207*CH1215+CG1208*CH1214+CG1209*CH1213+CG1210*CH1212+CG1211*CH1211+CG1212*CH1210+CG1213*CH1209+CG1214*CH1208+CG1215*CH1207+CG1216*CH1206+CG1217*CH1205+CG1218*CH1204+CG1219</f>
        <v>5975.5135522944183</v>
      </c>
      <c r="CJ1219" s="114">
        <f t="shared" si="2196"/>
        <v>4.7048573935157635E-2</v>
      </c>
      <c r="CK1219" s="114"/>
      <c r="CL1219" s="169">
        <f t="shared" si="2197"/>
        <v>7.6447441369990512E-3</v>
      </c>
      <c r="CM1219" s="169">
        <f t="shared" si="2205"/>
        <v>7.4795263034162012E-3</v>
      </c>
      <c r="CN1219" s="114">
        <f>VLOOKUP($H1219,RoR!$E:$F,2,FALSE)</f>
        <v>4.1625000000000002E-2</v>
      </c>
      <c r="CO1219" s="169">
        <v>1.841352814597208E-2</v>
      </c>
      <c r="CP1219" s="169">
        <f t="shared" si="2203"/>
        <v>2.3211471854027922E-2</v>
      </c>
      <c r="CQ1219" s="169">
        <f t="shared" si="2206"/>
        <v>2.3422415305117423E-2</v>
      </c>
      <c r="CR1219" s="169">
        <f t="shared" si="2207"/>
        <v>3.9072621432650924E-2</v>
      </c>
      <c r="CS1219" s="179">
        <f t="shared" si="2198"/>
        <v>0.87050000000000005</v>
      </c>
      <c r="CT1219" s="180">
        <f t="shared" si="2199"/>
        <v>1.2320012320012319</v>
      </c>
      <c r="CU1219" s="180">
        <f t="shared" si="2200"/>
        <v>0.37439939939939942</v>
      </c>
      <c r="CV1219" s="180">
        <f t="shared" si="2201"/>
        <v>0.80432100613819935</v>
      </c>
      <c r="CW1219" s="180">
        <f t="shared" si="2202"/>
        <v>0.37100152660040037</v>
      </c>
      <c r="CX1219" s="181">
        <f>INDEX('State Tax Lookup'!$D$7:$Z$91,MATCH(Calculation!$C1219,'State Tax Lookup'!$B$7:$B$91,0),MATCH($H1219,'State Tax Lookup'!$D$6:$Z$6,0))</f>
        <v>0.35</v>
      </c>
      <c r="CY1219" s="72">
        <v>0.37</v>
      </c>
      <c r="CZ1219" s="70">
        <f t="shared" si="2204"/>
        <v>21.418114003273221</v>
      </c>
      <c r="DA1219" s="70">
        <v>20.763592984765573</v>
      </c>
      <c r="DB1219" s="69">
        <f t="shared" si="2209"/>
        <v>2.543281881268477E-2</v>
      </c>
      <c r="DC1219" s="111">
        <f>VLOOKUP($H1219,RoR!$E:$F,2,FALSE)</f>
        <v>4.1625000000000002E-2</v>
      </c>
      <c r="DD1219" s="216">
        <f>HLOOKUP($H1219,'GDP-PI'!$D$8:$CQ$11,3,FALSE)</f>
        <v>1.841352814597208E-2</v>
      </c>
      <c r="DE1219" s="111">
        <f>VLOOKUP(H1219,'HW Dx Data'!$E:$F,2,FALSE)</f>
        <v>684.46914285042885</v>
      </c>
      <c r="DF1219" s="72">
        <f t="shared" si="2219"/>
        <v>129.4</v>
      </c>
      <c r="DG1219" s="69">
        <f t="shared" si="2220"/>
        <v>2.0297340063674733E-2</v>
      </c>
      <c r="DH1219" s="66">
        <f>HLOOKUP(H1219,'GDP-PI'!$8:$9,2,FALSE)</f>
        <v>103.64700000000001</v>
      </c>
      <c r="DI1219" s="69">
        <f t="shared" si="2210"/>
        <v>1.8246051898256087E-2</v>
      </c>
    </row>
    <row r="1220" spans="1:113" s="160" customFormat="1" ht="21">
      <c r="A1220" s="160" t="s">
        <v>231</v>
      </c>
      <c r="B1220" s="160" t="s">
        <v>231</v>
      </c>
      <c r="C1220" s="160">
        <v>4059746</v>
      </c>
      <c r="D1220" s="161" t="s">
        <v>177</v>
      </c>
      <c r="E1220" s="161"/>
      <c r="F1220" s="189"/>
      <c r="G1220" s="160" t="s">
        <v>132</v>
      </c>
      <c r="H1220" s="162">
        <v>2015</v>
      </c>
      <c r="I1220" s="163"/>
      <c r="J1220" s="159">
        <f>IFERROR(INDEX('Labor Expenditures'!$F$7:$X$91,MATCH($C1220,'Labor Expenditures'!$D$7:$D$91,0),MATCH($G1220,'Labor Expenditures'!$F$5:$X$5,0)),"NA")</f>
        <v>51575.147147367468</v>
      </c>
      <c r="K1220" s="159">
        <f t="shared" si="2211"/>
        <v>386.33069024245293</v>
      </c>
      <c r="L1220" s="165">
        <f t="shared" si="2217"/>
        <v>-8.1436279049942745E-2</v>
      </c>
      <c r="M1220" s="76">
        <f t="shared" si="2221"/>
        <v>-1.7845570718157146E-3</v>
      </c>
      <c r="N1220" s="62">
        <f t="shared" si="2227"/>
        <v>122.50580545878449</v>
      </c>
      <c r="O1220" s="96">
        <f t="shared" si="2222"/>
        <v>6.7717618492097787E-4</v>
      </c>
      <c r="P1220" s="96"/>
      <c r="Q1220" s="159">
        <f>IFERROR(INDEX('Non-Labor Expenditures'!$F$7:$AB$91,MATCH($C1220,'Non-Labor Expenditures'!$D$7:$D$91,0),MATCH($G1220,'Non-Labor Expenditures'!$F$5:$AB$5,0)),"NA")</f>
        <v>74690.445978116652</v>
      </c>
      <c r="R1220" s="159">
        <f t="shared" si="2212"/>
        <v>713.79166446656268</v>
      </c>
      <c r="S1220" s="165">
        <f t="shared" si="2223"/>
        <v>-5.9768619461881424E-2</v>
      </c>
      <c r="T1220" s="165">
        <f t="shared" si="2224"/>
        <v>-1.3097419697669479E-3</v>
      </c>
      <c r="U1220" s="165"/>
      <c r="V1220" s="165"/>
      <c r="W1220" s="159">
        <f t="shared" si="2192"/>
        <v>125681.31578009477</v>
      </c>
      <c r="X1220" s="163"/>
      <c r="Y1220" s="167">
        <v>6335.6620413010278</v>
      </c>
      <c r="Z1220" s="168">
        <v>5.8524269349532747E-2</v>
      </c>
      <c r="AA1220" s="76">
        <f t="shared" si="2213"/>
        <v>1.2824738551291872E-3</v>
      </c>
      <c r="AB1220" s="168"/>
      <c r="AC1220" s="168"/>
      <c r="AD1220" s="163">
        <f t="shared" si="2138"/>
        <v>251946.90890557889</v>
      </c>
      <c r="AE1220" s="168">
        <f t="shared" si="2225"/>
        <v>-1.1550380376793698E-2</v>
      </c>
      <c r="AF1220" s="163"/>
      <c r="AG1220" s="163"/>
      <c r="AH1220" s="163"/>
      <c r="AI1220" s="163"/>
      <c r="AJ1220" s="116">
        <f t="shared" si="2226"/>
        <v>211.18131297427647</v>
      </c>
      <c r="AK1220" s="114">
        <f>+AV1220/$AX$20</f>
        <v>3.2747098359762986E-2</v>
      </c>
      <c r="AL1220" s="115">
        <f t="shared" si="2214"/>
        <v>0.20470640966147385</v>
      </c>
      <c r="AM1220" s="115">
        <f t="shared" si="2215"/>
        <v>0.29645311507317634</v>
      </c>
      <c r="AN1220" s="115">
        <f t="shared" si="2216"/>
        <v>0.4988404752653498</v>
      </c>
      <c r="AO1220" s="115">
        <f t="shared" si="2218"/>
        <v>-6.4517425906321091E-3</v>
      </c>
      <c r="AP1220" s="166">
        <f t="shared" si="2229"/>
        <v>101.47601016308072</v>
      </c>
      <c r="AQ1220" s="168">
        <f t="shared" si="2230"/>
        <v>-6.4517425906320961E-3</v>
      </c>
      <c r="AR1220" s="169">
        <f>+AD1220/$AF$20</f>
        <v>2.1913538936636487E-2</v>
      </c>
      <c r="AS1220" s="169">
        <f t="shared" si="2228"/>
        <v>-1.413805124689724E-4</v>
      </c>
      <c r="AT1220" s="115"/>
      <c r="AU1220" s="115"/>
      <c r="AV1220" s="113">
        <f>IFERROR(INDEX('Total Customers'!$F$7:$AB$91,MATCH($C1220,'Total Customers'!$D$7:$D$91,0),MATCH($G1220,'Total Customers'!$F$5:$AB$5,0)),"NA")</f>
        <v>1193036</v>
      </c>
      <c r="AW1220" s="68">
        <f t="shared" ref="AW1220:AW1283" si="2231">LN(AV1220/AV1219)</f>
        <v>1.3890195890765844E-3</v>
      </c>
      <c r="AX1220" s="114"/>
      <c r="AY1220" s="114"/>
      <c r="AZ1220" s="116"/>
      <c r="BA1220" s="116"/>
      <c r="BB1220" s="166"/>
      <c r="BC1220" s="166"/>
      <c r="BD1220" s="166"/>
      <c r="BE1220" s="166"/>
      <c r="BF1220" s="166"/>
      <c r="BG1220" s="166"/>
      <c r="BH1220" s="166"/>
      <c r="BI1220" s="113"/>
      <c r="BJ1220" s="113"/>
      <c r="BK1220" s="113">
        <f>INDEX('Dist. Plant Gas Additions'!$F$7:$AE$91,MATCH($C1220,'Dist. Plant Gas Additions'!$D$7:$D$91,0),MATCH(Calculation!$G1220,'Dist. Plant Gas Additions'!$F$5:$AE$5,0))</f>
        <v>243349</v>
      </c>
      <c r="BL1220" s="113">
        <f>INDEX('Gen. Plant Additions'!$F$7:$AE$91,MATCH($C1220,'Gen. Plant Additions'!$D$7:$D$91,0),MATCH(Calculation!$G1220,'Gen. Plant Additions'!$F$5:$AE$5,0))</f>
        <v>31575</v>
      </c>
      <c r="BM1220" s="231">
        <f t="shared" si="2193"/>
        <v>0.93769325758430466</v>
      </c>
      <c r="BN1220" s="61">
        <f t="shared" si="2208"/>
        <v>29607.664608224419</v>
      </c>
      <c r="BO1220" s="113">
        <f>INDEX('Dist Plant Depreciation'!$E$7:$AD$94,MATCH($C1220,'Dist Plant Depreciation'!$D$7:$D$94,0),MATCH(Calculation!$G1220,'Dist Plant Depreciation'!$E$5:$AD$5,0))</f>
        <v>869611</v>
      </c>
      <c r="BP1220" s="113">
        <f>INDEX('Gen. Plant Depreciation'!$E$7:$AD$94,MATCH($C1220,'Gen. Plant Depreciation'!$D$7:$D$94,0),MATCH(Calculation!$G1220,'Gen. Plant Depreciation'!$E$5:$AD$5,0))</f>
        <v>-2784</v>
      </c>
      <c r="BQ1220" s="113"/>
      <c r="BR1220" s="113"/>
      <c r="BS1220" s="113"/>
      <c r="BT1220" s="113"/>
      <c r="BU1220" s="113"/>
      <c r="BV1220" s="175"/>
      <c r="BW1220" s="113">
        <f>INDEX('Gross Dx Plant'!$E$7:$AD$91,MATCH($C1220,'Gross Dx Plant'!$D$7:$D$91,0),MATCH(Calculation!$G1220,'Gross Dx Plant'!$E$5:$AD$5,0))</f>
        <v>2734427</v>
      </c>
      <c r="BX1220" s="113">
        <f>INDEX('Gross Gen Plant'!$E$7:$AD$91,MATCH($C1220,'Gross Gen Plant'!$D$7:$D$91,0),MATCH(Calculation!$G1220,'Gross Gen Plant'!$E$5:$AD$5,0))</f>
        <v>181694</v>
      </c>
      <c r="BY1220" s="113">
        <f t="shared" si="2187"/>
        <v>2049294</v>
      </c>
      <c r="BZ1220" s="113"/>
      <c r="CA1220" s="116">
        <v>2015</v>
      </c>
      <c r="CB1220" s="113"/>
      <c r="CC1220" s="113"/>
      <c r="CD1220" s="113"/>
      <c r="CE1220" s="175"/>
      <c r="CF1220" s="113">
        <f t="shared" si="2194"/>
        <v>274924</v>
      </c>
      <c r="CG1220" s="113">
        <f t="shared" si="2195"/>
        <v>406.92428277339701</v>
      </c>
      <c r="CH1220" s="178">
        <v>0.88888888888888884</v>
      </c>
      <c r="CI1220" s="61">
        <f>+CI1203*CH1220+CG1204*CH1219+CG1205*CH1218+CG1206*CH1217+CG1207*CH1216+CG1208*CH1215+CG1209*CH1214+CG1210*CH1213+CG1211*CH1212+CG1212*CH1211+CG1213*CH1210+CG1214*CH1209+CG1215*CH1208+CG1216*CH1207+CG1217*CH1206+CG1218*CH1205+CG1219*CH1204+CG1220</f>
        <v>6335.6620413010278</v>
      </c>
      <c r="CJ1220" s="114">
        <f t="shared" si="2196"/>
        <v>5.8524269349532747E-2</v>
      </c>
      <c r="CK1220" s="114"/>
      <c r="CL1220" s="169">
        <f t="shared" si="2197"/>
        <v>7.8279119204452408E-3</v>
      </c>
      <c r="CM1220" s="169">
        <f t="shared" si="2205"/>
        <v>7.6511073918705706E-3</v>
      </c>
      <c r="CN1220" s="114">
        <f>VLOOKUP($H1220,RoR!$E:$F,2,FALSE)</f>
        <v>3.8866666666666674E-2</v>
      </c>
      <c r="CO1220" s="169">
        <v>9.5709475431029478E-3</v>
      </c>
      <c r="CP1220" s="169">
        <f t="shared" si="2203"/>
        <v>2.9295719123563727E-2</v>
      </c>
      <c r="CQ1220" s="169">
        <f t="shared" si="2206"/>
        <v>2.3250834216663054E-2</v>
      </c>
      <c r="CR1220" s="169">
        <f t="shared" si="2207"/>
        <v>3.5270373279175926E-3</v>
      </c>
      <c r="CS1220" s="179">
        <f t="shared" si="2198"/>
        <v>0.87050000000000005</v>
      </c>
      <c r="CT1220" s="180">
        <f t="shared" si="2199"/>
        <v>1.3194352816994324</v>
      </c>
      <c r="CU1220" s="180">
        <f t="shared" si="2200"/>
        <v>0.33177530017152673</v>
      </c>
      <c r="CV1220" s="180">
        <f t="shared" si="2201"/>
        <v>0.78242572977668579</v>
      </c>
      <c r="CW1220" s="180">
        <f t="shared" si="2202"/>
        <v>0.34251158643433932</v>
      </c>
      <c r="CX1220" s="181">
        <f>INDEX('State Tax Lookup'!$D$7:$Z$91,MATCH(Calculation!$C1220,'State Tax Lookup'!$B$7:$B$91,0),MATCH($H1220,'State Tax Lookup'!$D$6:$Z$6,0))</f>
        <v>0.35</v>
      </c>
      <c r="CY1220" s="72">
        <v>0.37</v>
      </c>
      <c r="CZ1220" s="70">
        <f t="shared" si="2204"/>
        <v>21.032722071534238</v>
      </c>
      <c r="DA1220" s="70">
        <v>20.279488671080099</v>
      </c>
      <c r="DB1220" s="69">
        <f t="shared" si="2209"/>
        <v>-1.8157593861644054E-2</v>
      </c>
      <c r="DC1220" s="111">
        <f>VLOOKUP($H1220,RoR!$E:$F,2,FALSE)</f>
        <v>3.8866666666666674E-2</v>
      </c>
      <c r="DD1220" s="216">
        <f>HLOOKUP($H1220,'GDP-PI'!$D$8:$CQ$11,3,FALSE)</f>
        <v>9.5709475431029478E-3</v>
      </c>
      <c r="DE1220" s="111">
        <f>VLOOKUP(H1220,'HW Dx Data'!$E:$F,2,FALSE)</f>
        <v>675.61463308665782</v>
      </c>
      <c r="DF1220" s="72">
        <f t="shared" si="2219"/>
        <v>133.5</v>
      </c>
      <c r="DG1220" s="69">
        <f t="shared" si="2220"/>
        <v>3.1193095773504077E-2</v>
      </c>
      <c r="DH1220" s="66">
        <f>HLOOKUP(H1220,'GDP-PI'!$8:$9,2,FALSE)</f>
        <v>104.639</v>
      </c>
      <c r="DI1220" s="69">
        <f t="shared" si="2210"/>
        <v>9.5254361854427965E-3</v>
      </c>
    </row>
    <row r="1221" spans="1:113" s="160" customFormat="1" ht="21">
      <c r="A1221" s="160" t="s">
        <v>231</v>
      </c>
      <c r="B1221" s="160" t="s">
        <v>231</v>
      </c>
      <c r="C1221" s="160">
        <v>4059746</v>
      </c>
      <c r="D1221" s="161" t="s">
        <v>177</v>
      </c>
      <c r="E1221" s="161"/>
      <c r="F1221" s="189"/>
      <c r="G1221" s="160" t="s">
        <v>133</v>
      </c>
      <c r="H1221" s="162">
        <v>2016</v>
      </c>
      <c r="I1221" s="163"/>
      <c r="J1221" s="159">
        <f>IFERROR(INDEX('Labor Expenditures'!$F$7:$X$91,MATCH($C1221,'Labor Expenditures'!$D$7:$D$91,0),MATCH($G1221,'Labor Expenditures'!$F$5:$X$5,0)),"NA")</f>
        <v>52139.14993054614</v>
      </c>
      <c r="K1221" s="159">
        <f t="shared" si="2211"/>
        <v>380.71668441435668</v>
      </c>
      <c r="L1221" s="165">
        <f t="shared" si="2217"/>
        <v>-1.4638225120252146E-2</v>
      </c>
      <c r="M1221" s="76">
        <f t="shared" si="2221"/>
        <v>-3.1881672109308794E-4</v>
      </c>
      <c r="N1221" s="62">
        <f t="shared" si="2227"/>
        <v>303.91154766076193</v>
      </c>
      <c r="O1221" s="96">
        <f t="shared" si="2222"/>
        <v>0.90857827706431848</v>
      </c>
      <c r="P1221" s="96"/>
      <c r="Q1221" s="159">
        <f>IFERROR(INDEX('Non-Labor Expenditures'!$F$7:$AB$91,MATCH($C1221,'Non-Labor Expenditures'!$D$7:$D$91,0),MATCH($G1221,'Non-Labor Expenditures'!$F$5:$AB$5,0)),"NA")</f>
        <v>75507.227349348541</v>
      </c>
      <c r="R1221" s="159">
        <f t="shared" si="2212"/>
        <v>714.11087377381909</v>
      </c>
      <c r="S1221" s="165">
        <f t="shared" si="2223"/>
        <v>4.4710238132539905E-4</v>
      </c>
      <c r="T1221" s="165">
        <f t="shared" si="2224"/>
        <v>9.7377731272806015E-6</v>
      </c>
      <c r="U1221" s="165"/>
      <c r="V1221" s="165"/>
      <c r="W1221" s="159">
        <f t="shared" si="2192"/>
        <v>131483.36095120746</v>
      </c>
      <c r="X1221" s="163"/>
      <c r="Y1221" s="167">
        <v>6705.9084810423183</v>
      </c>
      <c r="Z1221" s="168">
        <v>5.6794686978072648E-2</v>
      </c>
      <c r="AA1221" s="76">
        <f t="shared" si="2213"/>
        <v>1.2369734533462021E-3</v>
      </c>
      <c r="AB1221" s="168"/>
      <c r="AC1221" s="168"/>
      <c r="AD1221" s="163">
        <f t="shared" si="2138"/>
        <v>259129.73823110215</v>
      </c>
      <c r="AE1221" s="168">
        <f t="shared" si="2225"/>
        <v>2.8110469722914595E-2</v>
      </c>
      <c r="AF1221" s="163"/>
      <c r="AG1221" s="163"/>
      <c r="AH1221" s="163"/>
      <c r="AI1221" s="163"/>
      <c r="AJ1221" s="116">
        <f t="shared" si="2226"/>
        <v>215.90564417325973</v>
      </c>
      <c r="AK1221" s="114">
        <f>+AV1221/$AX$21</f>
        <v>3.2659032504880219E-2</v>
      </c>
      <c r="AL1221" s="115">
        <f t="shared" si="2214"/>
        <v>0.20120866978241758</v>
      </c>
      <c r="AM1221" s="115">
        <f t="shared" si="2215"/>
        <v>0.29138773444060756</v>
      </c>
      <c r="AN1221" s="115">
        <f t="shared" si="2216"/>
        <v>0.5074035957769748</v>
      </c>
      <c r="AO1221" s="115">
        <f t="shared" si="2218"/>
        <v>2.5735132884721783E-2</v>
      </c>
      <c r="AP1221" s="166">
        <f t="shared" si="2229"/>
        <v>104.12140252993052</v>
      </c>
      <c r="AQ1221" s="168">
        <f t="shared" si="2230"/>
        <v>2.5735132884721824E-2</v>
      </c>
      <c r="AR1221" s="169">
        <f>+AD1221/$AF$21</f>
        <v>2.1779738900995688E-2</v>
      </c>
      <c r="AS1221" s="169">
        <f t="shared" si="2228"/>
        <v>5.6050447481166934E-4</v>
      </c>
      <c r="AT1221" s="115"/>
      <c r="AU1221" s="115"/>
      <c r="AV1221" s="113">
        <f>IFERROR(INDEX('Total Customers'!$F$7:$AB$91,MATCH($C1221,'Total Customers'!$D$7:$D$91,0),MATCH($G1221,'Total Customers'!$F$5:$AB$5,0)),"NA")</f>
        <v>1200199</v>
      </c>
      <c r="AW1221" s="68">
        <f t="shared" si="2231"/>
        <v>5.9860576911457417E-3</v>
      </c>
      <c r="AX1221" s="114"/>
      <c r="AY1221" s="114"/>
      <c r="AZ1221" s="116"/>
      <c r="BA1221" s="116"/>
      <c r="BB1221" s="166"/>
      <c r="BC1221" s="166"/>
      <c r="BD1221" s="166"/>
      <c r="BE1221" s="166"/>
      <c r="BF1221" s="166"/>
      <c r="BG1221" s="166"/>
      <c r="BH1221" s="166"/>
      <c r="BI1221" s="113"/>
      <c r="BJ1221" s="113"/>
      <c r="BK1221" s="113">
        <f>INDEX('Dist. Plant Gas Additions'!$F$7:$AE$91,MATCH($C1221,'Dist. Plant Gas Additions'!$D$7:$D$91,0),MATCH(Calculation!$G1221,'Dist. Plant Gas Additions'!$F$5:$AE$5,0))</f>
        <v>256809</v>
      </c>
      <c r="BL1221" s="113">
        <f>INDEX('Gen. Plant Additions'!$F$7:$AE$91,MATCH($C1221,'Gen. Plant Additions'!$D$7:$D$91,0),MATCH(Calculation!$G1221,'Gen. Plant Additions'!$F$5:$AE$5,0))</f>
        <v>25738</v>
      </c>
      <c r="BM1221" s="231">
        <f t="shared" si="2193"/>
        <v>0.95659720940800286</v>
      </c>
      <c r="BN1221" s="61">
        <f t="shared" si="2208"/>
        <v>24620.898975743177</v>
      </c>
      <c r="BO1221" s="113">
        <f>INDEX('Dist Plant Depreciation'!$E$7:$AD$94,MATCH($C1221,'Dist Plant Depreciation'!$D$7:$D$94,0),MATCH(Calculation!$G1221,'Dist Plant Depreciation'!$E$5:$AD$5,0))</f>
        <v>927820</v>
      </c>
      <c r="BP1221" s="113">
        <f>INDEX('Gen. Plant Depreciation'!$E$7:$AD$94,MATCH($C1221,'Gen. Plant Depreciation'!$D$7:$D$94,0),MATCH(Calculation!$G1221,'Gen. Plant Depreciation'!$E$5:$AD$5,0))</f>
        <v>-100896</v>
      </c>
      <c r="BQ1221" s="113"/>
      <c r="BR1221" s="113"/>
      <c r="BS1221" s="113"/>
      <c r="BT1221" s="113"/>
      <c r="BU1221" s="113"/>
      <c r="BV1221" s="175"/>
      <c r="BW1221" s="113">
        <f>INDEX('Gross Dx Plant'!$E$7:$AD$91,MATCH($C1221,'Gross Dx Plant'!$D$7:$D$91,0),MATCH(Calculation!$G1221,'Gross Dx Plant'!$E$5:$AD$5,0))</f>
        <v>2980865</v>
      </c>
      <c r="BX1221" s="113">
        <f>INDEX('Gross Gen Plant'!$E$7:$AD$91,MATCH($C1221,'Gross Gen Plant'!$D$7:$D$91,0),MATCH(Calculation!$G1221,'Gross Gen Plant'!$E$5:$AD$5,0))</f>
        <v>135248</v>
      </c>
      <c r="BY1221" s="113">
        <f t="shared" si="2187"/>
        <v>2289189</v>
      </c>
      <c r="BZ1221" s="113"/>
      <c r="CA1221" s="116">
        <v>2016</v>
      </c>
      <c r="CB1221" s="113"/>
      <c r="CC1221" s="113"/>
      <c r="CD1221" s="113"/>
      <c r="CE1221" s="175"/>
      <c r="CF1221" s="113">
        <f t="shared" si="2194"/>
        <v>282547</v>
      </c>
      <c r="CG1221" s="113">
        <f t="shared" si="2195"/>
        <v>420.79724399650695</v>
      </c>
      <c r="CH1221" s="178">
        <v>0.88</v>
      </c>
      <c r="CI1221" s="61">
        <f>+CI1203*CH1221+CG1204*CH1220+CG1205*CH1219+CG1206*CH1218+CG1207*CH1217+CG1208*CH1216+CG1209*CH1215+CG1210*CH1214+CG1211*CH1213+CG1212*CH1212+CG1213*CH1211+CG1214*CH1210+CG1215*CH1209+CG1216*CH1208+CG1217*CH1207+CG1218*CH1206+CG1219*CH1205+CG1220*CH1204+CG1221</f>
        <v>6705.9084810423183</v>
      </c>
      <c r="CJ1221" s="114">
        <f t="shared" si="2196"/>
        <v>5.6794686978072648E-2</v>
      </c>
      <c r="CK1221" s="114"/>
      <c r="CL1221" s="169">
        <f t="shared" si="2197"/>
        <v>7.978772214440254E-3</v>
      </c>
      <c r="CM1221" s="169">
        <f t="shared" si="2205"/>
        <v>7.8171427572948492E-3</v>
      </c>
      <c r="CN1221" s="114">
        <f>VLOOKUP($H1221,RoR!$E:$F,2,FALSE)</f>
        <v>3.6658333333333334E-2</v>
      </c>
      <c r="CO1221" s="169">
        <v>1.0483662879041455E-2</v>
      </c>
      <c r="CP1221" s="169">
        <f t="shared" si="2203"/>
        <v>2.6174670454291879E-2</v>
      </c>
      <c r="CQ1221" s="169">
        <f t="shared" si="2206"/>
        <v>2.3084798851238778E-2</v>
      </c>
      <c r="CR1221" s="169">
        <f t="shared" si="2207"/>
        <v>4.301363574220729E-3</v>
      </c>
      <c r="CS1221" s="179">
        <f t="shared" si="2198"/>
        <v>0.87050000000000005</v>
      </c>
      <c r="CT1221" s="180">
        <f t="shared" si="2199"/>
        <v>1.3989193348138562</v>
      </c>
      <c r="CU1221" s="180">
        <f t="shared" si="2200"/>
        <v>0.29302682427824522</v>
      </c>
      <c r="CV1221" s="180">
        <f t="shared" si="2201"/>
        <v>0.76309497491941802</v>
      </c>
      <c r="CW1221" s="180">
        <f t="shared" si="2202"/>
        <v>0.31280857135128509</v>
      </c>
      <c r="CX1221" s="181">
        <f>INDEX('State Tax Lookup'!$D$7:$Z$91,MATCH(Calculation!$C1221,'State Tax Lookup'!$B$7:$B$91,0),MATCH($H1221,'State Tax Lookup'!$D$6:$Z$6,0))</f>
        <v>0.35</v>
      </c>
      <c r="CY1221" s="72">
        <v>0.37</v>
      </c>
      <c r="CZ1221" s="70">
        <f t="shared" si="2204"/>
        <v>20.752900027509572</v>
      </c>
      <c r="DA1221" s="70">
        <v>19.909765876209278</v>
      </c>
      <c r="DB1221" s="69">
        <f t="shared" si="2209"/>
        <v>-1.3393421608482793E-2</v>
      </c>
      <c r="DC1221" s="111">
        <f>VLOOKUP($H1221,RoR!$E:$F,2,FALSE)</f>
        <v>3.6658333333333334E-2</v>
      </c>
      <c r="DD1221" s="216">
        <f>HLOOKUP($H1221,'GDP-PI'!$D$8:$CQ$11,3,FALSE)</f>
        <v>1.0483662879041455E-2</v>
      </c>
      <c r="DE1221" s="111">
        <f>VLOOKUP(H1221,'HW Dx Data'!$E:$F,2,FALSE)</f>
        <v>671.45639385971219</v>
      </c>
      <c r="DF1221" s="72">
        <f t="shared" si="2219"/>
        <v>136.94999999999999</v>
      </c>
      <c r="DG1221" s="69">
        <f t="shared" si="2220"/>
        <v>2.5514417868782811E-2</v>
      </c>
      <c r="DH1221" s="66">
        <f>HLOOKUP(H1221,'GDP-PI'!$8:$9,2,FALSE)</f>
        <v>105.736</v>
      </c>
      <c r="DI1221" s="69">
        <f t="shared" si="2210"/>
        <v>1.0429090367205095E-2</v>
      </c>
    </row>
    <row r="1222" spans="1:113" s="160" customFormat="1" ht="21">
      <c r="A1222" s="160" t="s">
        <v>231</v>
      </c>
      <c r="B1222" s="160" t="s">
        <v>231</v>
      </c>
      <c r="C1222" s="160">
        <v>4059746</v>
      </c>
      <c r="D1222" s="161" t="s">
        <v>177</v>
      </c>
      <c r="E1222" s="161"/>
      <c r="F1222" s="189"/>
      <c r="G1222" s="160" t="s">
        <v>135</v>
      </c>
      <c r="H1222" s="162">
        <v>2017</v>
      </c>
      <c r="I1222" s="163"/>
      <c r="J1222" s="159">
        <f>IFERROR(INDEX('Labor Expenditures'!$F$7:$X$91,MATCH($C1222,'Labor Expenditures'!$D$7:$D$91,0),MATCH($G1222,'Labor Expenditures'!$F$5:$X$5,0)),"NA")</f>
        <v>52483.983598102386</v>
      </c>
      <c r="K1222" s="159">
        <f t="shared" si="2211"/>
        <v>373.68446848061512</v>
      </c>
      <c r="L1222" s="165">
        <f t="shared" si="2217"/>
        <v>-1.8643713887332401E-2</v>
      </c>
      <c r="M1222" s="76">
        <f t="shared" si="2221"/>
        <v>-4.0343573573277527E-4</v>
      </c>
      <c r="N1222" s="62">
        <f t="shared" si="2227"/>
        <v>170.51941054939385</v>
      </c>
      <c r="O1222" s="96">
        <f t="shared" si="2222"/>
        <v>-0.57788756231822325</v>
      </c>
      <c r="P1222" s="96"/>
      <c r="Q1222" s="159">
        <f>IFERROR(INDEX('Non-Labor Expenditures'!$F$7:$AB$91,MATCH($C1222,'Non-Labor Expenditures'!$D$7:$D$91,0),MATCH($G1222,'Non-Labor Expenditures'!$F$5:$AB$5,0)),"NA")</f>
        <v>76006.610906014947</v>
      </c>
      <c r="R1222" s="159">
        <f t="shared" si="2212"/>
        <v>705.39123447592078</v>
      </c>
      <c r="S1222" s="165">
        <f t="shared" si="2223"/>
        <v>-1.2285644273912051E-2</v>
      </c>
      <c r="T1222" s="165">
        <f t="shared" si="2224"/>
        <v>-2.6585196310937665E-4</v>
      </c>
      <c r="U1222" s="165"/>
      <c r="V1222" s="165"/>
      <c r="W1222" s="159">
        <f t="shared" si="2192"/>
        <v>127734.60969063231</v>
      </c>
      <c r="X1222" s="163"/>
      <c r="Y1222" s="167">
        <v>7063.2788573758071</v>
      </c>
      <c r="Z1222" s="168">
        <v>5.1920370455997629E-2</v>
      </c>
      <c r="AA1222" s="76">
        <f t="shared" si="2213"/>
        <v>1.1235171801615084E-3</v>
      </c>
      <c r="AB1222" s="168"/>
      <c r="AC1222" s="168"/>
      <c r="AD1222" s="163">
        <f t="shared" si="2138"/>
        <v>256225.20419474965</v>
      </c>
      <c r="AE1222" s="168">
        <f t="shared" si="2225"/>
        <v>-1.1272094439677142E-2</v>
      </c>
      <c r="AF1222" s="163"/>
      <c r="AG1222" s="163"/>
      <c r="AH1222" s="163"/>
      <c r="AI1222" s="163"/>
      <c r="AJ1222" s="116">
        <f t="shared" si="2226"/>
        <v>212.99242728857024</v>
      </c>
      <c r="AK1222" s="114">
        <f>+AV1222/$AX$22</f>
        <v>3.2488712194114394E-2</v>
      </c>
      <c r="AL1222" s="115">
        <f t="shared" si="2214"/>
        <v>0.20483536646227343</v>
      </c>
      <c r="AM1222" s="115">
        <f t="shared" si="2215"/>
        <v>0.29663986860654207</v>
      </c>
      <c r="AN1222" s="115">
        <f t="shared" si="2216"/>
        <v>0.49852476493118447</v>
      </c>
      <c r="AO1222" s="115">
        <f t="shared" si="2218"/>
        <v>1.8716853174239975E-2</v>
      </c>
      <c r="AP1222" s="166">
        <f t="shared" si="2229"/>
        <v>106.08857978911983</v>
      </c>
      <c r="AQ1222" s="168">
        <f t="shared" si="2230"/>
        <v>1.8716853174240055E-2</v>
      </c>
      <c r="AR1222" s="169">
        <f>+AD1222/$AF$22</f>
        <v>2.1639236590457037E-2</v>
      </c>
      <c r="AS1222" s="169">
        <f t="shared" si="2228"/>
        <v>4.0501841406622731E-4</v>
      </c>
      <c r="AT1222" s="115"/>
      <c r="AU1222" s="115"/>
      <c r="AV1222" s="113">
        <f>IFERROR(INDEX('Total Customers'!$F$7:$AB$91,MATCH($C1222,'Total Customers'!$D$7:$D$91,0),MATCH($G1222,'Total Customers'!$F$5:$AB$5,0)),"NA")</f>
        <v>1202978</v>
      </c>
      <c r="AW1222" s="68">
        <f t="shared" si="2231"/>
        <v>2.3127728325630344E-3</v>
      </c>
      <c r="AX1222" s="114"/>
      <c r="AY1222" s="114"/>
      <c r="AZ1222" s="116"/>
      <c r="BA1222" s="116"/>
      <c r="BB1222" s="166"/>
      <c r="BC1222" s="166"/>
      <c r="BD1222" s="166"/>
      <c r="BE1222" s="166"/>
      <c r="BF1222" s="166"/>
      <c r="BG1222" s="166"/>
      <c r="BH1222" s="166"/>
      <c r="BI1222" s="113"/>
      <c r="BJ1222" s="113"/>
      <c r="BK1222" s="113">
        <f>INDEX('Dist. Plant Gas Additions'!$F$7:$AE$91,MATCH($C1222,'Dist. Plant Gas Additions'!$D$7:$D$91,0),MATCH(Calculation!$G1222,'Dist. Plant Gas Additions'!$F$5:$AE$5,0))</f>
        <v>258491</v>
      </c>
      <c r="BL1222" s="113">
        <f>INDEX('Gen. Plant Additions'!$F$7:$AE$91,MATCH($C1222,'Gen. Plant Additions'!$D$7:$D$91,0),MATCH(Calculation!$G1222,'Gen. Plant Additions'!$F$5:$AE$5,0))</f>
        <v>34978</v>
      </c>
      <c r="BM1222" s="231">
        <f t="shared" si="2193"/>
        <v>0.95225594817529524</v>
      </c>
      <c r="BN1222" s="61">
        <f t="shared" si="2208"/>
        <v>33308.008555275475</v>
      </c>
      <c r="BO1222" s="113">
        <f>INDEX('Dist Plant Depreciation'!$E$7:$AD$94,MATCH($C1222,'Dist Plant Depreciation'!$D$7:$D$94,0),MATCH(Calculation!$G1222,'Dist Plant Depreciation'!$E$5:$AD$5,0))</f>
        <v>992652</v>
      </c>
      <c r="BP1222" s="113">
        <f>INDEX('Gen. Plant Depreciation'!$E$7:$AD$94,MATCH($C1222,'Gen. Plant Depreciation'!$D$7:$D$94,0),MATCH(Calculation!$G1222,'Gen. Plant Depreciation'!$E$5:$AD$5,0))</f>
        <v>-124017</v>
      </c>
      <c r="BQ1222" s="113"/>
      <c r="BR1222" s="113"/>
      <c r="BS1222" s="113"/>
      <c r="BT1222" s="113"/>
      <c r="BU1222" s="113"/>
      <c r="BV1222" s="175"/>
      <c r="BW1222" s="113">
        <f>INDEX('Gross Dx Plant'!$E$7:$AD$91,MATCH($C1222,'Gross Dx Plant'!$D$7:$D$91,0),MATCH(Calculation!$G1222,'Gross Dx Plant'!$E$5:$AD$5,0))</f>
        <v>3229218</v>
      </c>
      <c r="BX1222" s="113">
        <f>INDEX('Gross Gen Plant'!$E$7:$AD$91,MATCH($C1222,'Gross Gen Plant'!$D$7:$D$91,0),MATCH(Calculation!$G1222,'Gross Gen Plant'!$E$5:$AD$5,0))</f>
        <v>161906</v>
      </c>
      <c r="BY1222" s="113">
        <f t="shared" si="2187"/>
        <v>2522489</v>
      </c>
      <c r="BZ1222" s="113"/>
      <c r="CA1222" s="116">
        <v>2017</v>
      </c>
      <c r="CB1222" s="113"/>
      <c r="CC1222" s="113"/>
      <c r="CD1222" s="113"/>
      <c r="CE1222" s="175"/>
      <c r="CF1222" s="113">
        <f t="shared" si="2194"/>
        <v>293469</v>
      </c>
      <c r="CG1222" s="113">
        <f t="shared" si="2195"/>
        <v>411.92760469396325</v>
      </c>
      <c r="CH1222" s="178">
        <v>0.87074829931972786</v>
      </c>
      <c r="CI1222" s="61">
        <f>+CI1203*CH1222+CG1204*CH1221+CG1205*CH1220+CG1206*CH1219+CG1207*CH1218+CG1208*CH1217+CG1209*CH1216+CG1210*CH1215+CG1211*CH1214+CG1212*CH1213+CG1213*CH1212+CG1214*CH1211+CG1215*CH1210+CG1216*CH1209+CG1217*CH1208+CG1218*CH1207+CG1219*CH1206+CG1220*CH1205+CG1221*CH1204+CG1222</f>
        <v>7063.2788573758071</v>
      </c>
      <c r="CJ1222" s="114">
        <f t="shared" si="2196"/>
        <v>5.1920370455997629E-2</v>
      </c>
      <c r="CK1222" s="114"/>
      <c r="CL1222" s="169">
        <f t="shared" si="2197"/>
        <v>8.1356953371356545E-3</v>
      </c>
      <c r="CM1222" s="169">
        <f t="shared" si="2205"/>
        <v>7.9807931573403837E-3</v>
      </c>
      <c r="CN1222" s="114">
        <f>VLOOKUP($H1222,RoR!$E:$F,2,FALSE)</f>
        <v>3.7433333333333339E-2</v>
      </c>
      <c r="CO1222" s="169">
        <v>1.9056896421275615E-2</v>
      </c>
      <c r="CP1222" s="169">
        <f t="shared" si="2203"/>
        <v>1.8376436912057724E-2</v>
      </c>
      <c r="CQ1222" s="169">
        <f t="shared" si="2206"/>
        <v>2.2921148451193241E-2</v>
      </c>
      <c r="CR1222" s="169">
        <f t="shared" si="2207"/>
        <v>1.3976271617800498E-2</v>
      </c>
      <c r="CS1222" s="179">
        <f t="shared" si="2198"/>
        <v>0.92230000000000001</v>
      </c>
      <c r="CT1222" s="180">
        <f t="shared" si="2199"/>
        <v>1.3699568463593395</v>
      </c>
      <c r="CU1222" s="180">
        <f t="shared" si="2200"/>
        <v>0.30714603739982199</v>
      </c>
      <c r="CV1222" s="180">
        <f t="shared" si="2201"/>
        <v>0.77007188472689425</v>
      </c>
      <c r="CW1222" s="180">
        <f t="shared" si="2202"/>
        <v>0.32402839633793828</v>
      </c>
      <c r="CX1222" s="181">
        <f>INDEX('State Tax Lookup'!$D$7:$Z$91,MATCH(Calculation!$C1222,'State Tax Lookup'!$B$7:$B$91,0),MATCH($H1222,'State Tax Lookup'!$D$6:$Z$6,0))</f>
        <v>0.20999999999999996</v>
      </c>
      <c r="CY1222" s="72">
        <v>0.37</v>
      </c>
      <c r="CZ1222" s="70">
        <f t="shared" si="2204"/>
        <v>19.048069333445206</v>
      </c>
      <c r="DA1222" s="70">
        <v>18.231812616449311</v>
      </c>
      <c r="DB1222" s="69">
        <f t="shared" si="2209"/>
        <v>-8.5720248162033122E-2</v>
      </c>
      <c r="DC1222" s="111">
        <f>VLOOKUP($H1222,RoR!$E:$F,2,FALSE)</f>
        <v>3.7433333333333339E-2</v>
      </c>
      <c r="DD1222" s="216">
        <f>HLOOKUP($H1222,'GDP-PI'!$D$8:$CQ$11,3,FALSE)</f>
        <v>1.9056896421275615E-2</v>
      </c>
      <c r="DE1222" s="111">
        <f>VLOOKUP(H1222,'HW Dx Data'!$E:$F,2,FALSE)</f>
        <v>712.42858370229726</v>
      </c>
      <c r="DF1222" s="72">
        <f t="shared" si="2219"/>
        <v>140.44999999999999</v>
      </c>
      <c r="DG1222" s="69">
        <f t="shared" si="2220"/>
        <v>2.5235657841165486E-2</v>
      </c>
      <c r="DH1222" s="66">
        <f>HLOOKUP(H1222,'GDP-PI'!$8:$9,2,FALSE)</f>
        <v>107.751</v>
      </c>
      <c r="DI1222" s="69">
        <f t="shared" si="2210"/>
        <v>1.8877588227745139E-2</v>
      </c>
    </row>
    <row r="1223" spans="1:113" s="160" customFormat="1" ht="21">
      <c r="A1223" s="160" t="s">
        <v>231</v>
      </c>
      <c r="B1223" s="160" t="s">
        <v>231</v>
      </c>
      <c r="C1223" s="160">
        <v>4059746</v>
      </c>
      <c r="D1223" s="161" t="s">
        <v>177</v>
      </c>
      <c r="E1223" s="161"/>
      <c r="F1223" s="189"/>
      <c r="G1223" s="160" t="s">
        <v>136</v>
      </c>
      <c r="H1223" s="162">
        <v>2018</v>
      </c>
      <c r="I1223" s="163"/>
      <c r="J1223" s="159">
        <f>IFERROR(INDEX('Labor Expenditures'!$F$7:$X$91,MATCH($C1223,'Labor Expenditures'!$D$7:$D$91,0),MATCH($G1223,'Labor Expenditures'!$F$5:$X$5,0)),"NA")</f>
        <v>49433.836429002302</v>
      </c>
      <c r="K1223" s="159">
        <f t="shared" si="2211"/>
        <v>342.22108985117552</v>
      </c>
      <c r="L1223" s="165">
        <f t="shared" si="2217"/>
        <v>-8.7954784413474527E-2</v>
      </c>
      <c r="M1223" s="76">
        <f t="shared" si="2221"/>
        <v>-1.793438234526754E-3</v>
      </c>
      <c r="N1223" s="62">
        <f t="shared" si="2227"/>
        <v>117.29116885811894</v>
      </c>
      <c r="O1223" s="96">
        <f t="shared" si="2222"/>
        <v>-0.37418966908503565</v>
      </c>
      <c r="P1223" s="96"/>
      <c r="Q1223" s="159">
        <f>IFERROR(INDEX('Non-Labor Expenditures'!$F$7:$AB$91,MATCH($C1223,'Non-Labor Expenditures'!$D$7:$D$91,0),MATCH($G1223,'Non-Labor Expenditures'!$F$5:$AB$5,0)),"NA")</f>
        <v>71589.428116249444</v>
      </c>
      <c r="R1223" s="159">
        <f t="shared" si="2212"/>
        <v>648.91343627063907</v>
      </c>
      <c r="S1223" s="165">
        <f t="shared" si="2223"/>
        <v>-8.3453263767991323E-2</v>
      </c>
      <c r="T1223" s="165">
        <f t="shared" si="2224"/>
        <v>-1.7016501721381395E-3</v>
      </c>
      <c r="U1223" s="165"/>
      <c r="V1223" s="165"/>
      <c r="W1223" s="159">
        <f t="shared" si="2192"/>
        <v>141413.45645549643</v>
      </c>
      <c r="X1223" s="163"/>
      <c r="Y1223" s="167">
        <v>7294.2693123792023</v>
      </c>
      <c r="Z1223" s="168">
        <v>3.2179643076363132E-2</v>
      </c>
      <c r="AA1223" s="76">
        <f t="shared" si="2213"/>
        <v>6.561576229357725E-4</v>
      </c>
      <c r="AB1223" s="168"/>
      <c r="AC1223" s="168"/>
      <c r="AD1223" s="163">
        <f t="shared" si="2138"/>
        <v>262436.72100074816</v>
      </c>
      <c r="AE1223" s="168">
        <f t="shared" si="2225"/>
        <v>2.3953228464447109E-2</v>
      </c>
      <c r="AF1223" s="163"/>
      <c r="AG1223" s="163"/>
      <c r="AH1223" s="163"/>
      <c r="AI1223" s="163"/>
      <c r="AJ1223" s="116">
        <f t="shared" si="2226"/>
        <v>217.70309005603423</v>
      </c>
      <c r="AK1223" s="114">
        <f>+AV1223/$AX$23</f>
        <v>3.2271159550510305E-2</v>
      </c>
      <c r="AL1223" s="115">
        <f t="shared" si="2214"/>
        <v>0.18836478462501965</v>
      </c>
      <c r="AM1223" s="115">
        <f t="shared" si="2215"/>
        <v>0.27278738982585199</v>
      </c>
      <c r="AN1223" s="115">
        <f t="shared" si="2216"/>
        <v>0.53884782554912847</v>
      </c>
      <c r="AO1223" s="115">
        <f t="shared" si="2218"/>
        <v>-2.436105900800626E-2</v>
      </c>
      <c r="AP1223" s="166">
        <f t="shared" si="2229"/>
        <v>103.53537528729987</v>
      </c>
      <c r="AQ1223" s="168">
        <f t="shared" si="2230"/>
        <v>-2.4361059008006305E-2</v>
      </c>
      <c r="AR1223" s="169">
        <f>+AD1223/$AF$23</f>
        <v>2.0390456829452501E-2</v>
      </c>
      <c r="AS1223" s="169">
        <f t="shared" si="2228"/>
        <v>-4.9673312202249754E-4</v>
      </c>
      <c r="AT1223" s="115"/>
      <c r="AU1223" s="115"/>
      <c r="AV1223" s="113">
        <f>IFERROR(INDEX('Total Customers'!$F$7:$AB$91,MATCH($C1223,'Total Customers'!$D$7:$D$91,0),MATCH($G1223,'Total Customers'!$F$5:$AB$5,0)),"NA")</f>
        <v>1205480</v>
      </c>
      <c r="AW1223" s="68">
        <f t="shared" si="2231"/>
        <v>2.0776786641427008E-3</v>
      </c>
      <c r="AX1223" s="114"/>
      <c r="AY1223" s="114"/>
      <c r="AZ1223" s="116"/>
      <c r="BA1223" s="116"/>
      <c r="BB1223" s="166"/>
      <c r="BC1223" s="166"/>
      <c r="BD1223" s="166"/>
      <c r="BE1223" s="166"/>
      <c r="BF1223" s="166"/>
      <c r="BG1223" s="166"/>
      <c r="BH1223" s="166"/>
      <c r="BI1223" s="113"/>
      <c r="BJ1223" s="113"/>
      <c r="BK1223" s="113">
        <f>INDEX('Dist. Plant Gas Additions'!$F$7:$AE$91,MATCH($C1223,'Dist. Plant Gas Additions'!$D$7:$D$91,0),MATCH(Calculation!$G1223,'Dist. Plant Gas Additions'!$F$5:$AE$5,0))</f>
        <v>211387</v>
      </c>
      <c r="BL1223" s="113">
        <f>INDEX('Gen. Plant Additions'!$F$7:$AE$91,MATCH($C1223,'Gen. Plant Additions'!$D$7:$D$91,0),MATCH(Calculation!$G1223,'Gen. Plant Additions'!$F$5:$AE$5,0))</f>
        <v>7365</v>
      </c>
      <c r="BM1223" s="231">
        <f t="shared" si="2193"/>
        <v>0.95462880830788888</v>
      </c>
      <c r="BN1223" s="61">
        <f t="shared" si="2208"/>
        <v>7030.8411731876013</v>
      </c>
      <c r="BO1223" s="113">
        <f>INDEX('Dist Plant Depreciation'!$E$7:$AD$94,MATCH($C1223,'Dist Plant Depreciation'!$D$7:$D$94,0),MATCH(Calculation!$G1223,'Dist Plant Depreciation'!$E$5:$AD$5,0))</f>
        <v>1052807</v>
      </c>
      <c r="BP1223" s="113">
        <f>INDEX('Gen. Plant Depreciation'!$E$7:$AD$94,MATCH($C1223,'Gen. Plant Depreciation'!$D$7:$D$94,0),MATCH(Calculation!$G1223,'Gen. Plant Depreciation'!$E$5:$AD$5,0))</f>
        <v>-147341</v>
      </c>
      <c r="BQ1223" s="113"/>
      <c r="BR1223" s="113"/>
      <c r="BS1223" s="113"/>
      <c r="BT1223" s="113"/>
      <c r="BU1223" s="113"/>
      <c r="BV1223" s="175"/>
      <c r="BW1223" s="113">
        <f>INDEX('Gross Dx Plant'!$E$7:$AD$91,MATCH($C1223,'Gross Dx Plant'!$D$7:$D$91,0),MATCH(Calculation!$G1223,'Gross Dx Plant'!$E$5:$AD$5,0))</f>
        <v>3436342</v>
      </c>
      <c r="BX1223" s="113">
        <f>INDEX('Gross Gen Plant'!$E$7:$AD$91,MATCH($C1223,'Gross Gen Plant'!$D$7:$D$91,0),MATCH(Calculation!$G1223,'Gross Gen Plant'!$E$5:$AD$5,0))</f>
        <v>163321</v>
      </c>
      <c r="BY1223" s="113">
        <f t="shared" si="2187"/>
        <v>2694197</v>
      </c>
      <c r="BZ1223" s="113"/>
      <c r="CA1223" s="116">
        <v>2018</v>
      </c>
      <c r="CB1223" s="113"/>
      <c r="CC1223" s="113"/>
      <c r="CD1223" s="113"/>
      <c r="CE1223" s="175"/>
      <c r="CF1223" s="113">
        <f t="shared" si="2194"/>
        <v>218752</v>
      </c>
      <c r="CG1223" s="113">
        <f t="shared" si="2195"/>
        <v>289.68529253763779</v>
      </c>
      <c r="CH1223" s="178">
        <v>0.86111111111111116</v>
      </c>
      <c r="CI1223" s="61">
        <f>+CI1203*CH1223++CG1204*CH1222+CG1205*CH1221+CG1206*CH1220+CG1207*CH1219+CG1208*CH1218+CG1209*CH1217+CG1210*CH1216+CG1211*CH1215+CG1212*CH1214+CG1213*CH1213+CG1214*CH1212+CG1215*CH1211+CG1216*CH1210+CG1217*CH1209+CG1218*CH1208+CG1219*CH1207+CG1220*CH1206+CG1221*CH1205+CG1222*CH1204+CG1223</f>
        <v>7294.2693123792023</v>
      </c>
      <c r="CJ1223" s="114">
        <f t="shared" si="2196"/>
        <v>3.2179643076363132E-2</v>
      </c>
      <c r="CK1223" s="114"/>
      <c r="CL1223" s="169">
        <f t="shared" si="2197"/>
        <v>8.3098570394046726E-3</v>
      </c>
      <c r="CM1223" s="169">
        <f t="shared" si="2205"/>
        <v>8.1414415303268598E-3</v>
      </c>
      <c r="CN1223" s="114">
        <f>VLOOKUP($H1223,RoR!$E:$F,2,FALSE)</f>
        <v>3.9299999999999995E-2</v>
      </c>
      <c r="CO1223" s="169">
        <v>2.386056741932796E-2</v>
      </c>
      <c r="CP1223" s="169">
        <f t="shared" si="2203"/>
        <v>1.5439432580672034E-2</v>
      </c>
      <c r="CQ1223" s="169">
        <f t="shared" si="2206"/>
        <v>2.2760500078206763E-2</v>
      </c>
      <c r="CR1223" s="169">
        <f t="shared" si="2207"/>
        <v>3.8270792163076606E-2</v>
      </c>
      <c r="CS1223" s="179">
        <f t="shared" si="2198"/>
        <v>0.92230000000000001</v>
      </c>
      <c r="CT1223" s="180">
        <f t="shared" si="2199"/>
        <v>1.3048868010700074</v>
      </c>
      <c r="CU1223" s="180">
        <f t="shared" si="2200"/>
        <v>0.33886768447837151</v>
      </c>
      <c r="CV1223" s="180">
        <f t="shared" si="2201"/>
        <v>0.78602506232557801</v>
      </c>
      <c r="CW1223" s="180">
        <f t="shared" si="2202"/>
        <v>0.34756768162358759</v>
      </c>
      <c r="CX1223" s="181">
        <f>INDEX('State Tax Lookup'!$D$7:$Z$91,MATCH(Calculation!$C1223,'State Tax Lookup'!$B$7:$B$91,0),MATCH($H1223,'State Tax Lookup'!$D$6:$Z$6,0))</f>
        <v>0.20999999999999996</v>
      </c>
      <c r="CY1223" s="72">
        <v>0.37</v>
      </c>
      <c r="CZ1223" s="70">
        <f t="shared" si="2204"/>
        <v>20.020936354201261</v>
      </c>
      <c r="DA1223" s="70">
        <v>19.050901628905343</v>
      </c>
      <c r="DB1223" s="69">
        <f t="shared" si="2209"/>
        <v>4.9812794621460453E-2</v>
      </c>
      <c r="DC1223" s="111">
        <f>VLOOKUP($H1223,RoR!$E:$F,2,FALSE)</f>
        <v>3.9299999999999995E-2</v>
      </c>
      <c r="DD1223" s="216">
        <f>HLOOKUP($H1223,'GDP-PI'!$D$8:$CQ$11,3,FALSE)</f>
        <v>2.386056741932796E-2</v>
      </c>
      <c r="DE1223" s="111">
        <f>VLOOKUP(H1223,'HW Dx Data'!$E:$F,2,FALSE)</f>
        <v>755.13671434174842</v>
      </c>
      <c r="DF1223" s="72">
        <f t="shared" si="2219"/>
        <v>144.44999999999999</v>
      </c>
      <c r="DG1223" s="69">
        <f t="shared" si="2220"/>
        <v>2.80818733619915E-2</v>
      </c>
      <c r="DH1223" s="66">
        <f>HLOOKUP(H1223,'GDP-PI'!$8:$9,2,FALSE)</f>
        <v>110.322</v>
      </c>
      <c r="DI1223" s="69">
        <f t="shared" si="2210"/>
        <v>2.3580352716508712E-2</v>
      </c>
    </row>
    <row r="1224" spans="1:113" s="160" customFormat="1" ht="21">
      <c r="A1224" s="160" t="s">
        <v>231</v>
      </c>
      <c r="B1224" s="160" t="s">
        <v>231</v>
      </c>
      <c r="C1224" s="160">
        <v>4059746</v>
      </c>
      <c r="D1224" s="161" t="s">
        <v>177</v>
      </c>
      <c r="E1224" s="161"/>
      <c r="F1224" s="189"/>
      <c r="G1224" s="160" t="s">
        <v>140</v>
      </c>
      <c r="H1224" s="162">
        <v>2019</v>
      </c>
      <c r="I1224" s="163"/>
      <c r="J1224" s="159">
        <f>IFERROR(INDEX('Labor Expenditures'!$F$7:$X$91,MATCH($C1224,'Labor Expenditures'!$D$7:$D$91,0),MATCH($G1224,'Labor Expenditures'!$F$5:$X$5,0)),"NA")</f>
        <v>61020.989286347278</v>
      </c>
      <c r="K1224" s="159">
        <f t="shared" si="2211"/>
        <v>407.68992340970283</v>
      </c>
      <c r="L1224" s="165">
        <f t="shared" si="2217"/>
        <v>0.17504990407173257</v>
      </c>
      <c r="M1224" s="76">
        <f t="shared" si="2221"/>
        <v>3.9265032960617554E-3</v>
      </c>
      <c r="N1224" s="62">
        <f t="shared" si="2227"/>
        <v>117.0552370140923</v>
      </c>
      <c r="O1224" s="96">
        <f t="shared" si="2222"/>
        <v>-2.0135314033106711E-3</v>
      </c>
      <c r="P1224" s="96"/>
      <c r="Q1224" s="159">
        <f>IFERROR(INDEX('Non-Labor Expenditures'!$F$7:$AB$91,MATCH($C1224,'Non-Labor Expenditures'!$D$7:$D$91,0),MATCH($G1224,'Non-Labor Expenditures'!$F$5:$AB$5,0)),"NA")</f>
        <v>88369.789635312613</v>
      </c>
      <c r="R1224" s="159">
        <f t="shared" si="2212"/>
        <v>786.7820797673802</v>
      </c>
      <c r="S1224" s="165">
        <f t="shared" si="2223"/>
        <v>0.19265198251950261</v>
      </c>
      <c r="T1224" s="165">
        <f t="shared" si="2224"/>
        <v>4.3213313847100332E-3</v>
      </c>
      <c r="U1224" s="165"/>
      <c r="V1224" s="165"/>
      <c r="W1224" s="159">
        <f t="shared" si="2192"/>
        <v>148250.74365522395</v>
      </c>
      <c r="X1224" s="163"/>
      <c r="Y1224" s="167">
        <v>7672.8878072253392</v>
      </c>
      <c r="Z1224" s="168">
        <v>5.060403716846848E-2</v>
      </c>
      <c r="AA1224" s="76">
        <f t="shared" si="2213"/>
        <v>1.1350872757668027E-3</v>
      </c>
      <c r="AB1224" s="168"/>
      <c r="AC1224" s="168"/>
      <c r="AD1224" s="163">
        <f t="shared" si="2138"/>
        <v>297641.52257688384</v>
      </c>
      <c r="AE1224" s="168">
        <f t="shared" si="2225"/>
        <v>0.12587982789710941</v>
      </c>
      <c r="AF1224" s="163"/>
      <c r="AG1224" s="163"/>
      <c r="AH1224" s="163"/>
      <c r="AI1224" s="163"/>
      <c r="AJ1224" s="116">
        <f t="shared" si="2226"/>
        <v>246.22647903634632</v>
      </c>
      <c r="AK1224" s="114">
        <f>+AV1224/$AX$24</f>
        <v>3.2093476685958758E-2</v>
      </c>
      <c r="AL1224" s="115">
        <f t="shared" si="2214"/>
        <v>0.20501504211525101</v>
      </c>
      <c r="AM1224" s="115">
        <f t="shared" si="2215"/>
        <v>0.29690007251083655</v>
      </c>
      <c r="AN1224" s="115">
        <f t="shared" si="2216"/>
        <v>0.49808488537391243</v>
      </c>
      <c r="AO1224" s="115">
        <f t="shared" si="2218"/>
        <v>0.11554275070752852</v>
      </c>
      <c r="AP1224" s="166">
        <f t="shared" si="2229"/>
        <v>116.21664693685891</v>
      </c>
      <c r="AQ1224" s="168">
        <f t="shared" si="2230"/>
        <v>0.1155427507075286</v>
      </c>
      <c r="AR1224" s="169">
        <f>+AD1224/$AF$24</f>
        <v>2.2430765197407585E-2</v>
      </c>
      <c r="AS1224" s="169">
        <f t="shared" si="2228"/>
        <v>2.5917123113831731E-3</v>
      </c>
      <c r="AT1224" s="115"/>
      <c r="AU1224" s="115"/>
      <c r="AV1224" s="113">
        <v>1208812</v>
      </c>
      <c r="AW1224" s="68">
        <f t="shared" si="2231"/>
        <v>2.7602312524813576E-3</v>
      </c>
      <c r="AX1224" s="114"/>
      <c r="AY1224" s="114"/>
      <c r="AZ1224" s="116"/>
      <c r="BA1224" s="116"/>
      <c r="BB1224" s="166"/>
      <c r="BC1224" s="166"/>
      <c r="BD1224" s="166"/>
      <c r="BE1224" s="166"/>
      <c r="BF1224" s="166"/>
      <c r="BG1224" s="166"/>
      <c r="BH1224" s="166"/>
      <c r="BI1224" s="113"/>
      <c r="BJ1224" s="113"/>
      <c r="BK1224" s="113">
        <f>INDEX('Dist. Plant Gas Additions'!$F$7:$AE$91,MATCH($C1224,'Dist. Plant Gas Additions'!$D$7:$D$91,0),MATCH(Calculation!$G1224,'Dist. Plant Gas Additions'!$F$5:$AE$5,0))</f>
        <v>328982</v>
      </c>
      <c r="BL1224" s="113">
        <f>INDEX('Gen. Plant Additions'!$F$7:$AE$91,MATCH($C1224,'Gen. Plant Additions'!$D$7:$D$91,0),MATCH(Calculation!$G1224,'Gen. Plant Additions'!$F$5:$AE$5,0))</f>
        <v>12171</v>
      </c>
      <c r="BM1224" s="231">
        <f t="shared" si="2193"/>
        <v>0.95828426547108092</v>
      </c>
      <c r="BN1224" s="61">
        <f t="shared" si="2208"/>
        <v>11663.277795048525</v>
      </c>
      <c r="BO1224" s="113">
        <f>INDEX('Dist Plant Depreciation'!$E$7:$AD$94,MATCH($C1224,'Dist Plant Depreciation'!$D$7:$D$94,0),MATCH(Calculation!$G1224,'Dist Plant Depreciation'!$E$5:$AD$5,0))</f>
        <v>1085232</v>
      </c>
      <c r="BP1224" s="113">
        <f>INDEX('Gen. Plant Depreciation'!$E$7:$AD$94,MATCH($C1224,'Gen. Plant Depreciation'!$D$7:$D$94,0),MATCH(Calculation!$G1224,'Gen. Plant Depreciation'!$E$5:$AD$5,0))</f>
        <v>-111209</v>
      </c>
      <c r="BQ1224" s="113"/>
      <c r="BR1224" s="113"/>
      <c r="BS1224" s="113"/>
      <c r="BT1224" s="113"/>
      <c r="BU1224" s="113"/>
      <c r="BV1224" s="175"/>
      <c r="BW1224" s="113">
        <f>INDEX('Gross Dx Plant'!$E$7:$AD$91,MATCH($C1224,'Gross Dx Plant'!$D$7:$D$91,0),MATCH(Calculation!$G1224,'Gross Dx Plant'!$E$5:$AD$5,0))</f>
        <v>3739138</v>
      </c>
      <c r="BX1224" s="113">
        <f>INDEX('Gross Gen Plant'!$E$7:$AD$91,MATCH($C1224,'Gross Gen Plant'!$D$7:$D$91,0),MATCH(Calculation!$G1224,'Gross Gen Plant'!$E$5:$AD$5,0))</f>
        <v>162771</v>
      </c>
      <c r="BY1224" s="113">
        <f t="shared" si="2187"/>
        <v>2927886</v>
      </c>
      <c r="BZ1224" s="113"/>
      <c r="CA1224" s="116">
        <v>2019</v>
      </c>
      <c r="CB1224" s="113"/>
      <c r="CC1224" s="113"/>
      <c r="CD1224" s="113"/>
      <c r="CE1224" s="175"/>
      <c r="CF1224" s="113">
        <f t="shared" si="2194"/>
        <v>341153</v>
      </c>
      <c r="CG1224" s="113">
        <f t="shared" si="2195"/>
        <v>441.02865996438618</v>
      </c>
      <c r="CH1224" s="178">
        <v>0.85106382978723405</v>
      </c>
      <c r="CI1224" s="61">
        <f>CI1203*CH1224+CG1204*CH1223+CG1205*CH1222+CG1206*CH1221+CG1207*CH1220+CG1208*CH1219+CG1209*CH1218+CG1210*CH1217+CG1211*CH1216+CG1212*CH1215+CG1213*CH1214+CG1214*CH1213+CG1215*CH1212+CG1216*CH1211+CG1217*CH1210+CG1218*CH1209+CG1219*CH1208+CG1220*CH1207+CG1221*CH1206+CG1222*CH1205+CG1223*CH1204+CG1224</f>
        <v>7672.8878072253392</v>
      </c>
      <c r="CJ1224" s="114">
        <f t="shared" si="2196"/>
        <v>5.060403716846848E-2</v>
      </c>
      <c r="CK1224" s="114"/>
      <c r="CL1224" s="169">
        <f t="shared" si="2197"/>
        <v>8.5560544100465544E-3</v>
      </c>
      <c r="CM1224" s="169">
        <f t="shared" si="2205"/>
        <v>8.3338689288622939E-3</v>
      </c>
      <c r="CN1224" s="114">
        <f>VLOOKUP($H1224,RoR!$E:$F,2,FALSE)</f>
        <v>3.3875000000000009E-2</v>
      </c>
      <c r="CO1224" s="169">
        <v>1.8092492884465461E-2</v>
      </c>
      <c r="CP1224" s="169">
        <f t="shared" si="2203"/>
        <v>1.5782507115534548E-2</v>
      </c>
      <c r="CQ1224" s="169">
        <f t="shared" si="2206"/>
        <v>2.2568072679671331E-2</v>
      </c>
      <c r="CR1224" s="169">
        <f t="shared" si="2207"/>
        <v>4.8445665544254078E-2</v>
      </c>
      <c r="CS1224" s="179">
        <f t="shared" si="2198"/>
        <v>0.92230000000000001</v>
      </c>
      <c r="CT1224" s="180">
        <f t="shared" si="2199"/>
        <v>1.513861292459078</v>
      </c>
      <c r="CU1224" s="180">
        <f t="shared" si="2200"/>
        <v>0.23699261992619944</v>
      </c>
      <c r="CV1224" s="180">
        <f t="shared" si="2201"/>
        <v>0.73619765810468829</v>
      </c>
      <c r="CW1224" s="180">
        <f t="shared" si="2202"/>
        <v>0.26412854465362851</v>
      </c>
      <c r="CX1224" s="181">
        <f>INDEX('State Tax Lookup'!$D$7:$Z$91,MATCH(Calculation!$C1224,'State Tax Lookup'!$B$7:$B$91,0),MATCH($H1224,'State Tax Lookup'!$D$6:$Z$6,0))</f>
        <v>0.20999999999999996</v>
      </c>
      <c r="CY1224" s="72">
        <v>0.37</v>
      </c>
      <c r="CZ1224" s="70">
        <f t="shared" si="2204"/>
        <v>20.324276127785087</v>
      </c>
      <c r="DA1224" s="70">
        <v>19.236104090735289</v>
      </c>
      <c r="DB1224" s="69">
        <f t="shared" si="2209"/>
        <v>1.5037496198055156E-2</v>
      </c>
      <c r="DC1224" s="111">
        <f>VLOOKUP($H1224,RoR!$E:$F,2,FALSE)</f>
        <v>3.3875000000000009E-2</v>
      </c>
      <c r="DD1224" s="216">
        <f>HLOOKUP($H1224,'GDP-PI'!$D$8:$CQ$11,3,FALSE)</f>
        <v>1.8092492884465461E-2</v>
      </c>
      <c r="DE1224" s="111">
        <f>VLOOKUP(H1224,'HW Dx Data'!$E:$F,2,FALSE)</f>
        <v>773.53929793938721</v>
      </c>
      <c r="DF1224" s="72">
        <f t="shared" si="2219"/>
        <v>149.67500000000001</v>
      </c>
      <c r="DG1224" s="69">
        <f t="shared" si="2220"/>
        <v>3.5532849899171604E-2</v>
      </c>
      <c r="DH1224" s="66">
        <f>HLOOKUP(H1224,'GDP-PI'!$8:$9,2,FALSE)</f>
        <v>112.318</v>
      </c>
      <c r="DI1224" s="69">
        <f t="shared" si="2210"/>
        <v>1.7930771451401852E-2</v>
      </c>
    </row>
    <row r="1225" spans="1:113" s="160" customFormat="1" ht="21">
      <c r="A1225" s="160" t="s">
        <v>231</v>
      </c>
      <c r="B1225" s="160" t="s">
        <v>231</v>
      </c>
      <c r="C1225" s="160">
        <v>4059746</v>
      </c>
      <c r="D1225" s="160" t="s">
        <v>177</v>
      </c>
      <c r="G1225" s="161" t="s">
        <v>141</v>
      </c>
      <c r="H1225" s="162">
        <v>2020</v>
      </c>
      <c r="I1225" s="163"/>
      <c r="J1225" s="159">
        <f>IFERROR(INDEX('Labor Expenditures'!$F$7:$X$91,MATCH($C1225,'Labor Expenditures'!$D$7:$D$91,0),MATCH($G1225,'Labor Expenditures'!$F$5:$X$5,0)),"NA")</f>
        <v>44123.555517447683</v>
      </c>
      <c r="K1225" s="159">
        <f t="shared" si="2211"/>
        <v>288.10679410674294</v>
      </c>
      <c r="L1225" s="165">
        <f t="shared" si="2217"/>
        <v>-0.34717566954874407</v>
      </c>
      <c r="M1225" s="76">
        <f t="shared" si="2221"/>
        <v>-6.8670461197136894E-3</v>
      </c>
      <c r="N1225" s="62">
        <f t="shared" si="2227"/>
        <v>115.83331167559567</v>
      </c>
      <c r="O1225" s="96">
        <f t="shared" si="2222"/>
        <v>-1.0493745256425699E-2</v>
      </c>
      <c r="P1225" s="96"/>
      <c r="Q1225" s="159">
        <f>IFERROR(INDEX('Non-Labor Expenditures'!$F$7:$AB$91,MATCH($C1225,'Non-Labor Expenditures'!$D$7:$D$91,0),MATCH($G1225,'Non-Labor Expenditures'!$F$5:$AB$5,0)),"NA")</f>
        <v>63899.149532655741</v>
      </c>
      <c r="R1225" s="159">
        <f t="shared" si="2212"/>
        <v>562.37865161680065</v>
      </c>
      <c r="S1225" s="165">
        <f t="shared" si="2223"/>
        <v>-0.33577592981276849</v>
      </c>
      <c r="T1225" s="165">
        <f t="shared" si="2224"/>
        <v>-6.6415621777616857E-3</v>
      </c>
      <c r="U1225" s="165"/>
      <c r="V1225" s="165"/>
      <c r="W1225" s="159">
        <f t="shared" si="2192"/>
        <v>162502.64616646341</v>
      </c>
      <c r="X1225" s="163"/>
      <c r="Y1225" s="167">
        <v>7847.674711310211</v>
      </c>
      <c r="Z1225" s="168">
        <v>2.2524221466932323E-2</v>
      </c>
      <c r="AA1225" s="76">
        <f t="shared" si="2213"/>
        <v>4.4552335083018475E-4</v>
      </c>
      <c r="AB1225" s="168"/>
      <c r="AC1225" s="168"/>
      <c r="AD1225" s="163">
        <f t="shared" si="2138"/>
        <v>270525.35121656687</v>
      </c>
      <c r="AE1225" s="168">
        <f t="shared" si="2225"/>
        <v>-9.5524004279634686E-2</v>
      </c>
      <c r="AF1225" s="163"/>
      <c r="AG1225" s="163"/>
      <c r="AH1225" s="163"/>
      <c r="AI1225" s="163"/>
      <c r="AJ1225" s="116">
        <f t="shared" si="2226"/>
        <v>223.5593353650674</v>
      </c>
      <c r="AK1225" s="114">
        <f>+AV1225/$AX$25</f>
        <v>3.1900352664526184E-2</v>
      </c>
      <c r="AL1225" s="115">
        <f t="shared" si="2214"/>
        <v>0.16310321867810804</v>
      </c>
      <c r="AM1225" s="115">
        <f t="shared" si="2215"/>
        <v>0.23620392412503255</v>
      </c>
      <c r="AN1225" s="115">
        <f t="shared" si="2216"/>
        <v>0.60069285719685928</v>
      </c>
      <c r="AO1225" s="115">
        <f t="shared" si="2218"/>
        <v>-0.14102804030238278</v>
      </c>
      <c r="AP1225" s="166">
        <f t="shared" si="2229"/>
        <v>100.93008555620602</v>
      </c>
      <c r="AQ1225" s="168">
        <f t="shared" si="2230"/>
        <v>-0.14102804030238278</v>
      </c>
      <c r="AR1225" s="169">
        <f>+AD1225/$AF$25</f>
        <v>1.9779744728769203E-2</v>
      </c>
      <c r="AS1225" s="169">
        <f t="shared" si="2228"/>
        <v>-2.7894986367797067E-3</v>
      </c>
      <c r="AT1225" s="115"/>
      <c r="AU1225" s="115"/>
      <c r="AV1225" s="113">
        <v>1210083</v>
      </c>
      <c r="AW1225" s="68">
        <f t="shared" si="2231"/>
        <v>1.0508931697917863E-3</v>
      </c>
      <c r="AX1225" s="114"/>
      <c r="AY1225" s="114"/>
      <c r="AZ1225" s="116"/>
      <c r="BA1225" s="116"/>
      <c r="BB1225" s="166"/>
      <c r="BC1225" s="166"/>
      <c r="BD1225" s="166"/>
      <c r="BE1225" s="166"/>
      <c r="BF1225" s="166"/>
      <c r="BG1225" s="166"/>
      <c r="BH1225" s="166"/>
      <c r="BI1225" s="113"/>
      <c r="BJ1225" s="113"/>
      <c r="BK1225" s="113">
        <f>INDEX('Dist. Plant Gas Additions'!$F$7:$AE$91,MATCH($C1225,'Dist. Plant Gas Additions'!$D$7:$D$91,0),MATCH(Calculation!$G1225,'Dist. Plant Gas Additions'!$F$5:$AE$5,0))</f>
        <v>191508</v>
      </c>
      <c r="BL1225" s="113">
        <f>INDEX('Gen. Plant Additions'!$F$7:$AE$91,MATCH($C1225,'Gen. Plant Additions'!$D$7:$D$91,0),MATCH(Calculation!$G1225,'Gen. Plant Additions'!$F$5:$AE$5,0))</f>
        <v>5132</v>
      </c>
      <c r="BM1225" s="231">
        <f t="shared" si="2193"/>
        <v>0.95791967021662172</v>
      </c>
      <c r="BN1225" s="61">
        <f t="shared" si="2208"/>
        <v>4916.0437475517028</v>
      </c>
      <c r="BO1225" s="113">
        <f>INDEX('Dist Plant Depreciation'!$E$7:$AD$94,MATCH($C1225,'Dist Plant Depreciation'!$D$7:$D$94,0),MATCH(Calculation!$G1225,'Dist Plant Depreciation'!$E$5:$AD$5,0))</f>
        <v>1167722</v>
      </c>
      <c r="BP1225" s="113">
        <f>INDEX('Gen. Plant Depreciation'!$E$7:$AD$94,MATCH($C1225,'Gen. Plant Depreciation'!$D$7:$D$94,0),MATCH(Calculation!$G1225,'Gen. Plant Depreciation'!$E$5:$AD$5,0))</f>
        <v>-134693</v>
      </c>
      <c r="BQ1225" s="113"/>
      <c r="BR1225" s="113"/>
      <c r="BS1225" s="113"/>
      <c r="BT1225" s="113"/>
      <c r="BU1225" s="113"/>
      <c r="BV1225" s="175"/>
      <c r="BW1225" s="113">
        <f>INDEX('Gross Dx Plant'!$E$7:$AD$91,MATCH($C1225,'Gross Dx Plant'!$D$7:$D$91,0),MATCH(Calculation!$G1225,'Gross Dx Plant'!$E$5:$AD$5,0))</f>
        <v>3924822</v>
      </c>
      <c r="BX1225" s="113">
        <f>INDEX('Gross Gen Plant'!$E$7:$AD$91,MATCH($C1225,'Gross Gen Plant'!$D$7:$D$91,0),MATCH(Calculation!$G1225,'Gross Gen Plant'!$E$5:$AD$5,0))</f>
        <v>172413</v>
      </c>
      <c r="BY1225" s="113">
        <f t="shared" si="2187"/>
        <v>3064206</v>
      </c>
      <c r="BZ1225" s="113"/>
      <c r="CA1225" s="116">
        <v>2020</v>
      </c>
      <c r="CB1225" s="113"/>
      <c r="CC1225" s="113"/>
      <c r="CD1225" s="113"/>
      <c r="CE1225" s="175"/>
      <c r="CF1225" s="113">
        <f t="shared" si="2194"/>
        <v>196640</v>
      </c>
      <c r="CG1225" s="113">
        <f t="shared" si="2195"/>
        <v>241.84577250703256</v>
      </c>
      <c r="CH1225" s="178">
        <v>0.84057971014492749</v>
      </c>
      <c r="CI1225" s="61">
        <f>CI1203*CH1225+CG1204*CH1224+CG1205*CH1223+CG1206*CH1222+CG1207*CH1221+CG1208*CH1220+CG1209*CH1219+CG1210*CH1218+CG1211*CH1217+CG1212*CH1216+CG1213*CH1215+CG1214*CH1214+CG1215*CH1213+CG1216*CH1212+CG1217*CH1211+CG1218*CH1210+CG1219*CH1209+CG1220*CH1208+CG1221*CH1207+CG1222*CH1206+CG1223*CH1205+CG1224*CH1204+CG1225</f>
        <v>7847.674711310211</v>
      </c>
      <c r="CJ1225" s="114">
        <f t="shared" si="2196"/>
        <v>2.2524221466932323E-2</v>
      </c>
      <c r="CK1225" s="114"/>
      <c r="CL1225" s="169">
        <f t="shared" si="2197"/>
        <v>8.739717053990197E-3</v>
      </c>
      <c r="CM1225" s="169">
        <f t="shared" si="2205"/>
        <v>8.5352095011471413E-3</v>
      </c>
      <c r="CN1225" s="114">
        <f>VLOOKUP($H1225,RoR!$E:$F,2,FALSE)</f>
        <v>2.4766666666666666E-2</v>
      </c>
      <c r="CO1225" s="169">
        <v>1.1618796630994188E-2</v>
      </c>
      <c r="CP1225" s="169">
        <f t="shared" si="2203"/>
        <v>1.3147870035672478E-2</v>
      </c>
      <c r="CQ1225" s="169">
        <f t="shared" si="2206"/>
        <v>2.2366732107386482E-2</v>
      </c>
      <c r="CR1225" s="169">
        <f t="shared" si="2207"/>
        <v>4.5144642961987357E-2</v>
      </c>
      <c r="CS1225" s="179">
        <f t="shared" si="2198"/>
        <v>0.92230000000000001</v>
      </c>
      <c r="CT1225" s="180">
        <f t="shared" si="2199"/>
        <v>2.0706077233668081</v>
      </c>
      <c r="CU1225" s="180">
        <f t="shared" si="2200"/>
        <v>-3.4421265141318998E-2</v>
      </c>
      <c r="CV1225" s="180">
        <f t="shared" si="2201"/>
        <v>0.62416226176410472</v>
      </c>
      <c r="CW1225" s="180">
        <f t="shared" si="2202"/>
        <v>-4.4485877841158712E-2</v>
      </c>
      <c r="CX1225" s="181">
        <f>INDEX('State Tax Lookup'!$D$7:$Z$91,MATCH(Calculation!$C1225,'State Tax Lookup'!$B$7:$B$91,0),MATCH($H1225,'State Tax Lookup'!$D$6:$Z$6,0))</f>
        <v>0.20999999999999996</v>
      </c>
      <c r="CY1225" s="72">
        <v>0.37</v>
      </c>
      <c r="CZ1225" s="70">
        <f t="shared" si="2204"/>
        <v>21.178811713295133</v>
      </c>
      <c r="DA1225" s="70">
        <v>19.952659173050833</v>
      </c>
      <c r="DB1225" s="69">
        <f t="shared" si="2209"/>
        <v>4.1185194480691321E-2</v>
      </c>
      <c r="DC1225" s="111">
        <f>VLOOKUP($H1225,RoR!$E:$F,2,FALSE)</f>
        <v>2.4766666666666666E-2</v>
      </c>
      <c r="DD1225" s="216">
        <f>HLOOKUP($H1225,'GDP-PI'!$D$8:$CQ$11,3,FALSE)</f>
        <v>1.1618796630994188E-2</v>
      </c>
      <c r="DE1225" s="111">
        <f>VLOOKUP(H1225,'HW Dx Data'!$E:$F,2,FALSE)</f>
        <v>813.080162458833</v>
      </c>
      <c r="DF1225" s="72">
        <f t="shared" si="2219"/>
        <v>153.15</v>
      </c>
      <c r="DG1225" s="69">
        <f t="shared" si="2220"/>
        <v>2.2951556467368479E-2</v>
      </c>
      <c r="DH1225" s="66">
        <f>HLOOKUP(H1225,'GDP-PI'!$8:$9,2,FALSE)</f>
        <v>113.623</v>
      </c>
      <c r="DI1225" s="69">
        <f t="shared" si="2210"/>
        <v>1.1551816731392881E-2</v>
      </c>
    </row>
    <row r="1226" spans="1:113" s="160" customFormat="1" ht="21">
      <c r="A1226" s="160" t="s">
        <v>231</v>
      </c>
      <c r="B1226" s="160" t="s">
        <v>231</v>
      </c>
      <c r="C1226" s="160">
        <v>4059746</v>
      </c>
      <c r="D1226" s="160" t="s">
        <v>177</v>
      </c>
      <c r="G1226" s="161" t="s">
        <v>142</v>
      </c>
      <c r="H1226" s="162">
        <v>2021</v>
      </c>
      <c r="I1226" s="163"/>
      <c r="J1226" s="159">
        <v>46022.732971542006</v>
      </c>
      <c r="K1226" s="159">
        <f t="shared" si="2211"/>
        <v>292.67238773635614</v>
      </c>
      <c r="L1226" s="164">
        <f t="shared" si="2217"/>
        <v>1.5722628577575882E-2</v>
      </c>
      <c r="M1226" s="76">
        <f t="shared" si="2221"/>
        <v>2.5030500466399942E-4</v>
      </c>
      <c r="N1226" s="166">
        <f>+N1225*EXP(O1226)</f>
        <v>116.90020801679904</v>
      </c>
      <c r="O1226" s="114">
        <f t="shared" si="2222"/>
        <v>9.1684585552447347E-3</v>
      </c>
      <c r="P1226" s="114"/>
      <c r="Q1226" s="159">
        <v>64875.418767113428</v>
      </c>
      <c r="R1226" s="159">
        <f t="shared" si="2212"/>
        <v>547.51809238850058</v>
      </c>
      <c r="S1226" s="165">
        <f t="shared" si="2223"/>
        <v>-2.6779873743276155E-2</v>
      </c>
      <c r="T1226" s="165">
        <f t="shared" si="2224"/>
        <v>-4.2633688057557262E-4</v>
      </c>
      <c r="U1226" s="165"/>
      <c r="V1226" s="165"/>
      <c r="W1226" s="159">
        <f t="shared" si="2192"/>
        <v>133034.51224240236</v>
      </c>
      <c r="X1226" s="163"/>
      <c r="Y1226" s="167">
        <v>8003.2863662414338</v>
      </c>
      <c r="Z1226" s="168"/>
      <c r="AA1226" s="76">
        <f t="shared" si="2213"/>
        <v>0</v>
      </c>
      <c r="AB1226" s="168"/>
      <c r="AC1226" s="168"/>
      <c r="AD1226" s="163">
        <f t="shared" si="2138"/>
        <v>243932.66398105779</v>
      </c>
      <c r="AE1226" s="168">
        <f t="shared" si="2225"/>
        <v>-0.10347359381806515</v>
      </c>
      <c r="AF1226" s="113"/>
      <c r="AG1226" s="114"/>
      <c r="AH1226" s="114"/>
      <c r="AI1226" s="114"/>
      <c r="AJ1226" s="116">
        <f t="shared" si="2226"/>
        <v>200.05418042573916</v>
      </c>
      <c r="AK1226" s="114">
        <f>+AV1226/$AX$26</f>
        <v>3.1583802927158205E-2</v>
      </c>
      <c r="AL1226" s="115">
        <f t="shared" si="2214"/>
        <v>0.18866982478048053</v>
      </c>
      <c r="AM1226" s="115">
        <f t="shared" si="2215"/>
        <v>0.26595625902790626</v>
      </c>
      <c r="AN1226" s="115">
        <f t="shared" si="2216"/>
        <v>0.54537391619161324</v>
      </c>
      <c r="AO1226" s="115">
        <f t="shared" si="2218"/>
        <v>-3.9584946989166415E-3</v>
      </c>
      <c r="AP1226" s="166">
        <f t="shared" si="2229"/>
        <v>100.53134407626702</v>
      </c>
      <c r="AQ1226" s="168">
        <f t="shared" si="2230"/>
        <v>-3.9584946989166406E-3</v>
      </c>
      <c r="AR1226" s="169">
        <f>+AD1226/$AF$26</f>
        <v>1.592004819225918E-2</v>
      </c>
      <c r="AS1226" s="169">
        <f t="shared" si="2228"/>
        <v>-6.3019426375555414E-5</v>
      </c>
      <c r="AT1226" s="115"/>
      <c r="AU1226" s="115"/>
      <c r="AV1226" s="113">
        <v>1219333</v>
      </c>
      <c r="AW1226" s="68">
        <f t="shared" si="2231"/>
        <v>7.6150356296590636E-3</v>
      </c>
      <c r="AX1226" s="113"/>
      <c r="AY1226" s="113"/>
      <c r="AZ1226" s="116"/>
      <c r="BA1226" s="116"/>
      <c r="BB1226" s="166"/>
      <c r="BC1226" s="166"/>
      <c r="BD1226" s="166"/>
      <c r="BE1226" s="166"/>
      <c r="BF1226" s="166"/>
      <c r="BG1226" s="166"/>
      <c r="BH1226" s="166"/>
      <c r="BI1226" s="113"/>
      <c r="BJ1226" s="113"/>
      <c r="BK1226" s="113">
        <f>INDEX('Dist. Plant Gas Additions'!$E$7:$AE$91,MATCH($C1226,'Dist. Plant Gas Additions'!$D$7:$D$91,0),MATCH(Calculation!$G1226,'Dist. Plant Gas Additions'!$E$5:$AE$5,0))</f>
        <v>321479</v>
      </c>
      <c r="BL1226" s="113">
        <f>INDEX('Gen. Plant Additions'!$E$7:$AE$91,MATCH($C1226,'Gen. Plant Additions'!$D$7:$D$91,0),MATCH(Calculation!$G1226,'Gen. Plant Additions'!$E$5:$AE$5,0))</f>
        <v>32263</v>
      </c>
      <c r="BM1226" s="232"/>
      <c r="BN1226" s="61">
        <f t="shared" si="2208"/>
        <v>0</v>
      </c>
      <c r="BO1226" s="113"/>
      <c r="BP1226" s="113"/>
      <c r="BQ1226" s="175"/>
      <c r="BR1226" s="175"/>
      <c r="BS1226" s="170"/>
      <c r="BT1226" s="176"/>
      <c r="BU1226" s="177"/>
      <c r="BV1226" s="177"/>
      <c r="BW1226" s="113"/>
      <c r="BX1226" s="113"/>
      <c r="BY1226" s="113"/>
      <c r="BZ1226" s="113"/>
      <c r="CA1226" s="116">
        <v>2021</v>
      </c>
      <c r="CB1226" s="113"/>
      <c r="CC1226" s="113"/>
      <c r="CD1226" s="113"/>
      <c r="CE1226" s="175"/>
      <c r="CF1226" s="113">
        <f t="shared" si="2194"/>
        <v>353742</v>
      </c>
      <c r="CG1226" s="113">
        <f t="shared" si="2195"/>
        <v>379.13555171178081</v>
      </c>
      <c r="CH1226" s="178">
        <f>+(51-23)/(51-23*0.75)</f>
        <v>0.82962962962962961</v>
      </c>
      <c r="CI1226" s="113">
        <f>CI1203*CH1226+CG1204*CH1225+CG1205*CH1224+CG1206*CH1223+CG1207*CH1222+CG1208*CH1221+CG1209*CH1220+CG1210*CH1219+CG1211*CH1218+CG1212*CH1217+CG1213*CH1216+CG1214*CH1215+CG1215*CH1214+CG1216*CH1213+CG1217*CH1212+CG1208*CH1211+CG1219*CH1210+CG1220*CH1209+CG1221*CH1208+CG1222*CH1207+CG1223*CH1206+CG1224*CH1205+CG1226+CG1225*CH1204</f>
        <v>8003.2863662414338</v>
      </c>
      <c r="CJ1226" s="114"/>
      <c r="CK1226" s="113"/>
      <c r="CL1226" s="169">
        <f t="shared" si="2197"/>
        <v>2.8482818797064983E-2</v>
      </c>
      <c r="CM1226" s="169">
        <f t="shared" si="2205"/>
        <v>1.525953008703391E-2</v>
      </c>
      <c r="CN1226" s="114">
        <f>VLOOKUP($H1226,RoR!$E:$F,2,FALSE)</f>
        <v>2.7033333333333336E-2</v>
      </c>
      <c r="CO1226" s="169"/>
      <c r="CP1226" s="169"/>
      <c r="CQ1226" s="169">
        <f t="shared" si="2206"/>
        <v>1.5642411521499713E-2</v>
      </c>
      <c r="CR1226" s="169">
        <f t="shared" si="2207"/>
        <v>7.433422950153494E-2</v>
      </c>
      <c r="CS1226" s="179">
        <f t="shared" si="2198"/>
        <v>0.92230000000000001</v>
      </c>
      <c r="CT1226" s="180">
        <f t="shared" si="2199"/>
        <v>1.8969932656739068</v>
      </c>
      <c r="CU1226" s="180">
        <f t="shared" si="2200"/>
        <v>5.0215782983970621E-2</v>
      </c>
      <c r="CV1226" s="180">
        <f t="shared" si="2201"/>
        <v>0.655952481704143</v>
      </c>
      <c r="CW1226" s="180">
        <f t="shared" si="2202"/>
        <v>6.2485378865697057E-2</v>
      </c>
      <c r="CX1226" s="181">
        <f>CX1225</f>
        <v>0.20999999999999996</v>
      </c>
      <c r="CY1226" s="72">
        <v>0.37</v>
      </c>
      <c r="CZ1226" s="182">
        <f t="shared" si="2204"/>
        <v>16.952093089519959</v>
      </c>
      <c r="DA1226" s="182"/>
      <c r="DB1226" s="169">
        <f>LN(CZ1227/CZ1225)</f>
        <v>0.20483131280031344</v>
      </c>
      <c r="DC1226" s="111">
        <f>VLOOKUP($H1226,RoR!$E:$F,2,FALSE)</f>
        <v>2.7033333333333336E-2</v>
      </c>
      <c r="DD1226" s="216" t="e">
        <f>HLOOKUP($H1226,'GDP-PI'!$D$8:$CQ$11,3,FALSE)</f>
        <v>#N/A</v>
      </c>
      <c r="DE1226" s="181">
        <f>VLOOKUP(H1226,'HW Dx Data'!$E:$F,2,FALSE)</f>
        <v>933.02249921662576</v>
      </c>
      <c r="DF1226" s="72">
        <f t="shared" si="2219"/>
        <v>157.25</v>
      </c>
      <c r="DG1226" s="69">
        <f t="shared" si="2220"/>
        <v>2.6419062301765574E-2</v>
      </c>
      <c r="DH1226" s="175">
        <f>HLOOKUP(H1226,'GDP-PI'!$8:$9,2,FALSE)</f>
        <v>118.49</v>
      </c>
      <c r="DI1226" s="169">
        <f t="shared" si="2210"/>
        <v>4.194261824609434E-2</v>
      </c>
    </row>
    <row r="1227" spans="1:113" s="160" customFormat="1" ht="21">
      <c r="G1227" s="161" t="s">
        <v>144</v>
      </c>
      <c r="H1227" s="162"/>
      <c r="I1227" s="163"/>
      <c r="J1227" s="159">
        <v>42941.761796719664</v>
      </c>
      <c r="K1227" s="159">
        <f t="shared" si="2211"/>
        <v>264.17571083801698</v>
      </c>
      <c r="L1227" s="164">
        <f t="shared" ref="L1227" si="2232">LN(K1227/K1226)</f>
        <v>-0.10243939974199924</v>
      </c>
      <c r="M1227" s="76">
        <f t="shared" si="2221"/>
        <v>-2.0826005141866715E-3</v>
      </c>
      <c r="N1227" s="166">
        <f>+N1226*EXP(O1227)</f>
        <v>116.84927222238346</v>
      </c>
      <c r="O1227" s="114">
        <f t="shared" si="2222"/>
        <v>-4.35815259735971E-4</v>
      </c>
      <c r="P1227" s="114"/>
      <c r="Q1227" s="163">
        <v>60532.363014653027</v>
      </c>
      <c r="R1227" s="159">
        <f t="shared" si="2212"/>
        <v>475.69636946682141</v>
      </c>
      <c r="S1227" s="165">
        <f t="shared" ref="S1227" si="2233">LN(R1227/R1226)</f>
        <v>-0.14061573517461826</v>
      </c>
      <c r="T1227" s="165">
        <f t="shared" si="2224"/>
        <v>-2.8587282150710652E-3</v>
      </c>
      <c r="U1227" s="166"/>
      <c r="V1227" s="114"/>
      <c r="W1227" s="159">
        <f t="shared" si="2192"/>
        <v>208030.5201271938</v>
      </c>
      <c r="X1227" s="168"/>
      <c r="Y1227" s="167">
        <v>8423.3531265534803</v>
      </c>
      <c r="Z1227" s="168">
        <v>5.1155729431189151E-2</v>
      </c>
      <c r="AA1227" s="76">
        <f t="shared" si="2213"/>
        <v>1.0399997333575704E-3</v>
      </c>
      <c r="AB1227" s="166"/>
      <c r="AC1227" s="114"/>
      <c r="AD1227" s="163">
        <f t="shared" si="2138"/>
        <v>311504.64493856649</v>
      </c>
      <c r="AE1227" s="168">
        <f t="shared" si="2225"/>
        <v>0.24452202972013473</v>
      </c>
      <c r="AF1227" s="113"/>
      <c r="AG1227" s="114"/>
      <c r="AH1227" s="114"/>
      <c r="AI1227" s="114"/>
      <c r="AJ1227" s="116">
        <f t="shared" si="2226"/>
        <v>256.29193061755683</v>
      </c>
      <c r="AK1227" s="114"/>
      <c r="AL1227" s="115">
        <f t="shared" si="2214"/>
        <v>0.1378527174295858</v>
      </c>
      <c r="AM1227" s="115">
        <f t="shared" si="2215"/>
        <v>0.19432250529230774</v>
      </c>
      <c r="AN1227" s="115">
        <f t="shared" si="2216"/>
        <v>0.66782477727810641</v>
      </c>
      <c r="AO1227" s="115"/>
      <c r="AP1227" s="166"/>
      <c r="AQ1227" s="168"/>
      <c r="AR1227" s="169">
        <f>+AD1227/$AF$26</f>
        <v>2.033007338418466E-2</v>
      </c>
      <c r="AS1227" s="169"/>
      <c r="AT1227" s="166"/>
      <c r="AU1227" s="168"/>
      <c r="AV1227" s="113">
        <v>1215429</v>
      </c>
      <c r="AW1227" s="68">
        <f t="shared" si="2231"/>
        <v>-3.2068870351745788E-3</v>
      </c>
      <c r="AX1227" s="113"/>
      <c r="AY1227" s="113"/>
      <c r="AZ1227" s="113"/>
      <c r="BA1227" s="113"/>
      <c r="BB1227" s="171"/>
      <c r="BC1227" s="172"/>
      <c r="BD1227" s="173"/>
      <c r="BE1227" s="115"/>
      <c r="BF1227" s="174"/>
      <c r="BG1227" s="174"/>
      <c r="BH1227" s="166"/>
      <c r="BI1227" s="113"/>
      <c r="BJ1227" s="113"/>
      <c r="BK1227" s="113"/>
      <c r="BL1227" s="113"/>
      <c r="BM1227" s="232"/>
      <c r="BN1227" s="61">
        <f t="shared" si="2208"/>
        <v>0</v>
      </c>
      <c r="BO1227" s="113"/>
      <c r="BP1227" s="113"/>
      <c r="BQ1227" s="175"/>
      <c r="BR1227" s="175"/>
      <c r="BS1227" s="170"/>
      <c r="BT1227" s="176"/>
      <c r="BU1227" s="177"/>
      <c r="BV1227" s="177"/>
      <c r="BW1227" s="113"/>
      <c r="BX1227" s="113"/>
      <c r="BY1227" s="113"/>
      <c r="BZ1227" s="113"/>
      <c r="CA1227" s="116">
        <v>2022</v>
      </c>
      <c r="CB1227" s="113"/>
      <c r="CC1227" s="113"/>
      <c r="CD1227" s="113"/>
      <c r="CE1227" s="175"/>
      <c r="CF1227" s="238">
        <v>96710</v>
      </c>
      <c r="CG1227" s="113">
        <f>+CF1227/DE1202</f>
        <v>93.819423560112924</v>
      </c>
      <c r="CH1227" s="178">
        <f>+(51-24)/(51-24*0.75)</f>
        <v>0.81818181818181823</v>
      </c>
      <c r="CI1227" s="113">
        <f>+CI1203*CH1227+CG1204*CH1226+CG1205*CH1225+CG1206*CH1224+CG1207*CH1223+CG1208*CH1222+CG1209*CH1221+CG1210*CH1220+CG1211*CH1219+CG1212*CH1218+CG1213*CH1217+CG1214*CH1216+CG1215*CH1215+CG1216*CH1214+CG1217*CH1213+CG1218*CH1212+CG1219*CH1211+CG1220*CH1210+CG1221*CH1209+CG1222*CH1208+CG1223*CH1207+CG1224*CH1206+CG1225*CH1205+CG1226*CH1204+CG1227*CH1203</f>
        <v>8174.003585900984</v>
      </c>
      <c r="CJ1227" s="114">
        <f t="shared" ref="CJ1227" si="2234">LN(CI1227/CI1226)</f>
        <v>2.110657073144552E-2</v>
      </c>
      <c r="CK1227" s="113"/>
      <c r="CL1227" s="169">
        <f t="shared" si="2197"/>
        <v>-9.6082774725891294E-3</v>
      </c>
      <c r="CM1227" s="169">
        <f t="shared" si="2205"/>
        <v>9.2047527928220182E-3</v>
      </c>
      <c r="CN1227" s="114"/>
      <c r="CO1227" s="169"/>
      <c r="CP1227" s="169"/>
      <c r="CQ1227" s="69">
        <f t="shared" si="2206"/>
        <v>2.1697188815711609E-2</v>
      </c>
      <c r="CR1227" s="169">
        <v>0.10114668178709289</v>
      </c>
      <c r="CS1227" s="179">
        <f t="shared" si="2198"/>
        <v>0.92230000000000001</v>
      </c>
      <c r="CT1227" s="180" t="e">
        <f t="shared" si="2199"/>
        <v>#N/A</v>
      </c>
      <c r="CU1227" s="180" t="e">
        <f t="shared" si="2200"/>
        <v>#N/A</v>
      </c>
      <c r="CV1227" s="180" t="e">
        <f t="shared" si="2201"/>
        <v>#N/A</v>
      </c>
      <c r="CW1227" s="180" t="e">
        <f t="shared" si="2202"/>
        <v>#N/A</v>
      </c>
      <c r="CX1227" s="181">
        <f>CX1226</f>
        <v>0.20999999999999996</v>
      </c>
      <c r="CY1227" s="72">
        <v>0.37</v>
      </c>
      <c r="CZ1227" s="182">
        <f t="shared" si="2204"/>
        <v>25.993137144846504</v>
      </c>
      <c r="DA1227" s="182"/>
      <c r="DB1227" s="169">
        <f t="shared" ref="DB1227" si="2235">LN(CZ1227/CZ1226)</f>
        <v>0.42744123490148234</v>
      </c>
      <c r="DC1227" s="111" t="e">
        <f>VLOOKUP($H1227,RoR!$E:$F,2,FALSE)</f>
        <v>#N/A</v>
      </c>
      <c r="DD1227" s="216" t="e">
        <f>HLOOKUP($H1227,'GDP-PI'!$D$8:$CQ$11,3,FALSE)</f>
        <v>#N/A</v>
      </c>
      <c r="DE1227" s="181">
        <v>1030.81</v>
      </c>
      <c r="DF1227" s="72">
        <f t="shared" si="2219"/>
        <v>162.55000000000001</v>
      </c>
      <c r="DG1227" s="169">
        <f t="shared" si="2220"/>
        <v>3.3148751169364422E-2</v>
      </c>
      <c r="DH1227" s="175">
        <v>127.25</v>
      </c>
      <c r="DI1227" s="169">
        <f t="shared" si="2210"/>
        <v>7.1325086601983473E-2</v>
      </c>
    </row>
    <row r="1228" spans="1:113" s="160" customFormat="1" ht="21">
      <c r="A1228" s="160" t="s">
        <v>232</v>
      </c>
      <c r="B1228" s="160" t="s">
        <v>232</v>
      </c>
      <c r="C1228" s="160">
        <v>4063762</v>
      </c>
      <c r="D1228" s="161" t="s">
        <v>233</v>
      </c>
      <c r="E1228" s="161"/>
      <c r="F1228" s="189"/>
      <c r="G1228" s="160" t="s">
        <v>100</v>
      </c>
      <c r="H1228" s="162">
        <v>1998</v>
      </c>
      <c r="I1228" s="163"/>
      <c r="J1228" s="159"/>
      <c r="K1228" s="159"/>
      <c r="L1228" s="159"/>
      <c r="M1228" s="60"/>
      <c r="N1228" s="131"/>
      <c r="O1228" s="76"/>
      <c r="P1228" s="76"/>
      <c r="Q1228" s="165"/>
      <c r="R1228" s="165"/>
      <c r="S1228" s="165"/>
      <c r="T1228" s="159"/>
      <c r="U1228" s="165"/>
      <c r="V1228" s="165"/>
      <c r="W1228" s="159"/>
      <c r="X1228" s="163"/>
      <c r="Y1228" s="167">
        <v>1369.5308781186086</v>
      </c>
      <c r="Z1228" s="168"/>
      <c r="AA1228" s="78"/>
      <c r="AB1228" s="168"/>
      <c r="AC1228" s="168"/>
      <c r="AD1228" s="163">
        <f t="shared" si="2138"/>
        <v>0</v>
      </c>
      <c r="AE1228" s="163"/>
      <c r="AF1228" s="163"/>
      <c r="AG1228" s="114"/>
      <c r="AH1228" s="114"/>
      <c r="AI1228" s="114"/>
      <c r="AJ1228" s="166">
        <f>+(AJ1225+AJ1226+AJ1227)/3</f>
        <v>226.63514880278777</v>
      </c>
      <c r="AK1228" s="168"/>
      <c r="AL1228" s="115"/>
      <c r="AM1228" s="115"/>
      <c r="AN1228" s="115"/>
      <c r="AO1228" s="115"/>
      <c r="AP1228" s="115"/>
      <c r="AQ1228" s="168">
        <f>AVERAGE(AQ1237:AQ1251)</f>
        <v>1.4730652043018991E-2</v>
      </c>
      <c r="AR1228" s="115"/>
      <c r="AS1228" s="115"/>
      <c r="AT1228" s="115"/>
      <c r="AU1228" s="115"/>
      <c r="AV1228" s="113">
        <f>IFERROR(INDEX('Total Customers'!$F$7:$AB$91,MATCH($C1228,'Total Customers'!$D$7:$D$91,0),MATCH($G1228,'Total Customers'!$F$5:$AB$5,0)),"NA")</f>
        <v>216124</v>
      </c>
      <c r="AW1228" s="68"/>
      <c r="AX1228" s="114"/>
      <c r="AY1228" s="114"/>
      <c r="AZ1228" s="116"/>
      <c r="BA1228" s="116"/>
      <c r="BB1228" s="166"/>
      <c r="BC1228" s="166"/>
      <c r="BD1228" s="166"/>
      <c r="BE1228" s="166"/>
      <c r="BF1228" s="166"/>
      <c r="BG1228" s="166"/>
      <c r="BH1228" s="166"/>
      <c r="BI1228" s="113">
        <f>INDEX('Gross Dx Plant'!$E$7:$AD$91,MATCH($C1228,'Gross Dx Plant'!$D$7:$D$91,0),MATCH(Calculation!$G1228,'Gross Dx Plant'!$E$5:$AD$5,0))</f>
        <v>363876</v>
      </c>
      <c r="BJ1228" s="113">
        <f>INDEX('Gross Gen Plant'!$E$7:$AD$91,MATCH($C1228,'Gross Gen Plant'!$D$7:$D$91,0),MATCH(Calculation!$G1228,'Gross Gen Plant'!$E$5:$AD$5,0))</f>
        <v>20715</v>
      </c>
      <c r="BK1228" s="113">
        <f>INDEX('Dist. Plant Gas Additions'!$F$7:$AE$91,MATCH($C1228,'Dist. Plant Gas Additions'!$D$7:$D$91,0),MATCH(Calculation!$G1228,'Dist. Plant Gas Additions'!$F$5:$AE$5,0))</f>
        <v>20888</v>
      </c>
      <c r="BL1228" s="113">
        <f>INDEX('Gen. Plant Additions'!$F$7:$AE$91,MATCH($C1228,'Gen. Plant Additions'!$D$7:$D$91,0),MATCH(Calculation!$G1228,'Gen. Plant Additions'!$F$5:$AE$5,0))</f>
        <v>579</v>
      </c>
      <c r="BM1228" s="231">
        <f>+(BW1228/(BW1228+BX1228))</f>
        <v>0.94613758512289681</v>
      </c>
      <c r="BN1228" s="61">
        <f>+BM1228*BL1228</f>
        <v>547.81366178615724</v>
      </c>
      <c r="BO1228" s="113">
        <f>INDEX('Dist Plant Depreciation'!$E$7:$AD$94,MATCH($C1228,'Dist Plant Depreciation'!$D$7:$D$94,0),MATCH(Calculation!$G1228,'Dist Plant Depreciation'!$E$5:$AD$5,0))</f>
        <v>102126</v>
      </c>
      <c r="BP1228" s="113">
        <f>INDEX('Gen. Plant Depreciation'!$E$7:$AD$94,MATCH($C1228,'Gen. Plant Depreciation'!$D$7:$D$94,0),MATCH(Calculation!$G1228,'Gen. Plant Depreciation'!$E$5:$AD$5,0))</f>
        <v>6204</v>
      </c>
      <c r="BQ1228" s="113"/>
      <c r="BR1228" s="113"/>
      <c r="BS1228" s="113"/>
      <c r="BT1228" s="113"/>
      <c r="BU1228" s="113"/>
      <c r="BV1228" s="175"/>
      <c r="BW1228" s="113">
        <f>INDEX('Gross Dx Plant'!$E$7:$AD$91,MATCH($C1228,'Gross Dx Plant'!$D$7:$D$91,0),MATCH(Calculation!$G1228,'Gross Dx Plant'!$E$5:$AD$5,0))</f>
        <v>363876</v>
      </c>
      <c r="BX1228" s="113">
        <f>INDEX('Gross Gen Plant'!$E$7:$AD$91,MATCH($C1228,'Gross Gen Plant'!$D$7:$D$91,0),MATCH(Calculation!$G1228,'Gross Gen Plant'!$E$5:$AD$5,0))</f>
        <v>20715</v>
      </c>
      <c r="BY1228" s="113">
        <f t="shared" si="2187"/>
        <v>276261</v>
      </c>
      <c r="BZ1228" s="113"/>
      <c r="CA1228" s="116">
        <v>1998</v>
      </c>
      <c r="CB1228" s="113">
        <f>BI1228+BJ1228</f>
        <v>384591</v>
      </c>
      <c r="CC1228" s="113">
        <f>102126+6204</f>
        <v>108330</v>
      </c>
      <c r="CD1228" s="113">
        <f>+CB1228-CC1228</f>
        <v>276261</v>
      </c>
      <c r="CE1228" s="113">
        <f>CD1228/$BV$3</f>
        <v>1369.5308781186086</v>
      </c>
      <c r="CF1228" s="175"/>
      <c r="CG1228" s="175"/>
      <c r="CH1228" s="178">
        <v>1</v>
      </c>
      <c r="CI1228" s="113">
        <f>+CE1228</f>
        <v>1369.5308781186086</v>
      </c>
      <c r="CJ1228" s="114"/>
      <c r="CK1228" s="114"/>
      <c r="CL1228" s="169"/>
      <c r="CM1228" s="169"/>
      <c r="CN1228" s="114" t="e">
        <f>VLOOKUP($H1228,RoR!$E:$F,2,FALSE)</f>
        <v>#N/A</v>
      </c>
      <c r="CO1228" s="169">
        <v>1.1028127770464469E-2</v>
      </c>
      <c r="CP1228" s="169"/>
      <c r="CQ1228" s="169"/>
      <c r="CR1228" s="169"/>
      <c r="CS1228" s="179"/>
      <c r="CT1228" s="182" t="e">
        <f>2/(DC1228*39)</f>
        <v>#N/A</v>
      </c>
      <c r="CU1228" s="180" t="e">
        <f>+(DC1228*40-(1+DC1228))/(DC1228*40)</f>
        <v>#N/A</v>
      </c>
      <c r="CV1228" s="180" t="e">
        <f>+(1-(1/(1+DC1228)^40))</f>
        <v>#N/A</v>
      </c>
      <c r="CW1228" s="180" t="e">
        <f>+CV1228*CU1228*CT1228</f>
        <v>#N/A</v>
      </c>
      <c r="CX1228" s="181">
        <f>INDEX('State Tax Lookup'!$D$7:$Z$91,MATCH(Calculation!$C1228,'State Tax Lookup'!$B$7:$B$91,0),MATCH($H1228,'State Tax Lookup'!$D$6:$Z$6,0))</f>
        <v>0.38900000000000001</v>
      </c>
      <c r="CY1228" s="72">
        <v>0.37</v>
      </c>
      <c r="CZ1228" s="66"/>
      <c r="DA1228" s="66"/>
      <c r="DB1228" s="69"/>
      <c r="DC1228" s="111" t="e">
        <f>VLOOKUP($H1228,RoR!$E:$F,2,FALSE)</f>
        <v>#N/A</v>
      </c>
      <c r="DD1228" s="216">
        <f>HLOOKUP($H1228,'GDP-PI'!$D$8:$CQ$11,3,FALSE)</f>
        <v>1.1028127770464469E-2</v>
      </c>
      <c r="DE1228" s="111">
        <f>VLOOKUP(H1228,'HW Dx Data'!$E:$F,2,FALSE)</f>
        <v>329.24564746449528</v>
      </c>
      <c r="DF1228" s="72" t="e">
        <f t="shared" si="2219"/>
        <v>#N/A</v>
      </c>
      <c r="DG1228" s="169" t="e">
        <f t="shared" si="2220"/>
        <v>#N/A</v>
      </c>
      <c r="DH1228" s="66">
        <f>HLOOKUP(H1228,'GDP-PI'!$8:$9,2,FALSE)</f>
        <v>75.266999999999996</v>
      </c>
      <c r="DI1228"/>
    </row>
    <row r="1229" spans="1:113" s="160" customFormat="1" ht="21">
      <c r="A1229" s="160" t="s">
        <v>232</v>
      </c>
      <c r="B1229" s="160" t="s">
        <v>232</v>
      </c>
      <c r="C1229" s="160">
        <v>4063762</v>
      </c>
      <c r="D1229" s="161" t="s">
        <v>233</v>
      </c>
      <c r="E1229" s="161"/>
      <c r="F1229" s="189"/>
      <c r="G1229" s="160" t="s">
        <v>106</v>
      </c>
      <c r="H1229" s="162">
        <v>1999</v>
      </c>
      <c r="I1229" s="163"/>
      <c r="J1229" s="159"/>
      <c r="K1229" s="163"/>
      <c r="L1229" s="163"/>
      <c r="M1229" s="60"/>
      <c r="N1229" s="152"/>
      <c r="O1229" s="60"/>
      <c r="P1229" s="59"/>
      <c r="Q1229" s="169"/>
      <c r="R1229" s="169"/>
      <c r="S1229" s="169"/>
      <c r="T1229" s="187"/>
      <c r="U1229" s="169"/>
      <c r="V1229" s="169"/>
      <c r="W1229" s="159">
        <f t="shared" ref="W1229:W1252" si="2236">+CI1228*CZ1229</f>
        <v>0</v>
      </c>
      <c r="X1229" s="163"/>
      <c r="Y1229" s="167">
        <v>1417.8250243681086</v>
      </c>
      <c r="Z1229" s="168">
        <v>3.4655767954392062E-2</v>
      </c>
      <c r="AA1229" s="78"/>
      <c r="AB1229" s="168"/>
      <c r="AC1229" s="168"/>
      <c r="AD1229" s="163">
        <f t="shared" si="2138"/>
        <v>0</v>
      </c>
      <c r="AE1229" s="168"/>
      <c r="AF1229" s="163"/>
      <c r="AG1229" s="114"/>
      <c r="AH1229" s="114"/>
      <c r="AI1229" s="114"/>
      <c r="AJ1229" s="167"/>
      <c r="AK1229" s="168"/>
      <c r="AL1229" s="115"/>
      <c r="AM1229" s="115"/>
      <c r="AN1229" s="115"/>
      <c r="AO1229" s="115"/>
      <c r="AP1229" s="115"/>
      <c r="AQ1229" s="168"/>
      <c r="AR1229" s="115"/>
      <c r="AS1229" s="115"/>
      <c r="AT1229" s="115"/>
      <c r="AU1229" s="115"/>
      <c r="AV1229" s="113">
        <f>IFERROR(INDEX('Total Customers'!$F$7:$AB$91,MATCH($C1229,'Total Customers'!$D$7:$D$91,0),MATCH($G1229,'Total Customers'!$F$5:$AB$5,0)),"NA")</f>
        <v>224968</v>
      </c>
      <c r="AW1229" s="68">
        <f t="shared" si="2231"/>
        <v>4.0105852826903862E-2</v>
      </c>
      <c r="AX1229" s="114"/>
      <c r="AY1229" s="114"/>
      <c r="AZ1229" s="116"/>
      <c r="BA1229" s="116"/>
      <c r="BB1229" s="166"/>
      <c r="BC1229" s="166"/>
      <c r="BD1229" s="166"/>
      <c r="BE1229" s="166"/>
      <c r="BF1229" s="166"/>
      <c r="BG1229" s="166"/>
      <c r="BH1229" s="166"/>
      <c r="BI1229" s="113"/>
      <c r="BJ1229" s="113"/>
      <c r="BK1229" s="113">
        <f>INDEX('Dist. Plant Gas Additions'!$F$7:$AE$91,MATCH($C1229,'Dist. Plant Gas Additions'!$D$7:$D$91,0),MATCH(Calculation!$G1229,'Dist. Plant Gas Additions'!$F$5:$AE$5,0))</f>
        <v>17418</v>
      </c>
      <c r="BL1229" s="113">
        <f>INDEX('Gen. Plant Additions'!$F$7:$AE$91,MATCH($C1229,'Gen. Plant Additions'!$D$7:$D$91,0),MATCH(Calculation!$G1229,'Gen. Plant Additions'!$F$5:$AE$5,0))</f>
        <v>1061</v>
      </c>
      <c r="BM1229" s="231">
        <f t="shared" ref="BM1229:BM1250" si="2237">+(BW1229/(BW1229+BX1229))</f>
        <v>0.95169238003761958</v>
      </c>
      <c r="BN1229" s="61">
        <f t="shared" ref="BN1229:BN1248" si="2238">+BM1229*BL1229</f>
        <v>1009.7456152199144</v>
      </c>
      <c r="BO1229" s="113">
        <f>INDEX('Dist Plant Depreciation'!$E$7:$AD$94,MATCH($C1229,'Dist Plant Depreciation'!$D$7:$D$94,0),MATCH(Calculation!$G1229,'Dist Plant Depreciation'!$E$5:$AD$5,0))</f>
        <v>108979</v>
      </c>
      <c r="BP1229" s="113">
        <f>INDEX('Gen. Plant Depreciation'!$E$7:$AD$94,MATCH($C1229,'Gen. Plant Depreciation'!$D$7:$D$94,0),MATCH(Calculation!$G1229,'Gen. Plant Depreciation'!$E$5:$AD$5,0))</f>
        <v>6122</v>
      </c>
      <c r="BQ1229" s="113"/>
      <c r="BR1229" s="113"/>
      <c r="BS1229" s="113"/>
      <c r="BT1229" s="113"/>
      <c r="BU1229" s="113"/>
      <c r="BV1229" s="175"/>
      <c r="BW1229" s="113">
        <f>INDEX('Gross Dx Plant'!$E$7:$AD$91,MATCH($C1229,'Gross Dx Plant'!$D$7:$D$91,0),MATCH(Calculation!$G1229,'Gross Dx Plant'!$E$5:$AD$5,0))</f>
        <v>380479</v>
      </c>
      <c r="BX1229" s="113">
        <f>INDEX('Gross Gen Plant'!$E$7:$AD$91,MATCH($C1229,'Gross Gen Plant'!$D$7:$D$91,0),MATCH(Calculation!$G1229,'Gross Gen Plant'!$E$5:$AD$5,0))</f>
        <v>19313</v>
      </c>
      <c r="BY1229" s="113">
        <f t="shared" si="2187"/>
        <v>284691</v>
      </c>
      <c r="BZ1229" s="113"/>
      <c r="CA1229" s="116">
        <v>1999</v>
      </c>
      <c r="CB1229" s="113"/>
      <c r="CC1229" s="113"/>
      <c r="CD1229" s="113"/>
      <c r="CE1229" s="175"/>
      <c r="CF1229" s="113">
        <f t="shared" ref="CF1229:CF1251" si="2239">+BL1229+BK1229</f>
        <v>18479</v>
      </c>
      <c r="CG1229" s="113">
        <f t="shared" ref="CG1229:CG1251" si="2240">+CF1229/$DE1229</f>
        <v>55.107732707801446</v>
      </c>
      <c r="CH1229" s="178">
        <v>0.99502487562189057</v>
      </c>
      <c r="CI1229" s="61">
        <f>+CI1228*CH1229+CG1229</f>
        <v>1417.8250243681086</v>
      </c>
      <c r="CJ1229" s="114">
        <f t="shared" ref="CJ1229:CJ1250" si="2241">LN(CI1229/CI1228)</f>
        <v>3.4655767954392062E-2</v>
      </c>
      <c r="CK1229" s="114"/>
      <c r="CL1229" s="169">
        <f t="shared" ref="CL1229:CL1252" si="2242">+(CI1228-CI1229+CG1229)/CI1228</f>
        <v>4.9751243781093546E-3</v>
      </c>
      <c r="CM1229" s="169"/>
      <c r="CN1229" s="114">
        <f>VLOOKUP($H1229,RoR!$E:$F,2,FALSE)</f>
        <v>7.0416666666666669E-2</v>
      </c>
      <c r="CO1229" s="169">
        <v>1.4335631817396832E-2</v>
      </c>
      <c r="CP1229" s="169">
        <f>+CN1229-CO1229</f>
        <v>5.6081034849269837E-2</v>
      </c>
      <c r="CQ1229" s="169"/>
      <c r="CR1229" s="169"/>
      <c r="CS1229" s="179">
        <f t="shared" ref="CS1229:CS1252" si="2243">1-CX1229*CY1229</f>
        <v>0.85607</v>
      </c>
      <c r="CT1229" s="180">
        <f t="shared" ref="CT1229:CT1252" si="2244">2/(DC1229*39)</f>
        <v>0.72826581702321336</v>
      </c>
      <c r="CU1229" s="180">
        <f t="shared" ref="CU1229:CU1252" si="2245">+(DC1229*40-(1+DC1229))/(DC1229*40)</f>
        <v>0.61997041420118348</v>
      </c>
      <c r="CV1229" s="180">
        <f t="shared" ref="CV1229:CV1252" si="2246">+(1-(1/(1+DC1229)^40))</f>
        <v>0.93425155319585029</v>
      </c>
      <c r="CW1229" s="180">
        <f t="shared" ref="CW1229:CW1252" si="2247">+CV1229*CU1229*CT1229</f>
        <v>0.42181762214141483</v>
      </c>
      <c r="CX1229" s="181">
        <f>INDEX('State Tax Lookup'!$D$7:$Z$91,MATCH(Calculation!$C1229,'State Tax Lookup'!$B$7:$B$91,0),MATCH($H1229,'State Tax Lookup'!$D$6:$Z$6,0))</f>
        <v>0.38900000000000001</v>
      </c>
      <c r="CY1229" s="72">
        <v>0.37</v>
      </c>
      <c r="CZ1229" s="70"/>
      <c r="DA1229" s="70"/>
      <c r="DB1229" s="69"/>
      <c r="DC1229" s="111">
        <f>VLOOKUP($H1229,RoR!$E:$F,2,FALSE)</f>
        <v>7.0416666666666669E-2</v>
      </c>
      <c r="DD1229" s="216">
        <f>HLOOKUP($H1229,'GDP-PI'!$D$8:$CQ$11,3,FALSE)</f>
        <v>1.4335631817396832E-2</v>
      </c>
      <c r="DE1229" s="111">
        <f>VLOOKUP(H1229,'HW Dx Data'!$E:$F,2,FALSE)</f>
        <v>335.32499146683239</v>
      </c>
      <c r="DF1229" s="66"/>
      <c r="DG1229" s="69"/>
      <c r="DH1229" s="66">
        <f>HLOOKUP(H1229,'GDP-PI'!$8:$9,2,FALSE)</f>
        <v>76.346000000000004</v>
      </c>
      <c r="DI1229"/>
    </row>
    <row r="1230" spans="1:113" s="160" customFormat="1" ht="21">
      <c r="A1230" s="160" t="s">
        <v>232</v>
      </c>
      <c r="B1230" s="160" t="s">
        <v>232</v>
      </c>
      <c r="C1230" s="160">
        <v>4063762</v>
      </c>
      <c r="D1230" s="161" t="s">
        <v>233</v>
      </c>
      <c r="E1230" s="161"/>
      <c r="F1230" s="189"/>
      <c r="G1230" s="160" t="s">
        <v>107</v>
      </c>
      <c r="H1230" s="162">
        <v>2000</v>
      </c>
      <c r="I1230" s="163"/>
      <c r="J1230" s="159"/>
      <c r="K1230" s="159"/>
      <c r="L1230" s="159"/>
      <c r="M1230" s="60"/>
      <c r="N1230" s="152"/>
      <c r="O1230" s="60"/>
      <c r="P1230" s="60"/>
      <c r="Q1230" s="159"/>
      <c r="R1230" s="159"/>
      <c r="S1230" s="159"/>
      <c r="T1230" s="159"/>
      <c r="U1230" s="159"/>
      <c r="V1230" s="159"/>
      <c r="W1230" s="159">
        <f t="shared" si="2236"/>
        <v>0</v>
      </c>
      <c r="X1230" s="163"/>
      <c r="Y1230" s="167">
        <v>1488.0268641507705</v>
      </c>
      <c r="Z1230" s="168">
        <v>4.8326965689948369E-2</v>
      </c>
      <c r="AA1230" s="78"/>
      <c r="AB1230" s="168"/>
      <c r="AC1230" s="168"/>
      <c r="AD1230" s="163">
        <f t="shared" ref="AD1230:AD1295" si="2248">+J1230+Q1230+W1230</f>
        <v>0</v>
      </c>
      <c r="AE1230" s="168"/>
      <c r="AF1230" s="163"/>
      <c r="AG1230" s="163"/>
      <c r="AH1230" s="163"/>
      <c r="AI1230" s="163"/>
      <c r="AJ1230" s="167"/>
      <c r="AK1230" s="168"/>
      <c r="AL1230" s="115"/>
      <c r="AM1230" s="115"/>
      <c r="AN1230" s="115"/>
      <c r="AO1230" s="115"/>
      <c r="AP1230" s="115"/>
      <c r="AQ1230" s="168"/>
      <c r="AR1230" s="115"/>
      <c r="AS1230" s="115"/>
      <c r="AT1230" s="115"/>
      <c r="AU1230" s="115"/>
      <c r="AV1230" s="113">
        <f>IFERROR(INDEX('Total Customers'!$F$7:$AB$91,MATCH($C1230,'Total Customers'!$D$7:$D$91,0),MATCH($G1230,'Total Customers'!$F$5:$AB$5,0)),"NA")</f>
        <v>232710</v>
      </c>
      <c r="AW1230" s="68">
        <f t="shared" si="2231"/>
        <v>3.3834873303231268E-2</v>
      </c>
      <c r="AX1230" s="114"/>
      <c r="AY1230" s="114"/>
      <c r="AZ1230" s="116"/>
      <c r="BA1230" s="116"/>
      <c r="BB1230" s="166"/>
      <c r="BC1230" s="166"/>
      <c r="BD1230" s="166"/>
      <c r="BE1230" s="166"/>
      <c r="BF1230" s="166"/>
      <c r="BG1230" s="166"/>
      <c r="BH1230" s="166"/>
      <c r="BI1230" s="113"/>
      <c r="BJ1230" s="113"/>
      <c r="BK1230" s="113">
        <f>INDEX('Dist. Plant Gas Additions'!$F$7:$AE$91,MATCH($C1230,'Dist. Plant Gas Additions'!$D$7:$D$91,0),MATCH(Calculation!$G1230,'Dist. Plant Gas Additions'!$F$5:$AE$5,0))</f>
        <v>24914</v>
      </c>
      <c r="BL1230" s="113">
        <f>INDEX('Gen. Plant Additions'!$F$7:$AE$91,MATCH($C1230,'Gen. Plant Additions'!$D$7:$D$91,0),MATCH(Calculation!$G1230,'Gen. Plant Additions'!$F$5:$AE$5,0))</f>
        <v>1941</v>
      </c>
      <c r="BM1230" s="231">
        <f t="shared" si="2237"/>
        <v>0.95171331501279932</v>
      </c>
      <c r="BN1230" s="61">
        <f t="shared" si="2238"/>
        <v>1847.2755444398435</v>
      </c>
      <c r="BO1230" s="113">
        <f>INDEX('Dist Plant Depreciation'!$E$7:$AD$94,MATCH($C1230,'Dist Plant Depreciation'!$D$7:$D$94,0),MATCH(Calculation!$G1230,'Dist Plant Depreciation'!$E$5:$AD$5,0))</f>
        <v>116116</v>
      </c>
      <c r="BP1230" s="113">
        <f>INDEX('Gen. Plant Depreciation'!$E$7:$AD$94,MATCH($C1230,'Gen. Plant Depreciation'!$D$7:$D$94,0),MATCH(Calculation!$G1230,'Gen. Plant Depreciation'!$E$5:$AD$5,0))</f>
        <v>6247</v>
      </c>
      <c r="BQ1230" s="113"/>
      <c r="BR1230" s="113"/>
      <c r="BS1230" s="113"/>
      <c r="BT1230" s="113"/>
      <c r="BU1230" s="113"/>
      <c r="BV1230" s="175"/>
      <c r="BW1230" s="113">
        <f>INDEX('Gross Dx Plant'!$E$7:$AD$91,MATCH($C1230,'Gross Dx Plant'!$D$7:$D$91,0),MATCH(Calculation!$G1230,'Gross Dx Plant'!$E$5:$AD$5,0))</f>
        <v>404501</v>
      </c>
      <c r="BX1230" s="113">
        <f>INDEX('Gross Gen Plant'!$E$7:$AD$91,MATCH($C1230,'Gross Gen Plant'!$D$7:$D$91,0),MATCH(Calculation!$G1230,'Gross Gen Plant'!$E$5:$AD$5,0))</f>
        <v>20523</v>
      </c>
      <c r="BY1230" s="113">
        <f t="shared" si="2187"/>
        <v>302661</v>
      </c>
      <c r="BZ1230" s="113"/>
      <c r="CA1230" s="116">
        <v>2000</v>
      </c>
      <c r="CB1230" s="113"/>
      <c r="CC1230" s="113"/>
      <c r="CD1230" s="113"/>
      <c r="CE1230" s="175"/>
      <c r="CF1230" s="113">
        <f t="shared" si="2239"/>
        <v>26855</v>
      </c>
      <c r="CG1230" s="113">
        <f t="shared" si="2240"/>
        <v>77.496066382298721</v>
      </c>
      <c r="CH1230" s="178">
        <v>0.98989898989898994</v>
      </c>
      <c r="CI1230" s="61">
        <f>+CI1228*CH1230+CG1229*CH1229+CG1230</f>
        <v>1488.0268641507705</v>
      </c>
      <c r="CJ1230" s="114">
        <f t="shared" si="2241"/>
        <v>4.8326965689948369E-2</v>
      </c>
      <c r="CK1230" s="114"/>
      <c r="CL1230" s="169">
        <f t="shared" si="2242"/>
        <v>5.1446592310554849E-3</v>
      </c>
      <c r="CM1230" s="169"/>
      <c r="CN1230" s="114">
        <f>VLOOKUP($H1230,RoR!$E:$F,2,FALSE)</f>
        <v>7.6225000000000001E-2</v>
      </c>
      <c r="CO1230" s="169">
        <v>2.2568307442433211E-2</v>
      </c>
      <c r="CP1230" s="169">
        <f t="shared" ref="CP1230:CP1250" si="2249">+CN1230-CO1230</f>
        <v>5.365669255756679E-2</v>
      </c>
      <c r="CQ1230" s="169"/>
      <c r="CR1230" s="169"/>
      <c r="CS1230" s="179">
        <f t="shared" si="2243"/>
        <v>0.85607</v>
      </c>
      <c r="CT1230" s="180">
        <f t="shared" si="2244"/>
        <v>0.67277207323124022</v>
      </c>
      <c r="CU1230" s="180">
        <f t="shared" si="2245"/>
        <v>0.6470236142997704</v>
      </c>
      <c r="CV1230" s="180">
        <f t="shared" si="2246"/>
        <v>0.94704866037543145</v>
      </c>
      <c r="CW1230" s="180">
        <f t="shared" si="2247"/>
        <v>0.41224973107878493</v>
      </c>
      <c r="CX1230" s="181">
        <f>INDEX('State Tax Lookup'!$D$7:$Z$91,MATCH(Calculation!$C1230,'State Tax Lookup'!$B$7:$B$91,0),MATCH($H1230,'State Tax Lookup'!$D$6:$Z$6,0))</f>
        <v>0.38900000000000001</v>
      </c>
      <c r="CY1230" s="72">
        <v>0.37</v>
      </c>
      <c r="CZ1230" s="70"/>
      <c r="DA1230" s="70"/>
      <c r="DB1230" s="69"/>
      <c r="DC1230" s="111">
        <f>VLOOKUP($H1230,RoR!$E:$F,2,FALSE)</f>
        <v>7.6225000000000001E-2</v>
      </c>
      <c r="DD1230" s="216">
        <f>HLOOKUP($H1230,'GDP-PI'!$D$8:$CQ$11,3,FALSE)</f>
        <v>2.2568307442433211E-2</v>
      </c>
      <c r="DE1230" s="111">
        <f>VLOOKUP(H1230,'HW Dx Data'!$E:$F,2,FALSE)</f>
        <v>346.53371782150339</v>
      </c>
      <c r="DF1230" s="66"/>
      <c r="DG1230" s="69"/>
      <c r="DH1230" s="66">
        <f>HLOOKUP(H1230,'GDP-PI'!$8:$9,2,FALSE)</f>
        <v>78.069000000000003</v>
      </c>
      <c r="DI1230"/>
    </row>
    <row r="1231" spans="1:113" s="160" customFormat="1" ht="21">
      <c r="A1231" s="160" t="s">
        <v>232</v>
      </c>
      <c r="B1231" s="160" t="s">
        <v>232</v>
      </c>
      <c r="C1231" s="160">
        <v>4063762</v>
      </c>
      <c r="D1231" s="161" t="s">
        <v>233</v>
      </c>
      <c r="E1231" s="161"/>
      <c r="F1231" s="189"/>
      <c r="G1231" s="160" t="s">
        <v>111</v>
      </c>
      <c r="H1231" s="162">
        <v>2001</v>
      </c>
      <c r="I1231" s="163"/>
      <c r="J1231" s="159"/>
      <c r="K1231" s="159"/>
      <c r="L1231" s="159"/>
      <c r="M1231" s="60"/>
      <c r="N1231" s="152"/>
      <c r="O1231" s="60"/>
      <c r="P1231" s="60"/>
      <c r="Q1231" s="159"/>
      <c r="R1231" s="159"/>
      <c r="S1231" s="159"/>
      <c r="T1231" s="159"/>
      <c r="U1231" s="159"/>
      <c r="V1231" s="159"/>
      <c r="W1231" s="159">
        <f t="shared" si="2236"/>
        <v>18994.631812688214</v>
      </c>
      <c r="X1231" s="163"/>
      <c r="Y1231" s="167">
        <v>1489.3724476506666</v>
      </c>
      <c r="Z1231" s="168">
        <v>9.0386505173911105E-4</v>
      </c>
      <c r="AA1231" s="78"/>
      <c r="AB1231" s="168"/>
      <c r="AC1231" s="168"/>
      <c r="AD1231" s="163">
        <f t="shared" si="2248"/>
        <v>18994.631812688214</v>
      </c>
      <c r="AE1231" s="168"/>
      <c r="AF1231" s="163"/>
      <c r="AG1231" s="163"/>
      <c r="AH1231" s="163"/>
      <c r="AI1231" s="163"/>
      <c r="AJ1231" s="167"/>
      <c r="AK1231" s="168"/>
      <c r="AL1231" s="115"/>
      <c r="AM1231" s="115"/>
      <c r="AN1231" s="115"/>
      <c r="AO1231" s="115"/>
      <c r="AP1231" s="115"/>
      <c r="AQ1231" s="168"/>
      <c r="AR1231" s="115"/>
      <c r="AS1231" s="115"/>
      <c r="AT1231" s="115"/>
      <c r="AU1231" s="115"/>
      <c r="AV1231" s="113">
        <f>IFERROR(INDEX('Total Customers'!$F$7:$AB$91,MATCH($C1231,'Total Customers'!$D$7:$D$91,0),MATCH($G1231,'Total Customers'!$F$5:$AB$5,0)),"NA")</f>
        <v>236605</v>
      </c>
      <c r="AW1231" s="68">
        <f t="shared" si="2231"/>
        <v>1.6599040863544277E-2</v>
      </c>
      <c r="AX1231" s="114"/>
      <c r="AY1231" s="114"/>
      <c r="AZ1231" s="116"/>
      <c r="BA1231" s="116"/>
      <c r="BB1231" s="166"/>
      <c r="BC1231" s="166"/>
      <c r="BD1231" s="166"/>
      <c r="BE1231" s="166"/>
      <c r="BF1231" s="166"/>
      <c r="BG1231" s="166"/>
      <c r="BH1231" s="166"/>
      <c r="BI1231" s="113"/>
      <c r="BJ1231" s="113"/>
      <c r="BK1231" s="113">
        <f>INDEX('Dist. Plant Gas Additions'!$F$7:$AE$91,MATCH($C1231,'Dist. Plant Gas Additions'!$D$7:$D$91,0),MATCH(Calculation!$G1231,'Dist. Plant Gas Additions'!$F$5:$AE$5,0))</f>
        <v>3127</v>
      </c>
      <c r="BL1231" s="113">
        <f>INDEX('Gen. Plant Additions'!$F$7:$AE$91,MATCH($C1231,'Gen. Plant Additions'!$D$7:$D$91,0),MATCH(Calculation!$G1231,'Gen. Plant Additions'!$F$5:$AE$5,0))</f>
        <v>6</v>
      </c>
      <c r="BM1231" s="231">
        <f t="shared" si="2237"/>
        <v>0.9544687829448284</v>
      </c>
      <c r="BN1231" s="61">
        <f t="shared" si="2238"/>
        <v>5.7268126976689704</v>
      </c>
      <c r="BO1231" s="113">
        <f>INDEX('Dist Plant Depreciation'!$E$7:$AD$94,MATCH($C1231,'Dist Plant Depreciation'!$D$7:$D$94,0),MATCH(Calculation!$G1231,'Dist Plant Depreciation'!$E$5:$AD$5,0))</f>
        <v>126609</v>
      </c>
      <c r="BP1231" s="113">
        <f>INDEX('Gen. Plant Depreciation'!$E$7:$AD$94,MATCH($C1231,'Gen. Plant Depreciation'!$D$7:$D$94,0),MATCH(Calculation!$G1231,'Gen. Plant Depreciation'!$E$5:$AD$5,0))</f>
        <v>6652</v>
      </c>
      <c r="BQ1231" s="113"/>
      <c r="BR1231" s="113"/>
      <c r="BS1231" s="113"/>
      <c r="BT1231" s="113"/>
      <c r="BU1231" s="113"/>
      <c r="BV1231" s="175"/>
      <c r="BW1231" s="113">
        <f>INDEX('Gross Dx Plant'!$E$7:$AD$91,MATCH($C1231,'Gross Dx Plant'!$D$7:$D$91,0),MATCH(Calculation!$G1231,'Gross Dx Plant'!$E$5:$AD$5,0))</f>
        <v>407415</v>
      </c>
      <c r="BX1231" s="113">
        <f>INDEX('Gross Gen Plant'!$E$7:$AD$91,MATCH($C1231,'Gross Gen Plant'!$D$7:$D$91,0),MATCH(Calculation!$G1231,'Gross Gen Plant'!$E$5:$AD$5,0))</f>
        <v>19435</v>
      </c>
      <c r="BY1231" s="113">
        <f t="shared" si="2187"/>
        <v>293589</v>
      </c>
      <c r="BZ1231" s="113"/>
      <c r="CA1231" s="116">
        <v>2001</v>
      </c>
      <c r="CB1231" s="113"/>
      <c r="CC1231" s="113"/>
      <c r="CD1231" s="113"/>
      <c r="CE1231" s="175"/>
      <c r="CF1231" s="113">
        <f t="shared" si="2239"/>
        <v>3133</v>
      </c>
      <c r="CG1231" s="113">
        <f t="shared" si="2240"/>
        <v>8.8641200238923084</v>
      </c>
      <c r="CH1231" s="178">
        <v>0.98461538461538467</v>
      </c>
      <c r="CI1231" s="61">
        <f>+CI1228*CH1231+CG1229*CH1230+CG1230*CH1228+CG1231</f>
        <v>1489.3724476506666</v>
      </c>
      <c r="CJ1231" s="114">
        <f t="shared" si="2241"/>
        <v>9.0386505173911105E-4</v>
      </c>
      <c r="CK1231" s="114"/>
      <c r="CL1231" s="169">
        <f t="shared" si="2242"/>
        <v>5.0526887014819694E-3</v>
      </c>
      <c r="CM1231" s="169">
        <f>+(CL1231+CL1230+CL1229)/3</f>
        <v>5.0574907702156035E-3</v>
      </c>
      <c r="CN1231" s="114">
        <f>VLOOKUP($H1231,RoR!$E:$F,2,FALSE)</f>
        <v>7.0824999999999999E-2</v>
      </c>
      <c r="CO1231" s="169">
        <v>2.2454495382290052E-2</v>
      </c>
      <c r="CP1231" s="169">
        <f t="shared" si="2249"/>
        <v>4.8370504617709947E-2</v>
      </c>
      <c r="CQ1231" s="169">
        <f>+$CP$2-CM1231</f>
        <v>2.5844450838318021E-2</v>
      </c>
      <c r="CR1231" s="169">
        <f>+((DE1229/DE1228-1)+(DE1230/DE1229-1)+(DE1231/DE1230-1))/3</f>
        <v>2.3947275901631187E-2</v>
      </c>
      <c r="CS1231" s="179">
        <f t="shared" si="2243"/>
        <v>0.85607</v>
      </c>
      <c r="CT1231" s="180">
        <f t="shared" si="2244"/>
        <v>0.72406708481540816</v>
      </c>
      <c r="CU1231" s="180">
        <f t="shared" si="2245"/>
        <v>0.62201729615248857</v>
      </c>
      <c r="CV1231" s="180">
        <f t="shared" si="2246"/>
        <v>0.9352469954311422</v>
      </c>
      <c r="CW1231" s="180">
        <f t="shared" si="2247"/>
        <v>0.42121864641655071</v>
      </c>
      <c r="CX1231" s="181">
        <f>INDEX('State Tax Lookup'!$D$7:$Z$91,MATCH(Calculation!$C1231,'State Tax Lookup'!$B$7:$B$91,0),MATCH($H1231,'State Tax Lookup'!$D$6:$Z$6,0))</f>
        <v>0.38900000000000001</v>
      </c>
      <c r="CY1231" s="72">
        <v>0.37</v>
      </c>
      <c r="CZ1231" s="70">
        <f t="shared" ref="CZ1231:CZ1252" si="2250">+(DE1231*CQ1231-CR1231)*CS1231/(1-CX1231)</f>
        <v>12.76497909433148</v>
      </c>
      <c r="DA1231" s="70"/>
      <c r="DB1231" s="69"/>
      <c r="DC1231" s="111">
        <f>VLOOKUP($H1231,RoR!$E:$F,2,FALSE)</f>
        <v>7.0824999999999999E-2</v>
      </c>
      <c r="DD1231" s="216">
        <f>HLOOKUP($H1231,'GDP-PI'!$D$8:$CQ$11,3,FALSE)</f>
        <v>2.2454495382290052E-2</v>
      </c>
      <c r="DE1231" s="111">
        <f>VLOOKUP(H1231,'HW Dx Data'!$E:$F,2,FALSE)</f>
        <v>353.44738017483138</v>
      </c>
      <c r="DF1231" s="66"/>
      <c r="DG1231" s="69"/>
      <c r="DH1231" s="66">
        <f>HLOOKUP(H1231,'GDP-PI'!$8:$9,2,FALSE)</f>
        <v>79.822000000000003</v>
      </c>
      <c r="DI1231"/>
    </row>
    <row r="1232" spans="1:113" s="160" customFormat="1" ht="21">
      <c r="A1232" s="160" t="s">
        <v>232</v>
      </c>
      <c r="B1232" s="160" t="s">
        <v>232</v>
      </c>
      <c r="C1232" s="160">
        <v>4063762</v>
      </c>
      <c r="D1232" s="161" t="s">
        <v>233</v>
      </c>
      <c r="E1232" s="161"/>
      <c r="F1232" s="189"/>
      <c r="G1232" s="160" t="s">
        <v>113</v>
      </c>
      <c r="H1232" s="162">
        <v>2002</v>
      </c>
      <c r="I1232" s="163"/>
      <c r="J1232" s="159"/>
      <c r="K1232" s="159"/>
      <c r="L1232" s="159"/>
      <c r="M1232" s="60"/>
      <c r="N1232" s="152"/>
      <c r="O1232" s="60"/>
      <c r="P1232" s="60"/>
      <c r="Q1232" s="159"/>
      <c r="R1232" s="159"/>
      <c r="S1232" s="159"/>
      <c r="T1232" s="159"/>
      <c r="U1232" s="159"/>
      <c r="V1232" s="159"/>
      <c r="W1232" s="159">
        <f t="shared" si="2236"/>
        <v>19237.677206003114</v>
      </c>
      <c r="X1232" s="163"/>
      <c r="Y1232" s="167">
        <v>1496.5498597628573</v>
      </c>
      <c r="Z1232" s="168">
        <v>4.8075101740946086E-3</v>
      </c>
      <c r="AA1232" s="78"/>
      <c r="AB1232" s="168"/>
      <c r="AC1232" s="168"/>
      <c r="AD1232" s="163">
        <f t="shared" si="2248"/>
        <v>19237.677206003114</v>
      </c>
      <c r="AE1232" s="168"/>
      <c r="AF1232" s="163"/>
      <c r="AG1232" s="163"/>
      <c r="AH1232" s="163"/>
      <c r="AI1232" s="163"/>
      <c r="AJ1232" s="167"/>
      <c r="AK1232" s="168"/>
      <c r="AL1232" s="115"/>
      <c r="AM1232" s="115"/>
      <c r="AN1232" s="115"/>
      <c r="AO1232" s="115"/>
      <c r="AP1232" s="115"/>
      <c r="AQ1232" s="168"/>
      <c r="AR1232" s="115"/>
      <c r="AS1232" s="115"/>
      <c r="AT1232" s="115"/>
      <c r="AU1232" s="115"/>
      <c r="AV1232" s="113">
        <f>IFERROR(INDEX('Total Customers'!$F$7:$AB$91,MATCH($C1232,'Total Customers'!$D$7:$D$91,0),MATCH($G1232,'Total Customers'!$F$5:$AB$5,0)),"NA")</f>
        <v>245488</v>
      </c>
      <c r="AW1232" s="68">
        <f t="shared" si="2231"/>
        <v>3.68559821684157E-2</v>
      </c>
      <c r="AX1232" s="114"/>
      <c r="AY1232" s="114"/>
      <c r="AZ1232" s="116"/>
      <c r="BA1232" s="116"/>
      <c r="BB1232" s="166"/>
      <c r="BC1232" s="166"/>
      <c r="BD1232" s="166"/>
      <c r="BE1232" s="166"/>
      <c r="BF1232" s="166"/>
      <c r="BG1232" s="166"/>
      <c r="BH1232" s="166"/>
      <c r="BI1232" s="113"/>
      <c r="BJ1232" s="113"/>
      <c r="BK1232" s="113">
        <f>INDEX('Dist. Plant Gas Additions'!$F$7:$AE$91,MATCH($C1232,'Dist. Plant Gas Additions'!$D$7:$D$91,0),MATCH(Calculation!$G1232,'Dist. Plant Gas Additions'!$F$5:$AE$5,0))</f>
        <v>4520</v>
      </c>
      <c r="BL1232" s="113">
        <f>INDEX('Gen. Plant Additions'!$F$7:$AE$91,MATCH($C1232,'Gen. Plant Additions'!$D$7:$D$91,0),MATCH(Calculation!$G1232,'Gen. Plant Additions'!$F$5:$AE$5,0))</f>
        <v>1174</v>
      </c>
      <c r="BM1232" s="231">
        <f t="shared" si="2237"/>
        <v>0.95300028352707689</v>
      </c>
      <c r="BN1232" s="61">
        <f t="shared" si="2238"/>
        <v>1118.8223328607883</v>
      </c>
      <c r="BO1232" s="113">
        <f>INDEX('Dist Plant Depreciation'!$E$7:$AD$94,MATCH($C1232,'Dist Plant Depreciation'!$D$7:$D$94,0),MATCH(Calculation!$G1232,'Dist Plant Depreciation'!$E$5:$AD$5,0))</f>
        <v>136878</v>
      </c>
      <c r="BP1232" s="113">
        <f>INDEX('Gen. Plant Depreciation'!$E$7:$AD$94,MATCH($C1232,'Gen. Plant Depreciation'!$D$7:$D$94,0),MATCH(Calculation!$G1232,'Gen. Plant Depreciation'!$E$5:$AD$5,0))</f>
        <v>7902</v>
      </c>
      <c r="BQ1232" s="113"/>
      <c r="BR1232" s="113"/>
      <c r="BS1232" s="113"/>
      <c r="BT1232" s="113"/>
      <c r="BU1232" s="113"/>
      <c r="BV1232" s="175"/>
      <c r="BW1232" s="113">
        <f>INDEX('Gross Dx Plant'!$E$7:$AD$91,MATCH($C1232,'Gross Dx Plant'!$D$7:$D$91,0),MATCH(Calculation!$G1232,'Gross Dx Plant'!$E$5:$AD$5,0))</f>
        <v>420154</v>
      </c>
      <c r="BX1232" s="113">
        <f>INDEX('Gross Gen Plant'!$E$7:$AD$91,MATCH($C1232,'Gross Gen Plant'!$D$7:$D$91,0),MATCH(Calculation!$G1232,'Gross Gen Plant'!$E$5:$AD$5,0))</f>
        <v>20721</v>
      </c>
      <c r="BY1232" s="113">
        <f t="shared" si="2187"/>
        <v>296095</v>
      </c>
      <c r="BZ1232" s="113"/>
      <c r="CA1232" s="116">
        <v>2002</v>
      </c>
      <c r="CB1232" s="113"/>
      <c r="CC1232" s="113"/>
      <c r="CD1232" s="113"/>
      <c r="CE1232" s="175"/>
      <c r="CF1232" s="113">
        <f t="shared" si="2239"/>
        <v>5694</v>
      </c>
      <c r="CG1232" s="113">
        <f t="shared" si="2240"/>
        <v>15.757655745759045</v>
      </c>
      <c r="CH1232" s="178">
        <v>0.97916666666666663</v>
      </c>
      <c r="CI1232" s="61">
        <f>+CI1228*CH1232+CG1229*CH1231+CG1230*CH1230+CG1231*CH1229+CG1232</f>
        <v>1496.5498597628573</v>
      </c>
      <c r="CJ1232" s="114">
        <f t="shared" si="2241"/>
        <v>4.8075101740946086E-3</v>
      </c>
      <c r="CK1232" s="114"/>
      <c r="CL1232" s="169">
        <f t="shared" si="2242"/>
        <v>5.7609791607886821E-3</v>
      </c>
      <c r="CM1232" s="169">
        <f t="shared" ref="CM1232:CM1252" si="2251">+(CL1232+CL1231+CL1230)/3</f>
        <v>5.3194423644420457E-3</v>
      </c>
      <c r="CN1232" s="114">
        <f>VLOOKUP($H1232,RoR!$E:$F,2,FALSE)</f>
        <v>6.4916666666666664E-2</v>
      </c>
      <c r="CO1232" s="169">
        <v>1.5246423291824351E-2</v>
      </c>
      <c r="CP1232" s="169">
        <f t="shared" si="2249"/>
        <v>4.9670243374842313E-2</v>
      </c>
      <c r="CQ1232" s="169">
        <f t="shared" ref="CQ1232:CQ1252" si="2252">+$CP$2-CM1232</f>
        <v>2.5582499244091578E-2</v>
      </c>
      <c r="CR1232" s="169">
        <f t="shared" ref="CR1232:CR1252" si="2253">+((DE1230/DE1229-1)+(DE1231/DE1230-1)+(DE1232/DE1231-1))/3</f>
        <v>2.5243621214759093E-2</v>
      </c>
      <c r="CS1232" s="179">
        <f t="shared" si="2243"/>
        <v>0.85607</v>
      </c>
      <c r="CT1232" s="180">
        <f t="shared" si="2244"/>
        <v>0.78996741384417901</v>
      </c>
      <c r="CU1232" s="180">
        <f t="shared" si="2245"/>
        <v>0.58989088575096271</v>
      </c>
      <c r="CV1232" s="180">
        <f t="shared" si="2246"/>
        <v>0.91920675783645744</v>
      </c>
      <c r="CW1232" s="180">
        <f t="shared" si="2247"/>
        <v>0.42834536472275586</v>
      </c>
      <c r="CX1232" s="181">
        <f>INDEX('State Tax Lookup'!$D$7:$Z$91,MATCH(Calculation!$C1232,'State Tax Lookup'!$B$7:$B$91,0),MATCH($H1232,'State Tax Lookup'!$D$6:$Z$6,0))</f>
        <v>0.38900000000000001</v>
      </c>
      <c r="CY1232" s="72">
        <v>0.37</v>
      </c>
      <c r="CZ1232" s="70">
        <f t="shared" si="2250"/>
        <v>12.916632932446543</v>
      </c>
      <c r="DA1232" s="70"/>
      <c r="DB1232" s="69">
        <f>LN(CZ1232/CZ1231)</f>
        <v>1.1810442487702522E-2</v>
      </c>
      <c r="DC1232" s="111">
        <f>VLOOKUP($H1232,RoR!$E:$F,2,FALSE)</f>
        <v>6.4916666666666664E-2</v>
      </c>
      <c r="DD1232" s="216">
        <f>HLOOKUP($H1232,'GDP-PI'!$D$8:$CQ$11,3,FALSE)</f>
        <v>1.5246423291824351E-2</v>
      </c>
      <c r="DE1232" s="111">
        <f>VLOOKUP(H1232,'HW Dx Data'!$E:$F,2,FALSE)</f>
        <v>361.34816573413599</v>
      </c>
      <c r="DF1232" s="66"/>
      <c r="DG1232" s="69"/>
      <c r="DH1232" s="66">
        <f>HLOOKUP(H1232,'GDP-PI'!$8:$9,2,FALSE)</f>
        <v>81.039000000000001</v>
      </c>
      <c r="DI1232" s="69">
        <f>LN(DH1232/DH1231)</f>
        <v>1.513136459537477E-2</v>
      </c>
    </row>
    <row r="1233" spans="1:113" s="160" customFormat="1" ht="21">
      <c r="A1233" s="160" t="s">
        <v>232</v>
      </c>
      <c r="B1233" s="160" t="s">
        <v>232</v>
      </c>
      <c r="C1233" s="160">
        <v>4063762</v>
      </c>
      <c r="D1233" s="161" t="s">
        <v>233</v>
      </c>
      <c r="E1233" s="161"/>
      <c r="F1233" s="189"/>
      <c r="G1233" s="160" t="s">
        <v>114</v>
      </c>
      <c r="H1233" s="162">
        <v>2003</v>
      </c>
      <c r="I1233" s="163"/>
      <c r="J1233" s="159"/>
      <c r="K1233" s="159"/>
      <c r="L1233" s="159"/>
      <c r="M1233" s="76"/>
      <c r="N1233" s="152"/>
      <c r="O1233" s="76"/>
      <c r="P1233" s="76"/>
      <c r="Q1233" s="159"/>
      <c r="R1233" s="159"/>
      <c r="S1233" s="159"/>
      <c r="T1233" s="159"/>
      <c r="U1233" s="159"/>
      <c r="V1233" s="159"/>
      <c r="W1233" s="159">
        <f t="shared" si="2236"/>
        <v>19617.738370632822</v>
      </c>
      <c r="X1233" s="163"/>
      <c r="Y1233" s="167">
        <v>1566.3471606628696</v>
      </c>
      <c r="Z1233" s="168">
        <v>4.5583893908359388E-2</v>
      </c>
      <c r="AA1233" s="78"/>
      <c r="AB1233" s="168"/>
      <c r="AC1233" s="168"/>
      <c r="AD1233" s="163">
        <f t="shared" si="2248"/>
        <v>19617.738370632822</v>
      </c>
      <c r="AE1233" s="168"/>
      <c r="AF1233" s="163"/>
      <c r="AG1233" s="163"/>
      <c r="AH1233" s="163"/>
      <c r="AI1233" s="163"/>
      <c r="AJ1233" s="167"/>
      <c r="AK1233" s="168"/>
      <c r="AL1233" s="115"/>
      <c r="AM1233" s="115"/>
      <c r="AN1233" s="115"/>
      <c r="AO1233" s="115"/>
      <c r="AP1233" s="115"/>
      <c r="AQ1233" s="168"/>
      <c r="AR1233" s="115"/>
      <c r="AS1233" s="115"/>
      <c r="AT1233" s="115"/>
      <c r="AU1233" s="115"/>
      <c r="AV1233" s="113">
        <f>IFERROR(INDEX('Total Customers'!$F$7:$AB$91,MATCH($C1233,'Total Customers'!$D$7:$D$91,0),MATCH($G1233,'Total Customers'!$F$5:$AB$5,0)),"NA")</f>
        <v>250971</v>
      </c>
      <c r="AW1233" s="68">
        <f t="shared" si="2231"/>
        <v>2.2089328405316931E-2</v>
      </c>
      <c r="AX1233" s="114"/>
      <c r="AY1233" s="114"/>
      <c r="AZ1233" s="116"/>
      <c r="BA1233" s="116"/>
      <c r="BB1233" s="166"/>
      <c r="BC1233" s="166"/>
      <c r="BD1233" s="166"/>
      <c r="BE1233" s="166"/>
      <c r="BF1233" s="166"/>
      <c r="BG1233" s="166"/>
      <c r="BH1233" s="166"/>
      <c r="BI1233" s="113"/>
      <c r="BJ1233" s="113"/>
      <c r="BK1233" s="113">
        <f>INDEX('Dist. Plant Gas Additions'!$F$7:$AE$91,MATCH($C1233,'Dist. Plant Gas Additions'!$D$7:$D$91,0),MATCH(Calculation!$G1233,'Dist. Plant Gas Additions'!$F$5:$AE$5,0))</f>
        <v>28348</v>
      </c>
      <c r="BL1233" s="113">
        <f>INDEX('Gen. Plant Additions'!$F$7:$AE$91,MATCH($C1233,'Gen. Plant Additions'!$D$7:$D$91,0),MATCH(Calculation!$G1233,'Gen. Plant Additions'!$F$5:$AE$5,0))</f>
        <v>574</v>
      </c>
      <c r="BM1233" s="231">
        <f t="shared" si="2237"/>
        <v>0.95458072713473785</v>
      </c>
      <c r="BN1233" s="61">
        <f t="shared" si="2238"/>
        <v>547.92933737533951</v>
      </c>
      <c r="BO1233" s="113">
        <f>INDEX('Dist Plant Depreciation'!$E$7:$AD$94,MATCH($C1233,'Dist Plant Depreciation'!$D$7:$D$94,0),MATCH(Calculation!$G1233,'Dist Plant Depreciation'!$E$5:$AD$5,0))</f>
        <v>147405</v>
      </c>
      <c r="BP1233" s="113">
        <f>INDEX('Gen. Plant Depreciation'!$E$7:$AD$94,MATCH($C1233,'Gen. Plant Depreciation'!$D$7:$D$94,0),MATCH(Calculation!$G1233,'Gen. Plant Depreciation'!$E$5:$AD$5,0))</f>
        <v>9785</v>
      </c>
      <c r="BQ1233" s="113"/>
      <c r="BR1233" s="113"/>
      <c r="BS1233" s="113"/>
      <c r="BT1233" s="113"/>
      <c r="BU1233" s="113"/>
      <c r="BV1233" s="175"/>
      <c r="BW1233" s="113">
        <f>INDEX('Gross Dx Plant'!$E$7:$AD$91,MATCH($C1233,'Gross Dx Plant'!$D$7:$D$91,0),MATCH(Calculation!$G1233,'Gross Dx Plant'!$E$5:$AD$5,0))</f>
        <v>447769</v>
      </c>
      <c r="BX1233" s="113">
        <f>INDEX('Gross Gen Plant'!$E$7:$AD$91,MATCH($C1233,'Gross Gen Plant'!$D$7:$D$91,0),MATCH(Calculation!$G1233,'Gross Gen Plant'!$E$5:$AD$5,0))</f>
        <v>21305</v>
      </c>
      <c r="BY1233" s="113">
        <f t="shared" si="2187"/>
        <v>311884</v>
      </c>
      <c r="BZ1233" s="113"/>
      <c r="CA1233" s="116">
        <v>2003</v>
      </c>
      <c r="CB1233" s="113"/>
      <c r="CC1233" s="113"/>
      <c r="CD1233" s="113"/>
      <c r="CE1233" s="175"/>
      <c r="CF1233" s="113">
        <f t="shared" si="2239"/>
        <v>28922</v>
      </c>
      <c r="CG1233" s="113">
        <f t="shared" si="2240"/>
        <v>78.329941099111807</v>
      </c>
      <c r="CH1233" s="178">
        <v>0.97354497354497349</v>
      </c>
      <c r="CI1233" s="61">
        <f>+CI1228*CH1233+CG1229*CH1232+CG1230*CH1231+CG1231*CH1230+CG1232*CH1229+CG1233</f>
        <v>1566.3471606628696</v>
      </c>
      <c r="CJ1233" s="114">
        <f t="shared" si="2241"/>
        <v>4.5583893908359388E-2</v>
      </c>
      <c r="CK1233" s="114"/>
      <c r="CL1233" s="169">
        <f t="shared" si="2242"/>
        <v>5.7015408764607587E-3</v>
      </c>
      <c r="CM1233" s="169">
        <f t="shared" si="2251"/>
        <v>5.5050695795771367E-3</v>
      </c>
      <c r="CN1233" s="114">
        <f>VLOOKUP($H1233,RoR!$E:$F,2,FALSE)</f>
        <v>5.6666666666666671E-2</v>
      </c>
      <c r="CO1233" s="169">
        <v>1.8855119140166909E-2</v>
      </c>
      <c r="CP1233" s="169">
        <f t="shared" si="2249"/>
        <v>3.7811547526499761E-2</v>
      </c>
      <c r="CQ1233" s="169">
        <f t="shared" si="2252"/>
        <v>2.5396872028956487E-2</v>
      </c>
      <c r="CR1233" s="169">
        <f t="shared" si="2253"/>
        <v>2.1375012817671957E-2</v>
      </c>
      <c r="CS1233" s="179">
        <f t="shared" si="2243"/>
        <v>0.85607</v>
      </c>
      <c r="CT1233" s="180">
        <f t="shared" si="2244"/>
        <v>0.90497737556561086</v>
      </c>
      <c r="CU1233" s="180">
        <f t="shared" si="2245"/>
        <v>0.5338235294117647</v>
      </c>
      <c r="CV1233" s="180">
        <f t="shared" si="2246"/>
        <v>0.88972433127405692</v>
      </c>
      <c r="CW1233" s="180">
        <f t="shared" si="2247"/>
        <v>0.42982423775949252</v>
      </c>
      <c r="CX1233" s="181">
        <f>INDEX('State Tax Lookup'!$D$7:$Z$91,MATCH(Calculation!$C1233,'State Tax Lookup'!$B$7:$B$91,0),MATCH($H1233,'State Tax Lookup'!$D$6:$Z$6,0))</f>
        <v>0.38900000000000001</v>
      </c>
      <c r="CY1233" s="72">
        <v>0.37</v>
      </c>
      <c r="CZ1233" s="70">
        <f t="shared" si="2250"/>
        <v>13.108643352344734</v>
      </c>
      <c r="DA1233" s="70"/>
      <c r="DB1233" s="69">
        <f t="shared" ref="DB1233:DB1250" si="2254">LN(CZ1233/CZ1232)</f>
        <v>1.4755955078808444E-2</v>
      </c>
      <c r="DC1233" s="111">
        <f>VLOOKUP($H1233,RoR!$E:$F,2,FALSE)</f>
        <v>5.6666666666666671E-2</v>
      </c>
      <c r="DD1233" s="216">
        <f>HLOOKUP($H1233,'GDP-PI'!$D$8:$CQ$11,3,FALSE)</f>
        <v>1.8855119140166909E-2</v>
      </c>
      <c r="DE1233" s="111">
        <f>VLOOKUP(H1233,'HW Dx Data'!$E:$F,2,FALSE)</f>
        <v>369.23301095560191</v>
      </c>
      <c r="DF1233" s="66"/>
      <c r="DG1233" s="69"/>
      <c r="DH1233" s="66">
        <f>HLOOKUP(H1233,'GDP-PI'!$8:$9,2,FALSE)</f>
        <v>82.566999999999993</v>
      </c>
      <c r="DI1233" s="69">
        <f t="shared" ref="DI1233:DI1252" si="2255">LN(DH1233/DH1232)</f>
        <v>1.8679564681853753E-2</v>
      </c>
    </row>
    <row r="1234" spans="1:113" s="160" customFormat="1" ht="21">
      <c r="A1234" s="160" t="s">
        <v>232</v>
      </c>
      <c r="B1234" s="160" t="s">
        <v>232</v>
      </c>
      <c r="C1234" s="160">
        <v>4063762</v>
      </c>
      <c r="D1234" s="161" t="s">
        <v>233</v>
      </c>
      <c r="E1234" s="161"/>
      <c r="F1234" s="189"/>
      <c r="G1234" s="160" t="s">
        <v>115</v>
      </c>
      <c r="H1234" s="162">
        <v>2004</v>
      </c>
      <c r="I1234" s="163"/>
      <c r="J1234" s="159">
        <f>IFERROR(INDEX('Labor Expenditures'!$F$7:$X$91,MATCH($C1234,'Labor Expenditures'!$D$7:$D$91,0),MATCH($G1234,'Labor Expenditures'!$F$5:$X$5,0)),"NA")</f>
        <v>16605.268560230274</v>
      </c>
      <c r="K1234" s="159">
        <f t="shared" ref="K1234:K1252" si="2256">+J1234/DF1234</f>
        <v>175.99648712485717</v>
      </c>
      <c r="L1234" s="165"/>
      <c r="M1234" s="76"/>
      <c r="N1234" s="152"/>
      <c r="O1234" s="76"/>
      <c r="P1234" s="76"/>
      <c r="Q1234" s="159">
        <f>IFERROR(INDEX('Non-Labor Expenditures'!$F$7:$AB$91,MATCH($C1234,'Non-Labor Expenditures'!$D$7:$D$91,0),MATCH($G1234,'Non-Labor Expenditures'!$F$5:$AB$5,0)),"NA")</f>
        <v>24047.530311569921</v>
      </c>
      <c r="R1234" s="159">
        <f t="shared" ref="R1234:R1252" si="2257">+Q1234/DH1234</f>
        <v>283.65295609202764</v>
      </c>
      <c r="S1234" s="159"/>
      <c r="T1234" s="159"/>
      <c r="U1234" s="159"/>
      <c r="V1234" s="159"/>
      <c r="W1234" s="159">
        <f t="shared" si="2236"/>
        <v>22752.902818572027</v>
      </c>
      <c r="X1234" s="163"/>
      <c r="Y1234" s="167">
        <v>1585.3387455138645</v>
      </c>
      <c r="Z1234" s="168">
        <v>1.205184481468833E-2</v>
      </c>
      <c r="AA1234" s="76">
        <f t="shared" ref="AA1234:AA1252" si="2258">+Z1234*$AR1234</f>
        <v>0</v>
      </c>
      <c r="AB1234" s="168"/>
      <c r="AC1234" s="168"/>
      <c r="AD1234" s="163">
        <f t="shared" si="2248"/>
        <v>63405.701690372225</v>
      </c>
      <c r="AE1234" s="168"/>
      <c r="AF1234" s="163"/>
      <c r="AG1234" s="163"/>
      <c r="AH1234" s="163"/>
      <c r="AI1234" s="163"/>
      <c r="AJ1234" s="167"/>
      <c r="AK1234" s="168"/>
      <c r="AL1234" s="115">
        <f t="shared" ref="AL1234:AL1252" si="2259">+J1234/AD1234</f>
        <v>0.26188920108980807</v>
      </c>
      <c r="AM1234" s="115">
        <f t="shared" ref="AM1234:AM1252" si="2260">+Q1234/AD1234</f>
        <v>0.37926447733361168</v>
      </c>
      <c r="AN1234" s="115">
        <f t="shared" ref="AN1234:AN1252" si="2261">+W1234/AD1234</f>
        <v>0.3588463215765802</v>
      </c>
      <c r="AO1234" s="115"/>
      <c r="AP1234" s="115"/>
      <c r="AQ1234" s="168"/>
      <c r="AR1234" s="115"/>
      <c r="AS1234" s="115"/>
      <c r="AT1234" s="115"/>
      <c r="AU1234" s="115"/>
      <c r="AV1234" s="113">
        <f>IFERROR(INDEX('Total Customers'!$F$7:$AB$91,MATCH($C1234,'Total Customers'!$D$7:$D$91,0),MATCH($G1234,'Total Customers'!$F$5:$AB$5,0)),"NA")</f>
        <v>256113</v>
      </c>
      <c r="AW1234" s="68">
        <f t="shared" si="2231"/>
        <v>2.0281358730315072E-2</v>
      </c>
      <c r="AX1234" s="114"/>
      <c r="AY1234" s="114"/>
      <c r="AZ1234" s="116"/>
      <c r="BA1234" s="116"/>
      <c r="BB1234" s="166"/>
      <c r="BC1234" s="166"/>
      <c r="BD1234" s="166"/>
      <c r="BE1234" s="166"/>
      <c r="BF1234" s="166"/>
      <c r="BG1234" s="166"/>
      <c r="BH1234" s="166"/>
      <c r="BI1234" s="113"/>
      <c r="BJ1234" s="113"/>
      <c r="BK1234" s="113">
        <f>INDEX('Dist. Plant Gas Additions'!$F$7:$AE$91,MATCH($C1234,'Dist. Plant Gas Additions'!$D$7:$D$91,0),MATCH(Calculation!$G1234,'Dist. Plant Gas Additions'!$F$5:$AE$5,0))</f>
        <v>10745</v>
      </c>
      <c r="BL1234" s="113">
        <f>INDEX('Gen. Plant Additions'!$F$7:$AE$91,MATCH($C1234,'Gen. Plant Additions'!$D$7:$D$91,0),MATCH(Calculation!$G1234,'Gen. Plant Additions'!$F$5:$AE$5,0))</f>
        <v>950</v>
      </c>
      <c r="BM1234" s="231">
        <f t="shared" si="2237"/>
        <v>0.95444745123643537</v>
      </c>
      <c r="BN1234" s="61">
        <f t="shared" si="2238"/>
        <v>906.72507867461366</v>
      </c>
      <c r="BO1234" s="113">
        <f>INDEX('Dist Plant Depreciation'!$E$7:$AD$94,MATCH($C1234,'Dist Plant Depreciation'!$D$7:$D$94,0),MATCH(Calculation!$G1234,'Dist Plant Depreciation'!$E$5:$AD$5,0))</f>
        <v>154445</v>
      </c>
      <c r="BP1234" s="113">
        <f>INDEX('Gen. Plant Depreciation'!$E$7:$AD$94,MATCH($C1234,'Gen. Plant Depreciation'!$D$7:$D$94,0),MATCH(Calculation!$G1234,'Gen. Plant Depreciation'!$E$5:$AD$5,0))</f>
        <v>11127</v>
      </c>
      <c r="BQ1234" s="113"/>
      <c r="BR1234" s="113"/>
      <c r="BS1234" s="113"/>
      <c r="BT1234" s="113"/>
      <c r="BU1234" s="113"/>
      <c r="BV1234" s="175"/>
      <c r="BW1234" s="113">
        <f>INDEX('Gross Dx Plant'!$E$7:$AD$91,MATCH($C1234,'Gross Dx Plant'!$D$7:$D$91,0),MATCH(Calculation!$G1234,'Gross Dx Plant'!$E$5:$AD$5,0))</f>
        <v>454631</v>
      </c>
      <c r="BX1234" s="113">
        <f>INDEX('Gross Gen Plant'!$E$7:$AD$91,MATCH($C1234,'Gross Gen Plant'!$D$7:$D$91,0),MATCH(Calculation!$G1234,'Gross Gen Plant'!$E$5:$AD$5,0))</f>
        <v>21698</v>
      </c>
      <c r="BY1234" s="113">
        <f t="shared" si="2187"/>
        <v>310757</v>
      </c>
      <c r="BZ1234" s="113"/>
      <c r="CA1234" s="116">
        <v>2004</v>
      </c>
      <c r="CB1234" s="113"/>
      <c r="CC1234" s="113"/>
      <c r="CD1234" s="113"/>
      <c r="CE1234" s="175"/>
      <c r="CF1234" s="113">
        <f t="shared" si="2239"/>
        <v>11695</v>
      </c>
      <c r="CG1234" s="113">
        <f t="shared" si="2240"/>
        <v>28.188385285844348</v>
      </c>
      <c r="CH1234" s="178">
        <v>0.967741935483871</v>
      </c>
      <c r="CI1234" s="61">
        <f>+CI1228*CH1234+CG1229*CH1233+CG1230*CH1232+CG1231*CH1231+CG1232*CH1230+CG1233*CH1229+CG1234</f>
        <v>1585.3387455138645</v>
      </c>
      <c r="CJ1234" s="114">
        <f t="shared" si="2241"/>
        <v>1.205184481468833E-2</v>
      </c>
      <c r="CK1234" s="114"/>
      <c r="CL1234" s="169">
        <f t="shared" si="2242"/>
        <v>5.8714955827272311E-3</v>
      </c>
      <c r="CM1234" s="169">
        <f t="shared" si="2251"/>
        <v>5.7780052066588906E-3</v>
      </c>
      <c r="CN1234" s="114">
        <f>VLOOKUP($H1234,RoR!$E:$F,2,FALSE)</f>
        <v>5.6283333333333331E-2</v>
      </c>
      <c r="CO1234" s="169">
        <v>2.6778252812867276E-2</v>
      </c>
      <c r="CP1234" s="169">
        <f t="shared" si="2249"/>
        <v>2.9505080520466055E-2</v>
      </c>
      <c r="CQ1234" s="169">
        <f t="shared" si="2252"/>
        <v>2.5123936401874734E-2</v>
      </c>
      <c r="CR1234" s="169">
        <f t="shared" si="2253"/>
        <v>5.5940039414565046E-2</v>
      </c>
      <c r="CS1234" s="179">
        <f t="shared" si="2243"/>
        <v>0.85607</v>
      </c>
      <c r="CT1234" s="180">
        <f t="shared" si="2244"/>
        <v>0.91114097628755619</v>
      </c>
      <c r="CU1234" s="180">
        <f t="shared" si="2245"/>
        <v>0.53081877405981637</v>
      </c>
      <c r="CV1234" s="180">
        <f t="shared" si="2246"/>
        <v>0.88811215519385678</v>
      </c>
      <c r="CW1234" s="180">
        <f t="shared" si="2247"/>
        <v>0.42953609753547711</v>
      </c>
      <c r="CX1234" s="181">
        <f>INDEX('State Tax Lookup'!$D$7:$Z$91,MATCH(Calculation!$C1234,'State Tax Lookup'!$B$7:$B$91,0),MATCH($H1234,'State Tax Lookup'!$D$6:$Z$6,0))</f>
        <v>0.38900000000000001</v>
      </c>
      <c r="CY1234" s="72">
        <v>0.37</v>
      </c>
      <c r="CZ1234" s="70">
        <f t="shared" si="2250"/>
        <v>14.526091909882304</v>
      </c>
      <c r="DA1234" s="70"/>
      <c r="DB1234" s="69">
        <f t="shared" si="2254"/>
        <v>0.10267466390600113</v>
      </c>
      <c r="DC1234" s="111">
        <f>VLOOKUP($H1234,RoR!$E:$F,2,FALSE)</f>
        <v>5.6283333333333331E-2</v>
      </c>
      <c r="DD1234" s="216">
        <f>HLOOKUP($H1234,'GDP-PI'!$D$8:$CQ$11,3,FALSE)</f>
        <v>2.6778252812867276E-2</v>
      </c>
      <c r="DE1234" s="111">
        <f>VLOOKUP(H1234,'HW Dx Data'!$E:$F,2,FALSE)</f>
        <v>414.88719135228365</v>
      </c>
      <c r="DF1234" s="72">
        <f>VLOOKUP(G1234,EG$8:EH$27,2,FALSE)</f>
        <v>94.35</v>
      </c>
      <c r="DG1234" s="69"/>
      <c r="DH1234" s="66">
        <f>HLOOKUP(H1234,'GDP-PI'!$8:$9,2,FALSE)</f>
        <v>84.778000000000006</v>
      </c>
      <c r="DI1234" s="69">
        <f t="shared" si="2255"/>
        <v>2.6425990216022755E-2</v>
      </c>
    </row>
    <row r="1235" spans="1:113" s="160" customFormat="1" ht="21">
      <c r="A1235" s="160" t="s">
        <v>232</v>
      </c>
      <c r="B1235" s="160" t="s">
        <v>232</v>
      </c>
      <c r="C1235" s="160">
        <v>4063762</v>
      </c>
      <c r="D1235" s="161" t="s">
        <v>233</v>
      </c>
      <c r="E1235" s="161"/>
      <c r="F1235" s="189"/>
      <c r="G1235" s="160" t="s">
        <v>116</v>
      </c>
      <c r="H1235" s="162">
        <v>2005</v>
      </c>
      <c r="I1235" s="163"/>
      <c r="J1235" s="159">
        <f>IFERROR(INDEX('Labor Expenditures'!$F$7:$X$91,MATCH($C1235,'Labor Expenditures'!$D$7:$D$91,0),MATCH($G1235,'Labor Expenditures'!$F$5:$X$5,0)),"NA")</f>
        <v>17465.8674014684</v>
      </c>
      <c r="K1235" s="159">
        <f t="shared" si="2256"/>
        <v>176.02285111079266</v>
      </c>
      <c r="L1235" s="165">
        <f t="shared" ref="L1235:L1251" si="2262">LN(K1235/K1234)</f>
        <v>1.4978714588199189E-4</v>
      </c>
      <c r="M1235" s="76"/>
      <c r="N1235" s="62">
        <v>100</v>
      </c>
      <c r="O1235" s="77"/>
      <c r="P1235" s="77"/>
      <c r="Q1235" s="159">
        <f>IFERROR(INDEX('Non-Labor Expenditures'!$F$7:$AB$91,MATCH($C1235,'Non-Labor Expenditures'!$D$7:$D$91,0),MATCH($G1235,'Non-Labor Expenditures'!$F$5:$AB$5,0)),"NA")</f>
        <v>25293.838171374198</v>
      </c>
      <c r="R1235" s="159">
        <f t="shared" si="2257"/>
        <v>289.3800058504948</v>
      </c>
      <c r="S1235" s="165">
        <f>LN(R1235/R1234)</f>
        <v>1.9989218189718126E-2</v>
      </c>
      <c r="T1235" s="165"/>
      <c r="U1235" s="165"/>
      <c r="V1235" s="165"/>
      <c r="W1235" s="159">
        <f t="shared" si="2236"/>
        <v>25869.267370851863</v>
      </c>
      <c r="X1235" s="163"/>
      <c r="Y1235" s="167">
        <v>1616.8843894325564</v>
      </c>
      <c r="Z1235" s="168">
        <v>1.9702977027800207E-2</v>
      </c>
      <c r="AA1235" s="76">
        <f t="shared" si="2258"/>
        <v>0</v>
      </c>
      <c r="AB1235" s="168"/>
      <c r="AC1235" s="168"/>
      <c r="AD1235" s="163">
        <f t="shared" si="2248"/>
        <v>68628.972943694462</v>
      </c>
      <c r="AE1235" s="168">
        <f>LN(AD1235/AD1234)</f>
        <v>7.9161002262480587E-2</v>
      </c>
      <c r="AF1235" s="163"/>
      <c r="AG1235" s="163"/>
      <c r="AH1235" s="163"/>
      <c r="AI1235" s="163"/>
      <c r="AJ1235" s="116"/>
      <c r="AK1235" s="114"/>
      <c r="AL1235" s="115">
        <f t="shared" si="2259"/>
        <v>0.25449699525298142</v>
      </c>
      <c r="AM1235" s="115">
        <f t="shared" si="2260"/>
        <v>0.36855918260828591</v>
      </c>
      <c r="AN1235" s="115">
        <f t="shared" si="2261"/>
        <v>0.37694382213873268</v>
      </c>
      <c r="AO1235" s="115">
        <f t="shared" ref="AO1235:AO1251" si="2263">+(((AL1235+AL1234)/2)*L1235+((AM1234+AM1235)/2)*S1235+((AN1234+AN1235)/2)*Z1235)</f>
        <v>1.4761507309719915E-2</v>
      </c>
      <c r="AP1235" s="166">
        <v>100</v>
      </c>
      <c r="AQ1235" s="168"/>
      <c r="AR1235" s="115"/>
      <c r="AS1235" s="115"/>
      <c r="AT1235" s="115"/>
      <c r="AU1235" s="115"/>
      <c r="AV1235" s="113">
        <f>IFERROR(INDEX('Total Customers'!$F$7:$AB$91,MATCH($C1235,'Total Customers'!$D$7:$D$91,0),MATCH($G1235,'Total Customers'!$F$5:$AB$5,0)),"NA")</f>
        <v>266962</v>
      </c>
      <c r="AW1235" s="68">
        <f t="shared" si="2231"/>
        <v>4.1487572835638517E-2</v>
      </c>
      <c r="AX1235" s="114"/>
      <c r="AY1235" s="114"/>
      <c r="AZ1235" s="116"/>
      <c r="BA1235" s="116"/>
      <c r="BB1235" s="166"/>
      <c r="BC1235" s="166"/>
      <c r="BD1235" s="166"/>
      <c r="BE1235" s="166"/>
      <c r="BF1235" s="166"/>
      <c r="BG1235" s="166"/>
      <c r="BH1235" s="166"/>
      <c r="BI1235" s="113"/>
      <c r="BJ1235" s="113"/>
      <c r="BK1235" s="113">
        <f>INDEX('Dist. Plant Gas Additions'!$F$7:$AE$91,MATCH($C1235,'Dist. Plant Gas Additions'!$D$7:$D$91,0),MATCH(Calculation!$G1235,'Dist. Plant Gas Additions'!$F$5:$AE$5,0))</f>
        <v>18001</v>
      </c>
      <c r="BL1235" s="113">
        <f>INDEX('Gen. Plant Additions'!$F$7:$AE$91,MATCH($C1235,'Gen. Plant Additions'!$D$7:$D$91,0),MATCH(Calculation!$G1235,'Gen. Plant Additions'!$F$5:$AE$5,0))</f>
        <v>1322</v>
      </c>
      <c r="BM1235" s="231">
        <f t="shared" si="2237"/>
        <v>0.97817526931191268</v>
      </c>
      <c r="BN1235" s="61">
        <f t="shared" si="2238"/>
        <v>1293.1477060303484</v>
      </c>
      <c r="BO1235" s="113">
        <f>INDEX('Dist Plant Depreciation'!$E$7:$AD$94,MATCH($C1235,'Dist Plant Depreciation'!$D$7:$D$94,0),MATCH(Calculation!$G1235,'Dist Plant Depreciation'!$E$5:$AD$5,0))</f>
        <v>166341</v>
      </c>
      <c r="BP1235" s="113">
        <f>INDEX('Gen. Plant Depreciation'!$E$7:$AD$94,MATCH($C1235,'Gen. Plant Depreciation'!$D$7:$D$94,0),MATCH(Calculation!$G1235,'Gen. Plant Depreciation'!$E$5:$AD$5,0))</f>
        <v>1964</v>
      </c>
      <c r="BQ1235" s="113"/>
      <c r="BR1235" s="113"/>
      <c r="BS1235" s="113"/>
      <c r="BT1235" s="113"/>
      <c r="BU1235" s="113"/>
      <c r="BV1235" s="175"/>
      <c r="BW1235" s="113">
        <f>INDEX('Gross Dx Plant'!$E$7:$AD$91,MATCH($C1235,'Gross Dx Plant'!$D$7:$D$91,0),MATCH(Calculation!$G1235,'Gross Dx Plant'!$E$5:$AD$5,0))</f>
        <v>471995</v>
      </c>
      <c r="BX1235" s="113">
        <f>INDEX('Gross Gen Plant'!$E$7:$AD$91,MATCH($C1235,'Gross Gen Plant'!$D$7:$D$91,0),MATCH(Calculation!$G1235,'Gross Gen Plant'!$E$5:$AD$5,0))</f>
        <v>10531</v>
      </c>
      <c r="BY1235" s="113">
        <f t="shared" si="2187"/>
        <v>314221</v>
      </c>
      <c r="BZ1235" s="113"/>
      <c r="CA1235" s="116">
        <v>2005</v>
      </c>
      <c r="CB1235" s="113"/>
      <c r="CC1235" s="113"/>
      <c r="CD1235" s="113"/>
      <c r="CE1235" s="175"/>
      <c r="CF1235" s="113">
        <f t="shared" si="2239"/>
        <v>19323</v>
      </c>
      <c r="CG1235" s="113">
        <f t="shared" si="2240"/>
        <v>41.182413273674719</v>
      </c>
      <c r="CH1235" s="178">
        <v>0.96174863387978138</v>
      </c>
      <c r="CI1235" s="61">
        <f>+CI1228*CH1235+CG1229*CH1234+CG1230*CH1233+CG1231*CH1232+CG1232*CH1231+CG1233*CH1230+CG1234*CH1229+CG1235</f>
        <v>1616.8843894325564</v>
      </c>
      <c r="CJ1235" s="114">
        <f t="shared" si="2241"/>
        <v>1.9702977027800207E-2</v>
      </c>
      <c r="CK1235" s="114"/>
      <c r="CL1235" s="169">
        <f t="shared" si="2242"/>
        <v>6.078681532418616E-3</v>
      </c>
      <c r="CM1235" s="169">
        <f t="shared" si="2251"/>
        <v>5.8839059972022019E-3</v>
      </c>
      <c r="CN1235" s="114">
        <f>VLOOKUP($H1235,RoR!$E:$F,2,FALSE)</f>
        <v>5.2350000000000001E-2</v>
      </c>
      <c r="CO1235" s="169">
        <v>3.1010403642454332E-2</v>
      </c>
      <c r="CP1235" s="169">
        <f t="shared" si="2249"/>
        <v>2.1339596357545669E-2</v>
      </c>
      <c r="CQ1235" s="169">
        <f t="shared" si="2252"/>
        <v>2.5018035611331424E-2</v>
      </c>
      <c r="CR1235" s="169">
        <f t="shared" si="2253"/>
        <v>9.2129610649277341E-2</v>
      </c>
      <c r="CS1235" s="179">
        <f t="shared" si="2243"/>
        <v>0.85607</v>
      </c>
      <c r="CT1235" s="180">
        <f t="shared" si="2244"/>
        <v>0.97959983346802826</v>
      </c>
      <c r="CU1235" s="180">
        <f t="shared" si="2245"/>
        <v>0.49744508118433622</v>
      </c>
      <c r="CV1235" s="180">
        <f t="shared" si="2246"/>
        <v>0.87010519444335932</v>
      </c>
      <c r="CW1235" s="180">
        <f t="shared" si="2247"/>
        <v>0.42399975420741998</v>
      </c>
      <c r="CX1235" s="181">
        <f>INDEX('State Tax Lookup'!$D$7:$Z$91,MATCH(Calculation!$C1235,'State Tax Lookup'!$B$7:$B$91,0),MATCH($H1235,'State Tax Lookup'!$D$6:$Z$6,0))</f>
        <v>0.38900000000000001</v>
      </c>
      <c r="CY1235" s="72">
        <v>0.37</v>
      </c>
      <c r="CZ1235" s="70">
        <f t="shared" si="2250"/>
        <v>16.317816898158707</v>
      </c>
      <c r="DA1235" s="70"/>
      <c r="DB1235" s="69">
        <f t="shared" si="2254"/>
        <v>0.11631109766189301</v>
      </c>
      <c r="DC1235" s="111">
        <f>VLOOKUP($H1235,RoR!$E:$F,2,FALSE)</f>
        <v>5.2350000000000001E-2</v>
      </c>
      <c r="DD1235" s="216">
        <f>HLOOKUP($H1235,'GDP-PI'!$D$8:$CQ$11,3,FALSE)</f>
        <v>3.1010403642454332E-2</v>
      </c>
      <c r="DE1235" s="111">
        <f>VLOOKUP(H1235,'HW Dx Data'!$E:$F,2,FALSE)</f>
        <v>469.20514034936258</v>
      </c>
      <c r="DF1235" s="72">
        <f t="shared" ref="DF1235:DF1253" si="2264">VLOOKUP(G1235,EG$8:EH$27,2,FALSE)</f>
        <v>99.224999999999994</v>
      </c>
      <c r="DG1235" s="69">
        <f t="shared" ref="DG1235:DG1253" si="2265">LN(DF1235/DF1234)</f>
        <v>5.0378726854569796E-2</v>
      </c>
      <c r="DH1235" s="66">
        <f>HLOOKUP(H1235,'GDP-PI'!$8:$9,2,FALSE)</f>
        <v>87.406999999999996</v>
      </c>
      <c r="DI1235" s="69">
        <f t="shared" si="2255"/>
        <v>3.0539295810733648E-2</v>
      </c>
    </row>
    <row r="1236" spans="1:113" s="160" customFormat="1" ht="21">
      <c r="A1236" s="160" t="s">
        <v>232</v>
      </c>
      <c r="B1236" s="160" t="s">
        <v>232</v>
      </c>
      <c r="C1236" s="160">
        <v>4063762</v>
      </c>
      <c r="D1236" s="161" t="s">
        <v>233</v>
      </c>
      <c r="E1236" s="161"/>
      <c r="F1236" s="189"/>
      <c r="G1236" s="160" t="s">
        <v>117</v>
      </c>
      <c r="H1236" s="162">
        <v>2006</v>
      </c>
      <c r="I1236" s="163"/>
      <c r="J1236" s="159">
        <f>IFERROR(INDEX('Labor Expenditures'!$F$7:$X$91,MATCH($C1236,'Labor Expenditures'!$D$7:$D$91,0),MATCH($G1236,'Labor Expenditures'!$F$5:$X$5,0)),"NA")</f>
        <v>16666.619401222215</v>
      </c>
      <c r="K1236" s="159">
        <f t="shared" si="2256"/>
        <v>152.34569836583375</v>
      </c>
      <c r="L1236" s="165">
        <f t="shared" si="2262"/>
        <v>-0.14446155264337876</v>
      </c>
      <c r="M1236" s="76">
        <f t="shared" ref="M1236:M1252" si="2266">+L1236*$AR1236</f>
        <v>0</v>
      </c>
      <c r="N1236" s="62">
        <f>+N1235*EXP(O1236)</f>
        <v>115.58338471622798</v>
      </c>
      <c r="O1236" s="96">
        <f t="shared" ref="O1236:O1252" si="2267">+M1236+M1261+M1286+M1311+M1336+M1361+M1386+M1411+M1436+M1461+M1486+M1511+M1536+M1561+M1586+M1611+M1636+M1661+M1686+M1711+M1736+M1761+M1786+M1811+M1836+M1861+M1886+M1911+M1936+M1961+M1986+M2011+M2036+M2061+M2086+M2111+M2136+M2161+M2186+M2211+M2236+M2261+M2286+M2311+M2336+M2361+M2386+M2411+M2436+M2461+M2486+M2511+M2536+M2561</f>
        <v>0.14482202909144254</v>
      </c>
      <c r="P1236" s="96"/>
      <c r="Q1236" s="159">
        <f>IFERROR(INDEX('Non-Labor Expenditures'!$F$7:$AB$91,MATCH($C1236,'Non-Labor Expenditures'!$D$7:$D$91,0),MATCH($G1236,'Non-Labor Expenditures'!$F$5:$AB$5,0)),"NA")</f>
        <v>24136.377788082737</v>
      </c>
      <c r="R1236" s="159">
        <f t="shared" si="2257"/>
        <v>267.9616513986582</v>
      </c>
      <c r="S1236" s="165">
        <f t="shared" ref="S1236:S1251" si="2268">LN(R1236/R1235)</f>
        <v>-7.6896845050081167E-2</v>
      </c>
      <c r="T1236" s="165">
        <f t="shared" ref="T1236:T1252" si="2269">+S1236*AR1236</f>
        <v>0</v>
      </c>
      <c r="U1236" s="165"/>
      <c r="V1236" s="165"/>
      <c r="W1236" s="159">
        <f t="shared" si="2236"/>
        <v>25750.578892753085</v>
      </c>
      <c r="X1236" s="163"/>
      <c r="Y1236" s="167">
        <v>1635.3367584121495</v>
      </c>
      <c r="Z1236" s="168">
        <v>1.1347670499047949E-2</v>
      </c>
      <c r="AA1236" s="76">
        <f t="shared" si="2258"/>
        <v>0</v>
      </c>
      <c r="AB1236" s="168"/>
      <c r="AC1236" s="168"/>
      <c r="AD1236" s="163">
        <f t="shared" si="2248"/>
        <v>66553.576082058033</v>
      </c>
      <c r="AE1236" s="168">
        <f t="shared" ref="AE1236:AE1252" si="2270">LN(AD1236/AD1235)</f>
        <v>-3.0707513021795446E-2</v>
      </c>
      <c r="AF1236" s="163"/>
      <c r="AG1236" s="163"/>
      <c r="AH1236" s="163"/>
      <c r="AI1236" s="163"/>
      <c r="AJ1236" s="116">
        <f t="shared" ref="AJ1236:AJ1252" si="2271">+(AD1236*1000)/AV1236</f>
        <v>246.72683221274102</v>
      </c>
      <c r="AK1236" s="114">
        <f>+AV1236/$AX$11</f>
        <v>7.7778180490670965E-3</v>
      </c>
      <c r="AL1236" s="115">
        <f t="shared" si="2259"/>
        <v>0.25042410013660132</v>
      </c>
      <c r="AM1236" s="115">
        <f t="shared" si="2260"/>
        <v>0.36266086976789197</v>
      </c>
      <c r="AN1236" s="115">
        <f t="shared" si="2261"/>
        <v>0.38691503009550682</v>
      </c>
      <c r="AO1236" s="115">
        <f t="shared" si="2263"/>
        <v>-6.0251090952261374E-2</v>
      </c>
      <c r="AP1236" s="166">
        <f>+AP1235*EXP(AO1236)</f>
        <v>94.152809471577754</v>
      </c>
      <c r="AQ1236" s="168">
        <f>LN(AP1236/AP1235)</f>
        <v>-6.0251090952261381E-2</v>
      </c>
      <c r="AR1236" s="115"/>
      <c r="AS1236" s="169">
        <f>+AR1236*AQ1236</f>
        <v>0</v>
      </c>
      <c r="AT1236" s="115"/>
      <c r="AU1236" s="115"/>
      <c r="AV1236" s="113">
        <f>IFERROR(INDEX('Total Customers'!$F$7:$AB$91,MATCH($C1236,'Total Customers'!$D$7:$D$91,0),MATCH($G1236,'Total Customers'!$F$5:$AB$5,0)),"NA")</f>
        <v>269746</v>
      </c>
      <c r="AW1236" s="68">
        <f t="shared" si="2231"/>
        <v>1.0374449309230625E-2</v>
      </c>
      <c r="AX1236" s="114"/>
      <c r="AY1236" s="114"/>
      <c r="AZ1236" s="116"/>
      <c r="BA1236" s="116"/>
      <c r="BB1236" s="166"/>
      <c r="BC1236" s="166"/>
      <c r="BD1236" s="166"/>
      <c r="BE1236" s="166"/>
      <c r="BF1236" s="166"/>
      <c r="BG1236" s="166"/>
      <c r="BH1236" s="166"/>
      <c r="BI1236" s="113"/>
      <c r="BJ1236" s="113"/>
      <c r="BK1236" s="113">
        <f>INDEX('Dist. Plant Gas Additions'!$F$7:$AE$91,MATCH($C1236,'Dist. Plant Gas Additions'!$D$7:$D$91,0),MATCH(Calculation!$G1236,'Dist. Plant Gas Additions'!$F$5:$AE$5,0))</f>
        <v>8173</v>
      </c>
      <c r="BL1236" s="113">
        <f>INDEX('Gen. Plant Additions'!$F$7:$AE$91,MATCH($C1236,'Gen. Plant Additions'!$D$7:$D$91,0),MATCH(Calculation!$G1236,'Gen. Plant Additions'!$F$5:$AE$5,0))</f>
        <v>5020</v>
      </c>
      <c r="BM1236" s="231">
        <f t="shared" si="2237"/>
        <v>0.96848174583773583</v>
      </c>
      <c r="BN1236" s="61">
        <f t="shared" si="2238"/>
        <v>4861.7783641054339</v>
      </c>
      <c r="BO1236" s="113">
        <f>INDEX('Dist Plant Depreciation'!$E$7:$AD$94,MATCH($C1236,'Dist Plant Depreciation'!$D$7:$D$94,0),MATCH(Calculation!$G1236,'Dist Plant Depreciation'!$E$5:$AD$5,0))</f>
        <v>176698</v>
      </c>
      <c r="BP1236" s="113">
        <f>INDEX('Gen. Plant Depreciation'!$E$7:$AD$94,MATCH($C1236,'Gen. Plant Depreciation'!$D$7:$D$94,0),MATCH(Calculation!$G1236,'Gen. Plant Depreciation'!$E$5:$AD$5,0))</f>
        <v>1886</v>
      </c>
      <c r="BQ1236" s="113"/>
      <c r="BR1236" s="113"/>
      <c r="BS1236" s="113"/>
      <c r="BT1236" s="113"/>
      <c r="BU1236" s="113"/>
      <c r="BV1236" s="175"/>
      <c r="BW1236" s="113">
        <f>INDEX('Gross Dx Plant'!$E$7:$AD$91,MATCH($C1236,'Gross Dx Plant'!$D$7:$D$91,0),MATCH(Calculation!$G1236,'Gross Dx Plant'!$E$5:$AD$5,0))</f>
        <v>479382</v>
      </c>
      <c r="BX1236" s="113">
        <f>INDEX('Gross Gen Plant'!$E$7:$AD$91,MATCH($C1236,'Gross Gen Plant'!$D$7:$D$91,0),MATCH(Calculation!$G1236,'Gross Gen Plant'!$E$5:$AD$5,0))</f>
        <v>15601</v>
      </c>
      <c r="BY1236" s="113">
        <f t="shared" si="2187"/>
        <v>316399</v>
      </c>
      <c r="BZ1236" s="114"/>
      <c r="CA1236" s="116">
        <v>2006</v>
      </c>
      <c r="CB1236" s="113"/>
      <c r="CC1236" s="113"/>
      <c r="CD1236" s="113"/>
      <c r="CE1236" s="175"/>
      <c r="CF1236" s="113">
        <f t="shared" si="2239"/>
        <v>13193</v>
      </c>
      <c r="CG1236" s="113">
        <f t="shared" si="2240"/>
        <v>28.612903805695879</v>
      </c>
      <c r="CH1236" s="178">
        <v>0.9555555555555556</v>
      </c>
      <c r="CI1236" s="61">
        <f>+CI1228*CH1236+CG1229*CH1235+CG1230*CH1234+CG1231*CH1233+CG1232*CH1232+CG1233*CH1231+CG1234*CH1230+CG1235*CH1229+CG1236</f>
        <v>1635.3367584121495</v>
      </c>
      <c r="CJ1236" s="114">
        <f t="shared" si="2241"/>
        <v>1.1347670499047949E-2</v>
      </c>
      <c r="CK1236" s="114"/>
      <c r="CL1236" s="169">
        <f t="shared" si="2242"/>
        <v>6.2840206093328858E-3</v>
      </c>
      <c r="CM1236" s="169">
        <f t="shared" si="2251"/>
        <v>6.0780659081595785E-3</v>
      </c>
      <c r="CN1236" s="114">
        <f>VLOOKUP($H1236,RoR!$E:$F,2,FALSE)</f>
        <v>5.5874999999999994E-2</v>
      </c>
      <c r="CO1236" s="169">
        <v>3.0512430354548314E-2</v>
      </c>
      <c r="CP1236" s="169">
        <f t="shared" si="2249"/>
        <v>2.536256964545168E-2</v>
      </c>
      <c r="CQ1236" s="169">
        <f t="shared" si="2252"/>
        <v>2.4823875700374046E-2</v>
      </c>
      <c r="CR1236" s="169">
        <f t="shared" si="2253"/>
        <v>7.9087823893859641E-2</v>
      </c>
      <c r="CS1236" s="179">
        <f t="shared" si="2243"/>
        <v>0.85607</v>
      </c>
      <c r="CT1236" s="180">
        <f t="shared" si="2244"/>
        <v>0.91779957551769631</v>
      </c>
      <c r="CU1236" s="180">
        <f t="shared" si="2245"/>
        <v>0.52757270693512304</v>
      </c>
      <c r="CV1236" s="180">
        <f t="shared" si="2246"/>
        <v>0.88636824549024895</v>
      </c>
      <c r="CW1236" s="180">
        <f t="shared" si="2247"/>
        <v>0.42918482841932087</v>
      </c>
      <c r="CX1236" s="181">
        <f>INDEX('State Tax Lookup'!$D$7:$Z$91,MATCH(Calculation!$C1236,'State Tax Lookup'!$B$7:$B$91,0),MATCH($H1236,'State Tax Lookup'!$D$6:$Z$6,0))</f>
        <v>0.38900000000000001</v>
      </c>
      <c r="CY1236" s="72">
        <v>0.37</v>
      </c>
      <c r="CZ1236" s="70">
        <f t="shared" si="2250"/>
        <v>15.926048306886196</v>
      </c>
      <c r="DA1236" s="70">
        <v>14.788696346247992</v>
      </c>
      <c r="DB1236" s="69">
        <f t="shared" si="2254"/>
        <v>-2.4301545053348802E-2</v>
      </c>
      <c r="DC1236" s="111">
        <f>VLOOKUP($H1236,RoR!$E:$F,2,FALSE)</f>
        <v>5.5874999999999994E-2</v>
      </c>
      <c r="DD1236" s="216">
        <f>HLOOKUP($H1236,'GDP-PI'!$D$8:$CQ$11,3,FALSE)</f>
        <v>3.0512430354548314E-2</v>
      </c>
      <c r="DE1236" s="111">
        <f>VLOOKUP(H1236,'HW Dx Data'!$E:$F,2,FALSE)</f>
        <v>461.08567272971823</v>
      </c>
      <c r="DF1236" s="72">
        <f t="shared" si="2264"/>
        <v>109.4</v>
      </c>
      <c r="DG1236" s="69">
        <f t="shared" si="2265"/>
        <v>9.7620891318751846E-2</v>
      </c>
      <c r="DH1236" s="66">
        <f>HLOOKUP(H1236,'GDP-PI'!$8:$9,2,FALSE)</f>
        <v>90.073999999999998</v>
      </c>
      <c r="DI1236" s="69">
        <f t="shared" si="2255"/>
        <v>3.005618372545445E-2</v>
      </c>
    </row>
    <row r="1237" spans="1:113" s="160" customFormat="1" ht="21">
      <c r="A1237" s="160" t="s">
        <v>232</v>
      </c>
      <c r="B1237" s="160" t="s">
        <v>232</v>
      </c>
      <c r="C1237" s="160">
        <v>4063762</v>
      </c>
      <c r="D1237" s="161" t="s">
        <v>233</v>
      </c>
      <c r="E1237" s="161"/>
      <c r="F1237" s="189"/>
      <c r="G1237" s="160" t="s">
        <v>118</v>
      </c>
      <c r="H1237" s="162">
        <v>2007</v>
      </c>
      <c r="I1237" s="163"/>
      <c r="J1237" s="159">
        <f>IFERROR(INDEX('Labor Expenditures'!$F$7:$X$91,MATCH($C1237,'Labor Expenditures'!$D$7:$D$91,0),MATCH($G1237,'Labor Expenditures'!$F$5:$X$5,0)),"NA")</f>
        <v>14210.051658451292</v>
      </c>
      <c r="K1237" s="159">
        <f t="shared" si="2256"/>
        <v>135.94883193926134</v>
      </c>
      <c r="L1237" s="165">
        <f t="shared" si="2262"/>
        <v>-0.11387369062270128</v>
      </c>
      <c r="M1237" s="76">
        <f t="shared" si="2266"/>
        <v>-8.9737031075005371E-4</v>
      </c>
      <c r="N1237" s="62">
        <f t="shared" ref="N1237:N1250" si="2272">+N1236*EXP(O1237)</f>
        <v>119.80981559722753</v>
      </c>
      <c r="O1237" s="96">
        <f t="shared" si="2267"/>
        <v>3.5913400444367791E-2</v>
      </c>
      <c r="P1237" s="96"/>
      <c r="Q1237" s="159">
        <f>IFERROR(INDEX('Non-Labor Expenditures'!$F$7:$AB$91,MATCH($C1237,'Non-Labor Expenditures'!$D$7:$D$91,0),MATCH($G1237,'Non-Labor Expenditures'!$F$5:$AB$5,0)),"NA")</f>
        <v>20578.808872985977</v>
      </c>
      <c r="R1237" s="159">
        <f t="shared" si="2257"/>
        <v>222.47841978189774</v>
      </c>
      <c r="S1237" s="165">
        <f t="shared" si="2268"/>
        <v>-0.18601377131799168</v>
      </c>
      <c r="T1237" s="165">
        <f t="shared" si="2269"/>
        <v>-1.4658630528142263E-3</v>
      </c>
      <c r="U1237" s="165"/>
      <c r="V1237" s="165"/>
      <c r="W1237" s="159">
        <f t="shared" si="2236"/>
        <v>27936.181178629016</v>
      </c>
      <c r="X1237" s="163"/>
      <c r="Y1237" s="167">
        <v>1717.3632298637883</v>
      </c>
      <c r="Z1237" s="168">
        <v>4.8941357087963315E-2</v>
      </c>
      <c r="AA1237" s="76">
        <f t="shared" si="2258"/>
        <v>3.8567750442084658E-4</v>
      </c>
      <c r="AB1237" s="168"/>
      <c r="AC1237" s="168"/>
      <c r="AD1237" s="163">
        <f t="shared" si="2248"/>
        <v>62725.041710066289</v>
      </c>
      <c r="AE1237" s="168">
        <f t="shared" si="2270"/>
        <v>-5.9246521445577904E-2</v>
      </c>
      <c r="AF1237" s="163"/>
      <c r="AG1237" s="163"/>
      <c r="AH1237" s="163"/>
      <c r="AI1237" s="163"/>
      <c r="AJ1237" s="116">
        <f t="shared" si="2271"/>
        <v>232.91969784539225</v>
      </c>
      <c r="AK1237" s="114">
        <f>+AV1237/$AX$12</f>
        <v>7.7064666079965718E-3</v>
      </c>
      <c r="AL1237" s="115">
        <f t="shared" si="2259"/>
        <v>0.22654511294124532</v>
      </c>
      <c r="AM1237" s="115">
        <f t="shared" si="2260"/>
        <v>0.32807963632941567</v>
      </c>
      <c r="AN1237" s="115">
        <f t="shared" si="2261"/>
        <v>0.44537525072933892</v>
      </c>
      <c r="AO1237" s="115">
        <f t="shared" si="2263"/>
        <v>-7.1034037656574192E-2</v>
      </c>
      <c r="AP1237" s="166">
        <f>+AP1236*EXP(AO1237)</f>
        <v>87.696769016216408</v>
      </c>
      <c r="AQ1237" s="168">
        <f>LN(AP1237/AP1236)</f>
        <v>-7.1034037656574053E-2</v>
      </c>
      <c r="AR1237" s="169">
        <f>+AD1237/$AF$11</f>
        <v>7.8804006952169388E-3</v>
      </c>
      <c r="AS1237" s="169">
        <f t="shared" ref="AS1237:AS1251" si="2273">+AR1237*AQ1237</f>
        <v>-5.5977667973293238E-4</v>
      </c>
      <c r="AT1237" s="115"/>
      <c r="AU1237" s="115"/>
      <c r="AV1237" s="113">
        <f>IFERROR(INDEX('Total Customers'!$F$7:$AB$91,MATCH($C1237,'Total Customers'!$D$7:$D$91,0),MATCH($G1237,'Total Customers'!$F$5:$AB$5,0)),"NA")</f>
        <v>269299</v>
      </c>
      <c r="AW1237" s="68">
        <f t="shared" si="2231"/>
        <v>-1.6584890035500725E-3</v>
      </c>
      <c r="AX1237" s="114"/>
      <c r="AY1237" s="114"/>
      <c r="AZ1237" s="116"/>
      <c r="BA1237" s="116"/>
      <c r="BB1237" s="166"/>
      <c r="BC1237" s="166"/>
      <c r="BD1237" s="166"/>
      <c r="BE1237" s="166"/>
      <c r="BF1237" s="166"/>
      <c r="BG1237" s="166"/>
      <c r="BH1237" s="166"/>
      <c r="BI1237" s="113"/>
      <c r="BJ1237" s="113"/>
      <c r="BK1237" s="113">
        <f>INDEX('Dist. Plant Gas Additions'!$F$7:$AE$91,MATCH($C1237,'Dist. Plant Gas Additions'!$D$7:$D$91,0),MATCH(Calculation!$G1237,'Dist. Plant Gas Additions'!$F$5:$AE$5,0))</f>
        <v>39146</v>
      </c>
      <c r="BL1237" s="113">
        <f>INDEX('Gen. Plant Additions'!$F$7:$AE$91,MATCH($C1237,'Gen. Plant Additions'!$D$7:$D$91,0),MATCH(Calculation!$G1237,'Gen. Plant Additions'!$F$5:$AE$5,0))</f>
        <v>7006</v>
      </c>
      <c r="BM1237" s="231">
        <f t="shared" si="2237"/>
        <v>0.96644983822418629</v>
      </c>
      <c r="BN1237" s="61">
        <f t="shared" si="2238"/>
        <v>6770.9475665986492</v>
      </c>
      <c r="BO1237" s="113">
        <f>INDEX('Dist Plant Depreciation'!$E$7:$AD$94,MATCH($C1237,'Dist Plant Depreciation'!$D$7:$D$94,0),MATCH(Calculation!$G1237,'Dist Plant Depreciation'!$E$5:$AD$5,0))</f>
        <v>184077</v>
      </c>
      <c r="BP1237" s="113">
        <f>INDEX('Gen. Plant Depreciation'!$E$7:$AD$94,MATCH($C1237,'Gen. Plant Depreciation'!$D$7:$D$94,0),MATCH(Calculation!$G1237,'Gen. Plant Depreciation'!$E$5:$AD$5,0))</f>
        <v>-620</v>
      </c>
      <c r="BQ1237" s="113"/>
      <c r="BR1237" s="113"/>
      <c r="BS1237" s="113"/>
      <c r="BT1237" s="113"/>
      <c r="BU1237" s="113"/>
      <c r="BV1237" s="175"/>
      <c r="BW1237" s="113">
        <f>INDEX('Gross Dx Plant'!$E$7:$AD$91,MATCH($C1237,'Gross Dx Plant'!$D$7:$D$91,0),MATCH(Calculation!$G1237,'Gross Dx Plant'!$E$5:$AD$5,0))</f>
        <v>514362</v>
      </c>
      <c r="BX1237" s="113">
        <f>INDEX('Gross Gen Plant'!$E$7:$AD$91,MATCH($C1237,'Gross Gen Plant'!$D$7:$D$91,0),MATCH(Calculation!$G1237,'Gross Gen Plant'!$E$5:$AD$5,0))</f>
        <v>17856</v>
      </c>
      <c r="BY1237" s="113">
        <f t="shared" si="2187"/>
        <v>348761</v>
      </c>
      <c r="BZ1237" s="113"/>
      <c r="CA1237" s="116">
        <v>2007</v>
      </c>
      <c r="CB1237" s="113"/>
      <c r="CC1237" s="113"/>
      <c r="CD1237" s="113"/>
      <c r="CE1237" s="175"/>
      <c r="CF1237" s="113">
        <f t="shared" si="2239"/>
        <v>46152</v>
      </c>
      <c r="CG1237" s="113">
        <f t="shared" si="2240"/>
        <v>92.670546209905694</v>
      </c>
      <c r="CH1237" s="178">
        <v>0.94915254237288138</v>
      </c>
      <c r="CI1237" s="61">
        <f>+CI1228*CH1237+CG1229*CH1236+CG1230*CH1235+CG1231*CH1234+CG1232*CH1233+CG1233*CH1232+CG1234*CH1231+CG1235*CH1230+CG1236*CH1229+CG1237</f>
        <v>1717.3632298637883</v>
      </c>
      <c r="CJ1237" s="114">
        <f t="shared" si="2241"/>
        <v>4.8941357087963315E-2</v>
      </c>
      <c r="CK1237" s="114"/>
      <c r="CL1237" s="169">
        <f t="shared" si="2242"/>
        <v>6.5087968600435935E-3</v>
      </c>
      <c r="CM1237" s="169">
        <f t="shared" si="2251"/>
        <v>6.290499667265032E-3</v>
      </c>
      <c r="CN1237" s="114">
        <f>VLOOKUP($H1237,RoR!$E:$F,2,FALSE)</f>
        <v>5.5558333333333321E-2</v>
      </c>
      <c r="CO1237" s="169">
        <v>2.691120634145272E-2</v>
      </c>
      <c r="CP1237" s="169">
        <f t="shared" si="2249"/>
        <v>2.86471269918806E-2</v>
      </c>
      <c r="CQ1237" s="169">
        <f t="shared" si="2252"/>
        <v>2.4611441941268592E-2</v>
      </c>
      <c r="CR1237" s="169">
        <f t="shared" si="2253"/>
        <v>6.4575155250632399E-2</v>
      </c>
      <c r="CS1237" s="179">
        <f t="shared" si="2243"/>
        <v>0.85607</v>
      </c>
      <c r="CT1237" s="180">
        <f t="shared" si="2244"/>
        <v>0.92303077153834634</v>
      </c>
      <c r="CU1237" s="180">
        <f t="shared" si="2245"/>
        <v>0.52502249887505614</v>
      </c>
      <c r="CV1237" s="180">
        <f t="shared" si="2246"/>
        <v>0.88499666072084604</v>
      </c>
      <c r="CW1237" s="180">
        <f t="shared" si="2247"/>
        <v>0.42887993290280618</v>
      </c>
      <c r="CX1237" s="181">
        <f>INDEX('State Tax Lookup'!$D$7:$Z$91,MATCH(Calculation!$C1237,'State Tax Lookup'!$B$7:$B$91,0),MATCH($H1237,'State Tax Lookup'!$D$6:$Z$6,0))</f>
        <v>0.38900000000000001</v>
      </c>
      <c r="CY1237" s="72">
        <v>0.37</v>
      </c>
      <c r="CZ1237" s="70">
        <f t="shared" si="2250"/>
        <v>17.082830820579119</v>
      </c>
      <c r="DA1237" s="70">
        <v>16.108943221861779</v>
      </c>
      <c r="DB1237" s="69">
        <f t="shared" si="2254"/>
        <v>7.0117886497400819E-2</v>
      </c>
      <c r="DC1237" s="111">
        <f>VLOOKUP($H1237,RoR!$E:$F,2,FALSE)</f>
        <v>5.5558333333333321E-2</v>
      </c>
      <c r="DD1237" s="216">
        <f>HLOOKUP($H1237,'GDP-PI'!$D$8:$CQ$11,3,FALSE)</f>
        <v>2.691120634145272E-2</v>
      </c>
      <c r="DE1237" s="111">
        <f>VLOOKUP(H1237,'HW Dx Data'!$E:$F,2,FALSE)</f>
        <v>498.0223154772637</v>
      </c>
      <c r="DF1237" s="72">
        <f t="shared" si="2264"/>
        <v>104.52499999999999</v>
      </c>
      <c r="DG1237" s="69">
        <f t="shared" si="2265"/>
        <v>-4.5584612745252218E-2</v>
      </c>
      <c r="DH1237" s="66">
        <f>HLOOKUP(H1237,'GDP-PI'!$8:$9,2,FALSE)</f>
        <v>92.498000000000005</v>
      </c>
      <c r="DI1237" s="69">
        <f t="shared" si="2255"/>
        <v>2.6555467950038037E-2</v>
      </c>
    </row>
    <row r="1238" spans="1:113" s="160" customFormat="1" ht="21">
      <c r="A1238" s="160" t="s">
        <v>232</v>
      </c>
      <c r="B1238" s="160" t="s">
        <v>232</v>
      </c>
      <c r="C1238" s="160">
        <v>4063762</v>
      </c>
      <c r="D1238" s="161" t="s">
        <v>233</v>
      </c>
      <c r="E1238" s="161"/>
      <c r="F1238" s="189"/>
      <c r="G1238" s="160" t="s">
        <v>120</v>
      </c>
      <c r="H1238" s="162">
        <v>2008</v>
      </c>
      <c r="I1238" s="163"/>
      <c r="J1238" s="159">
        <f>IFERROR(INDEX('Labor Expenditures'!$F$7:$X$91,MATCH($C1238,'Labor Expenditures'!$D$7:$D$91,0),MATCH($G1238,'Labor Expenditures'!$F$5:$X$5,0)),"NA")</f>
        <v>13292.39528010719</v>
      </c>
      <c r="K1238" s="159">
        <f t="shared" si="2256"/>
        <v>123.19180055706384</v>
      </c>
      <c r="L1238" s="165">
        <f t="shared" si="2262"/>
        <v>-9.8536084236230143E-2</v>
      </c>
      <c r="M1238" s="76">
        <f t="shared" si="2266"/>
        <v>-7.7174813488686681E-4</v>
      </c>
      <c r="N1238" s="62">
        <f t="shared" si="2272"/>
        <v>113.54787926803068</v>
      </c>
      <c r="O1238" s="96">
        <f t="shared" si="2267"/>
        <v>-5.3681023782318024E-2</v>
      </c>
      <c r="P1238" s="96"/>
      <c r="Q1238" s="159">
        <f>IFERROR(INDEX('Non-Labor Expenditures'!$F$7:$AB$91,MATCH($C1238,'Non-Labor Expenditures'!$D$7:$D$91,0),MATCH($G1238,'Non-Labor Expenditures'!$F$5:$AB$5,0)),"NA")</f>
        <v>19249.871042574323</v>
      </c>
      <c r="R1238" s="159">
        <f t="shared" si="2257"/>
        <v>204.21232965473908</v>
      </c>
      <c r="S1238" s="165">
        <f t="shared" si="2268"/>
        <v>-8.5669822962802109E-2</v>
      </c>
      <c r="T1238" s="165">
        <f t="shared" si="2269"/>
        <v>-6.7097781082030229E-4</v>
      </c>
      <c r="U1238" s="165"/>
      <c r="V1238" s="165"/>
      <c r="W1238" s="159">
        <f t="shared" si="2236"/>
        <v>33308.356811169455</v>
      </c>
      <c r="X1238" s="163"/>
      <c r="Y1238" s="167">
        <v>1730.5932465178462</v>
      </c>
      <c r="Z1238" s="168">
        <v>7.6741581130192783E-3</v>
      </c>
      <c r="AA1238" s="76">
        <f t="shared" si="2258"/>
        <v>6.0105059547027656E-5</v>
      </c>
      <c r="AB1238" s="168"/>
      <c r="AC1238" s="168"/>
      <c r="AD1238" s="163">
        <f t="shared" si="2248"/>
        <v>65850.623133850968</v>
      </c>
      <c r="AE1238" s="168">
        <f t="shared" si="2270"/>
        <v>4.8628133853713493E-2</v>
      </c>
      <c r="AF1238" s="163"/>
      <c r="AG1238" s="163"/>
      <c r="AH1238" s="163"/>
      <c r="AI1238" s="163"/>
      <c r="AJ1238" s="116">
        <f t="shared" si="2271"/>
        <v>242.62684136315929</v>
      </c>
      <c r="AK1238" s="114">
        <f>+AV1238/$AX$13</f>
        <v>7.7252650097472736E-3</v>
      </c>
      <c r="AL1238" s="115">
        <f t="shared" si="2259"/>
        <v>0.20185678809885313</v>
      </c>
      <c r="AM1238" s="115">
        <f t="shared" si="2260"/>
        <v>0.2923263308146099</v>
      </c>
      <c r="AN1238" s="115">
        <f t="shared" si="2261"/>
        <v>0.505816881086537</v>
      </c>
      <c r="AO1238" s="115">
        <f t="shared" si="2263"/>
        <v>-4.4031758181364032E-2</v>
      </c>
      <c r="AP1238" s="166">
        <f t="shared" ref="AP1238:AP1251" si="2274">+AP1237*EXP(AO1238)</f>
        <v>83.919105007191121</v>
      </c>
      <c r="AQ1238" s="168">
        <f t="shared" ref="AQ1238:AQ1251" si="2275">LN(AP1238/AP1237)</f>
        <v>-4.4031758181364067E-2</v>
      </c>
      <c r="AR1238" s="169">
        <f>+AD1238/$AF$12</f>
        <v>7.8321372405735137E-3</v>
      </c>
      <c r="AS1238" s="169">
        <f t="shared" si="2273"/>
        <v>-3.4486277302018902E-4</v>
      </c>
      <c r="AT1238" s="115"/>
      <c r="AU1238" s="115"/>
      <c r="AV1238" s="113">
        <f>IFERROR(INDEX('Total Customers'!$F$7:$AB$91,MATCH($C1238,'Total Customers'!$D$7:$D$91,0),MATCH($G1238,'Total Customers'!$F$5:$AB$5,0)),"NA")</f>
        <v>271407</v>
      </c>
      <c r="AW1238" s="68">
        <f t="shared" si="2231"/>
        <v>7.7972527770065045E-3</v>
      </c>
      <c r="AX1238" s="114"/>
      <c r="AY1238" s="114"/>
      <c r="AZ1238" s="116"/>
      <c r="BA1238" s="116"/>
      <c r="BB1238" s="166"/>
      <c r="BC1238" s="166"/>
      <c r="BD1238" s="166"/>
      <c r="BE1238" s="166"/>
      <c r="BF1238" s="166"/>
      <c r="BG1238" s="166"/>
      <c r="BH1238" s="166"/>
      <c r="BI1238" s="113"/>
      <c r="BJ1238" s="113"/>
      <c r="BK1238" s="113">
        <f>INDEX('Dist. Plant Gas Additions'!$F$7:$AE$91,MATCH($C1238,'Dist. Plant Gas Additions'!$D$7:$D$91,0),MATCH(Calculation!$G1238,'Dist. Plant Gas Additions'!$F$5:$AE$5,0))</f>
        <v>11158</v>
      </c>
      <c r="BL1238" s="113">
        <f>INDEX('Gen. Plant Additions'!$F$7:$AE$91,MATCH($C1238,'Gen. Plant Additions'!$D$7:$D$91,0),MATCH(Calculation!$G1238,'Gen. Plant Additions'!$F$5:$AE$5,0))</f>
        <v>2917</v>
      </c>
      <c r="BM1238" s="231">
        <f t="shared" si="2237"/>
        <v>0.96071216747578148</v>
      </c>
      <c r="BN1238" s="61">
        <f t="shared" si="2238"/>
        <v>2802.3973925268547</v>
      </c>
      <c r="BO1238" s="113">
        <f>INDEX('Dist Plant Depreciation'!$E$7:$AD$94,MATCH($C1238,'Dist Plant Depreciation'!$D$7:$D$94,0),MATCH(Calculation!$G1238,'Dist Plant Depreciation'!$E$5:$AD$5,0))</f>
        <v>195941</v>
      </c>
      <c r="BP1238" s="113">
        <f>INDEX('Gen. Plant Depreciation'!$E$7:$AD$94,MATCH($C1238,'Gen. Plant Depreciation'!$D$7:$D$94,0),MATCH(Calculation!$G1238,'Gen. Plant Depreciation'!$E$5:$AD$5,0))</f>
        <v>275</v>
      </c>
      <c r="BQ1238" s="113"/>
      <c r="BR1238" s="113"/>
      <c r="BS1238" s="113"/>
      <c r="BT1238" s="113"/>
      <c r="BU1238" s="113"/>
      <c r="BV1238" s="175"/>
      <c r="BW1238" s="113">
        <f>INDEX('Gross Dx Plant'!$E$7:$AD$91,MATCH($C1238,'Gross Dx Plant'!$D$7:$D$91,0),MATCH(Calculation!$G1238,'Gross Dx Plant'!$E$5:$AD$5,0))</f>
        <v>524814</v>
      </c>
      <c r="BX1238" s="113">
        <f>INDEX('Gross Gen Plant'!$E$7:$AD$91,MATCH($C1238,'Gross Gen Plant'!$D$7:$D$91,0),MATCH(Calculation!$G1238,'Gross Gen Plant'!$E$5:$AD$5,0))</f>
        <v>21462</v>
      </c>
      <c r="BY1238" s="113">
        <f t="shared" si="2187"/>
        <v>350060</v>
      </c>
      <c r="BZ1238" s="113"/>
      <c r="CA1238" s="116">
        <v>2008</v>
      </c>
      <c r="CB1238" s="113"/>
      <c r="CC1238" s="113"/>
      <c r="CD1238" s="113"/>
      <c r="CE1238" s="175"/>
      <c r="CF1238" s="113">
        <f t="shared" si="2239"/>
        <v>14075</v>
      </c>
      <c r="CG1238" s="113">
        <f t="shared" si="2240"/>
        <v>24.698129921864439</v>
      </c>
      <c r="CH1238" s="178">
        <v>0.94252873563218387</v>
      </c>
      <c r="CI1238" s="61">
        <f>+CI1228*CH1238+CG1229*CH1237+CG1230*CH1236+CG1231*CH1235+CG1232*CH1234+CG1233*CH1233+CG1234*CH1232+CG1235*CH1231+CG1236*CH1230+CG1237*CH1229+CG1238</f>
        <v>1730.5932465178462</v>
      </c>
      <c r="CJ1238" s="114">
        <f t="shared" si="2241"/>
        <v>7.6741581130192783E-3</v>
      </c>
      <c r="CK1238" s="114"/>
      <c r="CL1238" s="169">
        <f t="shared" si="2242"/>
        <v>6.6777447358740546E-3</v>
      </c>
      <c r="CM1238" s="169">
        <f t="shared" si="2251"/>
        <v>6.4901874017501788E-3</v>
      </c>
      <c r="CN1238" s="114">
        <f>VLOOKUP($H1238,RoR!$E:$F,2,FALSE)</f>
        <v>5.6316666666666668E-2</v>
      </c>
      <c r="CO1238" s="169">
        <v>1.9092304698479889E-2</v>
      </c>
      <c r="CP1238" s="169">
        <f t="shared" si="2249"/>
        <v>3.7224361968186778E-2</v>
      </c>
      <c r="CQ1238" s="169">
        <f t="shared" si="2252"/>
        <v>2.4411754206783445E-2</v>
      </c>
      <c r="CR1238" s="169">
        <f t="shared" si="2253"/>
        <v>6.9030581091053131E-2</v>
      </c>
      <c r="CS1238" s="179">
        <f t="shared" si="2243"/>
        <v>0.85607</v>
      </c>
      <c r="CT1238" s="180">
        <f t="shared" si="2244"/>
        <v>0.91060168006009956</v>
      </c>
      <c r="CU1238" s="180">
        <f t="shared" si="2245"/>
        <v>0.53108168097070152</v>
      </c>
      <c r="CV1238" s="180">
        <f t="shared" si="2246"/>
        <v>0.88825329850328805</v>
      </c>
      <c r="CW1238" s="180">
        <f t="shared" si="2247"/>
        <v>0.4295627335323573</v>
      </c>
      <c r="CX1238" s="181">
        <f>INDEX('State Tax Lookup'!$D$7:$Z$91,MATCH(Calculation!$C1238,'State Tax Lookup'!$B$7:$B$91,0),MATCH($H1238,'State Tax Lookup'!$D$6:$Z$6,0))</f>
        <v>0.38900000000000001</v>
      </c>
      <c r="CY1238" s="72">
        <v>0.37</v>
      </c>
      <c r="CZ1238" s="70">
        <f t="shared" si="2250"/>
        <v>19.395056463280216</v>
      </c>
      <c r="DA1238" s="70">
        <v>18.300102035478151</v>
      </c>
      <c r="DB1238" s="69">
        <f t="shared" si="2254"/>
        <v>0.12694429857933864</v>
      </c>
      <c r="DC1238" s="111">
        <f>VLOOKUP($H1238,RoR!$E:$F,2,FALSE)</f>
        <v>5.6316666666666668E-2</v>
      </c>
      <c r="DD1238" s="216">
        <f>HLOOKUP($H1238,'GDP-PI'!$D$8:$CQ$11,3,FALSE)</f>
        <v>1.9092304698479889E-2</v>
      </c>
      <c r="DE1238" s="111">
        <f>VLOOKUP(H1238,'HW Dx Data'!$E:$F,2,FALSE)</f>
        <v>569.88120333515076</v>
      </c>
      <c r="DF1238" s="72">
        <f t="shared" si="2264"/>
        <v>107.9</v>
      </c>
      <c r="DG1238" s="69">
        <f t="shared" si="2265"/>
        <v>3.1778595021460486E-2</v>
      </c>
      <c r="DH1238" s="66">
        <f>HLOOKUP(H1238,'GDP-PI'!$8:$9,2,FALSE)</f>
        <v>94.263999999999996</v>
      </c>
      <c r="DI1238" s="69">
        <f t="shared" si="2255"/>
        <v>1.8912333748032254E-2</v>
      </c>
    </row>
    <row r="1239" spans="1:113" s="160" customFormat="1" ht="21">
      <c r="A1239" s="160" t="s">
        <v>232</v>
      </c>
      <c r="B1239" s="160" t="s">
        <v>232</v>
      </c>
      <c r="C1239" s="160">
        <v>4063762</v>
      </c>
      <c r="D1239" s="161" t="s">
        <v>233</v>
      </c>
      <c r="E1239" s="161"/>
      <c r="F1239" s="189"/>
      <c r="G1239" s="160" t="s">
        <v>125</v>
      </c>
      <c r="H1239" s="162">
        <v>2009</v>
      </c>
      <c r="I1239" s="163"/>
      <c r="J1239" s="159">
        <f>IFERROR(INDEX('Labor Expenditures'!$F$7:$X$91,MATCH($C1239,'Labor Expenditures'!$D$7:$D$91,0),MATCH($G1239,'Labor Expenditures'!$F$5:$X$5,0)),"NA")</f>
        <v>13868.824728763382</v>
      </c>
      <c r="K1239" s="159">
        <f t="shared" si="2256"/>
        <v>125.02884587571226</v>
      </c>
      <c r="L1239" s="165">
        <f t="shared" si="2262"/>
        <v>1.4801982720716837E-2</v>
      </c>
      <c r="M1239" s="76">
        <f t="shared" si="2266"/>
        <v>1.0888526311744852E-4</v>
      </c>
      <c r="N1239" s="62">
        <f t="shared" si="2272"/>
        <v>116.43805211518963</v>
      </c>
      <c r="O1239" s="96">
        <f t="shared" si="2267"/>
        <v>2.5134798339005119E-2</v>
      </c>
      <c r="P1239" s="96"/>
      <c r="Q1239" s="159">
        <f>IFERROR(INDEX('Non-Labor Expenditures'!$F$7:$AB$91,MATCH($C1239,'Non-Labor Expenditures'!$D$7:$D$91,0),MATCH($G1239,'Non-Labor Expenditures'!$F$5:$AB$5,0)),"NA")</f>
        <v>20084.648546398636</v>
      </c>
      <c r="R1239" s="159">
        <f t="shared" si="2257"/>
        <v>211.41957858923396</v>
      </c>
      <c r="S1239" s="165">
        <f t="shared" si="2268"/>
        <v>3.4684398903291266E-2</v>
      </c>
      <c r="T1239" s="165">
        <f t="shared" si="2269"/>
        <v>2.5514283943661546E-4</v>
      </c>
      <c r="U1239" s="165"/>
      <c r="V1239" s="165"/>
      <c r="W1239" s="159">
        <f t="shared" si="2236"/>
        <v>32170.635194091999</v>
      </c>
      <c r="X1239" s="163"/>
      <c r="Y1239" s="167">
        <v>1774.1895094887004</v>
      </c>
      <c r="Z1239" s="168">
        <v>2.4879437485319646E-2</v>
      </c>
      <c r="AA1239" s="76">
        <f t="shared" si="2258"/>
        <v>1.8301629909428434E-4</v>
      </c>
      <c r="AB1239" s="168"/>
      <c r="AC1239" s="168"/>
      <c r="AD1239" s="163">
        <f t="shared" si="2248"/>
        <v>66124.108469254017</v>
      </c>
      <c r="AE1239" s="168">
        <f t="shared" si="2270"/>
        <v>4.1445165078610102E-3</v>
      </c>
      <c r="AF1239" s="163"/>
      <c r="AG1239" s="163"/>
      <c r="AH1239" s="163"/>
      <c r="AI1239" s="163"/>
      <c r="AJ1239" s="116">
        <f t="shared" si="2271"/>
        <v>242.44375034558195</v>
      </c>
      <c r="AK1239" s="114">
        <f>+AV1239/$AX$14</f>
        <v>7.75331087751935E-3</v>
      </c>
      <c r="AL1239" s="115">
        <f t="shared" si="2259"/>
        <v>0.20973930764166027</v>
      </c>
      <c r="AM1239" s="115">
        <f t="shared" si="2260"/>
        <v>0.30374169136416368</v>
      </c>
      <c r="AN1239" s="115">
        <f t="shared" si="2261"/>
        <v>0.48651900099417605</v>
      </c>
      <c r="AO1239" s="115">
        <f t="shared" si="2263"/>
        <v>2.5727728947238335E-2</v>
      </c>
      <c r="AP1239" s="166">
        <f t="shared" si="2274"/>
        <v>86.106166419662131</v>
      </c>
      <c r="AQ1239" s="168">
        <f t="shared" si="2275"/>
        <v>2.5727728947238383E-2</v>
      </c>
      <c r="AR1239" s="169">
        <f>+AD1239/$AF$13</f>
        <v>7.356126890018108E-3</v>
      </c>
      <c r="AS1239" s="169">
        <f t="shared" si="2273"/>
        <v>1.8925643872787755E-4</v>
      </c>
      <c r="AT1239" s="115"/>
      <c r="AU1239" s="115"/>
      <c r="AV1239" s="113">
        <f>IFERROR(INDEX('Total Customers'!$F$7:$AB$91,MATCH($C1239,'Total Customers'!$D$7:$D$91,0),MATCH($G1239,'Total Customers'!$F$5:$AB$5,0)),"NA")</f>
        <v>272740</v>
      </c>
      <c r="AW1239" s="68">
        <f t="shared" si="2231"/>
        <v>4.8994211728805373E-3</v>
      </c>
      <c r="AX1239" s="114"/>
      <c r="AY1239" s="114"/>
      <c r="AZ1239" s="116"/>
      <c r="BA1239" s="116"/>
      <c r="BB1239" s="166"/>
      <c r="BC1239" s="166"/>
      <c r="BD1239" s="166"/>
      <c r="BE1239" s="166"/>
      <c r="BF1239" s="166"/>
      <c r="BG1239" s="166"/>
      <c r="BH1239" s="166"/>
      <c r="BI1239" s="113"/>
      <c r="BJ1239" s="113"/>
      <c r="BK1239" s="113">
        <f>INDEX('Dist. Plant Gas Additions'!$F$7:$AE$91,MATCH($C1239,'Dist. Plant Gas Additions'!$D$7:$D$91,0),MATCH(Calculation!$G1239,'Dist. Plant Gas Additions'!$F$5:$AE$5,0))</f>
        <v>23630</v>
      </c>
      <c r="BL1239" s="113">
        <f>INDEX('Gen. Plant Additions'!$F$7:$AE$91,MATCH($C1239,'Gen. Plant Additions'!$D$7:$D$91,0),MATCH(Calculation!$G1239,'Gen. Plant Additions'!$F$5:$AE$5,0))</f>
        <v>6993</v>
      </c>
      <c r="BM1239" s="231">
        <f t="shared" si="2237"/>
        <v>0.95314199401027755</v>
      </c>
      <c r="BN1239" s="61">
        <f t="shared" si="2238"/>
        <v>6665.3219641138712</v>
      </c>
      <c r="BO1239" s="113">
        <f>INDEX('Dist Plant Depreciation'!$E$7:$AD$94,MATCH($C1239,'Dist Plant Depreciation'!$D$7:$D$94,0),MATCH(Calculation!$G1239,'Dist Plant Depreciation'!$E$5:$AD$5,0))</f>
        <v>211102</v>
      </c>
      <c r="BP1239" s="113">
        <f>INDEX('Gen. Plant Depreciation'!$E$7:$AD$94,MATCH($C1239,'Gen. Plant Depreciation'!$D$7:$D$94,0),MATCH(Calculation!$G1239,'Gen. Plant Depreciation'!$E$5:$AD$5,0))</f>
        <v>459</v>
      </c>
      <c r="BQ1239" s="113"/>
      <c r="BR1239" s="113"/>
      <c r="BS1239" s="113"/>
      <c r="BT1239" s="113"/>
      <c r="BU1239" s="113"/>
      <c r="BV1239" s="175"/>
      <c r="BW1239" s="113">
        <f>INDEX('Gross Dx Plant'!$E$7:$AD$91,MATCH($C1239,'Gross Dx Plant'!$D$7:$D$91,0),MATCH(Calculation!$G1239,'Gross Dx Plant'!$E$5:$AD$5,0))</f>
        <v>547724</v>
      </c>
      <c r="BX1239" s="113">
        <f>INDEX('Gross Gen Plant'!$E$7:$AD$91,MATCH($C1239,'Gross Gen Plant'!$D$7:$D$91,0),MATCH(Calculation!$G1239,'Gross Gen Plant'!$E$5:$AD$5,0))</f>
        <v>26927</v>
      </c>
      <c r="BY1239" s="113">
        <f t="shared" si="2187"/>
        <v>363090</v>
      </c>
      <c r="BZ1239" s="113"/>
      <c r="CA1239" s="116">
        <v>2009</v>
      </c>
      <c r="CB1239" s="113"/>
      <c r="CC1239" s="113"/>
      <c r="CD1239" s="113"/>
      <c r="CE1239" s="175"/>
      <c r="CF1239" s="113">
        <f t="shared" si="2239"/>
        <v>30623</v>
      </c>
      <c r="CG1239" s="113">
        <f t="shared" si="2240"/>
        <v>55.583120856789101</v>
      </c>
      <c r="CH1239" s="178">
        <v>0.93567251461988299</v>
      </c>
      <c r="CI1239" s="61">
        <f>+CI1228*CH1239+CG1229*CH1238+CG1230*CH1237+CG1231*CH1236+CG1232*CH1235+CG1233*CH1234+CG1234*CH1233+CG1235*CH1232+CG1236*CH1231+CG1237*CH1230+CG1238*CH1229+CG1239</f>
        <v>1774.1895094887004</v>
      </c>
      <c r="CJ1239" s="114">
        <f t="shared" si="2241"/>
        <v>2.4879437485319646E-2</v>
      </c>
      <c r="CK1239" s="114"/>
      <c r="CL1239" s="169">
        <f t="shared" si="2242"/>
        <v>6.9264443912824721E-3</v>
      </c>
      <c r="CM1239" s="169">
        <f t="shared" si="2251"/>
        <v>6.7043286624000401E-3</v>
      </c>
      <c r="CN1239" s="114">
        <f>VLOOKUP($H1239,RoR!$E:$F,2,FALSE)</f>
        <v>5.3133333333333324E-2</v>
      </c>
      <c r="CO1239" s="169">
        <v>7.7972502758210105E-3</v>
      </c>
      <c r="CP1239" s="169">
        <f t="shared" si="2249"/>
        <v>4.5336083057512314E-2</v>
      </c>
      <c r="CQ1239" s="169">
        <f t="shared" si="2252"/>
        <v>2.4197612946133585E-2</v>
      </c>
      <c r="CR1239" s="169">
        <f t="shared" si="2253"/>
        <v>6.3720160300892073E-2</v>
      </c>
      <c r="CS1239" s="179">
        <f t="shared" si="2243"/>
        <v>0.85607</v>
      </c>
      <c r="CT1239" s="180">
        <f t="shared" si="2244"/>
        <v>0.96515780330083989</v>
      </c>
      <c r="CU1239" s="180">
        <f t="shared" si="2245"/>
        <v>0.50448557089084056</v>
      </c>
      <c r="CV1239" s="180">
        <f t="shared" si="2246"/>
        <v>0.87391435735465484</v>
      </c>
      <c r="CW1239" s="180">
        <f t="shared" si="2247"/>
        <v>0.42551605393279146</v>
      </c>
      <c r="CX1239" s="181">
        <f>INDEX('State Tax Lookup'!$D$7:$Z$91,MATCH(Calculation!$C1239,'State Tax Lookup'!$B$7:$B$91,0),MATCH($H1239,'State Tax Lookup'!$D$6:$Z$6,0))</f>
        <v>0.38900000000000001</v>
      </c>
      <c r="CY1239" s="72">
        <v>0.37</v>
      </c>
      <c r="CZ1239" s="70">
        <f t="shared" si="2250"/>
        <v>18.589368275198716</v>
      </c>
      <c r="DA1239" s="70">
        <v>17.478615056163342</v>
      </c>
      <c r="DB1239" s="69">
        <f t="shared" si="2254"/>
        <v>-4.2428392929288218E-2</v>
      </c>
      <c r="DC1239" s="111">
        <f>VLOOKUP($H1239,RoR!$E:$F,2,FALSE)</f>
        <v>5.3133333333333324E-2</v>
      </c>
      <c r="DD1239" s="216">
        <f>HLOOKUP($H1239,'GDP-PI'!$D$8:$CQ$11,3,FALSE)</f>
        <v>7.7972502758210105E-3</v>
      </c>
      <c r="DE1239" s="111">
        <f>VLOOKUP(H1239,'HW Dx Data'!$E:$F,2,FALSE)</f>
        <v>550.94063679692806</v>
      </c>
      <c r="DF1239" s="72">
        <f t="shared" si="2264"/>
        <v>110.925</v>
      </c>
      <c r="DG1239" s="69">
        <f t="shared" si="2265"/>
        <v>2.7649425000884052E-2</v>
      </c>
      <c r="DH1239" s="66">
        <f>HLOOKUP(H1239,'GDP-PI'!$8:$9,2,FALSE)</f>
        <v>94.998999999999995</v>
      </c>
      <c r="DI1239" s="69">
        <f t="shared" si="2255"/>
        <v>7.7670088183096342E-3</v>
      </c>
    </row>
    <row r="1240" spans="1:113" s="160" customFormat="1" ht="21">
      <c r="A1240" s="160" t="s">
        <v>232</v>
      </c>
      <c r="B1240" s="160" t="s">
        <v>232</v>
      </c>
      <c r="C1240" s="160">
        <v>4063762</v>
      </c>
      <c r="D1240" s="161" t="s">
        <v>233</v>
      </c>
      <c r="E1240" s="161"/>
      <c r="F1240" s="189"/>
      <c r="G1240" s="160" t="s">
        <v>126</v>
      </c>
      <c r="H1240" s="162">
        <v>2010</v>
      </c>
      <c r="I1240" s="163"/>
      <c r="J1240" s="159">
        <f>IFERROR(INDEX('Labor Expenditures'!$F$7:$X$91,MATCH($C1240,'Labor Expenditures'!$D$7:$D$91,0),MATCH($G1240,'Labor Expenditures'!$F$5:$X$5,0)),"NA")</f>
        <v>14781.329526203406</v>
      </c>
      <c r="K1240" s="159">
        <f t="shared" si="2256"/>
        <v>126.41718645459403</v>
      </c>
      <c r="L1240" s="165">
        <f t="shared" si="2262"/>
        <v>1.1042963570795187E-2</v>
      </c>
      <c r="M1240" s="76">
        <f t="shared" si="2266"/>
        <v>8.2438554986515727E-5</v>
      </c>
      <c r="N1240" s="62">
        <f t="shared" si="2272"/>
        <v>97.830734831093054</v>
      </c>
      <c r="O1240" s="96">
        <f t="shared" si="2267"/>
        <v>-0.17412060033318449</v>
      </c>
      <c r="P1240" s="96"/>
      <c r="Q1240" s="159">
        <f>IFERROR(INDEX('Non-Labor Expenditures'!$F$7:$AB$91,MATCH($C1240,'Non-Labor Expenditures'!$D$7:$D$91,0),MATCH($G1240,'Non-Labor Expenditures'!$F$5:$AB$5,0)),"NA")</f>
        <v>21406.125925478591</v>
      </c>
      <c r="R1240" s="159">
        <f t="shared" si="2257"/>
        <v>222.72758977284741</v>
      </c>
      <c r="S1240" s="165">
        <f t="shared" si="2268"/>
        <v>5.2104771110621222E-2</v>
      </c>
      <c r="T1240" s="165">
        <f t="shared" si="2269"/>
        <v>3.8897547843250337E-4</v>
      </c>
      <c r="U1240" s="165"/>
      <c r="V1240" s="165"/>
      <c r="W1240" s="159">
        <f t="shared" si="2236"/>
        <v>33804.061494194175</v>
      </c>
      <c r="X1240" s="163"/>
      <c r="Y1240" s="167">
        <v>1814.1164509911339</v>
      </c>
      <c r="Z1240" s="168">
        <v>2.2254841052983792E-2</v>
      </c>
      <c r="AA1240" s="76">
        <f t="shared" si="2258"/>
        <v>1.6613809563898263E-4</v>
      </c>
      <c r="AB1240" s="168"/>
      <c r="AC1240" s="168"/>
      <c r="AD1240" s="163">
        <f t="shared" si="2248"/>
        <v>69991.516945876181</v>
      </c>
      <c r="AE1240" s="168">
        <f t="shared" si="2270"/>
        <v>5.6840640637182062E-2</v>
      </c>
      <c r="AF1240" s="163"/>
      <c r="AG1240" s="163"/>
      <c r="AH1240" s="163"/>
      <c r="AI1240" s="163"/>
      <c r="AJ1240" s="116">
        <f t="shared" si="2271"/>
        <v>254.344427531674</v>
      </c>
      <c r="AK1240" s="114">
        <f>+AV1240/$AX$15</f>
        <v>7.7799859420598222E-3</v>
      </c>
      <c r="AL1240" s="115">
        <f t="shared" si="2259"/>
        <v>0.21118744343880527</v>
      </c>
      <c r="AM1240" s="115">
        <f t="shared" si="2260"/>
        <v>0.30583886247288739</v>
      </c>
      <c r="AN1240" s="115">
        <f t="shared" si="2261"/>
        <v>0.48297369408830726</v>
      </c>
      <c r="AO1240" s="115">
        <f t="shared" si="2263"/>
        <v>2.8993119920204785E-2</v>
      </c>
      <c r="AP1240" s="166">
        <f t="shared" si="2274"/>
        <v>88.639195601532194</v>
      </c>
      <c r="AQ1240" s="168">
        <f t="shared" si="2275"/>
        <v>2.8993119920204737E-2</v>
      </c>
      <c r="AR1240" s="169">
        <f>+AD1240/$AF$14</f>
        <v>7.4652564466061583E-3</v>
      </c>
      <c r="AS1240" s="169">
        <f t="shared" si="2273"/>
        <v>2.1644107539153383E-4</v>
      </c>
      <c r="AT1240" s="115"/>
      <c r="AU1240" s="115"/>
      <c r="AV1240" s="113">
        <f>IFERROR(INDEX('Total Customers'!$F$7:$AB$91,MATCH($C1240,'Total Customers'!$D$7:$D$91,0),MATCH($G1240,'Total Customers'!$F$5:$AB$5,0)),"NA")</f>
        <v>275184</v>
      </c>
      <c r="AW1240" s="68">
        <f t="shared" si="2231"/>
        <v>8.9210044044487867E-3</v>
      </c>
      <c r="AX1240" s="114"/>
      <c r="AY1240" s="114"/>
      <c r="AZ1240" s="116"/>
      <c r="BA1240" s="116"/>
      <c r="BB1240" s="166"/>
      <c r="BC1240" s="166"/>
      <c r="BD1240" s="166"/>
      <c r="BE1240" s="166"/>
      <c r="BF1240" s="166"/>
      <c r="BG1240" s="166"/>
      <c r="BH1240" s="166"/>
      <c r="BI1240" s="113"/>
      <c r="BJ1240" s="113"/>
      <c r="BK1240" s="113">
        <f>INDEX('Dist. Plant Gas Additions'!$F$7:$AE$91,MATCH($C1240,'Dist. Plant Gas Additions'!$D$7:$D$91,0),MATCH(Calculation!$G1240,'Dist. Plant Gas Additions'!$F$5:$AE$5,0))</f>
        <v>29298</v>
      </c>
      <c r="BL1240" s="113">
        <f>INDEX('Gen. Plant Additions'!$F$7:$AE$91,MATCH($C1240,'Gen. Plant Additions'!$D$7:$D$91,0),MATCH(Calculation!$G1240,'Gen. Plant Additions'!$F$5:$AE$5,0))</f>
        <v>637</v>
      </c>
      <c r="BM1240" s="231">
        <f t="shared" si="2237"/>
        <v>0.9646128568150566</v>
      </c>
      <c r="BN1240" s="61">
        <f t="shared" si="2238"/>
        <v>614.45838979119105</v>
      </c>
      <c r="BO1240" s="113">
        <f>INDEX('Dist Plant Depreciation'!$E$7:$AD$94,MATCH($C1240,'Dist Plant Depreciation'!$D$7:$D$94,0),MATCH(Calculation!$G1240,'Dist Plant Depreciation'!$E$5:$AD$5,0))</f>
        <v>218254</v>
      </c>
      <c r="BP1240" s="113">
        <f>INDEX('Gen. Plant Depreciation'!$E$7:$AD$94,MATCH($C1240,'Gen. Plant Depreciation'!$D$7:$D$94,0),MATCH(Calculation!$G1240,'Gen. Plant Depreciation'!$E$5:$AD$5,0))</f>
        <v>2041</v>
      </c>
      <c r="BQ1240" s="113"/>
      <c r="BR1240" s="113"/>
      <c r="BS1240" s="113"/>
      <c r="BT1240" s="113"/>
      <c r="BU1240" s="113"/>
      <c r="BV1240" s="175"/>
      <c r="BW1240" s="113">
        <f>INDEX('Gross Dx Plant'!$E$7:$AD$91,MATCH($C1240,'Gross Dx Plant'!$D$7:$D$91,0),MATCH(Calculation!$G1240,'Gross Dx Plant'!$E$5:$AD$5,0))</f>
        <v>575925</v>
      </c>
      <c r="BX1240" s="113">
        <f>INDEX('Gross Gen Plant'!$E$7:$AD$91,MATCH($C1240,'Gross Gen Plant'!$D$7:$D$91,0),MATCH(Calculation!$G1240,'Gross Gen Plant'!$E$5:$AD$5,0))</f>
        <v>21128</v>
      </c>
      <c r="BY1240" s="113">
        <f t="shared" si="2187"/>
        <v>376758</v>
      </c>
      <c r="BZ1240" s="113"/>
      <c r="CA1240" s="116">
        <v>2010</v>
      </c>
      <c r="CB1240" s="113"/>
      <c r="CC1240" s="113"/>
      <c r="CD1240" s="113"/>
      <c r="CE1240" s="175"/>
      <c r="CF1240" s="113">
        <f t="shared" si="2239"/>
        <v>29935</v>
      </c>
      <c r="CG1240" s="113">
        <f t="shared" si="2240"/>
        <v>52.610812434409475</v>
      </c>
      <c r="CH1240" s="178">
        <v>0.9285714285714286</v>
      </c>
      <c r="CI1240" s="61">
        <f>+CI1228*CH1240+CG1229*CH1239+CG1230*CH1238+CG1231*CH1237+CG1232*CH1236+CG1233*CH1235+CG1234*CH1234+CG1235*CH1233+CG1236*CH1232+CG1237*CH1231+CG1238*CH1230+CG1239*CH1229+CG1240</f>
        <v>1814.1164509911339</v>
      </c>
      <c r="CJ1240" s="114">
        <f t="shared" si="2241"/>
        <v>2.2254841052983792E-2</v>
      </c>
      <c r="CK1240" s="114"/>
      <c r="CL1240" s="169">
        <f t="shared" si="2242"/>
        <v>7.1491071636599554E-3</v>
      </c>
      <c r="CM1240" s="169">
        <f t="shared" si="2251"/>
        <v>6.917765430272161E-3</v>
      </c>
      <c r="CN1240" s="114">
        <f>VLOOKUP($H1240,RoR!$E:$F,2,FALSE)</f>
        <v>4.9433333333333322E-2</v>
      </c>
      <c r="CO1240" s="169">
        <v>1.1684333519300205E-2</v>
      </c>
      <c r="CP1240" s="169">
        <f t="shared" si="2249"/>
        <v>3.7748999814033117E-2</v>
      </c>
      <c r="CQ1240" s="169">
        <f t="shared" si="2252"/>
        <v>2.3984176178261464E-2</v>
      </c>
      <c r="CR1240" s="169">
        <f t="shared" si="2253"/>
        <v>4.7937530248493419E-2</v>
      </c>
      <c r="CS1240" s="179">
        <f t="shared" si="2243"/>
        <v>0.85607</v>
      </c>
      <c r="CT1240" s="180">
        <f t="shared" si="2244"/>
        <v>1.037398205301105</v>
      </c>
      <c r="CU1240" s="180">
        <f t="shared" si="2245"/>
        <v>0.46926837491571133</v>
      </c>
      <c r="CV1240" s="180">
        <f t="shared" si="2246"/>
        <v>0.8548537519972772</v>
      </c>
      <c r="CW1240" s="180">
        <f t="shared" si="2247"/>
        <v>0.41615833911547367</v>
      </c>
      <c r="CX1240" s="181">
        <f>INDEX('State Tax Lookup'!$D$7:$Z$91,MATCH(Calculation!$C1240,'State Tax Lookup'!$B$7:$B$91,0),MATCH($H1240,'State Tax Lookup'!$D$6:$Z$6,0))</f>
        <v>0.38900000000000001</v>
      </c>
      <c r="CY1240" s="72">
        <v>0.37</v>
      </c>
      <c r="CZ1240" s="70">
        <f t="shared" si="2250"/>
        <v>19.053241670860793</v>
      </c>
      <c r="DA1240" s="70">
        <v>17.956102603965455</v>
      </c>
      <c r="DB1240" s="69">
        <f t="shared" si="2254"/>
        <v>2.4647434358344385E-2</v>
      </c>
      <c r="DC1240" s="111">
        <f>VLOOKUP($H1240,RoR!$E:$F,2,FALSE)</f>
        <v>4.9433333333333322E-2</v>
      </c>
      <c r="DD1240" s="216">
        <f>HLOOKUP($H1240,'GDP-PI'!$D$8:$CQ$11,3,FALSE)</f>
        <v>1.1684333519300205E-2</v>
      </c>
      <c r="DE1240" s="111">
        <f>VLOOKUP(H1240,'HW Dx Data'!$E:$F,2,FALSE)</f>
        <v>568.98950262971744</v>
      </c>
      <c r="DF1240" s="72">
        <f t="shared" si="2264"/>
        <v>116.925</v>
      </c>
      <c r="DG1240" s="69">
        <f t="shared" si="2265"/>
        <v>5.2678406346976722E-2</v>
      </c>
      <c r="DH1240" s="66">
        <f>HLOOKUP(H1240,'GDP-PI'!$8:$9,2,FALSE)</f>
        <v>96.108999999999995</v>
      </c>
      <c r="DI1240" s="69">
        <f t="shared" si="2255"/>
        <v>1.1616598807150427E-2</v>
      </c>
    </row>
    <row r="1241" spans="1:113" s="160" customFormat="1" ht="21">
      <c r="A1241" s="160" t="s">
        <v>232</v>
      </c>
      <c r="B1241" s="160" t="s">
        <v>232</v>
      </c>
      <c r="C1241" s="160">
        <v>4063762</v>
      </c>
      <c r="D1241" s="161" t="s">
        <v>233</v>
      </c>
      <c r="E1241" s="161"/>
      <c r="F1241" s="189"/>
      <c r="G1241" s="160" t="s">
        <v>127</v>
      </c>
      <c r="H1241" s="162">
        <v>2011</v>
      </c>
      <c r="I1241" s="163"/>
      <c r="J1241" s="159">
        <f>IFERROR(INDEX('Labor Expenditures'!$F$7:$X$91,MATCH($C1241,'Labor Expenditures'!$D$7:$D$91,0),MATCH($G1241,'Labor Expenditures'!$F$5:$X$5,0)),"NA")</f>
        <v>14197.167540529112</v>
      </c>
      <c r="K1241" s="159">
        <f t="shared" si="2256"/>
        <v>117.45329919775894</v>
      </c>
      <c r="L1241" s="165">
        <f t="shared" si="2262"/>
        <v>-7.3546640313696246E-2</v>
      </c>
      <c r="M1241" s="76">
        <f t="shared" si="2266"/>
        <v>-5.4196742767231116E-4</v>
      </c>
      <c r="N1241" s="62">
        <f t="shared" si="2272"/>
        <v>118.56130594309707</v>
      </c>
      <c r="O1241" s="96">
        <f t="shared" si="2267"/>
        <v>0.19219138677932482</v>
      </c>
      <c r="P1241" s="96"/>
      <c r="Q1241" s="159">
        <f>IFERROR(INDEX('Non-Labor Expenditures'!$F$7:$AB$91,MATCH($C1241,'Non-Labor Expenditures'!$D$7:$D$91,0),MATCH($G1241,'Non-Labor Expenditures'!$F$5:$AB$5,0)),"NA")</f>
        <v>20560.150263813375</v>
      </c>
      <c r="R1241" s="159">
        <f t="shared" si="2257"/>
        <v>209.55795686372082</v>
      </c>
      <c r="S1241" s="165">
        <f t="shared" si="2268"/>
        <v>-6.0949109365036711E-2</v>
      </c>
      <c r="T1241" s="165">
        <f t="shared" si="2269"/>
        <v>-4.4913583925241304E-4</v>
      </c>
      <c r="U1241" s="165"/>
      <c r="V1241" s="165"/>
      <c r="W1241" s="159">
        <f t="shared" si="2236"/>
        <v>36855.443276092723</v>
      </c>
      <c r="X1241" s="163"/>
      <c r="Y1241" s="167">
        <v>1888.5873451798159</v>
      </c>
      <c r="Z1241" s="168">
        <v>4.023056786118151E-2</v>
      </c>
      <c r="AA1241" s="76">
        <f t="shared" si="2258"/>
        <v>2.9646027724070632E-4</v>
      </c>
      <c r="AB1241" s="168"/>
      <c r="AC1241" s="168"/>
      <c r="AD1241" s="163">
        <f t="shared" si="2248"/>
        <v>71612.761080435215</v>
      </c>
      <c r="AE1241" s="168">
        <f t="shared" si="2270"/>
        <v>2.2899237248167118E-2</v>
      </c>
      <c r="AF1241" s="163"/>
      <c r="AG1241" s="163"/>
      <c r="AH1241" s="163"/>
      <c r="AI1241" s="163"/>
      <c r="AJ1241" s="116">
        <f t="shared" si="2271"/>
        <v>257.43780383008976</v>
      </c>
      <c r="AK1241" s="114">
        <f>+AV1241/$AX$16</f>
        <v>7.8266009559496367E-3</v>
      </c>
      <c r="AL1241" s="115">
        <f t="shared" si="2259"/>
        <v>0.19824912943355028</v>
      </c>
      <c r="AM1241" s="115">
        <f t="shared" si="2260"/>
        <v>0.28710176724955883</v>
      </c>
      <c r="AN1241" s="115">
        <f t="shared" si="2261"/>
        <v>0.51464910331689084</v>
      </c>
      <c r="AO1241" s="115">
        <f t="shared" si="2263"/>
        <v>-1.3058477996685584E-2</v>
      </c>
      <c r="AP1241" s="166">
        <f t="shared" si="2274"/>
        <v>87.489227374888713</v>
      </c>
      <c r="AQ1241" s="168">
        <f t="shared" si="2275"/>
        <v>-1.3058477996685447E-2</v>
      </c>
      <c r="AR1241" s="169">
        <f>+AD1241/$AF$15</f>
        <v>7.3690303916082913E-3</v>
      </c>
      <c r="AS1241" s="169">
        <f t="shared" si="2273"/>
        <v>-9.6228321225723214E-5</v>
      </c>
      <c r="AT1241" s="115"/>
      <c r="AU1241" s="115"/>
      <c r="AV1241" s="113">
        <f>IFERROR(INDEX('Total Customers'!$F$7:$AB$91,MATCH($C1241,'Total Customers'!$D$7:$D$91,0),MATCH($G1241,'Total Customers'!$F$5:$AB$5,0)),"NA")</f>
        <v>278175</v>
      </c>
      <c r="AW1241" s="68">
        <f t="shared" si="2231"/>
        <v>1.0810447209627641E-2</v>
      </c>
      <c r="AX1241" s="114"/>
      <c r="AY1241" s="114"/>
      <c r="AZ1241" s="116"/>
      <c r="BA1241" s="116"/>
      <c r="BB1241" s="166"/>
      <c r="BC1241" s="166"/>
      <c r="BD1241" s="166"/>
      <c r="BE1241" s="166"/>
      <c r="BF1241" s="166"/>
      <c r="BG1241" s="166"/>
      <c r="BH1241" s="166"/>
      <c r="BI1241" s="113"/>
      <c r="BJ1241" s="113"/>
      <c r="BK1241" s="113">
        <f>INDEX('Dist. Plant Gas Additions'!$F$7:$AE$91,MATCH($C1241,'Dist. Plant Gas Additions'!$D$7:$D$91,0),MATCH(Calculation!$G1241,'Dist. Plant Gas Additions'!$F$5:$AE$5,0))</f>
        <v>52683</v>
      </c>
      <c r="BL1241" s="113">
        <f>INDEX('Gen. Plant Additions'!$F$7:$AE$91,MATCH($C1241,'Gen. Plant Additions'!$D$7:$D$91,0),MATCH(Calculation!$G1241,'Gen. Plant Additions'!$F$5:$AE$5,0))</f>
        <v>1058</v>
      </c>
      <c r="BM1241" s="231">
        <f t="shared" si="2237"/>
        <v>0.96668745140604917</v>
      </c>
      <c r="BN1241" s="61">
        <f t="shared" si="2238"/>
        <v>1022.7553235876001</v>
      </c>
      <c r="BO1241" s="113">
        <f>INDEX('Dist Plant Depreciation'!$E$7:$AD$94,MATCH($C1241,'Dist Plant Depreciation'!$D$7:$D$94,0),MATCH(Calculation!$G1241,'Dist Plant Depreciation'!$E$5:$AD$5,0))</f>
        <v>216848</v>
      </c>
      <c r="BP1241" s="113">
        <f>INDEX('Gen. Plant Depreciation'!$E$7:$AD$94,MATCH($C1241,'Gen. Plant Depreciation'!$D$7:$D$94,0),MATCH(Calculation!$G1241,'Gen. Plant Depreciation'!$E$5:$AD$5,0))</f>
        <v>2874</v>
      </c>
      <c r="BQ1241" s="113"/>
      <c r="BR1241" s="113"/>
      <c r="BS1241" s="113"/>
      <c r="BT1241" s="113"/>
      <c r="BU1241" s="113"/>
      <c r="BV1241" s="175"/>
      <c r="BW1241" s="113">
        <f>INDEX('Gross Dx Plant'!$E$7:$AD$91,MATCH($C1241,'Gross Dx Plant'!$D$7:$D$91,0),MATCH(Calculation!$G1241,'Gross Dx Plant'!$E$5:$AD$5,0))</f>
        <v>627878</v>
      </c>
      <c r="BX1241" s="113">
        <f>INDEX('Gross Gen Plant'!$E$7:$AD$91,MATCH($C1241,'Gross Gen Plant'!$D$7:$D$91,0),MATCH(Calculation!$G1241,'Gross Gen Plant'!$E$5:$AD$5,0))</f>
        <v>21637</v>
      </c>
      <c r="BY1241" s="113">
        <f t="shared" si="2187"/>
        <v>429793</v>
      </c>
      <c r="BZ1241" s="113"/>
      <c r="CA1241" s="116">
        <v>2011</v>
      </c>
      <c r="CB1241" s="113"/>
      <c r="CC1241" s="113"/>
      <c r="CD1241" s="113"/>
      <c r="CE1241" s="175"/>
      <c r="CF1241" s="113">
        <f t="shared" si="2239"/>
        <v>53741</v>
      </c>
      <c r="CG1241" s="113">
        <f t="shared" si="2240"/>
        <v>87.867928395476667</v>
      </c>
      <c r="CH1241" s="178">
        <v>0.92121212121212126</v>
      </c>
      <c r="CI1241" s="61">
        <f>+CI1228*CH1241+CG1229*CH1240+CG1230*CH1239+CG1231*CH1238+CG1232*CH1237+CG1233*CH1236+CG1234*CH1235+CG1235*CH1234+CG1236*CH1233+CG1237*CH1232+CG1238*CH1231+CG1239*CH1230+CG1240*CH1229+CG1241</f>
        <v>1888.5873451798159</v>
      </c>
      <c r="CJ1241" s="114">
        <f t="shared" si="2241"/>
        <v>4.023056786118151E-2</v>
      </c>
      <c r="CK1241" s="114"/>
      <c r="CL1241" s="169">
        <f t="shared" si="2242"/>
        <v>7.3848810529639737E-3</v>
      </c>
      <c r="CM1241" s="169">
        <f t="shared" si="2251"/>
        <v>7.1534775359687998E-3</v>
      </c>
      <c r="CN1241" s="114">
        <f>VLOOKUP($H1241,RoR!$E:$F,2,FALSE)</f>
        <v>4.6391666666666664E-2</v>
      </c>
      <c r="CO1241" s="169">
        <v>2.0840920205183799E-2</v>
      </c>
      <c r="CP1241" s="169">
        <f t="shared" si="2249"/>
        <v>2.5550746461482865E-2</v>
      </c>
      <c r="CQ1241" s="169">
        <f t="shared" si="2252"/>
        <v>2.3748464072564826E-2</v>
      </c>
      <c r="CR1241" s="169">
        <f t="shared" si="2253"/>
        <v>2.4810540821321614E-2</v>
      </c>
      <c r="CS1241" s="179">
        <f t="shared" si="2243"/>
        <v>0.85607</v>
      </c>
      <c r="CT1241" s="180">
        <f t="shared" si="2244"/>
        <v>1.1054151524782025</v>
      </c>
      <c r="CU1241" s="180">
        <f t="shared" si="2245"/>
        <v>0.43611011316687626</v>
      </c>
      <c r="CV1241" s="180">
        <f t="shared" si="2246"/>
        <v>0.83698442246886229</v>
      </c>
      <c r="CW1241" s="180">
        <f t="shared" si="2247"/>
        <v>0.40349573304423936</v>
      </c>
      <c r="CX1241" s="181">
        <f>INDEX('State Tax Lookup'!$D$7:$Z$91,MATCH(Calculation!$C1241,'State Tax Lookup'!$B$7:$B$91,0),MATCH($H1241,'State Tax Lookup'!$D$6:$Z$6,0))</f>
        <v>0.38900000000000001</v>
      </c>
      <c r="CY1241" s="72">
        <v>0.37</v>
      </c>
      <c r="CZ1241" s="70">
        <f t="shared" si="2250"/>
        <v>20.315919221148636</v>
      </c>
      <c r="DA1241" s="70">
        <v>19.146574949201604</v>
      </c>
      <c r="DB1241" s="69">
        <f t="shared" si="2254"/>
        <v>6.416752326579224E-2</v>
      </c>
      <c r="DC1241" s="111">
        <f>VLOOKUP($H1241,RoR!$E:$F,2,FALSE)</f>
        <v>4.6391666666666664E-2</v>
      </c>
      <c r="DD1241" s="216">
        <f>HLOOKUP($H1241,'GDP-PI'!$D$8:$CQ$11,3,FALSE)</f>
        <v>2.0840920205183799E-2</v>
      </c>
      <c r="DE1241" s="111">
        <f>VLOOKUP(H1241,'HW Dx Data'!$E:$F,2,FALSE)</f>
        <v>611.61109612283201</v>
      </c>
      <c r="DF1241" s="72">
        <f t="shared" si="2264"/>
        <v>120.875</v>
      </c>
      <c r="DG1241" s="69">
        <f t="shared" si="2265"/>
        <v>3.3224250161508609E-2</v>
      </c>
      <c r="DH1241" s="66">
        <f>HLOOKUP(H1241,'GDP-PI'!$8:$9,2,FALSE)</f>
        <v>98.111999999999995</v>
      </c>
      <c r="DI1241" s="69">
        <f t="shared" si="2255"/>
        <v>2.0626719212849295E-2</v>
      </c>
    </row>
    <row r="1242" spans="1:113" s="160" customFormat="1" ht="21">
      <c r="A1242" s="160" t="s">
        <v>232</v>
      </c>
      <c r="B1242" s="160" t="s">
        <v>232</v>
      </c>
      <c r="C1242" s="160">
        <v>4063762</v>
      </c>
      <c r="D1242" s="161" t="s">
        <v>233</v>
      </c>
      <c r="E1242" s="161"/>
      <c r="F1242" s="189"/>
      <c r="G1242" s="160" t="s">
        <v>128</v>
      </c>
      <c r="H1242" s="162">
        <v>2012</v>
      </c>
      <c r="I1242" s="163"/>
      <c r="J1242" s="159">
        <f>IFERROR(INDEX('Labor Expenditures'!$F$7:$X$91,MATCH($C1242,'Labor Expenditures'!$D$7:$D$91,0),MATCH($G1242,'Labor Expenditures'!$F$5:$X$5,0)),"NA")</f>
        <v>14306.280284408629</v>
      </c>
      <c r="K1242" s="159">
        <f t="shared" si="2256"/>
        <v>114.63365612506914</v>
      </c>
      <c r="L1242" s="165">
        <f t="shared" si="2262"/>
        <v>-2.4299356313569633E-2</v>
      </c>
      <c r="M1242" s="76">
        <f t="shared" si="2266"/>
        <v>-1.8212757561043545E-4</v>
      </c>
      <c r="N1242" s="62">
        <f t="shared" si="2272"/>
        <v>118.28699541505472</v>
      </c>
      <c r="O1242" s="96">
        <f t="shared" si="2267"/>
        <v>-2.3163404518329869E-3</v>
      </c>
      <c r="P1242" s="96"/>
      <c r="Q1242" s="159">
        <f>IFERROR(INDEX('Non-Labor Expenditures'!$F$7:$AB$91,MATCH($C1242,'Non-Labor Expenditures'!$D$7:$D$91,0),MATCH($G1242,'Non-Labor Expenditures'!$F$5:$AB$5,0)),"NA")</f>
        <v>20718.16589640034</v>
      </c>
      <c r="R1242" s="159">
        <f t="shared" si="2257"/>
        <v>207.18165896400339</v>
      </c>
      <c r="S1242" s="165">
        <f t="shared" si="2268"/>
        <v>-1.1404356890443463E-2</v>
      </c>
      <c r="T1242" s="165">
        <f t="shared" si="2269"/>
        <v>-8.5477485290124094E-5</v>
      </c>
      <c r="U1242" s="165"/>
      <c r="V1242" s="165"/>
      <c r="W1242" s="159">
        <f t="shared" si="2236"/>
        <v>41471.285945021722</v>
      </c>
      <c r="X1242" s="163"/>
      <c r="Y1242" s="167">
        <v>1933.1821512572974</v>
      </c>
      <c r="Z1242" s="168">
        <v>2.3338315012240794E-2</v>
      </c>
      <c r="AA1242" s="76">
        <f t="shared" si="2258"/>
        <v>1.7492441681010232E-4</v>
      </c>
      <c r="AB1242" s="168"/>
      <c r="AC1242" s="168"/>
      <c r="AD1242" s="163">
        <f t="shared" si="2248"/>
        <v>76495.732125830691</v>
      </c>
      <c r="AE1242" s="168">
        <f t="shared" si="2270"/>
        <v>6.5961664605019704E-2</v>
      </c>
      <c r="AF1242" s="163"/>
      <c r="AG1242" s="163"/>
      <c r="AH1242" s="163"/>
      <c r="AI1242" s="163"/>
      <c r="AJ1242" s="116">
        <f t="shared" si="2271"/>
        <v>272.22196091112505</v>
      </c>
      <c r="AK1242" s="114">
        <f>+AV1242/$AX$17</f>
        <v>7.8683353550301951E-3</v>
      </c>
      <c r="AL1242" s="115">
        <f t="shared" si="2259"/>
        <v>0.18702063352862214</v>
      </c>
      <c r="AM1242" s="115">
        <f t="shared" si="2260"/>
        <v>0.27084080798547366</v>
      </c>
      <c r="AN1242" s="115">
        <f t="shared" si="2261"/>
        <v>0.5421385584859042</v>
      </c>
      <c r="AO1242" s="115">
        <f t="shared" si="2263"/>
        <v>4.4694299263936324E-3</v>
      </c>
      <c r="AP1242" s="166">
        <f t="shared" si="2274"/>
        <v>87.881129483080642</v>
      </c>
      <c r="AQ1242" s="168">
        <f t="shared" si="2275"/>
        <v>4.46942992639372E-3</v>
      </c>
      <c r="AR1242" s="169">
        <f>+AD1242/$AF$16</f>
        <v>7.4951604997342616E-3</v>
      </c>
      <c r="AS1242" s="169">
        <f t="shared" si="2273"/>
        <v>3.3499094640636418E-5</v>
      </c>
      <c r="AT1242" s="115"/>
      <c r="AU1242" s="115"/>
      <c r="AV1242" s="113">
        <f>IFERROR(INDEX('Total Customers'!$F$7:$AB$91,MATCH($C1242,'Total Customers'!$D$7:$D$91,0),MATCH($G1242,'Total Customers'!$F$5:$AB$5,0)),"NA")</f>
        <v>281005</v>
      </c>
      <c r="AW1242" s="68">
        <f t="shared" si="2231"/>
        <v>1.0122050725983595E-2</v>
      </c>
      <c r="AX1242" s="114"/>
      <c r="AY1242" s="114"/>
      <c r="AZ1242" s="116"/>
      <c r="BA1242" s="116"/>
      <c r="BB1242" s="166"/>
      <c r="BC1242" s="166"/>
      <c r="BD1242" s="166"/>
      <c r="BE1242" s="166"/>
      <c r="BF1242" s="166"/>
      <c r="BG1242" s="166"/>
      <c r="BH1242" s="166"/>
      <c r="BI1242" s="113"/>
      <c r="BJ1242" s="113"/>
      <c r="BK1242" s="113">
        <f>INDEX('Dist. Plant Gas Additions'!$F$7:$AE$91,MATCH($C1242,'Dist. Plant Gas Additions'!$D$7:$D$91,0),MATCH(Calculation!$G1242,'Dist. Plant Gas Additions'!$F$5:$AE$5,0))</f>
        <v>36933</v>
      </c>
      <c r="BL1242" s="113">
        <f>INDEX('Gen. Plant Additions'!$F$7:$AE$91,MATCH($C1242,'Gen. Plant Additions'!$D$7:$D$91,0),MATCH(Calculation!$G1242,'Gen. Plant Additions'!$F$5:$AE$5,0))</f>
        <v>2475</v>
      </c>
      <c r="BM1242" s="231">
        <f t="shared" si="2237"/>
        <v>0.96510363831376644</v>
      </c>
      <c r="BN1242" s="61">
        <f t="shared" si="2238"/>
        <v>2388.6315048265719</v>
      </c>
      <c r="BO1242" s="113">
        <f>INDEX('Dist Plant Depreciation'!$E$7:$AD$94,MATCH($C1242,'Dist Plant Depreciation'!$D$7:$D$94,0),MATCH(Calculation!$G1242,'Dist Plant Depreciation'!$E$5:$AD$5,0))</f>
        <v>217655</v>
      </c>
      <c r="BP1242" s="113">
        <f>INDEX('Gen. Plant Depreciation'!$E$7:$AD$94,MATCH($C1242,'Gen. Plant Depreciation'!$D$7:$D$94,0),MATCH(Calculation!$G1242,'Gen. Plant Depreciation'!$E$5:$AD$5,0))</f>
        <v>4637</v>
      </c>
      <c r="BQ1242" s="113"/>
      <c r="BR1242" s="113"/>
      <c r="BS1242" s="113"/>
      <c r="BT1242" s="113"/>
      <c r="BU1242" s="113"/>
      <c r="BV1242" s="175"/>
      <c r="BW1242" s="113">
        <f>INDEX('Gross Dx Plant'!$E$7:$AD$91,MATCH($C1242,'Gross Dx Plant'!$D$7:$D$91,0),MATCH(Calculation!$G1242,'Gross Dx Plant'!$E$5:$AD$5,0))</f>
        <v>664055</v>
      </c>
      <c r="BX1242" s="113">
        <f>INDEX('Gross Gen Plant'!$E$7:$AD$91,MATCH($C1242,'Gross Gen Plant'!$D$7:$D$91,0),MATCH(Calculation!$G1242,'Gross Gen Plant'!$E$5:$AD$5,0))</f>
        <v>24011</v>
      </c>
      <c r="BY1242" s="113">
        <f t="shared" si="2187"/>
        <v>465774</v>
      </c>
      <c r="BZ1242" s="113"/>
      <c r="CA1242" s="116">
        <v>2012</v>
      </c>
      <c r="CB1242" s="113"/>
      <c r="CC1242" s="113"/>
      <c r="CD1242" s="113"/>
      <c r="CE1242" s="175"/>
      <c r="CF1242" s="113">
        <f t="shared" si="2239"/>
        <v>39408</v>
      </c>
      <c r="CG1242" s="113">
        <f t="shared" si="2240"/>
        <v>58.912934186949869</v>
      </c>
      <c r="CH1242" s="178">
        <v>0.9135802469135802</v>
      </c>
      <c r="CI1242" s="61">
        <f>+CI1228*CH1242+CG1229*CH1241+CG1230*CH1240+CG1231*CH1239+CG1232*CH1238+CG1233*CH1237+CG1234*CH1236+CG1235*CH1235+CG1236*CH1234+CG1237*CH1233+CG1238*CH1232+CG1239*CH1231+CG1240*CH1230+CG1241*CH1229+CG1242</f>
        <v>1933.1821512572974</v>
      </c>
      <c r="CJ1242" s="114">
        <f t="shared" si="2241"/>
        <v>2.3338315012240794E-2</v>
      </c>
      <c r="CK1242" s="114"/>
      <c r="CL1242" s="169">
        <f t="shared" si="2242"/>
        <v>7.5813957697069634E-3</v>
      </c>
      <c r="CM1242" s="169">
        <f t="shared" si="2251"/>
        <v>7.3717946621102981E-3</v>
      </c>
      <c r="CN1242" s="114">
        <f>VLOOKUP($H1242,RoR!$E:$F,2,FALSE)</f>
        <v>3.6733333333333333E-2</v>
      </c>
      <c r="CO1242" s="169">
        <v>1.924331376386168E-2</v>
      </c>
      <c r="CP1242" s="169">
        <f t="shared" si="2249"/>
        <v>1.7490019569471653E-2</v>
      </c>
      <c r="CQ1242" s="169">
        <f t="shared" si="2252"/>
        <v>2.3530146946423327E-2</v>
      </c>
      <c r="CR1242" s="169">
        <f t="shared" si="2253"/>
        <v>6.7122682943869583E-2</v>
      </c>
      <c r="CS1242" s="179">
        <f t="shared" si="2243"/>
        <v>0.85607</v>
      </c>
      <c r="CT1242" s="180">
        <f t="shared" si="2244"/>
        <v>1.3960631020522127</v>
      </c>
      <c r="CU1242" s="180">
        <f t="shared" si="2245"/>
        <v>0.29441923774954631</v>
      </c>
      <c r="CV1242" s="180">
        <f t="shared" si="2246"/>
        <v>0.76377954189366437</v>
      </c>
      <c r="CW1242" s="180">
        <f t="shared" si="2247"/>
        <v>0.31393465103033691</v>
      </c>
      <c r="CX1242" s="181">
        <f>INDEX('State Tax Lookup'!$D$7:$Z$91,MATCH(Calculation!$C1242,'State Tax Lookup'!$B$7:$B$91,0),MATCH($H1242,'State Tax Lookup'!$D$6:$Z$6,0))</f>
        <v>0.38900000000000001</v>
      </c>
      <c r="CY1242" s="72">
        <v>0.37</v>
      </c>
      <c r="CZ1242" s="70">
        <f t="shared" si="2250"/>
        <v>21.958892211613946</v>
      </c>
      <c r="DA1242" s="70">
        <v>20.759737328210988</v>
      </c>
      <c r="DB1242" s="69">
        <f t="shared" si="2254"/>
        <v>7.7767392820611472E-2</v>
      </c>
      <c r="DC1242" s="111">
        <f>VLOOKUP($H1242,RoR!$E:$F,2,FALSE)</f>
        <v>3.6733333333333333E-2</v>
      </c>
      <c r="DD1242" s="216">
        <f>HLOOKUP($H1242,'GDP-PI'!$D$8:$CQ$11,3,FALSE)</f>
        <v>1.924331376386168E-2</v>
      </c>
      <c r="DE1242" s="111">
        <f>VLOOKUP(H1242,'HW Dx Data'!$E:$F,2,FALSE)</f>
        <v>668.91932211262167</v>
      </c>
      <c r="DF1242" s="72">
        <f t="shared" si="2264"/>
        <v>124.80000000000001</v>
      </c>
      <c r="DG1242" s="69">
        <f t="shared" si="2265"/>
        <v>3.1955502161869064E-2</v>
      </c>
      <c r="DH1242" s="66">
        <f>HLOOKUP(H1242,'GDP-PI'!$8:$9,2,FALSE)</f>
        <v>100</v>
      </c>
      <c r="DI1242" s="69">
        <f t="shared" si="2255"/>
        <v>1.9060502738742411E-2</v>
      </c>
    </row>
    <row r="1243" spans="1:113" s="160" customFormat="1" ht="21">
      <c r="A1243" s="160" t="s">
        <v>232</v>
      </c>
      <c r="B1243" s="160" t="s">
        <v>232</v>
      </c>
      <c r="C1243" s="160">
        <v>4063762</v>
      </c>
      <c r="D1243" s="161" t="s">
        <v>233</v>
      </c>
      <c r="E1243" s="161"/>
      <c r="F1243" s="189"/>
      <c r="G1243" s="160" t="s">
        <v>129</v>
      </c>
      <c r="H1243" s="162">
        <v>2013</v>
      </c>
      <c r="I1243" s="163"/>
      <c r="J1243" s="159">
        <f>IFERROR(INDEX('Labor Expenditures'!$F$7:$X$91,MATCH($C1243,'Labor Expenditures'!$D$7:$D$91,0),MATCH($G1243,'Labor Expenditures'!$F$5:$X$5,0)),"NA")</f>
        <v>15794.811761924662</v>
      </c>
      <c r="K1243" s="159">
        <f t="shared" si="2256"/>
        <v>124.56476152937431</v>
      </c>
      <c r="L1243" s="165">
        <f t="shared" si="2262"/>
        <v>8.3084308959505929E-2</v>
      </c>
      <c r="M1243" s="76">
        <f t="shared" si="2266"/>
        <v>6.2455035458195633E-4</v>
      </c>
      <c r="N1243" s="62">
        <f t="shared" si="2272"/>
        <v>108.19383798265532</v>
      </c>
      <c r="O1243" s="96">
        <f t="shared" si="2267"/>
        <v>-8.9189421536965852E-2</v>
      </c>
      <c r="P1243" s="96"/>
      <c r="Q1243" s="159">
        <f>IFERROR(INDEX('Non-Labor Expenditures'!$F$7:$AB$91,MATCH($C1243,'Non-Labor Expenditures'!$D$7:$D$91,0),MATCH($G1243,'Non-Labor Expenditures'!$F$5:$AB$5,0)),"NA")</f>
        <v>22873.837495173713</v>
      </c>
      <c r="R1243" s="159">
        <f t="shared" si="2257"/>
        <v>224.75349547693116</v>
      </c>
      <c r="S1243" s="165">
        <f t="shared" si="2268"/>
        <v>8.1408238010793998E-2</v>
      </c>
      <c r="T1243" s="165">
        <f t="shared" si="2269"/>
        <v>6.1195121620755231E-4</v>
      </c>
      <c r="U1243" s="165"/>
      <c r="V1243" s="165"/>
      <c r="W1243" s="159">
        <f t="shared" si="2236"/>
        <v>41719.115726287317</v>
      </c>
      <c r="X1243" s="163"/>
      <c r="Y1243" s="167">
        <v>1974.6064602384665</v>
      </c>
      <c r="Z1243" s="168">
        <v>2.1201689658160931E-2</v>
      </c>
      <c r="AA1243" s="76">
        <f t="shared" si="2258"/>
        <v>1.5937453123904212E-4</v>
      </c>
      <c r="AB1243" s="168"/>
      <c r="AC1243" s="168"/>
      <c r="AD1243" s="163">
        <f t="shared" si="2248"/>
        <v>80387.764983385685</v>
      </c>
      <c r="AE1243" s="168">
        <f t="shared" si="2270"/>
        <v>4.96270377099048E-2</v>
      </c>
      <c r="AF1243" s="163"/>
      <c r="AG1243" s="163"/>
      <c r="AH1243" s="163"/>
      <c r="AI1243" s="163"/>
      <c r="AJ1243" s="116">
        <f t="shared" si="2271"/>
        <v>283.13526691809551</v>
      </c>
      <c r="AK1243" s="114">
        <f>+AV1243/$AX$18</f>
        <v>7.8992897316578561E-3</v>
      </c>
      <c r="AL1243" s="115">
        <f t="shared" si="2259"/>
        <v>0.19648278273676459</v>
      </c>
      <c r="AM1243" s="115">
        <f t="shared" si="2260"/>
        <v>0.28454376732455755</v>
      </c>
      <c r="AN1243" s="115">
        <f t="shared" si="2261"/>
        <v>0.51897344993867789</v>
      </c>
      <c r="AO1243" s="115">
        <f t="shared" si="2263"/>
        <v>4.9786681756774004E-2</v>
      </c>
      <c r="AP1243" s="166">
        <f t="shared" si="2274"/>
        <v>92.367185634951412</v>
      </c>
      <c r="AQ1243" s="168">
        <f t="shared" si="2275"/>
        <v>4.9786681756773914E-2</v>
      </c>
      <c r="AR1243" s="169">
        <f>+AD1243/$AF$17</f>
        <v>7.5170674511640095E-3</v>
      </c>
      <c r="AS1243" s="169">
        <f t="shared" si="2273"/>
        <v>3.7424984493530618E-4</v>
      </c>
      <c r="AT1243" s="115"/>
      <c r="AU1243" s="115"/>
      <c r="AV1243" s="113">
        <f>IFERROR(INDEX('Total Customers'!$F$7:$AB$91,MATCH($C1243,'Total Customers'!$D$7:$D$91,0),MATCH($G1243,'Total Customers'!$F$5:$AB$5,0)),"NA")</f>
        <v>283920</v>
      </c>
      <c r="AW1243" s="68">
        <f t="shared" si="2231"/>
        <v>1.0320045568493377E-2</v>
      </c>
      <c r="AX1243" s="114"/>
      <c r="AY1243" s="114"/>
      <c r="AZ1243" s="116"/>
      <c r="BA1243" s="116"/>
      <c r="BB1243" s="166"/>
      <c r="BC1243" s="166"/>
      <c r="BD1243" s="166"/>
      <c r="BE1243" s="166"/>
      <c r="BF1243" s="166"/>
      <c r="BG1243" s="166"/>
      <c r="BH1243" s="166"/>
      <c r="BI1243" s="113"/>
      <c r="BJ1243" s="113"/>
      <c r="BK1243" s="113">
        <f>INDEX('Dist. Plant Gas Additions'!$F$7:$AE$91,MATCH($C1243,'Dist. Plant Gas Additions'!$D$7:$D$91,0),MATCH(Calculation!$G1243,'Dist. Plant Gas Additions'!$F$5:$AE$5,0))</f>
        <v>35900</v>
      </c>
      <c r="BL1243" s="113">
        <f>INDEX('Gen. Plant Additions'!$F$7:$AE$91,MATCH($C1243,'Gen. Plant Additions'!$D$7:$D$91,0),MATCH(Calculation!$G1243,'Gen. Plant Additions'!$F$5:$AE$5,0))</f>
        <v>1613</v>
      </c>
      <c r="BM1243" s="231">
        <f t="shared" si="2237"/>
        <v>0.96839476699115712</v>
      </c>
      <c r="BN1243" s="61">
        <f t="shared" si="2238"/>
        <v>1562.0207591567364</v>
      </c>
      <c r="BO1243" s="113">
        <f>INDEX('Dist Plant Depreciation'!$E$7:$AD$94,MATCH($C1243,'Dist Plant Depreciation'!$D$7:$D$94,0),MATCH(Calculation!$G1243,'Dist Plant Depreciation'!$E$5:$AD$5,0))</f>
        <v>259713</v>
      </c>
      <c r="BP1243" s="113">
        <f>INDEX('Gen. Plant Depreciation'!$E$7:$AD$94,MATCH($C1243,'Gen. Plant Depreciation'!$D$7:$D$94,0),MATCH(Calculation!$G1243,'Gen. Plant Depreciation'!$E$5:$AD$5,0))</f>
        <v>9012</v>
      </c>
      <c r="BQ1243" s="113"/>
      <c r="BR1243" s="113"/>
      <c r="BS1243" s="113"/>
      <c r="BT1243" s="113"/>
      <c r="BU1243" s="113"/>
      <c r="BV1243" s="175"/>
      <c r="BW1243" s="113">
        <f>INDEX('Gross Dx Plant'!$E$7:$AD$91,MATCH($C1243,'Gross Dx Plant'!$D$7:$D$91,0),MATCH(Calculation!$G1243,'Gross Dx Plant'!$E$5:$AD$5,0))</f>
        <v>705800</v>
      </c>
      <c r="BX1243" s="113">
        <f>INDEX('Gross Gen Plant'!$E$7:$AD$91,MATCH($C1243,'Gross Gen Plant'!$D$7:$D$91,0),MATCH(Calculation!$G1243,'Gross Gen Plant'!$E$5:$AD$5,0))</f>
        <v>23035</v>
      </c>
      <c r="BY1243" s="113">
        <f t="shared" si="2187"/>
        <v>460110</v>
      </c>
      <c r="BZ1243" s="113"/>
      <c r="CA1243" s="116">
        <v>2013</v>
      </c>
      <c r="CB1243" s="113"/>
      <c r="CC1243" s="113"/>
      <c r="CD1243" s="113"/>
      <c r="CE1243" s="175"/>
      <c r="CF1243" s="113">
        <f t="shared" si="2239"/>
        <v>37513</v>
      </c>
      <c r="CG1243" s="113">
        <f t="shared" si="2240"/>
        <v>56.559502728675028</v>
      </c>
      <c r="CH1243" s="178">
        <v>0.90566037735849059</v>
      </c>
      <c r="CI1243" s="61">
        <f>+CI1228*CH1243+CG1229*CH1242+CG1230*CH1241+CG1231*CH1240+CG1232*CH1239+CG1233*CH1238+CG1234*CH1237+CG1235*CH1236+CG1236*CH1235+CG1237*CH1234+CG1238*CH1233+CG1239*CH1232+CG1240*CH1231+CG1241*CH1230+CG1242*CH1229+CG1243</f>
        <v>1974.6064602384665</v>
      </c>
      <c r="CJ1243" s="114">
        <f t="shared" si="2241"/>
        <v>2.1201689658160931E-2</v>
      </c>
      <c r="CK1243" s="114"/>
      <c r="CL1243" s="169">
        <f t="shared" si="2242"/>
        <v>7.8291607118668623E-3</v>
      </c>
      <c r="CM1243" s="169">
        <f t="shared" si="2251"/>
        <v>7.5984791781792656E-3</v>
      </c>
      <c r="CN1243" s="114">
        <f>VLOOKUP($H1243,RoR!$E:$F,2,FALSE)</f>
        <v>4.2350000000000006E-2</v>
      </c>
      <c r="CO1243" s="169">
        <v>1.7730000000000024E-2</v>
      </c>
      <c r="CP1243" s="169">
        <f t="shared" si="2249"/>
        <v>2.4619999999999982E-2</v>
      </c>
      <c r="CQ1243" s="169">
        <f t="shared" si="2252"/>
        <v>2.330346243035436E-2</v>
      </c>
      <c r="CR1243" s="169">
        <f t="shared" si="2253"/>
        <v>5.3376742735721204E-2</v>
      </c>
      <c r="CS1243" s="179">
        <f t="shared" si="2243"/>
        <v>0.85607</v>
      </c>
      <c r="CT1243" s="180">
        <f t="shared" si="2244"/>
        <v>1.2109103018193925</v>
      </c>
      <c r="CU1243" s="180">
        <f t="shared" si="2245"/>
        <v>0.38468122786304604</v>
      </c>
      <c r="CV1243" s="180">
        <f t="shared" si="2246"/>
        <v>0.80969194503422559</v>
      </c>
      <c r="CW1243" s="180">
        <f t="shared" si="2247"/>
        <v>0.37716621754800816</v>
      </c>
      <c r="CX1243" s="181">
        <f>INDEX('State Tax Lookup'!$D$7:$Z$91,MATCH(Calculation!$C1243,'State Tax Lookup'!$B$7:$B$91,0),MATCH($H1243,'State Tax Lookup'!$D$6:$Z$6,0))</f>
        <v>0.38900000000000001</v>
      </c>
      <c r="CY1243" s="72">
        <v>0.37</v>
      </c>
      <c r="CZ1243" s="70">
        <f t="shared" si="2250"/>
        <v>21.580540508898327</v>
      </c>
      <c r="DA1243" s="70">
        <v>20.339519021246105</v>
      </c>
      <c r="DB1243" s="69">
        <f t="shared" si="2254"/>
        <v>-1.7380163363962732E-2</v>
      </c>
      <c r="DC1243" s="111">
        <f>VLOOKUP($H1243,RoR!$E:$F,2,FALSE)</f>
        <v>4.2350000000000006E-2</v>
      </c>
      <c r="DD1243" s="216">
        <f>HLOOKUP($H1243,'GDP-PI'!$D$8:$CQ$11,3,FALSE)</f>
        <v>1.7730000000000024E-2</v>
      </c>
      <c r="DE1243" s="111">
        <f>VLOOKUP(H1243,'HW Dx Data'!$E:$F,2,FALSE)</f>
        <v>663.24840548821396</v>
      </c>
      <c r="DF1243" s="72">
        <f t="shared" si="2264"/>
        <v>126.8</v>
      </c>
      <c r="DG1243" s="69">
        <f t="shared" si="2265"/>
        <v>1.5898586067798204E-2</v>
      </c>
      <c r="DH1243" s="66">
        <f>HLOOKUP(H1243,'GDP-PI'!$8:$9,2,FALSE)</f>
        <v>101.773</v>
      </c>
      <c r="DI1243" s="69">
        <f t="shared" si="2255"/>
        <v>1.7574657016510519E-2</v>
      </c>
    </row>
    <row r="1244" spans="1:113" s="160" customFormat="1" ht="21">
      <c r="A1244" s="160" t="s">
        <v>232</v>
      </c>
      <c r="B1244" s="160" t="s">
        <v>232</v>
      </c>
      <c r="C1244" s="160">
        <v>4063762</v>
      </c>
      <c r="D1244" s="161" t="s">
        <v>233</v>
      </c>
      <c r="E1244" s="161"/>
      <c r="F1244" s="189"/>
      <c r="G1244" s="160" t="s">
        <v>130</v>
      </c>
      <c r="H1244" s="162">
        <v>2014</v>
      </c>
      <c r="I1244" s="163"/>
      <c r="J1244" s="159">
        <f>IFERROR(INDEX('Labor Expenditures'!$F$7:$X$91,MATCH($C1244,'Labor Expenditures'!$D$7:$D$91,0),MATCH($G1244,'Labor Expenditures'!$F$5:$X$5,0)),"NA")</f>
        <v>17309.633529067698</v>
      </c>
      <c r="K1244" s="159">
        <f t="shared" si="2256"/>
        <v>133.76841985369163</v>
      </c>
      <c r="L1244" s="165">
        <f t="shared" si="2262"/>
        <v>7.1284341237638632E-2</v>
      </c>
      <c r="M1244" s="76">
        <f t="shared" si="2266"/>
        <v>5.5241822791460044E-4</v>
      </c>
      <c r="N1244" s="62">
        <f t="shared" si="2272"/>
        <v>123.18950761310906</v>
      </c>
      <c r="O1244" s="96">
        <f t="shared" si="2267"/>
        <v>0.1297994674566928</v>
      </c>
      <c r="P1244" s="96"/>
      <c r="Q1244" s="159">
        <f>IFERROR(INDEX('Non-Labor Expenditures'!$F$7:$AB$91,MATCH($C1244,'Non-Labor Expenditures'!$D$7:$D$91,0),MATCH($G1244,'Non-Labor Expenditures'!$F$5:$AB$5,0)),"NA")</f>
        <v>25067.582343675753</v>
      </c>
      <c r="R1244" s="159">
        <f t="shared" si="2257"/>
        <v>241.85535851183104</v>
      </c>
      <c r="S1244" s="165">
        <f t="shared" si="2268"/>
        <v>7.3335629403057268E-2</v>
      </c>
      <c r="T1244" s="165">
        <f t="shared" si="2269"/>
        <v>5.6831469204134512E-4</v>
      </c>
      <c r="U1244" s="165"/>
      <c r="V1244" s="165"/>
      <c r="W1244" s="159">
        <f t="shared" si="2236"/>
        <v>43574.333217829815</v>
      </c>
      <c r="X1244" s="163"/>
      <c r="Y1244" s="167">
        <v>2055.4457159576905</v>
      </c>
      <c r="Z1244" s="168">
        <v>4.0123599980995718E-2</v>
      </c>
      <c r="AA1244" s="76">
        <f t="shared" si="2258"/>
        <v>3.1093796497557683E-4</v>
      </c>
      <c r="AB1244" s="168"/>
      <c r="AC1244" s="168"/>
      <c r="AD1244" s="163">
        <f t="shared" si="2248"/>
        <v>85951.549090573273</v>
      </c>
      <c r="AE1244" s="168">
        <f t="shared" si="2270"/>
        <v>6.6921767044817004E-2</v>
      </c>
      <c r="AF1244" s="163"/>
      <c r="AG1244" s="163"/>
      <c r="AH1244" s="163"/>
      <c r="AI1244" s="163"/>
      <c r="AJ1244" s="116">
        <f t="shared" si="2271"/>
        <v>300.02216211227596</v>
      </c>
      <c r="AK1244" s="114">
        <f>+AV1244/$AX$19</f>
        <v>7.9280332370570052E-3</v>
      </c>
      <c r="AL1244" s="115">
        <f t="shared" si="2259"/>
        <v>0.20138826713672495</v>
      </c>
      <c r="AM1244" s="115">
        <f t="shared" si="2260"/>
        <v>0.29164782495380337</v>
      </c>
      <c r="AN1244" s="115">
        <f t="shared" si="2261"/>
        <v>0.50696390790947155</v>
      </c>
      <c r="AO1244" s="115">
        <f t="shared" si="2263"/>
        <v>5.5890824458050763E-2</v>
      </c>
      <c r="AP1244" s="166">
        <f t="shared" si="2274"/>
        <v>97.67665709668006</v>
      </c>
      <c r="AQ1244" s="168">
        <f t="shared" si="2275"/>
        <v>5.5890824458050714E-2</v>
      </c>
      <c r="AR1244" s="169">
        <f>+AD1244/$AF$18</f>
        <v>7.7495031632966779E-3</v>
      </c>
      <c r="AS1244" s="169">
        <f t="shared" si="2273"/>
        <v>4.3312612093692333E-4</v>
      </c>
      <c r="AT1244" s="115"/>
      <c r="AU1244" s="115"/>
      <c r="AV1244" s="113">
        <f>IFERROR(INDEX('Total Customers'!$F$7:$AB$91,MATCH($C1244,'Total Customers'!$D$7:$D$91,0),MATCH($G1244,'Total Customers'!$F$5:$AB$5,0)),"NA")</f>
        <v>286484</v>
      </c>
      <c r="AW1244" s="68">
        <f t="shared" si="2231"/>
        <v>8.9901798347451715E-3</v>
      </c>
      <c r="AX1244" s="114"/>
      <c r="AY1244" s="114"/>
      <c r="AZ1244" s="116"/>
      <c r="BA1244" s="116"/>
      <c r="BB1244" s="166"/>
      <c r="BC1244" s="166"/>
      <c r="BD1244" s="166"/>
      <c r="BE1244" s="166"/>
      <c r="BF1244" s="166"/>
      <c r="BG1244" s="166"/>
      <c r="BH1244" s="166"/>
      <c r="BI1244" s="113"/>
      <c r="BJ1244" s="113"/>
      <c r="BK1244" s="113">
        <f>INDEX('Dist. Plant Gas Additions'!$F$7:$AE$91,MATCH($C1244,'Dist. Plant Gas Additions'!$D$7:$D$91,0),MATCH(Calculation!$G1244,'Dist. Plant Gas Additions'!$F$5:$AE$5,0))</f>
        <v>64014</v>
      </c>
      <c r="BL1244" s="113">
        <f>INDEX('Gen. Plant Additions'!$F$7:$AE$91,MATCH($C1244,'Gen. Plant Additions'!$D$7:$D$91,0),MATCH(Calculation!$G1244,'Gen. Plant Additions'!$F$5:$AE$5,0))</f>
        <v>2255</v>
      </c>
      <c r="BM1244" s="231">
        <f t="shared" si="2237"/>
        <v>0.96694133935806548</v>
      </c>
      <c r="BN1244" s="61">
        <f t="shared" si="2238"/>
        <v>2180.4527202524378</v>
      </c>
      <c r="BO1244" s="113">
        <f>INDEX('Dist Plant Depreciation'!$E$7:$AD$94,MATCH($C1244,'Dist Plant Depreciation'!$D$7:$D$94,0),MATCH(Calculation!$G1244,'Dist Plant Depreciation'!$E$5:$AD$5,0))</f>
        <v>245119</v>
      </c>
      <c r="BP1244" s="113">
        <f>INDEX('Gen. Plant Depreciation'!$E$7:$AD$94,MATCH($C1244,'Gen. Plant Depreciation'!$D$7:$D$94,0),MATCH(Calculation!$G1244,'Gen. Plant Depreciation'!$E$5:$AD$5,0))</f>
        <v>5165</v>
      </c>
      <c r="BQ1244" s="113"/>
      <c r="BR1244" s="113"/>
      <c r="BS1244" s="113"/>
      <c r="BT1244" s="113"/>
      <c r="BU1244" s="113"/>
      <c r="BV1244" s="175"/>
      <c r="BW1244" s="113">
        <f>INDEX('Gross Dx Plant'!$E$7:$AD$91,MATCH($C1244,'Gross Dx Plant'!$D$7:$D$91,0),MATCH(Calculation!$G1244,'Gross Dx Plant'!$E$5:$AD$5,0))</f>
        <v>720731</v>
      </c>
      <c r="BX1244" s="113">
        <f>INDEX('Gross Gen Plant'!$E$7:$AD$91,MATCH($C1244,'Gross Gen Plant'!$D$7:$D$91,0),MATCH(Calculation!$G1244,'Gross Gen Plant'!$E$5:$AD$5,0))</f>
        <v>24641</v>
      </c>
      <c r="BY1244" s="113">
        <f t="shared" si="2187"/>
        <v>495088</v>
      </c>
      <c r="BZ1244" s="113"/>
      <c r="CA1244" s="116">
        <v>2014</v>
      </c>
      <c r="CB1244" s="113"/>
      <c r="CC1244" s="113"/>
      <c r="CD1244" s="113"/>
      <c r="CE1244" s="175"/>
      <c r="CF1244" s="113">
        <f t="shared" si="2239"/>
        <v>66269</v>
      </c>
      <c r="CG1244" s="113">
        <f t="shared" si="2240"/>
        <v>96.818097195772623</v>
      </c>
      <c r="CH1244" s="178">
        <v>0.89743589743589747</v>
      </c>
      <c r="CI1244" s="61">
        <f>+CI1228*CH1244+CG1229*CH1243+CG1230*CH1242+CG1231*CH1241+CG1232*CH1240+CG1233*CH1239+CG1234*CH1238+CG1235*CH1237+CG1236*CH1236+CG1237*CH1235+CG1238*CH1234+CG1239*CH1233+CG1240*CH1232+CG1241*CH1231+CG1242*CH1230+CG1243*CH1229+CG1244</f>
        <v>2055.4457159576905</v>
      </c>
      <c r="CJ1244" s="114">
        <f t="shared" si="2241"/>
        <v>4.0123599980995718E-2</v>
      </c>
      <c r="CK1244" s="114"/>
      <c r="CL1244" s="169">
        <f t="shared" si="2242"/>
        <v>8.0921650963397315E-3</v>
      </c>
      <c r="CM1244" s="169">
        <f t="shared" si="2251"/>
        <v>7.8342405259711843E-3</v>
      </c>
      <c r="CN1244" s="114">
        <f>VLOOKUP($H1244,RoR!$E:$F,2,FALSE)</f>
        <v>4.1625000000000002E-2</v>
      </c>
      <c r="CO1244" s="169">
        <v>1.841352814597208E-2</v>
      </c>
      <c r="CP1244" s="169">
        <f t="shared" si="2249"/>
        <v>2.3211471854027922E-2</v>
      </c>
      <c r="CQ1244" s="169">
        <f t="shared" si="2252"/>
        <v>2.3067701082562439E-2</v>
      </c>
      <c r="CR1244" s="169">
        <f t="shared" si="2253"/>
        <v>3.9072621432650924E-2</v>
      </c>
      <c r="CS1244" s="179">
        <f t="shared" si="2243"/>
        <v>0.85607</v>
      </c>
      <c r="CT1244" s="180">
        <f t="shared" si="2244"/>
        <v>1.2320012320012319</v>
      </c>
      <c r="CU1244" s="180">
        <f t="shared" si="2245"/>
        <v>0.37439939939939942</v>
      </c>
      <c r="CV1244" s="180">
        <f t="shared" si="2246"/>
        <v>0.80432100613819935</v>
      </c>
      <c r="CW1244" s="180">
        <f t="shared" si="2247"/>
        <v>0.37100152660040037</v>
      </c>
      <c r="CX1244" s="181">
        <f>INDEX('State Tax Lookup'!$D$7:$Z$91,MATCH(Calculation!$C1244,'State Tax Lookup'!$B$7:$B$91,0),MATCH($H1244,'State Tax Lookup'!$D$6:$Z$6,0))</f>
        <v>0.38900000000000001</v>
      </c>
      <c r="CY1244" s="72">
        <v>0.37</v>
      </c>
      <c r="CZ1244" s="70">
        <f t="shared" si="2250"/>
        <v>22.067350682407618</v>
      </c>
      <c r="DA1244" s="70">
        <v>20.763592984765573</v>
      </c>
      <c r="DB1244" s="69">
        <f t="shared" si="2254"/>
        <v>2.2307165218754015E-2</v>
      </c>
      <c r="DC1244" s="111">
        <f>VLOOKUP($H1244,RoR!$E:$F,2,FALSE)</f>
        <v>4.1625000000000002E-2</v>
      </c>
      <c r="DD1244" s="216">
        <f>HLOOKUP($H1244,'GDP-PI'!$D$8:$CQ$11,3,FALSE)</f>
        <v>1.841352814597208E-2</v>
      </c>
      <c r="DE1244" s="111">
        <f>VLOOKUP(H1244,'HW Dx Data'!$E:$F,2,FALSE)</f>
        <v>684.46914285042885</v>
      </c>
      <c r="DF1244" s="72">
        <f t="shared" si="2264"/>
        <v>129.4</v>
      </c>
      <c r="DG1244" s="69">
        <f t="shared" si="2265"/>
        <v>2.0297340063674733E-2</v>
      </c>
      <c r="DH1244" s="66">
        <f>HLOOKUP(H1244,'GDP-PI'!$8:$9,2,FALSE)</f>
        <v>103.64700000000001</v>
      </c>
      <c r="DI1244" s="69">
        <f t="shared" si="2255"/>
        <v>1.8246051898256087E-2</v>
      </c>
    </row>
    <row r="1245" spans="1:113" s="160" customFormat="1" ht="21">
      <c r="A1245" s="160" t="s">
        <v>232</v>
      </c>
      <c r="B1245" s="160" t="s">
        <v>232</v>
      </c>
      <c r="C1245" s="160">
        <v>4063762</v>
      </c>
      <c r="D1245" s="161" t="s">
        <v>233</v>
      </c>
      <c r="E1245" s="161"/>
      <c r="F1245" s="189"/>
      <c r="G1245" s="160" t="s">
        <v>132</v>
      </c>
      <c r="H1245" s="162">
        <v>2015</v>
      </c>
      <c r="I1245" s="163"/>
      <c r="J1245" s="159">
        <f>IFERROR(INDEX('Labor Expenditures'!$F$7:$X$91,MATCH($C1245,'Labor Expenditures'!$D$7:$D$91,0),MATCH($G1245,'Labor Expenditures'!$F$5:$X$5,0)),"NA")</f>
        <v>18108.964301396169</v>
      </c>
      <c r="K1245" s="159">
        <f t="shared" si="2256"/>
        <v>135.64767266963423</v>
      </c>
      <c r="L1245" s="165">
        <f t="shared" si="2262"/>
        <v>1.3950787254691198E-2</v>
      </c>
      <c r="M1245" s="76">
        <f t="shared" si="2266"/>
        <v>1.0874073719642499E-4</v>
      </c>
      <c r="N1245" s="62">
        <f t="shared" si="2272"/>
        <v>123.49314089962279</v>
      </c>
      <c r="O1245" s="96">
        <f t="shared" si="2267"/>
        <v>2.4617332567366929E-3</v>
      </c>
      <c r="P1245" s="96"/>
      <c r="Q1245" s="159">
        <f>IFERROR(INDEX('Non-Labor Expenditures'!$F$7:$AB$91,MATCH($C1245,'Non-Labor Expenditures'!$D$7:$D$91,0),MATCH($G1245,'Non-Labor Expenditures'!$F$5:$AB$5,0)),"NA")</f>
        <v>26225.162596402057</v>
      </c>
      <c r="R1245" s="159">
        <f t="shared" si="2257"/>
        <v>250.62512635252685</v>
      </c>
      <c r="S1245" s="165">
        <f t="shared" si="2268"/>
        <v>3.5618446842752394E-2</v>
      </c>
      <c r="T1245" s="165">
        <f t="shared" si="2269"/>
        <v>2.776313692383308E-4</v>
      </c>
      <c r="U1245" s="165"/>
      <c r="V1245" s="165"/>
      <c r="W1245" s="159">
        <f t="shared" si="2236"/>
        <v>44405.321656739761</v>
      </c>
      <c r="X1245" s="163"/>
      <c r="Y1245" s="167">
        <v>2116.9507969186852</v>
      </c>
      <c r="Z1245" s="168">
        <v>2.948403215225268E-2</v>
      </c>
      <c r="AA1245" s="76">
        <f t="shared" si="2258"/>
        <v>2.298160908934326E-4</v>
      </c>
      <c r="AB1245" s="168"/>
      <c r="AC1245" s="168"/>
      <c r="AD1245" s="163">
        <f t="shared" si="2248"/>
        <v>88739.448554537987</v>
      </c>
      <c r="AE1245" s="168">
        <f t="shared" si="2270"/>
        <v>3.1920776935163868E-2</v>
      </c>
      <c r="AF1245" s="163"/>
      <c r="AG1245" s="163"/>
      <c r="AH1245" s="163"/>
      <c r="AI1245" s="163"/>
      <c r="AJ1245" s="116">
        <f t="shared" si="2271"/>
        <v>306.24732042123242</v>
      </c>
      <c r="AK1245" s="114">
        <f>+AV1245/$AX$20</f>
        <v>7.9535992284544312E-3</v>
      </c>
      <c r="AL1245" s="115">
        <f t="shared" si="2259"/>
        <v>0.20406892984315381</v>
      </c>
      <c r="AM1245" s="115">
        <f t="shared" si="2260"/>
        <v>0.29552992523144256</v>
      </c>
      <c r="AN1245" s="115">
        <f t="shared" si="2261"/>
        <v>0.50040114492540366</v>
      </c>
      <c r="AO1245" s="115">
        <f t="shared" si="2263"/>
        <v>2.8135995092504508E-2</v>
      </c>
      <c r="AP1245" s="166">
        <f t="shared" si="2274"/>
        <v>100.46391429727423</v>
      </c>
      <c r="AQ1245" s="168">
        <f t="shared" si="2275"/>
        <v>2.8135995092504463E-2</v>
      </c>
      <c r="AR1245" s="169">
        <f>+AD1245/$AF$19</f>
        <v>7.7945950440796094E-3</v>
      </c>
      <c r="AS1245" s="169">
        <f t="shared" si="2273"/>
        <v>2.1930868790828349E-4</v>
      </c>
      <c r="AT1245" s="115"/>
      <c r="AU1245" s="115"/>
      <c r="AV1245" s="113">
        <f>IFERROR(INDEX('Total Customers'!$F$7:$AB$91,MATCH($C1245,'Total Customers'!$D$7:$D$91,0),MATCH($G1245,'Total Customers'!$F$5:$AB$5,0)),"NA")</f>
        <v>289764</v>
      </c>
      <c r="AW1245" s="68">
        <f t="shared" si="2231"/>
        <v>1.1384110394720613E-2</v>
      </c>
      <c r="AX1245" s="114"/>
      <c r="AY1245" s="114"/>
      <c r="AZ1245" s="116"/>
      <c r="BA1245" s="116"/>
      <c r="BB1245" s="166"/>
      <c r="BC1245" s="166"/>
      <c r="BD1245" s="166"/>
      <c r="BE1245" s="166"/>
      <c r="BF1245" s="166"/>
      <c r="BG1245" s="166"/>
      <c r="BH1245" s="166"/>
      <c r="BI1245" s="113"/>
      <c r="BJ1245" s="113"/>
      <c r="BK1245" s="113">
        <f>INDEX('Dist. Plant Gas Additions'!$F$7:$AE$91,MATCH($C1245,'Dist. Plant Gas Additions'!$D$7:$D$91,0),MATCH(Calculation!$G1245,'Dist. Plant Gas Additions'!$F$5:$AE$5,0))</f>
        <v>50758</v>
      </c>
      <c r="BL1245" s="113">
        <f>INDEX('Gen. Plant Additions'!$F$7:$AE$91,MATCH($C1245,'Gen. Plant Additions'!$D$7:$D$91,0),MATCH(Calculation!$G1245,'Gen. Plant Additions'!$F$5:$AE$5,0))</f>
        <v>2324</v>
      </c>
      <c r="BM1245" s="231">
        <f t="shared" si="2237"/>
        <v>0.96806143588402704</v>
      </c>
      <c r="BN1245" s="61">
        <f t="shared" si="2238"/>
        <v>2249.774776994479</v>
      </c>
      <c r="BO1245" s="113">
        <f>INDEX('Dist Plant Depreciation'!$E$7:$AD$94,MATCH($C1245,'Dist Plant Depreciation'!$D$7:$D$94,0),MATCH(Calculation!$G1245,'Dist Plant Depreciation'!$E$5:$AD$5,0))</f>
        <v>261125</v>
      </c>
      <c r="BP1245" s="113">
        <f>INDEX('Gen. Plant Depreciation'!$E$7:$AD$94,MATCH($C1245,'Gen. Plant Depreciation'!$D$7:$D$94,0),MATCH(Calculation!$G1245,'Gen. Plant Depreciation'!$E$5:$AD$5,0))</f>
        <v>4987</v>
      </c>
      <c r="BQ1245" s="113"/>
      <c r="BR1245" s="113"/>
      <c r="BS1245" s="113"/>
      <c r="BT1245" s="113"/>
      <c r="BU1245" s="113"/>
      <c r="BV1245" s="175"/>
      <c r="BW1245" s="113">
        <f>INDEX('Gross Dx Plant'!$E$7:$AD$91,MATCH($C1245,'Gross Dx Plant'!$D$7:$D$91,0),MATCH(Calculation!$G1245,'Gross Dx Plant'!$E$5:$AD$5,0))</f>
        <v>770089</v>
      </c>
      <c r="BX1245" s="113">
        <f>INDEX('Gross Gen Plant'!$E$7:$AD$91,MATCH($C1245,'Gross Gen Plant'!$D$7:$D$91,0),MATCH(Calculation!$G1245,'Gross Gen Plant'!$E$5:$AD$5,0))</f>
        <v>25407</v>
      </c>
      <c r="BY1245" s="113">
        <f t="shared" si="2187"/>
        <v>529384</v>
      </c>
      <c r="BZ1245" s="113"/>
      <c r="CA1245" s="116">
        <v>2015</v>
      </c>
      <c r="CB1245" s="113"/>
      <c r="CC1245" s="113"/>
      <c r="CD1245" s="113"/>
      <c r="CE1245" s="175"/>
      <c r="CF1245" s="113">
        <f t="shared" si="2239"/>
        <v>53082</v>
      </c>
      <c r="CG1245" s="113">
        <f t="shared" si="2240"/>
        <v>78.568458112705542</v>
      </c>
      <c r="CH1245" s="178">
        <v>0.88888888888888884</v>
      </c>
      <c r="CI1245" s="61">
        <f>+CI1228*CH1245+CG1229*CH1244+CG1230*CH1243+CG1231*CH1242+CG1232*CH1241+CG1233*CH1240+CG1234*CH1239+CG1235*CH1238+CG1236*CH1237+CG1237*CH1236+CG1238*CH1235+CG1239*CH1234+CG1240*CH1233+CG1241*CH1232+CG1242*CH1231+CG1243*CH1230+CG1244*CH1229+CG1245</f>
        <v>2116.9507969186852</v>
      </c>
      <c r="CJ1245" s="114">
        <f t="shared" si="2241"/>
        <v>2.948403215225268E-2</v>
      </c>
      <c r="CK1245" s="114"/>
      <c r="CL1245" s="169">
        <f t="shared" si="2242"/>
        <v>8.3015459952249255E-3</v>
      </c>
      <c r="CM1245" s="169">
        <f t="shared" si="2251"/>
        <v>8.0742906011438392E-3</v>
      </c>
      <c r="CN1245" s="114">
        <f>VLOOKUP($H1245,RoR!$E:$F,2,FALSE)</f>
        <v>3.8866666666666674E-2</v>
      </c>
      <c r="CO1245" s="169">
        <v>9.5709475431029478E-3</v>
      </c>
      <c r="CP1245" s="169">
        <f t="shared" si="2249"/>
        <v>2.9295719123563727E-2</v>
      </c>
      <c r="CQ1245" s="169">
        <f t="shared" si="2252"/>
        <v>2.2827651007389788E-2</v>
      </c>
      <c r="CR1245" s="169">
        <f t="shared" si="2253"/>
        <v>3.5270373279175926E-3</v>
      </c>
      <c r="CS1245" s="179">
        <f t="shared" si="2243"/>
        <v>0.85607</v>
      </c>
      <c r="CT1245" s="180">
        <f t="shared" si="2244"/>
        <v>1.3194352816994324</v>
      </c>
      <c r="CU1245" s="180">
        <f t="shared" si="2245"/>
        <v>0.33177530017152673</v>
      </c>
      <c r="CV1245" s="180">
        <f t="shared" si="2246"/>
        <v>0.78242572977668579</v>
      </c>
      <c r="CW1245" s="180">
        <f t="shared" si="2247"/>
        <v>0.34251158643433932</v>
      </c>
      <c r="CX1245" s="181">
        <f>INDEX('State Tax Lookup'!$D$7:$Z$91,MATCH(Calculation!$C1245,'State Tax Lookup'!$B$7:$B$91,0),MATCH($H1245,'State Tax Lookup'!$D$6:$Z$6,0))</f>
        <v>0.38900000000000001</v>
      </c>
      <c r="CY1245" s="72">
        <v>0.37</v>
      </c>
      <c r="CZ1245" s="70">
        <f t="shared" si="2250"/>
        <v>21.603743320484657</v>
      </c>
      <c r="DA1245" s="70">
        <v>20.279488671080099</v>
      </c>
      <c r="DB1245" s="69">
        <f t="shared" si="2254"/>
        <v>-2.1232569937248542E-2</v>
      </c>
      <c r="DC1245" s="111">
        <f>VLOOKUP($H1245,RoR!$E:$F,2,FALSE)</f>
        <v>3.8866666666666674E-2</v>
      </c>
      <c r="DD1245" s="216">
        <f>HLOOKUP($H1245,'GDP-PI'!$D$8:$CQ$11,3,FALSE)</f>
        <v>9.5709475431029478E-3</v>
      </c>
      <c r="DE1245" s="111">
        <f>VLOOKUP(H1245,'HW Dx Data'!$E:$F,2,FALSE)</f>
        <v>675.61463308665782</v>
      </c>
      <c r="DF1245" s="72">
        <f t="shared" si="2264"/>
        <v>133.5</v>
      </c>
      <c r="DG1245" s="69">
        <f t="shared" si="2265"/>
        <v>3.1193095773504077E-2</v>
      </c>
      <c r="DH1245" s="66">
        <f>HLOOKUP(H1245,'GDP-PI'!$8:$9,2,FALSE)</f>
        <v>104.639</v>
      </c>
      <c r="DI1245" s="69">
        <f t="shared" si="2255"/>
        <v>9.5254361854427965E-3</v>
      </c>
    </row>
    <row r="1246" spans="1:113" s="160" customFormat="1" ht="21">
      <c r="A1246" s="160" t="s">
        <v>232</v>
      </c>
      <c r="B1246" s="160" t="s">
        <v>232</v>
      </c>
      <c r="C1246" s="160">
        <v>4063762</v>
      </c>
      <c r="D1246" s="161" t="s">
        <v>233</v>
      </c>
      <c r="E1246" s="161"/>
      <c r="F1246" s="189"/>
      <c r="G1246" s="160" t="s">
        <v>133</v>
      </c>
      <c r="H1246" s="162">
        <v>2016</v>
      </c>
      <c r="I1246" s="163"/>
      <c r="J1246" s="159">
        <f>IFERROR(INDEX('Labor Expenditures'!$F$7:$X$91,MATCH($C1246,'Labor Expenditures'!$D$7:$D$91,0),MATCH($G1246,'Labor Expenditures'!$F$5:$X$5,0)),"NA")</f>
        <v>19338.564840497755</v>
      </c>
      <c r="K1246" s="159">
        <f t="shared" si="2256"/>
        <v>141.20894370571563</v>
      </c>
      <c r="L1246" s="165">
        <f t="shared" si="2262"/>
        <v>4.0179781664487199E-2</v>
      </c>
      <c r="M1246" s="76">
        <f t="shared" si="2266"/>
        <v>3.2261055100835426E-4</v>
      </c>
      <c r="N1246" s="62">
        <f t="shared" si="2272"/>
        <v>306.45861109171807</v>
      </c>
      <c r="O1246" s="96">
        <f t="shared" si="2267"/>
        <v>0.90889709378541161</v>
      </c>
      <c r="P1246" s="96"/>
      <c r="Q1246" s="159">
        <f>IFERROR(INDEX('Non-Labor Expenditures'!$F$7:$AB$91,MATCH($C1246,'Non-Labor Expenditures'!$D$7:$D$91,0),MATCH($G1246,'Non-Labor Expenditures'!$F$5:$AB$5,0)),"NA")</f>
        <v>28005.853834722984</v>
      </c>
      <c r="R1246" s="159">
        <f t="shared" si="2257"/>
        <v>264.8658341030773</v>
      </c>
      <c r="S1246" s="165">
        <f t="shared" si="2268"/>
        <v>5.5265109166065036E-2</v>
      </c>
      <c r="T1246" s="165">
        <f t="shared" si="2269"/>
        <v>4.4373330518516244E-4</v>
      </c>
      <c r="U1246" s="165"/>
      <c r="V1246" s="165"/>
      <c r="W1246" s="159">
        <f t="shared" si="2236"/>
        <v>44969.568479170455</v>
      </c>
      <c r="X1246" s="163"/>
      <c r="Y1246" s="167">
        <v>2236.185878171802</v>
      </c>
      <c r="Z1246" s="168">
        <v>5.4794931617940766E-2</v>
      </c>
      <c r="AA1246" s="76">
        <f t="shared" si="2258"/>
        <v>4.399581667551248E-4</v>
      </c>
      <c r="AB1246" s="168"/>
      <c r="AC1246" s="168"/>
      <c r="AD1246" s="163">
        <f t="shared" si="2248"/>
        <v>92313.987154391187</v>
      </c>
      <c r="AE1246" s="168">
        <f t="shared" si="2270"/>
        <v>3.9491138400736508E-2</v>
      </c>
      <c r="AF1246" s="163"/>
      <c r="AG1246" s="163"/>
      <c r="AH1246" s="163"/>
      <c r="AI1246" s="163"/>
      <c r="AJ1246" s="116">
        <f t="shared" si="2271"/>
        <v>314.83592867434658</v>
      </c>
      <c r="AK1246" s="114">
        <f>+AV1246/$AX$21</f>
        <v>7.9787209436547133E-3</v>
      </c>
      <c r="AL1246" s="115">
        <f t="shared" si="2259"/>
        <v>0.20948683332412923</v>
      </c>
      <c r="AM1246" s="115">
        <f t="shared" si="2260"/>
        <v>0.30337606139668083</v>
      </c>
      <c r="AN1246" s="115">
        <f t="shared" si="2261"/>
        <v>0.48713710527919002</v>
      </c>
      <c r="AO1246" s="115">
        <f t="shared" si="2263"/>
        <v>5.191363794571327E-2</v>
      </c>
      <c r="AP1246" s="166">
        <f t="shared" si="2274"/>
        <v>105.81711134095141</v>
      </c>
      <c r="AQ1246" s="168">
        <f t="shared" si="2275"/>
        <v>5.1913637945713215E-2</v>
      </c>
      <c r="AR1246" s="169">
        <f>+AD1246/$AF$20</f>
        <v>8.0291763081802112E-3</v>
      </c>
      <c r="AS1246" s="169">
        <f t="shared" si="2273"/>
        <v>4.1682375186516575E-4</v>
      </c>
      <c r="AT1246" s="115"/>
      <c r="AU1246" s="115"/>
      <c r="AV1246" s="113">
        <f>IFERROR(INDEX('Total Customers'!$F$7:$AB$91,MATCH($C1246,'Total Customers'!$D$7:$D$91,0),MATCH($G1246,'Total Customers'!$F$5:$AB$5,0)),"NA")</f>
        <v>293213</v>
      </c>
      <c r="AW1246" s="68">
        <f t="shared" si="2231"/>
        <v>1.1832508797481751E-2</v>
      </c>
      <c r="AX1246" s="114"/>
      <c r="AY1246" s="114"/>
      <c r="AZ1246" s="116"/>
      <c r="BA1246" s="116"/>
      <c r="BB1246" s="166"/>
      <c r="BC1246" s="166"/>
      <c r="BD1246" s="166"/>
      <c r="BE1246" s="166"/>
      <c r="BF1246" s="166"/>
      <c r="BG1246" s="166"/>
      <c r="BH1246" s="166"/>
      <c r="BI1246" s="113"/>
      <c r="BJ1246" s="113"/>
      <c r="BK1246" s="113">
        <f>INDEX('Dist. Plant Gas Additions'!$F$7:$AE$91,MATCH($C1246,'Dist. Plant Gas Additions'!$D$7:$D$91,0),MATCH(Calculation!$G1246,'Dist. Plant Gas Additions'!$F$5:$AE$5,0))</f>
        <v>88302</v>
      </c>
      <c r="BL1246" s="113">
        <f>INDEX('Gen. Plant Additions'!$F$7:$AE$91,MATCH($C1246,'Gen. Plant Additions'!$D$7:$D$91,0),MATCH(Calculation!$G1246,'Gen. Plant Additions'!$F$5:$AE$5,0))</f>
        <v>3917</v>
      </c>
      <c r="BM1246" s="231">
        <f t="shared" si="2237"/>
        <v>0.96836898177901287</v>
      </c>
      <c r="BN1246" s="61">
        <f t="shared" si="2238"/>
        <v>3793.1013016283932</v>
      </c>
      <c r="BO1246" s="113">
        <f>INDEX('Dist Plant Depreciation'!$E$7:$AD$94,MATCH($C1246,'Dist Plant Depreciation'!$D$7:$D$94,0),MATCH(Calculation!$G1246,'Dist Plant Depreciation'!$E$5:$AD$5,0))</f>
        <v>276400</v>
      </c>
      <c r="BP1246" s="113">
        <f>INDEX('Gen. Plant Depreciation'!$E$7:$AD$94,MATCH($C1246,'Gen. Plant Depreciation'!$D$7:$D$94,0),MATCH(Calculation!$G1246,'Gen. Plant Depreciation'!$E$5:$AD$5,0))</f>
        <v>5380</v>
      </c>
      <c r="BQ1246" s="113"/>
      <c r="BR1246" s="113"/>
      <c r="BS1246" s="113"/>
      <c r="BT1246" s="113"/>
      <c r="BU1246" s="113"/>
      <c r="BV1246" s="175"/>
      <c r="BW1246" s="113">
        <f>INDEX('Gross Dx Plant'!$E$7:$AD$91,MATCH($C1246,'Gross Dx Plant'!$D$7:$D$91,0),MATCH(Calculation!$G1246,'Gross Dx Plant'!$E$5:$AD$5,0))</f>
        <v>855860</v>
      </c>
      <c r="BX1246" s="113">
        <f>INDEX('Gross Gen Plant'!$E$7:$AD$91,MATCH($C1246,'Gross Gen Plant'!$D$7:$D$91,0),MATCH(Calculation!$G1246,'Gross Gen Plant'!$E$5:$AD$5,0))</f>
        <v>27956</v>
      </c>
      <c r="BY1246" s="113">
        <f t="shared" si="2187"/>
        <v>602036</v>
      </c>
      <c r="BZ1246" s="113"/>
      <c r="CA1246" s="116">
        <v>2016</v>
      </c>
      <c r="CB1246" s="113"/>
      <c r="CC1246" s="113"/>
      <c r="CD1246" s="113"/>
      <c r="CE1246" s="175"/>
      <c r="CF1246" s="113">
        <f t="shared" si="2239"/>
        <v>92219</v>
      </c>
      <c r="CG1246" s="113">
        <f t="shared" si="2240"/>
        <v>137.34175568706755</v>
      </c>
      <c r="CH1246" s="178">
        <v>0.88</v>
      </c>
      <c r="CI1246" s="61">
        <f>+CI1228*CH1246+CG1229*CH1245+CG1230*CH1244+CG1231*CH1243+CG1232*CH1242+CG1233*CH1241+CG1234*CH1240+CG1235*CH1239+CG1236*CH1238+CG1237*CH1237+CG1238*CH1236+CG1239*CH1235+CG1240*CH1234+CG1241*CH1233+CG1242*CH1232+CG1243*CH1231+CG1244*CH1230+CG1245*CH1229+CG1246</f>
        <v>2236.185878171802</v>
      </c>
      <c r="CJ1246" s="114">
        <f t="shared" si="2241"/>
        <v>5.4794931617940766E-2</v>
      </c>
      <c r="CK1246" s="114"/>
      <c r="CL1246" s="169">
        <f t="shared" si="2242"/>
        <v>8.5531862433013903E-3</v>
      </c>
      <c r="CM1246" s="169">
        <f t="shared" si="2251"/>
        <v>8.3156324449553485E-3</v>
      </c>
      <c r="CN1246" s="114">
        <f>VLOOKUP($H1246,RoR!$E:$F,2,FALSE)</f>
        <v>3.6658333333333334E-2</v>
      </c>
      <c r="CO1246" s="169">
        <v>1.0483662879041455E-2</v>
      </c>
      <c r="CP1246" s="169">
        <f t="shared" si="2249"/>
        <v>2.6174670454291879E-2</v>
      </c>
      <c r="CQ1246" s="169">
        <f t="shared" si="2252"/>
        <v>2.2586309163578275E-2</v>
      </c>
      <c r="CR1246" s="169">
        <f t="shared" si="2253"/>
        <v>4.301363574220729E-3</v>
      </c>
      <c r="CS1246" s="179">
        <f t="shared" si="2243"/>
        <v>0.85607</v>
      </c>
      <c r="CT1246" s="180">
        <f t="shared" si="2244"/>
        <v>1.3989193348138562</v>
      </c>
      <c r="CU1246" s="180">
        <f t="shared" si="2245"/>
        <v>0.29302682427824522</v>
      </c>
      <c r="CV1246" s="180">
        <f t="shared" si="2246"/>
        <v>0.76309497491941802</v>
      </c>
      <c r="CW1246" s="180">
        <f t="shared" si="2247"/>
        <v>0.31280857135128509</v>
      </c>
      <c r="CX1246" s="181">
        <f>INDEX('State Tax Lookup'!$D$7:$Z$91,MATCH(Calculation!$C1246,'State Tax Lookup'!$B$7:$B$91,0),MATCH($H1246,'State Tax Lookup'!$D$6:$Z$6,0))</f>
        <v>0.38900000000000001</v>
      </c>
      <c r="CY1246" s="72">
        <v>0.37</v>
      </c>
      <c r="CZ1246" s="70">
        <f t="shared" si="2250"/>
        <v>21.24261392594747</v>
      </c>
      <c r="DA1246" s="70">
        <v>19.909765876209278</v>
      </c>
      <c r="DB1246" s="69">
        <f t="shared" si="2254"/>
        <v>-1.6857346554274805E-2</v>
      </c>
      <c r="DC1246" s="111">
        <f>VLOOKUP($H1246,RoR!$E:$F,2,FALSE)</f>
        <v>3.6658333333333334E-2</v>
      </c>
      <c r="DD1246" s="216">
        <f>HLOOKUP($H1246,'GDP-PI'!$D$8:$CQ$11,3,FALSE)</f>
        <v>1.0483662879041455E-2</v>
      </c>
      <c r="DE1246" s="111">
        <f>VLOOKUP(H1246,'HW Dx Data'!$E:$F,2,FALSE)</f>
        <v>671.45639385971219</v>
      </c>
      <c r="DF1246" s="72">
        <f t="shared" si="2264"/>
        <v>136.94999999999999</v>
      </c>
      <c r="DG1246" s="69">
        <f t="shared" si="2265"/>
        <v>2.5514417868782811E-2</v>
      </c>
      <c r="DH1246" s="66">
        <f>HLOOKUP(H1246,'GDP-PI'!$8:$9,2,FALSE)</f>
        <v>105.736</v>
      </c>
      <c r="DI1246" s="69">
        <f t="shared" si="2255"/>
        <v>1.0429090367205095E-2</v>
      </c>
    </row>
    <row r="1247" spans="1:113" s="160" customFormat="1" ht="21">
      <c r="A1247" s="160" t="s">
        <v>232</v>
      </c>
      <c r="B1247" s="160" t="s">
        <v>232</v>
      </c>
      <c r="C1247" s="160">
        <v>4063762</v>
      </c>
      <c r="D1247" s="161" t="s">
        <v>233</v>
      </c>
      <c r="E1247" s="161"/>
      <c r="F1247" s="189"/>
      <c r="G1247" s="160" t="s">
        <v>135</v>
      </c>
      <c r="H1247" s="162">
        <v>2017</v>
      </c>
      <c r="I1247" s="163"/>
      <c r="J1247" s="159">
        <f>IFERROR(INDEX('Labor Expenditures'!$F$7:$X$91,MATCH($C1247,'Labor Expenditures'!$D$7:$D$91,0),MATCH($G1247,'Labor Expenditures'!$F$5:$X$5,0)),"NA")</f>
        <v>19019.263701582451</v>
      </c>
      <c r="K1247" s="159">
        <f t="shared" si="2256"/>
        <v>135.41661588880351</v>
      </c>
      <c r="L1247" s="165">
        <f t="shared" si="2262"/>
        <v>-4.1884593744464051E-2</v>
      </c>
      <c r="M1247" s="76">
        <f t="shared" si="2266"/>
        <v>-3.1550630322801324E-4</v>
      </c>
      <c r="N1247" s="62">
        <f t="shared" si="2272"/>
        <v>172.01790710232143</v>
      </c>
      <c r="O1247" s="96">
        <f t="shared" si="2267"/>
        <v>-0.57748412658249049</v>
      </c>
      <c r="P1247" s="96"/>
      <c r="Q1247" s="159">
        <f>IFERROR(INDEX('Non-Labor Expenditures'!$F$7:$AB$91,MATCH($C1247,'Non-Labor Expenditures'!$D$7:$D$91,0),MATCH($G1247,'Non-Labor Expenditures'!$F$5:$AB$5,0)),"NA")</f>
        <v>27543.446148347204</v>
      </c>
      <c r="R1247" s="159">
        <f t="shared" si="2257"/>
        <v>255.6212577920131</v>
      </c>
      <c r="S1247" s="165">
        <f t="shared" si="2268"/>
        <v>-3.5526524131043694E-2</v>
      </c>
      <c r="T1247" s="165">
        <f t="shared" si="2269"/>
        <v>-2.6761253465918815E-4</v>
      </c>
      <c r="U1247" s="165"/>
      <c r="V1247" s="165"/>
      <c r="W1247" s="159">
        <f t="shared" si="2236"/>
        <v>43060.051329708615</v>
      </c>
      <c r="X1247" s="163"/>
      <c r="Y1247" s="167">
        <v>2296.5945962740243</v>
      </c>
      <c r="Z1247" s="168">
        <v>2.6655733822386767E-2</v>
      </c>
      <c r="AA1247" s="76">
        <f t="shared" si="2258"/>
        <v>2.0079106149245479E-4</v>
      </c>
      <c r="AB1247" s="168"/>
      <c r="AC1247" s="168"/>
      <c r="AD1247" s="163">
        <f t="shared" si="2248"/>
        <v>89622.76117963827</v>
      </c>
      <c r="AE1247" s="168">
        <f t="shared" si="2270"/>
        <v>-2.9586351418792827E-2</v>
      </c>
      <c r="AF1247" s="163"/>
      <c r="AG1247" s="163"/>
      <c r="AH1247" s="163"/>
      <c r="AI1247" s="163"/>
      <c r="AJ1247" s="116">
        <f t="shared" si="2271"/>
        <v>302.71619180995287</v>
      </c>
      <c r="AK1247" s="114">
        <f>+AV1247/$AX$22</f>
        <v>7.9957182173023087E-3</v>
      </c>
      <c r="AL1247" s="115">
        <f t="shared" si="2259"/>
        <v>0.21221465899115266</v>
      </c>
      <c r="AM1247" s="115">
        <f t="shared" si="2260"/>
        <v>0.30732646245008688</v>
      </c>
      <c r="AN1247" s="115">
        <f t="shared" si="2261"/>
        <v>0.48045887855876046</v>
      </c>
      <c r="AO1247" s="115">
        <f t="shared" si="2263"/>
        <v>-6.7834763222982177E-3</v>
      </c>
      <c r="AP1247" s="166">
        <f t="shared" si="2274"/>
        <v>105.10173259228777</v>
      </c>
      <c r="AQ1247" s="168">
        <f t="shared" si="2275"/>
        <v>-6.7834763222981657E-3</v>
      </c>
      <c r="AR1247" s="169">
        <f>+AD1247/$AF$21</f>
        <v>7.5327530965897021E-3</v>
      </c>
      <c r="AS1247" s="169">
        <f t="shared" si="2273"/>
        <v>-5.1098252272434433E-5</v>
      </c>
      <c r="AT1247" s="115"/>
      <c r="AU1247" s="115"/>
      <c r="AV1247" s="113">
        <f>IFERROR(INDEX('Total Customers'!$F$7:$AB$91,MATCH($C1247,'Total Customers'!$D$7:$D$91,0),MATCH($G1247,'Total Customers'!$F$5:$AB$5,0)),"NA")</f>
        <v>296062</v>
      </c>
      <c r="AW1247" s="68">
        <f t="shared" si="2231"/>
        <v>9.6695844847614013E-3</v>
      </c>
      <c r="AX1247" s="114"/>
      <c r="AY1247" s="114"/>
      <c r="AZ1247" s="116"/>
      <c r="BA1247" s="116"/>
      <c r="BB1247" s="166"/>
      <c r="BC1247" s="166"/>
      <c r="BD1247" s="166"/>
      <c r="BE1247" s="166"/>
      <c r="BF1247" s="166"/>
      <c r="BG1247" s="166"/>
      <c r="BH1247" s="166"/>
      <c r="BI1247" s="113"/>
      <c r="BJ1247" s="113"/>
      <c r="BK1247" s="113">
        <f>INDEX('Dist. Plant Gas Additions'!$F$7:$AE$91,MATCH($C1247,'Dist. Plant Gas Additions'!$D$7:$D$91,0),MATCH(Calculation!$G1247,'Dist. Plant Gas Additions'!$F$5:$AE$5,0))</f>
        <v>53367</v>
      </c>
      <c r="BL1247" s="113">
        <f>INDEX('Gen. Plant Additions'!$F$7:$AE$91,MATCH($C1247,'Gen. Plant Additions'!$D$7:$D$91,0),MATCH(Calculation!$G1247,'Gen. Plant Additions'!$F$5:$AE$5,0))</f>
        <v>3557</v>
      </c>
      <c r="BM1247" s="231">
        <f t="shared" si="2237"/>
        <v>0.95890304412819194</v>
      </c>
      <c r="BN1247" s="61">
        <f t="shared" si="2238"/>
        <v>3410.8181279639789</v>
      </c>
      <c r="BO1247" s="113">
        <f>INDEX('Dist Plant Depreciation'!$E$7:$AD$94,MATCH($C1247,'Dist Plant Depreciation'!$D$7:$D$94,0),MATCH(Calculation!$G1247,'Dist Plant Depreciation'!$E$5:$AD$5,0))</f>
        <v>293293</v>
      </c>
      <c r="BP1247" s="113">
        <f>INDEX('Gen. Plant Depreciation'!$E$7:$AD$94,MATCH($C1247,'Gen. Plant Depreciation'!$D$7:$D$94,0),MATCH(Calculation!$G1247,'Gen. Plant Depreciation'!$E$5:$AD$5,0))</f>
        <v>7617</v>
      </c>
      <c r="BQ1247" s="113"/>
      <c r="BR1247" s="113"/>
      <c r="BS1247" s="113"/>
      <c r="BT1247" s="113"/>
      <c r="BU1247" s="113"/>
      <c r="BV1247" s="175"/>
      <c r="BW1247" s="113">
        <f>INDEX('Gross Dx Plant'!$E$7:$AD$91,MATCH($C1247,'Gross Dx Plant'!$D$7:$D$91,0),MATCH(Calculation!$G1247,'Gross Dx Plant'!$E$5:$AD$5,0))</f>
        <v>899989</v>
      </c>
      <c r="BX1247" s="113">
        <f>INDEX('Gross Gen Plant'!$E$7:$AD$91,MATCH($C1247,'Gross Gen Plant'!$D$7:$D$91,0),MATCH(Calculation!$G1247,'Gross Gen Plant'!$E$5:$AD$5,0))</f>
        <v>38572</v>
      </c>
      <c r="BY1247" s="113">
        <f t="shared" si="2187"/>
        <v>637651</v>
      </c>
      <c r="BZ1247" s="113"/>
      <c r="CA1247" s="116">
        <v>2017</v>
      </c>
      <c r="CB1247" s="113"/>
      <c r="CC1247" s="113"/>
      <c r="CD1247" s="113"/>
      <c r="CE1247" s="175"/>
      <c r="CF1247" s="113">
        <f t="shared" si="2239"/>
        <v>56924</v>
      </c>
      <c r="CG1247" s="113">
        <f t="shared" si="2240"/>
        <v>79.901342116540974</v>
      </c>
      <c r="CH1247" s="178">
        <v>0.87074829931972786</v>
      </c>
      <c r="CI1247" s="61">
        <f>+CI1228*CH1247+CG1229*CH1246+CG1230*CH1245+CG1231*CH1244+CG1232*CH1243+CG1233*CH1242+CG1234*CH1241+CG1235*CH1240+CG1236*CH1239+CG1237*CH1238+CG1238*CH1237+CG1239*CH1236+CG1240*CH1235+CG1241*CH1234+CG1242*CH1233+CG1243*CH1232+CG1244*CH1231+CG1245*CH1230+CG1246*CH1229+CG1247</f>
        <v>2296.5945962740243</v>
      </c>
      <c r="CJ1247" s="114">
        <f t="shared" si="2241"/>
        <v>2.6655733822386767E-2</v>
      </c>
      <c r="CK1247" s="114"/>
      <c r="CL1247" s="169">
        <f t="shared" si="2242"/>
        <v>8.7169068567121387E-3</v>
      </c>
      <c r="CM1247" s="169">
        <f t="shared" si="2251"/>
        <v>8.5238796984128187E-3</v>
      </c>
      <c r="CN1247" s="114">
        <f>VLOOKUP($H1247,RoR!$E:$F,2,FALSE)</f>
        <v>3.7433333333333339E-2</v>
      </c>
      <c r="CO1247" s="169">
        <v>1.9056896421275615E-2</v>
      </c>
      <c r="CP1247" s="169">
        <f t="shared" si="2249"/>
        <v>1.8376436912057724E-2</v>
      </c>
      <c r="CQ1247" s="169">
        <f t="shared" si="2252"/>
        <v>2.2378061910120806E-2</v>
      </c>
      <c r="CR1247" s="169">
        <f t="shared" si="2253"/>
        <v>1.3976271617800498E-2</v>
      </c>
      <c r="CS1247" s="179">
        <f t="shared" si="2243"/>
        <v>0.90786999999999995</v>
      </c>
      <c r="CT1247" s="180">
        <f t="shared" si="2244"/>
        <v>1.3699568463593395</v>
      </c>
      <c r="CU1247" s="180">
        <f t="shared" si="2245"/>
        <v>0.30714603739982199</v>
      </c>
      <c r="CV1247" s="180">
        <f t="shared" si="2246"/>
        <v>0.77007188472689425</v>
      </c>
      <c r="CW1247" s="180">
        <f t="shared" si="2247"/>
        <v>0.32402839633793828</v>
      </c>
      <c r="CX1247" s="181">
        <f>INDEX('State Tax Lookup'!$D$7:$Z$91,MATCH(Calculation!$C1247,'State Tax Lookup'!$B$7:$B$91,0),MATCH($H1247,'State Tax Lookup'!$D$6:$Z$6,0))</f>
        <v>0.249</v>
      </c>
      <c r="CY1247" s="72">
        <v>0.37</v>
      </c>
      <c r="CZ1247" s="70">
        <f t="shared" si="2250"/>
        <v>19.256025069307942</v>
      </c>
      <c r="DA1247" s="70">
        <v>18.231812616449311</v>
      </c>
      <c r="DB1247" s="69">
        <f t="shared" si="2254"/>
        <v>-9.8185252619250166E-2</v>
      </c>
      <c r="DC1247" s="111">
        <f>VLOOKUP($H1247,RoR!$E:$F,2,FALSE)</f>
        <v>3.7433333333333339E-2</v>
      </c>
      <c r="DD1247" s="216">
        <f>HLOOKUP($H1247,'GDP-PI'!$D$8:$CQ$11,3,FALSE)</f>
        <v>1.9056896421275615E-2</v>
      </c>
      <c r="DE1247" s="111">
        <f>VLOOKUP(H1247,'HW Dx Data'!$E:$F,2,FALSE)</f>
        <v>712.42858370229726</v>
      </c>
      <c r="DF1247" s="72">
        <f t="shared" si="2264"/>
        <v>140.44999999999999</v>
      </c>
      <c r="DG1247" s="69">
        <f t="shared" si="2265"/>
        <v>2.5235657841165486E-2</v>
      </c>
      <c r="DH1247" s="66">
        <f>HLOOKUP(H1247,'GDP-PI'!$8:$9,2,FALSE)</f>
        <v>107.751</v>
      </c>
      <c r="DI1247" s="69">
        <f t="shared" si="2255"/>
        <v>1.8877588227745139E-2</v>
      </c>
    </row>
    <row r="1248" spans="1:113" s="160" customFormat="1" ht="21">
      <c r="A1248" s="160" t="s">
        <v>232</v>
      </c>
      <c r="B1248" s="160" t="s">
        <v>232</v>
      </c>
      <c r="C1248" s="160">
        <v>4063762</v>
      </c>
      <c r="D1248" s="161" t="s">
        <v>233</v>
      </c>
      <c r="E1248" s="161"/>
      <c r="F1248" s="189"/>
      <c r="G1248" s="160" t="s">
        <v>136</v>
      </c>
      <c r="H1248" s="162">
        <v>2018</v>
      </c>
      <c r="I1248" s="163"/>
      <c r="J1248" s="159">
        <f>IFERROR(INDEX('Labor Expenditures'!$F$7:$X$91,MATCH($C1248,'Labor Expenditures'!$D$7:$D$91,0),MATCH($G1248,'Labor Expenditures'!$F$5:$X$5,0)),"NA")</f>
        <v>20728.936278382709</v>
      </c>
      <c r="K1248" s="159">
        <f t="shared" si="2256"/>
        <v>143.50250106183947</v>
      </c>
      <c r="L1248" s="165">
        <f t="shared" si="2262"/>
        <v>5.7996394049380416E-2</v>
      </c>
      <c r="M1248" s="76">
        <f t="shared" si="2266"/>
        <v>4.7546915720322365E-4</v>
      </c>
      <c r="N1248" s="62">
        <f t="shared" si="2272"/>
        <v>118.53429779938583</v>
      </c>
      <c r="O1248" s="96">
        <f t="shared" si="2267"/>
        <v>-0.37239623085050888</v>
      </c>
      <c r="P1248" s="96"/>
      <c r="Q1248" s="159">
        <f>IFERROR(INDEX('Non-Labor Expenditures'!$F$7:$AB$91,MATCH($C1248,'Non-Labor Expenditures'!$D$7:$D$91,0),MATCH($G1248,'Non-Labor Expenditures'!$F$5:$AB$5,0)),"NA")</f>
        <v>30019.3713623441</v>
      </c>
      <c r="R1248" s="159">
        <f t="shared" si="2257"/>
        <v>272.10684507481824</v>
      </c>
      <c r="S1248" s="165">
        <f t="shared" si="2268"/>
        <v>6.249791469486328E-2</v>
      </c>
      <c r="T1248" s="165">
        <f t="shared" si="2269"/>
        <v>5.1237376588662354E-4</v>
      </c>
      <c r="U1248" s="165"/>
      <c r="V1248" s="165"/>
      <c r="W1248" s="159">
        <f t="shared" si="2236"/>
        <v>46325.322571635937</v>
      </c>
      <c r="X1248" s="163"/>
      <c r="Y1248" s="167">
        <v>2342.9692941741205</v>
      </c>
      <c r="Z1248" s="168">
        <v>1.9991638660825425E-2</v>
      </c>
      <c r="AA1248" s="76">
        <f t="shared" si="2258"/>
        <v>1.6389652737859475E-4</v>
      </c>
      <c r="AB1248" s="168"/>
      <c r="AC1248" s="168"/>
      <c r="AD1248" s="163">
        <f t="shared" si="2248"/>
        <v>97073.630212362739</v>
      </c>
      <c r="AE1248" s="168">
        <f t="shared" si="2270"/>
        <v>7.9860446163192184E-2</v>
      </c>
      <c r="AF1248" s="163"/>
      <c r="AG1248" s="163"/>
      <c r="AH1248" s="163"/>
      <c r="AI1248" s="163"/>
      <c r="AJ1248" s="116">
        <f t="shared" si="2271"/>
        <v>325.75043695423739</v>
      </c>
      <c r="AK1248" s="114">
        <f>+AV1248/$AX$23</f>
        <v>7.9775737018051487E-3</v>
      </c>
      <c r="AL1248" s="115">
        <f t="shared" si="2259"/>
        <v>0.21353828256999491</v>
      </c>
      <c r="AM1248" s="115">
        <f t="shared" si="2260"/>
        <v>0.30924331661103371</v>
      </c>
      <c r="AN1248" s="115">
        <f t="shared" si="2261"/>
        <v>0.47721840081897143</v>
      </c>
      <c r="AO1248" s="115">
        <f t="shared" si="2263"/>
        <v>4.1185999472328871E-2</v>
      </c>
      <c r="AP1248" s="166">
        <f t="shared" si="2274"/>
        <v>109.52083032003839</v>
      </c>
      <c r="AQ1248" s="168">
        <f t="shared" si="2275"/>
        <v>4.1185999472328823E-2</v>
      </c>
      <c r="AR1248" s="169">
        <f>+AD1248/$AF$22</f>
        <v>8.1982537879577554E-3</v>
      </c>
      <c r="AS1248" s="169">
        <f t="shared" si="2273"/>
        <v>3.3765327618484587E-4</v>
      </c>
      <c r="AT1248" s="115"/>
      <c r="AU1248" s="115"/>
      <c r="AV1248" s="113">
        <f>IFERROR(INDEX('Total Customers'!$F$7:$AB$91,MATCH($C1248,'Total Customers'!$D$7:$D$91,0),MATCH($G1248,'Total Customers'!$F$5:$AB$5,0)),"NA")</f>
        <v>298000</v>
      </c>
      <c r="AW1248" s="68">
        <f t="shared" si="2231"/>
        <v>6.5245946554544016E-3</v>
      </c>
      <c r="AX1248" s="114"/>
      <c r="AY1248" s="114"/>
      <c r="AZ1248" s="116"/>
      <c r="BA1248" s="116"/>
      <c r="BB1248" s="166"/>
      <c r="BC1248" s="166"/>
      <c r="BD1248" s="166"/>
      <c r="BE1248" s="166"/>
      <c r="BF1248" s="166"/>
      <c r="BG1248" s="166"/>
      <c r="BH1248" s="166"/>
      <c r="BI1248" s="113"/>
      <c r="BJ1248" s="113"/>
      <c r="BK1248" s="113">
        <f>INDEX('Dist. Plant Gas Additions'!$F$7:$AE$91,MATCH($C1248,'Dist. Plant Gas Additions'!$D$7:$D$91,0),MATCH(Calculation!$G1248,'Dist. Plant Gas Additions'!$F$5:$AE$5,0))</f>
        <v>46120</v>
      </c>
      <c r="BL1248" s="113">
        <f>INDEX('Gen. Plant Additions'!$F$7:$AE$91,MATCH($C1248,'Gen. Plant Additions'!$D$7:$D$91,0),MATCH(Calculation!$G1248,'Gen. Plant Additions'!$F$5:$AE$5,0))</f>
        <v>4497</v>
      </c>
      <c r="BM1248" s="231">
        <f t="shared" si="2237"/>
        <v>0.95678001591569772</v>
      </c>
      <c r="BN1248" s="61">
        <f t="shared" si="2238"/>
        <v>4302.6397315728927</v>
      </c>
      <c r="BO1248" s="113">
        <f>INDEX('Dist Plant Depreciation'!$E$7:$AD$94,MATCH($C1248,'Dist Plant Depreciation'!$D$7:$D$94,0),MATCH(Calculation!$G1248,'Dist Plant Depreciation'!$E$5:$AD$5,0))</f>
        <v>305830</v>
      </c>
      <c r="BP1248" s="113">
        <f>INDEX('Gen. Plant Depreciation'!$E$7:$AD$94,MATCH($C1248,'Gen. Plant Depreciation'!$D$7:$D$94,0),MATCH(Calculation!$G1248,'Gen. Plant Depreciation'!$E$5:$AD$5,0))</f>
        <v>9476</v>
      </c>
      <c r="BQ1248" s="113"/>
      <c r="BR1248" s="113"/>
      <c r="BS1248" s="113"/>
      <c r="BT1248" s="113"/>
      <c r="BU1248" s="113"/>
      <c r="BV1248" s="175"/>
      <c r="BW1248" s="113">
        <f>INDEX('Gross Dx Plant'!$E$7:$AD$91,MATCH($C1248,'Gross Dx Plant'!$D$7:$D$91,0),MATCH(Calculation!$G1248,'Gross Dx Plant'!$E$5:$AD$5,0))</f>
        <v>939004</v>
      </c>
      <c r="BX1248" s="113">
        <f>INDEX('Gross Gen Plant'!$E$7:$AD$91,MATCH($C1248,'Gross Gen Plant'!$D$7:$D$91,0),MATCH(Calculation!$G1248,'Gross Gen Plant'!$E$5:$AD$5,0))</f>
        <v>42417</v>
      </c>
      <c r="BY1248" s="113">
        <f t="shared" si="2187"/>
        <v>666115</v>
      </c>
      <c r="BZ1248" s="113"/>
      <c r="CA1248" s="116">
        <v>2018</v>
      </c>
      <c r="CB1248" s="113"/>
      <c r="CC1248" s="113"/>
      <c r="CD1248" s="113"/>
      <c r="CE1248" s="175"/>
      <c r="CF1248" s="113">
        <f t="shared" si="2239"/>
        <v>50617</v>
      </c>
      <c r="CG1248" s="113">
        <f t="shared" si="2240"/>
        <v>67.030246362902332</v>
      </c>
      <c r="CH1248" s="178">
        <v>0.86111111111111116</v>
      </c>
      <c r="CI1248" s="61">
        <f>+CI1228*CH1248++CG1229*CH1247+CG1230*CH1246+CG1231*CH1245+CG1232*CH1244+CG1233*CH1243+CG1234*CH1242+CG1235*CH1241+CG1236*CH1240+CG1237*CH1239+CG1238*CH1238+CG1239*CH1237+CG1240*CH1236+CG1241*CH1235+CG1242*CH1234+CG1243*CH1233+CG1244*CH1232+CG1245*CH1231+CG1246*CH1230+CG1247*CH1229+CG1248</f>
        <v>2342.9692941741205</v>
      </c>
      <c r="CJ1248" s="114">
        <f t="shared" si="2241"/>
        <v>1.9991638660825425E-2</v>
      </c>
      <c r="CK1248" s="114"/>
      <c r="CL1248" s="169">
        <f t="shared" si="2242"/>
        <v>8.9939898388324783E-3</v>
      </c>
      <c r="CM1248" s="169">
        <f t="shared" si="2251"/>
        <v>8.7546943129486691E-3</v>
      </c>
      <c r="CN1248" s="114">
        <f>VLOOKUP($H1248,RoR!$E:$F,2,FALSE)</f>
        <v>3.9299999999999995E-2</v>
      </c>
      <c r="CO1248" s="169">
        <v>2.386056741932796E-2</v>
      </c>
      <c r="CP1248" s="169">
        <f t="shared" si="2249"/>
        <v>1.5439432580672034E-2</v>
      </c>
      <c r="CQ1248" s="169">
        <f t="shared" si="2252"/>
        <v>2.2147247295584954E-2</v>
      </c>
      <c r="CR1248" s="169">
        <f t="shared" si="2253"/>
        <v>3.8270792163076606E-2</v>
      </c>
      <c r="CS1248" s="179">
        <f t="shared" si="2243"/>
        <v>0.90786999999999995</v>
      </c>
      <c r="CT1248" s="180">
        <f t="shared" si="2244"/>
        <v>1.3048868010700074</v>
      </c>
      <c r="CU1248" s="180">
        <f t="shared" si="2245"/>
        <v>0.33886768447837151</v>
      </c>
      <c r="CV1248" s="180">
        <f t="shared" si="2246"/>
        <v>0.78602506232557801</v>
      </c>
      <c r="CW1248" s="180">
        <f t="shared" si="2247"/>
        <v>0.34756768162358759</v>
      </c>
      <c r="CX1248" s="181">
        <f>INDEX('State Tax Lookup'!$D$7:$Z$91,MATCH(Calculation!$C1248,'State Tax Lookup'!$B$7:$B$91,0),MATCH($H1248,'State Tax Lookup'!$D$6:$Z$6,0))</f>
        <v>0.249</v>
      </c>
      <c r="CY1248" s="72">
        <v>0.37</v>
      </c>
      <c r="CZ1248" s="70">
        <f t="shared" si="2250"/>
        <v>20.171310446690832</v>
      </c>
      <c r="DA1248" s="70">
        <v>19.050901628905343</v>
      </c>
      <c r="DB1248" s="69">
        <f t="shared" si="2254"/>
        <v>4.6437317568593553E-2</v>
      </c>
      <c r="DC1248" s="111">
        <f>VLOOKUP($H1248,RoR!$E:$F,2,FALSE)</f>
        <v>3.9299999999999995E-2</v>
      </c>
      <c r="DD1248" s="216">
        <f>HLOOKUP($H1248,'GDP-PI'!$D$8:$CQ$11,3,FALSE)</f>
        <v>2.386056741932796E-2</v>
      </c>
      <c r="DE1248" s="111">
        <f>VLOOKUP(H1248,'HW Dx Data'!$E:$F,2,FALSE)</f>
        <v>755.13671434174842</v>
      </c>
      <c r="DF1248" s="72">
        <f t="shared" si="2264"/>
        <v>144.44999999999999</v>
      </c>
      <c r="DG1248" s="69">
        <f t="shared" si="2265"/>
        <v>2.80818733619915E-2</v>
      </c>
      <c r="DH1248" s="66">
        <f>HLOOKUP(H1248,'GDP-PI'!$8:$9,2,FALSE)</f>
        <v>110.322</v>
      </c>
      <c r="DI1248" s="69">
        <f t="shared" si="2255"/>
        <v>2.3580352716508712E-2</v>
      </c>
    </row>
    <row r="1249" spans="1:113" s="160" customFormat="1" ht="21">
      <c r="A1249" s="160" t="s">
        <v>232</v>
      </c>
      <c r="B1249" s="160" t="s">
        <v>232</v>
      </c>
      <c r="C1249" s="160">
        <v>4063762</v>
      </c>
      <c r="D1249" s="161" t="s">
        <v>233</v>
      </c>
      <c r="E1249" s="161"/>
      <c r="F1249" s="189"/>
      <c r="G1249" s="160" t="s">
        <v>140</v>
      </c>
      <c r="H1249" s="162">
        <v>2019</v>
      </c>
      <c r="I1249" s="163"/>
      <c r="J1249" s="159">
        <f>IFERROR(INDEX('Labor Expenditures'!$F$7:$X$91,MATCH($C1249,'Labor Expenditures'!$D$7:$D$91,0),MATCH($G1249,'Labor Expenditures'!$F$5:$X$5,0)),"NA")</f>
        <v>20255.566574890752</v>
      </c>
      <c r="K1249" s="159">
        <f t="shared" si="2256"/>
        <v>135.33032620605144</v>
      </c>
      <c r="L1249" s="165">
        <f t="shared" si="2262"/>
        <v>-5.8633813515735662E-2</v>
      </c>
      <c r="M1249" s="76">
        <f t="shared" si="2266"/>
        <v>-4.4382548540570398E-4</v>
      </c>
      <c r="N1249" s="62">
        <f t="shared" si="2272"/>
        <v>117.83228700577367</v>
      </c>
      <c r="O1249" s="96">
        <f t="shared" si="2267"/>
        <v>-5.9400346993724266E-3</v>
      </c>
      <c r="P1249" s="96"/>
      <c r="Q1249" s="159">
        <f>IFERROR(INDEX('Non-Labor Expenditures'!$F$7:$AB$91,MATCH($C1249,'Non-Labor Expenditures'!$D$7:$D$91,0),MATCH($G1249,'Non-Labor Expenditures'!$F$5:$AB$5,0)),"NA")</f>
        <v>29333.843618422823</v>
      </c>
      <c r="R1249" s="159">
        <f t="shared" si="2257"/>
        <v>261.16778805198476</v>
      </c>
      <c r="S1249" s="165">
        <f t="shared" si="2268"/>
        <v>-4.1031735067965404E-2</v>
      </c>
      <c r="T1249" s="165">
        <f t="shared" si="2269"/>
        <v>-3.1058750304021574E-4</v>
      </c>
      <c r="U1249" s="165"/>
      <c r="V1249" s="165"/>
      <c r="W1249" s="159">
        <f t="shared" si="2236"/>
        <v>47833.644407733416</v>
      </c>
      <c r="X1249" s="163"/>
      <c r="Y1249" s="167">
        <v>2438.9861910906848</v>
      </c>
      <c r="Z1249" s="168">
        <v>4.0163403414622559E-2</v>
      </c>
      <c r="AA1249" s="76">
        <f t="shared" si="2258"/>
        <v>3.04014713476825E-4</v>
      </c>
      <c r="AB1249" s="168"/>
      <c r="AC1249" s="168"/>
      <c r="AD1249" s="163">
        <f t="shared" si="2248"/>
        <v>97423.054601046984</v>
      </c>
      <c r="AE1249" s="168">
        <f t="shared" si="2270"/>
        <v>3.5931179490926511E-3</v>
      </c>
      <c r="AF1249" s="163"/>
      <c r="AG1249" s="163"/>
      <c r="AH1249" s="163"/>
      <c r="AI1249" s="163"/>
      <c r="AJ1249" s="116">
        <f t="shared" si="2271"/>
        <v>324.07052887186603</v>
      </c>
      <c r="AK1249" s="114">
        <f>+AV1249/$AX$24</f>
        <v>7.9814208013843178E-3</v>
      </c>
      <c r="AL1249" s="115">
        <f t="shared" si="2259"/>
        <v>0.20791348267449078</v>
      </c>
      <c r="AM1249" s="115">
        <f t="shared" si="2260"/>
        <v>0.30109755579463815</v>
      </c>
      <c r="AN1249" s="115">
        <f t="shared" si="2261"/>
        <v>0.49098896153087113</v>
      </c>
      <c r="AO1249" s="115">
        <f t="shared" si="2263"/>
        <v>-5.4340831519294058E-3</v>
      </c>
      <c r="AP1249" s="166">
        <f t="shared" si="2274"/>
        <v>108.92729913067308</v>
      </c>
      <c r="AQ1249" s="168">
        <f t="shared" si="2275"/>
        <v>-5.4340831519294058E-3</v>
      </c>
      <c r="AR1249" s="169">
        <f>+AD1249/$AF$23</f>
        <v>7.569446003824973E-3</v>
      </c>
      <c r="AS1249" s="169">
        <f t="shared" si="2273"/>
        <v>-4.1132998998824655E-5</v>
      </c>
      <c r="AT1249" s="115"/>
      <c r="AU1249" s="115"/>
      <c r="AV1249" s="113">
        <f>IFERROR(INDEX('Total Customers'!$F$7:$AB$91,MATCH($C1249,'Total Customers'!$D$7:$D$91,0),MATCH($G1249,'Total Customers'!$F$5:$AB$5,0)),"NA")</f>
        <v>300623</v>
      </c>
      <c r="AW1249" s="68">
        <f t="shared" si="2231"/>
        <v>8.7635015258383936E-3</v>
      </c>
      <c r="AX1249" s="114"/>
      <c r="AY1249" s="114"/>
      <c r="AZ1249" s="116"/>
      <c r="BA1249" s="116"/>
      <c r="BB1249" s="166"/>
      <c r="BC1249" s="166"/>
      <c r="BD1249" s="166"/>
      <c r="BE1249" s="166"/>
      <c r="BF1249" s="166"/>
      <c r="BG1249" s="166"/>
      <c r="BH1249" s="166"/>
      <c r="BI1249" s="113"/>
      <c r="BJ1249" s="113"/>
      <c r="BK1249" s="113">
        <f>INDEX('Dist. Plant Gas Additions'!$F$7:$AE$91,MATCH($C1249,'Dist. Plant Gas Additions'!$D$7:$D$91,0),MATCH(Calculation!$G1249,'Dist. Plant Gas Additions'!$F$5:$AE$5,0))</f>
        <v>83667</v>
      </c>
      <c r="BL1249" s="113">
        <f>INDEX('Gen. Plant Additions'!$F$7:$AE$91,MATCH($C1249,'Gen. Plant Additions'!$D$7:$D$91,0),MATCH(Calculation!$G1249,'Gen. Plant Additions'!$F$5:$AE$5,0))</f>
        <v>7479</v>
      </c>
      <c r="BM1249" s="231">
        <f t="shared" si="2237"/>
        <v>0.95530137294033313</v>
      </c>
      <c r="BN1249" s="61">
        <f>+BM1249*BL1249</f>
        <v>7144.6989682207513</v>
      </c>
      <c r="BO1249" s="113">
        <f>INDEX('Dist Plant Depreciation'!$E$7:$AD$94,MATCH($C1249,'Dist Plant Depreciation'!$D$7:$D$94,0),MATCH(Calculation!$G1249,'Dist Plant Depreciation'!$E$5:$AD$5,0))</f>
        <v>326945</v>
      </c>
      <c r="BP1249" s="113">
        <f>INDEX('Gen. Plant Depreciation'!$E$7:$AD$94,MATCH($C1249,'Gen. Plant Depreciation'!$D$7:$D$94,0),MATCH(Calculation!$G1249,'Gen. Plant Depreciation'!$E$5:$AD$5,0))</f>
        <v>10445</v>
      </c>
      <c r="BQ1249" s="113"/>
      <c r="BR1249" s="113"/>
      <c r="BS1249" s="113"/>
      <c r="BT1249" s="113"/>
      <c r="BU1249" s="113"/>
      <c r="BV1249" s="175"/>
      <c r="BW1249" s="113">
        <f>INDEX('Gross Dx Plant'!$E$7:$AD$91,MATCH($C1249,'Gross Dx Plant'!$D$7:$D$91,0),MATCH(Calculation!$G1249,'Gross Dx Plant'!$E$5:$AD$5,0))</f>
        <v>1024854</v>
      </c>
      <c r="BX1249" s="113">
        <f>INDEX('Gross Gen Plant'!$E$7:$AD$91,MATCH($C1249,'Gross Gen Plant'!$D$7:$D$91,0),MATCH(Calculation!$G1249,'Gross Gen Plant'!$E$5:$AD$5,0))</f>
        <v>47953</v>
      </c>
      <c r="BY1249" s="113">
        <f t="shared" si="2187"/>
        <v>735417</v>
      </c>
      <c r="BZ1249" s="113"/>
      <c r="CA1249" s="116">
        <v>2019</v>
      </c>
      <c r="CB1249" s="113"/>
      <c r="CC1249" s="113"/>
      <c r="CD1249" s="113"/>
      <c r="CE1249" s="175"/>
      <c r="CF1249" s="113">
        <f t="shared" si="2239"/>
        <v>91146</v>
      </c>
      <c r="CG1249" s="113">
        <f t="shared" si="2240"/>
        <v>117.82982486190636</v>
      </c>
      <c r="CH1249" s="178">
        <v>0.85106382978723405</v>
      </c>
      <c r="CI1249" s="61">
        <f>CI1228*CH1249+CG1229*CH1248+CG1230*CH1247+CG1231*CH1246+CG1232*CH1245+CG1233*CH1244+CG1234*CH1243+CG1235*CH1242+CG1236*CH1241+CG1237*CH1240+CG1238*CH1239+CG1239*CH1238+CG1240*CH1237+CG1241*CH1236+CG1242*CH1235+CG1243*CH1234+CG1244*CH1233+CG1245*CH1232+CG1246*CH1231+CG1247*CH1230+CG1248*CH1229+CG1249</f>
        <v>2438.9861910906848</v>
      </c>
      <c r="CJ1249" s="114">
        <f t="shared" si="2241"/>
        <v>4.0163403414622559E-2</v>
      </c>
      <c r="CK1249" s="114"/>
      <c r="CL1249" s="169">
        <f t="shared" si="2242"/>
        <v>9.3099504118900403E-3</v>
      </c>
      <c r="CM1249" s="169">
        <f t="shared" si="2251"/>
        <v>9.0069490358115518E-3</v>
      </c>
      <c r="CN1249" s="114">
        <f>VLOOKUP($H1249,RoR!$E:$F,2,FALSE)</f>
        <v>3.3875000000000009E-2</v>
      </c>
      <c r="CO1249" s="169">
        <v>1.8092492884465461E-2</v>
      </c>
      <c r="CP1249" s="169">
        <f t="shared" si="2249"/>
        <v>1.5782507115534548E-2</v>
      </c>
      <c r="CQ1249" s="169">
        <f t="shared" si="2252"/>
        <v>2.1894992572722073E-2</v>
      </c>
      <c r="CR1249" s="169">
        <f t="shared" si="2253"/>
        <v>4.8445665544254078E-2</v>
      </c>
      <c r="CS1249" s="179">
        <f t="shared" si="2243"/>
        <v>0.90786999999999995</v>
      </c>
      <c r="CT1249" s="180">
        <f t="shared" si="2244"/>
        <v>1.513861292459078</v>
      </c>
      <c r="CU1249" s="180">
        <f t="shared" si="2245"/>
        <v>0.23699261992619944</v>
      </c>
      <c r="CV1249" s="180">
        <f t="shared" si="2246"/>
        <v>0.73619765810468829</v>
      </c>
      <c r="CW1249" s="180">
        <f t="shared" si="2247"/>
        <v>0.26412854465362851</v>
      </c>
      <c r="CX1249" s="181">
        <f>INDEX('State Tax Lookup'!$D$7:$Z$91,MATCH(Calculation!$C1249,'State Tax Lookup'!$B$7:$B$91,0),MATCH($H1249,'State Tax Lookup'!$D$6:$Z$6,0))</f>
        <v>0.249</v>
      </c>
      <c r="CY1249" s="72">
        <v>0.37</v>
      </c>
      <c r="CZ1249" s="70">
        <f t="shared" si="2250"/>
        <v>20.415822147850395</v>
      </c>
      <c r="DA1249" s="70">
        <v>19.236104090735289</v>
      </c>
      <c r="DB1249" s="69">
        <f t="shared" si="2254"/>
        <v>1.2048875769843289E-2</v>
      </c>
      <c r="DC1249" s="111">
        <f>VLOOKUP($H1249,RoR!$E:$F,2,FALSE)</f>
        <v>3.3875000000000009E-2</v>
      </c>
      <c r="DD1249" s="216">
        <f>HLOOKUP($H1249,'GDP-PI'!$D$8:$CQ$11,3,FALSE)</f>
        <v>1.8092492884465461E-2</v>
      </c>
      <c r="DE1249" s="111">
        <f>VLOOKUP(H1249,'HW Dx Data'!$E:$F,2,FALSE)</f>
        <v>773.53929793938721</v>
      </c>
      <c r="DF1249" s="72">
        <f t="shared" si="2264"/>
        <v>149.67500000000001</v>
      </c>
      <c r="DG1249" s="69">
        <f t="shared" si="2265"/>
        <v>3.5532849899171604E-2</v>
      </c>
      <c r="DH1249" s="66">
        <f>HLOOKUP(H1249,'GDP-PI'!$8:$9,2,FALSE)</f>
        <v>112.318</v>
      </c>
      <c r="DI1249" s="69">
        <f t="shared" si="2255"/>
        <v>1.7930771451401852E-2</v>
      </c>
    </row>
    <row r="1250" spans="1:113" s="160" customFormat="1" ht="21">
      <c r="A1250" s="160" t="s">
        <v>232</v>
      </c>
      <c r="B1250" s="160" t="s">
        <v>232</v>
      </c>
      <c r="C1250" s="160">
        <v>4063762</v>
      </c>
      <c r="D1250" s="160" t="s">
        <v>233</v>
      </c>
      <c r="G1250" s="161" t="s">
        <v>141</v>
      </c>
      <c r="H1250" s="162">
        <v>2020</v>
      </c>
      <c r="I1250" s="163"/>
      <c r="J1250" s="159">
        <f>IFERROR(INDEX('Labor Expenditures'!$F$7:$X$91,MATCH($C1250,'Labor Expenditures'!$D$7:$D$91,0),MATCH($G1250,'Labor Expenditures'!$F$5:$X$5,0)),"NA")</f>
        <v>21673.535024730652</v>
      </c>
      <c r="K1250" s="159">
        <f t="shared" si="2256"/>
        <v>141.5183481862922</v>
      </c>
      <c r="L1250" s="165">
        <f t="shared" si="2262"/>
        <v>4.4710727303626539E-2</v>
      </c>
      <c r="M1250" s="76">
        <f t="shared" si="2266"/>
        <v>3.5296637443586314E-4</v>
      </c>
      <c r="N1250" s="62">
        <f t="shared" si="2272"/>
        <v>117.40571873715118</v>
      </c>
      <c r="O1250" s="96">
        <f t="shared" si="2267"/>
        <v>-3.6266991367120117E-3</v>
      </c>
      <c r="P1250" s="96"/>
      <c r="Q1250" s="159">
        <f>IFERROR(INDEX('Non-Labor Expenditures'!$F$7:$AB$91,MATCH($C1250,'Non-Labor Expenditures'!$D$7:$D$91,0),MATCH($G1250,'Non-Labor Expenditures'!$F$5:$AB$5,0)),"NA")</f>
        <v>31387.32677376553</v>
      </c>
      <c r="R1250" s="159">
        <f t="shared" si="2257"/>
        <v>276.24096154621446</v>
      </c>
      <c r="S1250" s="165">
        <f t="shared" si="2268"/>
        <v>5.6110467039601659E-2</v>
      </c>
      <c r="T1250" s="165">
        <f t="shared" si="2269"/>
        <v>4.4296099198692256E-4</v>
      </c>
      <c r="U1250" s="165"/>
      <c r="V1250" s="165"/>
      <c r="W1250" s="159">
        <f t="shared" si="2236"/>
        <v>51693.23766712434</v>
      </c>
      <c r="X1250" s="163"/>
      <c r="Y1250" s="167">
        <v>2703.6959185023006</v>
      </c>
      <c r="Z1250" s="168">
        <v>0.10303723817354386</v>
      </c>
      <c r="AA1250" s="76">
        <f t="shared" si="2258"/>
        <v>8.1342180240155442E-4</v>
      </c>
      <c r="AB1250" s="168"/>
      <c r="AC1250" s="168"/>
      <c r="AD1250" s="163">
        <f t="shared" si="2248"/>
        <v>104754.09946562053</v>
      </c>
      <c r="AE1250" s="168">
        <f t="shared" si="2270"/>
        <v>7.2552810890945188E-2</v>
      </c>
      <c r="AF1250" s="163"/>
      <c r="AG1250" s="163"/>
      <c r="AH1250" s="163"/>
      <c r="AI1250" s="163"/>
      <c r="AJ1250" s="116">
        <f t="shared" si="2271"/>
        <v>348.45670313189788</v>
      </c>
      <c r="AK1250" s="114">
        <f>+AV1250/$AX$25</f>
        <v>7.9250594538290801E-3</v>
      </c>
      <c r="AL1250" s="115">
        <f t="shared" si="2259"/>
        <v>0.20689915846055967</v>
      </c>
      <c r="AM1250" s="115">
        <f t="shared" si="2260"/>
        <v>0.29962862488323527</v>
      </c>
      <c r="AN1250" s="115">
        <f t="shared" si="2261"/>
        <v>0.493472216656205</v>
      </c>
      <c r="AO1250" s="115">
        <f t="shared" si="2263"/>
        <v>7.6844881165053655E-2</v>
      </c>
      <c r="AP1250" s="166">
        <f t="shared" si="2274"/>
        <v>117.62781862350307</v>
      </c>
      <c r="AQ1250" s="168">
        <f t="shared" si="2275"/>
        <v>7.6844881165053752E-2</v>
      </c>
      <c r="AR1250" s="169">
        <f>+AD1250/$AF$24</f>
        <v>7.8944449290413044E-3</v>
      </c>
      <c r="AS1250" s="169">
        <f t="shared" si="2273"/>
        <v>6.066476824362402E-4</v>
      </c>
      <c r="AT1250" s="115"/>
      <c r="AU1250" s="115"/>
      <c r="AV1250" s="113">
        <v>300623</v>
      </c>
      <c r="AW1250" s="68">
        <f t="shared" si="2231"/>
        <v>0</v>
      </c>
      <c r="AX1250" s="114"/>
      <c r="AY1250" s="114"/>
      <c r="AZ1250" s="116"/>
      <c r="BA1250" s="116"/>
      <c r="BB1250" s="166"/>
      <c r="BC1250" s="166"/>
      <c r="BD1250" s="166"/>
      <c r="BE1250" s="166"/>
      <c r="BF1250" s="166"/>
      <c r="BG1250" s="166"/>
      <c r="BH1250" s="166"/>
      <c r="BI1250" s="113"/>
      <c r="BJ1250" s="113"/>
      <c r="BK1250" s="113">
        <f>INDEX('Dist. Plant Gas Additions'!$F$7:$AE$91,MATCH($C1250,'Dist. Plant Gas Additions'!$D$7:$D$91,0),MATCH(Calculation!$G1250,'Dist. Plant Gas Additions'!$F$5:$AE$5,0))</f>
        <v>230244</v>
      </c>
      <c r="BL1250" s="113">
        <f>INDEX('Gen. Plant Additions'!$F$7:$AE$91,MATCH($C1250,'Gen. Plant Additions'!$D$7:$D$91,0),MATCH(Calculation!$G1250,'Gen. Plant Additions'!$F$5:$AE$5,0))</f>
        <v>3918</v>
      </c>
      <c r="BM1250" s="231">
        <f t="shared" si="2237"/>
        <v>0.96471580695727477</v>
      </c>
      <c r="BN1250" s="61">
        <f t="shared" ref="BN1250:BN1269" si="2276">+BM1250*BL1250</f>
        <v>3779.7565316586024</v>
      </c>
      <c r="BO1250" s="113">
        <f>INDEX('Dist Plant Depreciation'!$E$7:$AD$94,MATCH($C1250,'Dist Plant Depreciation'!$D$7:$D$94,0),MATCH(Calculation!$G1250,'Dist Plant Depreciation'!$E$5:$AD$5,0))</f>
        <v>343137</v>
      </c>
      <c r="BP1250" s="113">
        <f>INDEX('Gen. Plant Depreciation'!$E$7:$AD$94,MATCH($C1250,'Gen. Plant Depreciation'!$D$7:$D$94,0),MATCH(Calculation!$G1250,'Gen. Plant Depreciation'!$E$5:$AD$5,0))</f>
        <v>7317</v>
      </c>
      <c r="BQ1250" s="113"/>
      <c r="BR1250" s="113"/>
      <c r="BS1250" s="113"/>
      <c r="BT1250" s="113"/>
      <c r="BU1250" s="113"/>
      <c r="BV1250" s="175"/>
      <c r="BW1250" s="113">
        <f>INDEX('Gross Dx Plant'!$E$7:$AD$91,MATCH($C1250,'Gross Dx Plant'!$D$7:$D$91,0),MATCH(Calculation!$G1250,'Gross Dx Plant'!$E$5:$AD$5,0))</f>
        <v>1249935</v>
      </c>
      <c r="BX1250" s="113">
        <f>INDEX('Gross Gen Plant'!$E$7:$AD$91,MATCH($C1250,'Gross Gen Plant'!$D$7:$D$91,0),MATCH(Calculation!$G1250,'Gross Gen Plant'!$E$5:$AD$5,0))</f>
        <v>45716</v>
      </c>
      <c r="BY1250" s="113">
        <f t="shared" si="2187"/>
        <v>945197</v>
      </c>
      <c r="BZ1250" s="113"/>
      <c r="CA1250" s="116">
        <v>2020</v>
      </c>
      <c r="CB1250" s="113"/>
      <c r="CC1250" s="113"/>
      <c r="CD1250" s="113"/>
      <c r="CE1250" s="175"/>
      <c r="CF1250" s="113">
        <f t="shared" si="2239"/>
        <v>234162</v>
      </c>
      <c r="CG1250" s="113">
        <f t="shared" si="2240"/>
        <v>287.99374380488081</v>
      </c>
      <c r="CH1250" s="178">
        <v>0.84057971014492749</v>
      </c>
      <c r="CI1250" s="61">
        <f>CI1228*CH1250+CG1229*CH1249+CG1230*CH1248+CG1231*CH1247+CG1232*CH1246+CG1233*CH1245+CG1234*CH1244+CG1235*CH1243+CG1236*CH1242+CG1237*CH1241+CG1238*CH1240+CG1239*CH1239+CG1240*CH1238+CG1241*CH1237+CG1242*CH1236+CG1243*CH1235+CG1244*CH1234+CG1245*CH1233+CG1246*CH1232+CG1247*CH1231+CG1248*CH1230+CG1249*CH1229+CG1250</f>
        <v>2703.6959185023006</v>
      </c>
      <c r="CJ1250" s="114">
        <f t="shared" si="2241"/>
        <v>0.10303723817354386</v>
      </c>
      <c r="CK1250" s="114"/>
      <c r="CL1250" s="169">
        <f t="shared" si="2242"/>
        <v>9.5465962367144944E-3</v>
      </c>
      <c r="CM1250" s="169">
        <f t="shared" si="2251"/>
        <v>9.2835121624790032E-3</v>
      </c>
      <c r="CN1250" s="114">
        <f>VLOOKUP($H1250,RoR!$E:$F,2,FALSE)</f>
        <v>2.4766666666666666E-2</v>
      </c>
      <c r="CO1250" s="169">
        <v>1.1618796630994188E-2</v>
      </c>
      <c r="CP1250" s="169">
        <f t="shared" si="2249"/>
        <v>1.3147870035672478E-2</v>
      </c>
      <c r="CQ1250" s="169">
        <f t="shared" si="2252"/>
        <v>2.1618429446054622E-2</v>
      </c>
      <c r="CR1250" s="169">
        <f t="shared" si="2253"/>
        <v>4.5144642961987357E-2</v>
      </c>
      <c r="CS1250" s="179">
        <f t="shared" si="2243"/>
        <v>0.90786999999999995</v>
      </c>
      <c r="CT1250" s="180">
        <f t="shared" si="2244"/>
        <v>2.0706077233668081</v>
      </c>
      <c r="CU1250" s="180">
        <f t="shared" si="2245"/>
        <v>-3.4421265141318998E-2</v>
      </c>
      <c r="CV1250" s="180">
        <f t="shared" si="2246"/>
        <v>0.62416226176410472</v>
      </c>
      <c r="CW1250" s="180">
        <f t="shared" si="2247"/>
        <v>-4.4485877841158712E-2</v>
      </c>
      <c r="CX1250" s="181">
        <f>INDEX('State Tax Lookup'!$D$7:$Z$91,MATCH(Calculation!$C1250,'State Tax Lookup'!$B$7:$B$91,0),MATCH($H1250,'State Tax Lookup'!$D$6:$Z$6,0))</f>
        <v>0.249</v>
      </c>
      <c r="CY1250" s="72">
        <v>0.37</v>
      </c>
      <c r="CZ1250" s="70">
        <f t="shared" si="2250"/>
        <v>21.194559385351731</v>
      </c>
      <c r="DA1250" s="70">
        <v>19.952659173050833</v>
      </c>
      <c r="DB1250" s="69">
        <f t="shared" si="2254"/>
        <v>3.7434320261429878E-2</v>
      </c>
      <c r="DC1250" s="111">
        <f>VLOOKUP($H1250,RoR!$E:$F,2,FALSE)</f>
        <v>2.4766666666666666E-2</v>
      </c>
      <c r="DD1250" s="216">
        <f>HLOOKUP($H1250,'GDP-PI'!$D$8:$CQ$11,3,FALSE)</f>
        <v>1.1618796630994188E-2</v>
      </c>
      <c r="DE1250" s="111">
        <f>VLOOKUP(H1250,'HW Dx Data'!$E:$F,2,FALSE)</f>
        <v>813.080162458833</v>
      </c>
      <c r="DF1250" s="72">
        <f t="shared" si="2264"/>
        <v>153.15</v>
      </c>
      <c r="DG1250" s="69">
        <f t="shared" si="2265"/>
        <v>2.2951556467368479E-2</v>
      </c>
      <c r="DH1250" s="66">
        <f>HLOOKUP(H1250,'GDP-PI'!$8:$9,2,FALSE)</f>
        <v>113.623</v>
      </c>
      <c r="DI1250" s="69">
        <f t="shared" si="2255"/>
        <v>1.1551816731392881E-2</v>
      </c>
    </row>
    <row r="1251" spans="1:113" s="160" customFormat="1" ht="21">
      <c r="A1251" s="160" t="s">
        <v>232</v>
      </c>
      <c r="B1251" s="160" t="s">
        <v>232</v>
      </c>
      <c r="C1251" s="160">
        <v>4063762</v>
      </c>
      <c r="D1251" s="160" t="s">
        <v>233</v>
      </c>
      <c r="G1251" s="161" t="s">
        <v>142</v>
      </c>
      <c r="H1251" s="162">
        <v>2021</v>
      </c>
      <c r="I1251" s="163"/>
      <c r="J1251" s="159">
        <v>22737.240898306332</v>
      </c>
      <c r="K1251" s="159">
        <f t="shared" si="2256"/>
        <v>144.59294688907048</v>
      </c>
      <c r="L1251" s="164">
        <f t="shared" si="2262"/>
        <v>2.1493153996236049E-2</v>
      </c>
      <c r="M1251" s="76">
        <f t="shared" si="2266"/>
        <v>2.0080936149251681E-4</v>
      </c>
      <c r="N1251" s="166">
        <f>+N1250*EXP(O1251)</f>
        <v>118.45744371639276</v>
      </c>
      <c r="O1251" s="114">
        <f t="shared" si="2267"/>
        <v>8.9181535505807371E-3</v>
      </c>
      <c r="P1251" s="114"/>
      <c r="Q1251" s="159">
        <v>32051.291386769171</v>
      </c>
      <c r="R1251" s="159">
        <f t="shared" si="2257"/>
        <v>270.49785962333675</v>
      </c>
      <c r="S1251" s="165">
        <f t="shared" si="2268"/>
        <v>-2.1009348324615897E-2</v>
      </c>
      <c r="T1251" s="165">
        <f t="shared" si="2269"/>
        <v>-1.9628919158066885E-4</v>
      </c>
      <c r="U1251" s="165"/>
      <c r="V1251" s="165"/>
      <c r="W1251" s="159">
        <f t="shared" si="2236"/>
        <v>72993.882783961526</v>
      </c>
      <c r="X1251" s="163"/>
      <c r="Y1251" s="167">
        <v>2832.4904093321502</v>
      </c>
      <c r="Z1251" s="168"/>
      <c r="AA1251" s="76">
        <f t="shared" si="2258"/>
        <v>0</v>
      </c>
      <c r="AB1251" s="168"/>
      <c r="AC1251" s="168"/>
      <c r="AD1251" s="163">
        <f t="shared" si="2248"/>
        <v>127782.41506903703</v>
      </c>
      <c r="AE1251" s="168">
        <f t="shared" si="2270"/>
        <v>0.19871324146073457</v>
      </c>
      <c r="AF1251" s="113"/>
      <c r="AG1251" s="114"/>
      <c r="AH1251" s="114"/>
      <c r="AI1251" s="114"/>
      <c r="AJ1251" s="116">
        <f t="shared" si="2271"/>
        <v>409.55902265716998</v>
      </c>
      <c r="AK1251" s="114">
        <f>+AV1251/$AX$26</f>
        <v>8.0815876493733532E-3</v>
      </c>
      <c r="AL1251" s="115">
        <f t="shared" si="2259"/>
        <v>0.17793716675351673</v>
      </c>
      <c r="AM1251" s="115">
        <f t="shared" si="2260"/>
        <v>0.25082709048387303</v>
      </c>
      <c r="AN1251" s="115">
        <f t="shared" si="2261"/>
        <v>0.57123574276261024</v>
      </c>
      <c r="AO1251" s="115">
        <f t="shared" si="2263"/>
        <v>-1.6466847301257409E-3</v>
      </c>
      <c r="AP1251" s="166">
        <f t="shared" si="2274"/>
        <v>117.43428208130446</v>
      </c>
      <c r="AQ1251" s="168">
        <f t="shared" si="2275"/>
        <v>-1.6466847301257236E-3</v>
      </c>
      <c r="AR1251" s="169">
        <f>+AD1251/$AF$25</f>
        <v>9.3429452712097631E-3</v>
      </c>
      <c r="AS1251" s="169">
        <f t="shared" si="2273"/>
        <v>-1.5384885312501454E-5</v>
      </c>
      <c r="AT1251" s="115"/>
      <c r="AU1251" s="115"/>
      <c r="AV1251" s="113">
        <f>INDEX('Total Customers'!$E$7:$E$91,MATCH(Calculation!$C1251,'Total Customers'!$D$7:$D$91,0))</f>
        <v>312000</v>
      </c>
      <c r="AW1251" s="68">
        <f t="shared" si="2231"/>
        <v>3.7146199778239637E-2</v>
      </c>
      <c r="AX1251" s="113"/>
      <c r="AY1251" s="113"/>
      <c r="AZ1251" s="116"/>
      <c r="BA1251" s="116"/>
      <c r="BB1251" s="166"/>
      <c r="BC1251" s="166"/>
      <c r="BD1251" s="166"/>
      <c r="BE1251" s="166"/>
      <c r="BF1251" s="166"/>
      <c r="BG1251" s="166"/>
      <c r="BH1251" s="166"/>
      <c r="BI1251" s="113"/>
      <c r="BJ1251" s="113"/>
      <c r="BK1251" s="113">
        <f>INDEX('Dist. Plant Gas Additions'!$E$7:$AE$91,MATCH($C1251,'Dist. Plant Gas Additions'!$D$7:$D$91,0),MATCH(Calculation!$G1251,'Dist. Plant Gas Additions'!$E$5:$AE$5,0))</f>
        <v>119710.47</v>
      </c>
      <c r="BL1251" s="113">
        <f>INDEX('Gen. Plant Additions'!$E$7:$AE$91,MATCH($C1251,'Gen. Plant Additions'!$D$7:$D$91,0),MATCH(Calculation!$G1251,'Gen. Plant Additions'!$E$5:$AE$5,0))</f>
        <v>5003.6030000000001</v>
      </c>
      <c r="BM1251" s="232"/>
      <c r="BN1251" s="61">
        <f t="shared" si="2276"/>
        <v>0</v>
      </c>
      <c r="BO1251" s="113"/>
      <c r="BP1251" s="113"/>
      <c r="BQ1251" s="175"/>
      <c r="BR1251" s="175"/>
      <c r="BS1251" s="170"/>
      <c r="BT1251" s="176"/>
      <c r="BU1251" s="177"/>
      <c r="BV1251" s="177"/>
      <c r="BW1251" s="113"/>
      <c r="BX1251" s="113"/>
      <c r="BY1251" s="113"/>
      <c r="BZ1251" s="113"/>
      <c r="CA1251" s="116">
        <v>2021</v>
      </c>
      <c r="CB1251" s="113"/>
      <c r="CC1251" s="113"/>
      <c r="CD1251" s="113"/>
      <c r="CE1251" s="175"/>
      <c r="CF1251" s="113">
        <f t="shared" si="2239"/>
        <v>124714.073</v>
      </c>
      <c r="CG1251" s="113">
        <f t="shared" si="2240"/>
        <v>133.66673698084568</v>
      </c>
      <c r="CH1251" s="178">
        <f>+(51-23)/(51-23*0.75)</f>
        <v>0.82962962962962961</v>
      </c>
      <c r="CI1251" s="113">
        <f>CI1228*CH1251+CG1229*CH1250+CG1230*CH1249+CG1231*CH1248+CG1232*CH1247+CG1233*CH1246+CG1234*CH1245+CG1235*CH1244+CG1236*CH1243+CG1237*CH1242+CG1238*CH1241+CG1239*CH1240+CG1240*CH1239+CG1241*CH1238+CG1242*CH1237+CG1233*CH1236+CG1244*CH1235+CG1245*CH1234+CG1246*CH1233+CG1247*CH1232+CG1248*CH1231+CG1249*CH1230+CG1251+CG1250*CH1229</f>
        <v>2832.4904093321502</v>
      </c>
      <c r="CJ1251" s="114"/>
      <c r="CK1251" s="113"/>
      <c r="CL1251" s="169">
        <f t="shared" si="2242"/>
        <v>1.8020688338705917E-3</v>
      </c>
      <c r="CM1251" s="169">
        <f t="shared" si="2251"/>
        <v>6.8862051608250428E-3</v>
      </c>
      <c r="CN1251" s="114">
        <f>VLOOKUP($H1251,RoR!$E:$F,2,FALSE)</f>
        <v>2.7033333333333336E-2</v>
      </c>
      <c r="CO1251" s="169"/>
      <c r="CP1251" s="169"/>
      <c r="CQ1251" s="169">
        <f t="shared" si="2252"/>
        <v>2.4015736447708581E-2</v>
      </c>
      <c r="CR1251" s="169">
        <f t="shared" si="2253"/>
        <v>7.433422950153494E-2</v>
      </c>
      <c r="CS1251" s="179">
        <f t="shared" si="2243"/>
        <v>0.90786999999999995</v>
      </c>
      <c r="CT1251" s="180">
        <f t="shared" si="2244"/>
        <v>1.8969932656739068</v>
      </c>
      <c r="CU1251" s="180">
        <f t="shared" si="2245"/>
        <v>5.0215782983970621E-2</v>
      </c>
      <c r="CV1251" s="180">
        <f t="shared" si="2246"/>
        <v>0.655952481704143</v>
      </c>
      <c r="CW1251" s="180">
        <f t="shared" si="2247"/>
        <v>6.2485378865697057E-2</v>
      </c>
      <c r="CX1251" s="181">
        <f>CX1250</f>
        <v>0.249</v>
      </c>
      <c r="CY1251" s="72">
        <v>0.37</v>
      </c>
      <c r="CZ1251" s="182">
        <f t="shared" si="2250"/>
        <v>26.997815207116979</v>
      </c>
      <c r="DA1251" s="182"/>
      <c r="DB1251" s="169">
        <f>LN(CZ1252/CZ1250)</f>
        <v>0.22725165089817301</v>
      </c>
      <c r="DC1251" s="181">
        <f>VLOOKUP($H1251,RoR!$E:$F,2,FALSE)</f>
        <v>2.7033333333333336E-2</v>
      </c>
      <c r="DD1251" s="183">
        <f>HLOOKUP($H1251,'GDP-PI'!$D$8:$CR$11,3,FALSE)</f>
        <v>4.2834637353352578E-2</v>
      </c>
      <c r="DE1251" s="181">
        <f>VLOOKUP(H1251,'HW Dx Data'!$E:$F,2,FALSE)</f>
        <v>933.02249921662576</v>
      </c>
      <c r="DF1251" s="72">
        <f t="shared" si="2264"/>
        <v>157.25</v>
      </c>
      <c r="DG1251" s="69">
        <f t="shared" si="2265"/>
        <v>2.6419062301765574E-2</v>
      </c>
      <c r="DH1251" s="175">
        <f>HLOOKUP(H1251,'GDP-PI'!$8:$9,2,FALSE)</f>
        <v>118.49</v>
      </c>
      <c r="DI1251" s="169">
        <f t="shared" si="2255"/>
        <v>4.194261824609434E-2</v>
      </c>
    </row>
    <row r="1252" spans="1:113" s="160" customFormat="1" ht="21">
      <c r="G1252" s="161" t="s">
        <v>144</v>
      </c>
      <c r="H1252" s="162"/>
      <c r="I1252" s="163"/>
      <c r="J1252" s="159">
        <v>24400.155694540907</v>
      </c>
      <c r="K1252" s="159">
        <f t="shared" si="2256"/>
        <v>150.10861700732639</v>
      </c>
      <c r="L1252" s="164">
        <f t="shared" ref="L1252" si="2277">LN(K1252/K1251)</f>
        <v>3.7436613600543601E-2</v>
      </c>
      <c r="M1252" s="76">
        <f t="shared" si="2266"/>
        <v>3.2775502310550237E-4</v>
      </c>
      <c r="N1252" s="166">
        <f>+N1251*EXP(O1252)</f>
        <v>118.65267839866137</v>
      </c>
      <c r="O1252" s="114">
        <f t="shared" si="2267"/>
        <v>1.6467852544507003E-3</v>
      </c>
      <c r="P1252" s="114"/>
      <c r="Q1252" s="163">
        <v>34395.400195919108</v>
      </c>
      <c r="R1252" s="159">
        <f t="shared" si="2257"/>
        <v>270.29784043944289</v>
      </c>
      <c r="S1252" s="165">
        <f t="shared" ref="S1252" si="2278">LN(R1252/R1251)</f>
        <v>-7.3972183207571382E-4</v>
      </c>
      <c r="T1252" s="165">
        <f t="shared" si="2269"/>
        <v>-6.4762146691628019E-6</v>
      </c>
      <c r="U1252" s="166"/>
      <c r="V1252" s="114"/>
      <c r="W1252" s="159">
        <f t="shared" si="2236"/>
        <v>75350.645735555634</v>
      </c>
      <c r="X1252" s="168"/>
      <c r="Y1252" s="167">
        <v>2937.669058110127</v>
      </c>
      <c r="Z1252" s="168">
        <v>3.6460101534472551E-2</v>
      </c>
      <c r="AA1252" s="76">
        <f t="shared" si="2258"/>
        <v>3.1920572593367507E-4</v>
      </c>
      <c r="AB1252" s="166"/>
      <c r="AC1252" s="114"/>
      <c r="AD1252" s="163">
        <f t="shared" si="2248"/>
        <v>134146.20162601565</v>
      </c>
      <c r="AE1252" s="168">
        <f t="shared" si="2270"/>
        <v>4.8601326884283251E-2</v>
      </c>
      <c r="AF1252" s="113"/>
      <c r="AG1252" s="114"/>
      <c r="AH1252" s="114"/>
      <c r="AI1252" s="114"/>
      <c r="AJ1252" s="116">
        <f t="shared" si="2271"/>
        <v>432.72968266456661</v>
      </c>
      <c r="AK1252" s="114"/>
      <c r="AL1252" s="115">
        <f t="shared" si="2259"/>
        <v>0.18189225933184278</v>
      </c>
      <c r="AM1252" s="115">
        <f t="shared" si="2260"/>
        <v>0.25640234146777835</v>
      </c>
      <c r="AN1252" s="115">
        <f t="shared" si="2261"/>
        <v>0.56170539920037887</v>
      </c>
      <c r="AO1252" s="115"/>
      <c r="AP1252" s="166"/>
      <c r="AQ1252" s="168"/>
      <c r="AR1252" s="169">
        <f>+AD1252/$AF$26</f>
        <v>8.7549324466875168E-3</v>
      </c>
      <c r="AS1252" s="169"/>
      <c r="AT1252" s="166"/>
      <c r="AU1252" s="168"/>
      <c r="AV1252" s="113">
        <v>310000</v>
      </c>
      <c r="AW1252" s="68">
        <f t="shared" si="2231"/>
        <v>-6.4308903302904025E-3</v>
      </c>
      <c r="AX1252" s="113"/>
      <c r="AY1252" s="113"/>
      <c r="AZ1252" s="113"/>
      <c r="BA1252" s="113"/>
      <c r="BB1252" s="171"/>
      <c r="BC1252" s="172"/>
      <c r="BD1252" s="173"/>
      <c r="BE1252" s="115"/>
      <c r="BF1252" s="174"/>
      <c r="BG1252" s="174"/>
      <c r="BH1252" s="166"/>
      <c r="BI1252" s="113"/>
      <c r="BJ1252" s="113"/>
      <c r="BK1252" s="113"/>
      <c r="BL1252" s="113"/>
      <c r="BM1252" s="232"/>
      <c r="BN1252" s="61">
        <f t="shared" si="2276"/>
        <v>0</v>
      </c>
      <c r="BO1252" s="113"/>
      <c r="BP1252" s="113"/>
      <c r="BQ1252" s="175"/>
      <c r="BR1252" s="175"/>
      <c r="BS1252" s="170"/>
      <c r="BT1252" s="176"/>
      <c r="BU1252" s="177"/>
      <c r="BV1252" s="177"/>
      <c r="BW1252" s="113"/>
      <c r="BX1252" s="113"/>
      <c r="BY1252" s="113"/>
      <c r="BZ1252" s="113"/>
      <c r="CA1252" s="116">
        <v>2022</v>
      </c>
      <c r="CB1252" s="113"/>
      <c r="CC1252" s="113"/>
      <c r="CD1252" s="113"/>
      <c r="CE1252" s="175"/>
      <c r="CF1252" s="238">
        <v>128423</v>
      </c>
      <c r="CG1252" s="113">
        <f>+CF1252/DE1250</f>
        <v>157.94629598591661</v>
      </c>
      <c r="CH1252" s="178">
        <f>+(51-24)/(51-24*0.75)</f>
        <v>0.81818181818181823</v>
      </c>
      <c r="CI1252" s="113">
        <f>+CI1228*CH1252+CG1229*CH1251+CG1230*CH1250+CG1231*CH1249+CG1232*CH1248+CG1233*CH1247+CG1234*CH1246+CG1235*CH1245+CG1236*CH1244+CG1237*CH1243+CG1238*CH1242+CG1239*CH1241+CG1240*CH1240+CG1241*CH1239+CG1242*CH1238+CG1243*CH1237+CG1244*CH1236+CG1245*CH1235+CG1246*CH1234+CG1247*CH1233+CG1248*CH1232+CG1249*CH1231+CG1250*CH1230+CG1251*CH1229+CG1252*CH1228</f>
        <v>2942.2307239473348</v>
      </c>
      <c r="CJ1252" s="114">
        <f t="shared" ref="CJ1252" si="2279">LN(CI1252/CI1251)</f>
        <v>3.8011715310718709E-2</v>
      </c>
      <c r="CK1252" s="113"/>
      <c r="CL1252" s="169">
        <f t="shared" si="2242"/>
        <v>1.7018938956301032E-2</v>
      </c>
      <c r="CM1252" s="169">
        <f t="shared" si="2251"/>
        <v>9.4558680089620387E-3</v>
      </c>
      <c r="CN1252" s="114"/>
      <c r="CO1252" s="169"/>
      <c r="CP1252" s="169"/>
      <c r="CQ1252" s="69">
        <f t="shared" si="2252"/>
        <v>2.1446073599571586E-2</v>
      </c>
      <c r="CR1252" s="169">
        <f t="shared" si="2253"/>
        <v>0.10114668178709289</v>
      </c>
      <c r="CS1252" s="179">
        <f t="shared" si="2243"/>
        <v>0.90786999999999995</v>
      </c>
      <c r="CT1252" s="180">
        <f t="shared" si="2244"/>
        <v>1.2820512820512819</v>
      </c>
      <c r="CU1252" s="180">
        <f t="shared" si="2245"/>
        <v>0.35000000000000003</v>
      </c>
      <c r="CV1252" s="180">
        <f t="shared" si="2246"/>
        <v>0.79171095533705893</v>
      </c>
      <c r="CW1252" s="180">
        <f t="shared" si="2247"/>
        <v>0.35525491585637264</v>
      </c>
      <c r="CX1252" s="181">
        <f>CX1251</f>
        <v>0.249</v>
      </c>
      <c r="CY1252" s="72">
        <v>0.37</v>
      </c>
      <c r="CZ1252" s="182">
        <f t="shared" si="2250"/>
        <v>26.60225979487851</v>
      </c>
      <c r="DA1252" s="182"/>
      <c r="DB1252" s="169">
        <f t="shared" ref="DB1252" si="2280">LN(CZ1252/CZ1251)</f>
        <v>-1.4759777601455214E-2</v>
      </c>
      <c r="DC1252" s="181">
        <v>0.04</v>
      </c>
      <c r="DD1252" s="183">
        <v>7.0000000000000001E-3</v>
      </c>
      <c r="DE1252" s="181">
        <v>1030.81</v>
      </c>
      <c r="DF1252" s="72">
        <f t="shared" si="2264"/>
        <v>162.55000000000001</v>
      </c>
      <c r="DG1252" s="169">
        <f t="shared" si="2265"/>
        <v>3.3148751169364422E-2</v>
      </c>
      <c r="DH1252" s="175">
        <v>127.25</v>
      </c>
      <c r="DI1252" s="169">
        <f t="shared" si="2255"/>
        <v>7.1325086601983473E-2</v>
      </c>
    </row>
    <row r="1253" spans="1:113" s="160" customFormat="1" ht="21">
      <c r="A1253" s="160" t="s">
        <v>234</v>
      </c>
      <c r="B1253" s="160" t="s">
        <v>234</v>
      </c>
      <c r="C1253" s="160">
        <v>4058284</v>
      </c>
      <c r="D1253" s="161" t="s">
        <v>235</v>
      </c>
      <c r="E1253" s="161"/>
      <c r="F1253" s="189"/>
      <c r="G1253" s="160" t="s">
        <v>100</v>
      </c>
      <c r="H1253" s="162">
        <v>1998</v>
      </c>
      <c r="I1253" s="163"/>
      <c r="J1253" s="159"/>
      <c r="K1253" s="159"/>
      <c r="L1253" s="159"/>
      <c r="M1253" s="60"/>
      <c r="N1253" s="131"/>
      <c r="O1253" s="76"/>
      <c r="P1253" s="76"/>
      <c r="Q1253" s="165"/>
      <c r="R1253" s="165"/>
      <c r="S1253" s="165"/>
      <c r="T1253" s="159"/>
      <c r="U1253" s="165"/>
      <c r="V1253" s="165"/>
      <c r="W1253" s="159"/>
      <c r="X1253" s="163"/>
      <c r="Y1253" s="167">
        <v>5466.2753732195151</v>
      </c>
      <c r="Z1253" s="168"/>
      <c r="AA1253" s="78"/>
      <c r="AB1253" s="168"/>
      <c r="AC1253" s="168"/>
      <c r="AD1253" s="163">
        <f t="shared" si="2248"/>
        <v>0</v>
      </c>
      <c r="AE1253" s="163"/>
      <c r="AF1253" s="163"/>
      <c r="AG1253" s="114"/>
      <c r="AH1253" s="114"/>
      <c r="AI1253" s="114"/>
      <c r="AJ1253" s="166">
        <f>+(AJ1250+AJ1251+AJ1252)/3</f>
        <v>396.91513615121147</v>
      </c>
      <c r="AK1253" s="168"/>
      <c r="AL1253" s="115"/>
      <c r="AM1253" s="115"/>
      <c r="AN1253" s="115"/>
      <c r="AO1253" s="115"/>
      <c r="AP1253" s="115"/>
      <c r="AQ1253" s="168">
        <f>AVERAGE(AQ1262:AQ1276)</f>
        <v>1.5953744970611673E-2</v>
      </c>
      <c r="AR1253" s="115"/>
      <c r="AS1253" s="115"/>
      <c r="AT1253" s="115"/>
      <c r="AU1253" s="115"/>
      <c r="AV1253" s="113">
        <f>IFERROR(INDEX('Total Customers'!$F$7:$AB$91,MATCH($C1253,'Total Customers'!$D$7:$D$91,0),MATCH($G1253,'Total Customers'!$F$5:$AB$5,0)),"NA")</f>
        <v>822623</v>
      </c>
      <c r="AW1253" s="68"/>
      <c r="AX1253" s="114"/>
      <c r="AY1253" s="114"/>
      <c r="AZ1253" s="116"/>
      <c r="BA1253" s="116"/>
      <c r="BB1253" s="166"/>
      <c r="BC1253" s="166"/>
      <c r="BD1253" s="166"/>
      <c r="BE1253" s="166"/>
      <c r="BF1253" s="166"/>
      <c r="BG1253" s="166"/>
      <c r="BH1253" s="166"/>
      <c r="BI1253" s="113">
        <f>INDEX('Gross Dx Plant'!$E$7:$AD$91,MATCH($C1253,'Gross Dx Plant'!$D$7:$D$91,0),MATCH(Calculation!$G1253,'Gross Dx Plant'!$E$5:$AD$5,0))</f>
        <v>1555162</v>
      </c>
      <c r="BJ1253" s="113">
        <f>INDEX('Gross Gen Plant'!$E$7:$AD$91,MATCH($C1253,'Gross Gen Plant'!$D$7:$D$91,0),MATCH(Calculation!$G1253,'Gross Gen Plant'!$E$5:$AD$5,0))</f>
        <v>124834</v>
      </c>
      <c r="BK1253" s="113">
        <f>INDEX('Dist. Plant Gas Additions'!$F$7:$AE$91,MATCH($C1253,'Dist. Plant Gas Additions'!$D$7:$D$91,0),MATCH(Calculation!$G1253,'Dist. Plant Gas Additions'!$F$5:$AE$5,0))</f>
        <v>98483</v>
      </c>
      <c r="BL1253" s="113">
        <f>INDEX('Gen. Plant Additions'!$F$7:$AE$91,MATCH($C1253,'Gen. Plant Additions'!$D$7:$D$91,0),MATCH(Calculation!$G1253,'Gen. Plant Additions'!$F$5:$AE$5,0))</f>
        <v>7904</v>
      </c>
      <c r="BM1253" s="231">
        <f>+(BW1253/(BW1253+BX1253))</f>
        <v>0.92569387069969211</v>
      </c>
      <c r="BN1253" s="61">
        <f t="shared" si="2276"/>
        <v>7316.6843540103664</v>
      </c>
      <c r="BO1253" s="113">
        <f>INDEX('Dist Plant Depreciation'!$E$7:$AD$94,MATCH($C1253,'Dist Plant Depreciation'!$D$7:$D$94,0),MATCH(Calculation!$G1253,'Dist Plant Depreciation'!$E$5:$AD$5,0))</f>
        <v>532122</v>
      </c>
      <c r="BP1253" s="113">
        <f>INDEX('Gen. Plant Depreciation'!$E$7:$AD$94,MATCH($C1253,'Gen. Plant Depreciation'!$D$7:$D$94,0),MATCH(Calculation!$G1253,'Gen. Plant Depreciation'!$E$5:$AD$5,0))</f>
        <v>45220</v>
      </c>
      <c r="BQ1253" s="113"/>
      <c r="BR1253" s="113"/>
      <c r="BS1253" s="113"/>
      <c r="BT1253" s="113"/>
      <c r="BU1253" s="113"/>
      <c r="BV1253" s="175"/>
      <c r="BW1253" s="113">
        <f>INDEX('Gross Dx Plant'!$E$7:$AD$91,MATCH($C1253,'Gross Dx Plant'!$D$7:$D$91,0),MATCH(Calculation!$G1253,'Gross Dx Plant'!$E$5:$AD$5,0))</f>
        <v>1555162</v>
      </c>
      <c r="BX1253" s="113">
        <f>INDEX('Gross Gen Plant'!$E$7:$AD$91,MATCH($C1253,'Gross Gen Plant'!$D$7:$D$91,0),MATCH(Calculation!$G1253,'Gross Gen Plant'!$E$5:$AD$5,0))</f>
        <v>124834</v>
      </c>
      <c r="BY1253" s="113">
        <f t="shared" si="2187"/>
        <v>1102654</v>
      </c>
      <c r="BZ1253" s="113"/>
      <c r="CA1253" s="116">
        <v>1998</v>
      </c>
      <c r="CB1253" s="113">
        <f>BI1253+BJ1253</f>
        <v>1679996</v>
      </c>
      <c r="CC1253" s="113">
        <f>532122+45220</f>
        <v>577342</v>
      </c>
      <c r="CD1253" s="113">
        <f>+CB1253-CC1253</f>
        <v>1102654</v>
      </c>
      <c r="CE1253" s="113">
        <f>CD1253/$BV$3</f>
        <v>5466.2753732195151</v>
      </c>
      <c r="CF1253" s="175"/>
      <c r="CG1253" s="175"/>
      <c r="CH1253" s="178">
        <v>1</v>
      </c>
      <c r="CI1253" s="113">
        <f>+CE1253</f>
        <v>5466.2753732195151</v>
      </c>
      <c r="CJ1253" s="114"/>
      <c r="CK1253" s="114"/>
      <c r="CL1253" s="169"/>
      <c r="CM1253" s="169"/>
      <c r="CN1253" s="114" t="e">
        <f>VLOOKUP($H1253,RoR!$E:$F,2,FALSE)</f>
        <v>#N/A</v>
      </c>
      <c r="CO1253" s="169">
        <v>1.1028127770464469E-2</v>
      </c>
      <c r="CP1253" s="169"/>
      <c r="CQ1253" s="169"/>
      <c r="CR1253" s="169"/>
      <c r="CS1253" s="179"/>
      <c r="CT1253" s="182" t="e">
        <f>2/(DC1253*39)</f>
        <v>#DIV/0!</v>
      </c>
      <c r="CU1253" s="180" t="e">
        <f>+(DC1253*40-(1+DC1253))/(DC1253*40)</f>
        <v>#DIV/0!</v>
      </c>
      <c r="CV1253" s="180">
        <f>+(1-(1/(1+DC1253)^40))</f>
        <v>0</v>
      </c>
      <c r="CW1253" s="180" t="e">
        <f>+CV1253*CU1253*CT1253</f>
        <v>#DIV/0!</v>
      </c>
      <c r="CX1253" s="181">
        <f>INDEX('State Tax Lookup'!$D$7:$Z$91,MATCH(Calculation!$C1253,'State Tax Lookup'!$B$7:$B$91,0),MATCH($H1253,'State Tax Lookup'!$D$6:$Z$6,0))</f>
        <v>0.43</v>
      </c>
      <c r="CY1253" s="72">
        <v>0.37</v>
      </c>
      <c r="CZ1253" s="66"/>
      <c r="DA1253" s="66"/>
      <c r="DB1253" s="69"/>
      <c r="DC1253" s="181"/>
      <c r="DD1253" s="183"/>
      <c r="DE1253" s="111">
        <f>VLOOKUP(H1253,'HW Dx Data'!$E:$F,2,FALSE)</f>
        <v>329.24564746449528</v>
      </c>
      <c r="DF1253" s="72" t="e">
        <f t="shared" si="2264"/>
        <v>#N/A</v>
      </c>
      <c r="DG1253" s="169" t="e">
        <f t="shared" si="2265"/>
        <v>#N/A</v>
      </c>
      <c r="DH1253" s="66">
        <f>HLOOKUP(H1253,'GDP-PI'!$8:$9,2,FALSE)</f>
        <v>75.266999999999996</v>
      </c>
      <c r="DI1253"/>
    </row>
    <row r="1254" spans="1:113" s="160" customFormat="1" ht="21">
      <c r="A1254" s="160" t="s">
        <v>234</v>
      </c>
      <c r="B1254" s="160" t="s">
        <v>234</v>
      </c>
      <c r="C1254" s="160">
        <v>4058284</v>
      </c>
      <c r="D1254" s="161" t="s">
        <v>235</v>
      </c>
      <c r="E1254" s="161"/>
      <c r="F1254" s="189"/>
      <c r="G1254" s="160" t="s">
        <v>106</v>
      </c>
      <c r="H1254" s="162">
        <v>1999</v>
      </c>
      <c r="I1254" s="163"/>
      <c r="J1254" s="159"/>
      <c r="K1254" s="163"/>
      <c r="L1254" s="163"/>
      <c r="M1254" s="60"/>
      <c r="N1254" s="152"/>
      <c r="O1254" s="60"/>
      <c r="P1254" s="59"/>
      <c r="Q1254" s="169"/>
      <c r="R1254" s="169"/>
      <c r="S1254" s="169"/>
      <c r="T1254" s="187"/>
      <c r="U1254" s="169"/>
      <c r="V1254" s="169"/>
      <c r="W1254" s="159">
        <f t="shared" ref="W1254:W1277" si="2281">+CI1253*CZ1254</f>
        <v>0</v>
      </c>
      <c r="X1254" s="163"/>
      <c r="Y1254" s="167">
        <v>5709.3252646553638</v>
      </c>
      <c r="Z1254" s="168">
        <v>4.350338384420787E-2</v>
      </c>
      <c r="AA1254" s="78"/>
      <c r="AB1254" s="168"/>
      <c r="AC1254" s="168"/>
      <c r="AD1254" s="163">
        <f t="shared" si="2248"/>
        <v>0</v>
      </c>
      <c r="AE1254" s="168"/>
      <c r="AF1254" s="163"/>
      <c r="AG1254" s="114"/>
      <c r="AH1254" s="114"/>
      <c r="AI1254" s="114"/>
      <c r="AJ1254" s="167"/>
      <c r="AK1254" s="168"/>
      <c r="AL1254" s="115"/>
      <c r="AM1254" s="115"/>
      <c r="AN1254" s="115"/>
      <c r="AO1254" s="115"/>
      <c r="AP1254" s="115"/>
      <c r="AQ1254" s="168"/>
      <c r="AR1254" s="115"/>
      <c r="AS1254" s="115"/>
      <c r="AT1254" s="115"/>
      <c r="AU1254" s="115"/>
      <c r="AV1254" s="113">
        <f>IFERROR(INDEX('Total Customers'!$F$7:$AB$91,MATCH($C1254,'Total Customers'!$D$7:$D$91,0),MATCH($G1254,'Total Customers'!$F$5:$AB$5,0)),"NA")</f>
        <v>880014</v>
      </c>
      <c r="AW1254" s="68">
        <f t="shared" si="2231"/>
        <v>6.7439800904737848E-2</v>
      </c>
      <c r="AX1254" s="114"/>
      <c r="AY1254" s="114"/>
      <c r="AZ1254" s="116"/>
      <c r="BA1254" s="116"/>
      <c r="BB1254" s="166"/>
      <c r="BC1254" s="166"/>
      <c r="BD1254" s="166"/>
      <c r="BE1254" s="166"/>
      <c r="BF1254" s="166"/>
      <c r="BG1254" s="166"/>
      <c r="BH1254" s="166"/>
      <c r="BI1254" s="113"/>
      <c r="BJ1254" s="113"/>
      <c r="BK1254" s="113">
        <f>INDEX('Dist. Plant Gas Additions'!$F$7:$AE$91,MATCH($C1254,'Dist. Plant Gas Additions'!$D$7:$D$91,0),MATCH(Calculation!$G1254,'Dist. Plant Gas Additions'!$F$5:$AE$5,0))</f>
        <v>86039</v>
      </c>
      <c r="BL1254" s="113">
        <f>INDEX('Gen. Plant Additions'!$F$7:$AE$91,MATCH($C1254,'Gen. Plant Additions'!$D$7:$D$91,0),MATCH(Calculation!$G1254,'Gen. Plant Additions'!$F$5:$AE$5,0))</f>
        <v>4581</v>
      </c>
      <c r="BM1254" s="231">
        <f t="shared" ref="BM1254:BM1275" si="2282">+(BW1254/(BW1254+BX1254))</f>
        <v>0.92697178123193591</v>
      </c>
      <c r="BN1254" s="61">
        <f t="shared" si="2276"/>
        <v>4246.4577298234981</v>
      </c>
      <c r="BO1254" s="113">
        <f>INDEX('Dist Plant Depreciation'!$E$7:$AD$94,MATCH($C1254,'Dist Plant Depreciation'!$D$7:$D$94,0),MATCH(Calculation!$G1254,'Dist Plant Depreciation'!$E$5:$AD$5,0))</f>
        <v>567146</v>
      </c>
      <c r="BP1254" s="113">
        <f>INDEX('Gen. Plant Depreciation'!$E$7:$AD$94,MATCH($C1254,'Gen. Plant Depreciation'!$D$7:$D$94,0),MATCH(Calculation!$G1254,'Gen. Plant Depreciation'!$E$5:$AD$5,0))</f>
        <v>49243</v>
      </c>
      <c r="BQ1254" s="113"/>
      <c r="BR1254" s="113"/>
      <c r="BS1254" s="113"/>
      <c r="BT1254" s="113"/>
      <c r="BU1254" s="113"/>
      <c r="BV1254" s="175"/>
      <c r="BW1254" s="113">
        <f>INDEX('Gross Dx Plant'!$E$7:$AD$91,MATCH($C1254,'Gross Dx Plant'!$D$7:$D$91,0),MATCH(Calculation!$G1254,'Gross Dx Plant'!$E$5:$AD$5,0))</f>
        <v>1630878</v>
      </c>
      <c r="BX1254" s="113">
        <f>INDEX('Gross Gen Plant'!$E$7:$AD$91,MATCH($C1254,'Gross Gen Plant'!$D$7:$D$91,0),MATCH(Calculation!$G1254,'Gross Gen Plant'!$E$5:$AD$5,0))</f>
        <v>128483</v>
      </c>
      <c r="BY1254" s="113">
        <f t="shared" si="2187"/>
        <v>1142972</v>
      </c>
      <c r="BZ1254" s="113"/>
      <c r="CA1254" s="116">
        <v>1999</v>
      </c>
      <c r="CB1254" s="113"/>
      <c r="CC1254" s="113"/>
      <c r="CD1254" s="113"/>
      <c r="CE1254" s="175"/>
      <c r="CF1254" s="113">
        <f t="shared" ref="CF1254:CF1276" si="2283">+BL1254+BK1254</f>
        <v>90620</v>
      </c>
      <c r="CG1254" s="113">
        <f t="shared" ref="CG1254:CG1276" si="2284">+CF1254/$DE1254</f>
        <v>270.24529130261197</v>
      </c>
      <c r="CH1254" s="178">
        <v>0.99502487562189057</v>
      </c>
      <c r="CI1254" s="61">
        <f>+CI1253*CH1254+CG1254</f>
        <v>5709.3252646553638</v>
      </c>
      <c r="CJ1254" s="114">
        <f t="shared" ref="CJ1254:CJ1275" si="2285">LN(CI1254/CI1253)</f>
        <v>4.350338384420787E-2</v>
      </c>
      <c r="CK1254" s="114"/>
      <c r="CL1254" s="169">
        <f t="shared" ref="CL1254:CL1277" si="2286">+(CI1253-CI1254+CG1254)/CI1253</f>
        <v>4.9751243781093789E-3</v>
      </c>
      <c r="CM1254" s="169"/>
      <c r="CN1254" s="114">
        <f>VLOOKUP($H1254,RoR!$E:$F,2,FALSE)</f>
        <v>7.0416666666666669E-2</v>
      </c>
      <c r="CO1254" s="169">
        <v>1.4335631817396832E-2</v>
      </c>
      <c r="CP1254" s="169">
        <f>+CN1254-CO1254</f>
        <v>5.6081034849269837E-2</v>
      </c>
      <c r="CQ1254" s="169"/>
      <c r="CR1254" s="169"/>
      <c r="CS1254" s="179">
        <f t="shared" ref="CS1254:CS1277" si="2287">1-CX1254*CY1254</f>
        <v>0.84089999999999998</v>
      </c>
      <c r="CT1254" s="180">
        <f t="shared" ref="CT1254:CT1277" si="2288">2/(DC1254*39)</f>
        <v>0.72826581702321336</v>
      </c>
      <c r="CU1254" s="180">
        <f t="shared" ref="CU1254:CU1277" si="2289">+(DC1254*40-(1+DC1254))/(DC1254*40)</f>
        <v>0.61997041420118348</v>
      </c>
      <c r="CV1254" s="180">
        <f t="shared" ref="CV1254:CV1277" si="2290">+(1-(1/(1+DC1254)^40))</f>
        <v>0.93425155319585029</v>
      </c>
      <c r="CW1254" s="180">
        <f t="shared" ref="CW1254:CW1277" si="2291">+CV1254*CU1254*CT1254</f>
        <v>0.42181762214141483</v>
      </c>
      <c r="CX1254" s="181">
        <f>INDEX('State Tax Lookup'!$D$7:$Z$91,MATCH(Calculation!$C1254,'State Tax Lookup'!$B$7:$B$91,0),MATCH($H1254,'State Tax Lookup'!$D$6:$Z$6,0))</f>
        <v>0.43</v>
      </c>
      <c r="CY1254" s="72">
        <v>0.37</v>
      </c>
      <c r="CZ1254" s="70"/>
      <c r="DA1254" s="70"/>
      <c r="DB1254" s="69"/>
      <c r="DC1254" s="111">
        <f>VLOOKUP($H1254,RoR!$E:$F,2,FALSE)</f>
        <v>7.0416666666666669E-2</v>
      </c>
      <c r="DD1254" s="216">
        <f>HLOOKUP($H1254,'GDP-PI'!$D$8:$CQ$11,3,FALSE)</f>
        <v>1.4335631817396832E-2</v>
      </c>
      <c r="DE1254" s="111">
        <f>VLOOKUP(H1254,'HW Dx Data'!$E:$F,2,FALSE)</f>
        <v>335.32499146683239</v>
      </c>
      <c r="DF1254" s="66"/>
      <c r="DG1254" s="69"/>
      <c r="DH1254" s="66">
        <f>HLOOKUP(H1254,'GDP-PI'!$8:$9,2,FALSE)</f>
        <v>76.346000000000004</v>
      </c>
      <c r="DI1254"/>
    </row>
    <row r="1255" spans="1:113" s="160" customFormat="1" ht="21">
      <c r="A1255" s="160" t="s">
        <v>234</v>
      </c>
      <c r="B1255" s="160" t="s">
        <v>234</v>
      </c>
      <c r="C1255" s="160">
        <v>4058284</v>
      </c>
      <c r="D1255" s="161" t="s">
        <v>235</v>
      </c>
      <c r="E1255" s="161"/>
      <c r="F1255" s="189"/>
      <c r="G1255" s="160" t="s">
        <v>107</v>
      </c>
      <c r="H1255" s="162">
        <v>2000</v>
      </c>
      <c r="I1255" s="163"/>
      <c r="J1255" s="159"/>
      <c r="K1255" s="159"/>
      <c r="L1255" s="159"/>
      <c r="M1255" s="60"/>
      <c r="N1255" s="152"/>
      <c r="O1255" s="60"/>
      <c r="P1255" s="60"/>
      <c r="Q1255" s="159"/>
      <c r="R1255" s="159"/>
      <c r="S1255" s="159"/>
      <c r="T1255" s="159"/>
      <c r="U1255" s="159"/>
      <c r="V1255" s="159"/>
      <c r="W1255" s="159">
        <f t="shared" si="2281"/>
        <v>0</v>
      </c>
      <c r="X1255" s="163"/>
      <c r="Y1255" s="167">
        <v>6011.7442679256137</v>
      </c>
      <c r="Z1255" s="168">
        <v>5.1614084672668391E-2</v>
      </c>
      <c r="AA1255" s="78"/>
      <c r="AB1255" s="168"/>
      <c r="AC1255" s="168"/>
      <c r="AD1255" s="163">
        <f t="shared" si="2248"/>
        <v>0</v>
      </c>
      <c r="AE1255" s="168"/>
      <c r="AF1255" s="163"/>
      <c r="AG1255" s="163"/>
      <c r="AH1255" s="163"/>
      <c r="AI1255" s="163"/>
      <c r="AJ1255" s="167"/>
      <c r="AK1255" s="168"/>
      <c r="AL1255" s="115"/>
      <c r="AM1255" s="115"/>
      <c r="AN1255" s="115"/>
      <c r="AO1255" s="115"/>
      <c r="AP1255" s="115"/>
      <c r="AQ1255" s="168"/>
      <c r="AR1255" s="115"/>
      <c r="AS1255" s="115"/>
      <c r="AT1255" s="115"/>
      <c r="AU1255" s="115"/>
      <c r="AV1255" s="113">
        <f>IFERROR(INDEX('Total Customers'!$F$7:$AB$91,MATCH($C1255,'Total Customers'!$D$7:$D$91,0),MATCH($G1255,'Total Customers'!$F$5:$AB$5,0)),"NA")</f>
        <v>868474</v>
      </c>
      <c r="AW1255" s="68">
        <f t="shared" si="2231"/>
        <v>-1.3200167875988192E-2</v>
      </c>
      <c r="AX1255" s="114"/>
      <c r="AY1255" s="114"/>
      <c r="AZ1255" s="116"/>
      <c r="BA1255" s="116"/>
      <c r="BB1255" s="166"/>
      <c r="BC1255" s="166"/>
      <c r="BD1255" s="166"/>
      <c r="BE1255" s="166"/>
      <c r="BF1255" s="166"/>
      <c r="BG1255" s="166"/>
      <c r="BH1255" s="166"/>
      <c r="BI1255" s="113"/>
      <c r="BJ1255" s="113"/>
      <c r="BK1255" s="113">
        <f>INDEX('Dist. Plant Gas Additions'!$F$7:$AE$91,MATCH($C1255,'Dist. Plant Gas Additions'!$D$7:$D$91,0),MATCH(Calculation!$G1255,'Dist. Plant Gas Additions'!$F$5:$AE$5,0))</f>
        <v>100033</v>
      </c>
      <c r="BL1255" s="113">
        <f>INDEX('Gen. Plant Additions'!$F$7:$AE$91,MATCH($C1255,'Gen. Plant Additions'!$D$7:$D$91,0),MATCH(Calculation!$G1255,'Gen. Plant Additions'!$F$5:$AE$5,0))</f>
        <v>14941</v>
      </c>
      <c r="BM1255" s="231">
        <f t="shared" si="2282"/>
        <v>0.92599486128364838</v>
      </c>
      <c r="BN1255" s="61">
        <f t="shared" si="2276"/>
        <v>13835.289222438991</v>
      </c>
      <c r="BO1255" s="113">
        <f>INDEX('Dist Plant Depreciation'!$E$7:$AD$94,MATCH($C1255,'Dist Plant Depreciation'!$D$7:$D$94,0),MATCH(Calculation!$G1255,'Dist Plant Depreciation'!$E$5:$AD$5,0))</f>
        <v>608657</v>
      </c>
      <c r="BP1255" s="113">
        <f>INDEX('Gen. Plant Depreciation'!$E$7:$AD$94,MATCH($C1255,'Gen. Plant Depreciation'!$D$7:$D$94,0),MATCH(Calculation!$G1255,'Gen. Plant Depreciation'!$E$5:$AD$5,0))</f>
        <v>49539</v>
      </c>
      <c r="BQ1255" s="113"/>
      <c r="BR1255" s="113"/>
      <c r="BS1255" s="113"/>
      <c r="BT1255" s="113"/>
      <c r="BU1255" s="113"/>
      <c r="BV1255" s="175"/>
      <c r="BW1255" s="113">
        <f>INDEX('Gross Dx Plant'!$E$7:$AD$91,MATCH($C1255,'Gross Dx Plant'!$D$7:$D$91,0),MATCH(Calculation!$G1255,'Gross Dx Plant'!$E$5:$AD$5,0))</f>
        <v>1724871</v>
      </c>
      <c r="BX1255" s="113">
        <f>INDEX('Gross Gen Plant'!$E$7:$AD$91,MATCH($C1255,'Gross Gen Plant'!$D$7:$D$91,0),MATCH(Calculation!$G1255,'Gross Gen Plant'!$E$5:$AD$5,0))</f>
        <v>137851</v>
      </c>
      <c r="BY1255" s="113">
        <f t="shared" si="2187"/>
        <v>1204526</v>
      </c>
      <c r="BZ1255" s="113"/>
      <c r="CA1255" s="116">
        <v>2000</v>
      </c>
      <c r="CB1255" s="113"/>
      <c r="CC1255" s="113"/>
      <c r="CD1255" s="113"/>
      <c r="CE1255" s="175"/>
      <c r="CF1255" s="113">
        <f t="shared" si="2283"/>
        <v>114974</v>
      </c>
      <c r="CG1255" s="113">
        <f t="shared" si="2284"/>
        <v>331.78301010010847</v>
      </c>
      <c r="CH1255" s="178">
        <v>0.98989898989898994</v>
      </c>
      <c r="CI1255" s="61">
        <f>+CI1253*CH1255+CG1254*CH1254+CG1255</f>
        <v>6011.7442679256137</v>
      </c>
      <c r="CJ1255" s="114">
        <f t="shared" si="2285"/>
        <v>5.1614084672668391E-2</v>
      </c>
      <c r="CK1255" s="114"/>
      <c r="CL1255" s="169">
        <f t="shared" si="2286"/>
        <v>5.1431658678901754E-3</v>
      </c>
      <c r="CM1255" s="169"/>
      <c r="CN1255" s="114">
        <f>VLOOKUP($H1255,RoR!$E:$F,2,FALSE)</f>
        <v>7.6225000000000001E-2</v>
      </c>
      <c r="CO1255" s="169">
        <v>2.2568307442433211E-2</v>
      </c>
      <c r="CP1255" s="169">
        <f t="shared" ref="CP1255:CP1275" si="2292">+CN1255-CO1255</f>
        <v>5.365669255756679E-2</v>
      </c>
      <c r="CQ1255" s="169"/>
      <c r="CR1255" s="169"/>
      <c r="CS1255" s="179">
        <f t="shared" si="2287"/>
        <v>0.84089999999999998</v>
      </c>
      <c r="CT1255" s="180">
        <f t="shared" si="2288"/>
        <v>0.67277207323124022</v>
      </c>
      <c r="CU1255" s="180">
        <f t="shared" si="2289"/>
        <v>0.6470236142997704</v>
      </c>
      <c r="CV1255" s="180">
        <f t="shared" si="2290"/>
        <v>0.94704866037543145</v>
      </c>
      <c r="CW1255" s="180">
        <f t="shared" si="2291"/>
        <v>0.41224973107878493</v>
      </c>
      <c r="CX1255" s="181">
        <f>INDEX('State Tax Lookup'!$D$7:$Z$91,MATCH(Calculation!$C1255,'State Tax Lookup'!$B$7:$B$91,0),MATCH($H1255,'State Tax Lookup'!$D$6:$Z$6,0))</f>
        <v>0.43</v>
      </c>
      <c r="CY1255" s="72">
        <v>0.37</v>
      </c>
      <c r="CZ1255" s="70"/>
      <c r="DA1255" s="70"/>
      <c r="DB1255" s="69"/>
      <c r="DC1255" s="111">
        <f>VLOOKUP($H1255,RoR!$E:$F,2,FALSE)</f>
        <v>7.6225000000000001E-2</v>
      </c>
      <c r="DD1255" s="216">
        <f>HLOOKUP($H1255,'GDP-PI'!$D$8:$CQ$11,3,FALSE)</f>
        <v>2.2568307442433211E-2</v>
      </c>
      <c r="DE1255" s="111">
        <f>VLOOKUP(H1255,'HW Dx Data'!$E:$F,2,FALSE)</f>
        <v>346.53371782150339</v>
      </c>
      <c r="DF1255" s="66"/>
      <c r="DG1255" s="69"/>
      <c r="DH1255" s="66">
        <f>HLOOKUP(H1255,'GDP-PI'!$8:$9,2,FALSE)</f>
        <v>78.069000000000003</v>
      </c>
      <c r="DI1255"/>
    </row>
    <row r="1256" spans="1:113" s="160" customFormat="1" ht="21">
      <c r="A1256" s="160" t="s">
        <v>234</v>
      </c>
      <c r="B1256" s="160" t="s">
        <v>234</v>
      </c>
      <c r="C1256" s="160">
        <v>4058284</v>
      </c>
      <c r="D1256" s="161" t="s">
        <v>235</v>
      </c>
      <c r="E1256" s="161"/>
      <c r="F1256" s="189"/>
      <c r="G1256" s="160" t="s">
        <v>111</v>
      </c>
      <c r="H1256" s="162">
        <v>2001</v>
      </c>
      <c r="I1256" s="163"/>
      <c r="J1256" s="159"/>
      <c r="K1256" s="159"/>
      <c r="L1256" s="159"/>
      <c r="M1256" s="60"/>
      <c r="N1256" s="152"/>
      <c r="O1256" s="60"/>
      <c r="P1256" s="60"/>
      <c r="Q1256" s="159"/>
      <c r="R1256" s="159"/>
      <c r="S1256" s="159"/>
      <c r="T1256" s="159"/>
      <c r="U1256" s="159"/>
      <c r="V1256" s="159"/>
      <c r="W1256" s="159">
        <f t="shared" si="2281"/>
        <v>80822.419331707526</v>
      </c>
      <c r="X1256" s="163"/>
      <c r="Y1256" s="167">
        <v>6331.676608918774</v>
      </c>
      <c r="Z1256" s="168">
        <v>5.1850134165261963E-2</v>
      </c>
      <c r="AA1256" s="78"/>
      <c r="AB1256" s="168"/>
      <c r="AC1256" s="168"/>
      <c r="AD1256" s="163">
        <f t="shared" si="2248"/>
        <v>80822.419331707526</v>
      </c>
      <c r="AE1256" s="168"/>
      <c r="AF1256" s="163"/>
      <c r="AG1256" s="163"/>
      <c r="AH1256" s="163"/>
      <c r="AI1256" s="163"/>
      <c r="AJ1256" s="167"/>
      <c r="AK1256" s="168"/>
      <c r="AL1256" s="115"/>
      <c r="AM1256" s="115"/>
      <c r="AN1256" s="115"/>
      <c r="AO1256" s="115"/>
      <c r="AP1256" s="115"/>
      <c r="AQ1256" s="168"/>
      <c r="AR1256" s="115"/>
      <c r="AS1256" s="115"/>
      <c r="AT1256" s="115"/>
      <c r="AU1256" s="115"/>
      <c r="AV1256" s="113">
        <f>IFERROR(INDEX('Total Customers'!$F$7:$AB$91,MATCH($C1256,'Total Customers'!$D$7:$D$91,0),MATCH($G1256,'Total Customers'!$F$5:$AB$5,0)),"NA")</f>
        <v>907465</v>
      </c>
      <c r="AW1256" s="68">
        <f t="shared" si="2231"/>
        <v>4.3917349341523235E-2</v>
      </c>
      <c r="AX1256" s="114"/>
      <c r="AY1256" s="114"/>
      <c r="AZ1256" s="116"/>
      <c r="BA1256" s="116"/>
      <c r="BB1256" s="166"/>
      <c r="BC1256" s="166"/>
      <c r="BD1256" s="166"/>
      <c r="BE1256" s="166"/>
      <c r="BF1256" s="166"/>
      <c r="BG1256" s="166"/>
      <c r="BH1256" s="166"/>
      <c r="BI1256" s="113"/>
      <c r="BJ1256" s="113"/>
      <c r="BK1256" s="113">
        <f>INDEX('Dist. Plant Gas Additions'!$F$7:$AE$91,MATCH($C1256,'Dist. Plant Gas Additions'!$D$7:$D$91,0),MATCH(Calculation!$G1256,'Dist. Plant Gas Additions'!$F$5:$AE$5,0))</f>
        <v>112248</v>
      </c>
      <c r="BL1256" s="113">
        <f>INDEX('Gen. Plant Additions'!$F$7:$AE$91,MATCH($C1256,'Gen. Plant Additions'!$D$7:$D$91,0),MATCH(Calculation!$G1256,'Gen. Plant Additions'!$F$5:$AE$5,0))</f>
        <v>11529</v>
      </c>
      <c r="BM1256" s="231">
        <f t="shared" si="2282"/>
        <v>0.92744446903540034</v>
      </c>
      <c r="BN1256" s="61">
        <f t="shared" si="2276"/>
        <v>10692.507283509131</v>
      </c>
      <c r="BO1256" s="113">
        <f>INDEX('Dist Plant Depreciation'!$E$7:$AD$94,MATCH($C1256,'Dist Plant Depreciation'!$D$7:$D$94,0),MATCH(Calculation!$G1256,'Dist Plant Depreciation'!$E$5:$AD$5,0))</f>
        <v>653273</v>
      </c>
      <c r="BP1256" s="113">
        <f>INDEX('Gen. Plant Depreciation'!$E$7:$AD$94,MATCH($C1256,'Gen. Plant Depreciation'!$D$7:$D$94,0),MATCH(Calculation!$G1256,'Gen. Plant Depreciation'!$E$5:$AD$5,0))</f>
        <v>49299</v>
      </c>
      <c r="BQ1256" s="113"/>
      <c r="BR1256" s="113"/>
      <c r="BS1256" s="113"/>
      <c r="BT1256" s="113"/>
      <c r="BU1256" s="113"/>
      <c r="BV1256" s="175"/>
      <c r="BW1256" s="113">
        <f>INDEX('Gross Dx Plant'!$E$7:$AD$91,MATCH($C1256,'Gross Dx Plant'!$D$7:$D$91,0),MATCH(Calculation!$G1256,'Gross Dx Plant'!$E$5:$AD$5,0))</f>
        <v>1831266</v>
      </c>
      <c r="BX1256" s="113">
        <f>INDEX('Gross Gen Plant'!$E$7:$AD$91,MATCH($C1256,'Gross Gen Plant'!$D$7:$D$91,0),MATCH(Calculation!$G1256,'Gross Gen Plant'!$E$5:$AD$5,0))</f>
        <v>143263</v>
      </c>
      <c r="BY1256" s="113">
        <f t="shared" si="2187"/>
        <v>1271957</v>
      </c>
      <c r="BZ1256" s="113"/>
      <c r="CA1256" s="116">
        <v>2001</v>
      </c>
      <c r="CB1256" s="113"/>
      <c r="CC1256" s="113"/>
      <c r="CD1256" s="113"/>
      <c r="CE1256" s="175"/>
      <c r="CF1256" s="113">
        <f t="shared" si="2283"/>
        <v>123777</v>
      </c>
      <c r="CG1256" s="113">
        <f t="shared" si="2284"/>
        <v>350.199228917114</v>
      </c>
      <c r="CH1256" s="178">
        <v>0.98461538461538467</v>
      </c>
      <c r="CI1256" s="61">
        <f>+CI1253*CH1256+CG1254*CH1255+CG1255*CH1253+CG1256</f>
        <v>6331.676608918774</v>
      </c>
      <c r="CJ1256" s="114">
        <f t="shared" si="2285"/>
        <v>5.1850134165261963E-2</v>
      </c>
      <c r="CK1256" s="114"/>
      <c r="CL1256" s="169">
        <f t="shared" si="2286"/>
        <v>5.0346266532720358E-3</v>
      </c>
      <c r="CM1256" s="169">
        <f>+(CL1256+CL1255+CL1254)/3</f>
        <v>5.0509722997571964E-3</v>
      </c>
      <c r="CN1256" s="114">
        <f>VLOOKUP($H1256,RoR!$E:$F,2,FALSE)</f>
        <v>7.0824999999999999E-2</v>
      </c>
      <c r="CO1256" s="169">
        <v>2.2454495382290052E-2</v>
      </c>
      <c r="CP1256" s="169">
        <f t="shared" si="2292"/>
        <v>4.8370504617709947E-2</v>
      </c>
      <c r="CQ1256" s="169">
        <f>+$CP$2-CM1256</f>
        <v>2.5850969308776429E-2</v>
      </c>
      <c r="CR1256" s="169">
        <v>2.3947275901631187E-2</v>
      </c>
      <c r="CS1256" s="179">
        <f t="shared" si="2287"/>
        <v>0.84089999999999998</v>
      </c>
      <c r="CT1256" s="180">
        <f t="shared" si="2288"/>
        <v>0.72406708481540816</v>
      </c>
      <c r="CU1256" s="180">
        <f t="shared" si="2289"/>
        <v>0.62201729615248857</v>
      </c>
      <c r="CV1256" s="180">
        <f t="shared" si="2290"/>
        <v>0.9352469954311422</v>
      </c>
      <c r="CW1256" s="180">
        <f t="shared" si="2291"/>
        <v>0.42121864641655071</v>
      </c>
      <c r="CX1256" s="181">
        <f>INDEX('State Tax Lookup'!$D$7:$Z$91,MATCH(Calculation!$C1256,'State Tax Lookup'!$B$7:$B$91,0),MATCH($H1256,'State Tax Lookup'!$D$6:$Z$6,0))</f>
        <v>0.43</v>
      </c>
      <c r="CY1256" s="72">
        <v>0.37</v>
      </c>
      <c r="CZ1256" s="70">
        <f t="shared" ref="CZ1256:CZ1277" si="2293">+(DE1256*CQ1256-CR1256)*CS1256/(1-CX1256)</f>
        <v>13.444088059919382</v>
      </c>
      <c r="DA1256" s="70"/>
      <c r="DB1256" s="69"/>
      <c r="DC1256" s="111">
        <f>VLOOKUP($H1256,RoR!$E:$F,2,FALSE)</f>
        <v>7.0824999999999999E-2</v>
      </c>
      <c r="DD1256" s="216">
        <f>HLOOKUP($H1256,'GDP-PI'!$D$8:$CQ$11,3,FALSE)</f>
        <v>2.2454495382290052E-2</v>
      </c>
      <c r="DE1256" s="111">
        <f>VLOOKUP(H1256,'HW Dx Data'!$E:$F,2,FALSE)</f>
        <v>353.44738017483138</v>
      </c>
      <c r="DF1256" s="66"/>
      <c r="DG1256" s="69"/>
      <c r="DH1256" s="66">
        <f>HLOOKUP(H1256,'GDP-PI'!$8:$9,2,FALSE)</f>
        <v>79.822000000000003</v>
      </c>
      <c r="DI1256"/>
    </row>
    <row r="1257" spans="1:113" s="160" customFormat="1" ht="21">
      <c r="A1257" s="160" t="s">
        <v>234</v>
      </c>
      <c r="B1257" s="160" t="s">
        <v>234</v>
      </c>
      <c r="C1257" s="160">
        <v>4058284</v>
      </c>
      <c r="D1257" s="161" t="s">
        <v>235</v>
      </c>
      <c r="E1257" s="161"/>
      <c r="F1257" s="189"/>
      <c r="G1257" s="160" t="s">
        <v>113</v>
      </c>
      <c r="H1257" s="162">
        <v>2002</v>
      </c>
      <c r="I1257" s="163"/>
      <c r="J1257" s="159"/>
      <c r="K1257" s="159"/>
      <c r="L1257" s="159"/>
      <c r="M1257" s="60"/>
      <c r="N1257" s="152"/>
      <c r="O1257" s="60"/>
      <c r="P1257" s="60"/>
      <c r="Q1257" s="159"/>
      <c r="R1257" s="159"/>
      <c r="S1257" s="159"/>
      <c r="T1257" s="159"/>
      <c r="U1257" s="159"/>
      <c r="V1257" s="159"/>
      <c r="W1257" s="159">
        <f t="shared" si="2281"/>
        <v>86165.530943958074</v>
      </c>
      <c r="X1257" s="163"/>
      <c r="Y1257" s="167">
        <v>6629.5389355015104</v>
      </c>
      <c r="Z1257" s="168">
        <v>4.5970191410220115E-2</v>
      </c>
      <c r="AA1257" s="78"/>
      <c r="AB1257" s="168"/>
      <c r="AC1257" s="168"/>
      <c r="AD1257" s="163">
        <f t="shared" si="2248"/>
        <v>86165.530943958074</v>
      </c>
      <c r="AE1257" s="168"/>
      <c r="AF1257" s="163"/>
      <c r="AG1257" s="163"/>
      <c r="AH1257" s="163"/>
      <c r="AI1257" s="163"/>
      <c r="AJ1257" s="167"/>
      <c r="AK1257" s="168"/>
      <c r="AL1257" s="115"/>
      <c r="AM1257" s="115"/>
      <c r="AN1257" s="115"/>
      <c r="AO1257" s="115"/>
      <c r="AP1257" s="115"/>
      <c r="AQ1257" s="168"/>
      <c r="AR1257" s="115"/>
      <c r="AS1257" s="115"/>
      <c r="AT1257" s="115"/>
      <c r="AU1257" s="115"/>
      <c r="AV1257" s="113">
        <f>IFERROR(INDEX('Total Customers'!$F$7:$AB$91,MATCH($C1257,'Total Customers'!$D$7:$D$91,0),MATCH($G1257,'Total Customers'!$F$5:$AB$5,0)),"NA")</f>
        <v>941456</v>
      </c>
      <c r="AW1257" s="68">
        <f t="shared" si="2231"/>
        <v>3.6772615167784968E-2</v>
      </c>
      <c r="AX1257" s="114"/>
      <c r="AY1257" s="114"/>
      <c r="AZ1257" s="116"/>
      <c r="BA1257" s="116"/>
      <c r="BB1257" s="166"/>
      <c r="BC1257" s="166"/>
      <c r="BD1257" s="166"/>
      <c r="BE1257" s="166"/>
      <c r="BF1257" s="166"/>
      <c r="BG1257" s="166"/>
      <c r="BH1257" s="166"/>
      <c r="BI1257" s="113"/>
      <c r="BJ1257" s="113"/>
      <c r="BK1257" s="113">
        <f>INDEX('Dist. Plant Gas Additions'!$F$7:$AE$91,MATCH($C1257,'Dist. Plant Gas Additions'!$D$7:$D$91,0),MATCH(Calculation!$G1257,'Dist. Plant Gas Additions'!$F$5:$AE$5,0))</f>
        <v>113527</v>
      </c>
      <c r="BL1257" s="113">
        <f>INDEX('Gen. Plant Additions'!$F$7:$AE$91,MATCH($C1257,'Gen. Plant Additions'!$D$7:$D$91,0),MATCH(Calculation!$G1257,'Gen. Plant Additions'!$F$5:$AE$5,0))</f>
        <v>7224</v>
      </c>
      <c r="BM1257" s="231">
        <f t="shared" si="2282"/>
        <v>0.92032600247455831</v>
      </c>
      <c r="BN1257" s="61">
        <f t="shared" si="2276"/>
        <v>6648.4350418762097</v>
      </c>
      <c r="BO1257" s="113">
        <f>INDEX('Dist Plant Depreciation'!$E$7:$AD$94,MATCH($C1257,'Dist Plant Depreciation'!$D$7:$D$94,0),MATCH(Calculation!$G1257,'Dist Plant Depreciation'!$E$5:$AD$5,0))</f>
        <v>699841</v>
      </c>
      <c r="BP1257" s="113">
        <f>INDEX('Gen. Plant Depreciation'!$E$7:$AD$94,MATCH($C1257,'Gen. Plant Depreciation'!$D$7:$D$94,0),MATCH(Calculation!$G1257,'Gen. Plant Depreciation'!$E$5:$AD$5,0))</f>
        <v>31765</v>
      </c>
      <c r="BQ1257" s="113"/>
      <c r="BR1257" s="113"/>
      <c r="BS1257" s="113"/>
      <c r="BT1257" s="113"/>
      <c r="BU1257" s="113"/>
      <c r="BV1257" s="175"/>
      <c r="BW1257" s="113">
        <f>INDEX('Gross Dx Plant'!$E$7:$AD$91,MATCH($C1257,'Gross Dx Plant'!$D$7:$D$91,0),MATCH(Calculation!$G1257,'Gross Dx Plant'!$E$5:$AD$5,0))</f>
        <v>1900487</v>
      </c>
      <c r="BX1257" s="113">
        <f>INDEX('Gross Gen Plant'!$E$7:$AD$91,MATCH($C1257,'Gross Gen Plant'!$D$7:$D$91,0),MATCH(Calculation!$G1257,'Gross Gen Plant'!$E$5:$AD$5,0))</f>
        <v>164528</v>
      </c>
      <c r="BY1257" s="113">
        <f t="shared" si="2187"/>
        <v>1333409</v>
      </c>
      <c r="BZ1257" s="113"/>
      <c r="CA1257" s="116">
        <v>2002</v>
      </c>
      <c r="CB1257" s="113"/>
      <c r="CC1257" s="113"/>
      <c r="CD1257" s="113"/>
      <c r="CE1257" s="175"/>
      <c r="CF1257" s="113">
        <f t="shared" si="2283"/>
        <v>120751</v>
      </c>
      <c r="CG1257" s="113">
        <f t="shared" si="2284"/>
        <v>334.16801702777497</v>
      </c>
      <c r="CH1257" s="178">
        <v>0.97916666666666663</v>
      </c>
      <c r="CI1257" s="61">
        <f>+CI1253*CH1257+CG1254*CH1256+CG1255*CH1255+CG1256*CH1254+CG1257</f>
        <v>6629.5389355015104</v>
      </c>
      <c r="CJ1257" s="114">
        <f t="shared" si="2285"/>
        <v>4.5970191410220115E-2</v>
      </c>
      <c r="CK1257" s="114"/>
      <c r="CL1257" s="169">
        <f t="shared" si="2286"/>
        <v>5.7339773787401793E-3</v>
      </c>
      <c r="CM1257" s="169">
        <f t="shared" ref="CM1257:CM1277" si="2294">+(CL1257+CL1256+CL1255)/3</f>
        <v>5.3039232999674635E-3</v>
      </c>
      <c r="CN1257" s="114">
        <f>VLOOKUP($H1257,RoR!$E:$F,2,FALSE)</f>
        <v>6.4916666666666664E-2</v>
      </c>
      <c r="CO1257" s="169">
        <v>1.5246423291824351E-2</v>
      </c>
      <c r="CP1257" s="169">
        <f t="shared" si="2292"/>
        <v>4.9670243374842313E-2</v>
      </c>
      <c r="CQ1257" s="169">
        <f t="shared" ref="CQ1257:CQ1277" si="2295">+$CP$2-CM1257</f>
        <v>2.5598018308566162E-2</v>
      </c>
      <c r="CR1257" s="169">
        <v>2.5243621214759093E-2</v>
      </c>
      <c r="CS1257" s="179">
        <f t="shared" si="2287"/>
        <v>0.84089999999999998</v>
      </c>
      <c r="CT1257" s="180">
        <f t="shared" si="2288"/>
        <v>0.78996741384417901</v>
      </c>
      <c r="CU1257" s="180">
        <f t="shared" si="2289"/>
        <v>0.58989088575096271</v>
      </c>
      <c r="CV1257" s="180">
        <f t="shared" si="2290"/>
        <v>0.91920675783645744</v>
      </c>
      <c r="CW1257" s="180">
        <f t="shared" si="2291"/>
        <v>0.42834536472275586</v>
      </c>
      <c r="CX1257" s="181">
        <f>INDEX('State Tax Lookup'!$D$7:$Z$91,MATCH(Calculation!$C1257,'State Tax Lookup'!$B$7:$B$91,0),MATCH($H1257,'State Tax Lookup'!$D$6:$Z$6,0))</f>
        <v>0.43</v>
      </c>
      <c r="CY1257" s="72">
        <v>0.37</v>
      </c>
      <c r="CZ1257" s="70">
        <f t="shared" si="2293"/>
        <v>13.608643692033427</v>
      </c>
      <c r="DA1257" s="70"/>
      <c r="DB1257" s="69">
        <f>LN(CZ1257/CZ1256)</f>
        <v>1.2165696477126845E-2</v>
      </c>
      <c r="DC1257" s="111">
        <f>VLOOKUP($H1257,RoR!$E:$F,2,FALSE)</f>
        <v>6.4916666666666664E-2</v>
      </c>
      <c r="DD1257" s="216">
        <f>HLOOKUP($H1257,'GDP-PI'!$D$8:$CQ$11,3,FALSE)</f>
        <v>1.5246423291824351E-2</v>
      </c>
      <c r="DE1257" s="111">
        <f>VLOOKUP(H1257,'HW Dx Data'!$E:$F,2,FALSE)</f>
        <v>361.34816573413599</v>
      </c>
      <c r="DF1257" s="66"/>
      <c r="DG1257" s="69"/>
      <c r="DH1257" s="66">
        <f>HLOOKUP(H1257,'GDP-PI'!$8:$9,2,FALSE)</f>
        <v>81.039000000000001</v>
      </c>
      <c r="DI1257" s="69">
        <f>LN(DH1257/DH1256)</f>
        <v>1.513136459537477E-2</v>
      </c>
    </row>
    <row r="1258" spans="1:113" s="160" customFormat="1" ht="21">
      <c r="A1258" s="160" t="s">
        <v>234</v>
      </c>
      <c r="B1258" s="160" t="s">
        <v>234</v>
      </c>
      <c r="C1258" s="160">
        <v>4058284</v>
      </c>
      <c r="D1258" s="161" t="s">
        <v>235</v>
      </c>
      <c r="E1258" s="161"/>
      <c r="F1258" s="189"/>
      <c r="G1258" s="160" t="s">
        <v>114</v>
      </c>
      <c r="H1258" s="162">
        <v>2003</v>
      </c>
      <c r="I1258" s="163"/>
      <c r="J1258" s="159"/>
      <c r="K1258" s="159"/>
      <c r="L1258" s="159"/>
      <c r="M1258" s="76"/>
      <c r="N1258" s="152"/>
      <c r="O1258" s="76"/>
      <c r="P1258" s="76"/>
      <c r="Q1258" s="159"/>
      <c r="R1258" s="159"/>
      <c r="S1258" s="159"/>
      <c r="T1258" s="159"/>
      <c r="U1258" s="159"/>
      <c r="V1258" s="159"/>
      <c r="W1258" s="159">
        <f t="shared" si="2281"/>
        <v>91628.797920888333</v>
      </c>
      <c r="X1258" s="163"/>
      <c r="Y1258" s="167">
        <v>6865.5469432942145</v>
      </c>
      <c r="Z1258" s="168">
        <v>3.4980447697117063E-2</v>
      </c>
      <c r="AA1258" s="78"/>
      <c r="AB1258" s="168"/>
      <c r="AC1258" s="168"/>
      <c r="AD1258" s="163">
        <f t="shared" si="2248"/>
        <v>91628.797920888333</v>
      </c>
      <c r="AE1258" s="168"/>
      <c r="AF1258" s="163"/>
      <c r="AG1258" s="163"/>
      <c r="AH1258" s="163"/>
      <c r="AI1258" s="163"/>
      <c r="AJ1258" s="167"/>
      <c r="AK1258" s="168"/>
      <c r="AL1258" s="115"/>
      <c r="AM1258" s="115"/>
      <c r="AN1258" s="115"/>
      <c r="AO1258" s="115"/>
      <c r="AP1258" s="115"/>
      <c r="AQ1258" s="168"/>
      <c r="AR1258" s="115"/>
      <c r="AS1258" s="115"/>
      <c r="AT1258" s="115"/>
      <c r="AU1258" s="115"/>
      <c r="AV1258" s="113">
        <f>IFERROR(INDEX('Total Customers'!$F$7:$AB$91,MATCH($C1258,'Total Customers'!$D$7:$D$91,0),MATCH($G1258,'Total Customers'!$F$5:$AB$5,0)),"NA")</f>
        <v>935761</v>
      </c>
      <c r="AW1258" s="68">
        <f t="shared" si="2231"/>
        <v>-6.0675110779711801E-3</v>
      </c>
      <c r="AX1258" s="114"/>
      <c r="AY1258" s="114"/>
      <c r="AZ1258" s="116"/>
      <c r="BA1258" s="116"/>
      <c r="BB1258" s="166"/>
      <c r="BC1258" s="166"/>
      <c r="BD1258" s="166"/>
      <c r="BE1258" s="166"/>
      <c r="BF1258" s="166"/>
      <c r="BG1258" s="166"/>
      <c r="BH1258" s="166"/>
      <c r="BI1258" s="113"/>
      <c r="BJ1258" s="113"/>
      <c r="BK1258" s="113">
        <f>INDEX('Dist. Plant Gas Additions'!$F$7:$AE$91,MATCH($C1258,'Dist. Plant Gas Additions'!$D$7:$D$91,0),MATCH(Calculation!$G1258,'Dist. Plant Gas Additions'!$F$5:$AE$5,0))</f>
        <v>82278</v>
      </c>
      <c r="BL1258" s="113">
        <f>INDEX('Gen. Plant Additions'!$F$7:$AE$91,MATCH($C1258,'Gen. Plant Additions'!$D$7:$D$91,0),MATCH(Calculation!$G1258,'Gen. Plant Additions'!$F$5:$AE$5,0))</f>
        <v>18678</v>
      </c>
      <c r="BM1258" s="231">
        <f t="shared" si="2282"/>
        <v>0.92243363451338212</v>
      </c>
      <c r="BN1258" s="61">
        <f t="shared" si="2276"/>
        <v>17229.215425440951</v>
      </c>
      <c r="BO1258" s="113">
        <f>INDEX('Dist Plant Depreciation'!$E$7:$AD$94,MATCH($C1258,'Dist Plant Depreciation'!$D$7:$D$94,0),MATCH(Calculation!$G1258,'Dist Plant Depreciation'!$E$5:$AD$5,0))</f>
        <v>796906</v>
      </c>
      <c r="BP1258" s="113">
        <f>INDEX('Gen. Plant Depreciation'!$E$7:$AD$94,MATCH($C1258,'Gen. Plant Depreciation'!$D$7:$D$94,0),MATCH(Calculation!$G1258,'Gen. Plant Depreciation'!$E$5:$AD$5,0))</f>
        <v>22159</v>
      </c>
      <c r="BQ1258" s="113"/>
      <c r="BR1258" s="113"/>
      <c r="BS1258" s="113"/>
      <c r="BT1258" s="113"/>
      <c r="BU1258" s="113"/>
      <c r="BV1258" s="175"/>
      <c r="BW1258" s="113">
        <f>INDEX('Gross Dx Plant'!$E$7:$AD$91,MATCH($C1258,'Gross Dx Plant'!$D$7:$D$91,0),MATCH(Calculation!$G1258,'Gross Dx Plant'!$E$5:$AD$5,0))</f>
        <v>2022730</v>
      </c>
      <c r="BX1258" s="113">
        <f>INDEX('Gross Gen Plant'!$E$7:$AD$91,MATCH($C1258,'Gross Gen Plant'!$D$7:$D$91,0),MATCH(Calculation!$G1258,'Gross Gen Plant'!$E$5:$AD$5,0))</f>
        <v>170089</v>
      </c>
      <c r="BY1258" s="113">
        <f t="shared" si="2187"/>
        <v>1373754</v>
      </c>
      <c r="BZ1258" s="113"/>
      <c r="CA1258" s="116">
        <v>2003</v>
      </c>
      <c r="CB1258" s="113"/>
      <c r="CC1258" s="113"/>
      <c r="CD1258" s="113"/>
      <c r="CE1258" s="175"/>
      <c r="CF1258" s="113">
        <f t="shared" si="2283"/>
        <v>100956</v>
      </c>
      <c r="CG1258" s="113">
        <f t="shared" si="2284"/>
        <v>273.4208399696401</v>
      </c>
      <c r="CH1258" s="178">
        <v>0.97354497354497349</v>
      </c>
      <c r="CI1258" s="61">
        <f>+CI1253*CH1258+CG1254*CH1257+CG1255*CH1256+CG1256*CH1255+CG1257*CH1254+CG1258</f>
        <v>6865.5469432942145</v>
      </c>
      <c r="CJ1258" s="114">
        <f t="shared" si="2285"/>
        <v>3.4980447697117063E-2</v>
      </c>
      <c r="CK1258" s="114"/>
      <c r="CL1258" s="169">
        <f t="shared" si="2286"/>
        <v>5.6433535636374954E-3</v>
      </c>
      <c r="CM1258" s="169">
        <f t="shared" si="2294"/>
        <v>5.4706525318832357E-3</v>
      </c>
      <c r="CN1258" s="114">
        <f>VLOOKUP($H1258,RoR!$E:$F,2,FALSE)</f>
        <v>5.6666666666666671E-2</v>
      </c>
      <c r="CO1258" s="169">
        <v>1.8855119140166909E-2</v>
      </c>
      <c r="CP1258" s="169">
        <f t="shared" si="2292"/>
        <v>3.7811547526499761E-2</v>
      </c>
      <c r="CQ1258" s="169">
        <f t="shared" si="2295"/>
        <v>2.543128907665039E-2</v>
      </c>
      <c r="CR1258" s="169">
        <v>2.1375012817671957E-2</v>
      </c>
      <c r="CS1258" s="179">
        <f t="shared" si="2287"/>
        <v>0.84089999999999998</v>
      </c>
      <c r="CT1258" s="180">
        <f t="shared" si="2288"/>
        <v>0.90497737556561086</v>
      </c>
      <c r="CU1258" s="180">
        <f t="shared" si="2289"/>
        <v>0.5338235294117647</v>
      </c>
      <c r="CV1258" s="180">
        <f t="shared" si="2290"/>
        <v>0.88972433127405692</v>
      </c>
      <c r="CW1258" s="180">
        <f t="shared" si="2291"/>
        <v>0.42982423775949252</v>
      </c>
      <c r="CX1258" s="181">
        <f>INDEX('State Tax Lookup'!$D$7:$Z$91,MATCH(Calculation!$C1258,'State Tax Lookup'!$B$7:$B$91,0),MATCH($H1258,'State Tax Lookup'!$D$6:$Z$6,0))</f>
        <v>0.43</v>
      </c>
      <c r="CY1258" s="72">
        <v>0.37</v>
      </c>
      <c r="CZ1258" s="70">
        <f t="shared" si="2293"/>
        <v>13.821292673946232</v>
      </c>
      <c r="DA1258" s="70"/>
      <c r="DB1258" s="69">
        <f t="shared" ref="DB1258:DB1275" si="2296">LN(CZ1258/CZ1257)</f>
        <v>1.5505193983830327E-2</v>
      </c>
      <c r="DC1258" s="111">
        <f>VLOOKUP($H1258,RoR!$E:$F,2,FALSE)</f>
        <v>5.6666666666666671E-2</v>
      </c>
      <c r="DD1258" s="216">
        <f>HLOOKUP($H1258,'GDP-PI'!$D$8:$CQ$11,3,FALSE)</f>
        <v>1.8855119140166909E-2</v>
      </c>
      <c r="DE1258" s="111">
        <f>VLOOKUP(H1258,'HW Dx Data'!$E:$F,2,FALSE)</f>
        <v>369.23301095560191</v>
      </c>
      <c r="DF1258" s="66"/>
      <c r="DG1258" s="69"/>
      <c r="DH1258" s="66">
        <f>HLOOKUP(H1258,'GDP-PI'!$8:$9,2,FALSE)</f>
        <v>82.566999999999993</v>
      </c>
      <c r="DI1258" s="69">
        <f t="shared" ref="DI1258:DI1277" si="2297">LN(DH1258/DH1257)</f>
        <v>1.8679564681853753E-2</v>
      </c>
    </row>
    <row r="1259" spans="1:113" s="160" customFormat="1" ht="21">
      <c r="A1259" s="160" t="s">
        <v>234</v>
      </c>
      <c r="B1259" s="160" t="s">
        <v>234</v>
      </c>
      <c r="C1259" s="160">
        <v>4058284</v>
      </c>
      <c r="D1259" s="161" t="s">
        <v>235</v>
      </c>
      <c r="E1259" s="161"/>
      <c r="F1259" s="189"/>
      <c r="G1259" s="160" t="s">
        <v>115</v>
      </c>
      <c r="H1259" s="162">
        <v>2004</v>
      </c>
      <c r="I1259" s="163"/>
      <c r="J1259" s="159">
        <f>IFERROR(INDEX('Labor Expenditures'!$F$7:$X$91,MATCH($C1259,'Labor Expenditures'!$D$7:$D$91,0),MATCH($G1259,'Labor Expenditures'!$F$5:$X$5,0)),"NA")</f>
        <v>75015.407903935513</v>
      </c>
      <c r="K1259" s="159">
        <f t="shared" ref="K1259:K1277" si="2298">+J1259/DF1259</f>
        <v>795.07586543651848</v>
      </c>
      <c r="L1259" s="165"/>
      <c r="M1259" s="76"/>
      <c r="N1259" s="152"/>
      <c r="O1259" s="76"/>
      <c r="P1259" s="76"/>
      <c r="Q1259" s="159">
        <f>IFERROR(INDEX('Non-Labor Expenditures'!$F$7:$AB$91,MATCH($C1259,'Non-Labor Expenditures'!$D$7:$D$91,0),MATCH($G1259,'Non-Labor Expenditures'!$F$5:$AB$5,0)),"NA")</f>
        <v>108636.32159043233</v>
      </c>
      <c r="R1259" s="159">
        <f t="shared" ref="R1259:R1277" si="2299">+Q1259/DH1259</f>
        <v>1281.4211421646219</v>
      </c>
      <c r="S1259" s="159"/>
      <c r="T1259" s="159"/>
      <c r="U1259" s="159"/>
      <c r="V1259" s="159"/>
      <c r="W1259" s="159">
        <f t="shared" si="2281"/>
        <v>105197.30495469646</v>
      </c>
      <c r="X1259" s="163"/>
      <c r="Y1259" s="167">
        <v>7036.7508625737592</v>
      </c>
      <c r="Z1259" s="168">
        <v>2.4630831111737791E-2</v>
      </c>
      <c r="AA1259" s="76">
        <f t="shared" ref="AA1259:AA1277" si="2300">+Z1259*$AR1259</f>
        <v>0</v>
      </c>
      <c r="AB1259" s="168"/>
      <c r="AC1259" s="168"/>
      <c r="AD1259" s="163">
        <f t="shared" si="2248"/>
        <v>288849.03444906429</v>
      </c>
      <c r="AE1259" s="168"/>
      <c r="AF1259" s="163"/>
      <c r="AG1259" s="163"/>
      <c r="AH1259" s="163"/>
      <c r="AI1259" s="163"/>
      <c r="AJ1259" s="167"/>
      <c r="AK1259" s="168"/>
      <c r="AL1259" s="115">
        <f t="shared" ref="AL1259:AL1277" si="2301">+J1259/AD1259</f>
        <v>0.25970454790342651</v>
      </c>
      <c r="AM1259" s="115">
        <f t="shared" ref="AM1259:AM1277" si="2302">+Q1259/AD1259</f>
        <v>0.37610069148280045</v>
      </c>
      <c r="AN1259" s="115">
        <f t="shared" ref="AN1259:AN1277" si="2303">+W1259/AD1259</f>
        <v>0.36419476061377309</v>
      </c>
      <c r="AO1259" s="115"/>
      <c r="AP1259" s="115"/>
      <c r="AQ1259" s="168"/>
      <c r="AR1259" s="115"/>
      <c r="AS1259" s="115"/>
      <c r="AT1259" s="115"/>
      <c r="AU1259" s="115"/>
      <c r="AV1259" s="113">
        <f>IFERROR(INDEX('Total Customers'!$F$7:$AB$91,MATCH($C1259,'Total Customers'!$D$7:$D$91,0),MATCH($G1259,'Total Customers'!$F$5:$AB$5,0)),"NA")</f>
        <v>980868</v>
      </c>
      <c r="AW1259" s="68">
        <f t="shared" si="2231"/>
        <v>4.7077791944929601E-2</v>
      </c>
      <c r="AX1259" s="114"/>
      <c r="AY1259" s="114"/>
      <c r="AZ1259" s="116"/>
      <c r="BA1259" s="116"/>
      <c r="BB1259" s="166"/>
      <c r="BC1259" s="166"/>
      <c r="BD1259" s="166"/>
      <c r="BE1259" s="166"/>
      <c r="BF1259" s="166"/>
      <c r="BG1259" s="166"/>
      <c r="BH1259" s="166"/>
      <c r="BI1259" s="113"/>
      <c r="BJ1259" s="113"/>
      <c r="BK1259" s="113">
        <f>INDEX('Dist. Plant Gas Additions'!$F$7:$AE$91,MATCH($C1259,'Dist. Plant Gas Additions'!$D$7:$D$91,0),MATCH(Calculation!$G1259,'Dist. Plant Gas Additions'!$F$5:$AE$5,0))</f>
        <v>75644</v>
      </c>
      <c r="BL1259" s="113">
        <f>INDEX('Gen. Plant Additions'!$F$7:$AE$91,MATCH($C1259,'Gen. Plant Additions'!$D$7:$D$91,0),MATCH(Calculation!$G1259,'Gen. Plant Additions'!$F$5:$AE$5,0))</f>
        <v>11970</v>
      </c>
      <c r="BM1259" s="231">
        <f t="shared" si="2282"/>
        <v>0.92097043233237375</v>
      </c>
      <c r="BN1259" s="61">
        <f t="shared" si="2276"/>
        <v>11024.016075018513</v>
      </c>
      <c r="BO1259" s="113">
        <f>INDEX('Dist Plant Depreciation'!$E$7:$AD$94,MATCH($C1259,'Dist Plant Depreciation'!$D$7:$D$94,0),MATCH(Calculation!$G1259,'Dist Plant Depreciation'!$E$5:$AD$5,0))</f>
        <v>850473</v>
      </c>
      <c r="BP1259" s="113">
        <f>INDEX('Gen. Plant Depreciation'!$E$7:$AD$94,MATCH($C1259,'Gen. Plant Depreciation'!$D$7:$D$94,0),MATCH(Calculation!$G1259,'Gen. Plant Depreciation'!$E$5:$AD$5,0))</f>
        <v>23484</v>
      </c>
      <c r="BQ1259" s="113"/>
      <c r="BR1259" s="113"/>
      <c r="BS1259" s="113"/>
      <c r="BT1259" s="113"/>
      <c r="BU1259" s="113"/>
      <c r="BV1259" s="175"/>
      <c r="BW1259" s="113">
        <f>INDEX('Gross Dx Plant'!$E$7:$AD$91,MATCH($C1259,'Gross Dx Plant'!$D$7:$D$91,0),MATCH(Calculation!$G1259,'Gross Dx Plant'!$E$5:$AD$5,0))</f>
        <v>2093107</v>
      </c>
      <c r="BX1259" s="113">
        <f>INDEX('Gross Gen Plant'!$E$7:$AD$91,MATCH($C1259,'Gross Gen Plant'!$D$7:$D$91,0),MATCH(Calculation!$G1259,'Gross Gen Plant'!$E$5:$AD$5,0))</f>
        <v>179612</v>
      </c>
      <c r="BY1259" s="113">
        <f t="shared" si="2187"/>
        <v>1398762</v>
      </c>
      <c r="BZ1259" s="113"/>
      <c r="CA1259" s="116">
        <v>2004</v>
      </c>
      <c r="CB1259" s="113"/>
      <c r="CC1259" s="113"/>
      <c r="CD1259" s="113"/>
      <c r="CE1259" s="175"/>
      <c r="CF1259" s="113">
        <f t="shared" si="2283"/>
        <v>87614</v>
      </c>
      <c r="CG1259" s="113">
        <f t="shared" si="2284"/>
        <v>211.17547571047169</v>
      </c>
      <c r="CH1259" s="178">
        <v>0.967741935483871</v>
      </c>
      <c r="CI1259" s="61">
        <f>+CI1253*CH1259+CG1254*CH1258+CG1255*CH1257+CG1256*CH1256+CG1257*CH1255+CG1258*CH1254+CG1259</f>
        <v>7036.7508625737592</v>
      </c>
      <c r="CJ1259" s="114">
        <f t="shared" si="2285"/>
        <v>2.4630831111737791E-2</v>
      </c>
      <c r="CK1259" s="114"/>
      <c r="CL1259" s="169">
        <f t="shared" si="2286"/>
        <v>5.8220498324563202E-3</v>
      </c>
      <c r="CM1259" s="169">
        <f t="shared" si="2294"/>
        <v>5.733126924944665E-3</v>
      </c>
      <c r="CN1259" s="114">
        <f>VLOOKUP($H1259,RoR!$E:$F,2,FALSE)</f>
        <v>5.6283333333333331E-2</v>
      </c>
      <c r="CO1259" s="169">
        <v>2.6778252812867276E-2</v>
      </c>
      <c r="CP1259" s="169">
        <f t="shared" si="2292"/>
        <v>2.9505080520466055E-2</v>
      </c>
      <c r="CQ1259" s="169">
        <f t="shared" si="2295"/>
        <v>2.5168814683588961E-2</v>
      </c>
      <c r="CR1259" s="169">
        <v>5.5940039414565046E-2</v>
      </c>
      <c r="CS1259" s="179">
        <f t="shared" si="2287"/>
        <v>0.84089999999999998</v>
      </c>
      <c r="CT1259" s="180">
        <f t="shared" si="2288"/>
        <v>0.91114097628755619</v>
      </c>
      <c r="CU1259" s="180">
        <f t="shared" si="2289"/>
        <v>0.53081877405981637</v>
      </c>
      <c r="CV1259" s="180">
        <f t="shared" si="2290"/>
        <v>0.88811215519385678</v>
      </c>
      <c r="CW1259" s="180">
        <f t="shared" si="2291"/>
        <v>0.42953609753547711</v>
      </c>
      <c r="CX1259" s="181">
        <f>INDEX('State Tax Lookup'!$D$7:$Z$91,MATCH(Calculation!$C1259,'State Tax Lookup'!$B$7:$B$91,0),MATCH($H1259,'State Tax Lookup'!$D$6:$Z$6,0))</f>
        <v>0.43</v>
      </c>
      <c r="CY1259" s="72">
        <v>0.37</v>
      </c>
      <c r="CZ1259" s="70">
        <f t="shared" si="2293"/>
        <v>15.32249445289218</v>
      </c>
      <c r="DA1259" s="70"/>
      <c r="DB1259" s="69">
        <f t="shared" si="2296"/>
        <v>0.1031116239237488</v>
      </c>
      <c r="DC1259" s="111">
        <f>VLOOKUP($H1259,RoR!$E:$F,2,FALSE)</f>
        <v>5.6283333333333331E-2</v>
      </c>
      <c r="DD1259" s="216">
        <f>HLOOKUP($H1259,'GDP-PI'!$D$8:$CQ$11,3,FALSE)</f>
        <v>2.6778252812867276E-2</v>
      </c>
      <c r="DE1259" s="111">
        <f>VLOOKUP(H1259,'HW Dx Data'!$E:$F,2,FALSE)</f>
        <v>414.88719135228365</v>
      </c>
      <c r="DF1259" s="72">
        <f>VLOOKUP(G1259,EG$8:EH$27,2,FALSE)</f>
        <v>94.35</v>
      </c>
      <c r="DG1259" s="69"/>
      <c r="DH1259" s="66">
        <f>HLOOKUP(H1259,'GDP-PI'!$8:$9,2,FALSE)</f>
        <v>84.778000000000006</v>
      </c>
      <c r="DI1259" s="69">
        <f t="shared" si="2297"/>
        <v>2.6425990216022755E-2</v>
      </c>
    </row>
    <row r="1260" spans="1:113" s="160" customFormat="1" ht="21">
      <c r="A1260" s="160" t="s">
        <v>234</v>
      </c>
      <c r="B1260" s="160" t="s">
        <v>234</v>
      </c>
      <c r="C1260" s="160">
        <v>4058284</v>
      </c>
      <c r="D1260" s="161" t="s">
        <v>235</v>
      </c>
      <c r="E1260" s="161"/>
      <c r="F1260" s="189"/>
      <c r="G1260" s="160" t="s">
        <v>116</v>
      </c>
      <c r="H1260" s="162">
        <v>2005</v>
      </c>
      <c r="I1260" s="163"/>
      <c r="J1260" s="159">
        <f>IFERROR(INDEX('Labor Expenditures'!$F$7:$X$91,MATCH($C1260,'Labor Expenditures'!$D$7:$D$91,0),MATCH($G1260,'Labor Expenditures'!$F$5:$X$5,0)),"NA")</f>
        <v>77726.347590161648</v>
      </c>
      <c r="K1260" s="159">
        <f t="shared" si="2298"/>
        <v>783.33431685726032</v>
      </c>
      <c r="L1260" s="165">
        <f t="shared" ref="L1260:L1276" si="2304">LN(K1260/K1259)</f>
        <v>-1.4877964291617852E-2</v>
      </c>
      <c r="M1260" s="76"/>
      <c r="N1260" s="62">
        <v>100</v>
      </c>
      <c r="O1260" s="77"/>
      <c r="P1260" s="77"/>
      <c r="Q1260" s="159">
        <f>IFERROR(INDEX('Non-Labor Expenditures'!$F$7:$AB$91,MATCH($C1260,'Non-Labor Expenditures'!$D$7:$D$91,0),MATCH($G1260,'Non-Labor Expenditures'!$F$5:$AB$5,0)),"NA")</f>
        <v>112562.26858977774</v>
      </c>
      <c r="R1260" s="159">
        <f t="shared" si="2299"/>
        <v>1287.794668502268</v>
      </c>
      <c r="S1260" s="165">
        <f>LN(R1260/R1259)</f>
        <v>4.9614667522184094E-3</v>
      </c>
      <c r="T1260" s="165"/>
      <c r="U1260" s="165"/>
      <c r="V1260" s="165"/>
      <c r="W1260" s="159">
        <f t="shared" si="2281"/>
        <v>121182.06878213664</v>
      </c>
      <c r="X1260" s="163"/>
      <c r="Y1260" s="167">
        <v>7182.6381594217464</v>
      </c>
      <c r="Z1260" s="168">
        <v>2.0520208816160474E-2</v>
      </c>
      <c r="AA1260" s="76">
        <f t="shared" si="2300"/>
        <v>0</v>
      </c>
      <c r="AB1260" s="168"/>
      <c r="AC1260" s="168"/>
      <c r="AD1260" s="163">
        <f t="shared" si="2248"/>
        <v>311470.68496207602</v>
      </c>
      <c r="AE1260" s="168">
        <f>LN(AD1260/AD1259)</f>
        <v>7.5401045047925871E-2</v>
      </c>
      <c r="AF1260" s="163"/>
      <c r="AG1260" s="163"/>
      <c r="AH1260" s="163"/>
      <c r="AI1260" s="163"/>
      <c r="AJ1260" s="116"/>
      <c r="AK1260" s="114"/>
      <c r="AL1260" s="115">
        <f t="shared" si="2301"/>
        <v>0.2495462698187004</v>
      </c>
      <c r="AM1260" s="115">
        <f t="shared" si="2302"/>
        <v>0.36138960751148402</v>
      </c>
      <c r="AN1260" s="115">
        <f t="shared" si="2303"/>
        <v>0.38906412266981566</v>
      </c>
      <c r="AO1260" s="115">
        <f t="shared" ref="AO1260:AO1276" si="2305">+(((AL1260+AL1259)/2)*L1260+((AM1259+AM1260)/2)*S1260+((AN1259+AN1260)/2)*Z1260)</f>
        <v>5.7697238473019257E-3</v>
      </c>
      <c r="AP1260" s="166">
        <v>100</v>
      </c>
      <c r="AQ1260" s="168"/>
      <c r="AR1260" s="115"/>
      <c r="AS1260" s="115"/>
      <c r="AT1260" s="115"/>
      <c r="AU1260" s="115"/>
      <c r="AV1260" s="113">
        <f>IFERROR(INDEX('Total Customers'!$F$7:$AB$91,MATCH($C1260,'Total Customers'!$D$7:$D$91,0),MATCH($G1260,'Total Customers'!$F$5:$AB$5,0)),"NA")</f>
        <v>1004553</v>
      </c>
      <c r="AW1260" s="68">
        <f t="shared" si="2231"/>
        <v>2.3860051494644294E-2</v>
      </c>
      <c r="AX1260" s="114"/>
      <c r="AY1260" s="114"/>
      <c r="AZ1260" s="116"/>
      <c r="BA1260" s="116"/>
      <c r="BB1260" s="166"/>
      <c r="BC1260" s="166"/>
      <c r="BD1260" s="166"/>
      <c r="BE1260" s="166"/>
      <c r="BF1260" s="166"/>
      <c r="BG1260" s="166"/>
      <c r="BH1260" s="166"/>
      <c r="BI1260" s="113"/>
      <c r="BJ1260" s="113"/>
      <c r="BK1260" s="113">
        <f>INDEX('Dist. Plant Gas Additions'!$F$7:$AE$91,MATCH($C1260,'Dist. Plant Gas Additions'!$D$7:$D$91,0),MATCH(Calculation!$G1260,'Dist. Plant Gas Additions'!$F$5:$AE$5,0))</f>
        <v>70998</v>
      </c>
      <c r="BL1260" s="113">
        <f>INDEX('Gen. Plant Additions'!$F$7:$AE$91,MATCH($C1260,'Gen. Plant Additions'!$D$7:$D$91,0),MATCH(Calculation!$G1260,'Gen. Plant Additions'!$F$5:$AE$5,0))</f>
        <v>17310</v>
      </c>
      <c r="BM1260" s="231">
        <f t="shared" si="2282"/>
        <v>0.91767702872646173</v>
      </c>
      <c r="BN1260" s="61">
        <f t="shared" si="2276"/>
        <v>15884.989367255053</v>
      </c>
      <c r="BO1260" s="113">
        <f>INDEX('Dist Plant Depreciation'!$E$7:$AD$94,MATCH($C1260,'Dist Plant Depreciation'!$D$7:$D$94,0),MATCH(Calculation!$G1260,'Dist Plant Depreciation'!$E$5:$AD$5,0))</f>
        <v>907746</v>
      </c>
      <c r="BP1260" s="113">
        <f>INDEX('Gen. Plant Depreciation'!$E$7:$AD$94,MATCH($C1260,'Gen. Plant Depreciation'!$D$7:$D$94,0),MATCH(Calculation!$G1260,'Gen. Plant Depreciation'!$E$5:$AD$5,0))</f>
        <v>24842</v>
      </c>
      <c r="BQ1260" s="113"/>
      <c r="BR1260" s="113"/>
      <c r="BS1260" s="113"/>
      <c r="BT1260" s="113"/>
      <c r="BU1260" s="113"/>
      <c r="BV1260" s="175"/>
      <c r="BW1260" s="113">
        <f>INDEX('Gross Dx Plant'!$E$7:$AD$91,MATCH($C1260,'Gross Dx Plant'!$D$7:$D$91,0),MATCH(Calculation!$G1260,'Gross Dx Plant'!$E$5:$AD$5,0))</f>
        <v>2160688</v>
      </c>
      <c r="BX1260" s="113">
        <f>INDEX('Gross Gen Plant'!$E$7:$AD$91,MATCH($C1260,'Gross Gen Plant'!$D$7:$D$91,0),MATCH(Calculation!$G1260,'Gross Gen Plant'!$E$5:$AD$5,0))</f>
        <v>193831</v>
      </c>
      <c r="BY1260" s="113">
        <f t="shared" si="2187"/>
        <v>1421931</v>
      </c>
      <c r="BZ1260" s="113"/>
      <c r="CA1260" s="116">
        <v>2005</v>
      </c>
      <c r="CB1260" s="113"/>
      <c r="CC1260" s="113"/>
      <c r="CD1260" s="113"/>
      <c r="CE1260" s="175"/>
      <c r="CF1260" s="113">
        <f t="shared" si="2283"/>
        <v>88308</v>
      </c>
      <c r="CG1260" s="113">
        <f t="shared" si="2284"/>
        <v>188.20765674955584</v>
      </c>
      <c r="CH1260" s="178">
        <v>0.96174863387978138</v>
      </c>
      <c r="CI1260" s="61">
        <f>+CI1253*CH1260+CG1254*CH1259+CG1255*CH1258+CG1256*CH1257+CG1257*CH1256+CG1258*CH1255+CG1259*CH1254+CG1260</f>
        <v>7182.6381594217464</v>
      </c>
      <c r="CJ1260" s="114">
        <f t="shared" si="2285"/>
        <v>2.0520208816160474E-2</v>
      </c>
      <c r="CK1260" s="114"/>
      <c r="CL1260" s="169">
        <f t="shared" si="2286"/>
        <v>6.0141904592156455E-3</v>
      </c>
      <c r="CM1260" s="169">
        <f t="shared" si="2294"/>
        <v>5.8265312851031531E-3</v>
      </c>
      <c r="CN1260" s="114">
        <f>VLOOKUP($H1260,RoR!$E:$F,2,FALSE)</f>
        <v>5.2350000000000001E-2</v>
      </c>
      <c r="CO1260" s="169">
        <v>3.1010403642454332E-2</v>
      </c>
      <c r="CP1260" s="169">
        <f t="shared" si="2292"/>
        <v>2.1339596357545669E-2</v>
      </c>
      <c r="CQ1260" s="169">
        <f t="shared" si="2295"/>
        <v>2.5075410323430473E-2</v>
      </c>
      <c r="CR1260" s="169">
        <v>9.2129610649277341E-2</v>
      </c>
      <c r="CS1260" s="179">
        <f t="shared" si="2287"/>
        <v>0.84089999999999998</v>
      </c>
      <c r="CT1260" s="180">
        <f t="shared" si="2288"/>
        <v>0.97959983346802826</v>
      </c>
      <c r="CU1260" s="180">
        <f t="shared" si="2289"/>
        <v>0.49744508118433622</v>
      </c>
      <c r="CV1260" s="180">
        <f t="shared" si="2290"/>
        <v>0.87010519444335932</v>
      </c>
      <c r="CW1260" s="180">
        <f t="shared" si="2291"/>
        <v>0.42399975420741998</v>
      </c>
      <c r="CX1260" s="181">
        <f>INDEX('State Tax Lookup'!$D$7:$Z$91,MATCH(Calculation!$C1260,'State Tax Lookup'!$B$7:$B$91,0),MATCH($H1260,'State Tax Lookup'!$D$6:$Z$6,0))</f>
        <v>0.43</v>
      </c>
      <c r="CY1260" s="72">
        <v>0.37</v>
      </c>
      <c r="CZ1260" s="70">
        <f t="shared" si="2293"/>
        <v>17.221310111555255</v>
      </c>
      <c r="DA1260" s="70"/>
      <c r="DB1260" s="69">
        <f t="shared" si="2296"/>
        <v>0.116825602561991</v>
      </c>
      <c r="DC1260" s="111">
        <f>VLOOKUP($H1260,RoR!$E:$F,2,FALSE)</f>
        <v>5.2350000000000001E-2</v>
      </c>
      <c r="DD1260" s="216">
        <f>HLOOKUP($H1260,'GDP-PI'!$D$8:$CQ$11,3,FALSE)</f>
        <v>3.1010403642454332E-2</v>
      </c>
      <c r="DE1260" s="111">
        <f>VLOOKUP(H1260,'HW Dx Data'!$E:$F,2,FALSE)</f>
        <v>469.20514034936258</v>
      </c>
      <c r="DF1260" s="72">
        <f t="shared" ref="DF1260:DF1278" si="2306">VLOOKUP(G1260,EG$8:EH$27,2,FALSE)</f>
        <v>99.224999999999994</v>
      </c>
      <c r="DG1260" s="69">
        <f t="shared" ref="DG1260:DG1278" si="2307">LN(DF1260/DF1259)</f>
        <v>5.0378726854569796E-2</v>
      </c>
      <c r="DH1260" s="66">
        <f>HLOOKUP(H1260,'GDP-PI'!$8:$9,2,FALSE)</f>
        <v>87.406999999999996</v>
      </c>
      <c r="DI1260" s="69">
        <f t="shared" si="2297"/>
        <v>3.0539295810733648E-2</v>
      </c>
    </row>
    <row r="1261" spans="1:113" s="160" customFormat="1" ht="21">
      <c r="A1261" s="160" t="s">
        <v>234</v>
      </c>
      <c r="B1261" s="160" t="s">
        <v>234</v>
      </c>
      <c r="C1261" s="160">
        <v>4058284</v>
      </c>
      <c r="D1261" s="161" t="s">
        <v>235</v>
      </c>
      <c r="E1261" s="161"/>
      <c r="F1261" s="189"/>
      <c r="G1261" s="160" t="s">
        <v>117</v>
      </c>
      <c r="H1261" s="162">
        <v>2006</v>
      </c>
      <c r="I1261" s="163"/>
      <c r="J1261" s="159">
        <f>IFERROR(INDEX('Labor Expenditures'!$F$7:$X$91,MATCH($C1261,'Labor Expenditures'!$D$7:$D$91,0),MATCH($G1261,'Labor Expenditures'!$F$5:$X$5,0)),"NA")</f>
        <v>78034.766388958175</v>
      </c>
      <c r="K1261" s="159">
        <f t="shared" si="2298"/>
        <v>713.29768180034887</v>
      </c>
      <c r="L1261" s="165">
        <f t="shared" si="2304"/>
        <v>-9.3660734717517957E-2</v>
      </c>
      <c r="M1261" s="76">
        <f t="shared" ref="M1261:M1277" si="2308">+L1261*$AR1261</f>
        <v>-3.6687723055254524E-3</v>
      </c>
      <c r="N1261" s="62">
        <f>+N1260*EXP(O1261)</f>
        <v>115.58338471622798</v>
      </c>
      <c r="O1261" s="96">
        <f t="shared" ref="O1261:O1277" si="2309">+M1261+M1286+M1311+M1336+M1361+M1386+M1411+M1436+M1461+M1486+M1511+M1536+M1561+M1586+M1611+M1636+M1661+M1686+M1711+M1736+M1761+M1786+M1811+M1836+M1861+M1886+M1911+M1936+M1961+M1986+M2011+M2036+M2061+M2086+M2111+M2136+M2161+M2186+M2211+M2236+M2261+M2286+M2311+M2336+M2361+M2386+M2411+M2436+M2461+M2486+M2511+M2536+M2561+M2586</f>
        <v>0.14482202909144254</v>
      </c>
      <c r="P1261" s="96"/>
      <c r="Q1261" s="159">
        <f>IFERROR(INDEX('Non-Labor Expenditures'!$F$7:$AB$91,MATCH($C1261,'Non-Labor Expenditures'!$D$7:$D$91,0),MATCH($G1261,'Non-Labor Expenditures'!$F$5:$AB$5,0)),"NA")</f>
        <v>113008.91661512075</v>
      </c>
      <c r="R1261" s="159">
        <f t="shared" si="2299"/>
        <v>1254.6230501045891</v>
      </c>
      <c r="S1261" s="165">
        <f t="shared" ref="S1261:S1276" si="2310">LN(R1261/R1260)</f>
        <v>-2.609602712422043E-2</v>
      </c>
      <c r="T1261" s="165">
        <f t="shared" ref="T1261:T1277" si="2311">+S1261*AR1261</f>
        <v>-1.0222040419214649E-3</v>
      </c>
      <c r="U1261" s="165"/>
      <c r="V1261" s="165"/>
      <c r="W1261" s="159">
        <f t="shared" si="2281"/>
        <v>120741.77609247358</v>
      </c>
      <c r="X1261" s="163"/>
      <c r="Y1261" s="167">
        <v>7422.4656969592106</v>
      </c>
      <c r="Z1261" s="168">
        <v>3.2844558902902853E-2</v>
      </c>
      <c r="AA1261" s="76">
        <f t="shared" si="2300"/>
        <v>1.286549891516404E-3</v>
      </c>
      <c r="AB1261" s="168"/>
      <c r="AC1261" s="168"/>
      <c r="AD1261" s="163">
        <f t="shared" si="2248"/>
        <v>311785.45909655251</v>
      </c>
      <c r="AE1261" s="168">
        <f t="shared" ref="AE1261:AE1277" si="2312">LN(AD1261/AD1260)</f>
        <v>1.0100956540601829E-3</v>
      </c>
      <c r="AF1261" s="163"/>
      <c r="AG1261" s="163"/>
      <c r="AH1261" s="163"/>
      <c r="AI1261" s="163"/>
      <c r="AJ1261" s="116">
        <f t="shared" ref="AJ1261:AJ1277" si="2313">+(AD1261*1000)/AV1261</f>
        <v>302.39899431307464</v>
      </c>
      <c r="AK1261" s="114">
        <f>+AV1261/$AX$11</f>
        <v>2.9728861674724143E-2</v>
      </c>
      <c r="AL1261" s="115">
        <f t="shared" si="2301"/>
        <v>0.25028353347547444</v>
      </c>
      <c r="AM1261" s="115">
        <f t="shared" si="2302"/>
        <v>0.36245730298834938</v>
      </c>
      <c r="AN1261" s="115">
        <f t="shared" si="2303"/>
        <v>0.38725916353617612</v>
      </c>
      <c r="AO1261" s="115">
        <f t="shared" si="2305"/>
        <v>-2.0102979659471942E-2</v>
      </c>
      <c r="AP1261" s="166">
        <f>+AP1260*EXP(AO1261)</f>
        <v>98.009773797839543</v>
      </c>
      <c r="AQ1261" s="168">
        <f>LN(AP1261/AP1260)</f>
        <v>-2.0102979659471949E-2</v>
      </c>
      <c r="AR1261" s="169">
        <f>+AD1261/$AF$11</f>
        <v>3.9170868310936482E-2</v>
      </c>
      <c r="AS1261" s="169">
        <f>+AR1261*AQ1261</f>
        <v>-7.8745116889861048E-4</v>
      </c>
      <c r="AT1261" s="115"/>
      <c r="AU1261" s="115"/>
      <c r="AV1261" s="113">
        <f>IFERROR(INDEX('Total Customers'!$F$7:$AB$91,MATCH($C1261,'Total Customers'!$D$7:$D$91,0),MATCH($G1261,'Total Customers'!$F$5:$AB$5,0)),"NA")</f>
        <v>1031040</v>
      </c>
      <c r="AW1261" s="68">
        <f t="shared" si="2231"/>
        <v>2.6025335117019096E-2</v>
      </c>
      <c r="AX1261" s="114"/>
      <c r="AY1261" s="114"/>
      <c r="AZ1261" s="116"/>
      <c r="BA1261" s="116"/>
      <c r="BB1261" s="166"/>
      <c r="BC1261" s="166"/>
      <c r="BD1261" s="166"/>
      <c r="BE1261" s="166"/>
      <c r="BF1261" s="166"/>
      <c r="BG1261" s="166"/>
      <c r="BH1261" s="166"/>
      <c r="BI1261" s="113"/>
      <c r="BJ1261" s="113"/>
      <c r="BK1261" s="113">
        <f>INDEX('Dist. Plant Gas Additions'!$F$7:$AE$91,MATCH($C1261,'Dist. Plant Gas Additions'!$D$7:$D$91,0),MATCH(Calculation!$G1261,'Dist. Plant Gas Additions'!$F$5:$AE$5,0))</f>
        <v>116598</v>
      </c>
      <c r="BL1261" s="113">
        <f>INDEX('Gen. Plant Additions'!$F$7:$AE$91,MATCH($C1261,'Gen. Plant Additions'!$D$7:$D$91,0),MATCH(Calculation!$G1261,'Gen. Plant Additions'!$F$5:$AE$5,0))</f>
        <v>14571</v>
      </c>
      <c r="BM1261" s="231">
        <f t="shared" si="2282"/>
        <v>0.91483227994307625</v>
      </c>
      <c r="BN1261" s="61">
        <f t="shared" si="2276"/>
        <v>13330.021151050563</v>
      </c>
      <c r="BO1261" s="113">
        <f>INDEX('Dist Plant Depreciation'!$E$7:$AD$94,MATCH($C1261,'Dist Plant Depreciation'!$D$7:$D$94,0),MATCH(Calculation!$G1261,'Dist Plant Depreciation'!$E$5:$AD$5,0))</f>
        <v>905173</v>
      </c>
      <c r="BP1261" s="113">
        <f>INDEX('Gen. Plant Depreciation'!$E$7:$AD$94,MATCH($C1261,'Gen. Plant Depreciation'!$D$7:$D$94,0),MATCH(Calculation!$G1261,'Gen. Plant Depreciation'!$E$5:$AD$5,0))</f>
        <v>28000</v>
      </c>
      <c r="BQ1261" s="113"/>
      <c r="BR1261" s="113"/>
      <c r="BS1261" s="113"/>
      <c r="BT1261" s="113"/>
      <c r="BU1261" s="113"/>
      <c r="BV1261" s="175"/>
      <c r="BW1261" s="113">
        <f>INDEX('Gross Dx Plant'!$E$7:$AD$91,MATCH($C1261,'Gross Dx Plant'!$D$7:$D$91,0),MATCH(Calculation!$G1261,'Gross Dx Plant'!$E$5:$AD$5,0))</f>
        <v>2271180</v>
      </c>
      <c r="BX1261" s="113">
        <f>INDEX('Gross Gen Plant'!$E$7:$AD$91,MATCH($C1261,'Gross Gen Plant'!$D$7:$D$91,0),MATCH(Calculation!$G1261,'Gross Gen Plant'!$E$5:$AD$5,0))</f>
        <v>211439</v>
      </c>
      <c r="BY1261" s="113">
        <f t="shared" si="2187"/>
        <v>1549446</v>
      </c>
      <c r="BZ1261" s="114"/>
      <c r="CA1261" s="116">
        <v>2006</v>
      </c>
      <c r="CB1261" s="113"/>
      <c r="CC1261" s="113"/>
      <c r="CD1261" s="113"/>
      <c r="CE1261" s="175"/>
      <c r="CF1261" s="113">
        <f t="shared" si="2283"/>
        <v>131169</v>
      </c>
      <c r="CG1261" s="113">
        <f t="shared" si="2284"/>
        <v>284.47858555971521</v>
      </c>
      <c r="CH1261" s="178">
        <v>0.9555555555555556</v>
      </c>
      <c r="CI1261" s="61">
        <f>+CI1253*CH1261+CG1254*CH1260+CG1255*CH1259+CG1256*CH1258+CG1257*CH1257+CG1258*CH1256+CG1259*CH1255+CG1260*CH1254+CG1261</f>
        <v>7422.4656969592106</v>
      </c>
      <c r="CJ1261" s="114">
        <f t="shared" si="2285"/>
        <v>3.2844558902902853E-2</v>
      </c>
      <c r="CK1261" s="114"/>
      <c r="CL1261" s="169">
        <f t="shared" si="2286"/>
        <v>6.2165247686437469E-3</v>
      </c>
      <c r="CM1261" s="169">
        <f t="shared" si="2294"/>
        <v>6.0175883534385709E-3</v>
      </c>
      <c r="CN1261" s="114">
        <f>VLOOKUP($H1261,RoR!$E:$F,2,FALSE)</f>
        <v>5.5874999999999994E-2</v>
      </c>
      <c r="CO1261" s="169">
        <v>3.0512430354548314E-2</v>
      </c>
      <c r="CP1261" s="169">
        <f t="shared" si="2292"/>
        <v>2.536256964545168E-2</v>
      </c>
      <c r="CQ1261" s="169">
        <f t="shared" si="2295"/>
        <v>2.4884353255095054E-2</v>
      </c>
      <c r="CR1261" s="169">
        <v>7.9087823893859641E-2</v>
      </c>
      <c r="CS1261" s="179">
        <f t="shared" si="2287"/>
        <v>0.84089999999999998</v>
      </c>
      <c r="CT1261" s="180">
        <f t="shared" si="2288"/>
        <v>0.91779957551769631</v>
      </c>
      <c r="CU1261" s="180">
        <f t="shared" si="2289"/>
        <v>0.52757270693512304</v>
      </c>
      <c r="CV1261" s="180">
        <f t="shared" si="2290"/>
        <v>0.88636824549024895</v>
      </c>
      <c r="CW1261" s="180">
        <f t="shared" si="2291"/>
        <v>0.42918482841932087</v>
      </c>
      <c r="CX1261" s="181">
        <f>INDEX('State Tax Lookup'!$D$7:$Z$91,MATCH(Calculation!$C1261,'State Tax Lookup'!$B$7:$B$91,0),MATCH($H1261,'State Tax Lookup'!$D$6:$Z$6,0))</f>
        <v>0.43</v>
      </c>
      <c r="CY1261" s="72">
        <v>0.37</v>
      </c>
      <c r="CZ1261" s="70">
        <f t="shared" si="2293"/>
        <v>16.810226745738525</v>
      </c>
      <c r="DA1261" s="70">
        <v>14.788696346247992</v>
      </c>
      <c r="DB1261" s="69">
        <f t="shared" si="2296"/>
        <v>-2.4160140845306578E-2</v>
      </c>
      <c r="DC1261" s="111">
        <f>VLOOKUP($H1261,RoR!$E:$F,2,FALSE)</f>
        <v>5.5874999999999994E-2</v>
      </c>
      <c r="DD1261" s="216">
        <f>HLOOKUP($H1261,'GDP-PI'!$D$8:$CQ$11,3,FALSE)</f>
        <v>3.0512430354548314E-2</v>
      </c>
      <c r="DE1261" s="111">
        <f>VLOOKUP(H1261,'HW Dx Data'!$E:$F,2,FALSE)</f>
        <v>461.08567272971823</v>
      </c>
      <c r="DF1261" s="72">
        <f t="shared" si="2306"/>
        <v>109.4</v>
      </c>
      <c r="DG1261" s="69">
        <f t="shared" si="2307"/>
        <v>9.7620891318751846E-2</v>
      </c>
      <c r="DH1261" s="66">
        <f>HLOOKUP(H1261,'GDP-PI'!$8:$9,2,FALSE)</f>
        <v>90.073999999999998</v>
      </c>
      <c r="DI1261" s="69">
        <f t="shared" si="2297"/>
        <v>3.005618372545445E-2</v>
      </c>
    </row>
    <row r="1262" spans="1:113" s="160" customFormat="1" ht="21">
      <c r="A1262" s="160" t="s">
        <v>234</v>
      </c>
      <c r="B1262" s="160" t="s">
        <v>234</v>
      </c>
      <c r="C1262" s="160">
        <v>4058284</v>
      </c>
      <c r="D1262" s="161" t="s">
        <v>235</v>
      </c>
      <c r="E1262" s="161"/>
      <c r="F1262" s="189"/>
      <c r="G1262" s="160" t="s">
        <v>118</v>
      </c>
      <c r="H1262" s="162">
        <v>2007</v>
      </c>
      <c r="I1262" s="163"/>
      <c r="J1262" s="159">
        <f>IFERROR(INDEX('Labor Expenditures'!$F$7:$X$91,MATCH($C1262,'Labor Expenditures'!$D$7:$D$91,0),MATCH($G1262,'Labor Expenditures'!$F$5:$X$5,0)),"NA")</f>
        <v>81767.656372917074</v>
      </c>
      <c r="K1262" s="159">
        <f t="shared" si="2298"/>
        <v>782.27846326636768</v>
      </c>
      <c r="L1262" s="165">
        <f t="shared" si="2304"/>
        <v>9.2311928979123992E-2</v>
      </c>
      <c r="M1262" s="76">
        <f t="shared" si="2308"/>
        <v>3.6683822320881816E-3</v>
      </c>
      <c r="N1262" s="62">
        <f t="shared" ref="N1262:N1275" si="2314">+N1261*EXP(O1262)</f>
        <v>119.91737762294706</v>
      </c>
      <c r="O1262" s="96">
        <f t="shared" si="2309"/>
        <v>3.681077075511785E-2</v>
      </c>
      <c r="P1262" s="96"/>
      <c r="Q1262" s="159">
        <f>IFERROR(INDEX('Non-Labor Expenditures'!$F$7:$AB$91,MATCH($C1262,'Non-Labor Expenditures'!$D$7:$D$91,0),MATCH($G1262,'Non-Labor Expenditures'!$F$5:$AB$5,0)),"NA")</f>
        <v>118414.83851956976</v>
      </c>
      <c r="R1262" s="159">
        <f t="shared" si="2299"/>
        <v>1280.188096170401</v>
      </c>
      <c r="S1262" s="165">
        <f t="shared" si="2310"/>
        <v>2.0171848283833688E-2</v>
      </c>
      <c r="T1262" s="165">
        <f t="shared" si="2311"/>
        <v>8.0160874819903689E-4</v>
      </c>
      <c r="U1262" s="165"/>
      <c r="V1262" s="165"/>
      <c r="W1262" s="159">
        <f t="shared" si="2281"/>
        <v>133932.7986222099</v>
      </c>
      <c r="X1262" s="163"/>
      <c r="Y1262" s="167">
        <v>7793.8275072053611</v>
      </c>
      <c r="Z1262" s="168">
        <v>4.882076903565561E-2</v>
      </c>
      <c r="AA1262" s="76">
        <f t="shared" si="2300"/>
        <v>1.9400877402072402E-3</v>
      </c>
      <c r="AB1262" s="168"/>
      <c r="AC1262" s="168"/>
      <c r="AD1262" s="163">
        <f t="shared" si="2248"/>
        <v>334115.29351469676</v>
      </c>
      <c r="AE1262" s="168">
        <f t="shared" si="2312"/>
        <v>6.9170803394056735E-2</v>
      </c>
      <c r="AF1262" s="163"/>
      <c r="AG1262" s="163"/>
      <c r="AH1262" s="163"/>
      <c r="AI1262" s="163"/>
      <c r="AJ1262" s="116">
        <f t="shared" si="2313"/>
        <v>318.83146936762114</v>
      </c>
      <c r="AK1262" s="114">
        <f>+AV1262/$AX$12</f>
        <v>2.9988568460276879E-2</v>
      </c>
      <c r="AL1262" s="115">
        <f t="shared" si="2301"/>
        <v>0.24472886443709094</v>
      </c>
      <c r="AM1262" s="115">
        <f t="shared" si="2302"/>
        <v>0.35441310475170162</v>
      </c>
      <c r="AN1262" s="115">
        <f t="shared" si="2303"/>
        <v>0.40085803081120736</v>
      </c>
      <c r="AO1262" s="115">
        <f t="shared" si="2305"/>
        <v>4.9316318971127704E-2</v>
      </c>
      <c r="AP1262" s="166">
        <f>+AP1261*EXP(AO1262)</f>
        <v>102.96442346376251</v>
      </c>
      <c r="AQ1262" s="168">
        <f>LN(AP1262/AP1261)</f>
        <v>4.931631897112769E-2</v>
      </c>
      <c r="AR1262" s="169">
        <f>+AD1262/$AF$12</f>
        <v>3.9738983603275942E-2</v>
      </c>
      <c r="AS1262" s="169">
        <f t="shared" ref="AS1262:AS1276" si="2315">+AR1262*AQ1262</f>
        <v>1.9597803909675695E-3</v>
      </c>
      <c r="AT1262" s="115"/>
      <c r="AU1262" s="115"/>
      <c r="AV1262" s="113">
        <f>IFERROR(INDEX('Total Customers'!$F$7:$AB$91,MATCH($C1262,'Total Customers'!$D$7:$D$91,0),MATCH($G1262,'Total Customers'!$F$5:$AB$5,0)),"NA")</f>
        <v>1047937</v>
      </c>
      <c r="AW1262" s="68">
        <f t="shared" si="2231"/>
        <v>1.6255468021666514E-2</v>
      </c>
      <c r="AX1262" s="114"/>
      <c r="AY1262" s="114"/>
      <c r="AZ1262" s="116"/>
      <c r="BA1262" s="116"/>
      <c r="BB1262" s="166"/>
      <c r="BC1262" s="166"/>
      <c r="BD1262" s="166"/>
      <c r="BE1262" s="166"/>
      <c r="BF1262" s="166"/>
      <c r="BG1262" s="166"/>
      <c r="BH1262" s="166"/>
      <c r="BI1262" s="113"/>
      <c r="BJ1262" s="113"/>
      <c r="BK1262" s="113">
        <f>INDEX('Dist. Plant Gas Additions'!$F$7:$AE$91,MATCH($C1262,'Dist. Plant Gas Additions'!$D$7:$D$91,0),MATCH(Calculation!$G1262,'Dist. Plant Gas Additions'!$F$5:$AE$5,0))</f>
        <v>87593</v>
      </c>
      <c r="BL1262" s="113">
        <f>INDEX('Gen. Plant Additions'!$F$7:$AE$91,MATCH($C1262,'Gen. Plant Additions'!$D$7:$D$91,0),MATCH(Calculation!$G1262,'Gen. Plant Additions'!$F$5:$AE$5,0))</f>
        <v>121039</v>
      </c>
      <c r="BM1262" s="231">
        <f t="shared" si="2282"/>
        <v>0.92082409341154936</v>
      </c>
      <c r="BN1262" s="61">
        <f t="shared" si="2276"/>
        <v>111455.62744244053</v>
      </c>
      <c r="BO1262" s="113">
        <f>INDEX('Dist Plant Depreciation'!$E$7:$AD$94,MATCH($C1262,'Dist Plant Depreciation'!$D$7:$D$94,0),MATCH(Calculation!$G1262,'Dist Plant Depreciation'!$E$5:$AD$5,0))</f>
        <v>972645</v>
      </c>
      <c r="BP1262" s="113">
        <f>INDEX('Gen. Plant Depreciation'!$E$7:$AD$94,MATCH($C1262,'Gen. Plant Depreciation'!$D$7:$D$94,0),MATCH(Calculation!$G1262,'Gen. Plant Depreciation'!$E$5:$AD$5,0))</f>
        <v>11132</v>
      </c>
      <c r="BQ1262" s="113"/>
      <c r="BR1262" s="113"/>
      <c r="BS1262" s="113"/>
      <c r="BT1262" s="113"/>
      <c r="BU1262" s="113"/>
      <c r="BV1262" s="175"/>
      <c r="BW1262" s="113">
        <f>INDEX('Gross Dx Plant'!$E$7:$AD$91,MATCH($C1262,'Gross Dx Plant'!$D$7:$D$91,0),MATCH(Calculation!$G1262,'Gross Dx Plant'!$E$5:$AD$5,0))</f>
        <v>2353154</v>
      </c>
      <c r="BX1262" s="113">
        <f>INDEX('Gross Gen Plant'!$E$7:$AD$91,MATCH($C1262,'Gross Gen Plant'!$D$7:$D$91,0),MATCH(Calculation!$G1262,'Gross Gen Plant'!$E$5:$AD$5,0))</f>
        <v>202333</v>
      </c>
      <c r="BY1262" s="113">
        <f t="shared" si="2187"/>
        <v>1571710</v>
      </c>
      <c r="BZ1262" s="113"/>
      <c r="CA1262" s="116">
        <v>2007</v>
      </c>
      <c r="CB1262" s="113"/>
      <c r="CC1262" s="113"/>
      <c r="CD1262" s="113"/>
      <c r="CE1262" s="175"/>
      <c r="CF1262" s="113">
        <f t="shared" si="2283"/>
        <v>208632</v>
      </c>
      <c r="CG1262" s="113">
        <f t="shared" si="2284"/>
        <v>418.92098710489353</v>
      </c>
      <c r="CH1262" s="178">
        <v>0.94915254237288138</v>
      </c>
      <c r="CI1262" s="61">
        <f>+CI1253*CH1262+CG1254*CH1261+CG1255*CH1260+CG1256*CH1259+CG1257*CH1258+CG1258*CH1257+CG1259*CH1256+CG1260*CH1255+CG1261*CH1254+CG1262</f>
        <v>7793.8275072053611</v>
      </c>
      <c r="CJ1262" s="114">
        <f t="shared" si="2285"/>
        <v>4.882076903565561E-2</v>
      </c>
      <c r="CK1262" s="114"/>
      <c r="CL1262" s="169">
        <f t="shared" si="2286"/>
        <v>6.4074633417607772E-3</v>
      </c>
      <c r="CM1262" s="169">
        <f t="shared" si="2294"/>
        <v>6.2127261898733896E-3</v>
      </c>
      <c r="CN1262" s="114">
        <f>VLOOKUP($H1262,RoR!$E:$F,2,FALSE)</f>
        <v>5.5558333333333321E-2</v>
      </c>
      <c r="CO1262" s="169">
        <v>2.691120634145272E-2</v>
      </c>
      <c r="CP1262" s="169">
        <f t="shared" si="2292"/>
        <v>2.86471269918806E-2</v>
      </c>
      <c r="CQ1262" s="169">
        <f t="shared" si="2295"/>
        <v>2.4689215418660235E-2</v>
      </c>
      <c r="CR1262" s="169">
        <v>6.4575155250632399E-2</v>
      </c>
      <c r="CS1262" s="179">
        <f t="shared" si="2287"/>
        <v>0.84089999999999998</v>
      </c>
      <c r="CT1262" s="180">
        <f t="shared" si="2288"/>
        <v>0.92303077153834634</v>
      </c>
      <c r="CU1262" s="180">
        <f t="shared" si="2289"/>
        <v>0.52502249887505614</v>
      </c>
      <c r="CV1262" s="180">
        <f t="shared" si="2290"/>
        <v>0.88499666072084604</v>
      </c>
      <c r="CW1262" s="180">
        <f t="shared" si="2291"/>
        <v>0.42887993290280618</v>
      </c>
      <c r="CX1262" s="181">
        <f>INDEX('State Tax Lookup'!$D$7:$Z$91,MATCH(Calculation!$C1262,'State Tax Lookup'!$B$7:$B$91,0),MATCH($H1262,'State Tax Lookup'!$D$6:$Z$6,0))</f>
        <v>0.43</v>
      </c>
      <c r="CY1262" s="72">
        <v>0.37</v>
      </c>
      <c r="CZ1262" s="70">
        <f t="shared" si="2293"/>
        <v>18.044246223607157</v>
      </c>
      <c r="DA1262" s="70">
        <v>16.108943221861779</v>
      </c>
      <c r="DB1262" s="69">
        <f t="shared" si="2296"/>
        <v>7.0839429115407831E-2</v>
      </c>
      <c r="DC1262" s="111">
        <f>VLOOKUP($H1262,RoR!$E:$F,2,FALSE)</f>
        <v>5.5558333333333321E-2</v>
      </c>
      <c r="DD1262" s="216">
        <f>HLOOKUP($H1262,'GDP-PI'!$D$8:$CQ$11,3,FALSE)</f>
        <v>2.691120634145272E-2</v>
      </c>
      <c r="DE1262" s="111">
        <f>VLOOKUP(H1262,'HW Dx Data'!$E:$F,2,FALSE)</f>
        <v>498.0223154772637</v>
      </c>
      <c r="DF1262" s="72">
        <f t="shared" si="2306"/>
        <v>104.52499999999999</v>
      </c>
      <c r="DG1262" s="69">
        <f t="shared" si="2307"/>
        <v>-4.5584612745252218E-2</v>
      </c>
      <c r="DH1262" s="66">
        <f>HLOOKUP(H1262,'GDP-PI'!$8:$9,2,FALSE)</f>
        <v>92.498000000000005</v>
      </c>
      <c r="DI1262" s="69">
        <f t="shared" si="2297"/>
        <v>2.6555467950038037E-2</v>
      </c>
    </row>
    <row r="1263" spans="1:113" s="160" customFormat="1" ht="21">
      <c r="A1263" s="160" t="s">
        <v>234</v>
      </c>
      <c r="B1263" s="160" t="s">
        <v>234</v>
      </c>
      <c r="C1263" s="160">
        <v>4058284</v>
      </c>
      <c r="D1263" s="161" t="s">
        <v>235</v>
      </c>
      <c r="E1263" s="161"/>
      <c r="F1263" s="189"/>
      <c r="G1263" s="160" t="s">
        <v>120</v>
      </c>
      <c r="H1263" s="162">
        <v>2008</v>
      </c>
      <c r="I1263" s="163"/>
      <c r="J1263" s="159">
        <f>IFERROR(INDEX('Labor Expenditures'!$F$7:$X$91,MATCH($C1263,'Labor Expenditures'!$D$7:$D$91,0),MATCH($G1263,'Labor Expenditures'!$F$5:$X$5,0)),"NA")</f>
        <v>80446.400946603288</v>
      </c>
      <c r="K1263" s="159">
        <f t="shared" si="2298"/>
        <v>745.56442026509069</v>
      </c>
      <c r="L1263" s="165">
        <f t="shared" si="2304"/>
        <v>-4.806922566214919E-2</v>
      </c>
      <c r="M1263" s="76">
        <f t="shared" si="2308"/>
        <v>-1.9074856101312368E-3</v>
      </c>
      <c r="N1263" s="62">
        <f t="shared" si="2314"/>
        <v>113.73756238553761</v>
      </c>
      <c r="O1263" s="96">
        <f t="shared" si="2309"/>
        <v>-5.2909275647431156E-2</v>
      </c>
      <c r="P1263" s="96"/>
      <c r="Q1263" s="159">
        <f>IFERROR(INDEX('Non-Labor Expenditures'!$F$7:$AB$91,MATCH($C1263,'Non-Labor Expenditures'!$D$7:$D$91,0),MATCH($G1263,'Non-Labor Expenditures'!$F$5:$AB$5,0)),"NA")</f>
        <v>116501.41388579398</v>
      </c>
      <c r="R1263" s="159">
        <f t="shared" si="2299"/>
        <v>1235.9056891898708</v>
      </c>
      <c r="S1263" s="165">
        <f t="shared" si="2310"/>
        <v>-3.5202964388721142E-2</v>
      </c>
      <c r="T1263" s="165">
        <f t="shared" si="2311"/>
        <v>-1.3969259350545922E-3</v>
      </c>
      <c r="U1263" s="165"/>
      <c r="V1263" s="165"/>
      <c r="W1263" s="159">
        <f t="shared" si="2281"/>
        <v>159753.54234965015</v>
      </c>
      <c r="X1263" s="163"/>
      <c r="Y1263" s="167">
        <v>7948.7643428975762</v>
      </c>
      <c r="Z1263" s="168">
        <v>1.9684412833084343E-2</v>
      </c>
      <c r="AA1263" s="76">
        <f t="shared" si="2300"/>
        <v>7.8111793368364961E-4</v>
      </c>
      <c r="AB1263" s="168"/>
      <c r="AC1263" s="168"/>
      <c r="AD1263" s="163">
        <f t="shared" si="2248"/>
        <v>356701.35718204745</v>
      </c>
      <c r="AE1263" s="168">
        <f t="shared" si="2312"/>
        <v>6.5412773609281077E-2</v>
      </c>
      <c r="AF1263" s="163"/>
      <c r="AG1263" s="163"/>
      <c r="AH1263" s="163"/>
      <c r="AI1263" s="163"/>
      <c r="AJ1263" s="116">
        <f t="shared" si="2313"/>
        <v>337.90377043286702</v>
      </c>
      <c r="AK1263" s="114">
        <f>+AV1263/$AX$13</f>
        <v>3.0047204022886347E-2</v>
      </c>
      <c r="AL1263" s="115">
        <f t="shared" si="2301"/>
        <v>0.22552872123092696</v>
      </c>
      <c r="AM1263" s="115">
        <f t="shared" si="2302"/>
        <v>0.32660771129708904</v>
      </c>
      <c r="AN1263" s="115">
        <f t="shared" si="2303"/>
        <v>0.44786356747198391</v>
      </c>
      <c r="AO1263" s="115">
        <f t="shared" si="2305"/>
        <v>-1.4936141609597648E-2</v>
      </c>
      <c r="AP1263" s="166">
        <f t="shared" ref="AP1263:AP1276" si="2316">+AP1262*EXP(AO1263)</f>
        <v>101.43796036655067</v>
      </c>
      <c r="AQ1263" s="168">
        <f t="shared" ref="AQ1263:AQ1276" si="2317">LN(AP1263/AP1262)</f>
        <v>-1.4936141609597602E-2</v>
      </c>
      <c r="AR1263" s="169">
        <f>+AD1263/$AF$13</f>
        <v>3.9682054034692611E-2</v>
      </c>
      <c r="AS1263" s="169">
        <f t="shared" si="2315"/>
        <v>-5.9269677842187273E-4</v>
      </c>
      <c r="AT1263" s="115"/>
      <c r="AU1263" s="115"/>
      <c r="AV1263" s="113">
        <f>IFERROR(INDEX('Total Customers'!$F$7:$AB$91,MATCH($C1263,'Total Customers'!$D$7:$D$91,0),MATCH($G1263,'Total Customers'!$F$5:$AB$5,0)),"NA")</f>
        <v>1055630</v>
      </c>
      <c r="AW1263" s="68">
        <f t="shared" si="2231"/>
        <v>7.3142755111171003E-3</v>
      </c>
      <c r="AX1263" s="114"/>
      <c r="AY1263" s="114"/>
      <c r="AZ1263" s="116"/>
      <c r="BA1263" s="116"/>
      <c r="BB1263" s="166"/>
      <c r="BC1263" s="166"/>
      <c r="BD1263" s="166"/>
      <c r="BE1263" s="166"/>
      <c r="BF1263" s="166"/>
      <c r="BG1263" s="166"/>
      <c r="BH1263" s="166"/>
      <c r="BI1263" s="113"/>
      <c r="BJ1263" s="113"/>
      <c r="BK1263" s="113">
        <f>INDEX('Dist. Plant Gas Additions'!$F$7:$AE$91,MATCH($C1263,'Dist. Plant Gas Additions'!$D$7:$D$91,0),MATCH(Calculation!$G1263,'Dist. Plant Gas Additions'!$F$5:$AE$5,0))</f>
        <v>103244</v>
      </c>
      <c r="BL1263" s="113">
        <f>INDEX('Gen. Plant Additions'!$F$7:$AE$91,MATCH($C1263,'Gen. Plant Additions'!$D$7:$D$91,0),MATCH(Calculation!$G1263,'Gen. Plant Additions'!$F$5:$AE$5,0))</f>
        <v>14261</v>
      </c>
      <c r="BM1263" s="231">
        <f t="shared" si="2282"/>
        <v>0.91934138176007019</v>
      </c>
      <c r="BN1263" s="61">
        <f t="shared" si="2276"/>
        <v>13110.727445280361</v>
      </c>
      <c r="BO1263" s="113">
        <f>INDEX('Dist Plant Depreciation'!$E$7:$AD$94,MATCH($C1263,'Dist Plant Depreciation'!$D$7:$D$94,0),MATCH(Calculation!$G1263,'Dist Plant Depreciation'!$E$5:$AD$5,0))</f>
        <v>1030643</v>
      </c>
      <c r="BP1263" s="113">
        <f>INDEX('Gen. Plant Depreciation'!$E$7:$AD$94,MATCH($C1263,'Gen. Plant Depreciation'!$D$7:$D$94,0),MATCH(Calculation!$G1263,'Gen. Plant Depreciation'!$E$5:$AD$5,0))</f>
        <v>5837</v>
      </c>
      <c r="BQ1263" s="113"/>
      <c r="BR1263" s="113"/>
      <c r="BS1263" s="113"/>
      <c r="BT1263" s="113"/>
      <c r="BU1263" s="113"/>
      <c r="BV1263" s="175"/>
      <c r="BW1263" s="113">
        <f>INDEX('Gross Dx Plant'!$E$7:$AD$91,MATCH($C1263,'Gross Dx Plant'!$D$7:$D$91,0),MATCH(Calculation!$G1263,'Gross Dx Plant'!$E$5:$AD$5,0))</f>
        <v>2448401</v>
      </c>
      <c r="BX1263" s="113">
        <f>INDEX('Gross Gen Plant'!$E$7:$AD$91,MATCH($C1263,'Gross Gen Plant'!$D$7:$D$91,0),MATCH(Calculation!$G1263,'Gross Gen Plant'!$E$5:$AD$5,0))</f>
        <v>214811</v>
      </c>
      <c r="BY1263" s="113">
        <f t="shared" si="2187"/>
        <v>1626732</v>
      </c>
      <c r="BZ1263" s="113"/>
      <c r="CA1263" s="116">
        <v>2008</v>
      </c>
      <c r="CB1263" s="113"/>
      <c r="CC1263" s="113"/>
      <c r="CD1263" s="113"/>
      <c r="CE1263" s="175"/>
      <c r="CF1263" s="113">
        <f t="shared" si="2283"/>
        <v>117505</v>
      </c>
      <c r="CG1263" s="113">
        <f t="shared" si="2284"/>
        <v>206.19209637432903</v>
      </c>
      <c r="CH1263" s="178">
        <v>0.94252873563218387</v>
      </c>
      <c r="CI1263" s="61">
        <f>+CI1253*CH1263+CG1254*CH1262+CG1255*CH1261+CG1256*CH1260+CG1257*CH1259+CG1258*CH1258+CG1259*CH1257+CG1260*CH1256+CG1261*CH1255+CG1262*CH1254+CG1263</f>
        <v>7948.7643428975762</v>
      </c>
      <c r="CJ1263" s="114">
        <f t="shared" si="2285"/>
        <v>1.9684412833084343E-2</v>
      </c>
      <c r="CK1263" s="114"/>
      <c r="CL1263" s="169">
        <f t="shared" si="2286"/>
        <v>6.5763914629530518E-3</v>
      </c>
      <c r="CM1263" s="169">
        <f t="shared" si="2294"/>
        <v>6.4001265244525256E-3</v>
      </c>
      <c r="CN1263" s="114">
        <f>VLOOKUP($H1263,RoR!$E:$F,2,FALSE)</f>
        <v>5.6316666666666668E-2</v>
      </c>
      <c r="CO1263" s="169">
        <v>1.9092304698479889E-2</v>
      </c>
      <c r="CP1263" s="169">
        <f t="shared" si="2292"/>
        <v>3.7224361968186778E-2</v>
      </c>
      <c r="CQ1263" s="169">
        <f t="shared" si="2295"/>
        <v>2.4501815084081099E-2</v>
      </c>
      <c r="CR1263" s="169">
        <v>6.9030581091053131E-2</v>
      </c>
      <c r="CS1263" s="179">
        <f t="shared" si="2287"/>
        <v>0.84089999999999998</v>
      </c>
      <c r="CT1263" s="180">
        <f t="shared" si="2288"/>
        <v>0.91060168006009956</v>
      </c>
      <c r="CU1263" s="180">
        <f t="shared" si="2289"/>
        <v>0.53108168097070152</v>
      </c>
      <c r="CV1263" s="180">
        <f t="shared" si="2290"/>
        <v>0.88825329850328805</v>
      </c>
      <c r="CW1263" s="180">
        <f t="shared" si="2291"/>
        <v>0.4295627335323573</v>
      </c>
      <c r="CX1263" s="181">
        <f>INDEX('State Tax Lookup'!$D$7:$Z$91,MATCH(Calculation!$C1263,'State Tax Lookup'!$B$7:$B$91,0),MATCH($H1263,'State Tax Lookup'!$D$6:$Z$6,0))</f>
        <v>0.43</v>
      </c>
      <c r="CY1263" s="72">
        <v>0.37</v>
      </c>
      <c r="CZ1263" s="70">
        <f t="shared" si="2293"/>
        <v>20.497443932645247</v>
      </c>
      <c r="DA1263" s="70">
        <v>18.300102035478151</v>
      </c>
      <c r="DB1263" s="69">
        <f t="shared" si="2296"/>
        <v>0.12747332697186595</v>
      </c>
      <c r="DC1263" s="111">
        <f>VLOOKUP($H1263,RoR!$E:$F,2,FALSE)</f>
        <v>5.6316666666666668E-2</v>
      </c>
      <c r="DD1263" s="216">
        <f>HLOOKUP($H1263,'GDP-PI'!$D$8:$CQ$11,3,FALSE)</f>
        <v>1.9092304698479889E-2</v>
      </c>
      <c r="DE1263" s="111">
        <f>VLOOKUP(H1263,'HW Dx Data'!$E:$F,2,FALSE)</f>
        <v>569.88120333515076</v>
      </c>
      <c r="DF1263" s="72">
        <f t="shared" si="2306"/>
        <v>107.9</v>
      </c>
      <c r="DG1263" s="69">
        <f t="shared" si="2307"/>
        <v>3.1778595021460486E-2</v>
      </c>
      <c r="DH1263" s="66">
        <f>HLOOKUP(H1263,'GDP-PI'!$8:$9,2,FALSE)</f>
        <v>94.263999999999996</v>
      </c>
      <c r="DI1263" s="69">
        <f t="shared" si="2297"/>
        <v>1.8912333748032254E-2</v>
      </c>
    </row>
    <row r="1264" spans="1:113" s="160" customFormat="1" ht="21">
      <c r="A1264" s="160" t="s">
        <v>234</v>
      </c>
      <c r="B1264" s="160" t="s">
        <v>234</v>
      </c>
      <c r="C1264" s="160">
        <v>4058284</v>
      </c>
      <c r="D1264" s="161" t="s">
        <v>235</v>
      </c>
      <c r="E1264" s="161"/>
      <c r="F1264" s="189"/>
      <c r="G1264" s="160" t="s">
        <v>125</v>
      </c>
      <c r="H1264" s="162">
        <v>2009</v>
      </c>
      <c r="I1264" s="163"/>
      <c r="J1264" s="159">
        <f>IFERROR(INDEX('Labor Expenditures'!$F$7:$X$91,MATCH($C1264,'Labor Expenditures'!$D$7:$D$91,0),MATCH($G1264,'Labor Expenditures'!$F$5:$X$5,0)),"NA")</f>
        <v>82336.604763888026</v>
      </c>
      <c r="K1264" s="159">
        <f t="shared" si="2298"/>
        <v>742.27274973079136</v>
      </c>
      <c r="L1264" s="165">
        <f t="shared" si="2304"/>
        <v>-4.424779769217041E-3</v>
      </c>
      <c r="M1264" s="76">
        <f t="shared" si="2308"/>
        <v>-1.6889560234383726E-4</v>
      </c>
      <c r="N1264" s="62">
        <f t="shared" si="2314"/>
        <v>116.61986442572507</v>
      </c>
      <c r="O1264" s="96">
        <f t="shared" si="2309"/>
        <v>2.5025913075887671E-2</v>
      </c>
      <c r="P1264" s="96"/>
      <c r="Q1264" s="159">
        <f>IFERROR(INDEX('Non-Labor Expenditures'!$F$7:$AB$91,MATCH($C1264,'Non-Labor Expenditures'!$D$7:$D$91,0),MATCH($G1264,'Non-Labor Expenditures'!$F$5:$AB$5,0)),"NA")</f>
        <v>119238.78205459702</v>
      </c>
      <c r="R1264" s="159">
        <f t="shared" si="2299"/>
        <v>1255.158286451405</v>
      </c>
      <c r="S1264" s="165">
        <f t="shared" si="2310"/>
        <v>1.5457636413357411E-2</v>
      </c>
      <c r="T1264" s="165">
        <f t="shared" si="2311"/>
        <v>5.9002412527030615E-4</v>
      </c>
      <c r="U1264" s="165"/>
      <c r="V1264" s="165"/>
      <c r="W1264" s="159">
        <f t="shared" si="2281"/>
        <v>156296.31361941854</v>
      </c>
      <c r="X1264" s="163"/>
      <c r="Y1264" s="167">
        <v>8101.3023455987459</v>
      </c>
      <c r="Z1264" s="168">
        <v>1.9008344141752363E-2</v>
      </c>
      <c r="AA1264" s="76">
        <f t="shared" si="2300"/>
        <v>7.255560504310243E-4</v>
      </c>
      <c r="AB1264" s="168"/>
      <c r="AC1264" s="168"/>
      <c r="AD1264" s="163">
        <f t="shared" si="2248"/>
        <v>357871.70043790358</v>
      </c>
      <c r="AE1264" s="168">
        <f t="shared" si="2312"/>
        <v>3.27564631731906E-3</v>
      </c>
      <c r="AF1264" s="163"/>
      <c r="AG1264" s="163"/>
      <c r="AH1264" s="163"/>
      <c r="AI1264" s="163"/>
      <c r="AJ1264" s="116">
        <f t="shared" si="2313"/>
        <v>333.1558661926681</v>
      </c>
      <c r="AK1264" s="114">
        <f>+AV1264/$AX$14</f>
        <v>3.0536429389124726E-2</v>
      </c>
      <c r="AL1264" s="115">
        <f t="shared" si="2301"/>
        <v>0.23007296934386889</v>
      </c>
      <c r="AM1264" s="115">
        <f t="shared" si="2302"/>
        <v>0.33318863131310056</v>
      </c>
      <c r="AN1264" s="115">
        <f t="shared" si="2303"/>
        <v>0.43673839934303055</v>
      </c>
      <c r="AO1264" s="115">
        <f t="shared" si="2305"/>
        <v>1.2498886720672835E-2</v>
      </c>
      <c r="AP1264" s="166">
        <f t="shared" si="2316"/>
        <v>102.71377848621226</v>
      </c>
      <c r="AQ1264" s="168">
        <f t="shared" si="2317"/>
        <v>1.2498886720672895E-2</v>
      </c>
      <c r="AR1264" s="169">
        <f>+AD1264/$AF$14</f>
        <v>3.8170397432847399E-2</v>
      </c>
      <c r="AS1264" s="169">
        <f t="shared" si="2315"/>
        <v>4.7708747359622312E-4</v>
      </c>
      <c r="AT1264" s="115"/>
      <c r="AU1264" s="115"/>
      <c r="AV1264" s="113">
        <f>IFERROR(INDEX('Total Customers'!$F$7:$AB$91,MATCH($C1264,'Total Customers'!$D$7:$D$91,0),MATCH($G1264,'Total Customers'!$F$5:$AB$5,0)),"NA")</f>
        <v>1074187</v>
      </c>
      <c r="AW1264" s="68">
        <f t="shared" si="2231"/>
        <v>1.7426351287372948E-2</v>
      </c>
      <c r="AX1264" s="114"/>
      <c r="AY1264" s="114"/>
      <c r="AZ1264" s="116"/>
      <c r="BA1264" s="116"/>
      <c r="BB1264" s="166"/>
      <c r="BC1264" s="166"/>
      <c r="BD1264" s="166"/>
      <c r="BE1264" s="166"/>
      <c r="BF1264" s="166"/>
      <c r="BG1264" s="166"/>
      <c r="BH1264" s="166"/>
      <c r="BI1264" s="113"/>
      <c r="BJ1264" s="113"/>
      <c r="BK1264" s="113">
        <f>INDEX('Dist. Plant Gas Additions'!$F$7:$AE$91,MATCH($C1264,'Dist. Plant Gas Additions'!$D$7:$D$91,0),MATCH(Calculation!$G1264,'Dist. Plant Gas Additions'!$F$5:$AE$5,0))</f>
        <v>92749</v>
      </c>
      <c r="BL1264" s="113">
        <f>INDEX('Gen. Plant Additions'!$F$7:$AE$91,MATCH($C1264,'Gen. Plant Additions'!$D$7:$D$91,0),MATCH(Calculation!$G1264,'Gen. Plant Additions'!$F$5:$AE$5,0))</f>
        <v>21063</v>
      </c>
      <c r="BM1264" s="231">
        <f t="shared" si="2282"/>
        <v>0.92439574706637451</v>
      </c>
      <c r="BN1264" s="61">
        <f t="shared" si="2276"/>
        <v>19470.547620459045</v>
      </c>
      <c r="BO1264" s="113">
        <f>INDEX('Dist Plant Depreciation'!$E$7:$AD$94,MATCH($C1264,'Dist Plant Depreciation'!$D$7:$D$94,0),MATCH(Calculation!$G1264,'Dist Plant Depreciation'!$E$5:$AD$5,0))</f>
        <v>1054085</v>
      </c>
      <c r="BP1264" s="113">
        <f>INDEX('Gen. Plant Depreciation'!$E$7:$AD$94,MATCH($C1264,'Gen. Plant Depreciation'!$D$7:$D$94,0),MATCH(Calculation!$G1264,'Gen. Plant Depreciation'!$E$5:$AD$5,0))</f>
        <v>28050</v>
      </c>
      <c r="BQ1264" s="113"/>
      <c r="BR1264" s="113"/>
      <c r="BS1264" s="113"/>
      <c r="BT1264" s="113"/>
      <c r="BU1264" s="113"/>
      <c r="BV1264" s="175"/>
      <c r="BW1264" s="113">
        <f>INDEX('Gross Dx Plant'!$E$7:$AD$91,MATCH($C1264,'Gross Dx Plant'!$D$7:$D$91,0),MATCH(Calculation!$G1264,'Gross Dx Plant'!$E$5:$AD$5,0))</f>
        <v>2526185</v>
      </c>
      <c r="BX1264" s="113">
        <f>INDEX('Gross Gen Plant'!$E$7:$AD$91,MATCH($C1264,'Gross Gen Plant'!$D$7:$D$91,0),MATCH(Calculation!$G1264,'Gross Gen Plant'!$E$5:$AD$5,0))</f>
        <v>206611</v>
      </c>
      <c r="BY1264" s="113">
        <f t="shared" si="2187"/>
        <v>1650661</v>
      </c>
      <c r="BZ1264" s="113"/>
      <c r="CA1264" s="116">
        <v>2009</v>
      </c>
      <c r="CB1264" s="113"/>
      <c r="CC1264" s="113"/>
      <c r="CD1264" s="113"/>
      <c r="CE1264" s="175"/>
      <c r="CF1264" s="113">
        <f t="shared" si="2283"/>
        <v>113812</v>
      </c>
      <c r="CG1264" s="113">
        <f t="shared" si="2284"/>
        <v>206.57760999748166</v>
      </c>
      <c r="CH1264" s="178">
        <v>0.93567251461988299</v>
      </c>
      <c r="CI1264" s="61">
        <f>+CI1253*CH1264+CG1254*CH1263+CG1255*CH1262+CG1256*CH1261+CG1257*CH1260+CG1258*CH1259+CG1259*CH1258+CG1260*CH1257+CG1261*CH1256+CG1262*CH1255+CG1263*CH1254+CG1264</f>
        <v>8101.3023455987459</v>
      </c>
      <c r="CJ1264" s="114">
        <f t="shared" si="2285"/>
        <v>1.9008344141752363E-2</v>
      </c>
      <c r="CK1264" s="114"/>
      <c r="CL1264" s="169">
        <f t="shared" si="2286"/>
        <v>6.7984915598356755E-3</v>
      </c>
      <c r="CM1264" s="169">
        <f t="shared" si="2294"/>
        <v>6.5941154548498351E-3</v>
      </c>
      <c r="CN1264" s="114">
        <f>VLOOKUP($H1264,RoR!$E:$F,2,FALSE)</f>
        <v>5.3133333333333324E-2</v>
      </c>
      <c r="CO1264" s="169">
        <v>7.7972502758210105E-3</v>
      </c>
      <c r="CP1264" s="169">
        <f t="shared" si="2292"/>
        <v>4.5336083057512314E-2</v>
      </c>
      <c r="CQ1264" s="169">
        <f t="shared" si="2295"/>
        <v>2.4307826153683789E-2</v>
      </c>
      <c r="CR1264" s="169">
        <v>6.3720160300892073E-2</v>
      </c>
      <c r="CS1264" s="179">
        <f t="shared" si="2287"/>
        <v>0.84089999999999998</v>
      </c>
      <c r="CT1264" s="180">
        <f t="shared" si="2288"/>
        <v>0.96515780330083989</v>
      </c>
      <c r="CU1264" s="180">
        <f t="shared" si="2289"/>
        <v>0.50448557089084056</v>
      </c>
      <c r="CV1264" s="180">
        <f t="shared" si="2290"/>
        <v>0.87391435735465484</v>
      </c>
      <c r="CW1264" s="180">
        <f t="shared" si="2291"/>
        <v>0.42551605393279146</v>
      </c>
      <c r="CX1264" s="181">
        <f>INDEX('State Tax Lookup'!$D$7:$Z$91,MATCH(Calculation!$C1264,'State Tax Lookup'!$B$7:$B$91,0),MATCH($H1264,'State Tax Lookup'!$D$6:$Z$6,0))</f>
        <v>0.43</v>
      </c>
      <c r="CY1264" s="72">
        <v>0.37</v>
      </c>
      <c r="CZ1264" s="70">
        <f t="shared" si="2293"/>
        <v>19.662969850033772</v>
      </c>
      <c r="DA1264" s="70">
        <v>17.478615056163342</v>
      </c>
      <c r="DB1264" s="69">
        <f t="shared" si="2296"/>
        <v>-4.1563028316725467E-2</v>
      </c>
      <c r="DC1264" s="111">
        <f>VLOOKUP($H1264,RoR!$E:$F,2,FALSE)</f>
        <v>5.3133333333333324E-2</v>
      </c>
      <c r="DD1264" s="216">
        <f>HLOOKUP($H1264,'GDP-PI'!$D$8:$CQ$11,3,FALSE)</f>
        <v>7.7972502758210105E-3</v>
      </c>
      <c r="DE1264" s="111">
        <f>VLOOKUP(H1264,'HW Dx Data'!$E:$F,2,FALSE)</f>
        <v>550.94063679692806</v>
      </c>
      <c r="DF1264" s="72">
        <f t="shared" si="2306"/>
        <v>110.925</v>
      </c>
      <c r="DG1264" s="69">
        <f t="shared" si="2307"/>
        <v>2.7649425000884052E-2</v>
      </c>
      <c r="DH1264" s="66">
        <f>HLOOKUP(H1264,'GDP-PI'!$8:$9,2,FALSE)</f>
        <v>94.998999999999995</v>
      </c>
      <c r="DI1264" s="69">
        <f t="shared" si="2297"/>
        <v>7.7670088183096342E-3</v>
      </c>
    </row>
    <row r="1265" spans="1:113" s="160" customFormat="1" ht="21">
      <c r="A1265" s="160" t="s">
        <v>234</v>
      </c>
      <c r="B1265" s="160" t="s">
        <v>234</v>
      </c>
      <c r="C1265" s="160">
        <v>4058284</v>
      </c>
      <c r="D1265" s="161" t="s">
        <v>235</v>
      </c>
      <c r="E1265" s="161"/>
      <c r="F1265" s="189"/>
      <c r="G1265" s="160" t="s">
        <v>126</v>
      </c>
      <c r="H1265" s="162">
        <v>2010</v>
      </c>
      <c r="I1265" s="163"/>
      <c r="J1265" s="159">
        <f>IFERROR(INDEX('Labor Expenditures'!$F$7:$X$91,MATCH($C1265,'Labor Expenditures'!$D$7:$D$91,0),MATCH($G1265,'Labor Expenditures'!$F$5:$X$5,0)),"NA")</f>
        <v>86787.990106345998</v>
      </c>
      <c r="K1265" s="159">
        <f t="shared" si="2298"/>
        <v>742.25349674018389</v>
      </c>
      <c r="L1265" s="165">
        <f t="shared" si="2304"/>
        <v>-2.5938228649411058E-5</v>
      </c>
      <c r="M1265" s="76">
        <f t="shared" si="2308"/>
        <v>-1.0030122469457592E-6</v>
      </c>
      <c r="N1265" s="62">
        <f t="shared" si="2314"/>
        <v>97.975415443219305</v>
      </c>
      <c r="O1265" s="96">
        <f t="shared" si="2309"/>
        <v>-0.17420303888817101</v>
      </c>
      <c r="P1265" s="96"/>
      <c r="Q1265" s="159">
        <f>IFERROR(INDEX('Non-Labor Expenditures'!$F$7:$AB$91,MATCH($C1265,'Non-Labor Expenditures'!$D$7:$D$91,0),MATCH($G1265,'Non-Labor Expenditures'!$F$5:$AB$5,0)),"NA")</f>
        <v>125685.21943457468</v>
      </c>
      <c r="R1265" s="159">
        <f t="shared" si="2299"/>
        <v>1307.7362102880552</v>
      </c>
      <c r="S1265" s="165">
        <f t="shared" si="2310"/>
        <v>4.1035869311176927E-2</v>
      </c>
      <c r="T1265" s="165">
        <f t="shared" si="2311"/>
        <v>1.5868269201995274E-3</v>
      </c>
      <c r="U1265" s="165"/>
      <c r="V1265" s="165"/>
      <c r="W1265" s="159">
        <f t="shared" si="2281"/>
        <v>163317.45967051879</v>
      </c>
      <c r="X1265" s="163"/>
      <c r="Y1265" s="167">
        <v>8230.6905019875467</v>
      </c>
      <c r="Z1265" s="168">
        <v>1.5845079614160845E-2</v>
      </c>
      <c r="AA1265" s="76">
        <f t="shared" si="2300"/>
        <v>6.1271758845393503E-4</v>
      </c>
      <c r="AB1265" s="168"/>
      <c r="AC1265" s="168"/>
      <c r="AD1265" s="163">
        <f t="shared" si="2248"/>
        <v>375790.66921143944</v>
      </c>
      <c r="AE1265" s="168">
        <f t="shared" si="2312"/>
        <v>4.8857714034462187E-2</v>
      </c>
      <c r="AF1265" s="163"/>
      <c r="AG1265" s="163"/>
      <c r="AH1265" s="163"/>
      <c r="AI1265" s="163"/>
      <c r="AJ1265" s="116">
        <f t="shared" si="2313"/>
        <v>348.01619288932795</v>
      </c>
      <c r="AK1265" s="114">
        <f>+AV1265/$AX$15</f>
        <v>3.0528268577111072E-2</v>
      </c>
      <c r="AL1265" s="115">
        <f t="shared" si="2301"/>
        <v>0.23094769832487391</v>
      </c>
      <c r="AM1265" s="115">
        <f t="shared" si="2302"/>
        <v>0.33445540225443338</v>
      </c>
      <c r="AN1265" s="115">
        <f t="shared" si="2303"/>
        <v>0.43459689942069279</v>
      </c>
      <c r="AO1265" s="115">
        <f t="shared" si="2305"/>
        <v>2.0595886213957037E-2</v>
      </c>
      <c r="AP1265" s="166">
        <f t="shared" si="2316"/>
        <v>104.85119522099009</v>
      </c>
      <c r="AQ1265" s="168">
        <f t="shared" si="2317"/>
        <v>2.0595886213957099E-2</v>
      </c>
      <c r="AR1265" s="169">
        <f>+AD1265/$AF$15</f>
        <v>3.8669265372850863E-2</v>
      </c>
      <c r="AS1265" s="169">
        <f t="shared" si="2315"/>
        <v>7.964277895965477E-4</v>
      </c>
      <c r="AT1265" s="115"/>
      <c r="AU1265" s="115"/>
      <c r="AV1265" s="113">
        <f>IFERROR(INDEX('Total Customers'!$F$7:$AB$91,MATCH($C1265,'Total Customers'!$D$7:$D$91,0),MATCH($G1265,'Total Customers'!$F$5:$AB$5,0)),"NA")</f>
        <v>1079808</v>
      </c>
      <c r="AW1265" s="68">
        <f t="shared" si="2231"/>
        <v>5.2191511674336702E-3</v>
      </c>
      <c r="AX1265" s="114"/>
      <c r="AY1265" s="114"/>
      <c r="AZ1265" s="116"/>
      <c r="BA1265" s="116"/>
      <c r="BB1265" s="166"/>
      <c r="BC1265" s="166"/>
      <c r="BD1265" s="166"/>
      <c r="BE1265" s="166"/>
      <c r="BF1265" s="166"/>
      <c r="BG1265" s="166"/>
      <c r="BH1265" s="166"/>
      <c r="BI1265" s="113"/>
      <c r="BJ1265" s="113"/>
      <c r="BK1265" s="113">
        <f>INDEX('Dist. Plant Gas Additions'!$F$7:$AE$91,MATCH($C1265,'Dist. Plant Gas Additions'!$D$7:$D$91,0),MATCH(Calculation!$G1265,'Dist. Plant Gas Additions'!$F$5:$AE$5,0))</f>
        <v>80080</v>
      </c>
      <c r="BL1265" s="113">
        <f>INDEX('Gen. Plant Additions'!$F$7:$AE$91,MATCH($C1265,'Gen. Plant Additions'!$D$7:$D$91,0),MATCH(Calculation!$G1265,'Gen. Plant Additions'!$F$5:$AE$5,0))</f>
        <v>25944</v>
      </c>
      <c r="BM1265" s="231">
        <f t="shared" si="2282"/>
        <v>0.92220951130011219</v>
      </c>
      <c r="BN1265" s="61">
        <f t="shared" si="2276"/>
        <v>23925.803561170113</v>
      </c>
      <c r="BO1265" s="113">
        <f>INDEX('Dist Plant Depreciation'!$E$7:$AD$94,MATCH($C1265,'Dist Plant Depreciation'!$D$7:$D$94,0),MATCH(Calculation!$G1265,'Dist Plant Depreciation'!$E$5:$AD$5,0))</f>
        <v>1101839</v>
      </c>
      <c r="BP1265" s="113">
        <f>INDEX('Gen. Plant Depreciation'!$E$7:$AD$94,MATCH($C1265,'Gen. Plant Depreciation'!$D$7:$D$94,0),MATCH(Calculation!$G1265,'Gen. Plant Depreciation'!$E$5:$AD$5,0))</f>
        <v>25805</v>
      </c>
      <c r="BQ1265" s="113"/>
      <c r="BR1265" s="113"/>
      <c r="BS1265" s="113"/>
      <c r="BT1265" s="113"/>
      <c r="BU1265" s="113"/>
      <c r="BV1265" s="175"/>
      <c r="BW1265" s="113">
        <f>INDEX('Gross Dx Plant'!$E$7:$AD$91,MATCH($C1265,'Gross Dx Plant'!$D$7:$D$91,0),MATCH(Calculation!$G1265,'Gross Dx Plant'!$E$5:$AD$5,0))</f>
        <v>2600605</v>
      </c>
      <c r="BX1265" s="113">
        <f>INDEX('Gross Gen Plant'!$E$7:$AD$91,MATCH($C1265,'Gross Gen Plant'!$D$7:$D$91,0),MATCH(Calculation!$G1265,'Gross Gen Plant'!$E$5:$AD$5,0))</f>
        <v>219367</v>
      </c>
      <c r="BY1265" s="113">
        <f t="shared" si="2187"/>
        <v>1692328</v>
      </c>
      <c r="BZ1265" s="113"/>
      <c r="CA1265" s="116">
        <v>2010</v>
      </c>
      <c r="CB1265" s="113"/>
      <c r="CC1265" s="113"/>
      <c r="CD1265" s="113"/>
      <c r="CE1265" s="175"/>
      <c r="CF1265" s="113">
        <f t="shared" si="2283"/>
        <v>106024</v>
      </c>
      <c r="CG1265" s="113">
        <f t="shared" si="2284"/>
        <v>186.33735685805345</v>
      </c>
      <c r="CH1265" s="178">
        <v>0.9285714285714286</v>
      </c>
      <c r="CI1265" s="61">
        <f>+CI1253*CH1265+CG1254*CH1264+CG1255*CH1263+CG1256*CH1262+CG1257*CH1261+CG1258*CH1260+CG1259*CH1259+CG1260*CH1258+CG1261*CH1257+CG1262*CH1256+CG1263*CH1255+CG1264*CH1254+CG1265</f>
        <v>8230.6905019875467</v>
      </c>
      <c r="CJ1265" s="114">
        <f t="shared" si="2285"/>
        <v>1.5845079614160845E-2</v>
      </c>
      <c r="CK1265" s="114"/>
      <c r="CL1265" s="169">
        <f t="shared" si="2286"/>
        <v>7.0296352413253514E-3</v>
      </c>
      <c r="CM1265" s="169">
        <f t="shared" si="2294"/>
        <v>6.8015060880380262E-3</v>
      </c>
      <c r="CN1265" s="114">
        <f>VLOOKUP($H1265,RoR!$E:$F,2,FALSE)</f>
        <v>4.9433333333333322E-2</v>
      </c>
      <c r="CO1265" s="169">
        <v>1.1684333519300205E-2</v>
      </c>
      <c r="CP1265" s="169">
        <f t="shared" si="2292"/>
        <v>3.7748999814033117E-2</v>
      </c>
      <c r="CQ1265" s="169">
        <f t="shared" si="2295"/>
        <v>2.4100435520495598E-2</v>
      </c>
      <c r="CR1265" s="169">
        <v>4.7937530248493419E-2</v>
      </c>
      <c r="CS1265" s="179">
        <f t="shared" si="2287"/>
        <v>0.84089999999999998</v>
      </c>
      <c r="CT1265" s="180">
        <f t="shared" si="2288"/>
        <v>1.037398205301105</v>
      </c>
      <c r="CU1265" s="180">
        <f t="shared" si="2289"/>
        <v>0.46926837491571133</v>
      </c>
      <c r="CV1265" s="180">
        <f t="shared" si="2290"/>
        <v>0.8548537519972772</v>
      </c>
      <c r="CW1265" s="180">
        <f t="shared" si="2291"/>
        <v>0.41615833911547367</v>
      </c>
      <c r="CX1265" s="181">
        <f>INDEX('State Tax Lookup'!$D$7:$Z$91,MATCH(Calculation!$C1265,'State Tax Lookup'!$B$7:$B$91,0),MATCH($H1265,'State Tax Lookup'!$D$6:$Z$6,0))</f>
        <v>0.43</v>
      </c>
      <c r="CY1265" s="72">
        <v>0.37</v>
      </c>
      <c r="CZ1265" s="70">
        <f t="shared" si="2293"/>
        <v>20.15940804372589</v>
      </c>
      <c r="DA1265" s="70">
        <v>17.956102603965455</v>
      </c>
      <c r="DB1265" s="69">
        <f t="shared" si="2296"/>
        <v>2.4933916020408863E-2</v>
      </c>
      <c r="DC1265" s="111">
        <f>VLOOKUP($H1265,RoR!$E:$F,2,FALSE)</f>
        <v>4.9433333333333322E-2</v>
      </c>
      <c r="DD1265" s="216">
        <f>HLOOKUP($H1265,'GDP-PI'!$D$8:$CQ$11,3,FALSE)</f>
        <v>1.1684333519300205E-2</v>
      </c>
      <c r="DE1265" s="111">
        <f>VLOOKUP(H1265,'HW Dx Data'!$E:$F,2,FALSE)</f>
        <v>568.98950262971744</v>
      </c>
      <c r="DF1265" s="72">
        <f t="shared" si="2306"/>
        <v>116.925</v>
      </c>
      <c r="DG1265" s="69">
        <f t="shared" si="2307"/>
        <v>5.2678406346976722E-2</v>
      </c>
      <c r="DH1265" s="66">
        <f>HLOOKUP(H1265,'GDP-PI'!$8:$9,2,FALSE)</f>
        <v>96.108999999999995</v>
      </c>
      <c r="DI1265" s="69">
        <f t="shared" si="2297"/>
        <v>1.1616598807150427E-2</v>
      </c>
    </row>
    <row r="1266" spans="1:113" s="160" customFormat="1" ht="21">
      <c r="A1266" s="160" t="s">
        <v>234</v>
      </c>
      <c r="B1266" s="160" t="s">
        <v>234</v>
      </c>
      <c r="C1266" s="160">
        <v>4058284</v>
      </c>
      <c r="D1266" s="161" t="s">
        <v>235</v>
      </c>
      <c r="E1266" s="161"/>
      <c r="F1266" s="189"/>
      <c r="G1266" s="160" t="s">
        <v>127</v>
      </c>
      <c r="H1266" s="162">
        <v>2011</v>
      </c>
      <c r="I1266" s="163"/>
      <c r="J1266" s="159">
        <f>IFERROR(INDEX('Labor Expenditures'!$F$7:$X$91,MATCH($C1266,'Labor Expenditures'!$D$7:$D$91,0),MATCH($G1266,'Labor Expenditures'!$F$5:$X$5,0)),"NA")</f>
        <v>93789.33635418347</v>
      </c>
      <c r="K1266" s="159">
        <f t="shared" si="2298"/>
        <v>775.92005256821903</v>
      </c>
      <c r="L1266" s="165">
        <f t="shared" si="2304"/>
        <v>4.4358665201462796E-2</v>
      </c>
      <c r="M1266" s="76">
        <f t="shared" si="2308"/>
        <v>1.767043673289954E-3</v>
      </c>
      <c r="N1266" s="62">
        <f t="shared" si="2314"/>
        <v>118.80101356474641</v>
      </c>
      <c r="O1266" s="96">
        <f t="shared" si="2309"/>
        <v>0.19273335420699711</v>
      </c>
      <c r="P1266" s="96"/>
      <c r="Q1266" s="159">
        <f>IFERROR(INDEX('Non-Labor Expenditures'!$F$7:$AB$91,MATCH($C1266,'Non-Labor Expenditures'!$D$7:$D$91,0),MATCH($G1266,'Non-Labor Expenditures'!$F$5:$AB$5,0)),"NA")</f>
        <v>135824.47647254294</v>
      </c>
      <c r="R1266" s="159">
        <f t="shared" si="2299"/>
        <v>1384.3818949011634</v>
      </c>
      <c r="S1266" s="165">
        <f t="shared" si="2310"/>
        <v>5.6956196150121978E-2</v>
      </c>
      <c r="T1266" s="165">
        <f t="shared" si="2311"/>
        <v>2.2688709320860217E-3</v>
      </c>
      <c r="U1266" s="165"/>
      <c r="V1266" s="165"/>
      <c r="W1266" s="159">
        <f t="shared" si="2281"/>
        <v>176946.59419022279</v>
      </c>
      <c r="X1266" s="163"/>
      <c r="Y1266" s="167">
        <v>8335.4383080550688</v>
      </c>
      <c r="Z1266" s="168">
        <v>1.2646189493917135E-2</v>
      </c>
      <c r="AA1266" s="76">
        <f t="shared" si="2300"/>
        <v>5.0376558976610627E-4</v>
      </c>
      <c r="AB1266" s="168"/>
      <c r="AC1266" s="168"/>
      <c r="AD1266" s="163">
        <f t="shared" si="2248"/>
        <v>406560.4070169492</v>
      </c>
      <c r="AE1266" s="168">
        <f t="shared" si="2312"/>
        <v>7.8700263158185291E-2</v>
      </c>
      <c r="AF1266" s="163"/>
      <c r="AG1266" s="163"/>
      <c r="AH1266" s="163"/>
      <c r="AI1266" s="163"/>
      <c r="AJ1266" s="116">
        <f t="shared" si="2313"/>
        <v>372.4642817380817</v>
      </c>
      <c r="AK1266" s="114">
        <f>+AV1266/$AX$16</f>
        <v>3.0711112287801483E-2</v>
      </c>
      <c r="AL1266" s="115">
        <f t="shared" si="2301"/>
        <v>0.23068979353484723</v>
      </c>
      <c r="AM1266" s="115">
        <f t="shared" si="2302"/>
        <v>0.33408190794850451</v>
      </c>
      <c r="AN1266" s="115">
        <f t="shared" si="2303"/>
        <v>0.43522829851664829</v>
      </c>
      <c r="AO1266" s="115">
        <f t="shared" si="2305"/>
        <v>3.4777469699570719E-2</v>
      </c>
      <c r="AP1266" s="166">
        <f t="shared" si="2316"/>
        <v>108.56180328317923</v>
      </c>
      <c r="AQ1266" s="168">
        <f t="shared" si="2317"/>
        <v>3.4777469699570789E-2</v>
      </c>
      <c r="AR1266" s="169">
        <f>+AD1266/$AF$16</f>
        <v>3.9835366219082784E-2</v>
      </c>
      <c r="AS1266" s="169">
        <f t="shared" si="2315"/>
        <v>1.3853732416554572E-3</v>
      </c>
      <c r="AT1266" s="115"/>
      <c r="AU1266" s="115"/>
      <c r="AV1266" s="113">
        <f>IFERROR(INDEX('Total Customers'!$F$7:$AB$91,MATCH($C1266,'Total Customers'!$D$7:$D$91,0),MATCH($G1266,'Total Customers'!$F$5:$AB$5,0)),"NA")</f>
        <v>1091542</v>
      </c>
      <c r="AW1266" s="68">
        <f t="shared" si="2231"/>
        <v>1.080812787067267E-2</v>
      </c>
      <c r="AX1266" s="114"/>
      <c r="AY1266" s="114"/>
      <c r="AZ1266" s="116"/>
      <c r="BA1266" s="116"/>
      <c r="BB1266" s="166"/>
      <c r="BC1266" s="166"/>
      <c r="BD1266" s="166"/>
      <c r="BE1266" s="166"/>
      <c r="BF1266" s="166"/>
      <c r="BG1266" s="166"/>
      <c r="BH1266" s="166"/>
      <c r="BI1266" s="113"/>
      <c r="BJ1266" s="113"/>
      <c r="BK1266" s="113">
        <f>INDEX('Dist. Plant Gas Additions'!$F$7:$AE$91,MATCH($C1266,'Dist. Plant Gas Additions'!$D$7:$D$91,0),MATCH(Calculation!$G1266,'Dist. Plant Gas Additions'!$F$5:$AE$5,0))</f>
        <v>87011</v>
      </c>
      <c r="BL1266" s="113">
        <f>INDEX('Gen. Plant Additions'!$F$7:$AE$91,MATCH($C1266,'Gen. Plant Additions'!$D$7:$D$91,0),MATCH(Calculation!$G1266,'Gen. Plant Additions'!$F$5:$AE$5,0))</f>
        <v>13683</v>
      </c>
      <c r="BM1266" s="231">
        <f t="shared" si="2282"/>
        <v>0.92438730199799857</v>
      </c>
      <c r="BN1266" s="61">
        <f t="shared" si="2276"/>
        <v>12648.391453238615</v>
      </c>
      <c r="BO1266" s="113">
        <f>INDEX('Dist Plant Depreciation'!$E$7:$AD$94,MATCH($C1266,'Dist Plant Depreciation'!$D$7:$D$94,0),MATCH(Calculation!$G1266,'Dist Plant Depreciation'!$E$5:$AD$5,0))</f>
        <v>1132245</v>
      </c>
      <c r="BP1266" s="113">
        <f>INDEX('Gen. Plant Depreciation'!$E$7:$AD$94,MATCH($C1266,'Gen. Plant Depreciation'!$D$7:$D$94,0),MATCH(Calculation!$G1266,'Gen. Plant Depreciation'!$E$5:$AD$5,0))</f>
        <v>28902</v>
      </c>
      <c r="BQ1266" s="113"/>
      <c r="BR1266" s="113"/>
      <c r="BS1266" s="113"/>
      <c r="BT1266" s="113"/>
      <c r="BU1266" s="113"/>
      <c r="BV1266" s="175"/>
      <c r="BW1266" s="113">
        <f>INDEX('Gross Dx Plant'!$E$7:$AD$91,MATCH($C1266,'Gross Dx Plant'!$D$7:$D$91,0),MATCH(Calculation!$G1266,'Gross Dx Plant'!$E$5:$AD$5,0))</f>
        <v>2672351</v>
      </c>
      <c r="BX1266" s="113">
        <f>INDEX('Gross Gen Plant'!$E$7:$AD$91,MATCH($C1266,'Gross Gen Plant'!$D$7:$D$91,0),MATCH(Calculation!$G1266,'Gross Gen Plant'!$E$5:$AD$5,0))</f>
        <v>218592</v>
      </c>
      <c r="BY1266" s="113">
        <f t="shared" si="2187"/>
        <v>1729796</v>
      </c>
      <c r="BZ1266" s="113"/>
      <c r="CA1266" s="116">
        <v>2011</v>
      </c>
      <c r="CB1266" s="113"/>
      <c r="CC1266" s="113"/>
      <c r="CD1266" s="113"/>
      <c r="CE1266" s="175"/>
      <c r="CF1266" s="113">
        <f t="shared" si="2283"/>
        <v>100694</v>
      </c>
      <c r="CG1266" s="113">
        <f t="shared" si="2284"/>
        <v>164.63730079183728</v>
      </c>
      <c r="CH1266" s="178">
        <v>0.92121212121212126</v>
      </c>
      <c r="CI1266" s="61">
        <f>+CI1253*CH1266+CG1254*CH1265+CG1255*CH1264+CG1256*CH1263+CG1257*CH1262+CG1258*CH1261+CG1259*CH1260+CG1260*CH1259+CG1261*CH1258+CG1262*CH1257+CG1263*CH1256+CG1264*CH1255+CG1265*CH1254+CG1266</f>
        <v>8335.4383080550688</v>
      </c>
      <c r="CJ1266" s="114">
        <f t="shared" si="2285"/>
        <v>1.2646189493917135E-2</v>
      </c>
      <c r="CK1266" s="114"/>
      <c r="CL1266" s="169">
        <f t="shared" si="2286"/>
        <v>7.2763633512708389E-3</v>
      </c>
      <c r="CM1266" s="169">
        <f t="shared" si="2294"/>
        <v>7.0348300508106219E-3</v>
      </c>
      <c r="CN1266" s="114">
        <f>VLOOKUP($H1266,RoR!$E:$F,2,FALSE)</f>
        <v>4.6391666666666664E-2</v>
      </c>
      <c r="CO1266" s="169">
        <v>2.0840920205183799E-2</v>
      </c>
      <c r="CP1266" s="169">
        <f t="shared" si="2292"/>
        <v>2.5550746461482865E-2</v>
      </c>
      <c r="CQ1266" s="169">
        <f t="shared" si="2295"/>
        <v>2.3867111557723003E-2</v>
      </c>
      <c r="CR1266" s="169">
        <v>2.4810540821321614E-2</v>
      </c>
      <c r="CS1266" s="179">
        <f t="shared" si="2287"/>
        <v>0.84089999999999998</v>
      </c>
      <c r="CT1266" s="180">
        <f t="shared" si="2288"/>
        <v>1.1054151524782025</v>
      </c>
      <c r="CU1266" s="180">
        <f t="shared" si="2289"/>
        <v>0.43611011316687626</v>
      </c>
      <c r="CV1266" s="180">
        <f t="shared" si="2290"/>
        <v>0.83698442246886229</v>
      </c>
      <c r="CW1266" s="180">
        <f t="shared" si="2291"/>
        <v>0.40349573304423936</v>
      </c>
      <c r="CX1266" s="181">
        <f>INDEX('State Tax Lookup'!$D$7:$Z$91,MATCH(Calculation!$C1266,'State Tax Lookup'!$B$7:$B$91,0),MATCH($H1266,'State Tax Lookup'!$D$6:$Z$6,0))</f>
        <v>0.43</v>
      </c>
      <c r="CY1266" s="72">
        <v>0.37</v>
      </c>
      <c r="CZ1266" s="70">
        <f t="shared" si="2293"/>
        <v>21.498389976818316</v>
      </c>
      <c r="DA1266" s="70">
        <v>19.146574949201604</v>
      </c>
      <c r="DB1266" s="69">
        <f t="shared" si="2296"/>
        <v>6.4306967668815385E-2</v>
      </c>
      <c r="DC1266" s="111">
        <f>VLOOKUP($H1266,RoR!$E:$F,2,FALSE)</f>
        <v>4.6391666666666664E-2</v>
      </c>
      <c r="DD1266" s="216">
        <f>HLOOKUP($H1266,'GDP-PI'!$D$8:$CQ$11,3,FALSE)</f>
        <v>2.0840920205183799E-2</v>
      </c>
      <c r="DE1266" s="111">
        <f>VLOOKUP(H1266,'HW Dx Data'!$E:$F,2,FALSE)</f>
        <v>611.61109612283201</v>
      </c>
      <c r="DF1266" s="72">
        <f t="shared" si="2306"/>
        <v>120.875</v>
      </c>
      <c r="DG1266" s="69">
        <f t="shared" si="2307"/>
        <v>3.3224250161508609E-2</v>
      </c>
      <c r="DH1266" s="66">
        <f>HLOOKUP(H1266,'GDP-PI'!$8:$9,2,FALSE)</f>
        <v>98.111999999999995</v>
      </c>
      <c r="DI1266" s="69">
        <f t="shared" si="2297"/>
        <v>2.0626719212849295E-2</v>
      </c>
    </row>
    <row r="1267" spans="1:113" s="160" customFormat="1" ht="21">
      <c r="A1267" s="160" t="s">
        <v>234</v>
      </c>
      <c r="B1267" s="160" t="s">
        <v>234</v>
      </c>
      <c r="C1267" s="160">
        <v>4058284</v>
      </c>
      <c r="D1267" s="161" t="s">
        <v>235</v>
      </c>
      <c r="E1267" s="161"/>
      <c r="F1267" s="189"/>
      <c r="G1267" s="160" t="s">
        <v>128</v>
      </c>
      <c r="H1267" s="162">
        <v>2012</v>
      </c>
      <c r="I1267" s="163"/>
      <c r="J1267" s="159">
        <f>IFERROR(INDEX('Labor Expenditures'!$F$7:$X$91,MATCH($C1267,'Labor Expenditures'!$D$7:$D$91,0),MATCH($G1267,'Labor Expenditures'!$F$5:$X$5,0)),"NA")</f>
        <v>93039.094920760122</v>
      </c>
      <c r="K1267" s="159">
        <f t="shared" si="2298"/>
        <v>745.50556827532148</v>
      </c>
      <c r="L1267" s="165">
        <f t="shared" si="2304"/>
        <v>-3.9986886475732522E-2</v>
      </c>
      <c r="M1267" s="76">
        <f t="shared" si="2308"/>
        <v>-1.5750856032003199E-3</v>
      </c>
      <c r="N1267" s="62">
        <f t="shared" si="2314"/>
        <v>118.54773728077807</v>
      </c>
      <c r="O1267" s="96">
        <f t="shared" si="2309"/>
        <v>-2.1342128762225519E-3</v>
      </c>
      <c r="P1267" s="96"/>
      <c r="Q1267" s="159">
        <f>IFERROR(INDEX('Non-Labor Expenditures'!$F$7:$AB$91,MATCH($C1267,'Non-Labor Expenditures'!$D$7:$D$91,0),MATCH($G1267,'Non-Labor Expenditures'!$F$5:$AB$5,0)),"NA")</f>
        <v>134737.98675117502</v>
      </c>
      <c r="R1267" s="159">
        <f t="shared" si="2299"/>
        <v>1347.3798675117503</v>
      </c>
      <c r="S1267" s="165">
        <f t="shared" si="2310"/>
        <v>-2.7091887052606088E-2</v>
      </c>
      <c r="T1267" s="165">
        <f t="shared" si="2311"/>
        <v>-1.0671508842276594E-3</v>
      </c>
      <c r="U1267" s="165"/>
      <c r="V1267" s="165"/>
      <c r="W1267" s="159">
        <f t="shared" si="2281"/>
        <v>193461.43924282075</v>
      </c>
      <c r="X1267" s="163"/>
      <c r="Y1267" s="167">
        <v>8626.2738024321916</v>
      </c>
      <c r="Z1267" s="168">
        <v>3.429653798179489E-2</v>
      </c>
      <c r="AA1267" s="76">
        <f t="shared" si="2300"/>
        <v>1.350942470790319E-3</v>
      </c>
      <c r="AB1267" s="168"/>
      <c r="AC1267" s="168"/>
      <c r="AD1267" s="163">
        <f t="shared" si="2248"/>
        <v>421238.52091475588</v>
      </c>
      <c r="AE1267" s="168">
        <f t="shared" si="2312"/>
        <v>3.5466710545996781E-2</v>
      </c>
      <c r="AF1267" s="163"/>
      <c r="AG1267" s="163"/>
      <c r="AH1267" s="163"/>
      <c r="AI1267" s="163"/>
      <c r="AJ1267" s="116">
        <f t="shared" si="2313"/>
        <v>384.65231588897592</v>
      </c>
      <c r="AK1267" s="114">
        <f>+AV1267/$AX$17</f>
        <v>3.0663981325328344E-2</v>
      </c>
      <c r="AL1267" s="115">
        <f t="shared" si="2301"/>
        <v>0.22087033901533432</v>
      </c>
      <c r="AM1267" s="115">
        <f t="shared" si="2302"/>
        <v>0.31986150378312939</v>
      </c>
      <c r="AN1267" s="115">
        <f t="shared" si="2303"/>
        <v>0.45926815720153635</v>
      </c>
      <c r="AO1267" s="115">
        <f t="shared" si="2305"/>
        <v>-2.5474565692802549E-3</v>
      </c>
      <c r="AP1267" s="166">
        <f t="shared" si="2316"/>
        <v>108.28559876311203</v>
      </c>
      <c r="AQ1267" s="168">
        <f t="shared" si="2317"/>
        <v>-2.5474565692802224E-3</v>
      </c>
      <c r="AR1267" s="169">
        <f>+AD1267/$AF$17</f>
        <v>3.9390053640615832E-2</v>
      </c>
      <c r="AS1267" s="169">
        <f t="shared" si="2315"/>
        <v>-1.0034445091108714E-4</v>
      </c>
      <c r="AT1267" s="115"/>
      <c r="AU1267" s="115"/>
      <c r="AV1267" s="113">
        <f>IFERROR(INDEX('Total Customers'!$F$7:$AB$91,MATCH($C1267,'Total Customers'!$D$7:$D$91,0),MATCH($G1267,'Total Customers'!$F$5:$AB$5,0)),"NA")</f>
        <v>1095115</v>
      </c>
      <c r="AW1267" s="68">
        <f t="shared" si="2231"/>
        <v>3.2680051603218548E-3</v>
      </c>
      <c r="AX1267" s="114"/>
      <c r="AY1267" s="114"/>
      <c r="AZ1267" s="116"/>
      <c r="BA1267" s="116"/>
      <c r="BB1267" s="166"/>
      <c r="BC1267" s="166"/>
      <c r="BD1267" s="166"/>
      <c r="BE1267" s="166"/>
      <c r="BF1267" s="166"/>
      <c r="BG1267" s="166"/>
      <c r="BH1267" s="166"/>
      <c r="BI1267" s="113"/>
      <c r="BJ1267" s="113"/>
      <c r="BK1267" s="113">
        <f>INDEX('Dist. Plant Gas Additions'!$F$7:$AE$91,MATCH($C1267,'Dist. Plant Gas Additions'!$D$7:$D$91,0),MATCH(Calculation!$G1267,'Dist. Plant Gas Additions'!$F$5:$AE$5,0))</f>
        <v>118123</v>
      </c>
      <c r="BL1267" s="113">
        <f>INDEX('Gen. Plant Additions'!$F$7:$AE$91,MATCH($C1267,'Gen. Plant Additions'!$D$7:$D$91,0),MATCH(Calculation!$G1267,'Gen. Plant Additions'!$F$5:$AE$5,0))</f>
        <v>118470</v>
      </c>
      <c r="BM1267" s="231">
        <f t="shared" si="2282"/>
        <v>0.90825687474968597</v>
      </c>
      <c r="BN1267" s="61">
        <f t="shared" si="2276"/>
        <v>107601.19195159529</v>
      </c>
      <c r="BO1267" s="113">
        <f>INDEX('Dist Plant Depreciation'!$E$7:$AD$94,MATCH($C1267,'Dist Plant Depreciation'!$D$7:$D$94,0),MATCH(Calculation!$G1267,'Dist Plant Depreciation'!$E$5:$AD$5,0))</f>
        <v>1170261</v>
      </c>
      <c r="BP1267" s="113">
        <f>INDEX('Gen. Plant Depreciation'!$E$7:$AD$94,MATCH($C1267,'Gen. Plant Depreciation'!$D$7:$D$94,0),MATCH(Calculation!$G1267,'Gen. Plant Depreciation'!$E$5:$AD$5,0))</f>
        <v>18581</v>
      </c>
      <c r="BQ1267" s="113"/>
      <c r="BR1267" s="113"/>
      <c r="BS1267" s="113"/>
      <c r="BT1267" s="113"/>
      <c r="BU1267" s="113"/>
      <c r="BV1267" s="175"/>
      <c r="BW1267" s="113">
        <f>INDEX('Gross Dx Plant'!$E$7:$AD$91,MATCH($C1267,'Gross Dx Plant'!$D$7:$D$91,0),MATCH(Calculation!$G1267,'Gross Dx Plant'!$E$5:$AD$5,0))</f>
        <v>2784850</v>
      </c>
      <c r="BX1267" s="113">
        <f>INDEX('Gross Gen Plant'!$E$7:$AD$91,MATCH($C1267,'Gross Gen Plant'!$D$7:$D$91,0),MATCH(Calculation!$G1267,'Gross Gen Plant'!$E$5:$AD$5,0))</f>
        <v>281298</v>
      </c>
      <c r="BY1267" s="113">
        <f t="shared" si="2187"/>
        <v>1877306</v>
      </c>
      <c r="BZ1267" s="113"/>
      <c r="CA1267" s="116">
        <v>2012</v>
      </c>
      <c r="CB1267" s="113"/>
      <c r="CC1267" s="113"/>
      <c r="CD1267" s="113"/>
      <c r="CE1267" s="175"/>
      <c r="CF1267" s="113">
        <f t="shared" si="2283"/>
        <v>236593</v>
      </c>
      <c r="CG1267" s="113">
        <f t="shared" si="2284"/>
        <v>353.69437266780932</v>
      </c>
      <c r="CH1267" s="178">
        <v>0.9135802469135802</v>
      </c>
      <c r="CI1267" s="61">
        <f>+CI1253*CH1267+CG1254*CH1266+CG1255*CH1265+CG1256*CH1264+CG1257*CH1263+CG1258*CH1262+CG1259*CH1261+CG1260*CH1260+CG1261*CH1259+CG1262*CH1258+CG1263*CH1257+CG1264*CH1256+CG1265*CH1255+CG1266*CH1254+CG1267</f>
        <v>8626.2738024321916</v>
      </c>
      <c r="CJ1267" s="114">
        <f t="shared" si="2285"/>
        <v>3.429653798179489E-2</v>
      </c>
      <c r="CK1267" s="114"/>
      <c r="CL1267" s="169">
        <f t="shared" si="2286"/>
        <v>7.5411605206101686E-3</v>
      </c>
      <c r="CM1267" s="169">
        <f t="shared" si="2294"/>
        <v>7.282386371068786E-3</v>
      </c>
      <c r="CN1267" s="114">
        <f>VLOOKUP($H1267,RoR!$E:$F,2,FALSE)</f>
        <v>3.6733333333333333E-2</v>
      </c>
      <c r="CO1267" s="169">
        <v>1.924331376386168E-2</v>
      </c>
      <c r="CP1267" s="169">
        <f t="shared" si="2292"/>
        <v>1.7490019569471653E-2</v>
      </c>
      <c r="CQ1267" s="169">
        <f t="shared" si="2295"/>
        <v>2.361955523746484E-2</v>
      </c>
      <c r="CR1267" s="169">
        <v>6.7122682943869583E-2</v>
      </c>
      <c r="CS1267" s="179">
        <f t="shared" si="2287"/>
        <v>0.84089999999999998</v>
      </c>
      <c r="CT1267" s="180">
        <f t="shared" si="2288"/>
        <v>1.3960631020522127</v>
      </c>
      <c r="CU1267" s="180">
        <f t="shared" si="2289"/>
        <v>0.29441923774954631</v>
      </c>
      <c r="CV1267" s="180">
        <f t="shared" si="2290"/>
        <v>0.76377954189366437</v>
      </c>
      <c r="CW1267" s="180">
        <f t="shared" si="2291"/>
        <v>0.31393465103033691</v>
      </c>
      <c r="CX1267" s="181">
        <f>INDEX('State Tax Lookup'!$D$7:$Z$91,MATCH(Calculation!$C1267,'State Tax Lookup'!$B$7:$B$91,0),MATCH($H1267,'State Tax Lookup'!$D$6:$Z$6,0))</f>
        <v>0.43</v>
      </c>
      <c r="CY1267" s="72">
        <v>0.37</v>
      </c>
      <c r="CZ1267" s="70">
        <f t="shared" si="2293"/>
        <v>23.209510057301554</v>
      </c>
      <c r="DA1267" s="70">
        <v>20.759737328210988</v>
      </c>
      <c r="DB1267" s="69">
        <f t="shared" si="2296"/>
        <v>7.658406341208103E-2</v>
      </c>
      <c r="DC1267" s="111">
        <f>VLOOKUP($H1267,RoR!$E:$F,2,FALSE)</f>
        <v>3.6733333333333333E-2</v>
      </c>
      <c r="DD1267" s="216">
        <f>HLOOKUP($H1267,'GDP-PI'!$D$8:$CQ$11,3,FALSE)</f>
        <v>1.924331376386168E-2</v>
      </c>
      <c r="DE1267" s="111">
        <f>VLOOKUP(H1267,'HW Dx Data'!$E:$F,2,FALSE)</f>
        <v>668.91932211262167</v>
      </c>
      <c r="DF1267" s="72">
        <f t="shared" si="2306"/>
        <v>124.80000000000001</v>
      </c>
      <c r="DG1267" s="69">
        <f t="shared" si="2307"/>
        <v>3.1955502161869064E-2</v>
      </c>
      <c r="DH1267" s="66">
        <f>HLOOKUP(H1267,'GDP-PI'!$8:$9,2,FALSE)</f>
        <v>100</v>
      </c>
      <c r="DI1267" s="69">
        <f t="shared" si="2297"/>
        <v>1.9060502738742411E-2</v>
      </c>
    </row>
    <row r="1268" spans="1:113" s="160" customFormat="1" ht="21">
      <c r="A1268" s="160" t="s">
        <v>234</v>
      </c>
      <c r="B1268" s="160" t="s">
        <v>234</v>
      </c>
      <c r="C1268" s="160">
        <v>4058284</v>
      </c>
      <c r="D1268" s="161" t="s">
        <v>235</v>
      </c>
      <c r="E1268" s="161"/>
      <c r="F1268" s="189"/>
      <c r="G1268" s="160" t="s">
        <v>129</v>
      </c>
      <c r="H1268" s="162">
        <v>2013</v>
      </c>
      <c r="I1268" s="163"/>
      <c r="J1268" s="159">
        <f>IFERROR(INDEX('Labor Expenditures'!$F$7:$X$91,MATCH($C1268,'Labor Expenditures'!$D$7:$D$91,0),MATCH($G1268,'Labor Expenditures'!$F$5:$X$5,0)),"NA")</f>
        <v>98651.856147134269</v>
      </c>
      <c r="K1268" s="159">
        <f t="shared" si="2298"/>
        <v>778.01148381020721</v>
      </c>
      <c r="L1268" s="165">
        <f t="shared" si="2304"/>
        <v>4.2678681391866806E-2</v>
      </c>
      <c r="M1268" s="76">
        <f t="shared" si="2308"/>
        <v>1.6860026694182197E-3</v>
      </c>
      <c r="N1268" s="62">
        <f t="shared" si="2314"/>
        <v>108.36463103663682</v>
      </c>
      <c r="O1268" s="96">
        <f t="shared" si="2309"/>
        <v>-8.98139718915478E-2</v>
      </c>
      <c r="P1268" s="96"/>
      <c r="Q1268" s="159">
        <f>IFERROR(INDEX('Non-Labor Expenditures'!$F$7:$AB$91,MATCH($C1268,'Non-Labor Expenditures'!$D$7:$D$91,0),MATCH($G1268,'Non-Labor Expenditures'!$F$5:$AB$5,0)),"NA")</f>
        <v>142866.31332615728</v>
      </c>
      <c r="R1268" s="159">
        <f t="shared" si="2299"/>
        <v>1403.7742164047172</v>
      </c>
      <c r="S1268" s="165">
        <f t="shared" si="2310"/>
        <v>4.1002610443154605E-2</v>
      </c>
      <c r="T1268" s="165">
        <f t="shared" si="2311"/>
        <v>1.6197902185761555E-3</v>
      </c>
      <c r="U1268" s="165"/>
      <c r="V1268" s="165"/>
      <c r="W1268" s="159">
        <f t="shared" si="2281"/>
        <v>196636.16608104046</v>
      </c>
      <c r="X1268" s="163"/>
      <c r="Y1268" s="167">
        <v>8825.3587271437791</v>
      </c>
      <c r="Z1268" s="168">
        <v>2.2816611710095344E-2</v>
      </c>
      <c r="AA1268" s="76">
        <f t="shared" si="2300"/>
        <v>9.0136028095822796E-4</v>
      </c>
      <c r="AB1268" s="168"/>
      <c r="AC1268" s="168"/>
      <c r="AD1268" s="163">
        <f t="shared" si="2248"/>
        <v>438154.33555433201</v>
      </c>
      <c r="AE1268" s="168">
        <f t="shared" si="2312"/>
        <v>3.9371981348739725E-2</v>
      </c>
      <c r="AF1268" s="163"/>
      <c r="AG1268" s="163"/>
      <c r="AH1268" s="163"/>
      <c r="AI1268" s="163"/>
      <c r="AJ1268" s="116">
        <f t="shared" si="2313"/>
        <v>394.48344073158285</v>
      </c>
      <c r="AK1268" s="114">
        <f>+AV1268/$AX$18</f>
        <v>3.0902270717495448E-2</v>
      </c>
      <c r="AL1268" s="115">
        <f t="shared" si="2301"/>
        <v>0.22515321233173383</v>
      </c>
      <c r="AM1268" s="115">
        <f t="shared" si="2302"/>
        <v>0.3260639042756695</v>
      </c>
      <c r="AN1268" s="115">
        <f t="shared" si="2303"/>
        <v>0.4487828833925967</v>
      </c>
      <c r="AO1268" s="115">
        <f t="shared" si="2305"/>
        <v>3.3119486464682719E-2</v>
      </c>
      <c r="AP1268" s="166">
        <f t="shared" si="2316"/>
        <v>111.93201255515143</v>
      </c>
      <c r="AQ1268" s="168">
        <f t="shared" si="2317"/>
        <v>3.3119486464682768E-2</v>
      </c>
      <c r="AR1268" s="169">
        <f>+AD1268/$AF$18</f>
        <v>3.9504563272180146E-2</v>
      </c>
      <c r="AS1268" s="169">
        <f t="shared" si="2315"/>
        <v>1.3083708485861743E-3</v>
      </c>
      <c r="AT1268" s="115"/>
      <c r="AU1268" s="115"/>
      <c r="AV1268" s="113">
        <f>IFERROR(INDEX('Total Customers'!$F$7:$AB$91,MATCH($C1268,'Total Customers'!$D$7:$D$91,0),MATCH($G1268,'Total Customers'!$F$5:$AB$5,0)),"NA")</f>
        <v>1110704</v>
      </c>
      <c r="AW1268" s="68">
        <f t="shared" si="2231"/>
        <v>1.4134667931942615E-2</v>
      </c>
      <c r="AX1268" s="114"/>
      <c r="AY1268" s="114"/>
      <c r="AZ1268" s="116"/>
      <c r="BA1268" s="116"/>
      <c r="BB1268" s="166"/>
      <c r="BC1268" s="166"/>
      <c r="BD1268" s="166"/>
      <c r="BE1268" s="166"/>
      <c r="BF1268" s="166"/>
      <c r="BG1268" s="166"/>
      <c r="BH1268" s="166"/>
      <c r="BI1268" s="113"/>
      <c r="BJ1268" s="113"/>
      <c r="BK1268" s="113">
        <f>INDEX('Dist. Plant Gas Additions'!$F$7:$AE$91,MATCH($C1268,'Dist. Plant Gas Additions'!$D$7:$D$91,0),MATCH(Calculation!$G1268,'Dist. Plant Gas Additions'!$F$5:$AE$5,0))</f>
        <v>164004</v>
      </c>
      <c r="BL1268" s="113">
        <f>INDEX('Gen. Plant Additions'!$F$7:$AE$91,MATCH($C1268,'Gen. Plant Additions'!$D$7:$D$91,0),MATCH(Calculation!$G1268,'Gen. Plant Additions'!$F$5:$AE$5,0))</f>
        <v>12418</v>
      </c>
      <c r="BM1268" s="231">
        <f t="shared" si="2282"/>
        <v>0.91293056586351462</v>
      </c>
      <c r="BN1268" s="61">
        <f t="shared" si="2276"/>
        <v>11336.771766893125</v>
      </c>
      <c r="BO1268" s="113">
        <f>INDEX('Dist Plant Depreciation'!$E$7:$AD$94,MATCH($C1268,'Dist Plant Depreciation'!$D$7:$D$94,0),MATCH(Calculation!$G1268,'Dist Plant Depreciation'!$E$5:$AD$5,0))</f>
        <v>1206131</v>
      </c>
      <c r="BP1268" s="113">
        <f>INDEX('Gen. Plant Depreciation'!$E$7:$AD$94,MATCH($C1268,'Gen. Plant Depreciation'!$D$7:$D$94,0),MATCH(Calculation!$G1268,'Gen. Plant Depreciation'!$E$5:$AD$5,0))</f>
        <v>21682</v>
      </c>
      <c r="BQ1268" s="113"/>
      <c r="BR1268" s="113"/>
      <c r="BS1268" s="113"/>
      <c r="BT1268" s="113"/>
      <c r="BU1268" s="113"/>
      <c r="BV1268" s="175"/>
      <c r="BW1268" s="113">
        <f>INDEX('Gross Dx Plant'!$E$7:$AD$91,MATCH($C1268,'Gross Dx Plant'!$D$7:$D$91,0),MATCH(Calculation!$G1268,'Gross Dx Plant'!$E$5:$AD$5,0))</f>
        <v>2942346</v>
      </c>
      <c r="BX1268" s="113">
        <f>INDEX('Gross Gen Plant'!$E$7:$AD$91,MATCH($C1268,'Gross Gen Plant'!$D$7:$D$91,0),MATCH(Calculation!$G1268,'Gross Gen Plant'!$E$5:$AD$5,0))</f>
        <v>280622</v>
      </c>
      <c r="BY1268" s="113">
        <f t="shared" si="2187"/>
        <v>1995155</v>
      </c>
      <c r="BZ1268" s="113"/>
      <c r="CA1268" s="116">
        <v>2013</v>
      </c>
      <c r="CB1268" s="113"/>
      <c r="CC1268" s="113"/>
      <c r="CD1268" s="113"/>
      <c r="CE1268" s="175"/>
      <c r="CF1268" s="113">
        <f t="shared" si="2283"/>
        <v>176422</v>
      </c>
      <c r="CG1268" s="113">
        <f t="shared" si="2284"/>
        <v>265.99687016229859</v>
      </c>
      <c r="CH1268" s="178">
        <v>0.90566037735849059</v>
      </c>
      <c r="CI1268" s="61">
        <f>+CI1253*CH1268+CG1254*CH1267+CG1255*CH1266+CG1256*CH1265+CG1257*CH1264+CG1258*CH1263+CG1259*CH1262+CG1260*CH1261+CG1261*CH1260+CG1262*CH1259+CG1263*CH1258+CG1264*CH1257+CG1265*CH1256+CG1266*CH1255+CG1267*CH1254+CG1268</f>
        <v>8825.3587271437791</v>
      </c>
      <c r="CJ1268" s="114">
        <f t="shared" si="2285"/>
        <v>2.2816611710095344E-2</v>
      </c>
      <c r="CK1268" s="114"/>
      <c r="CL1268" s="169">
        <f t="shared" si="2286"/>
        <v>7.7567611442898024E-3</v>
      </c>
      <c r="CM1268" s="169">
        <f t="shared" si="2294"/>
        <v>7.5247616720569366E-3</v>
      </c>
      <c r="CN1268" s="114">
        <f>VLOOKUP($H1268,RoR!$E:$F,2,FALSE)</f>
        <v>4.2350000000000006E-2</v>
      </c>
      <c r="CO1268" s="169">
        <v>1.7730000000000024E-2</v>
      </c>
      <c r="CP1268" s="169">
        <f t="shared" si="2292"/>
        <v>2.4619999999999982E-2</v>
      </c>
      <c r="CQ1268" s="169">
        <f t="shared" si="2295"/>
        <v>2.3377179936476689E-2</v>
      </c>
      <c r="CR1268" s="169">
        <v>5.3376742735721204E-2</v>
      </c>
      <c r="CS1268" s="179">
        <f t="shared" si="2287"/>
        <v>0.84089999999999998</v>
      </c>
      <c r="CT1268" s="180">
        <f t="shared" si="2288"/>
        <v>1.2109103018193925</v>
      </c>
      <c r="CU1268" s="180">
        <f t="shared" si="2289"/>
        <v>0.38468122786304604</v>
      </c>
      <c r="CV1268" s="180">
        <f t="shared" si="2290"/>
        <v>0.80969194503422559</v>
      </c>
      <c r="CW1268" s="180">
        <f t="shared" si="2291"/>
        <v>0.37716621754800816</v>
      </c>
      <c r="CX1268" s="181">
        <f>INDEX('State Tax Lookup'!$D$7:$Z$91,MATCH(Calculation!$C1268,'State Tax Lookup'!$B$7:$B$91,0),MATCH($H1268,'State Tax Lookup'!$D$6:$Z$6,0))</f>
        <v>0.43</v>
      </c>
      <c r="CY1268" s="72">
        <v>0.37</v>
      </c>
      <c r="CZ1268" s="70">
        <f t="shared" si="2293"/>
        <v>22.7950295324035</v>
      </c>
      <c r="DA1268" s="70">
        <v>20.339519021246105</v>
      </c>
      <c r="DB1268" s="69">
        <f t="shared" si="2296"/>
        <v>-1.8019601713007542E-2</v>
      </c>
      <c r="DC1268" s="111">
        <f>VLOOKUP($H1268,RoR!$E:$F,2,FALSE)</f>
        <v>4.2350000000000006E-2</v>
      </c>
      <c r="DD1268" s="216">
        <f>HLOOKUP($H1268,'GDP-PI'!$D$8:$CQ$11,3,FALSE)</f>
        <v>1.7730000000000024E-2</v>
      </c>
      <c r="DE1268" s="111">
        <f>VLOOKUP(H1268,'HW Dx Data'!$E:$F,2,FALSE)</f>
        <v>663.24840548821396</v>
      </c>
      <c r="DF1268" s="72">
        <f t="shared" si="2306"/>
        <v>126.8</v>
      </c>
      <c r="DG1268" s="69">
        <f t="shared" si="2307"/>
        <v>1.5898586067798204E-2</v>
      </c>
      <c r="DH1268" s="66">
        <f>HLOOKUP(H1268,'GDP-PI'!$8:$9,2,FALSE)</f>
        <v>101.773</v>
      </c>
      <c r="DI1268" s="69">
        <f t="shared" si="2297"/>
        <v>1.7574657016510519E-2</v>
      </c>
    </row>
    <row r="1269" spans="1:113" s="160" customFormat="1" ht="21">
      <c r="A1269" s="160" t="s">
        <v>234</v>
      </c>
      <c r="B1269" s="160" t="s">
        <v>234</v>
      </c>
      <c r="C1269" s="160">
        <v>4058284</v>
      </c>
      <c r="D1269" s="161" t="s">
        <v>235</v>
      </c>
      <c r="E1269" s="161"/>
      <c r="F1269" s="189"/>
      <c r="G1269" s="160" t="s">
        <v>130</v>
      </c>
      <c r="H1269" s="162">
        <v>2014</v>
      </c>
      <c r="I1269" s="163"/>
      <c r="J1269" s="159">
        <f>IFERROR(INDEX('Labor Expenditures'!$F$7:$X$91,MATCH($C1269,'Labor Expenditures'!$D$7:$D$91,0),MATCH($G1269,'Labor Expenditures'!$F$5:$X$5,0)),"NA")</f>
        <v>96962.351257019211</v>
      </c>
      <c r="K1269" s="159">
        <f t="shared" si="2298"/>
        <v>749.32265268175581</v>
      </c>
      <c r="L1269" s="165">
        <f t="shared" si="2304"/>
        <v>-3.7571616045646843E-2</v>
      </c>
      <c r="M1269" s="76">
        <f t="shared" si="2308"/>
        <v>-1.4620280573089492E-3</v>
      </c>
      <c r="N1269" s="62">
        <f t="shared" si="2314"/>
        <v>123.31583185752406</v>
      </c>
      <c r="O1269" s="96">
        <f t="shared" si="2309"/>
        <v>0.12924704922877819</v>
      </c>
      <c r="P1269" s="96"/>
      <c r="Q1269" s="159">
        <f>IFERROR(INDEX('Non-Labor Expenditures'!$F$7:$AB$91,MATCH($C1269,'Non-Labor Expenditures'!$D$7:$D$91,0),MATCH($G1269,'Non-Labor Expenditures'!$F$5:$AB$5,0)),"NA")</f>
        <v>140419.59468928483</v>
      </c>
      <c r="R1269" s="159">
        <f t="shared" si="2299"/>
        <v>1354.786869752958</v>
      </c>
      <c r="S1269" s="165">
        <f t="shared" si="2310"/>
        <v>-3.5520327880228006E-2</v>
      </c>
      <c r="T1269" s="165">
        <f t="shared" si="2311"/>
        <v>-1.382206075528221E-3</v>
      </c>
      <c r="U1269" s="165"/>
      <c r="V1269" s="165"/>
      <c r="W1269" s="159">
        <f t="shared" si="2281"/>
        <v>205633.63443238562</v>
      </c>
      <c r="X1269" s="163"/>
      <c r="Y1269" s="167">
        <v>9160.8215770630977</v>
      </c>
      <c r="Z1269" s="168">
        <v>3.7306615521736558E-2</v>
      </c>
      <c r="AA1269" s="76">
        <f t="shared" si="2300"/>
        <v>1.4517160653869702E-3</v>
      </c>
      <c r="AB1269" s="168"/>
      <c r="AC1269" s="168"/>
      <c r="AD1269" s="163">
        <f t="shared" si="2248"/>
        <v>443015.58037868969</v>
      </c>
      <c r="AE1269" s="168">
        <f t="shared" si="2312"/>
        <v>1.1033726991706322E-2</v>
      </c>
      <c r="AF1269" s="163"/>
      <c r="AG1269" s="163"/>
      <c r="AH1269" s="163"/>
      <c r="AI1269" s="163"/>
      <c r="AJ1269" s="116">
        <f t="shared" si="2313"/>
        <v>394.0907856974892</v>
      </c>
      <c r="AK1269" s="114">
        <f>+AV1269/$AX$19</f>
        <v>3.1109125994138186E-2</v>
      </c>
      <c r="AL1269" s="115">
        <f t="shared" si="2301"/>
        <v>0.21886894175174562</v>
      </c>
      <c r="AM1269" s="115">
        <f t="shared" si="2302"/>
        <v>0.31696310673600725</v>
      </c>
      <c r="AN1269" s="115">
        <f t="shared" si="2303"/>
        <v>0.46416795151224705</v>
      </c>
      <c r="AO1269" s="115">
        <f t="shared" si="2305"/>
        <v>-2.732027183959939E-3</v>
      </c>
      <c r="AP1269" s="166">
        <f t="shared" si="2316"/>
        <v>111.62662860267336</v>
      </c>
      <c r="AQ1269" s="168">
        <f t="shared" si="2317"/>
        <v>-2.7320271839599108E-3</v>
      </c>
      <c r="AR1269" s="169">
        <f>+AD1269/$AF$19</f>
        <v>3.891310013209677E-2</v>
      </c>
      <c r="AS1269" s="169">
        <f t="shared" si="2315"/>
        <v>-1.0631164737304237E-4</v>
      </c>
      <c r="AT1269" s="115"/>
      <c r="AU1269" s="115"/>
      <c r="AV1269" s="113">
        <f>IFERROR(INDEX('Total Customers'!$F$7:$AB$91,MATCH($C1269,'Total Customers'!$D$7:$D$91,0),MATCH($G1269,'Total Customers'!$F$5:$AB$5,0)),"NA")</f>
        <v>1124146</v>
      </c>
      <c r="AW1269" s="68">
        <f t="shared" si="2231"/>
        <v>1.2029587757591702E-2</v>
      </c>
      <c r="AX1269" s="114"/>
      <c r="AY1269" s="114"/>
      <c r="AZ1269" s="116"/>
      <c r="BA1269" s="116"/>
      <c r="BB1269" s="166"/>
      <c r="BC1269" s="166"/>
      <c r="BD1269" s="166"/>
      <c r="BE1269" s="166"/>
      <c r="BF1269" s="166"/>
      <c r="BG1269" s="166"/>
      <c r="BH1269" s="166"/>
      <c r="BI1269" s="113"/>
      <c r="BJ1269" s="113"/>
      <c r="BK1269" s="113">
        <f>INDEX('Dist. Plant Gas Additions'!$F$7:$AE$91,MATCH($C1269,'Dist. Plant Gas Additions'!$D$7:$D$91,0),MATCH(Calculation!$G1269,'Dist. Plant Gas Additions'!$F$5:$AE$5,0))</f>
        <v>254313</v>
      </c>
      <c r="BL1269" s="113">
        <f>INDEX('Gen. Plant Additions'!$F$7:$AE$91,MATCH($C1269,'Gen. Plant Additions'!$D$7:$D$91,0),MATCH(Calculation!$G1269,'Gen. Plant Additions'!$F$5:$AE$5,0))</f>
        <v>23700</v>
      </c>
      <c r="BM1269" s="231">
        <f t="shared" si="2282"/>
        <v>0.91588687086489373</v>
      </c>
      <c r="BN1269" s="61">
        <f t="shared" si="2276"/>
        <v>21706.518839497981</v>
      </c>
      <c r="BO1269" s="113">
        <f>INDEX('Dist Plant Depreciation'!$E$7:$AD$94,MATCH($C1269,'Dist Plant Depreciation'!$D$7:$D$94,0),MATCH(Calculation!$G1269,'Dist Plant Depreciation'!$E$5:$AD$5,0))</f>
        <v>1238412</v>
      </c>
      <c r="BP1269" s="113">
        <f>INDEX('Gen. Plant Depreciation'!$E$7:$AD$94,MATCH($C1269,'Gen. Plant Depreciation'!$D$7:$D$94,0),MATCH(Calculation!$G1269,'Gen. Plant Depreciation'!$E$5:$AD$5,0))</f>
        <v>25548</v>
      </c>
      <c r="BQ1269" s="113"/>
      <c r="BR1269" s="113"/>
      <c r="BS1269" s="113"/>
      <c r="BT1269" s="113"/>
      <c r="BU1269" s="113"/>
      <c r="BV1269" s="175"/>
      <c r="BW1269" s="113">
        <f>INDEX('Gross Dx Plant'!$E$7:$AD$91,MATCH($C1269,'Gross Dx Plant'!$D$7:$D$91,0),MATCH(Calculation!$G1269,'Gross Dx Plant'!$E$5:$AD$5,0))</f>
        <v>3180604</v>
      </c>
      <c r="BX1269" s="113">
        <f>INDEX('Gross Gen Plant'!$E$7:$AD$91,MATCH($C1269,'Gross Gen Plant'!$D$7:$D$91,0),MATCH(Calculation!$G1269,'Gross Gen Plant'!$E$5:$AD$5,0))</f>
        <v>292100</v>
      </c>
      <c r="BY1269" s="113">
        <f t="shared" ref="BY1269:BY1338" si="2318">IF(OR(BO1269="NA",BP1269="NA"),"NA",(SUM(BW1269:BX1269)-SUM(BO1269:BP1269)))</f>
        <v>2208744</v>
      </c>
      <c r="BZ1269" s="113"/>
      <c r="CA1269" s="116">
        <v>2014</v>
      </c>
      <c r="CB1269" s="113"/>
      <c r="CC1269" s="113"/>
      <c r="CD1269" s="113"/>
      <c r="CE1269" s="175"/>
      <c r="CF1269" s="113">
        <f t="shared" si="2283"/>
        <v>278013</v>
      </c>
      <c r="CG1269" s="113">
        <f t="shared" si="2284"/>
        <v>406.17316778113951</v>
      </c>
      <c r="CH1269" s="178">
        <v>0.89743589743589747</v>
      </c>
      <c r="CI1269" s="61">
        <f>+CI1253*CH1269+CG1254*CH1268+CG1255*CH1267+CG1256*CH1266+CG1257*CH1265+CG1258*CH1264+CG1259*CH1263+CG1260*CH1262+CG1261*CH1261+CG1262*CH1260+CG1263*CH1259+CG1264*CH1258+CG1265*CH1257+CG1266*CH1256+CG1267*CH1255+CG1268*CH1254+CG1269</f>
        <v>9160.8215770630977</v>
      </c>
      <c r="CJ1269" s="114">
        <f t="shared" si="2285"/>
        <v>3.7306615521736558E-2</v>
      </c>
      <c r="CK1269" s="114"/>
      <c r="CL1269" s="169">
        <f t="shared" si="2286"/>
        <v>8.0121749209287312E-3</v>
      </c>
      <c r="CM1269" s="169">
        <f t="shared" si="2294"/>
        <v>7.7700321952762332E-3</v>
      </c>
      <c r="CN1269" s="114">
        <f>VLOOKUP($H1269,RoR!$E:$F,2,FALSE)</f>
        <v>4.1625000000000002E-2</v>
      </c>
      <c r="CO1269" s="169">
        <v>1.841352814597208E-2</v>
      </c>
      <c r="CP1269" s="169">
        <f t="shared" si="2292"/>
        <v>2.3211471854027922E-2</v>
      </c>
      <c r="CQ1269" s="169">
        <f t="shared" si="2295"/>
        <v>2.3131909413257393E-2</v>
      </c>
      <c r="CR1269" s="169">
        <v>3.9072621432650924E-2</v>
      </c>
      <c r="CS1269" s="179">
        <f t="shared" si="2287"/>
        <v>0.84089999999999998</v>
      </c>
      <c r="CT1269" s="180">
        <f t="shared" si="2288"/>
        <v>1.2320012320012319</v>
      </c>
      <c r="CU1269" s="180">
        <f t="shared" si="2289"/>
        <v>0.37439939939939942</v>
      </c>
      <c r="CV1269" s="180">
        <f t="shared" si="2290"/>
        <v>0.80432100613819935</v>
      </c>
      <c r="CW1269" s="180">
        <f t="shared" si="2291"/>
        <v>0.37100152660040037</v>
      </c>
      <c r="CX1269" s="181">
        <f>INDEX('State Tax Lookup'!$D$7:$Z$91,MATCH(Calculation!$C1269,'State Tax Lookup'!$B$7:$B$91,0),MATCH($H1269,'State Tax Lookup'!$D$6:$Z$6,0))</f>
        <v>0.43</v>
      </c>
      <c r="CY1269" s="72">
        <v>0.37</v>
      </c>
      <c r="CZ1269" s="70">
        <f t="shared" si="2293"/>
        <v>23.300314558311044</v>
      </c>
      <c r="DA1269" s="70">
        <v>20.763592984765573</v>
      </c>
      <c r="DB1269" s="69">
        <f t="shared" si="2296"/>
        <v>2.1924351607687059E-2</v>
      </c>
      <c r="DC1269" s="111">
        <f>VLOOKUP($H1269,RoR!$E:$F,2,FALSE)</f>
        <v>4.1625000000000002E-2</v>
      </c>
      <c r="DD1269" s="216">
        <f>HLOOKUP($H1269,'GDP-PI'!$D$8:$CQ$11,3,FALSE)</f>
        <v>1.841352814597208E-2</v>
      </c>
      <c r="DE1269" s="111">
        <f>VLOOKUP(H1269,'HW Dx Data'!$E:$F,2,FALSE)</f>
        <v>684.46914285042885</v>
      </c>
      <c r="DF1269" s="72">
        <f t="shared" si="2306"/>
        <v>129.4</v>
      </c>
      <c r="DG1269" s="69">
        <f t="shared" si="2307"/>
        <v>2.0297340063674733E-2</v>
      </c>
      <c r="DH1269" s="66">
        <f>HLOOKUP(H1269,'GDP-PI'!$8:$9,2,FALSE)</f>
        <v>103.64700000000001</v>
      </c>
      <c r="DI1269" s="69">
        <f t="shared" si="2297"/>
        <v>1.8246051898256087E-2</v>
      </c>
    </row>
    <row r="1270" spans="1:113" s="160" customFormat="1" ht="21">
      <c r="A1270" s="160" t="s">
        <v>234</v>
      </c>
      <c r="B1270" s="160" t="s">
        <v>234</v>
      </c>
      <c r="C1270" s="160">
        <v>4058284</v>
      </c>
      <c r="D1270" s="161" t="s">
        <v>235</v>
      </c>
      <c r="E1270" s="161"/>
      <c r="F1270" s="189"/>
      <c r="G1270" s="160" t="s">
        <v>132</v>
      </c>
      <c r="H1270" s="162">
        <v>2015</v>
      </c>
      <c r="I1270" s="163"/>
      <c r="J1270" s="159">
        <f>IFERROR(INDEX('Labor Expenditures'!$F$7:$X$91,MATCH($C1270,'Labor Expenditures'!$D$7:$D$91,0),MATCH($G1270,'Labor Expenditures'!$F$5:$X$5,0)),"NA")</f>
        <v>107621.18954352815</v>
      </c>
      <c r="K1270" s="159">
        <f t="shared" si="2298"/>
        <v>806.15123253579134</v>
      </c>
      <c r="L1270" s="165">
        <f t="shared" si="2304"/>
        <v>7.3101689619468557E-2</v>
      </c>
      <c r="M1270" s="76">
        <f t="shared" si="2308"/>
        <v>3.004511909005672E-3</v>
      </c>
      <c r="N1270" s="62">
        <f t="shared" si="2314"/>
        <v>123.60633472893484</v>
      </c>
      <c r="O1270" s="96">
        <f t="shared" si="2309"/>
        <v>2.3529925195402679E-3</v>
      </c>
      <c r="P1270" s="96"/>
      <c r="Q1270" s="159">
        <f>IFERROR(INDEX('Non-Labor Expenditures'!$F$7:$AB$91,MATCH($C1270,'Non-Labor Expenditures'!$D$7:$D$91,0),MATCH($G1270,'Non-Labor Expenditures'!$F$5:$AB$5,0)),"NA")</f>
        <v>155855.58332453226</v>
      </c>
      <c r="R1270" s="159">
        <f t="shared" si="2299"/>
        <v>1489.459793428189</v>
      </c>
      <c r="S1270" s="165">
        <f t="shared" si="2310"/>
        <v>9.4769349207529899E-2</v>
      </c>
      <c r="T1270" s="165">
        <f t="shared" si="2311"/>
        <v>3.8950623410339011E-3</v>
      </c>
      <c r="U1270" s="165"/>
      <c r="V1270" s="165"/>
      <c r="W1270" s="159">
        <f t="shared" si="2281"/>
        <v>209068.07165332456</v>
      </c>
      <c r="X1270" s="163"/>
      <c r="Y1270" s="167">
        <v>9456.1299094056558</v>
      </c>
      <c r="Z1270" s="168">
        <v>3.1727332390609729E-2</v>
      </c>
      <c r="AA1270" s="76">
        <f t="shared" si="2300"/>
        <v>1.3040074518767509E-3</v>
      </c>
      <c r="AB1270" s="168"/>
      <c r="AC1270" s="168"/>
      <c r="AD1270" s="163">
        <f t="shared" si="2248"/>
        <v>472544.84452138492</v>
      </c>
      <c r="AE1270" s="168">
        <f t="shared" si="2312"/>
        <v>6.4527711888451633E-2</v>
      </c>
      <c r="AF1270" s="163"/>
      <c r="AG1270" s="163"/>
      <c r="AH1270" s="163"/>
      <c r="AI1270" s="163"/>
      <c r="AJ1270" s="116">
        <f t="shared" si="2313"/>
        <v>417.04308287945543</v>
      </c>
      <c r="AK1270" s="114">
        <f>+AV1270/$AX$20</f>
        <v>3.1101503389565514E-2</v>
      </c>
      <c r="AL1270" s="115">
        <f t="shared" si="2301"/>
        <v>0.22774809796630374</v>
      </c>
      <c r="AM1270" s="115">
        <f t="shared" si="2302"/>
        <v>0.32982178333230983</v>
      </c>
      <c r="AN1270" s="115">
        <f t="shared" si="2303"/>
        <v>0.44243011870138649</v>
      </c>
      <c r="AO1270" s="115">
        <f t="shared" si="2305"/>
        <v>6.1353890821813084E-2</v>
      </c>
      <c r="AP1270" s="166">
        <f t="shared" si="2316"/>
        <v>118.68981814203853</v>
      </c>
      <c r="AQ1270" s="168">
        <f t="shared" si="2317"/>
        <v>6.1353890821813022E-2</v>
      </c>
      <c r="AR1270" s="169">
        <f>+AD1270/$AF$20</f>
        <v>4.1100444116212408E-2</v>
      </c>
      <c r="AS1270" s="169">
        <f t="shared" si="2315"/>
        <v>2.5216721610341235E-3</v>
      </c>
      <c r="AT1270" s="115"/>
      <c r="AU1270" s="115"/>
      <c r="AV1270" s="113">
        <f>IFERROR(INDEX('Total Customers'!$F$7:$AB$91,MATCH($C1270,'Total Customers'!$D$7:$D$91,0),MATCH($G1270,'Total Customers'!$F$5:$AB$5,0)),"NA")</f>
        <v>1133084</v>
      </c>
      <c r="AW1270" s="68">
        <f t="shared" si="2231"/>
        <v>7.9194824759189243E-3</v>
      </c>
      <c r="AX1270" s="114"/>
      <c r="AY1270" s="114"/>
      <c r="AZ1270" s="116"/>
      <c r="BA1270" s="116"/>
      <c r="BB1270" s="166"/>
      <c r="BC1270" s="166"/>
      <c r="BD1270" s="166"/>
      <c r="BE1270" s="166"/>
      <c r="BF1270" s="166"/>
      <c r="BG1270" s="166"/>
      <c r="BH1270" s="166"/>
      <c r="BI1270" s="113"/>
      <c r="BJ1270" s="113"/>
      <c r="BK1270" s="113">
        <f>INDEX('Dist. Plant Gas Additions'!$F$7:$AE$91,MATCH($C1270,'Dist. Plant Gas Additions'!$D$7:$D$91,0),MATCH(Calculation!$G1270,'Dist. Plant Gas Additions'!$F$5:$AE$5,0))</f>
        <v>237154</v>
      </c>
      <c r="BL1270" s="113">
        <f>INDEX('Gen. Plant Additions'!$F$7:$AE$91,MATCH($C1270,'Gen. Plant Additions'!$D$7:$D$91,0),MATCH(Calculation!$G1270,'Gen. Plant Additions'!$F$5:$AE$5,0))</f>
        <v>13293</v>
      </c>
      <c r="BM1270" s="231">
        <f t="shared" si="2282"/>
        <v>0.92026485719421292</v>
      </c>
      <c r="BN1270" s="61">
        <f>+BM1270*BL1270</f>
        <v>12233.080746682672</v>
      </c>
      <c r="BO1270" s="113">
        <f>INDEX('Dist Plant Depreciation'!$E$7:$AD$94,MATCH($C1270,'Dist Plant Depreciation'!$D$7:$D$94,0),MATCH(Calculation!$G1270,'Dist Plant Depreciation'!$E$5:$AD$5,0))</f>
        <v>1270757</v>
      </c>
      <c r="BP1270" s="113">
        <f>INDEX('Gen. Plant Depreciation'!$E$7:$AD$94,MATCH($C1270,'Gen. Plant Depreciation'!$D$7:$D$94,0),MATCH(Calculation!$G1270,'Gen. Plant Depreciation'!$E$5:$AD$5,0))</f>
        <v>28850</v>
      </c>
      <c r="BQ1270" s="113"/>
      <c r="BR1270" s="113"/>
      <c r="BS1270" s="113"/>
      <c r="BT1270" s="113"/>
      <c r="BU1270" s="113"/>
      <c r="BV1270" s="175"/>
      <c r="BW1270" s="113">
        <f>INDEX('Gross Dx Plant'!$E$7:$AD$91,MATCH($C1270,'Gross Dx Plant'!$D$7:$D$91,0),MATCH(Calculation!$G1270,'Gross Dx Plant'!$E$5:$AD$5,0))</f>
        <v>3409804</v>
      </c>
      <c r="BX1270" s="113">
        <f>INDEX('Gross Gen Plant'!$E$7:$AD$91,MATCH($C1270,'Gross Gen Plant'!$D$7:$D$91,0),MATCH(Calculation!$G1270,'Gross Gen Plant'!$E$5:$AD$5,0))</f>
        <v>295438</v>
      </c>
      <c r="BY1270" s="113">
        <f t="shared" si="2318"/>
        <v>2405635</v>
      </c>
      <c r="BZ1270" s="113"/>
      <c r="CA1270" s="116">
        <v>2015</v>
      </c>
      <c r="CB1270" s="113"/>
      <c r="CC1270" s="113"/>
      <c r="CD1270" s="113"/>
      <c r="CE1270" s="175"/>
      <c r="CF1270" s="113">
        <f t="shared" si="2283"/>
        <v>250447</v>
      </c>
      <c r="CG1270" s="113">
        <f t="shared" si="2284"/>
        <v>370.6950497146446</v>
      </c>
      <c r="CH1270" s="178">
        <v>0.88888888888888884</v>
      </c>
      <c r="CI1270" s="61">
        <f>+CI1253*CH1270+CG1254*CH1269+CG1255*CH1268+CG1256*CH1267+CG1257*CH1266+CG1258*CH1265+CG1259*CH1264+CG1260*CH1263+CG1261*CH1262+CG1262*CH1261+CG1263*CH1260+CG1264*CH1259+CG1265*CH1258+CG1266*CH1257+CG1267*CH1256+CG1268*CH1255+CG1269*CH1254+CG1270</f>
        <v>9456.1299094056558</v>
      </c>
      <c r="CJ1270" s="114">
        <f t="shared" si="2285"/>
        <v>3.1727332390609729E-2</v>
      </c>
      <c r="CK1270" s="114"/>
      <c r="CL1270" s="169">
        <f t="shared" si="2286"/>
        <v>8.2292528828244085E-3</v>
      </c>
      <c r="CM1270" s="169">
        <f t="shared" si="2294"/>
        <v>7.9993963160143143E-3</v>
      </c>
      <c r="CN1270" s="114">
        <f>VLOOKUP($H1270,RoR!$E:$F,2,FALSE)</f>
        <v>3.8866666666666674E-2</v>
      </c>
      <c r="CO1270" s="169">
        <v>9.5709475431029478E-3</v>
      </c>
      <c r="CP1270" s="169">
        <f t="shared" si="2292"/>
        <v>2.9295719123563727E-2</v>
      </c>
      <c r="CQ1270" s="169">
        <f t="shared" si="2295"/>
        <v>2.2902545292519311E-2</v>
      </c>
      <c r="CR1270" s="169">
        <v>3.5270373279175926E-3</v>
      </c>
      <c r="CS1270" s="179">
        <f t="shared" si="2287"/>
        <v>0.84089999999999998</v>
      </c>
      <c r="CT1270" s="180">
        <f t="shared" si="2288"/>
        <v>1.3194352816994324</v>
      </c>
      <c r="CU1270" s="180">
        <f t="shared" si="2289"/>
        <v>0.33177530017152673</v>
      </c>
      <c r="CV1270" s="180">
        <f t="shared" si="2290"/>
        <v>0.78242572977668579</v>
      </c>
      <c r="CW1270" s="180">
        <f t="shared" si="2291"/>
        <v>0.34251158643433932</v>
      </c>
      <c r="CX1270" s="181">
        <f>INDEX('State Tax Lookup'!$D$7:$Z$91,MATCH(Calculation!$C1270,'State Tax Lookup'!$B$7:$B$91,0),MATCH($H1270,'State Tax Lookup'!$D$6:$Z$6,0))</f>
        <v>0.43</v>
      </c>
      <c r="CY1270" s="72">
        <v>0.37</v>
      </c>
      <c r="CZ1270" s="70">
        <f t="shared" si="2293"/>
        <v>22.821978344910683</v>
      </c>
      <c r="DA1270" s="70">
        <v>20.279488671080099</v>
      </c>
      <c r="DB1270" s="69">
        <f t="shared" si="2296"/>
        <v>-2.0742826694229104E-2</v>
      </c>
      <c r="DC1270" s="111">
        <f>VLOOKUP($H1270,RoR!$E:$F,2,FALSE)</f>
        <v>3.8866666666666674E-2</v>
      </c>
      <c r="DD1270" s="216">
        <f>HLOOKUP($H1270,'GDP-PI'!$D$8:$CQ$11,3,FALSE)</f>
        <v>9.5709475431029478E-3</v>
      </c>
      <c r="DE1270" s="111">
        <f>VLOOKUP(H1270,'HW Dx Data'!$E:$F,2,FALSE)</f>
        <v>675.61463308665782</v>
      </c>
      <c r="DF1270" s="72">
        <f t="shared" si="2306"/>
        <v>133.5</v>
      </c>
      <c r="DG1270" s="69">
        <f t="shared" si="2307"/>
        <v>3.1193095773504077E-2</v>
      </c>
      <c r="DH1270" s="66">
        <f>HLOOKUP(H1270,'GDP-PI'!$8:$9,2,FALSE)</f>
        <v>104.639</v>
      </c>
      <c r="DI1270" s="69">
        <f t="shared" si="2297"/>
        <v>9.5254361854427965E-3</v>
      </c>
    </row>
    <row r="1271" spans="1:113" s="160" customFormat="1" ht="21">
      <c r="A1271" s="160" t="s">
        <v>234</v>
      </c>
      <c r="B1271" s="160" t="s">
        <v>234</v>
      </c>
      <c r="C1271" s="160">
        <v>4058284</v>
      </c>
      <c r="D1271" s="161" t="s">
        <v>235</v>
      </c>
      <c r="E1271" s="161"/>
      <c r="F1271" s="189"/>
      <c r="G1271" s="160" t="s">
        <v>133</v>
      </c>
      <c r="H1271" s="162">
        <v>2016</v>
      </c>
      <c r="I1271" s="163"/>
      <c r="J1271" s="159">
        <f>IFERROR(INDEX('Labor Expenditures'!$F$7:$X$91,MATCH($C1271,'Labor Expenditures'!$D$7:$D$91,0),MATCH($G1271,'Labor Expenditures'!$F$5:$X$5,0)),"NA")</f>
        <v>108580.68587000036</v>
      </c>
      <c r="K1271" s="159">
        <f t="shared" si="2298"/>
        <v>792.84911186564716</v>
      </c>
      <c r="L1271" s="165">
        <f t="shared" si="2304"/>
        <v>-1.6638429869372594E-2</v>
      </c>
      <c r="M1271" s="76">
        <f t="shared" si="2308"/>
        <v>-6.6855059355695387E-4</v>
      </c>
      <c r="N1271" s="62">
        <f t="shared" si="2314"/>
        <v>306.64056965319628</v>
      </c>
      <c r="O1271" s="96">
        <f t="shared" si="2309"/>
        <v>0.90857448323440326</v>
      </c>
      <c r="P1271" s="96"/>
      <c r="Q1271" s="159">
        <f>IFERROR(INDEX('Non-Labor Expenditures'!$F$7:$AB$91,MATCH($C1271,'Non-Labor Expenditures'!$D$7:$D$91,0),MATCH($G1271,'Non-Labor Expenditures'!$F$5:$AB$5,0)),"NA")</f>
        <v>157245.11321445779</v>
      </c>
      <c r="R1271" s="159">
        <f t="shared" si="2299"/>
        <v>1487.1483053497179</v>
      </c>
      <c r="S1271" s="165">
        <f t="shared" si="2310"/>
        <v>-1.5531023677948005E-3</v>
      </c>
      <c r="T1271" s="165">
        <f t="shared" si="2311"/>
        <v>-6.2405378271614386E-5</v>
      </c>
      <c r="U1271" s="165"/>
      <c r="V1271" s="165"/>
      <c r="W1271" s="159">
        <f t="shared" si="2281"/>
        <v>212238.73428811564</v>
      </c>
      <c r="X1271" s="163"/>
      <c r="Y1271" s="167">
        <v>9819.1119242416844</v>
      </c>
      <c r="Z1271" s="168">
        <v>3.7667483989882219E-2</v>
      </c>
      <c r="AA1271" s="76">
        <f t="shared" si="2300"/>
        <v>1.51352134648162E-3</v>
      </c>
      <c r="AB1271" s="168"/>
      <c r="AC1271" s="168"/>
      <c r="AD1271" s="163">
        <f t="shared" si="2248"/>
        <v>478064.53337257379</v>
      </c>
      <c r="AE1271" s="168">
        <f t="shared" si="2312"/>
        <v>1.161307896422987E-2</v>
      </c>
      <c r="AF1271" s="163"/>
      <c r="AG1271" s="163"/>
      <c r="AH1271" s="163"/>
      <c r="AI1271" s="163"/>
      <c r="AJ1271" s="116">
        <f t="shared" si="2313"/>
        <v>417.70455443805685</v>
      </c>
      <c r="AK1271" s="114">
        <f>+AV1271/$AX$21</f>
        <v>3.1143496485137406E-2</v>
      </c>
      <c r="AL1271" s="115">
        <f t="shared" si="2301"/>
        <v>0.22712558303374353</v>
      </c>
      <c r="AM1271" s="115">
        <f t="shared" si="2302"/>
        <v>0.32892026544021141</v>
      </c>
      <c r="AN1271" s="115">
        <f t="shared" si="2303"/>
        <v>0.44395415152604506</v>
      </c>
      <c r="AO1271" s="115">
        <f t="shared" si="2305"/>
        <v>1.2398193815608983E-2</v>
      </c>
      <c r="AP1271" s="166">
        <f t="shared" si="2316"/>
        <v>120.17051754326276</v>
      </c>
      <c r="AQ1271" s="168">
        <f t="shared" si="2317"/>
        <v>1.2398193815609063E-2</v>
      </c>
      <c r="AR1271" s="169">
        <f>+AD1271/$AF$21</f>
        <v>4.0181110766202587E-2</v>
      </c>
      <c r="AS1271" s="169">
        <f t="shared" si="2315"/>
        <v>4.9817319900583566E-4</v>
      </c>
      <c r="AT1271" s="115"/>
      <c r="AU1271" s="115"/>
      <c r="AV1271" s="113">
        <f>IFERROR(INDEX('Total Customers'!$F$7:$AB$91,MATCH($C1271,'Total Customers'!$D$7:$D$91,0),MATCH($G1271,'Total Customers'!$F$5:$AB$5,0)),"NA")</f>
        <v>1144504</v>
      </c>
      <c r="AW1271" s="68">
        <f t="shared" si="2231"/>
        <v>1.002823662989278E-2</v>
      </c>
      <c r="AX1271" s="114"/>
      <c r="AY1271" s="114"/>
      <c r="AZ1271" s="116"/>
      <c r="BA1271" s="116"/>
      <c r="BB1271" s="166"/>
      <c r="BC1271" s="166"/>
      <c r="BD1271" s="166"/>
      <c r="BE1271" s="166"/>
      <c r="BF1271" s="166"/>
      <c r="BG1271" s="166"/>
      <c r="BH1271" s="166"/>
      <c r="BI1271" s="113"/>
      <c r="BJ1271" s="113"/>
      <c r="BK1271" s="113">
        <f>INDEX('Dist. Plant Gas Additions'!$F$7:$AE$91,MATCH($C1271,'Dist. Plant Gas Additions'!$D$7:$D$91,0),MATCH(Calculation!$G1271,'Dist. Plant Gas Additions'!$F$5:$AE$5,0))</f>
        <v>277773</v>
      </c>
      <c r="BL1271" s="113">
        <f>INDEX('Gen. Plant Additions'!$F$7:$AE$91,MATCH($C1271,'Gen. Plant Additions'!$D$7:$D$91,0),MATCH(Calculation!$G1271,'Gen. Plant Additions'!$F$5:$AE$5,0))</f>
        <v>19738</v>
      </c>
      <c r="BM1271" s="231">
        <f t="shared" si="2282"/>
        <v>0.92347213618290536</v>
      </c>
      <c r="BN1271" s="61">
        <f t="shared" ref="BN1271:BN1290" si="2319">+BM1271*BL1271</f>
        <v>18227.493023978186</v>
      </c>
      <c r="BO1271" s="113">
        <f>INDEX('Dist Plant Depreciation'!$E$7:$AD$94,MATCH($C1271,'Dist Plant Depreciation'!$D$7:$D$94,0),MATCH(Calculation!$G1271,'Dist Plant Depreciation'!$E$5:$AD$5,0))</f>
        <v>1309409</v>
      </c>
      <c r="BP1271" s="113">
        <f>INDEX('Gen. Plant Depreciation'!$E$7:$AD$94,MATCH($C1271,'Gen. Plant Depreciation'!$D$7:$D$94,0),MATCH(Calculation!$G1271,'Gen. Plant Depreciation'!$E$5:$AD$5,0))</f>
        <v>25651</v>
      </c>
      <c r="BQ1271" s="113"/>
      <c r="BR1271" s="113"/>
      <c r="BS1271" s="113"/>
      <c r="BT1271" s="113"/>
      <c r="BU1271" s="113"/>
      <c r="BV1271" s="175"/>
      <c r="BW1271" s="113">
        <f>INDEX('Gross Dx Plant'!$E$7:$AD$91,MATCH($C1271,'Gross Dx Plant'!$D$7:$D$91,0),MATCH(Calculation!$G1271,'Gross Dx Plant'!$E$5:$AD$5,0))</f>
        <v>3680573</v>
      </c>
      <c r="BX1271" s="113">
        <f>INDEX('Gross Gen Plant'!$E$7:$AD$91,MATCH($C1271,'Gross Gen Plant'!$D$7:$D$91,0),MATCH(Calculation!$G1271,'Gross Gen Plant'!$E$5:$AD$5,0))</f>
        <v>305008</v>
      </c>
      <c r="BY1271" s="113">
        <f t="shared" si="2318"/>
        <v>2650521</v>
      </c>
      <c r="BZ1271" s="113"/>
      <c r="CA1271" s="116">
        <v>2016</v>
      </c>
      <c r="CB1271" s="113"/>
      <c r="CC1271" s="113"/>
      <c r="CD1271" s="113"/>
      <c r="CE1271" s="175"/>
      <c r="CF1271" s="113">
        <f t="shared" si="2283"/>
        <v>297511</v>
      </c>
      <c r="CG1271" s="113">
        <f t="shared" si="2284"/>
        <v>443.08312903214255</v>
      </c>
      <c r="CH1271" s="178">
        <v>0.88</v>
      </c>
      <c r="CI1271" s="61">
        <f>+CI1253*CH1271+CG1254*CH1270+CG1255*CH1269+CG1256*CH1268+CG1257*CH1267+CG1258*CH1266+CG1259*CH1265+CG1260*CH1264+CG1261*CH1263+CG1262*CH1262+CG1263*CH1261+CG1264*CH1260+CG1265*CH1259+CG1266*CH1258+CG1267*CH1257+CG1268*CH1256+CG1269*CH1255+CG1270*CH1254+CG1271</f>
        <v>9819.1119242416844</v>
      </c>
      <c r="CJ1271" s="114">
        <f t="shared" si="2285"/>
        <v>3.7667483989882219E-2</v>
      </c>
      <c r="CK1271" s="114"/>
      <c r="CL1271" s="169">
        <f t="shared" si="2286"/>
        <v>8.4708136376637957E-3</v>
      </c>
      <c r="CM1271" s="169">
        <f t="shared" si="2294"/>
        <v>8.2374138138056451E-3</v>
      </c>
      <c r="CN1271" s="114">
        <f>VLOOKUP($H1271,RoR!$E:$F,2,FALSE)</f>
        <v>3.6658333333333334E-2</v>
      </c>
      <c r="CO1271" s="169">
        <v>1.0483662879041455E-2</v>
      </c>
      <c r="CP1271" s="169">
        <f t="shared" si="2292"/>
        <v>2.6174670454291879E-2</v>
      </c>
      <c r="CQ1271" s="169">
        <f t="shared" si="2295"/>
        <v>2.2664527794727982E-2</v>
      </c>
      <c r="CR1271" s="169">
        <v>4.301363574220729E-3</v>
      </c>
      <c r="CS1271" s="179">
        <f t="shared" si="2287"/>
        <v>0.84089999999999998</v>
      </c>
      <c r="CT1271" s="180">
        <f t="shared" si="2288"/>
        <v>1.3989193348138562</v>
      </c>
      <c r="CU1271" s="180">
        <f t="shared" si="2289"/>
        <v>0.29302682427824522</v>
      </c>
      <c r="CV1271" s="180">
        <f t="shared" si="2290"/>
        <v>0.76309497491941802</v>
      </c>
      <c r="CW1271" s="180">
        <f t="shared" si="2291"/>
        <v>0.31280857135128509</v>
      </c>
      <c r="CX1271" s="181">
        <f>INDEX('State Tax Lookup'!$D$7:$Z$91,MATCH(Calculation!$C1271,'State Tax Lookup'!$B$7:$B$91,0),MATCH($H1271,'State Tax Lookup'!$D$6:$Z$6,0))</f>
        <v>0.43</v>
      </c>
      <c r="CY1271" s="72">
        <v>0.37</v>
      </c>
      <c r="CZ1271" s="70">
        <f t="shared" si="2293"/>
        <v>22.444566257175651</v>
      </c>
      <c r="DA1271" s="70">
        <v>19.909765876209278</v>
      </c>
      <c r="DB1271" s="69">
        <f t="shared" si="2296"/>
        <v>-1.6675486792831051E-2</v>
      </c>
      <c r="DC1271" s="111">
        <f>VLOOKUP($H1271,RoR!$E:$F,2,FALSE)</f>
        <v>3.6658333333333334E-2</v>
      </c>
      <c r="DD1271" s="216">
        <f>HLOOKUP($H1271,'GDP-PI'!$D$8:$CQ$11,3,FALSE)</f>
        <v>1.0483662879041455E-2</v>
      </c>
      <c r="DE1271" s="111">
        <f>VLOOKUP(H1271,'HW Dx Data'!$E:$F,2,FALSE)</f>
        <v>671.45639385971219</v>
      </c>
      <c r="DF1271" s="72">
        <f t="shared" si="2306"/>
        <v>136.94999999999999</v>
      </c>
      <c r="DG1271" s="69">
        <f t="shared" si="2307"/>
        <v>2.5514417868782811E-2</v>
      </c>
      <c r="DH1271" s="66">
        <f>HLOOKUP(H1271,'GDP-PI'!$8:$9,2,FALSE)</f>
        <v>105.736</v>
      </c>
      <c r="DI1271" s="69">
        <f t="shared" si="2297"/>
        <v>1.0429090367205095E-2</v>
      </c>
    </row>
    <row r="1272" spans="1:113" s="160" customFormat="1" ht="21">
      <c r="A1272" s="160" t="s">
        <v>234</v>
      </c>
      <c r="B1272" s="160" t="s">
        <v>234</v>
      </c>
      <c r="C1272" s="160">
        <v>4058284</v>
      </c>
      <c r="D1272" s="161" t="s">
        <v>235</v>
      </c>
      <c r="E1272" s="161"/>
      <c r="F1272" s="189"/>
      <c r="G1272" s="160" t="s">
        <v>135</v>
      </c>
      <c r="H1272" s="162">
        <v>2017</v>
      </c>
      <c r="I1272" s="163"/>
      <c r="J1272" s="159">
        <f>IFERROR(INDEX('Labor Expenditures'!$F$7:$X$91,MATCH($C1272,'Labor Expenditures'!$D$7:$D$91,0),MATCH($G1272,'Labor Expenditures'!$F$5:$X$5,0)),"NA")</f>
        <v>108202.62001644187</v>
      </c>
      <c r="K1272" s="159">
        <f t="shared" si="2298"/>
        <v>770.39957291877454</v>
      </c>
      <c r="L1272" s="165">
        <f t="shared" si="2304"/>
        <v>-2.8723622334602589E-2</v>
      </c>
      <c r="M1272" s="76">
        <f t="shared" si="2308"/>
        <v>-1.1208882881230979E-3</v>
      </c>
      <c r="N1272" s="62">
        <f t="shared" si="2314"/>
        <v>172.17435556513644</v>
      </c>
      <c r="O1272" s="96">
        <f t="shared" si="2309"/>
        <v>-0.57716862027926241</v>
      </c>
      <c r="P1272" s="96"/>
      <c r="Q1272" s="159">
        <f>IFERROR(INDEX('Non-Labor Expenditures'!$F$7:$AB$91,MATCH($C1272,'Non-Labor Expenditures'!$D$7:$D$91,0),MATCH($G1272,'Non-Labor Expenditures'!$F$5:$AB$5,0)),"NA")</f>
        <v>156697.60324554396</v>
      </c>
      <c r="R1272" s="159">
        <f t="shared" si="2299"/>
        <v>1454.2566031456224</v>
      </c>
      <c r="S1272" s="165">
        <f t="shared" si="2310"/>
        <v>-2.2365552721182225E-2</v>
      </c>
      <c r="T1272" s="165">
        <f t="shared" si="2311"/>
        <v>-8.7277592674558078E-4</v>
      </c>
      <c r="U1272" s="165"/>
      <c r="V1272" s="165"/>
      <c r="W1272" s="159">
        <f t="shared" si="2281"/>
        <v>197164.73719821303</v>
      </c>
      <c r="X1272" s="163"/>
      <c r="Y1272" s="167">
        <v>10098.696158730963</v>
      </c>
      <c r="Z1272" s="168">
        <v>2.8075639455440428E-2</v>
      </c>
      <c r="AA1272" s="76">
        <f t="shared" si="2300"/>
        <v>1.0956019084424203E-3</v>
      </c>
      <c r="AB1272" s="168"/>
      <c r="AC1272" s="168"/>
      <c r="AD1272" s="163">
        <f t="shared" si="2248"/>
        <v>462064.96046019881</v>
      </c>
      <c r="AE1272" s="168">
        <f t="shared" si="2312"/>
        <v>-3.4040242180216763E-2</v>
      </c>
      <c r="AF1272" s="163"/>
      <c r="AG1272" s="163"/>
      <c r="AH1272" s="163"/>
      <c r="AI1272" s="163"/>
      <c r="AJ1272" s="116">
        <f t="shared" si="2313"/>
        <v>398.27177836119449</v>
      </c>
      <c r="AK1272" s="114">
        <f>+AV1272/$AX$22</f>
        <v>3.1332735652527866E-2</v>
      </c>
      <c r="AL1272" s="115">
        <f t="shared" si="2301"/>
        <v>0.23417187901172218</v>
      </c>
      <c r="AM1272" s="115">
        <f t="shared" si="2302"/>
        <v>0.33912461808287564</v>
      </c>
      <c r="AN1272" s="115">
        <f t="shared" si="2303"/>
        <v>0.42670350290540227</v>
      </c>
      <c r="AO1272" s="115">
        <f t="shared" si="2305"/>
        <v>-1.8735283756597578E-3</v>
      </c>
      <c r="AP1272" s="166">
        <f t="shared" si="2316"/>
        <v>119.94558544285877</v>
      </c>
      <c r="AQ1272" s="168">
        <f t="shared" si="2317"/>
        <v>-1.8735283756597101E-3</v>
      </c>
      <c r="AR1272" s="169">
        <f>+AD1272/$AF$22</f>
        <v>3.9023221899585882E-2</v>
      </c>
      <c r="AS1272" s="169">
        <f t="shared" si="2315"/>
        <v>-7.3111113538539558E-5</v>
      </c>
      <c r="AT1272" s="115"/>
      <c r="AU1272" s="115"/>
      <c r="AV1272" s="113">
        <f>IFERROR(INDEX('Total Customers'!$F$7:$AB$91,MATCH($C1272,'Total Customers'!$D$7:$D$91,0),MATCH($G1272,'Total Customers'!$F$5:$AB$5,0)),"NA")</f>
        <v>1160175</v>
      </c>
      <c r="AW1272" s="68">
        <f t="shared" si="2231"/>
        <v>1.3599500428352217E-2</v>
      </c>
      <c r="AX1272" s="114"/>
      <c r="AY1272" s="114"/>
      <c r="AZ1272" s="116"/>
      <c r="BA1272" s="116"/>
      <c r="BB1272" s="166"/>
      <c r="BC1272" s="166"/>
      <c r="BD1272" s="166"/>
      <c r="BE1272" s="166"/>
      <c r="BF1272" s="166"/>
      <c r="BG1272" s="166"/>
      <c r="BH1272" s="166"/>
      <c r="BI1272" s="113"/>
      <c r="BJ1272" s="113"/>
      <c r="BK1272" s="113">
        <f>INDEX('Dist. Plant Gas Additions'!$F$7:$AE$91,MATCH($C1272,'Dist. Plant Gas Additions'!$D$7:$D$91,0),MATCH(Calculation!$G1272,'Dist. Plant Gas Additions'!$F$5:$AE$5,0))</f>
        <v>225817</v>
      </c>
      <c r="BL1272" s="113">
        <f>INDEX('Gen. Plant Additions'!$F$7:$AE$91,MATCH($C1272,'Gen. Plant Additions'!$D$7:$D$91,0),MATCH(Calculation!$G1272,'Gen. Plant Additions'!$F$5:$AE$5,0))</f>
        <v>34208</v>
      </c>
      <c r="BM1272" s="231">
        <f t="shared" si="2282"/>
        <v>0.92014191940968504</v>
      </c>
      <c r="BN1272" s="61">
        <f t="shared" si="2319"/>
        <v>31476.214779166505</v>
      </c>
      <c r="BO1272" s="113">
        <f>INDEX('Dist Plant Depreciation'!$E$7:$AD$94,MATCH($C1272,'Dist Plant Depreciation'!$D$7:$D$94,0),MATCH(Calculation!$G1272,'Dist Plant Depreciation'!$E$5:$AD$5,0))</f>
        <v>1344533</v>
      </c>
      <c r="BP1272" s="113">
        <f>INDEX('Gen. Plant Depreciation'!$E$7:$AD$94,MATCH($C1272,'Gen. Plant Depreciation'!$D$7:$D$94,0),MATCH(Calculation!$G1272,'Gen. Plant Depreciation'!$E$5:$AD$5,0))</f>
        <v>31725</v>
      </c>
      <c r="BQ1272" s="113"/>
      <c r="BR1272" s="113"/>
      <c r="BS1272" s="113"/>
      <c r="BT1272" s="113"/>
      <c r="BU1272" s="113"/>
      <c r="BV1272" s="175"/>
      <c r="BW1272" s="113">
        <f>INDEX('Gross Dx Plant'!$E$7:$AD$91,MATCH($C1272,'Gross Dx Plant'!$D$7:$D$91,0),MATCH(Calculation!$G1272,'Gross Dx Plant'!$E$5:$AD$5,0))</f>
        <v>3967156</v>
      </c>
      <c r="BX1272" s="113">
        <f>INDEX('Gross Gen Plant'!$E$7:$AD$91,MATCH($C1272,'Gross Gen Plant'!$D$7:$D$91,0),MATCH(Calculation!$G1272,'Gross Gen Plant'!$E$5:$AD$5,0))</f>
        <v>344305</v>
      </c>
      <c r="BY1272" s="113">
        <f t="shared" si="2318"/>
        <v>2935203</v>
      </c>
      <c r="BZ1272" s="113"/>
      <c r="CA1272" s="116">
        <v>2017</v>
      </c>
      <c r="CB1272" s="113"/>
      <c r="CC1272" s="113"/>
      <c r="CD1272" s="113"/>
      <c r="CE1272" s="175"/>
      <c r="CF1272" s="113">
        <f t="shared" si="2283"/>
        <v>260025</v>
      </c>
      <c r="CG1272" s="113">
        <f t="shared" si="2284"/>
        <v>364.98395200361125</v>
      </c>
      <c r="CH1272" s="178">
        <v>0.87074829931972786</v>
      </c>
      <c r="CI1272" s="61">
        <f>+CI1253*CH1272+CG1254*CH1271+CG1255*CH1270+CG1256*CH1269+CG1257*CH1268+CG1258*CH1267+CG1259*CH1266+CG1260*CH1265+CG1261*CH1264+CG1262*CH1263+CG1263*CH1262+CG1264*CH1261+CG1265*CH1260+CG1266*CH1259+CG1267*CH1258+CG1268*CH1257+CG1269*CH1256+CG1270*CH1255+CG1271*CH1254+CG1272</f>
        <v>10098.696158730963</v>
      </c>
      <c r="CJ1272" s="114">
        <f t="shared" si="2285"/>
        <v>2.8075639455440428E-2</v>
      </c>
      <c r="CK1272" s="114"/>
      <c r="CL1272" s="169">
        <f t="shared" si="2286"/>
        <v>8.6972954553553045E-3</v>
      </c>
      <c r="CM1272" s="169">
        <f t="shared" si="2294"/>
        <v>8.4657873252811707E-3</v>
      </c>
      <c r="CN1272" s="114">
        <f>VLOOKUP($H1272,RoR!$E:$F,2,FALSE)</f>
        <v>3.7433333333333339E-2</v>
      </c>
      <c r="CO1272" s="169">
        <v>1.9056896421275615E-2</v>
      </c>
      <c r="CP1272" s="169">
        <f t="shared" si="2292"/>
        <v>1.8376436912057724E-2</v>
      </c>
      <c r="CQ1272" s="169">
        <f t="shared" si="2295"/>
        <v>2.2436154283252456E-2</v>
      </c>
      <c r="CR1272" s="169">
        <v>1.3976271617800498E-2</v>
      </c>
      <c r="CS1272" s="179">
        <f t="shared" si="2287"/>
        <v>0.89270000000000005</v>
      </c>
      <c r="CT1272" s="180">
        <f t="shared" si="2288"/>
        <v>1.3699568463593395</v>
      </c>
      <c r="CU1272" s="180">
        <f t="shared" si="2289"/>
        <v>0.30714603739982199</v>
      </c>
      <c r="CV1272" s="180">
        <f t="shared" si="2290"/>
        <v>0.77007188472689425</v>
      </c>
      <c r="CW1272" s="180">
        <f t="shared" si="2291"/>
        <v>0.32402839633793828</v>
      </c>
      <c r="CX1272" s="181">
        <f>INDEX('State Tax Lookup'!$D$7:$Z$91,MATCH(Calculation!$C1272,'State Tax Lookup'!$B$7:$B$91,0),MATCH($H1272,'State Tax Lookup'!$D$6:$Z$6,0))</f>
        <v>0.28999999999999998</v>
      </c>
      <c r="CY1272" s="72">
        <v>0.37</v>
      </c>
      <c r="CZ1272" s="70">
        <f t="shared" si="2293"/>
        <v>20.079691393622625</v>
      </c>
      <c r="DA1272" s="70">
        <v>18.231812616449311</v>
      </c>
      <c r="DB1272" s="69">
        <f t="shared" si="2296"/>
        <v>-0.11133962148823108</v>
      </c>
      <c r="DC1272" s="111">
        <f>VLOOKUP($H1272,RoR!$E:$F,2,FALSE)</f>
        <v>3.7433333333333339E-2</v>
      </c>
      <c r="DD1272" s="216">
        <f>HLOOKUP($H1272,'GDP-PI'!$D$8:$CQ$11,3,FALSE)</f>
        <v>1.9056896421275615E-2</v>
      </c>
      <c r="DE1272" s="111">
        <f>VLOOKUP(H1272,'HW Dx Data'!$E:$F,2,FALSE)</f>
        <v>712.42858370229726</v>
      </c>
      <c r="DF1272" s="72">
        <f t="shared" si="2306"/>
        <v>140.44999999999999</v>
      </c>
      <c r="DG1272" s="69">
        <f t="shared" si="2307"/>
        <v>2.5235657841165486E-2</v>
      </c>
      <c r="DH1272" s="66">
        <f>HLOOKUP(H1272,'GDP-PI'!$8:$9,2,FALSE)</f>
        <v>107.751</v>
      </c>
      <c r="DI1272" s="69">
        <f t="shared" si="2297"/>
        <v>1.8877588227745139E-2</v>
      </c>
    </row>
    <row r="1273" spans="1:113" s="160" customFormat="1" ht="21">
      <c r="A1273" s="160" t="s">
        <v>234</v>
      </c>
      <c r="B1273" s="160" t="s">
        <v>234</v>
      </c>
      <c r="C1273" s="160">
        <v>4058284</v>
      </c>
      <c r="D1273" s="161" t="s">
        <v>235</v>
      </c>
      <c r="E1273" s="161"/>
      <c r="F1273" s="189"/>
      <c r="G1273" s="160" t="s">
        <v>136</v>
      </c>
      <c r="H1273" s="162">
        <v>2018</v>
      </c>
      <c r="I1273" s="163"/>
      <c r="J1273" s="159">
        <f>IFERROR(INDEX('Labor Expenditures'!$F$7:$X$91,MATCH($C1273,'Labor Expenditures'!$D$7:$D$91,0),MATCH($G1273,'Labor Expenditures'!$F$5:$X$5,0)),"NA")</f>
        <v>116068.48150952866</v>
      </c>
      <c r="K1273" s="159">
        <f t="shared" si="2298"/>
        <v>803.52012121515179</v>
      </c>
      <c r="L1273" s="165">
        <f t="shared" si="2304"/>
        <v>4.2092920703585036E-2</v>
      </c>
      <c r="M1273" s="76">
        <f t="shared" si="2308"/>
        <v>1.6235787298494765E-3</v>
      </c>
      <c r="N1273" s="62">
        <f t="shared" si="2314"/>
        <v>118.58570623424676</v>
      </c>
      <c r="O1273" s="96">
        <f t="shared" si="2309"/>
        <v>-0.37287170000771214</v>
      </c>
      <c r="P1273" s="96"/>
      <c r="Q1273" s="159">
        <f>IFERROR(INDEX('Non-Labor Expenditures'!$F$7:$AB$91,MATCH($C1273,'Non-Labor Expenditures'!$D$7:$D$91,0),MATCH($G1273,'Non-Labor Expenditures'!$F$5:$AB$5,0)),"NA")</f>
        <v>168088.83982780809</v>
      </c>
      <c r="R1273" s="159">
        <f t="shared" si="2299"/>
        <v>1523.6203098911194</v>
      </c>
      <c r="S1273" s="165">
        <f t="shared" si="2310"/>
        <v>4.6594441349067886E-2</v>
      </c>
      <c r="T1273" s="165">
        <f t="shared" si="2311"/>
        <v>1.7972082392734158E-3</v>
      </c>
      <c r="U1273" s="165"/>
      <c r="V1273" s="165"/>
      <c r="W1273" s="159">
        <f t="shared" si="2281"/>
        <v>212277.15975312443</v>
      </c>
      <c r="X1273" s="163"/>
      <c r="Y1273" s="167">
        <v>10418.242546135509</v>
      </c>
      <c r="Z1273" s="168">
        <v>3.1152038181958528E-2</v>
      </c>
      <c r="AA1273" s="76">
        <f t="shared" si="2300"/>
        <v>1.2015746528935669E-3</v>
      </c>
      <c r="AB1273" s="168"/>
      <c r="AC1273" s="168"/>
      <c r="AD1273" s="163">
        <f t="shared" si="2248"/>
        <v>496434.48109046114</v>
      </c>
      <c r="AE1273" s="168">
        <f t="shared" si="2312"/>
        <v>7.1746024973408026E-2</v>
      </c>
      <c r="AF1273" s="163"/>
      <c r="AG1273" s="163"/>
      <c r="AH1273" s="163"/>
      <c r="AI1273" s="163"/>
      <c r="AJ1273" s="116">
        <f t="shared" si="2313"/>
        <v>421.66128535793797</v>
      </c>
      <c r="AK1273" s="114">
        <f>+AV1273/$AX$23</f>
        <v>3.1517573309886762E-2</v>
      </c>
      <c r="AL1273" s="115">
        <f t="shared" si="2301"/>
        <v>0.23380422982419399</v>
      </c>
      <c r="AM1273" s="115">
        <f t="shared" si="2302"/>
        <v>0.33859219339193858</v>
      </c>
      <c r="AN1273" s="115">
        <f t="shared" si="2303"/>
        <v>0.42760357678386751</v>
      </c>
      <c r="AO1273" s="115">
        <f t="shared" si="2305"/>
        <v>3.8944862114770329E-2</v>
      </c>
      <c r="AP1273" s="166">
        <f t="shared" si="2316"/>
        <v>124.70900300735488</v>
      </c>
      <c r="AQ1273" s="168">
        <f t="shared" si="2317"/>
        <v>3.8944862114770377E-2</v>
      </c>
      <c r="AR1273" s="169">
        <f>+AD1273/$AF$23</f>
        <v>3.8571301366388602E-2</v>
      </c>
      <c r="AS1273" s="169">
        <f t="shared" si="2315"/>
        <v>1.5021540133012584E-3</v>
      </c>
      <c r="AT1273" s="115"/>
      <c r="AU1273" s="115"/>
      <c r="AV1273" s="113">
        <f>IFERROR(INDEX('Total Customers'!$F$7:$AB$91,MATCH($C1273,'Total Customers'!$D$7:$D$91,0),MATCH($G1273,'Total Customers'!$F$5:$AB$5,0)),"NA")</f>
        <v>1177330</v>
      </c>
      <c r="AW1273" s="68">
        <f t="shared" si="2231"/>
        <v>1.4678307003816542E-2</v>
      </c>
      <c r="AX1273" s="114"/>
      <c r="AY1273" s="114"/>
      <c r="AZ1273" s="116"/>
      <c r="BA1273" s="116"/>
      <c r="BB1273" s="166"/>
      <c r="BC1273" s="166"/>
      <c r="BD1273" s="166"/>
      <c r="BE1273" s="166"/>
      <c r="BF1273" s="166"/>
      <c r="BG1273" s="166"/>
      <c r="BH1273" s="166"/>
      <c r="BI1273" s="113"/>
      <c r="BJ1273" s="113"/>
      <c r="BK1273" s="113">
        <f>INDEX('Dist. Plant Gas Additions'!$F$7:$AE$91,MATCH($C1273,'Dist. Plant Gas Additions'!$D$7:$D$91,0),MATCH(Calculation!$G1273,'Dist. Plant Gas Additions'!$F$5:$AE$5,0))</f>
        <v>279668</v>
      </c>
      <c r="BL1273" s="113">
        <f>INDEX('Gen. Plant Additions'!$F$7:$AE$91,MATCH($C1273,'Gen. Plant Additions'!$D$7:$D$91,0),MATCH(Calculation!$G1273,'Gen. Plant Additions'!$F$5:$AE$5,0))</f>
        <v>30019</v>
      </c>
      <c r="BM1273" s="231">
        <f t="shared" si="2282"/>
        <v>0.92099951887086828</v>
      </c>
      <c r="BN1273" s="61">
        <f t="shared" si="2319"/>
        <v>27647.484556984597</v>
      </c>
      <c r="BO1273" s="113">
        <f>INDEX('Dist Plant Depreciation'!$E$7:$AD$94,MATCH($C1273,'Dist Plant Depreciation'!$D$7:$D$94,0),MATCH(Calculation!$G1273,'Dist Plant Depreciation'!$E$5:$AD$5,0))</f>
        <v>1379730</v>
      </c>
      <c r="BP1273" s="113">
        <f>INDEX('Gen. Plant Depreciation'!$E$7:$AD$94,MATCH($C1273,'Gen. Plant Depreciation'!$D$7:$D$94,0),MATCH(Calculation!$G1273,'Gen. Plant Depreciation'!$E$5:$AD$5,0))</f>
        <v>35137</v>
      </c>
      <c r="BQ1273" s="113"/>
      <c r="BR1273" s="113"/>
      <c r="BS1273" s="113"/>
      <c r="BT1273" s="113"/>
      <c r="BU1273" s="113"/>
      <c r="BV1273" s="175"/>
      <c r="BW1273" s="113">
        <f>INDEX('Gross Dx Plant'!$E$7:$AD$91,MATCH($C1273,'Gross Dx Plant'!$D$7:$D$91,0),MATCH(Calculation!$G1273,'Gross Dx Plant'!$E$5:$AD$5,0))</f>
        <v>4194113</v>
      </c>
      <c r="BX1273" s="113">
        <f>INDEX('Gross Gen Plant'!$E$7:$AD$91,MATCH($C1273,'Gross Gen Plant'!$D$7:$D$91,0),MATCH(Calculation!$G1273,'Gross Gen Plant'!$E$5:$AD$5,0))</f>
        <v>359758</v>
      </c>
      <c r="BY1273" s="113">
        <f t="shared" si="2318"/>
        <v>3139004</v>
      </c>
      <c r="BZ1273" s="113"/>
      <c r="CA1273" s="116">
        <v>2018</v>
      </c>
      <c r="CB1273" s="113"/>
      <c r="CC1273" s="113"/>
      <c r="CD1273" s="113"/>
      <c r="CE1273" s="175"/>
      <c r="CF1273" s="113">
        <f t="shared" si="2283"/>
        <v>309687</v>
      </c>
      <c r="CG1273" s="113">
        <f t="shared" si="2284"/>
        <v>410.10719531754421</v>
      </c>
      <c r="CH1273" s="178">
        <v>0.86111111111111116</v>
      </c>
      <c r="CI1273" s="61">
        <f>+CI1253*CH1273++CG1254*CH1272+CG1255*CH1271+CG1256*CH1270+CG1257*CH1269+CG1258*CH1268+CG1259*CH1267+CG1260*CH1266+CG1261*CH1265+CG1262*CH1264+CG1263*CH1263+CG1264*CH1262+CG1265*CH1261+CG1266*CH1260+CG1267*CH1259+CG1268*CH1258+CG1269*CH1257+CG1270*CH1256+CG1271*CH1255+CG1272*CH1254+CG1273</f>
        <v>10418.242546135509</v>
      </c>
      <c r="CJ1273" s="114">
        <f t="shared" si="2285"/>
        <v>3.1152038181958528E-2</v>
      </c>
      <c r="CK1273" s="114"/>
      <c r="CL1273" s="169">
        <f t="shared" si="2286"/>
        <v>8.9675742778639062E-3</v>
      </c>
      <c r="CM1273" s="169">
        <f t="shared" si="2294"/>
        <v>8.7118944569610016E-3</v>
      </c>
      <c r="CN1273" s="114">
        <f>VLOOKUP($H1273,RoR!$E:$F,2,FALSE)</f>
        <v>3.9299999999999995E-2</v>
      </c>
      <c r="CO1273" s="169">
        <v>2.386056741932796E-2</v>
      </c>
      <c r="CP1273" s="169">
        <f t="shared" si="2292"/>
        <v>1.5439432580672034E-2</v>
      </c>
      <c r="CQ1273" s="169">
        <f t="shared" si="2295"/>
        <v>2.2190047151572623E-2</v>
      </c>
      <c r="CR1273" s="169">
        <v>3.8270792163076606E-2</v>
      </c>
      <c r="CS1273" s="179">
        <f t="shared" si="2287"/>
        <v>0.89270000000000005</v>
      </c>
      <c r="CT1273" s="180">
        <f t="shared" si="2288"/>
        <v>1.3048868010700074</v>
      </c>
      <c r="CU1273" s="180">
        <f t="shared" si="2289"/>
        <v>0.33886768447837151</v>
      </c>
      <c r="CV1273" s="180">
        <f t="shared" si="2290"/>
        <v>0.78602506232557801</v>
      </c>
      <c r="CW1273" s="180">
        <f t="shared" si="2291"/>
        <v>0.34756768162358759</v>
      </c>
      <c r="CX1273" s="181">
        <f>INDEX('State Tax Lookup'!$D$7:$Z$91,MATCH(Calculation!$C1273,'State Tax Lookup'!$B$7:$B$91,0),MATCH($H1273,'State Tax Lookup'!$D$6:$Z$6,0))</f>
        <v>0.28999999999999998</v>
      </c>
      <c r="CY1273" s="72">
        <v>0.37</v>
      </c>
      <c r="CZ1273" s="70">
        <f t="shared" si="2293"/>
        <v>21.020254141382139</v>
      </c>
      <c r="DA1273" s="70">
        <v>19.050901628905343</v>
      </c>
      <c r="DB1273" s="69">
        <f t="shared" si="2296"/>
        <v>4.57775299696426E-2</v>
      </c>
      <c r="DC1273" s="111">
        <f>VLOOKUP($H1273,RoR!$E:$F,2,FALSE)</f>
        <v>3.9299999999999995E-2</v>
      </c>
      <c r="DD1273" s="216">
        <f>HLOOKUP($H1273,'GDP-PI'!$D$8:$CQ$11,3,FALSE)</f>
        <v>2.386056741932796E-2</v>
      </c>
      <c r="DE1273" s="111">
        <f>VLOOKUP(H1273,'HW Dx Data'!$E:$F,2,FALSE)</f>
        <v>755.13671434174842</v>
      </c>
      <c r="DF1273" s="72">
        <f t="shared" si="2306"/>
        <v>144.44999999999999</v>
      </c>
      <c r="DG1273" s="69">
        <f t="shared" si="2307"/>
        <v>2.80818733619915E-2</v>
      </c>
      <c r="DH1273" s="66">
        <f>HLOOKUP(H1273,'GDP-PI'!$8:$9,2,FALSE)</f>
        <v>110.322</v>
      </c>
      <c r="DI1273" s="69">
        <f t="shared" si="2297"/>
        <v>2.3580352716508712E-2</v>
      </c>
    </row>
    <row r="1274" spans="1:113" s="160" customFormat="1" ht="21">
      <c r="A1274" s="160" t="s">
        <v>234</v>
      </c>
      <c r="B1274" s="160" t="s">
        <v>234</v>
      </c>
      <c r="C1274" s="160">
        <v>4058284</v>
      </c>
      <c r="D1274" s="161" t="s">
        <v>235</v>
      </c>
      <c r="E1274" s="161"/>
      <c r="F1274" s="189"/>
      <c r="G1274" s="160" t="s">
        <v>140</v>
      </c>
      <c r="H1274" s="162">
        <v>2019</v>
      </c>
      <c r="I1274" s="163"/>
      <c r="J1274" s="159">
        <f>IFERROR(INDEX('Labor Expenditures'!$F$7:$X$91,MATCH($C1274,'Labor Expenditures'!$D$7:$D$91,0),MATCH($G1274,'Labor Expenditures'!$F$5:$X$5,0)),"NA")</f>
        <v>127636.60855201456</v>
      </c>
      <c r="K1274" s="159">
        <f t="shared" si="2298"/>
        <v>852.75836680818134</v>
      </c>
      <c r="L1274" s="165">
        <f t="shared" si="2304"/>
        <v>5.9474005986695125E-2</v>
      </c>
      <c r="M1274" s="76">
        <f t="shared" si="2308"/>
        <v>2.3939131293501188E-3</v>
      </c>
      <c r="N1274" s="62">
        <f t="shared" si="2314"/>
        <v>117.93572224324014</v>
      </c>
      <c r="O1274" s="96">
        <f t="shared" si="2309"/>
        <v>-5.496209213966723E-3</v>
      </c>
      <c r="P1274" s="96"/>
      <c r="Q1274" s="159">
        <f>IFERROR(INDEX('Non-Labor Expenditures'!$F$7:$AB$91,MATCH($C1274,'Non-Labor Expenditures'!$D$7:$D$91,0),MATCH($G1274,'Non-Labor Expenditures'!$F$5:$AB$5,0)),"NA")</f>
        <v>184841.64841342322</v>
      </c>
      <c r="R1274" s="159">
        <f t="shared" si="2299"/>
        <v>1645.6992504622876</v>
      </c>
      <c r="S1274" s="165">
        <f t="shared" si="2310"/>
        <v>7.7076084434464939E-2</v>
      </c>
      <c r="T1274" s="165">
        <f t="shared" si="2311"/>
        <v>3.1024217626746259E-3</v>
      </c>
      <c r="U1274" s="165"/>
      <c r="V1274" s="165"/>
      <c r="W1274" s="159">
        <f t="shared" si="2281"/>
        <v>221631.63654174414</v>
      </c>
      <c r="X1274" s="163"/>
      <c r="Y1274" s="167">
        <v>10728.155184127578</v>
      </c>
      <c r="Z1274" s="168">
        <v>2.9313250710057834E-2</v>
      </c>
      <c r="AA1274" s="76">
        <f t="shared" si="2300"/>
        <v>1.1798999340054135E-3</v>
      </c>
      <c r="AB1274" s="168"/>
      <c r="AC1274" s="168"/>
      <c r="AD1274" s="163">
        <f t="shared" si="2248"/>
        <v>534109.8935071819</v>
      </c>
      <c r="AE1274" s="168">
        <f t="shared" si="2312"/>
        <v>7.315009764470437E-2</v>
      </c>
      <c r="AF1274" s="163"/>
      <c r="AG1274" s="163"/>
      <c r="AH1274" s="163"/>
      <c r="AI1274" s="163"/>
      <c r="AJ1274" s="116">
        <f t="shared" si="2313"/>
        <v>447.90516889190758</v>
      </c>
      <c r="AK1274" s="114">
        <f>+AV1274/$AX$24</f>
        <v>3.1659390704172154E-2</v>
      </c>
      <c r="AL1274" s="115">
        <f t="shared" si="2301"/>
        <v>0.23897068768732382</v>
      </c>
      <c r="AM1274" s="115">
        <f t="shared" si="2302"/>
        <v>0.3460741893389731</v>
      </c>
      <c r="AN1274" s="115">
        <f t="shared" si="2303"/>
        <v>0.41495512297370313</v>
      </c>
      <c r="AO1274" s="115">
        <f t="shared" si="2305"/>
        <v>5.2793678301590374E-2</v>
      </c>
      <c r="AP1274" s="166">
        <f t="shared" si="2316"/>
        <v>131.46974192535365</v>
      </c>
      <c r="AQ1274" s="168">
        <f t="shared" si="2317"/>
        <v>5.2793678301590312E-2</v>
      </c>
      <c r="AR1274" s="169">
        <f>+AD1274/$AF$24</f>
        <v>4.0251418912081671E-2</v>
      </c>
      <c r="AS1274" s="169">
        <f t="shared" si="2315"/>
        <v>2.1250204612269881E-3</v>
      </c>
      <c r="AT1274" s="115"/>
      <c r="AU1274" s="115"/>
      <c r="AV1274" s="113">
        <v>1192462</v>
      </c>
      <c r="AW1274" s="68">
        <f t="shared" si="2231"/>
        <v>1.2770914632022885E-2</v>
      </c>
      <c r="AX1274" s="114"/>
      <c r="AY1274" s="114"/>
      <c r="AZ1274" s="116"/>
      <c r="BA1274" s="116"/>
      <c r="BB1274" s="166"/>
      <c r="BC1274" s="166"/>
      <c r="BD1274" s="166"/>
      <c r="BE1274" s="166"/>
      <c r="BF1274" s="166"/>
      <c r="BG1274" s="166"/>
      <c r="BH1274" s="166"/>
      <c r="BI1274" s="113"/>
      <c r="BJ1274" s="113"/>
      <c r="BK1274" s="113">
        <f>INDEX('Dist. Plant Gas Additions'!$F$7:$AE$91,MATCH($C1274,'Dist. Plant Gas Additions'!$D$7:$D$91,0),MATCH(Calculation!$G1274,'Dist. Plant Gas Additions'!$F$5:$AE$5,0))</f>
        <v>279450</v>
      </c>
      <c r="BL1274" s="113">
        <f>INDEX('Gen. Plant Additions'!$F$7:$AE$91,MATCH($C1274,'Gen. Plant Additions'!$D$7:$D$91,0),MATCH(Calculation!$G1274,'Gen. Plant Additions'!$F$5:$AE$5,0))</f>
        <v>34697</v>
      </c>
      <c r="BM1274" s="231">
        <f t="shared" si="2282"/>
        <v>0.91424104523308691</v>
      </c>
      <c r="BN1274" s="61">
        <f t="shared" si="2319"/>
        <v>31721.421546452417</v>
      </c>
      <c r="BO1274" s="113">
        <f>INDEX('Dist Plant Depreciation'!$E$7:$AD$94,MATCH($C1274,'Dist Plant Depreciation'!$D$7:$D$94,0),MATCH(Calculation!$G1274,'Dist Plant Depreciation'!$E$5:$AD$5,0))</f>
        <v>1423348</v>
      </c>
      <c r="BP1274" s="113">
        <f>INDEX('Gen. Plant Depreciation'!$E$7:$AD$94,MATCH($C1274,'Gen. Plant Depreciation'!$D$7:$D$94,0),MATCH(Calculation!$G1274,'Gen. Plant Depreciation'!$E$5:$AD$5,0))</f>
        <v>42961</v>
      </c>
      <c r="BQ1274" s="113"/>
      <c r="BR1274" s="113"/>
      <c r="BS1274" s="113"/>
      <c r="BT1274" s="113"/>
      <c r="BU1274" s="113"/>
      <c r="BV1274" s="175"/>
      <c r="BW1274" s="113">
        <f>INDEX('Gross Dx Plant'!$E$7:$AD$91,MATCH($C1274,'Gross Dx Plant'!$D$7:$D$91,0),MATCH(Calculation!$G1274,'Gross Dx Plant'!$E$5:$AD$5,0))</f>
        <v>4364147</v>
      </c>
      <c r="BX1274" s="113">
        <f>INDEX('Gross Gen Plant'!$E$7:$AD$91,MATCH($C1274,'Gross Gen Plant'!$D$7:$D$91,0),MATCH(Calculation!$G1274,'Gross Gen Plant'!$E$5:$AD$5,0))</f>
        <v>409372</v>
      </c>
      <c r="BY1274" s="113">
        <f t="shared" si="2318"/>
        <v>3307210</v>
      </c>
      <c r="BZ1274" s="113"/>
      <c r="CA1274" s="116">
        <v>2019</v>
      </c>
      <c r="CB1274" s="113"/>
      <c r="CC1274" s="113"/>
      <c r="CD1274" s="113"/>
      <c r="CE1274" s="175"/>
      <c r="CF1274" s="113">
        <f t="shared" si="2283"/>
        <v>314147</v>
      </c>
      <c r="CG1274" s="113">
        <f t="shared" si="2284"/>
        <v>406.11640654437167</v>
      </c>
      <c r="CH1274" s="178">
        <v>0.85106382978723405</v>
      </c>
      <c r="CI1274" s="61">
        <f>CI1253*CH1274+CG1254*CH1273+CG1255*CH1272+CG1256*CH1271+CG1257*CH1270+CG1258*CH1269+CG1259*CH1268+CG1260*CH1267+CG1261*CH1266+CG1262*CH1265+CG1263*CH1264+CG1264*CH1263+CG1265*CH1262+CG1266*CH1261+CG1267*CH1260+CG1268*CH1259+CG1269*CH1258+CG1270*CH1257+CG1271*CH1256+CG1272*CH1255+CG1273*CH1254+CG1274</f>
        <v>10728.155184127578</v>
      </c>
      <c r="CJ1274" s="114">
        <f t="shared" si="2285"/>
        <v>2.9313250710057834E-2</v>
      </c>
      <c r="CK1274" s="114"/>
      <c r="CL1274" s="169">
        <f t="shared" si="2286"/>
        <v>9.2341647956725708E-3</v>
      </c>
      <c r="CM1274" s="169">
        <f t="shared" si="2294"/>
        <v>8.9663448429639272E-3</v>
      </c>
      <c r="CN1274" s="114">
        <f>VLOOKUP($H1274,RoR!$E:$F,2,FALSE)</f>
        <v>3.3875000000000009E-2</v>
      </c>
      <c r="CO1274" s="169">
        <v>1.8092492884465461E-2</v>
      </c>
      <c r="CP1274" s="169">
        <f t="shared" si="2292"/>
        <v>1.5782507115534548E-2</v>
      </c>
      <c r="CQ1274" s="169">
        <f t="shared" si="2295"/>
        <v>2.19355967655697E-2</v>
      </c>
      <c r="CR1274" s="169">
        <v>4.8445665544254078E-2</v>
      </c>
      <c r="CS1274" s="179">
        <f t="shared" si="2287"/>
        <v>0.89270000000000005</v>
      </c>
      <c r="CT1274" s="180">
        <f t="shared" si="2288"/>
        <v>1.513861292459078</v>
      </c>
      <c r="CU1274" s="180">
        <f t="shared" si="2289"/>
        <v>0.23699261992619944</v>
      </c>
      <c r="CV1274" s="180">
        <f t="shared" si="2290"/>
        <v>0.73619765810468829</v>
      </c>
      <c r="CW1274" s="180">
        <f t="shared" si="2291"/>
        <v>0.26412854465362851</v>
      </c>
      <c r="CX1274" s="181">
        <f>INDEX('State Tax Lookup'!$D$7:$Z$91,MATCH(Calculation!$C1274,'State Tax Lookup'!$B$7:$B$91,0),MATCH($H1274,'State Tax Lookup'!$D$6:$Z$6,0))</f>
        <v>0.28999999999999998</v>
      </c>
      <c r="CY1274" s="72">
        <v>0.37</v>
      </c>
      <c r="CZ1274" s="70">
        <f t="shared" si="2293"/>
        <v>21.273418770995601</v>
      </c>
      <c r="DA1274" s="70">
        <v>19.236104090735289</v>
      </c>
      <c r="DB1274" s="69">
        <f t="shared" si="2296"/>
        <v>1.1971892528290397E-2</v>
      </c>
      <c r="DC1274" s="111">
        <f>VLOOKUP($H1274,RoR!$E:$F,2,FALSE)</f>
        <v>3.3875000000000009E-2</v>
      </c>
      <c r="DD1274" s="216">
        <f>HLOOKUP($H1274,'GDP-PI'!$D$8:$CQ$11,3,FALSE)</f>
        <v>1.8092492884465461E-2</v>
      </c>
      <c r="DE1274" s="111">
        <f>VLOOKUP(H1274,'HW Dx Data'!$E:$F,2,FALSE)</f>
        <v>773.53929793938721</v>
      </c>
      <c r="DF1274" s="72">
        <f t="shared" si="2306"/>
        <v>149.67500000000001</v>
      </c>
      <c r="DG1274" s="69">
        <f t="shared" si="2307"/>
        <v>3.5532849899171604E-2</v>
      </c>
      <c r="DH1274" s="66">
        <f>HLOOKUP(H1274,'GDP-PI'!$8:$9,2,FALSE)</f>
        <v>112.318</v>
      </c>
      <c r="DI1274" s="69">
        <f t="shared" si="2297"/>
        <v>1.7930771451401852E-2</v>
      </c>
    </row>
    <row r="1275" spans="1:113" s="160" customFormat="1" ht="21">
      <c r="A1275" s="160" t="s">
        <v>234</v>
      </c>
      <c r="B1275" s="160" t="s">
        <v>234</v>
      </c>
      <c r="C1275" s="160">
        <v>4058284</v>
      </c>
      <c r="D1275" s="160" t="s">
        <v>235</v>
      </c>
      <c r="G1275" s="161" t="s">
        <v>141</v>
      </c>
      <c r="H1275" s="162">
        <v>2020</v>
      </c>
      <c r="I1275" s="163"/>
      <c r="J1275" s="159">
        <f>IFERROR(INDEX('Labor Expenditures'!$F$7:$X$91,MATCH($C1275,'Labor Expenditures'!$D$7:$D$91,0),MATCH($G1275,'Labor Expenditures'!$F$5:$X$5,0)),"NA")</f>
        <v>122213.75106239493</v>
      </c>
      <c r="K1275" s="159">
        <f t="shared" si="2298"/>
        <v>798.00033341426661</v>
      </c>
      <c r="L1275" s="165">
        <f t="shared" si="2304"/>
        <v>-6.6367217548995383E-2</v>
      </c>
      <c r="M1275" s="76">
        <f t="shared" si="2308"/>
        <v>-2.6017714811083911E-3</v>
      </c>
      <c r="N1275" s="62">
        <f t="shared" si="2314"/>
        <v>117.46731019674505</v>
      </c>
      <c r="O1275" s="96">
        <f t="shared" si="2309"/>
        <v>-3.9796655111478743E-3</v>
      </c>
      <c r="P1275" s="96"/>
      <c r="Q1275" s="159">
        <f>IFERROR(INDEX('Non-Labor Expenditures'!$F$7:$AB$91,MATCH($C1275,'Non-Labor Expenditures'!$D$7:$D$91,0),MATCH($G1275,'Non-Labor Expenditures'!$F$5:$AB$5,0)),"NA")</f>
        <v>176988.33791838697</v>
      </c>
      <c r="R1275" s="159">
        <f t="shared" si="2299"/>
        <v>1557.6805569152984</v>
      </c>
      <c r="S1275" s="165">
        <f t="shared" si="2310"/>
        <v>-5.4967477813019895E-2</v>
      </c>
      <c r="T1275" s="165">
        <f t="shared" si="2311"/>
        <v>-2.1548713573353389E-3</v>
      </c>
      <c r="U1275" s="165"/>
      <c r="V1275" s="165"/>
      <c r="W1275" s="159">
        <f t="shared" si="2281"/>
        <v>236968.30034196322</v>
      </c>
      <c r="X1275" s="163"/>
      <c r="Y1275" s="167">
        <v>11001.362033572135</v>
      </c>
      <c r="Z1275" s="168">
        <v>2.514747515595251E-2</v>
      </c>
      <c r="AA1275" s="76">
        <f t="shared" si="2300"/>
        <v>9.8584792460731127E-4</v>
      </c>
      <c r="AB1275" s="168"/>
      <c r="AC1275" s="168"/>
      <c r="AD1275" s="163">
        <f t="shared" si="2248"/>
        <v>536170.38932274515</v>
      </c>
      <c r="AE1275" s="168">
        <f t="shared" si="2312"/>
        <v>3.8503902095104363E-3</v>
      </c>
      <c r="AF1275" s="163"/>
      <c r="AG1275" s="163"/>
      <c r="AH1275" s="163"/>
      <c r="AI1275" s="163"/>
      <c r="AJ1275" s="116">
        <f t="shared" si="2313"/>
        <v>444.75942870121344</v>
      </c>
      <c r="AK1275" s="114">
        <f>+AV1275/$AX$25</f>
        <v>3.1780299572271978E-2</v>
      </c>
      <c r="AL1275" s="115">
        <f t="shared" si="2301"/>
        <v>0.22793827017707419</v>
      </c>
      <c r="AM1275" s="115">
        <f t="shared" si="2302"/>
        <v>0.33009718821277484</v>
      </c>
      <c r="AN1275" s="115">
        <f t="shared" si="2303"/>
        <v>0.44196454161015092</v>
      </c>
      <c r="AO1275" s="115">
        <f t="shared" si="2305"/>
        <v>-2.3302758799883194E-2</v>
      </c>
      <c r="AP1275" s="166">
        <f t="shared" si="2316"/>
        <v>128.44155383705183</v>
      </c>
      <c r="AQ1275" s="168">
        <f t="shared" si="2317"/>
        <v>-2.3302758799883024E-2</v>
      </c>
      <c r="AR1275" s="169">
        <f>+AD1275/$AF$25</f>
        <v>3.9202660246945589E-2</v>
      </c>
      <c r="AS1275" s="169">
        <f t="shared" si="2315"/>
        <v>-9.1353013604833575E-4</v>
      </c>
      <c r="AT1275" s="115"/>
      <c r="AU1275" s="115"/>
      <c r="AV1275" s="113">
        <v>1205529</v>
      </c>
      <c r="AW1275" s="68">
        <f t="shared" si="2231"/>
        <v>1.0898397313326622E-2</v>
      </c>
      <c r="AX1275" s="114"/>
      <c r="AY1275" s="114"/>
      <c r="AZ1275" s="116"/>
      <c r="BA1275" s="116"/>
      <c r="BB1275" s="166"/>
      <c r="BC1275" s="166"/>
      <c r="BD1275" s="166"/>
      <c r="BE1275" s="166"/>
      <c r="BF1275" s="166"/>
      <c r="BG1275" s="166"/>
      <c r="BH1275" s="166"/>
      <c r="BI1275" s="113"/>
      <c r="BJ1275" s="113"/>
      <c r="BK1275" s="113">
        <f>INDEX('Dist. Plant Gas Additions'!$F$7:$AE$91,MATCH($C1275,'Dist. Plant Gas Additions'!$D$7:$D$91,0),MATCH(Calculation!$G1275,'Dist. Plant Gas Additions'!$F$5:$AE$5,0))</f>
        <v>286246</v>
      </c>
      <c r="BL1275" s="113">
        <f>INDEX('Gen. Plant Additions'!$F$7:$AE$91,MATCH($C1275,'Gen. Plant Additions'!$D$7:$D$91,0),MATCH(Calculation!$G1275,'Gen. Plant Additions'!$F$5:$AE$5,0))</f>
        <v>18917</v>
      </c>
      <c r="BM1275" s="231">
        <f t="shared" si="2282"/>
        <v>0.91758267642037095</v>
      </c>
      <c r="BN1275" s="61">
        <f t="shared" si="2319"/>
        <v>17357.911489844158</v>
      </c>
      <c r="BO1275" s="113">
        <f>INDEX('Dist Plant Depreciation'!$E$7:$AD$94,MATCH($C1275,'Dist Plant Depreciation'!$D$7:$D$94,0),MATCH(Calculation!$G1275,'Dist Plant Depreciation'!$E$5:$AD$5,0))</f>
        <v>1468249</v>
      </c>
      <c r="BP1275" s="113">
        <f>INDEX('Gen. Plant Depreciation'!$E$7:$AD$94,MATCH($C1275,'Gen. Plant Depreciation'!$D$7:$D$94,0),MATCH(Calculation!$G1275,'Gen. Plant Depreciation'!$E$5:$AD$5,0))</f>
        <v>46616</v>
      </c>
      <c r="BQ1275" s="113"/>
      <c r="BR1275" s="113"/>
      <c r="BS1275" s="113"/>
      <c r="BT1275" s="113"/>
      <c r="BU1275" s="113"/>
      <c r="BV1275" s="175"/>
      <c r="BW1275" s="113">
        <f>INDEX('Gross Dx Plant'!$E$7:$AD$91,MATCH($C1275,'Gross Dx Plant'!$D$7:$D$91,0),MATCH(Calculation!$G1275,'Gross Dx Plant'!$E$5:$AD$5,0))</f>
        <v>4635780</v>
      </c>
      <c r="BX1275" s="113">
        <f>INDEX('Gross Gen Plant'!$E$7:$AD$91,MATCH($C1275,'Gross Gen Plant'!$D$7:$D$91,0),MATCH(Calculation!$G1275,'Gross Gen Plant'!$E$5:$AD$5,0))</f>
        <v>416386</v>
      </c>
      <c r="BY1275" s="113">
        <f t="shared" si="2318"/>
        <v>3537301</v>
      </c>
      <c r="BZ1275" s="113"/>
      <c r="CA1275" s="116">
        <v>2020</v>
      </c>
      <c r="CB1275" s="113"/>
      <c r="CC1275" s="113"/>
      <c r="CD1275" s="113"/>
      <c r="CE1275" s="175"/>
      <c r="CF1275" s="113">
        <f t="shared" si="2283"/>
        <v>305163</v>
      </c>
      <c r="CG1275" s="113">
        <f t="shared" si="2284"/>
        <v>375.31723695872444</v>
      </c>
      <c r="CH1275" s="178">
        <v>0.84057971014492749</v>
      </c>
      <c r="CI1275" s="61">
        <f>CI1253*CH1275+CG1254*CH1274+CG1255*CH1273+CG1256*CH1272+CG1257*CH1271+CG1258*CH1270+CG1259*CH1269+CG1260*CH1268+CG1261*CH1267+CG1262*CH1266+CG1263*CH1265+CG1264*CH1264+CG1265*CH1263+CG1266*CH1262+CG1267*CH1261+CG1268*CH1260+CG1269*CH1259+CG1270*CH1258+CG1271*CH1257+CG1272*CH1256+CG1273*CH1255+CG1274*CH1254+CG1275</f>
        <v>11001.362033572135</v>
      </c>
      <c r="CJ1275" s="114">
        <f t="shared" si="2285"/>
        <v>2.514747515595251E-2</v>
      </c>
      <c r="CK1275" s="114"/>
      <c r="CL1275" s="169">
        <f t="shared" si="2286"/>
        <v>9.5179819607047016E-3</v>
      </c>
      <c r="CM1275" s="169">
        <f t="shared" si="2294"/>
        <v>9.2399070114137245E-3</v>
      </c>
      <c r="CN1275" s="114">
        <f>VLOOKUP($H1275,RoR!$E:$F,2,FALSE)</f>
        <v>2.4766666666666666E-2</v>
      </c>
      <c r="CO1275" s="169">
        <v>1.1618796630994188E-2</v>
      </c>
      <c r="CP1275" s="169">
        <f t="shared" si="2292"/>
        <v>1.3147870035672478E-2</v>
      </c>
      <c r="CQ1275" s="169">
        <f t="shared" si="2295"/>
        <v>2.1662034597119899E-2</v>
      </c>
      <c r="CR1275" s="169">
        <v>4.5144642961987357E-2</v>
      </c>
      <c r="CS1275" s="179">
        <f t="shared" si="2287"/>
        <v>0.89270000000000005</v>
      </c>
      <c r="CT1275" s="180">
        <f t="shared" si="2288"/>
        <v>2.0706077233668081</v>
      </c>
      <c r="CU1275" s="180">
        <f t="shared" si="2289"/>
        <v>-3.4421265141318998E-2</v>
      </c>
      <c r="CV1275" s="180">
        <f t="shared" si="2290"/>
        <v>0.62416226176410472</v>
      </c>
      <c r="CW1275" s="180">
        <f t="shared" si="2291"/>
        <v>-4.4485877841158712E-2</v>
      </c>
      <c r="CX1275" s="181">
        <f>INDEX('State Tax Lookup'!$D$7:$Z$91,MATCH(Calculation!$C1275,'State Tax Lookup'!$B$7:$B$91,0),MATCH($H1275,'State Tax Lookup'!$D$6:$Z$6,0))</f>
        <v>0.28999999999999998</v>
      </c>
      <c r="CY1275" s="72">
        <v>0.37</v>
      </c>
      <c r="CZ1275" s="70">
        <f t="shared" si="2293"/>
        <v>22.088448225708031</v>
      </c>
      <c r="DA1275" s="70">
        <v>19.952659173050833</v>
      </c>
      <c r="DB1275" s="69">
        <f t="shared" si="2296"/>
        <v>3.7596418787014113E-2</v>
      </c>
      <c r="DC1275" s="181">
        <f>VLOOKUP($H1275,RoR!$E:$F,2,FALSE)</f>
        <v>2.4766666666666666E-2</v>
      </c>
      <c r="DD1275" s="183">
        <f>HLOOKUP($H1275,'GDP-PI'!$D$8:$CR$11,3,FALSE)</f>
        <v>1.1618796630994188E-2</v>
      </c>
      <c r="DE1275" s="111">
        <f>VLOOKUP(H1275,'HW Dx Data'!$E:$F,2,FALSE)</f>
        <v>813.080162458833</v>
      </c>
      <c r="DF1275" s="72">
        <f t="shared" si="2306"/>
        <v>153.15</v>
      </c>
      <c r="DG1275" s="69">
        <f t="shared" si="2307"/>
        <v>2.2951556467368479E-2</v>
      </c>
      <c r="DH1275" s="66">
        <f>HLOOKUP(H1275,'GDP-PI'!$8:$9,2,FALSE)</f>
        <v>113.623</v>
      </c>
      <c r="DI1275" s="69">
        <f t="shared" si="2297"/>
        <v>1.1551816731392881E-2</v>
      </c>
    </row>
    <row r="1276" spans="1:113" s="160" customFormat="1" ht="21">
      <c r="A1276" s="160" t="s">
        <v>234</v>
      </c>
      <c r="B1276" s="160" t="s">
        <v>234</v>
      </c>
      <c r="C1276" s="160">
        <v>4058284</v>
      </c>
      <c r="D1276" s="160" t="s">
        <v>235</v>
      </c>
      <c r="G1276" s="161" t="s">
        <v>142</v>
      </c>
      <c r="H1276" s="162">
        <v>2021</v>
      </c>
      <c r="I1276" s="163"/>
      <c r="J1276" s="159">
        <v>121404.69105240492</v>
      </c>
      <c r="K1276" s="159">
        <f t="shared" si="2298"/>
        <v>772.04890971322686</v>
      </c>
      <c r="L1276" s="164">
        <f t="shared" si="2304"/>
        <v>-3.30611126933123E-2</v>
      </c>
      <c r="M1276" s="76">
        <f t="shared" si="2308"/>
        <v>-1.2301800659838492E-3</v>
      </c>
      <c r="N1276" s="166">
        <f>+N1275*EXP(O1276)</f>
        <v>118.49578946155199</v>
      </c>
      <c r="O1276" s="114">
        <f t="shared" si="2309"/>
        <v>8.7173441890882192E-3</v>
      </c>
      <c r="P1276" s="114"/>
      <c r="Q1276" s="159">
        <v>171136.73317025753</v>
      </c>
      <c r="R1276" s="159">
        <f t="shared" si="2299"/>
        <v>1444.3137241139129</v>
      </c>
      <c r="S1276" s="165">
        <f t="shared" si="2310"/>
        <v>-7.5563615014164365E-2</v>
      </c>
      <c r="T1276" s="165">
        <f t="shared" si="2311"/>
        <v>-2.8116674041314548E-3</v>
      </c>
      <c r="U1276" s="165"/>
      <c r="V1276" s="165"/>
      <c r="W1276" s="159">
        <f t="shared" si="2281"/>
        <v>277592.39081609924</v>
      </c>
      <c r="X1276" s="163"/>
      <c r="Y1276" s="167">
        <v>11191.233285934468</v>
      </c>
      <c r="Z1276" s="168"/>
      <c r="AA1276" s="76">
        <f t="shared" si="2300"/>
        <v>0</v>
      </c>
      <c r="AB1276" s="168"/>
      <c r="AC1276" s="168"/>
      <c r="AD1276" s="163">
        <f t="shared" si="2248"/>
        <v>570133.81503876171</v>
      </c>
      <c r="AE1276" s="168">
        <f t="shared" si="2312"/>
        <v>6.1419095420096263E-2</v>
      </c>
      <c r="AF1276" s="113"/>
      <c r="AG1276" s="114"/>
      <c r="AH1276" s="114"/>
      <c r="AI1276" s="114"/>
      <c r="AJ1276" s="116">
        <f t="shared" si="2313"/>
        <v>468.40589185219409</v>
      </c>
      <c r="AK1276" s="114">
        <f>+AV1276/$AX$26</f>
        <v>3.1528008889348105E-2</v>
      </c>
      <c r="AL1276" s="115">
        <f t="shared" si="2301"/>
        <v>0.21294069541227084</v>
      </c>
      <c r="AM1276" s="115">
        <f t="shared" si="2302"/>
        <v>0.30016941401488784</v>
      </c>
      <c r="AN1276" s="115">
        <f t="shared" si="2303"/>
        <v>0.48688989057284132</v>
      </c>
      <c r="AO1276" s="115">
        <f t="shared" si="2305"/>
        <v>-3.1100586026238428E-2</v>
      </c>
      <c r="AP1276" s="166">
        <f t="shared" si="2316"/>
        <v>124.50842457540867</v>
      </c>
      <c r="AQ1276" s="168">
        <f t="shared" si="2317"/>
        <v>-3.1100586026238421E-2</v>
      </c>
      <c r="AR1276" s="169">
        <f>+AD1276/$AF$26</f>
        <v>3.7209275967069723E-2</v>
      </c>
      <c r="AS1276" s="169">
        <f t="shared" si="2315"/>
        <v>-1.1572302881878978E-3</v>
      </c>
      <c r="AT1276" s="115"/>
      <c r="AU1276" s="115"/>
      <c r="AV1276" s="113">
        <v>1217179</v>
      </c>
      <c r="AW1276" s="68">
        <f t="shared" si="2231"/>
        <v>9.6174114228415025E-3</v>
      </c>
      <c r="AX1276" s="113"/>
      <c r="AY1276" s="113"/>
      <c r="AZ1276" s="116"/>
      <c r="BA1276" s="116"/>
      <c r="BB1276" s="166"/>
      <c r="BC1276" s="166"/>
      <c r="BD1276" s="166"/>
      <c r="BE1276" s="166"/>
      <c r="BF1276" s="166"/>
      <c r="BG1276" s="166"/>
      <c r="BH1276" s="166"/>
      <c r="BI1276" s="113"/>
      <c r="BJ1276" s="113"/>
      <c r="BK1276" s="113">
        <f>INDEX('Dist. Plant Gas Additions'!$E$7:$AE$91,MATCH($C1276,'Dist. Plant Gas Additions'!$D$7:$D$91,0),MATCH(Calculation!$G1276,'Dist. Plant Gas Additions'!$E$5:$AE$5,0))</f>
        <v>292588.853</v>
      </c>
      <c r="BL1276" s="113">
        <f>INDEX('Gen. Plant Additions'!$E$7:$AE$91,MATCH($C1276,'Gen. Plant Additions'!$D$7:$D$91,0),MATCH(Calculation!$G1276,'Gen. Plant Additions'!$E$5:$AE$5,0))</f>
        <v>7320.7020000000002</v>
      </c>
      <c r="BM1276" s="232"/>
      <c r="BN1276" s="61">
        <f t="shared" si="2319"/>
        <v>0</v>
      </c>
      <c r="BO1276" s="113"/>
      <c r="BP1276" s="113"/>
      <c r="BQ1276" s="175"/>
      <c r="BR1276" s="175"/>
      <c r="BS1276" s="170"/>
      <c r="BT1276" s="176"/>
      <c r="BU1276" s="177"/>
      <c r="BV1276" s="177"/>
      <c r="BW1276" s="113"/>
      <c r="BX1276" s="113"/>
      <c r="BY1276" s="113"/>
      <c r="BZ1276" s="113"/>
      <c r="CA1276" s="116">
        <v>2021</v>
      </c>
      <c r="CB1276" s="113"/>
      <c r="CC1276" s="113"/>
      <c r="CD1276" s="113"/>
      <c r="CE1276" s="175"/>
      <c r="CF1276" s="113">
        <f t="shared" si="2283"/>
        <v>299909.55499999999</v>
      </c>
      <c r="CG1276" s="113">
        <f t="shared" si="2284"/>
        <v>321.43871691390808</v>
      </c>
      <c r="CH1276" s="178">
        <f>+(51-23)/(51-23*0.75)</f>
        <v>0.82962962962962961</v>
      </c>
      <c r="CI1276" s="113">
        <f>CI1253*CH1276+CG1254*CH1275+CG1255*CH1274+CG1256*CH1273+CG1257*CH1272+CG1258*CH1271+CG1259*CH1270+CG1260*CH1269+CG1261*CH1268+CG1262*CH1267+CG1263*CH1266+CG1264*CH1265+CG1265*CH1264+CG1266*CH1263+CG1267*CH1262+CG1258*CH1261+CG1269*CH1260+CG1270*CH1259+CG1271*CH1258+CG1272*CH1257+CG1273*CH1256+CG1274*CH1255+CG1276+CG1275*CH1254</f>
        <v>11221.72647942505</v>
      </c>
      <c r="CJ1276" s="114"/>
      <c r="CK1276" s="113"/>
      <c r="CL1276" s="169">
        <f t="shared" si="2286"/>
        <v>9.1874324972264412E-3</v>
      </c>
      <c r="CM1276" s="169">
        <f t="shared" si="2294"/>
        <v>9.3131930845345712E-3</v>
      </c>
      <c r="CN1276" s="114">
        <f>VLOOKUP($H1276,RoR!$E:$F,2,FALSE)</f>
        <v>2.7033333333333336E-2</v>
      </c>
      <c r="CO1276" s="169"/>
      <c r="CP1276" s="169"/>
      <c r="CQ1276" s="169">
        <f t="shared" si="2295"/>
        <v>2.1588748523999054E-2</v>
      </c>
      <c r="CR1276" s="169">
        <v>7.433422950153494E-2</v>
      </c>
      <c r="CS1276" s="179">
        <f t="shared" si="2287"/>
        <v>0.89270000000000005</v>
      </c>
      <c r="CT1276" s="180">
        <f t="shared" si="2288"/>
        <v>1.2820512820512819</v>
      </c>
      <c r="CU1276" s="180">
        <f t="shared" si="2289"/>
        <v>0.35000000000000003</v>
      </c>
      <c r="CV1276" s="180">
        <f t="shared" si="2290"/>
        <v>0.79171095533705893</v>
      </c>
      <c r="CW1276" s="180">
        <f t="shared" si="2291"/>
        <v>0.35525491585637264</v>
      </c>
      <c r="CX1276" s="181">
        <f>CX1275</f>
        <v>0.28999999999999998</v>
      </c>
      <c r="CY1276" s="72">
        <v>0.37</v>
      </c>
      <c r="CZ1276" s="182">
        <f t="shared" si="2293"/>
        <v>25.2325475672002</v>
      </c>
      <c r="DA1276" s="182"/>
      <c r="DB1276" s="169">
        <f>LN(CZ1277/CZ1275)</f>
        <v>0.20704897190896429</v>
      </c>
      <c r="DC1276" s="181">
        <v>0.04</v>
      </c>
      <c r="DD1276" s="183">
        <v>7.0000000000000001E-3</v>
      </c>
      <c r="DE1276" s="181">
        <f>VLOOKUP(H1276,'HW Dx Data'!$E:$F,2,FALSE)</f>
        <v>933.02249921662576</v>
      </c>
      <c r="DF1276" s="72">
        <f t="shared" si="2306"/>
        <v>157.25</v>
      </c>
      <c r="DG1276" s="69">
        <f t="shared" si="2307"/>
        <v>2.6419062301765574E-2</v>
      </c>
      <c r="DH1276" s="175">
        <f>HLOOKUP(H1276,'GDP-PI'!$8:$9,2,FALSE)</f>
        <v>118.49</v>
      </c>
      <c r="DI1276" s="169">
        <f t="shared" si="2297"/>
        <v>4.194261824609434E-2</v>
      </c>
    </row>
    <row r="1277" spans="1:113" s="160" customFormat="1" ht="21">
      <c r="G1277" s="161" t="s">
        <v>144</v>
      </c>
      <c r="H1277" s="162"/>
      <c r="I1277" s="163"/>
      <c r="J1277" s="159">
        <v>135833.70255841647</v>
      </c>
      <c r="K1277" s="159">
        <f t="shared" si="2298"/>
        <v>835.64258725571494</v>
      </c>
      <c r="L1277" s="164">
        <f t="shared" ref="L1277" si="2320">LN(K1277/K1276)</f>
        <v>7.9153091894033634E-2</v>
      </c>
      <c r="M1277" s="76">
        <f t="shared" si="2308"/>
        <v>3.2658618772655706E-3</v>
      </c>
      <c r="N1277" s="166">
        <f>+N1276*EXP(O1277)</f>
        <v>118.65219211737823</v>
      </c>
      <c r="O1277" s="114">
        <f t="shared" si="2309"/>
        <v>1.3190302313451981E-3</v>
      </c>
      <c r="P1277" s="114"/>
      <c r="Q1277" s="163">
        <v>191476.42408837023</v>
      </c>
      <c r="R1277" s="159">
        <f t="shared" si="2299"/>
        <v>1504.7263189655814</v>
      </c>
      <c r="S1277" s="165">
        <f t="shared" ref="S1277" si="2321">LN(R1277/R1276)</f>
        <v>4.0976756461414701E-2</v>
      </c>
      <c r="T1277" s="165">
        <f t="shared" si="2311"/>
        <v>1.6907037183144739E-3</v>
      </c>
      <c r="U1277" s="166"/>
      <c r="V1277" s="114"/>
      <c r="W1277" s="159">
        <f t="shared" si="2281"/>
        <v>304891.35574719752</v>
      </c>
      <c r="X1277" s="168"/>
      <c r="Y1277" s="167">
        <v>11360.955142982071</v>
      </c>
      <c r="Z1277" s="168">
        <v>1.5051759775340021E-2</v>
      </c>
      <c r="AA1277" s="76">
        <f t="shared" si="2300"/>
        <v>6.2103661726633944E-4</v>
      </c>
      <c r="AB1277" s="166"/>
      <c r="AC1277" s="114"/>
      <c r="AD1277" s="163">
        <f t="shared" si="2248"/>
        <v>632201.48239398422</v>
      </c>
      <c r="AE1277" s="168">
        <f t="shared" si="2312"/>
        <v>0.10333704809491925</v>
      </c>
      <c r="AF1277" s="113"/>
      <c r="AG1277" s="114"/>
      <c r="AH1277" s="114"/>
      <c r="AI1277" s="114"/>
      <c r="AJ1277" s="116">
        <f t="shared" si="2313"/>
        <v>515.32100901767603</v>
      </c>
      <c r="AK1277" s="114"/>
      <c r="AL1277" s="115">
        <f t="shared" si="2301"/>
        <v>0.21485824747523402</v>
      </c>
      <c r="AM1277" s="115">
        <f t="shared" si="2302"/>
        <v>0.30287246933255885</v>
      </c>
      <c r="AN1277" s="115">
        <f t="shared" si="2303"/>
        <v>0.48226928319220713</v>
      </c>
      <c r="AO1277" s="115"/>
      <c r="AP1277" s="166"/>
      <c r="AQ1277" s="168"/>
      <c r="AR1277" s="169">
        <f>+AD1277/$AF$26</f>
        <v>4.1260067031086416E-2</v>
      </c>
      <c r="AS1277" s="169"/>
      <c r="AT1277" s="166"/>
      <c r="AU1277" s="168"/>
      <c r="AV1277" s="113">
        <v>1226811</v>
      </c>
      <c r="AW1277" s="68">
        <f t="shared" si="2231"/>
        <v>7.8822334537463831E-3</v>
      </c>
      <c r="AX1277" s="113"/>
      <c r="AY1277" s="113"/>
      <c r="AZ1277" s="113"/>
      <c r="BA1277" s="113"/>
      <c r="BB1277" s="171"/>
      <c r="BC1277" s="172"/>
      <c r="BD1277" s="173"/>
      <c r="BE1277" s="115"/>
      <c r="BF1277" s="174"/>
      <c r="BG1277" s="174"/>
      <c r="BH1277" s="166"/>
      <c r="BI1277" s="113"/>
      <c r="BJ1277" s="113"/>
      <c r="BK1277" s="113"/>
      <c r="BL1277" s="113"/>
      <c r="BM1277" s="232"/>
      <c r="BN1277" s="61">
        <f t="shared" si="2319"/>
        <v>0</v>
      </c>
      <c r="BO1277" s="113"/>
      <c r="BP1277" s="113"/>
      <c r="BQ1277" s="175"/>
      <c r="BR1277" s="175"/>
      <c r="BS1277" s="170"/>
      <c r="BT1277" s="176"/>
      <c r="BU1277" s="177"/>
      <c r="BV1277" s="177"/>
      <c r="BW1277" s="113"/>
      <c r="BX1277" s="113"/>
      <c r="BY1277" s="113"/>
      <c r="BZ1277" s="113"/>
      <c r="CA1277" s="116">
        <v>2022</v>
      </c>
      <c r="CB1277" s="113"/>
      <c r="CC1277" s="113"/>
      <c r="CD1277" s="113"/>
      <c r="CE1277" s="175"/>
      <c r="CF1277" s="238">
        <v>367975</v>
      </c>
      <c r="CG1277" s="113">
        <f>+CF1277/DE1276</f>
        <v>394.3902749493771</v>
      </c>
      <c r="CH1277" s="178">
        <f>+(51-24)/(51-24*0.75)</f>
        <v>0.81818181818181823</v>
      </c>
      <c r="CI1277" s="113">
        <f>+CI1253*CH1277+CG1254*CH1276+CG1255*CH1275+CG1256*CH1274+CG1257*CH1273+CG1258*CH1272+CG1259*CH1271+CG1260*CH1270+CG1261*CH1269+CG1262*CH1268+CG1263*CH1267+CG1264*CH1266+CG1265*CH1265+CG1266*CH1264+CG1267*CH1263+CG1268*CH1262+CG1269*CH1261+CG1270*CH1260+CG1271*CH1259+CG1272*CH1258+CG1273*CH1257+CG1274*CH1256+CG1275*CH1255+CG1276*CH1254+CG1277*CH1253</f>
        <v>11494.740948869059</v>
      </c>
      <c r="CJ1277" s="114">
        <f t="shared" ref="CJ1277" si="2322">LN(CI1277/CI1276)</f>
        <v>2.4037858549099515E-2</v>
      </c>
      <c r="CK1277" s="113"/>
      <c r="CL1277" s="169">
        <f t="shared" si="2286"/>
        <v>1.0816143641346912E-2</v>
      </c>
      <c r="CM1277" s="169">
        <f t="shared" si="2294"/>
        <v>9.8405193664260187E-3</v>
      </c>
      <c r="CN1277" s="114"/>
      <c r="CO1277" s="169"/>
      <c r="CP1277" s="169"/>
      <c r="CQ1277" s="69">
        <f t="shared" si="2295"/>
        <v>2.1061422242107608E-2</v>
      </c>
      <c r="CR1277" s="169">
        <v>0.10114668178709289</v>
      </c>
      <c r="CS1277" s="179">
        <f t="shared" si="2287"/>
        <v>0.89270000000000005</v>
      </c>
      <c r="CT1277" s="180" t="e">
        <f t="shared" si="2288"/>
        <v>#DIV/0!</v>
      </c>
      <c r="CU1277" s="180" t="e">
        <f t="shared" si="2289"/>
        <v>#DIV/0!</v>
      </c>
      <c r="CV1277" s="180">
        <f t="shared" si="2290"/>
        <v>0</v>
      </c>
      <c r="CW1277" s="180" t="e">
        <f t="shared" si="2291"/>
        <v>#DIV/0!</v>
      </c>
      <c r="CX1277" s="181">
        <f>CX1276</f>
        <v>0.28999999999999998</v>
      </c>
      <c r="CY1277" s="72">
        <v>0.37</v>
      </c>
      <c r="CZ1277" s="182">
        <f t="shared" si="2293"/>
        <v>27.169736876603924</v>
      </c>
      <c r="DA1277" s="182"/>
      <c r="DB1277" s="169">
        <f t="shared" ref="DB1277" si="2323">LN(CZ1277/CZ1276)</f>
        <v>7.3969007770685685E-2</v>
      </c>
      <c r="DC1277" s="181"/>
      <c r="DD1277" s="183"/>
      <c r="DE1277" s="181">
        <v>1030.81</v>
      </c>
      <c r="DF1277" s="72">
        <f t="shared" si="2306"/>
        <v>162.55000000000001</v>
      </c>
      <c r="DG1277" s="169">
        <f t="shared" si="2307"/>
        <v>3.3148751169364422E-2</v>
      </c>
      <c r="DH1277" s="175">
        <v>127.25</v>
      </c>
      <c r="DI1277" s="169">
        <f t="shared" si="2297"/>
        <v>7.1325086601983473E-2</v>
      </c>
    </row>
    <row r="1278" spans="1:113" s="160" customFormat="1" ht="21">
      <c r="A1278" s="160" t="s">
        <v>236</v>
      </c>
      <c r="B1278" s="160" t="s">
        <v>236</v>
      </c>
      <c r="C1278" s="160">
        <v>4008752</v>
      </c>
      <c r="D1278" s="161" t="s">
        <v>192</v>
      </c>
      <c r="E1278" s="161"/>
      <c r="F1278" s="189"/>
      <c r="G1278" s="160" t="s">
        <v>100</v>
      </c>
      <c r="H1278" s="162">
        <v>1998</v>
      </c>
      <c r="I1278" s="163"/>
      <c r="J1278" s="159"/>
      <c r="K1278" s="159"/>
      <c r="L1278" s="159"/>
      <c r="M1278" s="60"/>
      <c r="N1278" s="131"/>
      <c r="O1278" s="76"/>
      <c r="P1278" s="76"/>
      <c r="Q1278" s="165"/>
      <c r="R1278" s="165"/>
      <c r="S1278" s="165"/>
      <c r="T1278" s="159"/>
      <c r="U1278" s="165"/>
      <c r="V1278" s="165"/>
      <c r="W1278" s="159"/>
      <c r="X1278" s="163"/>
      <c r="Y1278" s="167">
        <v>1777.0176356399143</v>
      </c>
      <c r="Z1278" s="168"/>
      <c r="AA1278" s="78"/>
      <c r="AB1278" s="168"/>
      <c r="AC1278" s="168"/>
      <c r="AD1278" s="163">
        <f t="shared" si="2248"/>
        <v>0</v>
      </c>
      <c r="AE1278" s="163"/>
      <c r="AF1278" s="163"/>
      <c r="AG1278" s="114"/>
      <c r="AH1278" s="114"/>
      <c r="AI1278" s="114"/>
      <c r="AJ1278" s="166">
        <f>+(AJ1275+AJ1276+AJ1277)/3</f>
        <v>476.16210985702787</v>
      </c>
      <c r="AK1278" s="168"/>
      <c r="AL1278" s="115"/>
      <c r="AM1278" s="115"/>
      <c r="AN1278" s="115"/>
      <c r="AO1278" s="115"/>
      <c r="AP1278" s="115"/>
      <c r="AQ1278" s="168">
        <f>AVERAGE(AQ1287:AQ1301)</f>
        <v>1.373125279919446E-2</v>
      </c>
      <c r="AR1278" s="115"/>
      <c r="AS1278" s="115"/>
      <c r="AT1278" s="115"/>
      <c r="AU1278" s="115"/>
      <c r="AV1278" s="113">
        <f>IFERROR(INDEX('Total Customers'!$F$7:$AB$91,MATCH($C1278,'Total Customers'!$D$7:$D$91,0),MATCH($G1278,'Total Customers'!$F$5:$AB$5,0)),"NA")</f>
        <v>521020</v>
      </c>
      <c r="AW1278" s="68"/>
      <c r="AX1278" s="114"/>
      <c r="AY1278" s="114"/>
      <c r="AZ1278" s="116"/>
      <c r="BA1278" s="116"/>
      <c r="BB1278" s="166"/>
      <c r="BC1278" s="166"/>
      <c r="BD1278" s="166"/>
      <c r="BE1278" s="166"/>
      <c r="BF1278" s="166"/>
      <c r="BG1278" s="166"/>
      <c r="BH1278" s="166"/>
      <c r="BI1278" s="113">
        <f>INDEX('Gross Dx Plant'!$E$7:$AD$91,MATCH($C1278,'Gross Dx Plant'!$D$7:$D$91,0),MATCH(Calculation!$G1278,'Gross Dx Plant'!$E$5:$AD$5,0))</f>
        <v>689374</v>
      </c>
      <c r="BJ1278" s="113">
        <f>INDEX('Gross Gen Plant'!$E$7:$AD$91,MATCH($C1278,'Gross Gen Plant'!$D$7:$D$91,0),MATCH(Calculation!$G1278,'Gross Gen Plant'!$E$5:$AD$5,0))</f>
        <v>106209</v>
      </c>
      <c r="BK1278" s="113">
        <f>INDEX('Dist. Plant Gas Additions'!$F$7:$AE$91,MATCH($C1278,'Dist. Plant Gas Additions'!$D$7:$D$91,0),MATCH(Calculation!$G1278,'Dist. Plant Gas Additions'!$F$5:$AE$5,0))</f>
        <v>27463</v>
      </c>
      <c r="BL1278" s="113">
        <f>INDEX('Gen. Plant Additions'!$F$7:$AE$91,MATCH($C1278,'Gen. Plant Additions'!$D$7:$D$91,0),MATCH(Calculation!$G1278,'Gen. Plant Additions'!$F$5:$AE$5,0))</f>
        <v>4660</v>
      </c>
      <c r="BM1278" s="231">
        <f>+(BW1278/(BW1278+BX1278))</f>
        <v>0.86650167235850939</v>
      </c>
      <c r="BN1278" s="61">
        <f t="shared" si="2319"/>
        <v>4037.8977931906538</v>
      </c>
      <c r="BO1278" s="113">
        <f>INDEX('Dist Plant Depreciation'!$E$7:$AD$94,MATCH($C1278,'Dist Plant Depreciation'!$D$7:$D$94,0),MATCH(Calculation!$G1278,'Dist Plant Depreciation'!$E$5:$AD$5,0))</f>
        <v>380917</v>
      </c>
      <c r="BP1278" s="113">
        <f>INDEX('Gen. Plant Depreciation'!$E$7:$AD$94,MATCH($C1278,'Gen. Plant Depreciation'!$D$7:$D$94,0),MATCH(Calculation!$G1278,'Gen. Plant Depreciation'!$E$5:$AD$5,0))</f>
        <v>56207</v>
      </c>
      <c r="BQ1278" s="113"/>
      <c r="BR1278" s="113"/>
      <c r="BS1278" s="113"/>
      <c r="BT1278" s="113"/>
      <c r="BU1278" s="113"/>
      <c r="BV1278" s="175"/>
      <c r="BW1278" s="113">
        <f>INDEX('Gross Dx Plant'!$E$7:$AD$91,MATCH($C1278,'Gross Dx Plant'!$D$7:$D$91,0),MATCH(Calculation!$G1278,'Gross Dx Plant'!$E$5:$AD$5,0))</f>
        <v>689374</v>
      </c>
      <c r="BX1278" s="113">
        <f>INDEX('Gross Gen Plant'!$E$7:$AD$91,MATCH($C1278,'Gross Gen Plant'!$D$7:$D$91,0),MATCH(Calculation!$G1278,'Gross Gen Plant'!$E$5:$AD$5,0))</f>
        <v>106209</v>
      </c>
      <c r="BY1278" s="113">
        <f t="shared" si="2318"/>
        <v>358459</v>
      </c>
      <c r="BZ1278" s="113"/>
      <c r="CA1278" s="116">
        <v>1998</v>
      </c>
      <c r="CB1278" s="113">
        <f>BI1278+BJ1278</f>
        <v>795583</v>
      </c>
      <c r="CC1278" s="113">
        <f>380917+56207</f>
        <v>437124</v>
      </c>
      <c r="CD1278" s="113">
        <f>+CB1278-CC1278</f>
        <v>358459</v>
      </c>
      <c r="CE1278" s="113">
        <f>CD1278/$BV$3</f>
        <v>1777.0176356399143</v>
      </c>
      <c r="CF1278" s="175"/>
      <c r="CG1278" s="175"/>
      <c r="CH1278" s="178">
        <v>1</v>
      </c>
      <c r="CI1278" s="113">
        <f>+CE1278</f>
        <v>1777.0176356399143</v>
      </c>
      <c r="CJ1278" s="114"/>
      <c r="CK1278" s="114"/>
      <c r="CL1278" s="169"/>
      <c r="CM1278" s="169"/>
      <c r="CN1278" s="114" t="e">
        <f>VLOOKUP($H1278,RoR!$E:$F,2,FALSE)</f>
        <v>#N/A</v>
      </c>
      <c r="CO1278" s="169">
        <v>1.1028127770464469E-2</v>
      </c>
      <c r="CP1278" s="169"/>
      <c r="CQ1278" s="169"/>
      <c r="CR1278" s="169"/>
      <c r="CS1278" s="179"/>
      <c r="CT1278" s="182" t="e">
        <f>2/(DC1278*39)</f>
        <v>#N/A</v>
      </c>
      <c r="CU1278" s="180" t="e">
        <f>+(DC1278*40-(1+DC1278))/(DC1278*40)</f>
        <v>#N/A</v>
      </c>
      <c r="CV1278" s="180" t="e">
        <f>+(1-(1/(1+DC1278)^40))</f>
        <v>#N/A</v>
      </c>
      <c r="CW1278" s="180" t="e">
        <f>+CV1278*CU1278*CT1278</f>
        <v>#N/A</v>
      </c>
      <c r="CX1278" s="181">
        <f>INDEX('State Tax Lookup'!$D$7:$Z$91,MATCH(Calculation!$C1278,'State Tax Lookup'!$B$7:$B$91,0),MATCH($H1278,'State Tax Lookup'!$D$6:$Z$6,0))</f>
        <v>0.40134999999999998</v>
      </c>
      <c r="CY1278" s="72">
        <v>0.37</v>
      </c>
      <c r="CZ1278" s="66"/>
      <c r="DA1278" s="66"/>
      <c r="DB1278" s="69"/>
      <c r="DC1278" s="111" t="e">
        <f>VLOOKUP($H1278,RoR!$E:$F,2,FALSE)</f>
        <v>#N/A</v>
      </c>
      <c r="DD1278" s="216">
        <f>HLOOKUP($H1278,'GDP-PI'!$D$8:$CQ$11,3,FALSE)</f>
        <v>1.1028127770464469E-2</v>
      </c>
      <c r="DE1278" s="111">
        <f>VLOOKUP(H1278,'HW Dx Data'!$E:$F,2,FALSE)</f>
        <v>329.24564746449528</v>
      </c>
      <c r="DF1278" s="72" t="e">
        <f t="shared" si="2306"/>
        <v>#N/A</v>
      </c>
      <c r="DG1278" s="169" t="e">
        <f t="shared" si="2307"/>
        <v>#N/A</v>
      </c>
      <c r="DH1278" s="66">
        <f>HLOOKUP(H1278,'GDP-PI'!$8:$9,2,FALSE)</f>
        <v>75.266999999999996</v>
      </c>
      <c r="DI1278"/>
    </row>
    <row r="1279" spans="1:113" s="160" customFormat="1" ht="21">
      <c r="A1279" s="160" t="s">
        <v>236</v>
      </c>
      <c r="B1279" s="160" t="s">
        <v>236</v>
      </c>
      <c r="C1279" s="160">
        <v>4008752</v>
      </c>
      <c r="D1279" s="161" t="s">
        <v>192</v>
      </c>
      <c r="E1279" s="161"/>
      <c r="F1279" s="189"/>
      <c r="G1279" s="160" t="s">
        <v>106</v>
      </c>
      <c r="H1279" s="162">
        <v>1999</v>
      </c>
      <c r="I1279" s="163"/>
      <c r="J1279" s="159"/>
      <c r="K1279" s="163"/>
      <c r="L1279" s="163"/>
      <c r="M1279" s="60"/>
      <c r="N1279" s="152"/>
      <c r="O1279" s="60"/>
      <c r="P1279" s="59"/>
      <c r="Q1279" s="169"/>
      <c r="R1279" s="169"/>
      <c r="S1279" s="169"/>
      <c r="T1279" s="187"/>
      <c r="U1279" s="169"/>
      <c r="V1279" s="169"/>
      <c r="W1279" s="159">
        <f t="shared" ref="W1279:W1302" si="2324">+CI1278*CZ1279</f>
        <v>0</v>
      </c>
      <c r="X1279" s="163"/>
      <c r="Y1279" s="167">
        <v>1879.6417513620581</v>
      </c>
      <c r="Z1279" s="168">
        <v>5.6144727384636862E-2</v>
      </c>
      <c r="AA1279" s="78"/>
      <c r="AB1279" s="168"/>
      <c r="AC1279" s="168"/>
      <c r="AD1279" s="163">
        <f t="shared" si="2248"/>
        <v>0</v>
      </c>
      <c r="AE1279" s="168"/>
      <c r="AF1279" s="163"/>
      <c r="AG1279" s="114"/>
      <c r="AH1279" s="114"/>
      <c r="AI1279" s="114"/>
      <c r="AJ1279" s="167"/>
      <c r="AK1279" s="168"/>
      <c r="AL1279" s="115"/>
      <c r="AM1279" s="115"/>
      <c r="AN1279" s="115"/>
      <c r="AO1279" s="115"/>
      <c r="AP1279" s="115"/>
      <c r="AQ1279" s="168"/>
      <c r="AR1279" s="115"/>
      <c r="AS1279" s="115"/>
      <c r="AT1279" s="115"/>
      <c r="AU1279" s="115"/>
      <c r="AV1279" s="113">
        <f>IFERROR(INDEX('Total Customers'!$F$7:$AB$91,MATCH($C1279,'Total Customers'!$D$7:$D$91,0),MATCH($G1279,'Total Customers'!$F$5:$AB$5,0)),"NA")</f>
        <v>529984</v>
      </c>
      <c r="AW1279" s="68">
        <f t="shared" si="2231"/>
        <v>1.7058388678726555E-2</v>
      </c>
      <c r="AX1279" s="114"/>
      <c r="AY1279" s="114"/>
      <c r="AZ1279" s="116"/>
      <c r="BA1279" s="116"/>
      <c r="BB1279" s="166"/>
      <c r="BC1279" s="166"/>
      <c r="BD1279" s="166"/>
      <c r="BE1279" s="166"/>
      <c r="BF1279" s="166"/>
      <c r="BG1279" s="166"/>
      <c r="BH1279" s="166"/>
      <c r="BI1279" s="113"/>
      <c r="BJ1279" s="113"/>
      <c r="BK1279" s="113">
        <f>INDEX('Dist. Plant Gas Additions'!$F$7:$AE$91,MATCH($C1279,'Dist. Plant Gas Additions'!$D$7:$D$91,0),MATCH(Calculation!$G1279,'Dist. Plant Gas Additions'!$F$5:$AE$5,0))</f>
        <v>28638</v>
      </c>
      <c r="BL1279" s="113">
        <f>INDEX('Gen. Plant Additions'!$F$7:$AE$91,MATCH($C1279,'Gen. Plant Additions'!$D$7:$D$91,0),MATCH(Calculation!$G1279,'Gen. Plant Additions'!$F$5:$AE$5,0))</f>
        <v>8739</v>
      </c>
      <c r="BM1279" s="231">
        <f t="shared" ref="BM1279:BM1299" si="2325">+(BW1279/(BW1279+BX1279))</f>
        <v>0.86616918014042832</v>
      </c>
      <c r="BN1279" s="61">
        <f t="shared" si="2319"/>
        <v>7569.4524652472028</v>
      </c>
      <c r="BO1279" s="113">
        <f>INDEX('Dist Plant Depreciation'!$E$7:$AD$94,MATCH($C1279,'Dist Plant Depreciation'!$D$7:$D$94,0),MATCH(Calculation!$G1279,'Dist Plant Depreciation'!$E$5:$AD$5,0))</f>
        <v>403354</v>
      </c>
      <c r="BP1279" s="113">
        <f>INDEX('Gen. Plant Depreciation'!$E$7:$AD$94,MATCH($C1279,'Gen. Plant Depreciation'!$D$7:$D$94,0),MATCH(Calculation!$G1279,'Gen. Plant Depreciation'!$E$5:$AD$5,0))</f>
        <v>61181</v>
      </c>
      <c r="BQ1279" s="113"/>
      <c r="BR1279" s="113"/>
      <c r="BS1279" s="113"/>
      <c r="BT1279" s="113"/>
      <c r="BU1279" s="113"/>
      <c r="BV1279" s="175"/>
      <c r="BW1279" s="113">
        <f>INDEX('Gross Dx Plant'!$E$7:$AD$91,MATCH($C1279,'Gross Dx Plant'!$D$7:$D$91,0),MATCH(Calculation!$G1279,'Gross Dx Plant'!$E$5:$AD$5,0))</f>
        <v>715124</v>
      </c>
      <c r="BX1279" s="113">
        <f>INDEX('Gross Gen Plant'!$E$7:$AD$91,MATCH($C1279,'Gross Gen Plant'!$D$7:$D$91,0),MATCH(Calculation!$G1279,'Gross Gen Plant'!$E$5:$AD$5,0))</f>
        <v>110493</v>
      </c>
      <c r="BY1279" s="113">
        <f t="shared" si="2318"/>
        <v>361082</v>
      </c>
      <c r="BZ1279" s="113"/>
      <c r="CA1279" s="116">
        <v>1999</v>
      </c>
      <c r="CB1279" s="113"/>
      <c r="CC1279" s="113"/>
      <c r="CD1279" s="113"/>
      <c r="CE1279" s="175"/>
      <c r="CF1279" s="113">
        <f t="shared" ref="CF1279:CF1301" si="2326">+BL1279+BK1279</f>
        <v>37377</v>
      </c>
      <c r="CG1279" s="113">
        <f t="shared" ref="CG1279:CG1301" si="2327">+CF1279/$DE1279</f>
        <v>111.46499948154633</v>
      </c>
      <c r="CH1279" s="178">
        <v>0.99502487562189057</v>
      </c>
      <c r="CI1279" s="61">
        <f>+CI1278*CH1279+CG1279</f>
        <v>1879.6417513620581</v>
      </c>
      <c r="CJ1279" s="114">
        <f t="shared" ref="CJ1279:CJ1300" si="2328">LN(CI1279/CI1278)</f>
        <v>5.6144727384636862E-2</v>
      </c>
      <c r="CK1279" s="114"/>
      <c r="CL1279" s="169">
        <f t="shared" ref="CL1279:CL1302" si="2329">+(CI1278-CI1279+CG1279)/CI1278</f>
        <v>4.9751243781093971E-3</v>
      </c>
      <c r="CM1279" s="169"/>
      <c r="CN1279" s="114">
        <f>VLOOKUP($H1279,RoR!$E:$F,2,FALSE)</f>
        <v>7.0416666666666669E-2</v>
      </c>
      <c r="CO1279" s="169">
        <v>1.4335631817396832E-2</v>
      </c>
      <c r="CP1279" s="169">
        <f>+CN1279-CO1279</f>
        <v>5.6081034849269837E-2</v>
      </c>
      <c r="CQ1279" s="169"/>
      <c r="CR1279" s="169"/>
      <c r="CS1279" s="179">
        <f t="shared" ref="CS1279:CS1302" si="2330">1-CX1279*CY1279</f>
        <v>0.85150049999999999</v>
      </c>
      <c r="CT1279" s="180">
        <f t="shared" ref="CT1279:CT1302" si="2331">2/(DC1279*39)</f>
        <v>0.72826581702321336</v>
      </c>
      <c r="CU1279" s="180">
        <f t="shared" ref="CU1279:CU1302" si="2332">+(DC1279*40-(1+DC1279))/(DC1279*40)</f>
        <v>0.61997041420118348</v>
      </c>
      <c r="CV1279" s="180">
        <f t="shared" ref="CV1279:CV1302" si="2333">+(1-(1/(1+DC1279)^40))</f>
        <v>0.93425155319585029</v>
      </c>
      <c r="CW1279" s="180">
        <f t="shared" ref="CW1279:CW1302" si="2334">+CV1279*CU1279*CT1279</f>
        <v>0.42181762214141483</v>
      </c>
      <c r="CX1279" s="181">
        <f>INDEX('State Tax Lookup'!$D$7:$Z$91,MATCH(Calculation!$C1279,'State Tax Lookup'!$B$7:$B$91,0),MATCH($H1279,'State Tax Lookup'!$D$6:$Z$6,0))</f>
        <v>0.40134999999999998</v>
      </c>
      <c r="CY1279" s="72">
        <v>0.37</v>
      </c>
      <c r="CZ1279" s="70"/>
      <c r="DA1279" s="70"/>
      <c r="DB1279" s="69"/>
      <c r="DC1279" s="111">
        <f>VLOOKUP($H1279,RoR!$E:$F,2,FALSE)</f>
        <v>7.0416666666666669E-2</v>
      </c>
      <c r="DD1279" s="216">
        <f>HLOOKUP($H1279,'GDP-PI'!$D$8:$CQ$11,3,FALSE)</f>
        <v>1.4335631817396832E-2</v>
      </c>
      <c r="DE1279" s="111">
        <f>VLOOKUP(H1279,'HW Dx Data'!$E:$F,2,FALSE)</f>
        <v>335.32499146683239</v>
      </c>
      <c r="DF1279" s="66"/>
      <c r="DG1279" s="69"/>
      <c r="DH1279" s="66">
        <f>HLOOKUP(H1279,'GDP-PI'!$8:$9,2,FALSE)</f>
        <v>76.346000000000004</v>
      </c>
      <c r="DI1279"/>
    </row>
    <row r="1280" spans="1:113" s="160" customFormat="1" ht="21">
      <c r="A1280" s="160" t="s">
        <v>236</v>
      </c>
      <c r="B1280" s="160" t="s">
        <v>236</v>
      </c>
      <c r="C1280" s="160">
        <v>4008752</v>
      </c>
      <c r="D1280" s="161" t="s">
        <v>192</v>
      </c>
      <c r="E1280" s="161"/>
      <c r="F1280" s="189"/>
      <c r="G1280" s="160" t="s">
        <v>107</v>
      </c>
      <c r="H1280" s="162">
        <v>2000</v>
      </c>
      <c r="I1280" s="163"/>
      <c r="J1280" s="159"/>
      <c r="K1280" s="159"/>
      <c r="L1280" s="159"/>
      <c r="M1280" s="60"/>
      <c r="N1280" s="152"/>
      <c r="O1280" s="60"/>
      <c r="P1280" s="60"/>
      <c r="Q1280" s="159"/>
      <c r="R1280" s="159"/>
      <c r="S1280" s="159"/>
      <c r="T1280" s="159"/>
      <c r="U1280" s="159"/>
      <c r="V1280" s="159"/>
      <c r="W1280" s="159">
        <f t="shared" si="2324"/>
        <v>0</v>
      </c>
      <c r="X1280" s="163"/>
      <c r="Y1280" s="167">
        <v>1988.7143303850435</v>
      </c>
      <c r="Z1280" s="168">
        <v>5.6407163915969331E-2</v>
      </c>
      <c r="AA1280" s="78"/>
      <c r="AB1280" s="168"/>
      <c r="AC1280" s="168"/>
      <c r="AD1280" s="163">
        <f t="shared" si="2248"/>
        <v>0</v>
      </c>
      <c r="AE1280" s="168"/>
      <c r="AF1280" s="163"/>
      <c r="AG1280" s="163"/>
      <c r="AH1280" s="163"/>
      <c r="AI1280" s="163"/>
      <c r="AJ1280" s="167"/>
      <c r="AK1280" s="168"/>
      <c r="AL1280" s="115"/>
      <c r="AM1280" s="115"/>
      <c r="AN1280" s="115"/>
      <c r="AO1280" s="115"/>
      <c r="AP1280" s="115"/>
      <c r="AQ1280" s="168"/>
      <c r="AR1280" s="115"/>
      <c r="AS1280" s="115"/>
      <c r="AT1280" s="115"/>
      <c r="AU1280" s="115"/>
      <c r="AV1280" s="113">
        <f>IFERROR(INDEX('Total Customers'!$F$7:$AB$91,MATCH($C1280,'Total Customers'!$D$7:$D$91,0),MATCH($G1280,'Total Customers'!$F$5:$AB$5,0)),"NA")</f>
        <v>540679</v>
      </c>
      <c r="AW1280" s="68">
        <f t="shared" si="2231"/>
        <v>1.9978939679858563E-2</v>
      </c>
      <c r="AX1280" s="114"/>
      <c r="AY1280" s="114"/>
      <c r="AZ1280" s="116"/>
      <c r="BA1280" s="116"/>
      <c r="BB1280" s="166"/>
      <c r="BC1280" s="166"/>
      <c r="BD1280" s="166"/>
      <c r="BE1280" s="166"/>
      <c r="BF1280" s="166"/>
      <c r="BG1280" s="166"/>
      <c r="BH1280" s="166"/>
      <c r="BI1280" s="113"/>
      <c r="BJ1280" s="113"/>
      <c r="BK1280" s="113">
        <f>INDEX('Dist. Plant Gas Additions'!$F$7:$AE$91,MATCH($C1280,'Dist. Plant Gas Additions'!$D$7:$D$91,0),MATCH(Calculation!$G1280,'Dist. Plant Gas Additions'!$F$5:$AE$5,0))</f>
        <v>36781</v>
      </c>
      <c r="BL1280" s="113">
        <f>INDEX('Gen. Plant Additions'!$F$7:$AE$91,MATCH($C1280,'Gen. Plant Additions'!$D$7:$D$91,0),MATCH(Calculation!$G1280,'Gen. Plant Additions'!$F$5:$AE$5,0))</f>
        <v>4365</v>
      </c>
      <c r="BM1280" s="231">
        <f t="shared" si="2325"/>
        <v>0.87388325184445259</v>
      </c>
      <c r="BN1280" s="61">
        <f t="shared" si="2319"/>
        <v>3814.5003943010356</v>
      </c>
      <c r="BO1280" s="113">
        <f>INDEX('Dist Plant Depreciation'!$E$7:$AD$94,MATCH($C1280,'Dist Plant Depreciation'!$D$7:$D$94,0),MATCH(Calculation!$G1280,'Dist Plant Depreciation'!$E$5:$AD$5,0))</f>
        <v>426166</v>
      </c>
      <c r="BP1280" s="113">
        <f>INDEX('Gen. Plant Depreciation'!$E$7:$AD$94,MATCH($C1280,'Gen. Plant Depreciation'!$D$7:$D$94,0),MATCH(Calculation!$G1280,'Gen. Plant Depreciation'!$E$5:$AD$5,0))</f>
        <v>63851</v>
      </c>
      <c r="BQ1280" s="113"/>
      <c r="BR1280" s="113"/>
      <c r="BS1280" s="113"/>
      <c r="BT1280" s="113"/>
      <c r="BU1280" s="113"/>
      <c r="BV1280" s="175"/>
      <c r="BW1280" s="113">
        <f>INDEX('Gross Dx Plant'!$E$7:$AD$91,MATCH($C1280,'Gross Dx Plant'!$D$7:$D$91,0),MATCH(Calculation!$G1280,'Gross Dx Plant'!$E$5:$AD$5,0))</f>
        <v>747996</v>
      </c>
      <c r="BX1280" s="113">
        <f>INDEX('Gross Gen Plant'!$E$7:$AD$91,MATCH($C1280,'Gross Gen Plant'!$D$7:$D$91,0),MATCH(Calculation!$G1280,'Gross Gen Plant'!$E$5:$AD$5,0))</f>
        <v>107949</v>
      </c>
      <c r="BY1280" s="113">
        <f t="shared" si="2318"/>
        <v>365928</v>
      </c>
      <c r="BZ1280" s="113"/>
      <c r="CA1280" s="116">
        <v>2000</v>
      </c>
      <c r="CB1280" s="113"/>
      <c r="CC1280" s="113"/>
      <c r="CD1280" s="113"/>
      <c r="CE1280" s="175"/>
      <c r="CF1280" s="113">
        <f t="shared" si="2326"/>
        <v>41146</v>
      </c>
      <c r="CG1280" s="113">
        <f t="shared" si="2327"/>
        <v>118.73592058708111</v>
      </c>
      <c r="CH1280" s="178">
        <v>0.98989898989898994</v>
      </c>
      <c r="CI1280" s="61">
        <f>+CI1278*CH1280+CG1279*CH1279+CG1280</f>
        <v>1988.7143303850435</v>
      </c>
      <c r="CJ1280" s="114">
        <f t="shared" si="2328"/>
        <v>5.6407163915969331E-2</v>
      </c>
      <c r="CK1280" s="114"/>
      <c r="CL1280" s="169">
        <f t="shared" si="2329"/>
        <v>5.1410549681040855E-3</v>
      </c>
      <c r="CM1280" s="169"/>
      <c r="CN1280" s="114">
        <f>VLOOKUP($H1280,RoR!$E:$F,2,FALSE)</f>
        <v>7.6225000000000001E-2</v>
      </c>
      <c r="CO1280" s="169">
        <v>2.2568307442433211E-2</v>
      </c>
      <c r="CP1280" s="169">
        <f t="shared" ref="CP1280:CP1300" si="2335">+CN1280-CO1280</f>
        <v>5.365669255756679E-2</v>
      </c>
      <c r="CQ1280" s="169"/>
      <c r="CR1280" s="169"/>
      <c r="CS1280" s="179">
        <f t="shared" si="2330"/>
        <v>0.85150049999999999</v>
      </c>
      <c r="CT1280" s="180">
        <f t="shared" si="2331"/>
        <v>0.67277207323124022</v>
      </c>
      <c r="CU1280" s="180">
        <f t="shared" si="2332"/>
        <v>0.6470236142997704</v>
      </c>
      <c r="CV1280" s="180">
        <f t="shared" si="2333"/>
        <v>0.94704866037543145</v>
      </c>
      <c r="CW1280" s="180">
        <f t="shared" si="2334"/>
        <v>0.41224973107878493</v>
      </c>
      <c r="CX1280" s="181">
        <f>INDEX('State Tax Lookup'!$D$7:$Z$91,MATCH(Calculation!$C1280,'State Tax Lookup'!$B$7:$B$91,0),MATCH($H1280,'State Tax Lookup'!$D$6:$Z$6,0))</f>
        <v>0.40134999999999998</v>
      </c>
      <c r="CY1280" s="72">
        <v>0.37</v>
      </c>
      <c r="CZ1280" s="70"/>
      <c r="DA1280" s="70"/>
      <c r="DB1280" s="69"/>
      <c r="DC1280" s="111">
        <f>VLOOKUP($H1280,RoR!$E:$F,2,FALSE)</f>
        <v>7.6225000000000001E-2</v>
      </c>
      <c r="DD1280" s="216">
        <f>HLOOKUP($H1280,'GDP-PI'!$D$8:$CQ$11,3,FALSE)</f>
        <v>2.2568307442433211E-2</v>
      </c>
      <c r="DE1280" s="111">
        <f>VLOOKUP(H1280,'HW Dx Data'!$E:$F,2,FALSE)</f>
        <v>346.53371782150339</v>
      </c>
      <c r="DF1280" s="66"/>
      <c r="DG1280" s="69"/>
      <c r="DH1280" s="66">
        <f>HLOOKUP(H1280,'GDP-PI'!$8:$9,2,FALSE)</f>
        <v>78.069000000000003</v>
      </c>
      <c r="DI1280"/>
    </row>
    <row r="1281" spans="1:113" s="160" customFormat="1" ht="21">
      <c r="A1281" s="160" t="s">
        <v>236</v>
      </c>
      <c r="B1281" s="160" t="s">
        <v>236</v>
      </c>
      <c r="C1281" s="160">
        <v>4008752</v>
      </c>
      <c r="D1281" s="161" t="s">
        <v>192</v>
      </c>
      <c r="E1281" s="161"/>
      <c r="F1281" s="189"/>
      <c r="G1281" s="160" t="s">
        <v>111</v>
      </c>
      <c r="H1281" s="162">
        <v>2001</v>
      </c>
      <c r="I1281" s="163"/>
      <c r="J1281" s="159"/>
      <c r="K1281" s="159"/>
      <c r="L1281" s="159"/>
      <c r="M1281" s="60"/>
      <c r="N1281" s="152"/>
      <c r="O1281" s="60"/>
      <c r="P1281" s="60"/>
      <c r="Q1281" s="159"/>
      <c r="R1281" s="159"/>
      <c r="S1281" s="159"/>
      <c r="T1281" s="159"/>
      <c r="U1281" s="159"/>
      <c r="V1281" s="159"/>
      <c r="W1281" s="159">
        <f t="shared" si="2324"/>
        <v>25787.239773145411</v>
      </c>
      <c r="X1281" s="163"/>
      <c r="Y1281" s="167">
        <v>2078.0360190201122</v>
      </c>
      <c r="Z1281" s="168">
        <v>4.393486121698871E-2</v>
      </c>
      <c r="AA1281" s="78"/>
      <c r="AB1281" s="168"/>
      <c r="AC1281" s="168"/>
      <c r="AD1281" s="163">
        <f t="shared" si="2248"/>
        <v>25787.239773145411</v>
      </c>
      <c r="AE1281" s="168"/>
      <c r="AF1281" s="163"/>
      <c r="AG1281" s="163"/>
      <c r="AH1281" s="163"/>
      <c r="AI1281" s="163"/>
      <c r="AJ1281" s="167"/>
      <c r="AK1281" s="168"/>
      <c r="AL1281" s="115"/>
      <c r="AM1281" s="115"/>
      <c r="AN1281" s="115"/>
      <c r="AO1281" s="115"/>
      <c r="AP1281" s="115"/>
      <c r="AQ1281" s="168"/>
      <c r="AR1281" s="115"/>
      <c r="AS1281" s="115"/>
      <c r="AT1281" s="115"/>
      <c r="AU1281" s="115"/>
      <c r="AV1281" s="113">
        <f>IFERROR(INDEX('Total Customers'!$F$7:$AB$91,MATCH($C1281,'Total Customers'!$D$7:$D$91,0),MATCH($G1281,'Total Customers'!$F$5:$AB$5,0)),"NA")</f>
        <v>548586</v>
      </c>
      <c r="AW1281" s="68">
        <f t="shared" si="2231"/>
        <v>1.4518301582588712E-2</v>
      </c>
      <c r="AX1281" s="114"/>
      <c r="AY1281" s="114"/>
      <c r="AZ1281" s="116"/>
      <c r="BA1281" s="116"/>
      <c r="BB1281" s="166"/>
      <c r="BC1281" s="166"/>
      <c r="BD1281" s="166"/>
      <c r="BE1281" s="166"/>
      <c r="BF1281" s="166"/>
      <c r="BG1281" s="166"/>
      <c r="BH1281" s="166"/>
      <c r="BI1281" s="113"/>
      <c r="BJ1281" s="113"/>
      <c r="BK1281" s="113">
        <f>INDEX('Dist. Plant Gas Additions'!$F$7:$AE$91,MATCH($C1281,'Dist. Plant Gas Additions'!$D$7:$D$91,0),MATCH(Calculation!$G1281,'Dist. Plant Gas Additions'!$F$5:$AE$5,0))</f>
        <v>28158</v>
      </c>
      <c r="BL1281" s="113">
        <f>INDEX('Gen. Plant Additions'!$F$7:$AE$91,MATCH($C1281,'Gen. Plant Additions'!$D$7:$D$91,0),MATCH(Calculation!$G1281,'Gen. Plant Additions'!$F$5:$AE$5,0))</f>
        <v>6933</v>
      </c>
      <c r="BM1281" s="231">
        <f t="shared" si="2325"/>
        <v>0.87013838293891721</v>
      </c>
      <c r="BN1281" s="61">
        <f t="shared" si="2319"/>
        <v>6032.6694089155126</v>
      </c>
      <c r="BO1281" s="113">
        <f>INDEX('Dist Plant Depreciation'!$E$7:$AD$94,MATCH($C1281,'Dist Plant Depreciation'!$D$7:$D$94,0),MATCH(Calculation!$G1281,'Dist Plant Depreciation'!$E$5:$AD$5,0))</f>
        <v>451255</v>
      </c>
      <c r="BP1281" s="113">
        <f>INDEX('Gen. Plant Depreciation'!$E$7:$AD$94,MATCH($C1281,'Gen. Plant Depreciation'!$D$7:$D$94,0),MATCH(Calculation!$G1281,'Gen. Plant Depreciation'!$E$5:$AD$5,0))</f>
        <v>73390</v>
      </c>
      <c r="BQ1281" s="113"/>
      <c r="BR1281" s="113"/>
      <c r="BS1281" s="113"/>
      <c r="BT1281" s="113"/>
      <c r="BU1281" s="113"/>
      <c r="BV1281" s="175"/>
      <c r="BW1281" s="113">
        <f>INDEX('Gross Dx Plant'!$E$7:$AD$91,MATCH($C1281,'Gross Dx Plant'!$D$7:$D$91,0),MATCH(Calculation!$G1281,'Gross Dx Plant'!$E$5:$AD$5,0))</f>
        <v>773915</v>
      </c>
      <c r="BX1281" s="113">
        <f>INDEX('Gross Gen Plant'!$E$7:$AD$91,MATCH($C1281,'Gross Gen Plant'!$D$7:$D$91,0),MATCH(Calculation!$G1281,'Gross Gen Plant'!$E$5:$AD$5,0))</f>
        <v>115501</v>
      </c>
      <c r="BY1281" s="113">
        <f t="shared" si="2318"/>
        <v>364771</v>
      </c>
      <c r="BZ1281" s="113"/>
      <c r="CA1281" s="116">
        <v>2001</v>
      </c>
      <c r="CB1281" s="113"/>
      <c r="CC1281" s="113"/>
      <c r="CD1281" s="113"/>
      <c r="CE1281" s="175"/>
      <c r="CF1281" s="113">
        <f t="shared" si="2326"/>
        <v>35091</v>
      </c>
      <c r="CG1281" s="113">
        <f t="shared" si="2327"/>
        <v>99.282105253241298</v>
      </c>
      <c r="CH1281" s="178">
        <v>0.98461538461538467</v>
      </c>
      <c r="CI1281" s="61">
        <f>+CI1278*CH1281+CG1279*CH1280+CG1280*CH1278+CG1281</f>
        <v>2078.0360190201122</v>
      </c>
      <c r="CJ1281" s="114">
        <f t="shared" si="2328"/>
        <v>4.393486121698871E-2</v>
      </c>
      <c r="CK1281" s="114"/>
      <c r="CL1281" s="169">
        <f t="shared" si="2329"/>
        <v>5.0084702795117142E-3</v>
      </c>
      <c r="CM1281" s="169">
        <f>+(CL1281+CL1280+CL1279)/3</f>
        <v>5.0415498752417317E-3</v>
      </c>
      <c r="CN1281" s="114">
        <f>VLOOKUP($H1281,RoR!$E:$F,2,FALSE)</f>
        <v>7.0824999999999999E-2</v>
      </c>
      <c r="CO1281" s="169">
        <v>2.2454495382290052E-2</v>
      </c>
      <c r="CP1281" s="169">
        <f t="shared" si="2335"/>
        <v>4.8370504617709947E-2</v>
      </c>
      <c r="CQ1281" s="169">
        <f>+$CP$2-CM1281</f>
        <v>2.5860391733291892E-2</v>
      </c>
      <c r="CR1281" s="169">
        <v>2.3947275901631187E-2</v>
      </c>
      <c r="CS1281" s="179">
        <f t="shared" si="2330"/>
        <v>0.85150049999999999</v>
      </c>
      <c r="CT1281" s="180">
        <f t="shared" si="2331"/>
        <v>0.72406708481540816</v>
      </c>
      <c r="CU1281" s="180">
        <f t="shared" si="2332"/>
        <v>0.62201729615248857</v>
      </c>
      <c r="CV1281" s="180">
        <f t="shared" si="2333"/>
        <v>0.9352469954311422</v>
      </c>
      <c r="CW1281" s="180">
        <f t="shared" si="2334"/>
        <v>0.42121864641655071</v>
      </c>
      <c r="CX1281" s="181">
        <f>INDEX('State Tax Lookup'!$D$7:$Z$91,MATCH(Calculation!$C1281,'State Tax Lookup'!$B$7:$B$91,0),MATCH($H1281,'State Tax Lookup'!$D$6:$Z$6,0))</f>
        <v>0.40134999999999998</v>
      </c>
      <c r="CY1281" s="72">
        <v>0.37</v>
      </c>
      <c r="CZ1281" s="70">
        <f t="shared" ref="CZ1281:CZ1302" si="2336">+(DE1281*CQ1281-CR1281)*CS1281/(1-CX1281)</f>
        <v>12.966789336783545</v>
      </c>
      <c r="DA1281" s="70"/>
      <c r="DB1281" s="69"/>
      <c r="DC1281" s="111">
        <f>VLOOKUP($H1281,RoR!$E:$F,2,FALSE)</f>
        <v>7.0824999999999999E-2</v>
      </c>
      <c r="DD1281" s="216">
        <f>HLOOKUP($H1281,'GDP-PI'!$D$8:$CQ$11,3,FALSE)</f>
        <v>2.2454495382290052E-2</v>
      </c>
      <c r="DE1281" s="111">
        <f>VLOOKUP(H1281,'HW Dx Data'!$E:$F,2,FALSE)</f>
        <v>353.44738017483138</v>
      </c>
      <c r="DF1281" s="66"/>
      <c r="DG1281" s="69"/>
      <c r="DH1281" s="66">
        <f>HLOOKUP(H1281,'GDP-PI'!$8:$9,2,FALSE)</f>
        <v>79.822000000000003</v>
      </c>
      <c r="DI1281"/>
    </row>
    <row r="1282" spans="1:113" s="160" customFormat="1" ht="21">
      <c r="A1282" s="160" t="s">
        <v>236</v>
      </c>
      <c r="B1282" s="160" t="s">
        <v>236</v>
      </c>
      <c r="C1282" s="160">
        <v>4008752</v>
      </c>
      <c r="D1282" s="161" t="s">
        <v>192</v>
      </c>
      <c r="E1282" s="161"/>
      <c r="F1282" s="189"/>
      <c r="G1282" s="160" t="s">
        <v>113</v>
      </c>
      <c r="H1282" s="162">
        <v>2002</v>
      </c>
      <c r="I1282" s="163"/>
      <c r="J1282" s="159"/>
      <c r="K1282" s="159"/>
      <c r="L1282" s="159"/>
      <c r="M1282" s="60"/>
      <c r="N1282" s="152"/>
      <c r="O1282" s="60"/>
      <c r="P1282" s="60"/>
      <c r="Q1282" s="159"/>
      <c r="R1282" s="159"/>
      <c r="S1282" s="159"/>
      <c r="T1282" s="159"/>
      <c r="U1282" s="159"/>
      <c r="V1282" s="159"/>
      <c r="W1282" s="159">
        <f t="shared" si="2324"/>
        <v>27266.923197809287</v>
      </c>
      <c r="X1282" s="163"/>
      <c r="Y1282" s="167">
        <v>2215.2432414284276</v>
      </c>
      <c r="Z1282" s="168">
        <v>6.3938986980887E-2</v>
      </c>
      <c r="AA1282" s="78"/>
      <c r="AB1282" s="168"/>
      <c r="AC1282" s="168"/>
      <c r="AD1282" s="163">
        <f t="shared" si="2248"/>
        <v>27266.923197809287</v>
      </c>
      <c r="AE1282" s="168"/>
      <c r="AF1282" s="163"/>
      <c r="AG1282" s="163"/>
      <c r="AH1282" s="163"/>
      <c r="AI1282" s="163"/>
      <c r="AJ1282" s="167"/>
      <c r="AK1282" s="168"/>
      <c r="AL1282" s="115"/>
      <c r="AM1282" s="115"/>
      <c r="AN1282" s="115"/>
      <c r="AO1282" s="115"/>
      <c r="AP1282" s="115"/>
      <c r="AQ1282" s="168"/>
      <c r="AR1282" s="115"/>
      <c r="AS1282" s="115"/>
      <c r="AT1282" s="115"/>
      <c r="AU1282" s="115"/>
      <c r="AV1282" s="113">
        <f>IFERROR(INDEX('Total Customers'!$F$7:$AB$91,MATCH($C1282,'Total Customers'!$D$7:$D$91,0),MATCH($G1282,'Total Customers'!$F$5:$AB$5,0)),"NA")</f>
        <v>556768</v>
      </c>
      <c r="AW1282" s="68">
        <f t="shared" si="2231"/>
        <v>1.4804577430623444E-2</v>
      </c>
      <c r="AX1282" s="114"/>
      <c r="AY1282" s="114"/>
      <c r="AZ1282" s="116"/>
      <c r="BA1282" s="116"/>
      <c r="BB1282" s="166"/>
      <c r="BC1282" s="166"/>
      <c r="BD1282" s="166"/>
      <c r="BE1282" s="166"/>
      <c r="BF1282" s="166"/>
      <c r="BG1282" s="166"/>
      <c r="BH1282" s="166"/>
      <c r="BI1282" s="113"/>
      <c r="BJ1282" s="113"/>
      <c r="BK1282" s="113">
        <f>INDEX('Dist. Plant Gas Additions'!$F$7:$AE$91,MATCH($C1282,'Dist. Plant Gas Additions'!$D$7:$D$91,0),MATCH(Calculation!$G1282,'Dist. Plant Gas Additions'!$F$5:$AE$5,0))</f>
        <v>46734</v>
      </c>
      <c r="BL1282" s="113">
        <f>INDEX('Gen. Plant Additions'!$F$7:$AE$91,MATCH($C1282,'Gen. Plant Additions'!$D$7:$D$91,0),MATCH(Calculation!$G1282,'Gen. Plant Additions'!$F$5:$AE$5,0))</f>
        <v>7169</v>
      </c>
      <c r="BM1282" s="231">
        <f t="shared" si="2325"/>
        <v>0.89117211686672804</v>
      </c>
      <c r="BN1282" s="61">
        <f t="shared" si="2319"/>
        <v>6388.8129058175737</v>
      </c>
      <c r="BO1282" s="113">
        <f>INDEX('Dist Plant Depreciation'!$E$7:$AD$94,MATCH($C1282,'Dist Plant Depreciation'!$D$7:$D$94,0),MATCH(Calculation!$G1282,'Dist Plant Depreciation'!$E$5:$AD$5,0))</f>
        <v>475458</v>
      </c>
      <c r="BP1282" s="113">
        <f>INDEX('Gen. Plant Depreciation'!$E$7:$AD$94,MATCH($C1282,'Gen. Plant Depreciation'!$D$7:$D$94,0),MATCH(Calculation!$G1282,'Gen. Plant Depreciation'!$E$5:$AD$5,0))</f>
        <v>66580</v>
      </c>
      <c r="BQ1282" s="113"/>
      <c r="BR1282" s="113"/>
      <c r="BS1282" s="113"/>
      <c r="BT1282" s="113"/>
      <c r="BU1282" s="113"/>
      <c r="BV1282" s="175"/>
      <c r="BW1282" s="113">
        <f>INDEX('Gross Dx Plant'!$E$7:$AD$91,MATCH($C1282,'Gross Dx Plant'!$D$7:$D$91,0),MATCH(Calculation!$G1282,'Gross Dx Plant'!$E$5:$AD$5,0))</f>
        <v>816360</v>
      </c>
      <c r="BX1282" s="113">
        <f>INDEX('Gross Gen Plant'!$E$7:$AD$91,MATCH($C1282,'Gross Gen Plant'!$D$7:$D$91,0),MATCH(Calculation!$G1282,'Gross Gen Plant'!$E$5:$AD$5,0))</f>
        <v>99692</v>
      </c>
      <c r="BY1282" s="113">
        <f t="shared" si="2318"/>
        <v>374014</v>
      </c>
      <c r="BZ1282" s="113"/>
      <c r="CA1282" s="116">
        <v>2002</v>
      </c>
      <c r="CB1282" s="113"/>
      <c r="CC1282" s="113"/>
      <c r="CD1282" s="113"/>
      <c r="CE1282" s="175"/>
      <c r="CF1282" s="113">
        <f t="shared" si="2326"/>
        <v>53903</v>
      </c>
      <c r="CG1282" s="113">
        <f t="shared" si="2327"/>
        <v>149.17192091037055</v>
      </c>
      <c r="CH1282" s="178">
        <v>0.97916666666666663</v>
      </c>
      <c r="CI1282" s="61">
        <f>+CI1278*CH1282+CG1279*CH1281+CG1280*CH1280+CG1281*CH1279+CG1282</f>
        <v>2215.2432414284276</v>
      </c>
      <c r="CJ1282" s="114">
        <f t="shared" si="2328"/>
        <v>6.3938986980887E-2</v>
      </c>
      <c r="CK1282" s="114"/>
      <c r="CL1282" s="169">
        <f t="shared" si="2329"/>
        <v>5.7576954357591295E-3</v>
      </c>
      <c r="CM1282" s="169">
        <f t="shared" ref="CM1282:CM1302" si="2337">+(CL1282+CL1281+CL1280)/3</f>
        <v>5.3024068944583095E-3</v>
      </c>
      <c r="CN1282" s="114">
        <f>VLOOKUP($H1282,RoR!$E:$F,2,FALSE)</f>
        <v>6.4916666666666664E-2</v>
      </c>
      <c r="CO1282" s="169">
        <v>1.5246423291824351E-2</v>
      </c>
      <c r="CP1282" s="169">
        <f t="shared" si="2335"/>
        <v>4.9670243374842313E-2</v>
      </c>
      <c r="CQ1282" s="169">
        <f t="shared" ref="CQ1282:CQ1302" si="2338">+$CP$2-CM1282</f>
        <v>2.5599534714075316E-2</v>
      </c>
      <c r="CR1282" s="169">
        <v>2.5243621214759093E-2</v>
      </c>
      <c r="CS1282" s="179">
        <f t="shared" si="2330"/>
        <v>0.85150049999999999</v>
      </c>
      <c r="CT1282" s="180">
        <f t="shared" si="2331"/>
        <v>0.78996741384417901</v>
      </c>
      <c r="CU1282" s="180">
        <f t="shared" si="2332"/>
        <v>0.58989088575096271</v>
      </c>
      <c r="CV1282" s="180">
        <f t="shared" si="2333"/>
        <v>0.91920675783645744</v>
      </c>
      <c r="CW1282" s="180">
        <f t="shared" si="2334"/>
        <v>0.42834536472275586</v>
      </c>
      <c r="CX1282" s="181">
        <f>INDEX('State Tax Lookup'!$D$7:$Z$91,MATCH(Calculation!$C1282,'State Tax Lookup'!$B$7:$B$91,0),MATCH($H1282,'State Tax Lookup'!$D$6:$Z$6,0))</f>
        <v>0.40134999999999998</v>
      </c>
      <c r="CY1282" s="72">
        <v>0.37</v>
      </c>
      <c r="CZ1282" s="70">
        <f t="shared" si="2336"/>
        <v>13.12148728329881</v>
      </c>
      <c r="DA1282" s="70"/>
      <c r="DB1282" s="69">
        <f>LN(CZ1282/CZ1281)</f>
        <v>1.1859714766847794E-2</v>
      </c>
      <c r="DC1282" s="111">
        <f>VLOOKUP($H1282,RoR!$E:$F,2,FALSE)</f>
        <v>6.4916666666666664E-2</v>
      </c>
      <c r="DD1282" s="216">
        <f>HLOOKUP($H1282,'GDP-PI'!$D$8:$CQ$11,3,FALSE)</f>
        <v>1.5246423291824351E-2</v>
      </c>
      <c r="DE1282" s="111">
        <f>VLOOKUP(H1282,'HW Dx Data'!$E:$F,2,FALSE)</f>
        <v>361.34816573413599</v>
      </c>
      <c r="DF1282" s="66"/>
      <c r="DG1282" s="69"/>
      <c r="DH1282" s="66">
        <f>HLOOKUP(H1282,'GDP-PI'!$8:$9,2,FALSE)</f>
        <v>81.039000000000001</v>
      </c>
      <c r="DI1282" s="69">
        <f>LN(DH1282/DH1281)</f>
        <v>1.513136459537477E-2</v>
      </c>
    </row>
    <row r="1283" spans="1:113" s="160" customFormat="1" ht="21">
      <c r="A1283" s="160" t="s">
        <v>236</v>
      </c>
      <c r="B1283" s="160" t="s">
        <v>236</v>
      </c>
      <c r="C1283" s="160">
        <v>4008752</v>
      </c>
      <c r="D1283" s="161" t="s">
        <v>192</v>
      </c>
      <c r="E1283" s="161"/>
      <c r="F1283" s="189"/>
      <c r="G1283" s="160" t="s">
        <v>114</v>
      </c>
      <c r="H1283" s="162">
        <v>2003</v>
      </c>
      <c r="I1283" s="163"/>
      <c r="J1283" s="159"/>
      <c r="K1283" s="159"/>
      <c r="L1283" s="159"/>
      <c r="M1283" s="76"/>
      <c r="N1283" s="152"/>
      <c r="O1283" s="76"/>
      <c r="P1283" s="76"/>
      <c r="Q1283" s="159"/>
      <c r="R1283" s="159"/>
      <c r="S1283" s="159"/>
      <c r="T1283" s="159"/>
      <c r="U1283" s="159"/>
      <c r="V1283" s="159"/>
      <c r="W1283" s="159">
        <f t="shared" si="2324"/>
        <v>29525.20084087507</v>
      </c>
      <c r="X1283" s="163"/>
      <c r="Y1283" s="167">
        <v>2326.8031378807818</v>
      </c>
      <c r="Z1283" s="168">
        <v>4.9133068624517405E-2</v>
      </c>
      <c r="AA1283" s="78"/>
      <c r="AB1283" s="168"/>
      <c r="AC1283" s="168"/>
      <c r="AD1283" s="163">
        <f t="shared" si="2248"/>
        <v>29525.20084087507</v>
      </c>
      <c r="AE1283" s="168"/>
      <c r="AF1283" s="163"/>
      <c r="AG1283" s="163"/>
      <c r="AH1283" s="163"/>
      <c r="AI1283" s="163"/>
      <c r="AJ1283" s="167"/>
      <c r="AK1283" s="168"/>
      <c r="AL1283" s="115"/>
      <c r="AM1283" s="115"/>
      <c r="AN1283" s="115"/>
      <c r="AO1283" s="115"/>
      <c r="AP1283" s="115"/>
      <c r="AQ1283" s="168"/>
      <c r="AR1283" s="115"/>
      <c r="AS1283" s="115"/>
      <c r="AT1283" s="115"/>
      <c r="AU1283" s="115"/>
      <c r="AV1283" s="113">
        <f>IFERROR(INDEX('Total Customers'!$F$7:$AB$91,MATCH($C1283,'Total Customers'!$D$7:$D$91,0),MATCH($G1283,'Total Customers'!$F$5:$AB$5,0)),"NA")</f>
        <v>562817</v>
      </c>
      <c r="AW1283" s="68">
        <f t="shared" si="2231"/>
        <v>1.0805894792028552E-2</v>
      </c>
      <c r="AX1283" s="114"/>
      <c r="AY1283" s="114"/>
      <c r="AZ1283" s="116"/>
      <c r="BA1283" s="116"/>
      <c r="BB1283" s="166"/>
      <c r="BC1283" s="166"/>
      <c r="BD1283" s="166"/>
      <c r="BE1283" s="166"/>
      <c r="BF1283" s="166"/>
      <c r="BG1283" s="166"/>
      <c r="BH1283" s="166"/>
      <c r="BI1283" s="113"/>
      <c r="BJ1283" s="113"/>
      <c r="BK1283" s="113">
        <f>INDEX('Dist. Plant Gas Additions'!$F$7:$AE$91,MATCH($C1283,'Dist. Plant Gas Additions'!$D$7:$D$91,0),MATCH(Calculation!$G1283,'Dist. Plant Gas Additions'!$F$5:$AE$5,0))</f>
        <v>39213</v>
      </c>
      <c r="BL1283" s="113">
        <f>INDEX('Gen. Plant Additions'!$F$7:$AE$91,MATCH($C1283,'Gen. Plant Additions'!$D$7:$D$91,0),MATCH(Calculation!$G1283,'Gen. Plant Additions'!$F$5:$AE$5,0))</f>
        <v>6585</v>
      </c>
      <c r="BM1283" s="231">
        <f t="shared" si="2325"/>
        <v>0.93962574624108453</v>
      </c>
      <c r="BN1283" s="61">
        <f t="shared" si="2319"/>
        <v>6187.4355389975417</v>
      </c>
      <c r="BO1283" s="113">
        <f>INDEX('Dist Plant Depreciation'!$E$7:$AD$94,MATCH($C1283,'Dist Plant Depreciation'!$D$7:$D$94,0),MATCH(Calculation!$G1283,'Dist Plant Depreciation'!$E$5:$AD$5,0))</f>
        <v>500793</v>
      </c>
      <c r="BP1283" s="113">
        <f>INDEX('Gen. Plant Depreciation'!$E$7:$AD$94,MATCH($C1283,'Gen. Plant Depreciation'!$D$7:$D$94,0),MATCH(Calculation!$G1283,'Gen. Plant Depreciation'!$E$5:$AD$5,0))</f>
        <v>22643</v>
      </c>
      <c r="BQ1283" s="113"/>
      <c r="BR1283" s="113"/>
      <c r="BS1283" s="113"/>
      <c r="BT1283" s="113"/>
      <c r="BU1283" s="113"/>
      <c r="BV1283" s="175"/>
      <c r="BW1283" s="113">
        <f>INDEX('Gross Dx Plant'!$E$7:$AD$91,MATCH($C1283,'Gross Dx Plant'!$D$7:$D$91,0),MATCH(Calculation!$G1283,'Gross Dx Plant'!$E$5:$AD$5,0))</f>
        <v>851969</v>
      </c>
      <c r="BX1283" s="113">
        <f>INDEX('Gross Gen Plant'!$E$7:$AD$91,MATCH($C1283,'Gross Gen Plant'!$D$7:$D$91,0),MATCH(Calculation!$G1283,'Gross Gen Plant'!$E$5:$AD$5,0))</f>
        <v>54742</v>
      </c>
      <c r="BY1283" s="113">
        <f t="shared" si="2318"/>
        <v>383275</v>
      </c>
      <c r="BZ1283" s="113"/>
      <c r="CA1283" s="116">
        <v>2003</v>
      </c>
      <c r="CB1283" s="113"/>
      <c r="CC1283" s="113"/>
      <c r="CD1283" s="113"/>
      <c r="CE1283" s="175"/>
      <c r="CF1283" s="113">
        <f t="shared" si="2326"/>
        <v>45798</v>
      </c>
      <c r="CG1283" s="113">
        <f t="shared" si="2327"/>
        <v>124.03549693856311</v>
      </c>
      <c r="CH1283" s="178">
        <v>0.97354497354497349</v>
      </c>
      <c r="CI1283" s="61">
        <f>+CI1278*CH1283+CG1279*CH1282+CG1280*CH1281+CG1281*CH1280+CG1282*CH1279+CG1283</f>
        <v>2326.8031378807818</v>
      </c>
      <c r="CJ1283" s="114">
        <f t="shared" si="2328"/>
        <v>4.9133068624517405E-2</v>
      </c>
      <c r="CK1283" s="114"/>
      <c r="CL1283" s="169">
        <f t="shared" si="2329"/>
        <v>5.6317068269958496E-3</v>
      </c>
      <c r="CM1283" s="169">
        <f t="shared" si="2337"/>
        <v>5.4659575140888978E-3</v>
      </c>
      <c r="CN1283" s="114">
        <f>VLOOKUP($H1283,RoR!$E:$F,2,FALSE)</f>
        <v>5.6666666666666671E-2</v>
      </c>
      <c r="CO1283" s="169">
        <v>1.8855119140166909E-2</v>
      </c>
      <c r="CP1283" s="169">
        <f t="shared" si="2335"/>
        <v>3.7811547526499761E-2</v>
      </c>
      <c r="CQ1283" s="169">
        <f t="shared" si="2338"/>
        <v>2.5435984094444728E-2</v>
      </c>
      <c r="CR1283" s="169">
        <v>2.1375012817671957E-2</v>
      </c>
      <c r="CS1283" s="179">
        <f t="shared" si="2330"/>
        <v>0.85150049999999999</v>
      </c>
      <c r="CT1283" s="180">
        <f t="shared" si="2331"/>
        <v>0.90497737556561086</v>
      </c>
      <c r="CU1283" s="180">
        <f t="shared" si="2332"/>
        <v>0.5338235294117647</v>
      </c>
      <c r="CV1283" s="180">
        <f t="shared" si="2333"/>
        <v>0.88972433127405692</v>
      </c>
      <c r="CW1283" s="180">
        <f t="shared" si="2334"/>
        <v>0.42982423775949252</v>
      </c>
      <c r="CX1283" s="181">
        <f>INDEX('State Tax Lookup'!$D$7:$Z$91,MATCH(Calculation!$C1283,'State Tax Lookup'!$B$7:$B$91,0),MATCH($H1283,'State Tax Lookup'!$D$6:$Z$6,0))</f>
        <v>0.40134999999999998</v>
      </c>
      <c r="CY1283" s="72">
        <v>0.37</v>
      </c>
      <c r="CZ1283" s="70">
        <f t="shared" si="2336"/>
        <v>13.328198135856496</v>
      </c>
      <c r="DA1283" s="70"/>
      <c r="DB1283" s="69">
        <f t="shared" ref="DB1283:DB1300" si="2339">LN(CZ1283/CZ1282)</f>
        <v>1.563081435096441E-2</v>
      </c>
      <c r="DC1283" s="111">
        <f>VLOOKUP($H1283,RoR!$E:$F,2,FALSE)</f>
        <v>5.6666666666666671E-2</v>
      </c>
      <c r="DD1283" s="216">
        <f>HLOOKUP($H1283,'GDP-PI'!$D$8:$CQ$11,3,FALSE)</f>
        <v>1.8855119140166909E-2</v>
      </c>
      <c r="DE1283" s="111">
        <f>VLOOKUP(H1283,'HW Dx Data'!$E:$F,2,FALSE)</f>
        <v>369.23301095560191</v>
      </c>
      <c r="DF1283" s="66"/>
      <c r="DG1283" s="69"/>
      <c r="DH1283" s="66">
        <f>HLOOKUP(H1283,'GDP-PI'!$8:$9,2,FALSE)</f>
        <v>82.566999999999993</v>
      </c>
      <c r="DI1283" s="69">
        <f t="shared" ref="DI1283:DI1302" si="2340">LN(DH1283/DH1282)</f>
        <v>1.8679564681853753E-2</v>
      </c>
    </row>
    <row r="1284" spans="1:113" s="160" customFormat="1" ht="21">
      <c r="A1284" s="160" t="s">
        <v>236</v>
      </c>
      <c r="B1284" s="160" t="s">
        <v>236</v>
      </c>
      <c r="C1284" s="160">
        <v>4008752</v>
      </c>
      <c r="D1284" s="161" t="s">
        <v>192</v>
      </c>
      <c r="E1284" s="161"/>
      <c r="F1284" s="189"/>
      <c r="G1284" s="160" t="s">
        <v>115</v>
      </c>
      <c r="H1284" s="162">
        <v>2004</v>
      </c>
      <c r="I1284" s="163"/>
      <c r="J1284" s="159">
        <f>IFERROR(INDEX('Labor Expenditures'!$F$7:$X$91,MATCH($C1284,'Labor Expenditures'!$D$7:$D$91,0),MATCH($G1284,'Labor Expenditures'!$F$5:$X$5,0)),"NA")</f>
        <v>30287.252180951356</v>
      </c>
      <c r="K1284" s="159">
        <f t="shared" ref="K1284:K1302" si="2341">+J1284/DF1284</f>
        <v>321.0095620662571</v>
      </c>
      <c r="L1284" s="165"/>
      <c r="M1284" s="76"/>
      <c r="N1284" s="152"/>
      <c r="O1284" s="76"/>
      <c r="P1284" s="76"/>
      <c r="Q1284" s="159">
        <f>IFERROR(INDEX('Non-Labor Expenditures'!$F$7:$AB$91,MATCH($C1284,'Non-Labor Expenditures'!$D$7:$D$91,0),MATCH($G1284,'Non-Labor Expenditures'!$F$5:$AB$5,0)),"NA")</f>
        <v>43861.598036418014</v>
      </c>
      <c r="R1284" s="159">
        <f t="shared" ref="R1284:R1302" si="2342">+Q1284/DH1284</f>
        <v>517.37004926299289</v>
      </c>
      <c r="S1284" s="159"/>
      <c r="T1284" s="159"/>
      <c r="U1284" s="159"/>
      <c r="V1284" s="159"/>
      <c r="W1284" s="159">
        <f t="shared" si="2324"/>
        <v>34379.367421752082</v>
      </c>
      <c r="X1284" s="163"/>
      <c r="Y1284" s="167">
        <v>2425.5971028011268</v>
      </c>
      <c r="Z1284" s="168">
        <v>4.1582440403906018E-2</v>
      </c>
      <c r="AA1284" s="76">
        <f t="shared" ref="AA1284:AA1302" si="2343">+Z1284*$AR1284</f>
        <v>0</v>
      </c>
      <c r="AB1284" s="168"/>
      <c r="AC1284" s="168"/>
      <c r="AD1284" s="163">
        <f t="shared" si="2248"/>
        <v>108528.21763912146</v>
      </c>
      <c r="AE1284" s="168"/>
      <c r="AF1284" s="163"/>
      <c r="AG1284" s="163"/>
      <c r="AH1284" s="163"/>
      <c r="AI1284" s="163"/>
      <c r="AJ1284" s="167"/>
      <c r="AK1284" s="168"/>
      <c r="AL1284" s="115">
        <f t="shared" ref="AL1284:AL1302" si="2344">+J1284/AD1284</f>
        <v>0.27907260286594471</v>
      </c>
      <c r="AM1284" s="115">
        <f t="shared" ref="AM1284:AM1302" si="2345">+Q1284/AD1284</f>
        <v>0.40414925252220402</v>
      </c>
      <c r="AN1284" s="115">
        <f t="shared" ref="AN1284:AN1302" si="2346">+W1284/AD1284</f>
        <v>0.31677814461185122</v>
      </c>
      <c r="AO1284" s="115"/>
      <c r="AP1284" s="115"/>
      <c r="AQ1284" s="168"/>
      <c r="AR1284" s="115"/>
      <c r="AS1284" s="115"/>
      <c r="AT1284" s="115"/>
      <c r="AU1284" s="115"/>
      <c r="AV1284" s="113">
        <f>IFERROR(INDEX('Total Customers'!$F$7:$AB$91,MATCH($C1284,'Total Customers'!$D$7:$D$91,0),MATCH($G1284,'Total Customers'!$F$5:$AB$5,0)),"NA")</f>
        <v>570927</v>
      </c>
      <c r="AW1284" s="68">
        <f t="shared" ref="AW1284:AW1347" si="2347">LN(AV1284/AV1283)</f>
        <v>1.4306824702281059E-2</v>
      </c>
      <c r="AX1284" s="114"/>
      <c r="AY1284" s="114"/>
      <c r="AZ1284" s="116"/>
      <c r="BA1284" s="116"/>
      <c r="BB1284" s="166"/>
      <c r="BC1284" s="166"/>
      <c r="BD1284" s="166"/>
      <c r="BE1284" s="166"/>
      <c r="BF1284" s="166"/>
      <c r="BG1284" s="166"/>
      <c r="BH1284" s="166"/>
      <c r="BI1284" s="113"/>
      <c r="BJ1284" s="113"/>
      <c r="BK1284" s="113">
        <f>INDEX('Dist. Plant Gas Additions'!$F$7:$AE$91,MATCH($C1284,'Dist. Plant Gas Additions'!$D$7:$D$91,0),MATCH(Calculation!$G1284,'Dist. Plant Gas Additions'!$F$5:$AE$5,0))</f>
        <v>44561</v>
      </c>
      <c r="BL1284" s="113">
        <f>INDEX('Gen. Plant Additions'!$F$7:$AE$91,MATCH($C1284,'Gen. Plant Additions'!$D$7:$D$91,0),MATCH(Calculation!$G1284,'Gen. Plant Additions'!$F$5:$AE$5,0))</f>
        <v>2025</v>
      </c>
      <c r="BM1284" s="231">
        <f t="shared" si="2325"/>
        <v>0.94439921961588413</v>
      </c>
      <c r="BN1284" s="61">
        <f t="shared" si="2319"/>
        <v>1912.4084197221653</v>
      </c>
      <c r="BO1284" s="113">
        <f>INDEX('Dist Plant Depreciation'!$E$7:$AD$94,MATCH($C1284,'Dist Plant Depreciation'!$D$7:$D$94,0),MATCH(Calculation!$G1284,'Dist Plant Depreciation'!$E$5:$AD$5,0))</f>
        <v>527267</v>
      </c>
      <c r="BP1284" s="113">
        <f>INDEX('Gen. Plant Depreciation'!$E$7:$AD$94,MATCH($C1284,'Gen. Plant Depreciation'!$D$7:$D$94,0),MATCH(Calculation!$G1284,'Gen. Plant Depreciation'!$E$5:$AD$5,0))</f>
        <v>23536</v>
      </c>
      <c r="BQ1284" s="113"/>
      <c r="BR1284" s="113"/>
      <c r="BS1284" s="113"/>
      <c r="BT1284" s="113"/>
      <c r="BU1284" s="113"/>
      <c r="BV1284" s="175"/>
      <c r="BW1284" s="113">
        <f>INDEX('Gross Dx Plant'!$E$7:$AD$91,MATCH($C1284,'Gross Dx Plant'!$D$7:$D$91,0),MATCH(Calculation!$G1284,'Gross Dx Plant'!$E$5:$AD$5,0))</f>
        <v>892139</v>
      </c>
      <c r="BX1284" s="113">
        <f>INDEX('Gross Gen Plant'!$E$7:$AD$91,MATCH($C1284,'Gross Gen Plant'!$D$7:$D$91,0),MATCH(Calculation!$G1284,'Gross Gen Plant'!$E$5:$AD$5,0))</f>
        <v>52524</v>
      </c>
      <c r="BY1284" s="113">
        <f t="shared" si="2318"/>
        <v>393860</v>
      </c>
      <c r="BZ1284" s="113"/>
      <c r="CA1284" s="116">
        <v>2004</v>
      </c>
      <c r="CB1284" s="113"/>
      <c r="CC1284" s="113"/>
      <c r="CD1284" s="113"/>
      <c r="CE1284" s="175"/>
      <c r="CF1284" s="113">
        <f t="shared" si="2326"/>
        <v>46586</v>
      </c>
      <c r="CG1284" s="113">
        <f t="shared" si="2327"/>
        <v>112.28594415787471</v>
      </c>
      <c r="CH1284" s="178">
        <v>0.967741935483871</v>
      </c>
      <c r="CI1284" s="61">
        <f>+CI1278*CH1284+CG1279*CH1283+CG1280*CH1282+CG1281*CH1281+CG1282*CH1280+CG1283*CH1279+CG1284</f>
        <v>2425.5971028011268</v>
      </c>
      <c r="CJ1284" s="114">
        <f t="shared" si="2328"/>
        <v>4.1582440403906018E-2</v>
      </c>
      <c r="CK1284" s="114"/>
      <c r="CL1284" s="169">
        <f t="shared" si="2329"/>
        <v>5.798504831748711E-3</v>
      </c>
      <c r="CM1284" s="169">
        <f t="shared" si="2337"/>
        <v>5.729302364834564E-3</v>
      </c>
      <c r="CN1284" s="114">
        <f>VLOOKUP($H1284,RoR!$E:$F,2,FALSE)</f>
        <v>5.6283333333333331E-2</v>
      </c>
      <c r="CO1284" s="169">
        <v>2.6778252812867276E-2</v>
      </c>
      <c r="CP1284" s="169">
        <f t="shared" si="2335"/>
        <v>2.9505080520466055E-2</v>
      </c>
      <c r="CQ1284" s="169">
        <f t="shared" si="2338"/>
        <v>2.5172639243699061E-2</v>
      </c>
      <c r="CR1284" s="169">
        <v>5.5940039414565046E-2</v>
      </c>
      <c r="CS1284" s="179">
        <f t="shared" si="2330"/>
        <v>0.85150049999999999</v>
      </c>
      <c r="CT1284" s="180">
        <f t="shared" si="2331"/>
        <v>0.91114097628755619</v>
      </c>
      <c r="CU1284" s="180">
        <f t="shared" si="2332"/>
        <v>0.53081877405981637</v>
      </c>
      <c r="CV1284" s="180">
        <f t="shared" si="2333"/>
        <v>0.88811215519385678</v>
      </c>
      <c r="CW1284" s="180">
        <f t="shared" si="2334"/>
        <v>0.42953609753547711</v>
      </c>
      <c r="CX1284" s="181">
        <f>INDEX('State Tax Lookup'!$D$7:$Z$91,MATCH(Calculation!$C1284,'State Tax Lookup'!$B$7:$B$91,0),MATCH($H1284,'State Tax Lookup'!$D$6:$Z$6,0))</f>
        <v>0.40134999999999998</v>
      </c>
      <c r="CY1284" s="72">
        <v>0.37</v>
      </c>
      <c r="CZ1284" s="70">
        <f t="shared" si="2336"/>
        <v>14.775365763458746</v>
      </c>
      <c r="DA1284" s="70"/>
      <c r="DB1284" s="69">
        <f t="shared" si="2339"/>
        <v>0.10307936710011317</v>
      </c>
      <c r="DC1284" s="111">
        <f>VLOOKUP($H1284,RoR!$E:$F,2,FALSE)</f>
        <v>5.6283333333333331E-2</v>
      </c>
      <c r="DD1284" s="216">
        <f>HLOOKUP($H1284,'GDP-PI'!$D$8:$CQ$11,3,FALSE)</f>
        <v>2.6778252812867276E-2</v>
      </c>
      <c r="DE1284" s="111">
        <f>VLOOKUP(H1284,'HW Dx Data'!$E:$F,2,FALSE)</f>
        <v>414.88719135228365</v>
      </c>
      <c r="DF1284" s="72">
        <f>VLOOKUP(G1284,EG$8:EH$27,2,FALSE)</f>
        <v>94.35</v>
      </c>
      <c r="DG1284" s="69"/>
      <c r="DH1284" s="66">
        <f>HLOOKUP(H1284,'GDP-PI'!$8:$9,2,FALSE)</f>
        <v>84.778000000000006</v>
      </c>
      <c r="DI1284" s="69">
        <f t="shared" si="2340"/>
        <v>2.6425990216022755E-2</v>
      </c>
    </row>
    <row r="1285" spans="1:113" s="160" customFormat="1" ht="21">
      <c r="A1285" s="160" t="s">
        <v>236</v>
      </c>
      <c r="B1285" s="160" t="s">
        <v>236</v>
      </c>
      <c r="C1285" s="160">
        <v>4008752</v>
      </c>
      <c r="D1285" s="161" t="s">
        <v>192</v>
      </c>
      <c r="E1285" s="161"/>
      <c r="F1285" s="189"/>
      <c r="G1285" s="160" t="s">
        <v>116</v>
      </c>
      <c r="H1285" s="162">
        <v>2005</v>
      </c>
      <c r="I1285" s="163"/>
      <c r="J1285" s="159">
        <f>IFERROR(INDEX('Labor Expenditures'!$F$7:$X$91,MATCH($C1285,'Labor Expenditures'!$D$7:$D$91,0),MATCH($G1285,'Labor Expenditures'!$F$5:$X$5,0)),"NA")</f>
        <v>33367.832109677693</v>
      </c>
      <c r="K1285" s="159">
        <f t="shared" si="2341"/>
        <v>336.28452617463034</v>
      </c>
      <c r="L1285" s="165">
        <f t="shared" ref="L1285:L1301" si="2348">LN(K1285/K1284)</f>
        <v>4.6486694663307723E-2</v>
      </c>
      <c r="M1285" s="76"/>
      <c r="N1285" s="62">
        <v>100</v>
      </c>
      <c r="O1285" s="77"/>
      <c r="P1285" s="77"/>
      <c r="Q1285" s="159">
        <f>IFERROR(INDEX('Non-Labor Expenditures'!$F$7:$AB$91,MATCH($C1285,'Non-Labor Expenditures'!$D$7:$D$91,0),MATCH($G1285,'Non-Labor Expenditures'!$F$5:$AB$5,0)),"NA")</f>
        <v>48322.853146177775</v>
      </c>
      <c r="R1285" s="159">
        <f t="shared" si="2342"/>
        <v>552.84877808616898</v>
      </c>
      <c r="S1285" s="165">
        <f>LN(R1285/R1284)</f>
        <v>6.6326125707143704E-2</v>
      </c>
      <c r="T1285" s="165"/>
      <c r="U1285" s="165"/>
      <c r="V1285" s="165"/>
      <c r="W1285" s="159">
        <f t="shared" si="2324"/>
        <v>40315.449157168609</v>
      </c>
      <c r="X1285" s="163"/>
      <c r="Y1285" s="167">
        <v>2513.6611722190369</v>
      </c>
      <c r="Z1285" s="168">
        <v>3.566260268061737E-2</v>
      </c>
      <c r="AA1285" s="76">
        <f t="shared" si="2343"/>
        <v>0</v>
      </c>
      <c r="AB1285" s="168"/>
      <c r="AC1285" s="168"/>
      <c r="AD1285" s="163">
        <f t="shared" si="2248"/>
        <v>122006.13441302408</v>
      </c>
      <c r="AE1285" s="168">
        <f>LN(AD1285/AD1284)</f>
        <v>0.1170611159684056</v>
      </c>
      <c r="AF1285" s="163"/>
      <c r="AG1285" s="163"/>
      <c r="AH1285" s="163"/>
      <c r="AI1285" s="163"/>
      <c r="AJ1285" s="116"/>
      <c r="AK1285" s="114"/>
      <c r="AL1285" s="115">
        <f t="shared" si="2344"/>
        <v>0.27349306877241492</v>
      </c>
      <c r="AM1285" s="115">
        <f t="shared" si="2345"/>
        <v>0.39606904504155277</v>
      </c>
      <c r="AN1285" s="115">
        <f t="shared" si="2346"/>
        <v>0.33043788618603231</v>
      </c>
      <c r="AO1285" s="115">
        <f t="shared" ref="AO1285:AO1301" si="2349">+(((AL1285+AL1284)/2)*L1285+((AM1284+AM1285)/2)*S1285+((AN1284+AN1285)/2)*Z1285)</f>
        <v>5.0921869605559687E-2</v>
      </c>
      <c r="AP1285" s="166">
        <v>100</v>
      </c>
      <c r="AQ1285" s="168"/>
      <c r="AR1285" s="115"/>
      <c r="AS1285" s="115"/>
      <c r="AT1285" s="115"/>
      <c r="AU1285" s="115"/>
      <c r="AV1285" s="113">
        <f>IFERROR(INDEX('Total Customers'!$F$7:$AB$91,MATCH($C1285,'Total Customers'!$D$7:$D$91,0),MATCH($G1285,'Total Customers'!$F$5:$AB$5,0)),"NA")</f>
        <v>578172</v>
      </c>
      <c r="AW1285" s="68">
        <f t="shared" si="2347"/>
        <v>1.2610046660925505E-2</v>
      </c>
      <c r="AX1285" s="114"/>
      <c r="AY1285" s="114"/>
      <c r="AZ1285" s="116"/>
      <c r="BA1285" s="116"/>
      <c r="BB1285" s="166"/>
      <c r="BC1285" s="166"/>
      <c r="BD1285" s="166"/>
      <c r="BE1285" s="166"/>
      <c r="BF1285" s="166"/>
      <c r="BG1285" s="166"/>
      <c r="BH1285" s="166"/>
      <c r="BI1285" s="113"/>
      <c r="BJ1285" s="113"/>
      <c r="BK1285" s="113">
        <f>INDEX('Dist. Plant Gas Additions'!$F$7:$AE$91,MATCH($C1285,'Dist. Plant Gas Additions'!$D$7:$D$91,0),MATCH(Calculation!$G1285,'Dist. Plant Gas Additions'!$F$5:$AE$5,0))</f>
        <v>39644</v>
      </c>
      <c r="BL1285" s="113">
        <f>INDEX('Gen. Plant Additions'!$F$7:$AE$91,MATCH($C1285,'Gen. Plant Additions'!$D$7:$D$91,0),MATCH(Calculation!$G1285,'Gen. Plant Additions'!$F$5:$AE$5,0))</f>
        <v>8474</v>
      </c>
      <c r="BM1285" s="231">
        <f t="shared" si="2325"/>
        <v>0.938952631786796</v>
      </c>
      <c r="BN1285" s="61">
        <f t="shared" si="2319"/>
        <v>7956.6846017613098</v>
      </c>
      <c r="BO1285" s="113">
        <f>INDEX('Dist Plant Depreciation'!$E$7:$AD$94,MATCH($C1285,'Dist Plant Depreciation'!$D$7:$D$94,0),MATCH(Calculation!$G1285,'Dist Plant Depreciation'!$E$5:$AD$5,0))</f>
        <v>554660</v>
      </c>
      <c r="BP1285" s="113">
        <f>INDEX('Gen. Plant Depreciation'!$E$7:$AD$94,MATCH($C1285,'Gen. Plant Depreciation'!$D$7:$D$94,0),MATCH(Calculation!$G1285,'Gen. Plant Depreciation'!$E$5:$AD$5,0))</f>
        <v>27525</v>
      </c>
      <c r="BQ1285" s="113"/>
      <c r="BR1285" s="113"/>
      <c r="BS1285" s="113"/>
      <c r="BT1285" s="113"/>
      <c r="BU1285" s="113"/>
      <c r="BV1285" s="175"/>
      <c r="BW1285" s="113">
        <f>INDEX('Gross Dx Plant'!$E$7:$AD$91,MATCH($C1285,'Gross Dx Plant'!$D$7:$D$91,0),MATCH(Calculation!$G1285,'Gross Dx Plant'!$E$5:$AD$5,0))</f>
        <v>927273</v>
      </c>
      <c r="BX1285" s="113">
        <f>INDEX('Gross Gen Plant'!$E$7:$AD$91,MATCH($C1285,'Gross Gen Plant'!$D$7:$D$91,0),MATCH(Calculation!$G1285,'Gross Gen Plant'!$E$5:$AD$5,0))</f>
        <v>60288</v>
      </c>
      <c r="BY1285" s="113">
        <f t="shared" si="2318"/>
        <v>405376</v>
      </c>
      <c r="BZ1285" s="113"/>
      <c r="CA1285" s="116">
        <v>2005</v>
      </c>
      <c r="CB1285" s="113"/>
      <c r="CC1285" s="113"/>
      <c r="CD1285" s="113"/>
      <c r="CE1285" s="175"/>
      <c r="CF1285" s="113">
        <f t="shared" si="2326"/>
        <v>48118</v>
      </c>
      <c r="CG1285" s="113">
        <f t="shared" si="2327"/>
        <v>102.55215866597734</v>
      </c>
      <c r="CH1285" s="178">
        <v>0.96174863387978138</v>
      </c>
      <c r="CI1285" s="61">
        <f>+CI1278*CH1285+CG1279*CH1284+CG1280*CH1283+CG1281*CH1282+CG1282*CH1281+CG1283*CH1280+CG1284*CH1279+CG1285</f>
        <v>2513.6611722190369</v>
      </c>
      <c r="CJ1285" s="114">
        <f t="shared" si="2328"/>
        <v>3.566260268061737E-2</v>
      </c>
      <c r="CK1285" s="114"/>
      <c r="CL1285" s="169">
        <f t="shared" si="2329"/>
        <v>5.9729990736450472E-3</v>
      </c>
      <c r="CM1285" s="169">
        <f t="shared" si="2337"/>
        <v>5.8010702441298702E-3</v>
      </c>
      <c r="CN1285" s="114">
        <f>VLOOKUP($H1285,RoR!$E:$F,2,FALSE)</f>
        <v>5.2350000000000001E-2</v>
      </c>
      <c r="CO1285" s="169">
        <v>3.1010403642454332E-2</v>
      </c>
      <c r="CP1285" s="169">
        <f t="shared" si="2335"/>
        <v>2.1339596357545669E-2</v>
      </c>
      <c r="CQ1285" s="169">
        <f t="shared" si="2338"/>
        <v>2.5100871364403754E-2</v>
      </c>
      <c r="CR1285" s="169">
        <v>9.2129610649277341E-2</v>
      </c>
      <c r="CS1285" s="179">
        <f t="shared" si="2330"/>
        <v>0.85150049999999999</v>
      </c>
      <c r="CT1285" s="180">
        <f t="shared" si="2331"/>
        <v>0.97959983346802826</v>
      </c>
      <c r="CU1285" s="180">
        <f t="shared" si="2332"/>
        <v>0.49744508118433622</v>
      </c>
      <c r="CV1285" s="180">
        <f t="shared" si="2333"/>
        <v>0.87010519444335932</v>
      </c>
      <c r="CW1285" s="180">
        <f t="shared" si="2334"/>
        <v>0.42399975420741998</v>
      </c>
      <c r="CX1285" s="181">
        <f>INDEX('State Tax Lookup'!$D$7:$Z$91,MATCH(Calculation!$C1285,'State Tax Lookup'!$B$7:$B$91,0),MATCH($H1285,'State Tax Lookup'!$D$6:$Z$6,0))</f>
        <v>0.40134999999999998</v>
      </c>
      <c r="CY1285" s="72">
        <v>0.37</v>
      </c>
      <c r="CZ1285" s="70">
        <f t="shared" si="2336"/>
        <v>16.620834973216098</v>
      </c>
      <c r="DA1285" s="70"/>
      <c r="DB1285" s="69">
        <f t="shared" si="2339"/>
        <v>0.11769570867791145</v>
      </c>
      <c r="DC1285" s="111">
        <f>VLOOKUP($H1285,RoR!$E:$F,2,FALSE)</f>
        <v>5.2350000000000001E-2</v>
      </c>
      <c r="DD1285" s="216">
        <f>HLOOKUP($H1285,'GDP-PI'!$D$8:$CQ$11,3,FALSE)</f>
        <v>3.1010403642454332E-2</v>
      </c>
      <c r="DE1285" s="111">
        <f>VLOOKUP(H1285,'HW Dx Data'!$E:$F,2,FALSE)</f>
        <v>469.20514034936258</v>
      </c>
      <c r="DF1285" s="72">
        <f t="shared" ref="DF1285:DF1303" si="2350">VLOOKUP(G1285,EG$8:EH$27,2,FALSE)</f>
        <v>99.224999999999994</v>
      </c>
      <c r="DG1285" s="69">
        <f t="shared" ref="DG1285:DG1303" si="2351">LN(DF1285/DF1284)</f>
        <v>5.0378726854569796E-2</v>
      </c>
      <c r="DH1285" s="66">
        <f>HLOOKUP(H1285,'GDP-PI'!$8:$9,2,FALSE)</f>
        <v>87.406999999999996</v>
      </c>
      <c r="DI1285" s="69">
        <f t="shared" si="2340"/>
        <v>3.0539295810733648E-2</v>
      </c>
    </row>
    <row r="1286" spans="1:113" s="160" customFormat="1" ht="21">
      <c r="A1286" s="160" t="s">
        <v>236</v>
      </c>
      <c r="B1286" s="160" t="s">
        <v>236</v>
      </c>
      <c r="C1286" s="160">
        <v>4008752</v>
      </c>
      <c r="D1286" s="161" t="s">
        <v>192</v>
      </c>
      <c r="E1286" s="161"/>
      <c r="F1286" s="189"/>
      <c r="G1286" s="160" t="s">
        <v>117</v>
      </c>
      <c r="H1286" s="162">
        <v>2006</v>
      </c>
      <c r="I1286" s="163"/>
      <c r="J1286" s="159">
        <f>IFERROR(INDEX('Labor Expenditures'!$F$7:$X$91,MATCH($C1286,'Labor Expenditures'!$D$7:$D$91,0),MATCH($G1286,'Labor Expenditures'!$F$5:$X$5,0)),"NA")</f>
        <v>31364.869478587156</v>
      </c>
      <c r="K1286" s="159">
        <f t="shared" si="2341"/>
        <v>286.69898974942555</v>
      </c>
      <c r="L1286" s="165">
        <f t="shared" si="2348"/>
        <v>-0.15952475655512124</v>
      </c>
      <c r="M1286" s="76">
        <f t="shared" ref="M1286:M1302" si="2352">+L1286*$AR1286</f>
        <v>-2.3568284768215289E-3</v>
      </c>
      <c r="N1286" s="62">
        <f>+N1285*EXP(O1286)</f>
        <v>116.00821265903801</v>
      </c>
      <c r="O1286" s="96">
        <f t="shared" ref="O1286:O1302" si="2353">+M1286+M1311+M1336+M1361+M1386+M1411+M1436+M1461+M1486+M1511+M1536+M1561+M1586+M1611+M1636+M1661+M1686+M1711+M1736+M1761+M1786+M1811+M1836+M1861+M1886+M1911+M1936+M1961+M1986+M2011+M2036+M2061+M2086+M2111+M2136+M2161+M2186+M2211+M2236+M2261+M2286+M2311+M2336+M2361+M2386+M2411+M2436+M2461+M2486+M2511+M2536+M2561+M2586+M2611</f>
        <v>0.14849080139696799</v>
      </c>
      <c r="P1286" s="96"/>
      <c r="Q1286" s="159">
        <f>IFERROR(INDEX('Non-Labor Expenditures'!$F$7:$AB$91,MATCH($C1286,'Non-Labor Expenditures'!$D$7:$D$91,0),MATCH($G1286,'Non-Labor Expenditures'!$F$5:$AB$5,0)),"NA")</f>
        <v>45422.189154542612</v>
      </c>
      <c r="R1286" s="159">
        <f t="shared" si="2342"/>
        <v>504.27636337392158</v>
      </c>
      <c r="S1286" s="165">
        <f t="shared" ref="S1286:S1301" si="2354">LN(R1286/R1285)</f>
        <v>-9.1960048961823526E-2</v>
      </c>
      <c r="T1286" s="165">
        <f t="shared" ref="T1286:T1302" si="2355">+S1286*AR1286</f>
        <v>-1.3586233685819087E-3</v>
      </c>
      <c r="U1286" s="165"/>
      <c r="V1286" s="165"/>
      <c r="W1286" s="159">
        <f t="shared" si="2324"/>
        <v>40808.940013509484</v>
      </c>
      <c r="X1286" s="163"/>
      <c r="Y1286" s="167">
        <v>2624.6470613867946</v>
      </c>
      <c r="Z1286" s="168">
        <v>4.3206109478805141E-2</v>
      </c>
      <c r="AA1286" s="76">
        <f t="shared" si="2343"/>
        <v>6.3832969497202153E-4</v>
      </c>
      <c r="AB1286" s="168"/>
      <c r="AC1286" s="168"/>
      <c r="AD1286" s="163">
        <f t="shared" si="2248"/>
        <v>117595.99864663926</v>
      </c>
      <c r="AE1286" s="168">
        <f t="shared" ref="AE1286:AE1302" si="2356">LN(AD1286/AD1285)</f>
        <v>-3.6816315771075747E-2</v>
      </c>
      <c r="AF1286" s="163"/>
      <c r="AG1286" s="163"/>
      <c r="AH1286" s="163"/>
      <c r="AI1286" s="163"/>
      <c r="AJ1286" s="116">
        <f t="shared" ref="AJ1286:AJ1302" si="2357">+(AD1286*1000)/AV1286</f>
        <v>201.29028492554789</v>
      </c>
      <c r="AK1286" s="114">
        <f>+AV1286/$AX$11</f>
        <v>1.684505742536882E-2</v>
      </c>
      <c r="AL1286" s="115">
        <f t="shared" si="2344"/>
        <v>0.26671714887880266</v>
      </c>
      <c r="AM1286" s="115">
        <f t="shared" si="2345"/>
        <v>0.38625624746833781</v>
      </c>
      <c r="AN1286" s="115">
        <f t="shared" si="2346"/>
        <v>0.34702660365285948</v>
      </c>
      <c r="AO1286" s="115">
        <f t="shared" si="2349"/>
        <v>-6.4424485373349979E-2</v>
      </c>
      <c r="AP1286" s="166">
        <f>+AP1285*EXP(AO1286)</f>
        <v>93.760691462488694</v>
      </c>
      <c r="AQ1286" s="168">
        <f>LN(AP1286/AP1285)</f>
        <v>-6.4424485373349979E-2</v>
      </c>
      <c r="AR1286" s="169">
        <f>+AD1286/$AF$11</f>
        <v>1.4774060952772332E-2</v>
      </c>
      <c r="AS1286" s="169">
        <f>+AR1286*AQ1286</f>
        <v>-9.5181127375686212E-4</v>
      </c>
      <c r="AT1286" s="115"/>
      <c r="AU1286" s="115"/>
      <c r="AV1286" s="113">
        <f>IFERROR(INDEX('Total Customers'!$F$7:$AB$91,MATCH($C1286,'Total Customers'!$D$7:$D$91,0),MATCH($G1286,'Total Customers'!$F$5:$AB$5,0)),"NA")</f>
        <v>584211</v>
      </c>
      <c r="AW1286" s="68">
        <f t="shared" si="2347"/>
        <v>1.0390816684926427E-2</v>
      </c>
      <c r="AX1286" s="114"/>
      <c r="AY1286" s="114"/>
      <c r="AZ1286" s="116"/>
      <c r="BA1286" s="116"/>
      <c r="BB1286" s="166"/>
      <c r="BC1286" s="166"/>
      <c r="BD1286" s="166"/>
      <c r="BE1286" s="166"/>
      <c r="BF1286" s="166"/>
      <c r="BG1286" s="166"/>
      <c r="BH1286" s="166"/>
      <c r="BI1286" s="113"/>
      <c r="BJ1286" s="113"/>
      <c r="BK1286" s="113">
        <f>INDEX('Dist. Plant Gas Additions'!$F$7:$AE$91,MATCH($C1286,'Dist. Plant Gas Additions'!$D$7:$D$91,0),MATCH(Calculation!$G1286,'Dist. Plant Gas Additions'!$F$5:$AE$5,0))</f>
        <v>37928</v>
      </c>
      <c r="BL1286" s="113">
        <f>INDEX('Gen. Plant Additions'!$F$7:$AE$91,MATCH($C1286,'Gen. Plant Additions'!$D$7:$D$91,0),MATCH(Calculation!$G1286,'Gen. Plant Additions'!$F$5:$AE$5,0))</f>
        <v>20381</v>
      </c>
      <c r="BM1286" s="231">
        <f t="shared" si="2325"/>
        <v>0.92477371197318525</v>
      </c>
      <c r="BN1286" s="61">
        <f t="shared" si="2319"/>
        <v>18847.813023725488</v>
      </c>
      <c r="BO1286" s="113">
        <f>INDEX('Dist Plant Depreciation'!$E$7:$AD$94,MATCH($C1286,'Dist Plant Depreciation'!$D$7:$D$94,0),MATCH(Calculation!$G1286,'Dist Plant Depreciation'!$E$5:$AD$5,0))</f>
        <v>580474</v>
      </c>
      <c r="BP1286" s="113">
        <f>INDEX('Gen. Plant Depreciation'!$E$7:$AD$94,MATCH($C1286,'Gen. Plant Depreciation'!$D$7:$D$94,0),MATCH(Calculation!$G1286,'Gen. Plant Depreciation'!$E$5:$AD$5,0))</f>
        <v>29057</v>
      </c>
      <c r="BQ1286" s="113"/>
      <c r="BR1286" s="113"/>
      <c r="BS1286" s="113"/>
      <c r="BT1286" s="113"/>
      <c r="BU1286" s="113"/>
      <c r="BV1286" s="175"/>
      <c r="BW1286" s="113">
        <f>INDEX('Gross Dx Plant'!$E$7:$AD$91,MATCH($C1286,'Gross Dx Plant'!$D$7:$D$91,0),MATCH(Calculation!$G1286,'Gross Dx Plant'!$E$5:$AD$5,0))</f>
        <v>957925</v>
      </c>
      <c r="BX1286" s="113">
        <f>INDEX('Gross Gen Plant'!$E$7:$AD$91,MATCH($C1286,'Gross Gen Plant'!$D$7:$D$91,0),MATCH(Calculation!$G1286,'Gross Gen Plant'!$E$5:$AD$5,0))</f>
        <v>77923</v>
      </c>
      <c r="BY1286" s="113">
        <f t="shared" si="2318"/>
        <v>426317</v>
      </c>
      <c r="BZ1286" s="114"/>
      <c r="CA1286" s="116">
        <v>2006</v>
      </c>
      <c r="CB1286" s="113"/>
      <c r="CC1286" s="113"/>
      <c r="CD1286" s="113"/>
      <c r="CE1286" s="175"/>
      <c r="CF1286" s="113">
        <f t="shared" si="2326"/>
        <v>58309</v>
      </c>
      <c r="CG1286" s="113">
        <f t="shared" si="2327"/>
        <v>126.46022951613136</v>
      </c>
      <c r="CH1286" s="178">
        <v>0.9555555555555556</v>
      </c>
      <c r="CI1286" s="61">
        <f>+CI1278*CH1286+CG1279*CH1285+CG1280*CH1284+CG1281*CH1283+CG1282*CH1282+CG1283*CH1281+CG1284*CH1280+CG1285*CH1279+CG1286</f>
        <v>2624.6470613867946</v>
      </c>
      <c r="CJ1286" s="114">
        <f t="shared" si="2328"/>
        <v>4.3206109478805141E-2</v>
      </c>
      <c r="CK1286" s="114"/>
      <c r="CL1286" s="169">
        <f t="shared" si="2329"/>
        <v>6.1560963424171656E-3</v>
      </c>
      <c r="CM1286" s="169">
        <f t="shared" si="2337"/>
        <v>5.9758667492703079E-3</v>
      </c>
      <c r="CN1286" s="114">
        <f>VLOOKUP($H1286,RoR!$E:$F,2,FALSE)</f>
        <v>5.5874999999999994E-2</v>
      </c>
      <c r="CO1286" s="169">
        <v>3.0512430354548314E-2</v>
      </c>
      <c r="CP1286" s="169">
        <f t="shared" si="2335"/>
        <v>2.536256964545168E-2</v>
      </c>
      <c r="CQ1286" s="169">
        <f t="shared" si="2338"/>
        <v>2.4926074859263316E-2</v>
      </c>
      <c r="CR1286" s="169">
        <v>7.9087823893859641E-2</v>
      </c>
      <c r="CS1286" s="179">
        <f t="shared" si="2330"/>
        <v>0.85150049999999999</v>
      </c>
      <c r="CT1286" s="180">
        <f t="shared" si="2331"/>
        <v>0.91779957551769631</v>
      </c>
      <c r="CU1286" s="180">
        <f t="shared" si="2332"/>
        <v>0.52757270693512304</v>
      </c>
      <c r="CV1286" s="180">
        <f t="shared" si="2333"/>
        <v>0.88636824549024895</v>
      </c>
      <c r="CW1286" s="180">
        <f t="shared" si="2334"/>
        <v>0.42918482841932087</v>
      </c>
      <c r="CX1286" s="181">
        <f>INDEX('State Tax Lookup'!$D$7:$Z$91,MATCH(Calculation!$C1286,'State Tax Lookup'!$B$7:$B$91,0),MATCH($H1286,'State Tax Lookup'!$D$6:$Z$6,0))</f>
        <v>0.40134999999999998</v>
      </c>
      <c r="CY1286" s="72">
        <v>0.37</v>
      </c>
      <c r="CZ1286" s="70">
        <f t="shared" si="2336"/>
        <v>16.234861111962726</v>
      </c>
      <c r="DA1286" s="70">
        <v>14.788696346247992</v>
      </c>
      <c r="DB1286" s="69">
        <f t="shared" si="2339"/>
        <v>-2.3496176562414126E-2</v>
      </c>
      <c r="DC1286" s="111">
        <f>VLOOKUP($H1286,RoR!$E:$F,2,FALSE)</f>
        <v>5.5874999999999994E-2</v>
      </c>
      <c r="DD1286" s="216">
        <f>HLOOKUP($H1286,'GDP-PI'!$D$8:$CQ$11,3,FALSE)</f>
        <v>3.0512430354548314E-2</v>
      </c>
      <c r="DE1286" s="111">
        <f>VLOOKUP(H1286,'HW Dx Data'!$E:$F,2,FALSE)</f>
        <v>461.08567272971823</v>
      </c>
      <c r="DF1286" s="72">
        <f t="shared" si="2350"/>
        <v>109.4</v>
      </c>
      <c r="DG1286" s="69">
        <f t="shared" si="2351"/>
        <v>9.7620891318751846E-2</v>
      </c>
      <c r="DH1286" s="66">
        <f>HLOOKUP(H1286,'GDP-PI'!$8:$9,2,FALSE)</f>
        <v>90.073999999999998</v>
      </c>
      <c r="DI1286" s="69">
        <f t="shared" si="2340"/>
        <v>3.005618372545445E-2</v>
      </c>
    </row>
    <row r="1287" spans="1:113" s="160" customFormat="1" ht="21">
      <c r="A1287" s="160" t="s">
        <v>236</v>
      </c>
      <c r="B1287" s="160" t="s">
        <v>236</v>
      </c>
      <c r="C1287" s="160">
        <v>4008752</v>
      </c>
      <c r="D1287" s="161" t="s">
        <v>192</v>
      </c>
      <c r="E1287" s="161"/>
      <c r="F1287" s="189"/>
      <c r="G1287" s="160" t="s">
        <v>118</v>
      </c>
      <c r="H1287" s="162">
        <v>2007</v>
      </c>
      <c r="I1287" s="163"/>
      <c r="J1287" s="159">
        <f>IFERROR(INDEX('Labor Expenditures'!$F$7:$X$91,MATCH($C1287,'Labor Expenditures'!$D$7:$D$91,0),MATCH($G1287,'Labor Expenditures'!$F$5:$X$5,0)),"NA")</f>
        <v>29917.211014585188</v>
      </c>
      <c r="K1287" s="159">
        <f t="shared" si="2341"/>
        <v>286.22062678388124</v>
      </c>
      <c r="L1287" s="165">
        <f t="shared" si="2348"/>
        <v>-1.6699134150889754E-3</v>
      </c>
      <c r="M1287" s="76">
        <f t="shared" si="2352"/>
        <v>-2.3638182563067538E-5</v>
      </c>
      <c r="N1287" s="62">
        <f t="shared" ref="N1287:N1300" si="2358">+N1286*EXP(O1287)</f>
        <v>119.91742439953985</v>
      </c>
      <c r="O1287" s="96">
        <f t="shared" si="2353"/>
        <v>3.3142388523029663E-2</v>
      </c>
      <c r="P1287" s="96"/>
      <c r="Q1287" s="159">
        <f>IFERROR(INDEX('Non-Labor Expenditures'!$F$7:$AB$91,MATCH($C1287,'Non-Labor Expenditures'!$D$7:$D$91,0),MATCH($G1287,'Non-Labor Expenditures'!$F$5:$AB$5,0)),"NA")</f>
        <v>43325.709313363492</v>
      </c>
      <c r="R1287" s="159">
        <f t="shared" si="2342"/>
        <v>468.39617411580241</v>
      </c>
      <c r="S1287" s="165">
        <f t="shared" si="2354"/>
        <v>-7.3809994110379237E-2</v>
      </c>
      <c r="T1287" s="165">
        <f t="shared" si="2355"/>
        <v>-1.0448051377963943E-3</v>
      </c>
      <c r="U1287" s="165"/>
      <c r="V1287" s="165"/>
      <c r="W1287" s="159">
        <f t="shared" si="2324"/>
        <v>45771.539270173431</v>
      </c>
      <c r="X1287" s="163"/>
      <c r="Y1287" s="167">
        <v>2712.7905645748269</v>
      </c>
      <c r="Z1287" s="168">
        <v>3.3031399511191759E-2</v>
      </c>
      <c r="AA1287" s="76">
        <f t="shared" si="2343"/>
        <v>4.6757050090382579E-4</v>
      </c>
      <c r="AB1287" s="168"/>
      <c r="AC1287" s="168"/>
      <c r="AD1287" s="163">
        <f t="shared" si="2248"/>
        <v>119014.45959812211</v>
      </c>
      <c r="AE1287" s="168">
        <f t="shared" si="2356"/>
        <v>1.1989985185750453E-2</v>
      </c>
      <c r="AF1287" s="163"/>
      <c r="AG1287" s="163"/>
      <c r="AH1287" s="163"/>
      <c r="AI1287" s="163"/>
      <c r="AJ1287" s="116">
        <f t="shared" si="2357"/>
        <v>202.31402052493618</v>
      </c>
      <c r="AK1287" s="114">
        <f>+AV1287/$AX$12</f>
        <v>1.6834270775679491E-2</v>
      </c>
      <c r="AL1287" s="115">
        <f t="shared" si="2344"/>
        <v>0.25137459024396763</v>
      </c>
      <c r="AM1287" s="115">
        <f t="shared" si="2345"/>
        <v>0.36403735697042239</v>
      </c>
      <c r="AN1287" s="115">
        <f t="shared" si="2346"/>
        <v>0.38458805278560998</v>
      </c>
      <c r="AO1287" s="115">
        <f t="shared" si="2349"/>
        <v>-1.6039039432512805E-2</v>
      </c>
      <c r="AP1287" s="166">
        <f>+AP1286*EXP(AO1287)</f>
        <v>92.268855821426229</v>
      </c>
      <c r="AQ1287" s="168">
        <f>LN(AP1287/AP1286)</f>
        <v>-1.6039039432512829E-2</v>
      </c>
      <c r="AR1287" s="169">
        <f>+AD1287/$AF$12</f>
        <v>1.4155334252349881E-2</v>
      </c>
      <c r="AS1287" s="169">
        <f t="shared" ref="AS1287:AS1301" si="2359">+AR1287*AQ1287</f>
        <v>-2.2703796425383924E-4</v>
      </c>
      <c r="AT1287" s="115"/>
      <c r="AU1287" s="115"/>
      <c r="AV1287" s="113">
        <f>IFERROR(INDEX('Total Customers'!$F$7:$AB$91,MATCH($C1287,'Total Customers'!$D$7:$D$91,0),MATCH($G1287,'Total Customers'!$F$5:$AB$5,0)),"NA")</f>
        <v>588266</v>
      </c>
      <c r="AW1287" s="68">
        <f t="shared" si="2347"/>
        <v>6.9170076131269062E-3</v>
      </c>
      <c r="AX1287" s="114"/>
      <c r="AY1287" s="114"/>
      <c r="AZ1287" s="116"/>
      <c r="BA1287" s="116"/>
      <c r="BB1287" s="166"/>
      <c r="BC1287" s="166"/>
      <c r="BD1287" s="166"/>
      <c r="BE1287" s="166"/>
      <c r="BF1287" s="166"/>
      <c r="BG1287" s="166"/>
      <c r="BH1287" s="166"/>
      <c r="BI1287" s="113"/>
      <c r="BJ1287" s="113"/>
      <c r="BK1287" s="113">
        <f>INDEX('Dist. Plant Gas Additions'!$F$7:$AE$91,MATCH($C1287,'Dist. Plant Gas Additions'!$D$7:$D$91,0),MATCH(Calculation!$G1287,'Dist. Plant Gas Additions'!$F$5:$AE$5,0))</f>
        <v>44063</v>
      </c>
      <c r="BL1287" s="113">
        <f>INDEX('Gen. Plant Additions'!$F$7:$AE$91,MATCH($C1287,'Gen. Plant Additions'!$D$7:$D$91,0),MATCH(Calculation!$G1287,'Gen. Plant Additions'!$F$5:$AE$5,0))</f>
        <v>8111</v>
      </c>
      <c r="BM1287" s="231">
        <f t="shared" si="2325"/>
        <v>0.92157952560133538</v>
      </c>
      <c r="BN1287" s="61">
        <f t="shared" si="2319"/>
        <v>7474.9315321524309</v>
      </c>
      <c r="BO1287" s="113">
        <f>INDEX('Dist Plant Depreciation'!$E$7:$AD$94,MATCH($C1287,'Dist Plant Depreciation'!$D$7:$D$94,0),MATCH(Calculation!$G1287,'Dist Plant Depreciation'!$E$5:$AD$5,0))</f>
        <v>607631</v>
      </c>
      <c r="BP1287" s="113">
        <f>INDEX('Gen. Plant Depreciation'!$E$7:$AD$94,MATCH($C1287,'Gen. Plant Depreciation'!$D$7:$D$94,0),MATCH(Calculation!$G1287,'Gen. Plant Depreciation'!$E$5:$AD$5,0))</f>
        <v>33383</v>
      </c>
      <c r="BQ1287" s="113"/>
      <c r="BR1287" s="113"/>
      <c r="BS1287" s="113"/>
      <c r="BT1287" s="113"/>
      <c r="BU1287" s="113"/>
      <c r="BV1287" s="175"/>
      <c r="BW1287" s="113">
        <f>INDEX('Gross Dx Plant'!$E$7:$AD$91,MATCH($C1287,'Gross Dx Plant'!$D$7:$D$91,0),MATCH(Calculation!$G1287,'Gross Dx Plant'!$E$5:$AD$5,0))</f>
        <v>994858</v>
      </c>
      <c r="BX1287" s="113">
        <f>INDEX('Gross Gen Plant'!$E$7:$AD$91,MATCH($C1287,'Gross Gen Plant'!$D$7:$D$91,0),MATCH(Calculation!$G1287,'Gross Gen Plant'!$E$5:$AD$5,0))</f>
        <v>84656</v>
      </c>
      <c r="BY1287" s="113">
        <f t="shared" si="2318"/>
        <v>438500</v>
      </c>
      <c r="BZ1287" s="113"/>
      <c r="CA1287" s="116">
        <v>2007</v>
      </c>
      <c r="CB1287" s="113"/>
      <c r="CC1287" s="113"/>
      <c r="CD1287" s="113"/>
      <c r="CE1287" s="175"/>
      <c r="CF1287" s="113">
        <f t="shared" si="2326"/>
        <v>52174</v>
      </c>
      <c r="CG1287" s="113">
        <f t="shared" si="2327"/>
        <v>104.76237385065913</v>
      </c>
      <c r="CH1287" s="178">
        <v>0.94915254237288138</v>
      </c>
      <c r="CI1287" s="61">
        <f>+CI1278*CH1287+CG1279*CH1286+CG1280*CH1285+CG1281*CH1284+CG1282*CH1283+CG1283*CH1282+CG1284*CH1281+CG1285*CH1280+CG1286*CH1279+CG1287</f>
        <v>2712.7905645748269</v>
      </c>
      <c r="CJ1287" s="114">
        <f t="shared" si="2328"/>
        <v>3.3031399511191759E-2</v>
      </c>
      <c r="CK1287" s="114"/>
      <c r="CL1287" s="169">
        <f t="shared" si="2329"/>
        <v>6.3318496826182038E-3</v>
      </c>
      <c r="CM1287" s="169">
        <f t="shared" si="2337"/>
        <v>6.1536483662268061E-3</v>
      </c>
      <c r="CN1287" s="114">
        <f>VLOOKUP($H1287,RoR!$E:$F,2,FALSE)</f>
        <v>5.5558333333333321E-2</v>
      </c>
      <c r="CO1287" s="169">
        <v>2.691120634145272E-2</v>
      </c>
      <c r="CP1287" s="169">
        <f t="shared" si="2335"/>
        <v>2.86471269918806E-2</v>
      </c>
      <c r="CQ1287" s="169">
        <f t="shared" si="2338"/>
        <v>2.4748293242306818E-2</v>
      </c>
      <c r="CR1287" s="169">
        <v>6.4575155250632399E-2</v>
      </c>
      <c r="CS1287" s="179">
        <f t="shared" si="2330"/>
        <v>0.85150049999999999</v>
      </c>
      <c r="CT1287" s="180">
        <f t="shared" si="2331"/>
        <v>0.92303077153834634</v>
      </c>
      <c r="CU1287" s="180">
        <f t="shared" si="2332"/>
        <v>0.52502249887505614</v>
      </c>
      <c r="CV1287" s="180">
        <f t="shared" si="2333"/>
        <v>0.88499666072084604</v>
      </c>
      <c r="CW1287" s="180">
        <f t="shared" si="2334"/>
        <v>0.42887993290280618</v>
      </c>
      <c r="CX1287" s="181">
        <f>INDEX('State Tax Lookup'!$D$7:$Z$91,MATCH(Calculation!$C1287,'State Tax Lookup'!$B$7:$B$91,0),MATCH($H1287,'State Tax Lookup'!$D$6:$Z$6,0))</f>
        <v>0.40134999999999998</v>
      </c>
      <c r="CY1287" s="72">
        <v>0.37</v>
      </c>
      <c r="CZ1287" s="70">
        <f t="shared" si="2336"/>
        <v>17.439121603644853</v>
      </c>
      <c r="DA1287" s="70">
        <v>16.108943221861779</v>
      </c>
      <c r="DB1287" s="69">
        <f t="shared" si="2339"/>
        <v>7.1555199783613341E-2</v>
      </c>
      <c r="DC1287" s="111">
        <f>VLOOKUP($H1287,RoR!$E:$F,2,FALSE)</f>
        <v>5.5558333333333321E-2</v>
      </c>
      <c r="DD1287" s="216">
        <f>HLOOKUP($H1287,'GDP-PI'!$D$8:$CQ$11,3,FALSE)</f>
        <v>2.691120634145272E-2</v>
      </c>
      <c r="DE1287" s="111">
        <f>VLOOKUP(H1287,'HW Dx Data'!$E:$F,2,FALSE)</f>
        <v>498.0223154772637</v>
      </c>
      <c r="DF1287" s="72">
        <f t="shared" si="2350"/>
        <v>104.52499999999999</v>
      </c>
      <c r="DG1287" s="69">
        <f t="shared" si="2351"/>
        <v>-4.5584612745252218E-2</v>
      </c>
      <c r="DH1287" s="66">
        <f>HLOOKUP(H1287,'GDP-PI'!$8:$9,2,FALSE)</f>
        <v>92.498000000000005</v>
      </c>
      <c r="DI1287" s="69">
        <f t="shared" si="2340"/>
        <v>2.6555467950038037E-2</v>
      </c>
    </row>
    <row r="1288" spans="1:113" s="160" customFormat="1" ht="21">
      <c r="A1288" s="160" t="s">
        <v>236</v>
      </c>
      <c r="B1288" s="160" t="s">
        <v>236</v>
      </c>
      <c r="C1288" s="160">
        <v>4008752</v>
      </c>
      <c r="D1288" s="161" t="s">
        <v>192</v>
      </c>
      <c r="E1288" s="161"/>
      <c r="F1288" s="189"/>
      <c r="G1288" s="160" t="s">
        <v>120</v>
      </c>
      <c r="H1288" s="162">
        <v>2008</v>
      </c>
      <c r="I1288" s="163"/>
      <c r="J1288" s="159">
        <f>IFERROR(INDEX('Labor Expenditures'!$F$7:$X$91,MATCH($C1288,'Labor Expenditures'!$D$7:$D$91,0),MATCH($G1288,'Labor Expenditures'!$F$5:$X$5,0)),"NA")</f>
        <v>31767.599234353911</v>
      </c>
      <c r="K1288" s="159">
        <f t="shared" si="2341"/>
        <v>294.41704573080546</v>
      </c>
      <c r="L1288" s="165">
        <f t="shared" si="2348"/>
        <v>2.8234349331569483E-2</v>
      </c>
      <c r="M1288" s="76">
        <f t="shared" si="2352"/>
        <v>4.1310992446493401E-4</v>
      </c>
      <c r="N1288" s="62">
        <f t="shared" si="2358"/>
        <v>113.95476664860217</v>
      </c>
      <c r="O1288" s="96">
        <f t="shared" si="2353"/>
        <v>-5.1001790037299918E-2</v>
      </c>
      <c r="P1288" s="96"/>
      <c r="Q1288" s="159">
        <f>IFERROR(INDEX('Non-Labor Expenditures'!$F$7:$AB$91,MATCH($C1288,'Non-Labor Expenditures'!$D$7:$D$91,0),MATCH($G1288,'Non-Labor Expenditures'!$F$5:$AB$5,0)),"NA")</f>
        <v>46005.417060435502</v>
      </c>
      <c r="R1288" s="159">
        <f t="shared" si="2342"/>
        <v>488.04864063094612</v>
      </c>
      <c r="S1288" s="165">
        <f t="shared" si="2354"/>
        <v>4.1100610604997721E-2</v>
      </c>
      <c r="T1288" s="165">
        <f t="shared" si="2355"/>
        <v>6.0136218983125567E-4</v>
      </c>
      <c r="U1288" s="165"/>
      <c r="V1288" s="165"/>
      <c r="W1288" s="159">
        <f t="shared" si="2324"/>
        <v>53749.001261102414</v>
      </c>
      <c r="X1288" s="163"/>
      <c r="Y1288" s="167">
        <v>2845.2070885667945</v>
      </c>
      <c r="Z1288" s="168">
        <v>4.7658021576442194E-2</v>
      </c>
      <c r="AA1288" s="76">
        <f t="shared" si="2343"/>
        <v>6.9730672601612316E-4</v>
      </c>
      <c r="AB1288" s="168"/>
      <c r="AC1288" s="168"/>
      <c r="AD1288" s="163">
        <f t="shared" si="2248"/>
        <v>131522.01755589183</v>
      </c>
      <c r="AE1288" s="168">
        <f t="shared" si="2356"/>
        <v>9.9929276529641786E-2</v>
      </c>
      <c r="AF1288" s="163"/>
      <c r="AG1288" s="163"/>
      <c r="AH1288" s="163"/>
      <c r="AI1288" s="163"/>
      <c r="AJ1288" s="116">
        <f t="shared" si="2357"/>
        <v>222.20385531948381</v>
      </c>
      <c r="AK1288" s="114">
        <f>+AV1288/$AX$13</f>
        <v>1.6847645450336183E-2</v>
      </c>
      <c r="AL1288" s="115">
        <f t="shared" si="2344"/>
        <v>0.24153825971270473</v>
      </c>
      <c r="AM1288" s="115">
        <f t="shared" si="2345"/>
        <v>0.34979251318802923</v>
      </c>
      <c r="AN1288" s="115">
        <f t="shared" si="2346"/>
        <v>0.40866922709926606</v>
      </c>
      <c r="AO1288" s="115">
        <f t="shared" si="2349"/>
        <v>4.0530494843859025E-2</v>
      </c>
      <c r="AP1288" s="166">
        <f t="shared" ref="AP1288:AP1301" si="2360">+AP1287*EXP(AO1288)</f>
        <v>96.08537854121812</v>
      </c>
      <c r="AQ1288" s="168">
        <f t="shared" ref="AQ1288:AQ1301" si="2361">LN(AP1288/AP1287)</f>
        <v>4.053049484385892E-2</v>
      </c>
      <c r="AR1288" s="169">
        <f>+AD1288/$AF$13</f>
        <v>1.4631466077492574E-2</v>
      </c>
      <c r="AS1288" s="169">
        <f t="shared" si="2359"/>
        <v>5.9302056041190946E-4</v>
      </c>
      <c r="AT1288" s="115"/>
      <c r="AU1288" s="115"/>
      <c r="AV1288" s="113">
        <f>IFERROR(INDEX('Total Customers'!$F$7:$AB$91,MATCH($C1288,'Total Customers'!$D$7:$D$91,0),MATCH($G1288,'Total Customers'!$F$5:$AB$5,0)),"NA")</f>
        <v>591898</v>
      </c>
      <c r="AW1288" s="68">
        <f t="shared" si="2347"/>
        <v>6.1550961842298142E-3</v>
      </c>
      <c r="AX1288" s="114"/>
      <c r="AY1288" s="114"/>
      <c r="AZ1288" s="116"/>
      <c r="BA1288" s="116"/>
      <c r="BB1288" s="166"/>
      <c r="BC1288" s="166"/>
      <c r="BD1288" s="166"/>
      <c r="BE1288" s="166"/>
      <c r="BF1288" s="166"/>
      <c r="BG1288" s="166"/>
      <c r="BH1288" s="166"/>
      <c r="BI1288" s="113"/>
      <c r="BJ1288" s="113"/>
      <c r="BK1288" s="113">
        <f>INDEX('Dist. Plant Gas Additions'!$F$7:$AE$91,MATCH($C1288,'Dist. Plant Gas Additions'!$D$7:$D$91,0),MATCH(Calculation!$G1288,'Dist. Plant Gas Additions'!$F$5:$AE$5,0))</f>
        <v>67590</v>
      </c>
      <c r="BL1288" s="113">
        <f>INDEX('Gen. Plant Additions'!$F$7:$AE$91,MATCH($C1288,'Gen. Plant Additions'!$D$7:$D$91,0),MATCH(Calculation!$G1288,'Gen. Plant Additions'!$F$5:$AE$5,0))</f>
        <v>17959</v>
      </c>
      <c r="BM1288" s="231">
        <f t="shared" si="2325"/>
        <v>0.91395613412597942</v>
      </c>
      <c r="BN1288" s="61">
        <f t="shared" si="2319"/>
        <v>16413.738212768465</v>
      </c>
      <c r="BO1288" s="113">
        <f>INDEX('Dist Plant Depreciation'!$E$7:$AD$94,MATCH($C1288,'Dist Plant Depreciation'!$D$7:$D$94,0),MATCH(Calculation!$G1288,'Dist Plant Depreciation'!$E$5:$AD$5,0))</f>
        <v>635599</v>
      </c>
      <c r="BP1288" s="113">
        <f>INDEX('Gen. Plant Depreciation'!$E$7:$AD$94,MATCH($C1288,'Gen. Plant Depreciation'!$D$7:$D$94,0),MATCH(Calculation!$G1288,'Gen. Plant Depreciation'!$E$5:$AD$5,0))</f>
        <v>37032</v>
      </c>
      <c r="BQ1288" s="113"/>
      <c r="BR1288" s="113"/>
      <c r="BS1288" s="113"/>
      <c r="BT1288" s="113"/>
      <c r="BU1288" s="113"/>
      <c r="BV1288" s="175"/>
      <c r="BW1288" s="113">
        <f>INDEX('Gross Dx Plant'!$E$7:$AD$91,MATCH($C1288,'Gross Dx Plant'!$D$7:$D$91,0),MATCH(Calculation!$G1288,'Gross Dx Plant'!$E$5:$AD$5,0))</f>
        <v>1054805</v>
      </c>
      <c r="BX1288" s="113">
        <f>INDEX('Gross Gen Plant'!$E$7:$AD$91,MATCH($C1288,'Gross Gen Plant'!$D$7:$D$91,0),MATCH(Calculation!$G1288,'Gross Gen Plant'!$E$5:$AD$5,0))</f>
        <v>99304</v>
      </c>
      <c r="BY1288" s="113">
        <f t="shared" si="2318"/>
        <v>481478</v>
      </c>
      <c r="BZ1288" s="113"/>
      <c r="CA1288" s="116">
        <v>2008</v>
      </c>
      <c r="CB1288" s="113"/>
      <c r="CC1288" s="113"/>
      <c r="CD1288" s="113"/>
      <c r="CE1288" s="175"/>
      <c r="CF1288" s="113">
        <f t="shared" si="2326"/>
        <v>85549</v>
      </c>
      <c r="CG1288" s="113">
        <f t="shared" si="2327"/>
        <v>150.11725162952618</v>
      </c>
      <c r="CH1288" s="178">
        <v>0.94252873563218387</v>
      </c>
      <c r="CI1288" s="61">
        <f>+CI1278*CH1288+CG1279*CH1287+CG1280*CH1286+CG1281*CH1285+CG1282*CH1284+CG1283*CH1283+CG1284*CH1282+CG1285*CH1281+CG1286*CH1280+CG1287*CH1279+CG1288</f>
        <v>2845.2070885667945</v>
      </c>
      <c r="CJ1288" s="114">
        <f t="shared" si="2328"/>
        <v>4.7658021576442194E-2</v>
      </c>
      <c r="CK1288" s="114"/>
      <c r="CL1288" s="169">
        <f t="shared" si="2329"/>
        <v>6.5249149229228637E-3</v>
      </c>
      <c r="CM1288" s="169">
        <f t="shared" si="2337"/>
        <v>6.3376203159860771E-3</v>
      </c>
      <c r="CN1288" s="114">
        <f>VLOOKUP($H1288,RoR!$E:$F,2,FALSE)</f>
        <v>5.6316666666666668E-2</v>
      </c>
      <c r="CO1288" s="169">
        <v>1.9092304698479889E-2</v>
      </c>
      <c r="CP1288" s="169">
        <f t="shared" si="2335"/>
        <v>3.7224361968186778E-2</v>
      </c>
      <c r="CQ1288" s="169">
        <f t="shared" si="2338"/>
        <v>2.4564321292547549E-2</v>
      </c>
      <c r="CR1288" s="169">
        <v>6.9030581091053131E-2</v>
      </c>
      <c r="CS1288" s="179">
        <f t="shared" si="2330"/>
        <v>0.85150049999999999</v>
      </c>
      <c r="CT1288" s="180">
        <f t="shared" si="2331"/>
        <v>0.91060168006009956</v>
      </c>
      <c r="CU1288" s="180">
        <f t="shared" si="2332"/>
        <v>0.53108168097070152</v>
      </c>
      <c r="CV1288" s="180">
        <f t="shared" si="2333"/>
        <v>0.88825329850328805</v>
      </c>
      <c r="CW1288" s="180">
        <f t="shared" si="2334"/>
        <v>0.4295627335323573</v>
      </c>
      <c r="CX1288" s="181">
        <f>INDEX('State Tax Lookup'!$D$7:$Z$91,MATCH(Calculation!$C1288,'State Tax Lookup'!$B$7:$B$91,0),MATCH($H1288,'State Tax Lookup'!$D$6:$Z$6,0))</f>
        <v>0.40134999999999998</v>
      </c>
      <c r="CY1288" s="72">
        <v>0.37</v>
      </c>
      <c r="CZ1288" s="70">
        <f t="shared" si="2336"/>
        <v>19.813177605004846</v>
      </c>
      <c r="DA1288" s="70">
        <v>18.300102035478151</v>
      </c>
      <c r="DB1288" s="69">
        <f t="shared" si="2339"/>
        <v>0.12763120148728538</v>
      </c>
      <c r="DC1288" s="111">
        <f>VLOOKUP($H1288,RoR!$E:$F,2,FALSE)</f>
        <v>5.6316666666666668E-2</v>
      </c>
      <c r="DD1288" s="216">
        <f>HLOOKUP($H1288,'GDP-PI'!$D$8:$CQ$11,3,FALSE)</f>
        <v>1.9092304698479889E-2</v>
      </c>
      <c r="DE1288" s="111">
        <f>VLOOKUP(H1288,'HW Dx Data'!$E:$F,2,FALSE)</f>
        <v>569.88120333515076</v>
      </c>
      <c r="DF1288" s="72">
        <f t="shared" si="2350"/>
        <v>107.9</v>
      </c>
      <c r="DG1288" s="69">
        <f t="shared" si="2351"/>
        <v>3.1778595021460486E-2</v>
      </c>
      <c r="DH1288" s="66">
        <f>HLOOKUP(H1288,'GDP-PI'!$8:$9,2,FALSE)</f>
        <v>94.263999999999996</v>
      </c>
      <c r="DI1288" s="69">
        <f t="shared" si="2340"/>
        <v>1.8912333748032254E-2</v>
      </c>
    </row>
    <row r="1289" spans="1:113" s="160" customFormat="1" ht="21">
      <c r="A1289" s="160" t="s">
        <v>236</v>
      </c>
      <c r="B1289" s="160" t="s">
        <v>236</v>
      </c>
      <c r="C1289" s="160">
        <v>4008752</v>
      </c>
      <c r="D1289" s="161" t="s">
        <v>192</v>
      </c>
      <c r="E1289" s="161"/>
      <c r="F1289" s="189"/>
      <c r="G1289" s="160" t="s">
        <v>125</v>
      </c>
      <c r="H1289" s="162">
        <v>2009</v>
      </c>
      <c r="I1289" s="163"/>
      <c r="J1289" s="159">
        <f>IFERROR(INDEX('Labor Expenditures'!$F$7:$X$91,MATCH($C1289,'Labor Expenditures'!$D$7:$D$91,0),MATCH($G1289,'Labor Expenditures'!$F$5:$X$5,0)),"NA")</f>
        <v>31038.397949798102</v>
      </c>
      <c r="K1289" s="159">
        <f t="shared" si="2341"/>
        <v>279.81427045118869</v>
      </c>
      <c r="L1289" s="165">
        <f t="shared" si="2348"/>
        <v>-5.0871221821277748E-2</v>
      </c>
      <c r="M1289" s="76">
        <f t="shared" si="2352"/>
        <v>-7.0589482028844501E-4</v>
      </c>
      <c r="N1289" s="62">
        <f t="shared" si="2358"/>
        <v>116.86230887522885</v>
      </c>
      <c r="O1289" s="96">
        <f t="shared" si="2353"/>
        <v>2.5194808678231508E-2</v>
      </c>
      <c r="P1289" s="96"/>
      <c r="Q1289" s="159">
        <f>IFERROR(INDEX('Non-Labor Expenditures'!$F$7:$AB$91,MATCH($C1289,'Non-Labor Expenditures'!$D$7:$D$91,0),MATCH($G1289,'Non-Labor Expenditures'!$F$5:$AB$5,0)),"NA")</f>
        <v>44949.397404385541</v>
      </c>
      <c r="R1289" s="159">
        <f t="shared" si="2342"/>
        <v>473.15653222018699</v>
      </c>
      <c r="S1289" s="165">
        <f t="shared" si="2354"/>
        <v>-3.0988805638703515E-2</v>
      </c>
      <c r="T1289" s="165">
        <f t="shared" si="2355"/>
        <v>-4.3000416746697144E-4</v>
      </c>
      <c r="U1289" s="165"/>
      <c r="V1289" s="165"/>
      <c r="W1289" s="159">
        <f t="shared" si="2324"/>
        <v>54109.569976585619</v>
      </c>
      <c r="X1289" s="163"/>
      <c r="Y1289" s="167">
        <v>2940.2807962120664</v>
      </c>
      <c r="Z1289" s="168">
        <v>3.2869230418971343E-2</v>
      </c>
      <c r="AA1289" s="76">
        <f t="shared" si="2343"/>
        <v>4.5609715412643273E-4</v>
      </c>
      <c r="AB1289" s="168"/>
      <c r="AC1289" s="168"/>
      <c r="AD1289" s="163">
        <f t="shared" si="2248"/>
        <v>130097.36533076927</v>
      </c>
      <c r="AE1289" s="168">
        <f t="shared" si="2356"/>
        <v>-1.0891137282650877E-2</v>
      </c>
      <c r="AF1289" s="163"/>
      <c r="AG1289" s="163"/>
      <c r="AH1289" s="163"/>
      <c r="AI1289" s="163"/>
      <c r="AJ1289" s="116">
        <f t="shared" si="2357"/>
        <v>218.76059830094613</v>
      </c>
      <c r="AK1289" s="114">
        <f>+AV1289/$AX$14</f>
        <v>1.6905879172407833E-2</v>
      </c>
      <c r="AL1289" s="115">
        <f t="shared" si="2344"/>
        <v>0.23857822078782115</v>
      </c>
      <c r="AM1289" s="115">
        <f t="shared" si="2345"/>
        <v>0.34550582396578772</v>
      </c>
      <c r="AN1289" s="115">
        <f t="shared" si="2346"/>
        <v>0.41591595524639102</v>
      </c>
      <c r="AO1289" s="115">
        <f t="shared" si="2349"/>
        <v>-9.4335483259889528E-3</v>
      </c>
      <c r="AP1289" s="166">
        <f t="shared" si="2360"/>
        <v>95.183214473918341</v>
      </c>
      <c r="AQ1289" s="168">
        <f t="shared" si="2361"/>
        <v>-9.4335483259889857E-3</v>
      </c>
      <c r="AR1289" s="169">
        <f>+AD1289/$AF$14</f>
        <v>1.3876112957703574E-2</v>
      </c>
      <c r="AS1289" s="169">
        <f t="shared" si="2359"/>
        <v>-1.3090098216337863E-4</v>
      </c>
      <c r="AT1289" s="115"/>
      <c r="AU1289" s="115"/>
      <c r="AV1289" s="113">
        <f>IFERROR(INDEX('Total Customers'!$F$7:$AB$91,MATCH($C1289,'Total Customers'!$D$7:$D$91,0),MATCH($G1289,'Total Customers'!$F$5:$AB$5,0)),"NA")</f>
        <v>594702</v>
      </c>
      <c r="AW1289" s="68">
        <f t="shared" si="2347"/>
        <v>4.7261170052574622E-3</v>
      </c>
      <c r="AX1289" s="114"/>
      <c r="AY1289" s="114"/>
      <c r="AZ1289" s="116"/>
      <c r="BA1289" s="116"/>
      <c r="BB1289" s="166"/>
      <c r="BC1289" s="166"/>
      <c r="BD1289" s="166"/>
      <c r="BE1289" s="166"/>
      <c r="BF1289" s="166"/>
      <c r="BG1289" s="166"/>
      <c r="BH1289" s="166"/>
      <c r="BI1289" s="113"/>
      <c r="BJ1289" s="113"/>
      <c r="BK1289" s="113">
        <f>INDEX('Dist. Plant Gas Additions'!$F$7:$AE$91,MATCH($C1289,'Dist. Plant Gas Additions'!$D$7:$D$91,0),MATCH(Calculation!$G1289,'Dist. Plant Gas Additions'!$F$5:$AE$5,0))</f>
        <v>56538</v>
      </c>
      <c r="BL1289" s="113">
        <f>INDEX('Gen. Plant Additions'!$F$7:$AE$91,MATCH($C1289,'Gen. Plant Additions'!$D$7:$D$91,0),MATCH(Calculation!$G1289,'Gen. Plant Additions'!$F$5:$AE$5,0))</f>
        <v>6339</v>
      </c>
      <c r="BM1289" s="231">
        <f t="shared" si="2325"/>
        <v>0.91432399468383041</v>
      </c>
      <c r="BN1289" s="61">
        <f t="shared" si="2319"/>
        <v>5795.8998023008007</v>
      </c>
      <c r="BO1289" s="113">
        <f>INDEX('Dist Plant Depreciation'!$E$7:$AD$94,MATCH($C1289,'Dist Plant Depreciation'!$D$7:$D$94,0),MATCH(Calculation!$G1289,'Dist Plant Depreciation'!$E$5:$AD$5,0))</f>
        <v>664392</v>
      </c>
      <c r="BP1289" s="113">
        <f>INDEX('Gen. Plant Depreciation'!$E$7:$AD$94,MATCH($C1289,'Gen. Plant Depreciation'!$D$7:$D$94,0),MATCH(Calculation!$G1289,'Gen. Plant Depreciation'!$E$5:$AD$5,0))</f>
        <v>42450</v>
      </c>
      <c r="BQ1289" s="113"/>
      <c r="BR1289" s="113"/>
      <c r="BS1289" s="113"/>
      <c r="BT1289" s="113"/>
      <c r="BU1289" s="113"/>
      <c r="BV1289" s="175"/>
      <c r="BW1289" s="113">
        <f>INDEX('Gross Dx Plant'!$E$7:$AD$91,MATCH($C1289,'Gross Dx Plant'!$D$7:$D$91,0),MATCH(Calculation!$G1289,'Gross Dx Plant'!$E$5:$AD$5,0))</f>
        <v>1103483</v>
      </c>
      <c r="BX1289" s="113">
        <f>INDEX('Gross Gen Plant'!$E$7:$AD$91,MATCH($C1289,'Gross Gen Plant'!$D$7:$D$91,0),MATCH(Calculation!$G1289,'Gross Gen Plant'!$E$5:$AD$5,0))</f>
        <v>103401</v>
      </c>
      <c r="BY1289" s="113">
        <f t="shared" si="2318"/>
        <v>500042</v>
      </c>
      <c r="BZ1289" s="113"/>
      <c r="CA1289" s="116">
        <v>2009</v>
      </c>
      <c r="CB1289" s="113"/>
      <c r="CC1289" s="113"/>
      <c r="CD1289" s="113"/>
      <c r="CE1289" s="175"/>
      <c r="CF1289" s="113">
        <f t="shared" si="2326"/>
        <v>62877</v>
      </c>
      <c r="CG1289" s="113">
        <f t="shared" si="2327"/>
        <v>114.12663325318644</v>
      </c>
      <c r="CH1289" s="178">
        <v>0.93567251461988299</v>
      </c>
      <c r="CI1289" s="61">
        <f>+CI1278*CH1289+CG1279*CH1288+CG1280*CH1287+CG1281*CH1286+CG1282*CH1285+CG1283*CH1284+CG1284*CH1283+CG1285*CH1282+CG1286*CH1281+CG1287*CH1280+CG1288*CH1279+CG1289</f>
        <v>2940.2807962120664</v>
      </c>
      <c r="CJ1289" s="114">
        <f t="shared" si="2328"/>
        <v>3.2869230418971343E-2</v>
      </c>
      <c r="CK1289" s="114"/>
      <c r="CL1289" s="169">
        <f t="shared" si="2329"/>
        <v>6.6964987133895926E-3</v>
      </c>
      <c r="CM1289" s="169">
        <f t="shared" si="2337"/>
        <v>6.5177544396435539E-3</v>
      </c>
      <c r="CN1289" s="114">
        <f>VLOOKUP($H1289,RoR!$E:$F,2,FALSE)</f>
        <v>5.3133333333333324E-2</v>
      </c>
      <c r="CO1289" s="169">
        <v>7.7972502758210105E-3</v>
      </c>
      <c r="CP1289" s="169">
        <f t="shared" si="2335"/>
        <v>4.5336083057512314E-2</v>
      </c>
      <c r="CQ1289" s="169">
        <f t="shared" si="2338"/>
        <v>2.438418716889007E-2</v>
      </c>
      <c r="CR1289" s="169">
        <v>6.3720160300892073E-2</v>
      </c>
      <c r="CS1289" s="179">
        <f t="shared" si="2330"/>
        <v>0.85150049999999999</v>
      </c>
      <c r="CT1289" s="180">
        <f t="shared" si="2331"/>
        <v>0.96515780330083989</v>
      </c>
      <c r="CU1289" s="180">
        <f t="shared" si="2332"/>
        <v>0.50448557089084056</v>
      </c>
      <c r="CV1289" s="180">
        <f t="shared" si="2333"/>
        <v>0.87391435735465484</v>
      </c>
      <c r="CW1289" s="180">
        <f t="shared" si="2334"/>
        <v>0.42551605393279146</v>
      </c>
      <c r="CX1289" s="181">
        <f>INDEX('State Tax Lookup'!$D$7:$Z$91,MATCH(Calculation!$C1289,'State Tax Lookup'!$B$7:$B$91,0),MATCH($H1289,'State Tax Lookup'!$D$6:$Z$6,0))</f>
        <v>0.40134999999999998</v>
      </c>
      <c r="CY1289" s="72">
        <v>0.37</v>
      </c>
      <c r="CZ1289" s="70">
        <f t="shared" si="2336"/>
        <v>19.017796698883537</v>
      </c>
      <c r="DA1289" s="70">
        <v>17.478615056163342</v>
      </c>
      <c r="DB1289" s="69">
        <f t="shared" si="2339"/>
        <v>-4.0972042807530765E-2</v>
      </c>
      <c r="DC1289" s="111">
        <f>VLOOKUP($H1289,RoR!$E:$F,2,FALSE)</f>
        <v>5.3133333333333324E-2</v>
      </c>
      <c r="DD1289" s="216">
        <f>HLOOKUP($H1289,'GDP-PI'!$D$8:$CQ$11,3,FALSE)</f>
        <v>7.7972502758210105E-3</v>
      </c>
      <c r="DE1289" s="111">
        <f>VLOOKUP(H1289,'HW Dx Data'!$E:$F,2,FALSE)</f>
        <v>550.94063679692806</v>
      </c>
      <c r="DF1289" s="72">
        <f t="shared" si="2350"/>
        <v>110.925</v>
      </c>
      <c r="DG1289" s="69">
        <f t="shared" si="2351"/>
        <v>2.7649425000884052E-2</v>
      </c>
      <c r="DH1289" s="66">
        <f>HLOOKUP(H1289,'GDP-PI'!$8:$9,2,FALSE)</f>
        <v>94.998999999999995</v>
      </c>
      <c r="DI1289" s="69">
        <f t="shared" si="2340"/>
        <v>7.7670088183096342E-3</v>
      </c>
    </row>
    <row r="1290" spans="1:113" s="160" customFormat="1" ht="21">
      <c r="A1290" s="160" t="s">
        <v>236</v>
      </c>
      <c r="B1290" s="160" t="s">
        <v>236</v>
      </c>
      <c r="C1290" s="160">
        <v>4008752</v>
      </c>
      <c r="D1290" s="161" t="s">
        <v>192</v>
      </c>
      <c r="E1290" s="161"/>
      <c r="F1290" s="189"/>
      <c r="G1290" s="160" t="s">
        <v>126</v>
      </c>
      <c r="H1290" s="162">
        <v>2010</v>
      </c>
      <c r="I1290" s="163"/>
      <c r="J1290" s="159">
        <f>IFERROR(INDEX('Labor Expenditures'!$F$7:$X$91,MATCH($C1290,'Labor Expenditures'!$D$7:$D$91,0),MATCH($G1290,'Labor Expenditures'!$F$5:$X$5,0)),"NA")</f>
        <v>30655.385987143243</v>
      </c>
      <c r="K1290" s="159">
        <f t="shared" si="2341"/>
        <v>262.17991008888811</v>
      </c>
      <c r="L1290" s="165">
        <f t="shared" si="2348"/>
        <v>-6.5095115425115771E-2</v>
      </c>
      <c r="M1290" s="76">
        <f t="shared" si="2352"/>
        <v>-8.8703513213062913E-4</v>
      </c>
      <c r="N1290" s="62">
        <f t="shared" si="2358"/>
        <v>98.179197876917087</v>
      </c>
      <c r="O1290" s="96">
        <f t="shared" si="2353"/>
        <v>-0.17420203587592406</v>
      </c>
      <c r="P1290" s="96"/>
      <c r="Q1290" s="159">
        <f>IFERROR(INDEX('Non-Labor Expenditures'!$F$7:$AB$91,MATCH($C1290,'Non-Labor Expenditures'!$D$7:$D$91,0),MATCH($G1290,'Non-Labor Expenditures'!$F$5:$AB$5,0)),"NA")</f>
        <v>44394.724545694429</v>
      </c>
      <c r="R1290" s="159">
        <f t="shared" si="2342"/>
        <v>461.92057503141672</v>
      </c>
      <c r="S1290" s="165">
        <f t="shared" si="2354"/>
        <v>-2.4033307885289287E-2</v>
      </c>
      <c r="T1290" s="165">
        <f t="shared" si="2355"/>
        <v>-3.2749597717647425E-4</v>
      </c>
      <c r="U1290" s="165"/>
      <c r="V1290" s="165"/>
      <c r="W1290" s="159">
        <f t="shared" si="2324"/>
        <v>57375.654464707302</v>
      </c>
      <c r="X1290" s="163"/>
      <c r="Y1290" s="167">
        <v>3043.3840919552608</v>
      </c>
      <c r="Z1290" s="168">
        <v>3.4464998721247052E-2</v>
      </c>
      <c r="AA1290" s="76">
        <f t="shared" si="2343"/>
        <v>4.6964606322501149E-4</v>
      </c>
      <c r="AB1290" s="168"/>
      <c r="AC1290" s="168"/>
      <c r="AD1290" s="163">
        <f t="shared" si="2248"/>
        <v>132425.76499754499</v>
      </c>
      <c r="AE1290" s="168">
        <f t="shared" si="2356"/>
        <v>1.7739090045400325E-2</v>
      </c>
      <c r="AF1290" s="163"/>
      <c r="AG1290" s="163"/>
      <c r="AH1290" s="163"/>
      <c r="AI1290" s="163"/>
      <c r="AJ1290" s="116">
        <f t="shared" si="2357"/>
        <v>221.69764081514111</v>
      </c>
      <c r="AK1290" s="114">
        <f>+AV1290/$AX$15</f>
        <v>1.6887565711766764E-2</v>
      </c>
      <c r="AL1290" s="115">
        <f t="shared" si="2344"/>
        <v>0.23149109984534774</v>
      </c>
      <c r="AM1290" s="115">
        <f t="shared" si="2345"/>
        <v>0.33524234914948353</v>
      </c>
      <c r="AN1290" s="115">
        <f t="shared" si="2346"/>
        <v>0.43326655100516864</v>
      </c>
      <c r="AO1290" s="115">
        <f t="shared" si="2349"/>
        <v>-8.8463865645920202E-3</v>
      </c>
      <c r="AP1290" s="166">
        <f t="shared" si="2360"/>
        <v>94.344900456249519</v>
      </c>
      <c r="AQ1290" s="168">
        <f t="shared" si="2361"/>
        <v>-8.8463865645920479E-3</v>
      </c>
      <c r="AR1290" s="169">
        <f>+AD1290/$AF$15</f>
        <v>1.3626754117228013E-2</v>
      </c>
      <c r="AS1290" s="169">
        <f t="shared" si="2359"/>
        <v>-1.2054753454164526E-4</v>
      </c>
      <c r="AT1290" s="115"/>
      <c r="AU1290" s="115"/>
      <c r="AV1290" s="113">
        <f>IFERROR(INDEX('Total Customers'!$F$7:$AB$91,MATCH($C1290,'Total Customers'!$D$7:$D$91,0),MATCH($G1290,'Total Customers'!$F$5:$AB$5,0)),"NA")</f>
        <v>597326</v>
      </c>
      <c r="AW1290" s="68">
        <f t="shared" si="2347"/>
        <v>4.4025882586102415E-3</v>
      </c>
      <c r="AX1290" s="114"/>
      <c r="AY1290" s="114"/>
      <c r="AZ1290" s="116"/>
      <c r="BA1290" s="116"/>
      <c r="BB1290" s="166"/>
      <c r="BC1290" s="166"/>
      <c r="BD1290" s="166"/>
      <c r="BE1290" s="166"/>
      <c r="BF1290" s="166"/>
      <c r="BG1290" s="166"/>
      <c r="BH1290" s="166"/>
      <c r="BI1290" s="113"/>
      <c r="BJ1290" s="113"/>
      <c r="BK1290" s="113">
        <f>INDEX('Dist. Plant Gas Additions'!$F$7:$AE$91,MATCH($C1290,'Dist. Plant Gas Additions'!$D$7:$D$91,0),MATCH(Calculation!$G1290,'Dist. Plant Gas Additions'!$F$5:$AE$5,0))</f>
        <v>65517</v>
      </c>
      <c r="BL1290" s="113">
        <f>INDEX('Gen. Plant Additions'!$F$7:$AE$91,MATCH($C1290,'Gen. Plant Additions'!$D$7:$D$91,0),MATCH(Calculation!$G1290,'Gen. Plant Additions'!$F$5:$AE$5,0))</f>
        <v>4687</v>
      </c>
      <c r="BM1290" s="231">
        <f t="shared" si="2325"/>
        <v>0.91680637597100278</v>
      </c>
      <c r="BN1290" s="61">
        <f t="shared" si="2319"/>
        <v>4297.0714841760901</v>
      </c>
      <c r="BO1290" s="113">
        <f>INDEX('Dist Plant Depreciation'!$E$7:$AD$94,MATCH($C1290,'Dist Plant Depreciation'!$D$7:$D$94,0),MATCH(Calculation!$G1290,'Dist Plant Depreciation'!$E$5:$AD$5,0))</f>
        <v>681627</v>
      </c>
      <c r="BP1290" s="113">
        <f>INDEX('Gen. Plant Depreciation'!$E$7:$AD$94,MATCH($C1290,'Gen. Plant Depreciation'!$D$7:$D$94,0),MATCH(Calculation!$G1290,'Gen. Plant Depreciation'!$E$5:$AD$5,0))</f>
        <v>44692</v>
      </c>
      <c r="BQ1290" s="113"/>
      <c r="BR1290" s="113"/>
      <c r="BS1290" s="113"/>
      <c r="BT1290" s="113"/>
      <c r="BU1290" s="113"/>
      <c r="BV1290" s="175"/>
      <c r="BW1290" s="113">
        <f>INDEX('Gross Dx Plant'!$E$7:$AD$91,MATCH($C1290,'Gross Dx Plant'!$D$7:$D$91,0),MATCH(Calculation!$G1290,'Gross Dx Plant'!$E$5:$AD$5,0))</f>
        <v>1157689</v>
      </c>
      <c r="BX1290" s="113">
        <f>INDEX('Gross Gen Plant'!$E$7:$AD$91,MATCH($C1290,'Gross Gen Plant'!$D$7:$D$91,0),MATCH(Calculation!$G1290,'Gross Gen Plant'!$E$5:$AD$5,0))</f>
        <v>105052</v>
      </c>
      <c r="BY1290" s="113">
        <f t="shared" si="2318"/>
        <v>536422</v>
      </c>
      <c r="BZ1290" s="113"/>
      <c r="CA1290" s="116">
        <v>2010</v>
      </c>
      <c r="CB1290" s="113"/>
      <c r="CC1290" s="113"/>
      <c r="CD1290" s="113"/>
      <c r="CE1290" s="175"/>
      <c r="CF1290" s="113">
        <f t="shared" si="2326"/>
        <v>70204</v>
      </c>
      <c r="CG1290" s="113">
        <f t="shared" si="2327"/>
        <v>123.38364710690772</v>
      </c>
      <c r="CH1290" s="178">
        <v>0.9285714285714286</v>
      </c>
      <c r="CI1290" s="61">
        <f>+CI1278*CH1290+CG1279*CH1289+CG1280*CH1288+CG1281*CH1287+CG1282*CH1286+CG1283*CH1285+CG1284*CH1284+CG1285*CH1283+CG1286*CH1282+CG1287*CH1281+CG1288*CH1280+CG1289*CH1279+CG1290</f>
        <v>3043.3840919552608</v>
      </c>
      <c r="CJ1290" s="114">
        <f t="shared" si="2328"/>
        <v>3.4464998721247052E-2</v>
      </c>
      <c r="CK1290" s="114"/>
      <c r="CL1290" s="169">
        <f t="shared" si="2329"/>
        <v>6.8974199300421545E-3</v>
      </c>
      <c r="CM1290" s="169">
        <f t="shared" si="2337"/>
        <v>6.7062778554515369E-3</v>
      </c>
      <c r="CN1290" s="114">
        <f>VLOOKUP($H1290,RoR!$E:$F,2,FALSE)</f>
        <v>4.9433333333333322E-2</v>
      </c>
      <c r="CO1290" s="169">
        <v>1.1684333519300205E-2</v>
      </c>
      <c r="CP1290" s="169">
        <f t="shared" si="2335"/>
        <v>3.7748999814033117E-2</v>
      </c>
      <c r="CQ1290" s="169">
        <f t="shared" si="2338"/>
        <v>2.4195663753082089E-2</v>
      </c>
      <c r="CR1290" s="169">
        <v>4.7937530248493419E-2</v>
      </c>
      <c r="CS1290" s="179">
        <f t="shared" si="2330"/>
        <v>0.85150049999999999</v>
      </c>
      <c r="CT1290" s="180">
        <f t="shared" si="2331"/>
        <v>1.037398205301105</v>
      </c>
      <c r="CU1290" s="180">
        <f t="shared" si="2332"/>
        <v>0.46926837491571133</v>
      </c>
      <c r="CV1290" s="180">
        <f t="shared" si="2333"/>
        <v>0.8548537519972772</v>
      </c>
      <c r="CW1290" s="180">
        <f t="shared" si="2334"/>
        <v>0.41615833911547367</v>
      </c>
      <c r="CX1290" s="181">
        <f>INDEX('State Tax Lookup'!$D$7:$Z$91,MATCH(Calculation!$C1290,'State Tax Lookup'!$B$7:$B$91,0),MATCH($H1290,'State Tax Lookup'!$D$6:$Z$6,0))</f>
        <v>0.40134999999999998</v>
      </c>
      <c r="CY1290" s="72">
        <v>0.37</v>
      </c>
      <c r="CZ1290" s="70">
        <f t="shared" si="2336"/>
        <v>19.513665000507356</v>
      </c>
      <c r="DA1290" s="70">
        <v>17.956102603965455</v>
      </c>
      <c r="DB1290" s="69">
        <f t="shared" si="2339"/>
        <v>2.573978027370637E-2</v>
      </c>
      <c r="DC1290" s="111">
        <f>VLOOKUP($H1290,RoR!$E:$F,2,FALSE)</f>
        <v>4.9433333333333322E-2</v>
      </c>
      <c r="DD1290" s="216">
        <f>HLOOKUP($H1290,'GDP-PI'!$D$8:$CQ$11,3,FALSE)</f>
        <v>1.1684333519300205E-2</v>
      </c>
      <c r="DE1290" s="111">
        <f>VLOOKUP(H1290,'HW Dx Data'!$E:$F,2,FALSE)</f>
        <v>568.98950262971744</v>
      </c>
      <c r="DF1290" s="72">
        <f t="shared" si="2350"/>
        <v>116.925</v>
      </c>
      <c r="DG1290" s="69">
        <f t="shared" si="2351"/>
        <v>5.2678406346976722E-2</v>
      </c>
      <c r="DH1290" s="66">
        <f>HLOOKUP(H1290,'GDP-PI'!$8:$9,2,FALSE)</f>
        <v>96.108999999999995</v>
      </c>
      <c r="DI1290" s="69">
        <f t="shared" si="2340"/>
        <v>1.1616598807150427E-2</v>
      </c>
    </row>
    <row r="1291" spans="1:113" s="160" customFormat="1" ht="21">
      <c r="A1291" s="160" t="s">
        <v>236</v>
      </c>
      <c r="B1291" s="160" t="s">
        <v>236</v>
      </c>
      <c r="C1291" s="160">
        <v>4008752</v>
      </c>
      <c r="D1291" s="161" t="s">
        <v>192</v>
      </c>
      <c r="E1291" s="161"/>
      <c r="F1291" s="189"/>
      <c r="G1291" s="160" t="s">
        <v>127</v>
      </c>
      <c r="H1291" s="162">
        <v>2011</v>
      </c>
      <c r="I1291" s="163"/>
      <c r="J1291" s="159">
        <f>IFERROR(INDEX('Labor Expenditures'!$F$7:$X$91,MATCH($C1291,'Labor Expenditures'!$D$7:$D$91,0),MATCH($G1291,'Labor Expenditures'!$F$5:$X$5,0)),"NA")</f>
        <v>32471.442668192594</v>
      </c>
      <c r="K1291" s="159">
        <f t="shared" si="2341"/>
        <v>268.63654741007315</v>
      </c>
      <c r="L1291" s="165">
        <f t="shared" si="2348"/>
        <v>2.4328393306978204E-2</v>
      </c>
      <c r="M1291" s="76">
        <f t="shared" si="2352"/>
        <v>3.4073291421672636E-4</v>
      </c>
      <c r="N1291" s="62">
        <f t="shared" si="2358"/>
        <v>118.83793441384869</v>
      </c>
      <c r="O1291" s="96">
        <f t="shared" si="2353"/>
        <v>0.19096631053370716</v>
      </c>
      <c r="P1291" s="96"/>
      <c r="Q1291" s="159">
        <f>IFERROR(INDEX('Non-Labor Expenditures'!$F$7:$AB$91,MATCH($C1291,'Non-Labor Expenditures'!$D$7:$D$91,0),MATCH($G1291,'Non-Labor Expenditures'!$F$5:$AB$5,0)),"NA")</f>
        <v>47024.713812453847</v>
      </c>
      <c r="R1291" s="159">
        <f t="shared" si="2342"/>
        <v>479.29625135002698</v>
      </c>
      <c r="S1291" s="165">
        <f t="shared" si="2354"/>
        <v>3.6925924255637517E-2</v>
      </c>
      <c r="T1291" s="165">
        <f t="shared" si="2355"/>
        <v>5.1716846332637036E-4</v>
      </c>
      <c r="U1291" s="165"/>
      <c r="V1291" s="165"/>
      <c r="W1291" s="159">
        <f t="shared" si="2324"/>
        <v>63444.880302342142</v>
      </c>
      <c r="X1291" s="163"/>
      <c r="Y1291" s="167">
        <v>3155.3433737673963</v>
      </c>
      <c r="Z1291" s="168">
        <v>3.6127240435847932E-2</v>
      </c>
      <c r="AA1291" s="76">
        <f t="shared" si="2343"/>
        <v>5.0598244450380419E-4</v>
      </c>
      <c r="AB1291" s="168"/>
      <c r="AC1291" s="168"/>
      <c r="AD1291" s="163">
        <f t="shared" si="2248"/>
        <v>142941.03678298858</v>
      </c>
      <c r="AE1291" s="168">
        <f t="shared" si="2356"/>
        <v>7.6409990789360033E-2</v>
      </c>
      <c r="AF1291" s="163"/>
      <c r="AG1291" s="163"/>
      <c r="AH1291" s="163"/>
      <c r="AI1291" s="163"/>
      <c r="AJ1291" s="116">
        <f t="shared" si="2357"/>
        <v>238.4425062854493</v>
      </c>
      <c r="AK1291" s="114">
        <f>+AV1291/$AX$16</f>
        <v>1.6866631033956237E-2</v>
      </c>
      <c r="AL1291" s="115">
        <f t="shared" si="2344"/>
        <v>0.22716669333726996</v>
      </c>
      <c r="AM1291" s="115">
        <f t="shared" si="2345"/>
        <v>0.32897980083806316</v>
      </c>
      <c r="AN1291" s="115">
        <f t="shared" si="2346"/>
        <v>0.44385350582466687</v>
      </c>
      <c r="AO1291" s="115">
        <f t="shared" si="2349"/>
        <v>3.3686675584705159E-2</v>
      </c>
      <c r="AP1291" s="166">
        <f t="shared" si="2360"/>
        <v>97.577203624876333</v>
      </c>
      <c r="AQ1291" s="168">
        <f t="shared" si="2361"/>
        <v>3.3686675584705145E-2</v>
      </c>
      <c r="AR1291" s="169">
        <f>+AD1291/$AF$16</f>
        <v>1.4005565838948873E-2</v>
      </c>
      <c r="AS1291" s="169">
        <f t="shared" si="2359"/>
        <v>4.7180095279689946E-4</v>
      </c>
      <c r="AT1291" s="115"/>
      <c r="AU1291" s="115"/>
      <c r="AV1291" s="113">
        <f>IFERROR(INDEX('Total Customers'!$F$7:$AB$91,MATCH($C1291,'Total Customers'!$D$7:$D$91,0),MATCH($G1291,'Total Customers'!$F$5:$AB$5,0)),"NA")</f>
        <v>599478</v>
      </c>
      <c r="AW1291" s="68">
        <f t="shared" si="2347"/>
        <v>3.5962485408106868E-3</v>
      </c>
      <c r="AX1291" s="114"/>
      <c r="AY1291" s="114"/>
      <c r="AZ1291" s="116"/>
      <c r="BA1291" s="116"/>
      <c r="BB1291" s="166"/>
      <c r="BC1291" s="166"/>
      <c r="BD1291" s="166"/>
      <c r="BE1291" s="166"/>
      <c r="BF1291" s="166"/>
      <c r="BG1291" s="166"/>
      <c r="BH1291" s="166"/>
      <c r="BI1291" s="113"/>
      <c r="BJ1291" s="113"/>
      <c r="BK1291" s="113">
        <f>INDEX('Dist. Plant Gas Additions'!$F$7:$AE$91,MATCH($C1291,'Dist. Plant Gas Additions'!$D$7:$D$91,0),MATCH(Calculation!$G1291,'Dist. Plant Gas Additions'!$F$5:$AE$5,0))</f>
        <v>77117</v>
      </c>
      <c r="BL1291" s="113">
        <f>INDEX('Gen. Plant Additions'!$F$7:$AE$91,MATCH($C1291,'Gen. Plant Additions'!$D$7:$D$91,0),MATCH(Calculation!$G1291,'Gen. Plant Additions'!$F$5:$AE$5,0))</f>
        <v>4573</v>
      </c>
      <c r="BM1291" s="231">
        <f t="shared" si="2325"/>
        <v>0.91982431040101387</v>
      </c>
      <c r="BN1291" s="61">
        <f>+BM1291*BL1291</f>
        <v>4206.3565714638362</v>
      </c>
      <c r="BO1291" s="113">
        <f>INDEX('Dist Plant Depreciation'!$E$7:$AD$94,MATCH($C1291,'Dist Plant Depreciation'!$D$7:$D$94,0),MATCH(Calculation!$G1291,'Dist Plant Depreciation'!$E$5:$AD$5,0))</f>
        <v>692456</v>
      </c>
      <c r="BP1291" s="113">
        <f>INDEX('Gen. Plant Depreciation'!$E$7:$AD$94,MATCH($C1291,'Gen. Plant Depreciation'!$D$7:$D$94,0),MATCH(Calculation!$G1291,'Gen. Plant Depreciation'!$E$5:$AD$5,0))</f>
        <v>49597</v>
      </c>
      <c r="BQ1291" s="113"/>
      <c r="BR1291" s="113"/>
      <c r="BS1291" s="113"/>
      <c r="BT1291" s="113"/>
      <c r="BU1291" s="113"/>
      <c r="BV1291" s="175"/>
      <c r="BW1291" s="113">
        <f>INDEX('Gross Dx Plant'!$E$7:$AD$91,MATCH($C1291,'Gross Dx Plant'!$D$7:$D$91,0),MATCH(Calculation!$G1291,'Gross Dx Plant'!$E$5:$AD$5,0))</f>
        <v>1222177</v>
      </c>
      <c r="BX1291" s="113">
        <f>INDEX('Gross Gen Plant'!$E$7:$AD$91,MATCH($C1291,'Gross Gen Plant'!$D$7:$D$91,0),MATCH(Calculation!$G1291,'Gross Gen Plant'!$E$5:$AD$5,0))</f>
        <v>106530</v>
      </c>
      <c r="BY1291" s="113">
        <f t="shared" si="2318"/>
        <v>586654</v>
      </c>
      <c r="BZ1291" s="113"/>
      <c r="CA1291" s="116">
        <v>2011</v>
      </c>
      <c r="CB1291" s="113"/>
      <c r="CC1291" s="113"/>
      <c r="CD1291" s="113"/>
      <c r="CE1291" s="175"/>
      <c r="CF1291" s="113">
        <f t="shared" si="2326"/>
        <v>81690</v>
      </c>
      <c r="CG1291" s="113">
        <f t="shared" si="2327"/>
        <v>133.56526805653948</v>
      </c>
      <c r="CH1291" s="178">
        <v>0.92121212121212126</v>
      </c>
      <c r="CI1291" s="61">
        <f>+CI1278*CH1291+CG1279*CH1290+CG1280*CH1289+CG1281*CH1288+CG1282*CH1287+CG1283*CH1286+CG1284*CH1285+CG1285*CH1284+CG1286*CH1283+CG1287*CH1282+CG1288*CH1281+CG1289*CH1280+CG1290*CH1279+CG1291</f>
        <v>3155.3433737673963</v>
      </c>
      <c r="CJ1291" s="114">
        <f t="shared" si="2328"/>
        <v>3.6127240435847932E-2</v>
      </c>
      <c r="CK1291" s="114"/>
      <c r="CL1291" s="169">
        <f t="shared" si="2329"/>
        <v>7.0993294278945095E-3</v>
      </c>
      <c r="CM1291" s="169">
        <f t="shared" si="2337"/>
        <v>6.8977493571087513E-3</v>
      </c>
      <c r="CN1291" s="114">
        <f>VLOOKUP($H1291,RoR!$E:$F,2,FALSE)</f>
        <v>4.6391666666666664E-2</v>
      </c>
      <c r="CO1291" s="169">
        <v>2.0840920205183799E-2</v>
      </c>
      <c r="CP1291" s="169">
        <f t="shared" si="2335"/>
        <v>2.5550746461482865E-2</v>
      </c>
      <c r="CQ1291" s="169">
        <f t="shared" si="2338"/>
        <v>2.4004192251424875E-2</v>
      </c>
      <c r="CR1291" s="169">
        <v>2.4810540821321614E-2</v>
      </c>
      <c r="CS1291" s="179">
        <f t="shared" si="2330"/>
        <v>0.85150049999999999</v>
      </c>
      <c r="CT1291" s="180">
        <f t="shared" si="2331"/>
        <v>1.1054151524782025</v>
      </c>
      <c r="CU1291" s="180">
        <f t="shared" si="2332"/>
        <v>0.43611011316687626</v>
      </c>
      <c r="CV1291" s="180">
        <f t="shared" si="2333"/>
        <v>0.83698442246886229</v>
      </c>
      <c r="CW1291" s="180">
        <f t="shared" si="2334"/>
        <v>0.40349573304423936</v>
      </c>
      <c r="CX1291" s="181">
        <f>INDEX('State Tax Lookup'!$D$7:$Z$91,MATCH(Calculation!$C1291,'State Tax Lookup'!$B$7:$B$91,0),MATCH($H1291,'State Tax Lookup'!$D$6:$Z$6,0))</f>
        <v>0.40134999999999998</v>
      </c>
      <c r="CY1291" s="72">
        <v>0.37</v>
      </c>
      <c r="CZ1291" s="70">
        <f t="shared" si="2336"/>
        <v>20.846819982416736</v>
      </c>
      <c r="DA1291" s="70">
        <v>19.146574949201604</v>
      </c>
      <c r="DB1291" s="69">
        <f t="shared" si="2339"/>
        <v>6.6086428381334231E-2</v>
      </c>
      <c r="DC1291" s="111">
        <f>VLOOKUP($H1291,RoR!$E:$F,2,FALSE)</f>
        <v>4.6391666666666664E-2</v>
      </c>
      <c r="DD1291" s="216">
        <f>HLOOKUP($H1291,'GDP-PI'!$D$8:$CQ$11,3,FALSE)</f>
        <v>2.0840920205183799E-2</v>
      </c>
      <c r="DE1291" s="111">
        <f>VLOOKUP(H1291,'HW Dx Data'!$E:$F,2,FALSE)</f>
        <v>611.61109612283201</v>
      </c>
      <c r="DF1291" s="72">
        <f t="shared" si="2350"/>
        <v>120.875</v>
      </c>
      <c r="DG1291" s="69">
        <f t="shared" si="2351"/>
        <v>3.3224250161508609E-2</v>
      </c>
      <c r="DH1291" s="66">
        <f>HLOOKUP(H1291,'GDP-PI'!$8:$9,2,FALSE)</f>
        <v>98.111999999999995</v>
      </c>
      <c r="DI1291" s="69">
        <f t="shared" si="2340"/>
        <v>2.0626719212849295E-2</v>
      </c>
    </row>
    <row r="1292" spans="1:113" s="160" customFormat="1" ht="21">
      <c r="A1292" s="160" t="s">
        <v>236</v>
      </c>
      <c r="B1292" s="160" t="s">
        <v>236</v>
      </c>
      <c r="C1292" s="160">
        <v>4008752</v>
      </c>
      <c r="D1292" s="161" t="s">
        <v>192</v>
      </c>
      <c r="E1292" s="161"/>
      <c r="F1292" s="189"/>
      <c r="G1292" s="160" t="s">
        <v>128</v>
      </c>
      <c r="H1292" s="162">
        <v>2012</v>
      </c>
      <c r="I1292" s="163"/>
      <c r="J1292" s="159">
        <f>IFERROR(INDEX('Labor Expenditures'!$F$7:$X$91,MATCH($C1292,'Labor Expenditures'!$D$7:$D$91,0),MATCH($G1292,'Labor Expenditures'!$F$5:$X$5,0)),"NA")</f>
        <v>28804.610188444065</v>
      </c>
      <c r="K1292" s="159">
        <f t="shared" si="2341"/>
        <v>230.80617138176331</v>
      </c>
      <c r="L1292" s="165">
        <f t="shared" si="2348"/>
        <v>-0.15178106777444791</v>
      </c>
      <c r="M1292" s="76">
        <f t="shared" si="2352"/>
        <v>-2.0108222411645942E-3</v>
      </c>
      <c r="N1292" s="62">
        <f t="shared" si="2358"/>
        <v>118.77150745594074</v>
      </c>
      <c r="O1292" s="96">
        <f t="shared" si="2353"/>
        <v>-5.5912727302223197E-4</v>
      </c>
      <c r="P1292" s="96"/>
      <c r="Q1292" s="159">
        <f>IFERROR(INDEX('Non-Labor Expenditures'!$F$7:$AB$91,MATCH($C1292,'Non-Labor Expenditures'!$D$7:$D$91,0),MATCH($G1292,'Non-Labor Expenditures'!$F$5:$AB$5,0)),"NA")</f>
        <v>41714.455511941364</v>
      </c>
      <c r="R1292" s="159">
        <f t="shared" si="2342"/>
        <v>417.14455511941361</v>
      </c>
      <c r="S1292" s="165">
        <f t="shared" si="2354"/>
        <v>-0.13888606835132128</v>
      </c>
      <c r="T1292" s="165">
        <f t="shared" si="2355"/>
        <v>-1.839987024229898E-3</v>
      </c>
      <c r="U1292" s="165"/>
      <c r="V1292" s="165"/>
      <c r="W1292" s="159">
        <f t="shared" si="2324"/>
        <v>71157.357299939482</v>
      </c>
      <c r="X1292" s="163"/>
      <c r="Y1292" s="167">
        <v>3312.5860650929908</v>
      </c>
      <c r="Z1292" s="168">
        <v>4.8631848027013702E-2</v>
      </c>
      <c r="AA1292" s="76">
        <f t="shared" si="2343"/>
        <v>6.442832632260506E-4</v>
      </c>
      <c r="AB1292" s="168"/>
      <c r="AC1292" s="168"/>
      <c r="AD1292" s="163">
        <f t="shared" si="2248"/>
        <v>141676.42300032492</v>
      </c>
      <c r="AE1292" s="168">
        <f t="shared" si="2356"/>
        <v>-8.8864689169624068E-3</v>
      </c>
      <c r="AF1292" s="163"/>
      <c r="AG1292" s="163"/>
      <c r="AH1292" s="163"/>
      <c r="AI1292" s="163"/>
      <c r="AJ1292" s="116">
        <f t="shared" si="2357"/>
        <v>235.35462398512374</v>
      </c>
      <c r="AK1292" s="114">
        <f>+AV1292/$AX$17</f>
        <v>1.6855578490302756E-2</v>
      </c>
      <c r="AL1292" s="115">
        <f t="shared" si="2344"/>
        <v>0.20331265836926166</v>
      </c>
      <c r="AM1292" s="115">
        <f t="shared" si="2345"/>
        <v>0.29443470288521961</v>
      </c>
      <c r="AN1292" s="115">
        <f t="shared" si="2346"/>
        <v>0.50225263874551862</v>
      </c>
      <c r="AO1292" s="115">
        <f t="shared" si="2349"/>
        <v>-5.2955657396012629E-2</v>
      </c>
      <c r="AP1292" s="166">
        <f t="shared" si="2360"/>
        <v>92.544373159256125</v>
      </c>
      <c r="AQ1292" s="168">
        <f t="shared" si="2361"/>
        <v>-5.295565739601258E-2</v>
      </c>
      <c r="AR1292" s="169">
        <f>+AD1292/$AF$17</f>
        <v>1.3248175616689875E-2</v>
      </c>
      <c r="AS1292" s="169">
        <f t="shared" si="2359"/>
        <v>-7.015658490796367E-4</v>
      </c>
      <c r="AT1292" s="115"/>
      <c r="AU1292" s="115"/>
      <c r="AV1292" s="113">
        <f>IFERROR(INDEX('Total Customers'!$F$7:$AB$91,MATCH($C1292,'Total Customers'!$D$7:$D$91,0),MATCH($G1292,'Total Customers'!$F$5:$AB$5,0)),"NA")</f>
        <v>601970</v>
      </c>
      <c r="AW1292" s="68">
        <f t="shared" si="2347"/>
        <v>4.1483336335264029E-3</v>
      </c>
      <c r="AX1292" s="114"/>
      <c r="AY1292" s="114"/>
      <c r="AZ1292" s="116"/>
      <c r="BA1292" s="116"/>
      <c r="BB1292" s="166"/>
      <c r="BC1292" s="166"/>
      <c r="BD1292" s="166"/>
      <c r="BE1292" s="166"/>
      <c r="BF1292" s="166"/>
      <c r="BG1292" s="166"/>
      <c r="BH1292" s="166"/>
      <c r="BI1292" s="113"/>
      <c r="BJ1292" s="113"/>
      <c r="BK1292" s="113">
        <f>INDEX('Dist. Plant Gas Additions'!$F$7:$AE$91,MATCH($C1292,'Dist. Plant Gas Additions'!$D$7:$D$91,0),MATCH(Calculation!$G1292,'Dist. Plant Gas Additions'!$F$5:$AE$5,0))</f>
        <v>112569</v>
      </c>
      <c r="BL1292" s="113">
        <f>INDEX('Gen. Plant Additions'!$F$7:$AE$91,MATCH($C1292,'Gen. Plant Additions'!$D$7:$D$91,0),MATCH(Calculation!$G1292,'Gen. Plant Additions'!$F$5:$AE$5,0))</f>
        <v>8025</v>
      </c>
      <c r="BM1292" s="231">
        <f t="shared" si="2325"/>
        <v>0.92254082205442567</v>
      </c>
      <c r="BN1292" s="61">
        <f t="shared" ref="BN1292:BN1317" si="2362">+BM1292*BL1292</f>
        <v>7403.3900969867664</v>
      </c>
      <c r="BO1292" s="113">
        <f>INDEX('Dist Plant Depreciation'!$E$7:$AD$94,MATCH($C1292,'Dist Plant Depreciation'!$D$7:$D$94,0),MATCH(Calculation!$G1292,'Dist Plant Depreciation'!$E$5:$AD$5,0))</f>
        <v>706628</v>
      </c>
      <c r="BP1292" s="113">
        <f>INDEX('Gen. Plant Depreciation'!$E$7:$AD$94,MATCH($C1292,'Gen. Plant Depreciation'!$D$7:$D$94,0),MATCH(Calculation!$G1292,'Gen. Plant Depreciation'!$E$5:$AD$5,0))</f>
        <v>54584</v>
      </c>
      <c r="BQ1292" s="113"/>
      <c r="BR1292" s="113"/>
      <c r="BS1292" s="113"/>
      <c r="BT1292" s="113"/>
      <c r="BU1292" s="113"/>
      <c r="BV1292" s="175"/>
      <c r="BW1292" s="113">
        <f>INDEX('Gross Dx Plant'!$E$7:$AD$91,MATCH($C1292,'Gross Dx Plant'!$D$7:$D$91,0),MATCH(Calculation!$G1292,'Gross Dx Plant'!$E$5:$AD$5,0))</f>
        <v>1324645</v>
      </c>
      <c r="BX1292" s="113">
        <f>INDEX('Gross Gen Plant'!$E$7:$AD$91,MATCH($C1292,'Gross Gen Plant'!$D$7:$D$91,0),MATCH(Calculation!$G1292,'Gross Gen Plant'!$E$5:$AD$5,0))</f>
        <v>111221</v>
      </c>
      <c r="BY1292" s="113">
        <f t="shared" si="2318"/>
        <v>674654</v>
      </c>
      <c r="BZ1292" s="113"/>
      <c r="CA1292" s="116">
        <v>2012</v>
      </c>
      <c r="CB1292" s="113"/>
      <c r="CC1292" s="113"/>
      <c r="CD1292" s="113"/>
      <c r="CE1292" s="175"/>
      <c r="CF1292" s="113">
        <f t="shared" si="2326"/>
        <v>120594</v>
      </c>
      <c r="CG1292" s="113">
        <f t="shared" si="2327"/>
        <v>180.28183072830473</v>
      </c>
      <c r="CH1292" s="178">
        <v>0.9135802469135802</v>
      </c>
      <c r="CI1292" s="61">
        <f>+CI1278*CH1292+CG1279*CH1291+CG1280*CH1290+CG1281*CH1289+CG1282*CH1288+CG1283*CH1287+CG1284*CH1286+CG1285*CH1285+CG1286*CH1284+CG1287*CH1283+CG1288*CH1282+CG1289*CH1281+CG1290*CH1280+CG1291*CH1279+CG1292</f>
        <v>3312.5860650929908</v>
      </c>
      <c r="CJ1292" s="114">
        <f t="shared" si="2328"/>
        <v>4.8631848027013702E-2</v>
      </c>
      <c r="CK1292" s="114"/>
      <c r="CL1292" s="169">
        <f t="shared" si="2329"/>
        <v>7.301626692755827E-3</v>
      </c>
      <c r="CM1292" s="169">
        <f t="shared" si="2337"/>
        <v>7.0994586835641639E-3</v>
      </c>
      <c r="CN1292" s="114">
        <f>VLOOKUP($H1292,RoR!$E:$F,2,FALSE)</f>
        <v>3.6733333333333333E-2</v>
      </c>
      <c r="CO1292" s="169">
        <v>1.924331376386168E-2</v>
      </c>
      <c r="CP1292" s="169">
        <f t="shared" si="2335"/>
        <v>1.7490019569471653E-2</v>
      </c>
      <c r="CQ1292" s="169">
        <f t="shared" si="2338"/>
        <v>2.3802482924969462E-2</v>
      </c>
      <c r="CR1292" s="169">
        <v>6.7122682943869583E-2</v>
      </c>
      <c r="CS1292" s="179">
        <f t="shared" si="2330"/>
        <v>0.85150049999999999</v>
      </c>
      <c r="CT1292" s="180">
        <f t="shared" si="2331"/>
        <v>1.3960631020522127</v>
      </c>
      <c r="CU1292" s="180">
        <f t="shared" si="2332"/>
        <v>0.29441923774954631</v>
      </c>
      <c r="CV1292" s="180">
        <f t="shared" si="2333"/>
        <v>0.76377954189366437</v>
      </c>
      <c r="CW1292" s="180">
        <f t="shared" si="2334"/>
        <v>0.31393465103033691</v>
      </c>
      <c r="CX1292" s="181">
        <f>INDEX('State Tax Lookup'!$D$7:$Z$91,MATCH(Calculation!$C1292,'State Tax Lookup'!$B$7:$B$91,0),MATCH($H1292,'State Tax Lookup'!$D$6:$Z$6,0))</f>
        <v>0.40134999999999998</v>
      </c>
      <c r="CY1292" s="72">
        <v>0.37</v>
      </c>
      <c r="CZ1292" s="70">
        <f t="shared" si="2336"/>
        <v>22.55138312093732</v>
      </c>
      <c r="DA1292" s="70">
        <v>20.759737328210988</v>
      </c>
      <c r="DB1292" s="69">
        <f t="shared" si="2339"/>
        <v>7.8594982024044302E-2</v>
      </c>
      <c r="DC1292" s="111">
        <f>VLOOKUP($H1292,RoR!$E:$F,2,FALSE)</f>
        <v>3.6733333333333333E-2</v>
      </c>
      <c r="DD1292" s="216">
        <f>HLOOKUP($H1292,'GDP-PI'!$D$8:$CQ$11,3,FALSE)</f>
        <v>1.924331376386168E-2</v>
      </c>
      <c r="DE1292" s="111">
        <f>VLOOKUP(H1292,'HW Dx Data'!$E:$F,2,FALSE)</f>
        <v>668.91932211262167</v>
      </c>
      <c r="DF1292" s="72">
        <f t="shared" si="2350"/>
        <v>124.80000000000001</v>
      </c>
      <c r="DG1292" s="69">
        <f t="shared" si="2351"/>
        <v>3.1955502161869064E-2</v>
      </c>
      <c r="DH1292" s="66">
        <f>HLOOKUP(H1292,'GDP-PI'!$8:$9,2,FALSE)</f>
        <v>100</v>
      </c>
      <c r="DI1292" s="69">
        <f t="shared" si="2340"/>
        <v>1.9060502738742411E-2</v>
      </c>
    </row>
    <row r="1293" spans="1:113" s="160" customFormat="1" ht="21">
      <c r="A1293" s="160" t="s">
        <v>236</v>
      </c>
      <c r="B1293" s="160" t="s">
        <v>236</v>
      </c>
      <c r="C1293" s="160">
        <v>4008752</v>
      </c>
      <c r="D1293" s="161" t="s">
        <v>192</v>
      </c>
      <c r="E1293" s="161"/>
      <c r="F1293" s="189"/>
      <c r="G1293" s="160" t="s">
        <v>129</v>
      </c>
      <c r="H1293" s="162">
        <v>2013</v>
      </c>
      <c r="I1293" s="163"/>
      <c r="J1293" s="159">
        <f>IFERROR(INDEX('Labor Expenditures'!$F$7:$X$91,MATCH($C1293,'Labor Expenditures'!$D$7:$D$91,0),MATCH($G1293,'Labor Expenditures'!$F$5:$X$5,0)),"NA")</f>
        <v>28282.8393480343</v>
      </c>
      <c r="K1293" s="159">
        <f t="shared" si="2341"/>
        <v>223.0507835018478</v>
      </c>
      <c r="L1293" s="165">
        <f t="shared" si="2348"/>
        <v>-3.4178799123846894E-2</v>
      </c>
      <c r="M1293" s="76">
        <f t="shared" si="2352"/>
        <v>-4.3996244009676373E-4</v>
      </c>
      <c r="N1293" s="62">
        <f t="shared" si="2358"/>
        <v>108.38628592259407</v>
      </c>
      <c r="O1293" s="96">
        <f t="shared" si="2353"/>
        <v>-9.1499974560966021E-2</v>
      </c>
      <c r="P1293" s="96"/>
      <c r="Q1293" s="159">
        <f>IFERROR(INDEX('Non-Labor Expenditures'!$F$7:$AB$91,MATCH($C1293,'Non-Labor Expenditures'!$D$7:$D$91,0),MATCH($G1293,'Non-Labor Expenditures'!$F$5:$AB$5,0)),"NA")</f>
        <v>40958.833881677703</v>
      </c>
      <c r="R1293" s="159">
        <f t="shared" si="2342"/>
        <v>402.45284979000036</v>
      </c>
      <c r="S1293" s="165">
        <f t="shared" si="2354"/>
        <v>-3.5854870072559226E-2</v>
      </c>
      <c r="T1293" s="165">
        <f t="shared" si="2355"/>
        <v>-4.6153745979534284E-4</v>
      </c>
      <c r="U1293" s="165"/>
      <c r="V1293" s="165"/>
      <c r="W1293" s="159">
        <f t="shared" si="2324"/>
        <v>73528.882766627808</v>
      </c>
      <c r="X1293" s="163"/>
      <c r="Y1293" s="167">
        <v>3483.5724974461864</v>
      </c>
      <c r="Z1293" s="168">
        <v>5.0329174049998461E-2</v>
      </c>
      <c r="AA1293" s="76">
        <f t="shared" si="2343"/>
        <v>6.4785617958246775E-4</v>
      </c>
      <c r="AB1293" s="168"/>
      <c r="AC1293" s="168"/>
      <c r="AD1293" s="163">
        <f t="shared" si="2248"/>
        <v>142770.55599633983</v>
      </c>
      <c r="AE1293" s="168">
        <f t="shared" si="2356"/>
        <v>7.693092020891446E-3</v>
      </c>
      <c r="AF1293" s="163"/>
      <c r="AG1293" s="163"/>
      <c r="AH1293" s="163"/>
      <c r="AI1293" s="163"/>
      <c r="AJ1293" s="116">
        <f t="shared" si="2357"/>
        <v>235.93681273584471</v>
      </c>
      <c r="AK1293" s="114">
        <f>+AV1293/$AX$18</f>
        <v>1.6835848129755793E-2</v>
      </c>
      <c r="AL1293" s="115">
        <f t="shared" si="2344"/>
        <v>0.198099945403024</v>
      </c>
      <c r="AM1293" s="115">
        <f t="shared" si="2345"/>
        <v>0.28688572090962339</v>
      </c>
      <c r="AN1293" s="115">
        <f t="shared" si="2346"/>
        <v>0.5150143336873525</v>
      </c>
      <c r="AO1293" s="115">
        <f t="shared" si="2349"/>
        <v>8.3176187475432484E-3</v>
      </c>
      <c r="AP1293" s="166">
        <f t="shared" si="2360"/>
        <v>93.317332105052145</v>
      </c>
      <c r="AQ1293" s="168">
        <f t="shared" si="2361"/>
        <v>8.3176187475431703E-3</v>
      </c>
      <c r="AR1293" s="169">
        <f>+AD1293/$AF$18</f>
        <v>1.2872378532158477E-2</v>
      </c>
      <c r="AS1293" s="169">
        <f t="shared" si="2359"/>
        <v>1.0706753700455359E-4</v>
      </c>
      <c r="AT1293" s="115"/>
      <c r="AU1293" s="115"/>
      <c r="AV1293" s="113">
        <f>IFERROR(INDEX('Total Customers'!$F$7:$AB$91,MATCH($C1293,'Total Customers'!$D$7:$D$91,0),MATCH($G1293,'Total Customers'!$F$5:$AB$5,0)),"NA")</f>
        <v>605122</v>
      </c>
      <c r="AW1293" s="68">
        <f t="shared" si="2347"/>
        <v>5.2224804141633692E-3</v>
      </c>
      <c r="AX1293" s="114"/>
      <c r="AY1293" s="114"/>
      <c r="AZ1293" s="116"/>
      <c r="BA1293" s="116"/>
      <c r="BB1293" s="166"/>
      <c r="BC1293" s="166"/>
      <c r="BD1293" s="166"/>
      <c r="BE1293" s="166"/>
      <c r="BF1293" s="166"/>
      <c r="BG1293" s="166"/>
      <c r="BH1293" s="166"/>
      <c r="BI1293" s="113"/>
      <c r="BJ1293" s="113"/>
      <c r="BK1293" s="113">
        <f>INDEX('Dist. Plant Gas Additions'!$F$7:$AE$91,MATCH($C1293,'Dist. Plant Gas Additions'!$D$7:$D$91,0),MATCH(Calculation!$G1293,'Dist. Plant Gas Additions'!$F$5:$AE$5,0))</f>
        <v>119400</v>
      </c>
      <c r="BL1293" s="113">
        <f>INDEX('Gen. Plant Additions'!$F$7:$AE$91,MATCH($C1293,'Gen. Plant Additions'!$D$7:$D$91,0),MATCH(Calculation!$G1293,'Gen. Plant Additions'!$F$5:$AE$5,0))</f>
        <v>10433</v>
      </c>
      <c r="BM1293" s="231">
        <f t="shared" si="2325"/>
        <v>0.92378588670263651</v>
      </c>
      <c r="BN1293" s="61">
        <f t="shared" si="2362"/>
        <v>9637.8581559686063</v>
      </c>
      <c r="BO1293" s="113">
        <f>INDEX('Dist Plant Depreciation'!$E$7:$AD$94,MATCH($C1293,'Dist Plant Depreciation'!$D$7:$D$94,0),MATCH(Calculation!$G1293,'Dist Plant Depreciation'!$E$5:$AD$5,0))</f>
        <v>713860</v>
      </c>
      <c r="BP1293" s="113">
        <f>INDEX('Gen. Plant Depreciation'!$E$7:$AD$94,MATCH($C1293,'Gen. Plant Depreciation'!$D$7:$D$94,0),MATCH(Calculation!$G1293,'Gen. Plant Depreciation'!$E$5:$AD$5,0))</f>
        <v>59324</v>
      </c>
      <c r="BQ1293" s="113"/>
      <c r="BR1293" s="113"/>
      <c r="BS1293" s="113"/>
      <c r="BT1293" s="113"/>
      <c r="BU1293" s="113"/>
      <c r="BV1293" s="175"/>
      <c r="BW1293" s="113">
        <f>INDEX('Gross Dx Plant'!$E$7:$AD$91,MATCH($C1293,'Gross Dx Plant'!$D$7:$D$91,0),MATCH(Calculation!$G1293,'Gross Dx Plant'!$E$5:$AD$5,0))</f>
        <v>1425191</v>
      </c>
      <c r="BX1293" s="113">
        <f>INDEX('Gross Gen Plant'!$E$7:$AD$91,MATCH($C1293,'Gross Gen Plant'!$D$7:$D$91,0),MATCH(Calculation!$G1293,'Gross Gen Plant'!$E$5:$AD$5,0))</f>
        <v>117581</v>
      </c>
      <c r="BY1293" s="113">
        <f t="shared" si="2318"/>
        <v>769588</v>
      </c>
      <c r="BZ1293" s="113"/>
      <c r="CA1293" s="116">
        <v>2013</v>
      </c>
      <c r="CB1293" s="113"/>
      <c r="CC1293" s="113"/>
      <c r="CD1293" s="113"/>
      <c r="CE1293" s="175"/>
      <c r="CF1293" s="113">
        <f t="shared" si="2326"/>
        <v>129833</v>
      </c>
      <c r="CG1293" s="113">
        <f t="shared" si="2327"/>
        <v>195.75320336342241</v>
      </c>
      <c r="CH1293" s="178">
        <v>0.90566037735849059</v>
      </c>
      <c r="CI1293" s="61">
        <f>+CI1278*CH1293+CG1279*CH1292+CG1280*CH1291+CG1281*CH1290+CG1282*CH1289+CG1283*CH1288+CG1284*CH1287+CG1285*CH1286+CG1286*CH1285+CG1287*CH1284+CG1288*CH1283+CG1289*CH1282+CG1290*CH1281+CG1291*CH1280+CG1292*CH1279+CG1293</f>
        <v>3483.5724974461864</v>
      </c>
      <c r="CJ1293" s="114">
        <f t="shared" si="2328"/>
        <v>5.0329174049998461E-2</v>
      </c>
      <c r="CK1293" s="114"/>
      <c r="CL1293" s="169">
        <f t="shared" si="2329"/>
        <v>7.4765668041689255E-3</v>
      </c>
      <c r="CM1293" s="169">
        <f t="shared" si="2337"/>
        <v>7.2925076416064209E-3</v>
      </c>
      <c r="CN1293" s="114">
        <f>VLOOKUP($H1293,RoR!$E:$F,2,FALSE)</f>
        <v>4.2350000000000006E-2</v>
      </c>
      <c r="CO1293" s="169">
        <v>1.7730000000000024E-2</v>
      </c>
      <c r="CP1293" s="169">
        <f t="shared" si="2335"/>
        <v>2.4619999999999982E-2</v>
      </c>
      <c r="CQ1293" s="169">
        <f t="shared" si="2338"/>
        <v>2.3609433966927204E-2</v>
      </c>
      <c r="CR1293" s="169">
        <v>5.3376742735721204E-2</v>
      </c>
      <c r="CS1293" s="179">
        <f t="shared" si="2330"/>
        <v>0.85150049999999999</v>
      </c>
      <c r="CT1293" s="180">
        <f t="shared" si="2331"/>
        <v>1.2109103018193925</v>
      </c>
      <c r="CU1293" s="180">
        <f t="shared" si="2332"/>
        <v>0.38468122786304604</v>
      </c>
      <c r="CV1293" s="180">
        <f t="shared" si="2333"/>
        <v>0.80969194503422559</v>
      </c>
      <c r="CW1293" s="180">
        <f t="shared" si="2334"/>
        <v>0.37716621754800816</v>
      </c>
      <c r="CX1293" s="181">
        <f>INDEX('State Tax Lookup'!$D$7:$Z$91,MATCH(Calculation!$C1293,'State Tax Lookup'!$B$7:$B$91,0),MATCH($H1293,'State Tax Lookup'!$D$6:$Z$6,0))</f>
        <v>0.40134999999999998</v>
      </c>
      <c r="CY1293" s="72">
        <v>0.37</v>
      </c>
      <c r="CZ1293" s="70">
        <f t="shared" si="2336"/>
        <v>22.196821855121733</v>
      </c>
      <c r="DA1293" s="70">
        <v>20.339519021246105</v>
      </c>
      <c r="DB1293" s="69">
        <f t="shared" si="2339"/>
        <v>-1.5847280857034345E-2</v>
      </c>
      <c r="DC1293" s="111">
        <f>VLOOKUP($H1293,RoR!$E:$F,2,FALSE)</f>
        <v>4.2350000000000006E-2</v>
      </c>
      <c r="DD1293" s="216">
        <f>HLOOKUP($H1293,'GDP-PI'!$D$8:$CQ$11,3,FALSE)</f>
        <v>1.7730000000000024E-2</v>
      </c>
      <c r="DE1293" s="111">
        <f>VLOOKUP(H1293,'HW Dx Data'!$E:$F,2,FALSE)</f>
        <v>663.24840548821396</v>
      </c>
      <c r="DF1293" s="72">
        <f t="shared" si="2350"/>
        <v>126.8</v>
      </c>
      <c r="DG1293" s="69">
        <f t="shared" si="2351"/>
        <v>1.5898586067798204E-2</v>
      </c>
      <c r="DH1293" s="66">
        <f>HLOOKUP(H1293,'GDP-PI'!$8:$9,2,FALSE)</f>
        <v>101.773</v>
      </c>
      <c r="DI1293" s="69">
        <f t="shared" si="2340"/>
        <v>1.7574657016510519E-2</v>
      </c>
    </row>
    <row r="1294" spans="1:113" s="160" customFormat="1" ht="21">
      <c r="A1294" s="160" t="s">
        <v>236</v>
      </c>
      <c r="B1294" s="160" t="s">
        <v>236</v>
      </c>
      <c r="C1294" s="160">
        <v>4008752</v>
      </c>
      <c r="D1294" s="161" t="s">
        <v>192</v>
      </c>
      <c r="E1294" s="161"/>
      <c r="F1294" s="189"/>
      <c r="G1294" s="160" t="s">
        <v>130</v>
      </c>
      <c r="H1294" s="162">
        <v>2014</v>
      </c>
      <c r="I1294" s="163"/>
      <c r="J1294" s="159">
        <f>IFERROR(INDEX('Labor Expenditures'!$F$7:$X$91,MATCH($C1294,'Labor Expenditures'!$D$7:$D$91,0),MATCH($G1294,'Labor Expenditures'!$F$5:$X$5,0)),"NA")</f>
        <v>29978.546517369425</v>
      </c>
      <c r="K1294" s="159">
        <f t="shared" si="2341"/>
        <v>231.67346613113929</v>
      </c>
      <c r="L1294" s="165">
        <f t="shared" si="2348"/>
        <v>3.7929432430619837E-2</v>
      </c>
      <c r="M1294" s="76">
        <f t="shared" si="2352"/>
        <v>5.0856807547043539E-4</v>
      </c>
      <c r="N1294" s="62">
        <f t="shared" si="2358"/>
        <v>123.52093361492689</v>
      </c>
      <c r="O1294" s="96">
        <f t="shared" si="2353"/>
        <v>0.13070907728608713</v>
      </c>
      <c r="P1294" s="96"/>
      <c r="Q1294" s="159">
        <f>IFERROR(INDEX('Non-Labor Expenditures'!$F$7:$AB$91,MATCH($C1294,'Non-Labor Expenditures'!$D$7:$D$91,0),MATCH($G1294,'Non-Labor Expenditures'!$F$5:$AB$5,0)),"NA")</f>
        <v>43414.534577286773</v>
      </c>
      <c r="R1294" s="159">
        <f t="shared" si="2342"/>
        <v>418.86918653976255</v>
      </c>
      <c r="S1294" s="165">
        <f t="shared" si="2354"/>
        <v>3.9980720596038639E-2</v>
      </c>
      <c r="T1294" s="165">
        <f t="shared" si="2355"/>
        <v>5.360723012832147E-4</v>
      </c>
      <c r="U1294" s="165"/>
      <c r="V1294" s="165"/>
      <c r="W1294" s="159">
        <f t="shared" si="2324"/>
        <v>79256.606240680863</v>
      </c>
      <c r="X1294" s="163"/>
      <c r="Y1294" s="167">
        <v>3679.3193020267395</v>
      </c>
      <c r="Z1294" s="168">
        <v>5.4669415856335585E-2</v>
      </c>
      <c r="AA1294" s="76">
        <f t="shared" si="2343"/>
        <v>7.3302229502133207E-4</v>
      </c>
      <c r="AB1294" s="168"/>
      <c r="AC1294" s="168"/>
      <c r="AD1294" s="163">
        <f t="shared" si="2248"/>
        <v>152649.68733533705</v>
      </c>
      <c r="AE1294" s="168">
        <f t="shared" si="2356"/>
        <v>6.6906832789893761E-2</v>
      </c>
      <c r="AF1294" s="163"/>
      <c r="AG1294" s="163"/>
      <c r="AH1294" s="163"/>
      <c r="AI1294" s="163"/>
      <c r="AJ1294" s="116">
        <f t="shared" si="2357"/>
        <v>250.69252590741689</v>
      </c>
      <c r="AK1294" s="114">
        <f>+AV1294/$AX$19</f>
        <v>1.6850765049506621E-2</v>
      </c>
      <c r="AL1294" s="115">
        <f t="shared" si="2344"/>
        <v>0.19638786715306725</v>
      </c>
      <c r="AM1294" s="115">
        <f t="shared" si="2345"/>
        <v>0.28440631183157816</v>
      </c>
      <c r="AN1294" s="115">
        <f t="shared" si="2346"/>
        <v>0.51920582101535473</v>
      </c>
      <c r="AO1294" s="115">
        <f t="shared" si="2349"/>
        <v>4.7171788847632123E-2</v>
      </c>
      <c r="AP1294" s="166">
        <f t="shared" si="2360"/>
        <v>97.824753366160905</v>
      </c>
      <c r="AQ1294" s="168">
        <f t="shared" si="2361"/>
        <v>4.7171788847632033E-2</v>
      </c>
      <c r="AR1294" s="169">
        <f>+AD1294/$AF$19</f>
        <v>1.3408270118481298E-2</v>
      </c>
      <c r="AS1294" s="169">
        <f t="shared" si="2359"/>
        <v>6.3249208684101389E-4</v>
      </c>
      <c r="AT1294" s="115"/>
      <c r="AU1294" s="115"/>
      <c r="AV1294" s="113">
        <f>IFERROR(INDEX('Total Customers'!$F$7:$AB$91,MATCH($C1294,'Total Customers'!$D$7:$D$91,0),MATCH($G1294,'Total Customers'!$F$5:$AB$5,0)),"NA")</f>
        <v>608912</v>
      </c>
      <c r="AW1294" s="68">
        <f t="shared" si="2347"/>
        <v>6.2436674957111419E-3</v>
      </c>
      <c r="AX1294" s="114"/>
      <c r="AY1294" s="114"/>
      <c r="AZ1294" s="116"/>
      <c r="BA1294" s="116"/>
      <c r="BB1294" s="166"/>
      <c r="BC1294" s="166"/>
      <c r="BD1294" s="166"/>
      <c r="BE1294" s="166"/>
      <c r="BF1294" s="166"/>
      <c r="BG1294" s="166"/>
      <c r="BH1294" s="166"/>
      <c r="BI1294" s="113"/>
      <c r="BJ1294" s="113"/>
      <c r="BK1294" s="113">
        <f>INDEX('Dist. Plant Gas Additions'!$F$7:$AE$91,MATCH($C1294,'Dist. Plant Gas Additions'!$D$7:$D$91,0),MATCH(Calculation!$G1294,'Dist. Plant Gas Additions'!$F$5:$AE$5,0))</f>
        <v>139849</v>
      </c>
      <c r="BL1294" s="113">
        <f>INDEX('Gen. Plant Additions'!$F$7:$AE$91,MATCH($C1294,'Gen. Plant Additions'!$D$7:$D$91,0),MATCH(Calculation!$G1294,'Gen. Plant Additions'!$F$5:$AE$5,0))</f>
        <v>12371</v>
      </c>
      <c r="BM1294" s="231">
        <f t="shared" si="2325"/>
        <v>0.92364172712018477</v>
      </c>
      <c r="BN1294" s="61">
        <f t="shared" si="2362"/>
        <v>11426.371806203806</v>
      </c>
      <c r="BO1294" s="113">
        <f>INDEX('Dist Plant Depreciation'!$E$7:$AD$94,MATCH($C1294,'Dist Plant Depreciation'!$D$7:$D$94,0),MATCH(Calculation!$G1294,'Dist Plant Depreciation'!$E$5:$AD$5,0))</f>
        <v>721830</v>
      </c>
      <c r="BP1294" s="113">
        <f>INDEX('Gen. Plant Depreciation'!$E$7:$AD$94,MATCH($C1294,'Gen. Plant Depreciation'!$D$7:$D$94,0),MATCH(Calculation!$G1294,'Gen. Plant Depreciation'!$E$5:$AD$5,0))</f>
        <v>66112</v>
      </c>
      <c r="BQ1294" s="113"/>
      <c r="BR1294" s="113"/>
      <c r="BS1294" s="113"/>
      <c r="BT1294" s="113"/>
      <c r="BU1294" s="113"/>
      <c r="BV1294" s="175"/>
      <c r="BW1294" s="113">
        <f>INDEX('Gross Dx Plant'!$E$7:$AD$91,MATCH($C1294,'Gross Dx Plant'!$D$7:$D$91,0),MATCH(Calculation!$G1294,'Gross Dx Plant'!$E$5:$AD$5,0))</f>
        <v>1542369</v>
      </c>
      <c r="BX1294" s="113">
        <f>INDEX('Gross Gen Plant'!$E$7:$AD$91,MATCH($C1294,'Gross Gen Plant'!$D$7:$D$91,0),MATCH(Calculation!$G1294,'Gross Gen Plant'!$E$5:$AD$5,0))</f>
        <v>127509</v>
      </c>
      <c r="BY1294" s="113">
        <f t="shared" si="2318"/>
        <v>881936</v>
      </c>
      <c r="BZ1294" s="113"/>
      <c r="CA1294" s="116">
        <v>2014</v>
      </c>
      <c r="CB1294" s="113"/>
      <c r="CC1294" s="113"/>
      <c r="CD1294" s="113"/>
      <c r="CE1294" s="175"/>
      <c r="CF1294" s="113">
        <f t="shared" si="2326"/>
        <v>152220</v>
      </c>
      <c r="CG1294" s="113">
        <f t="shared" si="2327"/>
        <v>222.3913255842175</v>
      </c>
      <c r="CH1294" s="178">
        <v>0.89743589743589747</v>
      </c>
      <c r="CI1294" s="61">
        <f>+CI1278*CH1294+CG1279*CH1293+CG1280*CH1292+CG1281*CH1291+CG1282*CH1290+CG1283*CH1289+CG1284*CH1288+CG1285*CH1287+CG1286*CH1286+CG1287*CH1285+CG1288*CH1284+CG1289*CH1283+CG1290*CH1282+CG1291*CH1281+CG1292*CH1280+CG1293*CH1279+CG1294</f>
        <v>3679.3193020267395</v>
      </c>
      <c r="CJ1294" s="114">
        <f t="shared" si="2328"/>
        <v>5.4669415856335585E-2</v>
      </c>
      <c r="CK1294" s="114"/>
      <c r="CL1294" s="169">
        <f t="shared" si="2329"/>
        <v>7.648619634928671E-3</v>
      </c>
      <c r="CM1294" s="169">
        <f t="shared" si="2337"/>
        <v>7.4756043772844748E-3</v>
      </c>
      <c r="CN1294" s="114">
        <f>VLOOKUP($H1294,RoR!$E:$F,2,FALSE)</f>
        <v>4.1625000000000002E-2</v>
      </c>
      <c r="CO1294" s="169">
        <v>1.841352814597208E-2</v>
      </c>
      <c r="CP1294" s="169">
        <f t="shared" si="2335"/>
        <v>2.3211471854027922E-2</v>
      </c>
      <c r="CQ1294" s="169">
        <f t="shared" si="2338"/>
        <v>2.342633723124915E-2</v>
      </c>
      <c r="CR1294" s="169">
        <v>3.9072621432650924E-2</v>
      </c>
      <c r="CS1294" s="179">
        <f t="shared" si="2330"/>
        <v>0.85150049999999999</v>
      </c>
      <c r="CT1294" s="180">
        <f t="shared" si="2331"/>
        <v>1.2320012320012319</v>
      </c>
      <c r="CU1294" s="180">
        <f t="shared" si="2332"/>
        <v>0.37439939939939942</v>
      </c>
      <c r="CV1294" s="180">
        <f t="shared" si="2333"/>
        <v>0.80432100613819935</v>
      </c>
      <c r="CW1294" s="180">
        <f t="shared" si="2334"/>
        <v>0.37100152660040037</v>
      </c>
      <c r="CX1294" s="181">
        <f>INDEX('State Tax Lookup'!$D$7:$Z$91,MATCH(Calculation!$C1294,'State Tax Lookup'!$B$7:$B$91,0),MATCH($H1294,'State Tax Lookup'!$D$6:$Z$6,0))</f>
        <v>0.40134999999999998</v>
      </c>
      <c r="CY1294" s="72">
        <v>0.37</v>
      </c>
      <c r="CZ1294" s="70">
        <f t="shared" si="2336"/>
        <v>22.751530590732369</v>
      </c>
      <c r="DA1294" s="70">
        <v>20.763592984765573</v>
      </c>
      <c r="DB1294" s="69">
        <f t="shared" si="2339"/>
        <v>2.4683302896651341E-2</v>
      </c>
      <c r="DC1294" s="111">
        <f>VLOOKUP($H1294,RoR!$E:$F,2,FALSE)</f>
        <v>4.1625000000000002E-2</v>
      </c>
      <c r="DD1294" s="216">
        <f>HLOOKUP($H1294,'GDP-PI'!$D$8:$CQ$11,3,FALSE)</f>
        <v>1.841352814597208E-2</v>
      </c>
      <c r="DE1294" s="111">
        <f>VLOOKUP(H1294,'HW Dx Data'!$E:$F,2,FALSE)</f>
        <v>684.46914285042885</v>
      </c>
      <c r="DF1294" s="72">
        <f t="shared" si="2350"/>
        <v>129.4</v>
      </c>
      <c r="DG1294" s="69">
        <f t="shared" si="2351"/>
        <v>2.0297340063674733E-2</v>
      </c>
      <c r="DH1294" s="66">
        <f>HLOOKUP(H1294,'GDP-PI'!$8:$9,2,FALSE)</f>
        <v>103.64700000000001</v>
      </c>
      <c r="DI1294" s="69">
        <f t="shared" si="2340"/>
        <v>1.8246051898256087E-2</v>
      </c>
    </row>
    <row r="1295" spans="1:113" s="160" customFormat="1" ht="21">
      <c r="A1295" s="160" t="s">
        <v>236</v>
      </c>
      <c r="B1295" s="160" t="s">
        <v>236</v>
      </c>
      <c r="C1295" s="160">
        <v>4008752</v>
      </c>
      <c r="D1295" s="161" t="s">
        <v>192</v>
      </c>
      <c r="E1295" s="161"/>
      <c r="F1295" s="189"/>
      <c r="G1295" s="160" t="s">
        <v>132</v>
      </c>
      <c r="H1295" s="162">
        <v>2015</v>
      </c>
      <c r="I1295" s="163"/>
      <c r="J1295" s="159">
        <f>IFERROR(INDEX('Labor Expenditures'!$F$7:$X$91,MATCH($C1295,'Labor Expenditures'!$D$7:$D$91,0),MATCH($G1295,'Labor Expenditures'!$F$5:$X$5,0)),"NA")</f>
        <v>29547.537879615404</v>
      </c>
      <c r="K1295" s="159">
        <f t="shared" si="2341"/>
        <v>221.32987175741874</v>
      </c>
      <c r="L1295" s="165">
        <f t="shared" si="2348"/>
        <v>-4.5674685636523132E-2</v>
      </c>
      <c r="M1295" s="76">
        <f t="shared" si="2352"/>
        <v>-6.1396934604673317E-4</v>
      </c>
      <c r="N1295" s="62">
        <f t="shared" si="2358"/>
        <v>123.44048354190889</v>
      </c>
      <c r="O1295" s="96">
        <f t="shared" si="2353"/>
        <v>-6.5151938946540451E-4</v>
      </c>
      <c r="P1295" s="96"/>
      <c r="Q1295" s="159">
        <f>IFERROR(INDEX('Non-Labor Expenditures'!$F$7:$AB$91,MATCH($C1295,'Non-Labor Expenditures'!$D$7:$D$91,0),MATCH($G1295,'Non-Labor Expenditures'!$F$5:$AB$5,0)),"NA")</f>
        <v>42790.353568509723</v>
      </c>
      <c r="R1295" s="159">
        <f t="shared" si="2342"/>
        <v>408.93312788262239</v>
      </c>
      <c r="S1295" s="165">
        <f t="shared" si="2354"/>
        <v>-2.400702604846195E-2</v>
      </c>
      <c r="T1295" s="165">
        <f t="shared" si="2355"/>
        <v>-3.2270781677180876E-4</v>
      </c>
      <c r="U1295" s="165"/>
      <c r="V1295" s="165"/>
      <c r="W1295" s="159">
        <f t="shared" si="2324"/>
        <v>82211.619861211002</v>
      </c>
      <c r="X1295" s="163"/>
      <c r="Y1295" s="167">
        <v>4011.6007547181603</v>
      </c>
      <c r="Z1295" s="168">
        <v>8.6462589569834367E-2</v>
      </c>
      <c r="AA1295" s="76">
        <f t="shared" si="2343"/>
        <v>1.1622494788064684E-3</v>
      </c>
      <c r="AB1295" s="168"/>
      <c r="AC1295" s="168"/>
      <c r="AD1295" s="163">
        <f t="shared" si="2248"/>
        <v>154549.51130933611</v>
      </c>
      <c r="AE1295" s="168">
        <f t="shared" si="2356"/>
        <v>1.2368835616694518E-2</v>
      </c>
      <c r="AF1295" s="163"/>
      <c r="AG1295" s="163"/>
      <c r="AH1295" s="163"/>
      <c r="AI1295" s="163"/>
      <c r="AJ1295" s="116">
        <f t="shared" si="2357"/>
        <v>251.50817718947246</v>
      </c>
      <c r="AK1295" s="114">
        <f>+AV1295/$AX$20</f>
        <v>1.6866881819315692E-2</v>
      </c>
      <c r="AL1295" s="115">
        <f t="shared" si="2344"/>
        <v>0.19118493244844365</v>
      </c>
      <c r="AM1295" s="115">
        <f t="shared" si="2345"/>
        <v>0.27687149060512634</v>
      </c>
      <c r="AN1295" s="115">
        <f t="shared" si="2346"/>
        <v>0.53194357694643013</v>
      </c>
      <c r="AO1295" s="115">
        <f t="shared" si="2349"/>
        <v>2.9854111182980335E-2</v>
      </c>
      <c r="AP1295" s="166">
        <f t="shared" si="2360"/>
        <v>100.78925554115729</v>
      </c>
      <c r="AQ1295" s="168">
        <f t="shared" si="2361"/>
        <v>2.9854111182980408E-2</v>
      </c>
      <c r="AR1295" s="169">
        <f>+AD1295/$AF$20</f>
        <v>1.3442223793999822E-2</v>
      </c>
      <c r="AS1295" s="169">
        <f t="shared" si="2359"/>
        <v>4.0130564369257539E-4</v>
      </c>
      <c r="AT1295" s="115"/>
      <c r="AU1295" s="115"/>
      <c r="AV1295" s="113">
        <f>IFERROR(INDEX('Total Customers'!$F$7:$AB$91,MATCH($C1295,'Total Customers'!$D$7:$D$91,0),MATCH($G1295,'Total Customers'!$F$5:$AB$5,0)),"NA")</f>
        <v>614491</v>
      </c>
      <c r="AW1295" s="68">
        <f t="shared" si="2347"/>
        <v>9.1205247552298713E-3</v>
      </c>
      <c r="AX1295" s="114"/>
      <c r="AY1295" s="114"/>
      <c r="AZ1295" s="116"/>
      <c r="BA1295" s="116"/>
      <c r="BB1295" s="166"/>
      <c r="BC1295" s="166"/>
      <c r="BD1295" s="166"/>
      <c r="BE1295" s="166"/>
      <c r="BF1295" s="166"/>
      <c r="BG1295" s="166"/>
      <c r="BH1295" s="166"/>
      <c r="BI1295" s="113"/>
      <c r="BJ1295" s="113"/>
      <c r="BK1295" s="113">
        <f>INDEX('Dist. Plant Gas Additions'!$F$7:$AE$91,MATCH($C1295,'Dist. Plant Gas Additions'!$D$7:$D$91,0),MATCH(Calculation!$G1295,'Dist. Plant Gas Additions'!$F$5:$AE$5,0))</f>
        <v>237906</v>
      </c>
      <c r="BL1295" s="113">
        <f>INDEX('Gen. Plant Additions'!$F$7:$AE$91,MATCH($C1295,'Gen. Plant Additions'!$D$7:$D$91,0),MATCH(Calculation!$G1295,'Gen. Plant Additions'!$F$5:$AE$5,0))</f>
        <v>6002</v>
      </c>
      <c r="BM1295" s="231">
        <f t="shared" si="2325"/>
        <v>0.93274222874254831</v>
      </c>
      <c r="BN1295" s="61">
        <f t="shared" si="2362"/>
        <v>5598.3188569127751</v>
      </c>
      <c r="BO1295" s="113">
        <f>INDEX('Dist Plant Depreciation'!$E$7:$AD$94,MATCH($C1295,'Dist Plant Depreciation'!$D$7:$D$94,0),MATCH(Calculation!$G1295,'Dist Plant Depreciation'!$E$5:$AD$5,0))</f>
        <v>744491</v>
      </c>
      <c r="BP1295" s="113">
        <f>INDEX('Gen. Plant Depreciation'!$E$7:$AD$94,MATCH($C1295,'Gen. Plant Depreciation'!$D$7:$D$94,0),MATCH(Calculation!$G1295,'Gen. Plant Depreciation'!$E$5:$AD$5,0))</f>
        <v>69976</v>
      </c>
      <c r="BQ1295" s="113"/>
      <c r="BR1295" s="113"/>
      <c r="BS1295" s="113"/>
      <c r="BT1295" s="113"/>
      <c r="BU1295" s="113"/>
      <c r="BV1295" s="175"/>
      <c r="BW1295" s="113">
        <f>INDEX('Gross Dx Plant'!$E$7:$AD$91,MATCH($C1295,'Gross Dx Plant'!$D$7:$D$91,0),MATCH(Calculation!$G1295,'Gross Dx Plant'!$E$5:$AD$5,0))</f>
        <v>1774474</v>
      </c>
      <c r="BX1295" s="113">
        <f>INDEX('Gross Gen Plant'!$E$7:$AD$91,MATCH($C1295,'Gross Gen Plant'!$D$7:$D$91,0),MATCH(Calculation!$G1295,'Gross Gen Plant'!$E$5:$AD$5,0))</f>
        <v>127953</v>
      </c>
      <c r="BY1295" s="113">
        <f t="shared" si="2318"/>
        <v>1087960</v>
      </c>
      <c r="BZ1295" s="113"/>
      <c r="CA1295" s="116">
        <v>2015</v>
      </c>
      <c r="CB1295" s="113"/>
      <c r="CC1295" s="113"/>
      <c r="CD1295" s="113"/>
      <c r="CE1295" s="175"/>
      <c r="CF1295" s="113">
        <f t="shared" si="2326"/>
        <v>243908</v>
      </c>
      <c r="CG1295" s="113">
        <f t="shared" si="2327"/>
        <v>361.01645532108404</v>
      </c>
      <c r="CH1295" s="178">
        <v>0.88888888888888884</v>
      </c>
      <c r="CI1295" s="61">
        <f>+CI1278*CH1295+CG1279*CH1294+CG1280*CH1293+CG1281*CH1292+CG1282*CH1291+CG1283*CH1290+CG1284*CH1289+CG1285*CH1288+CG1286*CH1287+CG1287*CH1286+CG1288*CH1285+CG1289*CH1284+CG1290*CH1283+CG1291*CH1282+CG1292*CH1281+CG1293*CH1280+CG1294*CH1279+CG1295</f>
        <v>4011.6007547181603</v>
      </c>
      <c r="CJ1295" s="114">
        <f t="shared" si="2328"/>
        <v>8.6462589569834367E-2</v>
      </c>
      <c r="CK1295" s="114"/>
      <c r="CL1295" s="169">
        <f t="shared" si="2329"/>
        <v>7.809869236908764E-3</v>
      </c>
      <c r="CM1295" s="169">
        <f t="shared" si="2337"/>
        <v>7.6450185586687874E-3</v>
      </c>
      <c r="CN1295" s="114">
        <f>VLOOKUP($H1295,RoR!$E:$F,2,FALSE)</f>
        <v>3.8866666666666674E-2</v>
      </c>
      <c r="CO1295" s="169">
        <v>9.5709475431029478E-3</v>
      </c>
      <c r="CP1295" s="169">
        <f t="shared" si="2335"/>
        <v>2.9295719123563727E-2</v>
      </c>
      <c r="CQ1295" s="169">
        <f t="shared" si="2338"/>
        <v>2.3256923049864837E-2</v>
      </c>
      <c r="CR1295" s="169">
        <v>3.5270373279175926E-3</v>
      </c>
      <c r="CS1295" s="179">
        <f t="shared" si="2330"/>
        <v>0.85150049999999999</v>
      </c>
      <c r="CT1295" s="180">
        <f t="shared" si="2331"/>
        <v>1.3194352816994324</v>
      </c>
      <c r="CU1295" s="180">
        <f t="shared" si="2332"/>
        <v>0.33177530017152673</v>
      </c>
      <c r="CV1295" s="180">
        <f t="shared" si="2333"/>
        <v>0.78242572977668579</v>
      </c>
      <c r="CW1295" s="180">
        <f t="shared" si="2334"/>
        <v>0.34251158643433932</v>
      </c>
      <c r="CX1295" s="181">
        <f>INDEX('State Tax Lookup'!$D$7:$Z$91,MATCH(Calculation!$C1295,'State Tax Lookup'!$B$7:$B$91,0),MATCH($H1295,'State Tax Lookup'!$D$6:$Z$6,0))</f>
        <v>0.40134999999999998</v>
      </c>
      <c r="CY1295" s="72">
        <v>0.37</v>
      </c>
      <c r="CZ1295" s="70">
        <f t="shared" si="2336"/>
        <v>22.34424715895819</v>
      </c>
      <c r="DA1295" s="70">
        <v>20.279488671080099</v>
      </c>
      <c r="DB1295" s="69">
        <f t="shared" si="2339"/>
        <v>-1.806353172975993E-2</v>
      </c>
      <c r="DC1295" s="111">
        <f>VLOOKUP($H1295,RoR!$E:$F,2,FALSE)</f>
        <v>3.8866666666666674E-2</v>
      </c>
      <c r="DD1295" s="216">
        <f>HLOOKUP($H1295,'GDP-PI'!$D$8:$CQ$11,3,FALSE)</f>
        <v>9.5709475431029478E-3</v>
      </c>
      <c r="DE1295" s="111">
        <f>VLOOKUP(H1295,'HW Dx Data'!$E:$F,2,FALSE)</f>
        <v>675.61463308665782</v>
      </c>
      <c r="DF1295" s="72">
        <f t="shared" si="2350"/>
        <v>133.5</v>
      </c>
      <c r="DG1295" s="69">
        <f t="shared" si="2351"/>
        <v>3.1193095773504077E-2</v>
      </c>
      <c r="DH1295" s="66">
        <f>HLOOKUP(H1295,'GDP-PI'!$8:$9,2,FALSE)</f>
        <v>104.639</v>
      </c>
      <c r="DI1295" s="69">
        <f t="shared" si="2340"/>
        <v>9.5254361854427965E-3</v>
      </c>
    </row>
    <row r="1296" spans="1:113" s="160" customFormat="1" ht="21">
      <c r="A1296" s="160" t="s">
        <v>236</v>
      </c>
      <c r="B1296" s="160" t="s">
        <v>236</v>
      </c>
      <c r="C1296" s="160">
        <v>4008752</v>
      </c>
      <c r="D1296" s="161" t="s">
        <v>192</v>
      </c>
      <c r="E1296" s="161"/>
      <c r="F1296" s="189"/>
      <c r="G1296" s="160" t="s">
        <v>133</v>
      </c>
      <c r="H1296" s="162">
        <v>2016</v>
      </c>
      <c r="I1296" s="163"/>
      <c r="J1296" s="159">
        <f>IFERROR(INDEX('Labor Expenditures'!$F$7:$X$91,MATCH($C1296,'Labor Expenditures'!$D$7:$D$91,0),MATCH($G1296,'Labor Expenditures'!$F$5:$X$5,0)),"NA")</f>
        <v>29453.666069882729</v>
      </c>
      <c r="K1296" s="159">
        <f t="shared" si="2341"/>
        <v>215.06875553035948</v>
      </c>
      <c r="L1296" s="165">
        <f t="shared" si="2348"/>
        <v>-2.8696450866616638E-2</v>
      </c>
      <c r="M1296" s="76">
        <f t="shared" si="2352"/>
        <v>-3.8753581971197933E-4</v>
      </c>
      <c r="N1296" s="62">
        <f t="shared" si="2358"/>
        <v>306.43392686334391</v>
      </c>
      <c r="O1296" s="96">
        <f t="shared" si="2353"/>
        <v>0.90924303382796012</v>
      </c>
      <c r="P1296" s="96"/>
      <c r="Q1296" s="159">
        <f>IFERROR(INDEX('Non-Labor Expenditures'!$F$7:$AB$91,MATCH($C1296,'Non-Labor Expenditures'!$D$7:$D$91,0),MATCH($G1296,'Non-Labor Expenditures'!$F$5:$AB$5,0)),"NA")</f>
        <v>42654.409655181225</v>
      </c>
      <c r="R1296" s="159">
        <f t="shared" si="2342"/>
        <v>403.40479737441575</v>
      </c>
      <c r="S1296" s="165">
        <f t="shared" si="2354"/>
        <v>-1.3611123365038728E-2</v>
      </c>
      <c r="T1296" s="165">
        <f t="shared" si="2355"/>
        <v>-1.8381359684473993E-4</v>
      </c>
      <c r="U1296" s="165"/>
      <c r="V1296" s="165"/>
      <c r="W1296" s="159">
        <f t="shared" si="2324"/>
        <v>88566.90273996054</v>
      </c>
      <c r="X1296" s="163"/>
      <c r="Y1296" s="167">
        <v>4157.7172738015515</v>
      </c>
      <c r="Z1296" s="168">
        <v>3.5775839039434904E-2</v>
      </c>
      <c r="AA1296" s="76">
        <f t="shared" si="2343"/>
        <v>4.8314055185688811E-4</v>
      </c>
      <c r="AB1296" s="168"/>
      <c r="AC1296" s="168"/>
      <c r="AD1296" s="163">
        <f t="shared" ref="AD1296:AD1352" si="2363">+J1296+Q1296+W1296</f>
        <v>160674.9784650245</v>
      </c>
      <c r="AE1296" s="168">
        <f t="shared" si="2356"/>
        <v>3.8869050679109021E-2</v>
      </c>
      <c r="AF1296" s="163"/>
      <c r="AG1296" s="163"/>
      <c r="AH1296" s="163"/>
      <c r="AI1296" s="163"/>
      <c r="AJ1296" s="116">
        <f t="shared" si="2357"/>
        <v>258.99361758565612</v>
      </c>
      <c r="AK1296" s="114">
        <f>+AV1296/$AX$21</f>
        <v>1.6881430415658236E-2</v>
      </c>
      <c r="AL1296" s="115">
        <f t="shared" si="2344"/>
        <v>0.18331208973084856</v>
      </c>
      <c r="AM1296" s="115">
        <f t="shared" si="2345"/>
        <v>0.26547014390586132</v>
      </c>
      <c r="AN1296" s="115">
        <f t="shared" si="2346"/>
        <v>0.55121776636329012</v>
      </c>
      <c r="AO1296" s="115">
        <f t="shared" si="2349"/>
        <v>1.0311195790999272E-2</v>
      </c>
      <c r="AP1296" s="166">
        <f t="shared" si="2360"/>
        <v>101.83388974707611</v>
      </c>
      <c r="AQ1296" s="168">
        <f t="shared" si="2361"/>
        <v>1.0311195790999225E-2</v>
      </c>
      <c r="AR1296" s="169">
        <f>+AD1296/$AF$21</f>
        <v>1.3504660263155062E-2</v>
      </c>
      <c r="AS1296" s="169">
        <f t="shared" si="2359"/>
        <v>1.3924919606431895E-4</v>
      </c>
      <c r="AT1296" s="115"/>
      <c r="AU1296" s="115"/>
      <c r="AV1296" s="113">
        <f>IFERROR(INDEX('Total Customers'!$F$7:$AB$91,MATCH($C1296,'Total Customers'!$D$7:$D$91,0),MATCH($G1296,'Total Customers'!$F$5:$AB$5,0)),"NA")</f>
        <v>620382</v>
      </c>
      <c r="AW1296" s="68">
        <f t="shared" si="2347"/>
        <v>9.5411344966982569E-3</v>
      </c>
      <c r="AX1296" s="114"/>
      <c r="AY1296" s="114"/>
      <c r="AZ1296" s="116"/>
      <c r="BA1296" s="116"/>
      <c r="BB1296" s="166"/>
      <c r="BC1296" s="166"/>
      <c r="BD1296" s="166"/>
      <c r="BE1296" s="166"/>
      <c r="BF1296" s="166"/>
      <c r="BG1296" s="166"/>
      <c r="BH1296" s="166"/>
      <c r="BI1296" s="113"/>
      <c r="BJ1296" s="113"/>
      <c r="BK1296" s="113">
        <f>INDEX('Dist. Plant Gas Additions'!$F$7:$AE$91,MATCH($C1296,'Dist. Plant Gas Additions'!$D$7:$D$91,0),MATCH(Calculation!$G1296,'Dist. Plant Gas Additions'!$F$5:$AE$5,0))</f>
        <v>109519</v>
      </c>
      <c r="BL1296" s="113">
        <f>INDEX('Gen. Plant Additions'!$F$7:$AE$91,MATCH($C1296,'Gen. Plant Additions'!$D$7:$D$91,0),MATCH(Calculation!$G1296,'Gen. Plant Additions'!$F$5:$AE$5,0))</f>
        <v>9813</v>
      </c>
      <c r="BM1296" s="231">
        <f t="shared" si="2325"/>
        <v>0.94066733586345175</v>
      </c>
      <c r="BN1296" s="61">
        <f t="shared" si="2362"/>
        <v>9230.7685668280519</v>
      </c>
      <c r="BO1296" s="113">
        <f>INDEX('Dist Plant Depreciation'!$E$7:$AD$94,MATCH($C1296,'Dist Plant Depreciation'!$D$7:$D$94,0),MATCH(Calculation!$G1296,'Dist Plant Depreciation'!$E$5:$AD$5,0))</f>
        <v>771390</v>
      </c>
      <c r="BP1296" s="113">
        <f>INDEX('Gen. Plant Depreciation'!$E$7:$AD$94,MATCH($C1296,'Gen. Plant Depreciation'!$D$7:$D$94,0),MATCH(Calculation!$G1296,'Gen. Plant Depreciation'!$E$5:$AD$5,0))</f>
        <v>59722</v>
      </c>
      <c r="BQ1296" s="113"/>
      <c r="BR1296" s="113"/>
      <c r="BS1296" s="113"/>
      <c r="BT1296" s="113"/>
      <c r="BU1296" s="113"/>
      <c r="BV1296" s="175"/>
      <c r="BW1296" s="113">
        <f>INDEX('Gross Dx Plant'!$E$7:$AD$91,MATCH($C1296,'Gross Dx Plant'!$D$7:$D$91,0),MATCH(Calculation!$G1296,'Gross Dx Plant'!$E$5:$AD$5,0))</f>
        <v>1877033</v>
      </c>
      <c r="BX1296" s="113">
        <f>INDEX('Gross Gen Plant'!$E$7:$AD$91,MATCH($C1296,'Gross Gen Plant'!$D$7:$D$91,0),MATCH(Calculation!$G1296,'Gross Gen Plant'!$E$5:$AD$5,0))</f>
        <v>118394</v>
      </c>
      <c r="BY1296" s="113">
        <f t="shared" si="2318"/>
        <v>1164315</v>
      </c>
      <c r="BZ1296" s="113"/>
      <c r="CA1296" s="116">
        <v>2016</v>
      </c>
      <c r="CB1296" s="113"/>
      <c r="CC1296" s="113"/>
      <c r="CD1296" s="113"/>
      <c r="CE1296" s="175"/>
      <c r="CF1296" s="113">
        <f t="shared" si="2326"/>
        <v>119332</v>
      </c>
      <c r="CG1296" s="113">
        <f t="shared" si="2327"/>
        <v>177.72114628925868</v>
      </c>
      <c r="CH1296" s="178">
        <v>0.88</v>
      </c>
      <c r="CI1296" s="61">
        <f>+CI1278*CH1296+CG1279*CH1295+CG1280*CH1294+CG1281*CH1293+CG1282*CH1292+CG1283*CH1291+CG1284*CH1290+CG1285*CH1289+CG1286*CH1288+CG1287*CH1287+CG1288*CH1286+CG1289*CH1285+CG1290*CH1284+CG1291*CH1283+CG1292*CH1282+CG1293*CH1281+CG1294*CH1280+CG1295*CH1279+CG1296</f>
        <v>4157.7172738015515</v>
      </c>
      <c r="CJ1296" s="114">
        <f t="shared" si="2328"/>
        <v>3.5775839039434904E-2</v>
      </c>
      <c r="CK1296" s="114"/>
      <c r="CL1296" s="169">
        <f t="shared" si="2329"/>
        <v>7.8783082211499478E-3</v>
      </c>
      <c r="CM1296" s="169">
        <f t="shared" si="2337"/>
        <v>7.7789323643291282E-3</v>
      </c>
      <c r="CN1296" s="114">
        <f>VLOOKUP($H1296,RoR!$E:$F,2,FALSE)</f>
        <v>3.6658333333333334E-2</v>
      </c>
      <c r="CO1296" s="169">
        <v>1.0483662879041455E-2</v>
      </c>
      <c r="CP1296" s="169">
        <f t="shared" si="2335"/>
        <v>2.6174670454291879E-2</v>
      </c>
      <c r="CQ1296" s="169">
        <f t="shared" si="2338"/>
        <v>2.3123009244204497E-2</v>
      </c>
      <c r="CR1296" s="169">
        <v>4.301363574220729E-3</v>
      </c>
      <c r="CS1296" s="179">
        <f t="shared" si="2330"/>
        <v>0.85150049999999999</v>
      </c>
      <c r="CT1296" s="180">
        <f t="shared" si="2331"/>
        <v>1.3989193348138562</v>
      </c>
      <c r="CU1296" s="180">
        <f t="shared" si="2332"/>
        <v>0.29302682427824522</v>
      </c>
      <c r="CV1296" s="180">
        <f t="shared" si="2333"/>
        <v>0.76309497491941802</v>
      </c>
      <c r="CW1296" s="180">
        <f t="shared" si="2334"/>
        <v>0.31280857135128509</v>
      </c>
      <c r="CX1296" s="181">
        <f>INDEX('State Tax Lookup'!$D$7:$Z$91,MATCH(Calculation!$C1296,'State Tax Lookup'!$B$7:$B$91,0),MATCH($H1296,'State Tax Lookup'!$D$6:$Z$6,0))</f>
        <v>0.40134999999999998</v>
      </c>
      <c r="CY1296" s="72">
        <v>0.37</v>
      </c>
      <c r="CZ1296" s="70">
        <f t="shared" si="2336"/>
        <v>22.077696200399412</v>
      </c>
      <c r="DA1296" s="70">
        <v>19.909765876209278</v>
      </c>
      <c r="DB1296" s="69">
        <f t="shared" si="2339"/>
        <v>-1.2001012902397195E-2</v>
      </c>
      <c r="DC1296" s="111">
        <f>VLOOKUP($H1296,RoR!$E:$F,2,FALSE)</f>
        <v>3.6658333333333334E-2</v>
      </c>
      <c r="DD1296" s="216">
        <f>HLOOKUP($H1296,'GDP-PI'!$D$8:$CQ$11,3,FALSE)</f>
        <v>1.0483662879041455E-2</v>
      </c>
      <c r="DE1296" s="111">
        <f>VLOOKUP(H1296,'HW Dx Data'!$E:$F,2,FALSE)</f>
        <v>671.45639385971219</v>
      </c>
      <c r="DF1296" s="72">
        <f t="shared" si="2350"/>
        <v>136.94999999999999</v>
      </c>
      <c r="DG1296" s="69">
        <f t="shared" si="2351"/>
        <v>2.5514417868782811E-2</v>
      </c>
      <c r="DH1296" s="66">
        <f>HLOOKUP(H1296,'GDP-PI'!$8:$9,2,FALSE)</f>
        <v>105.736</v>
      </c>
      <c r="DI1296" s="69">
        <f t="shared" si="2340"/>
        <v>1.0429090367205095E-2</v>
      </c>
    </row>
    <row r="1297" spans="1:113" s="160" customFormat="1" ht="21">
      <c r="A1297" s="160" t="s">
        <v>236</v>
      </c>
      <c r="B1297" s="160" t="s">
        <v>236</v>
      </c>
      <c r="C1297" s="160">
        <v>4008752</v>
      </c>
      <c r="D1297" s="161" t="s">
        <v>192</v>
      </c>
      <c r="E1297" s="161"/>
      <c r="F1297" s="189"/>
      <c r="G1297" s="160" t="s">
        <v>135</v>
      </c>
      <c r="H1297" s="162">
        <v>2017</v>
      </c>
      <c r="I1297" s="163"/>
      <c r="J1297" s="159">
        <f>IFERROR(INDEX('Labor Expenditures'!$F$7:$X$91,MATCH($C1297,'Labor Expenditures'!$D$7:$D$91,0),MATCH($G1297,'Labor Expenditures'!$F$5:$X$5,0)),"NA")</f>
        <v>28372.660488100752</v>
      </c>
      <c r="K1297" s="159">
        <f t="shared" si="2341"/>
        <v>202.01253462513887</v>
      </c>
      <c r="L1297" s="165">
        <f t="shared" si="2348"/>
        <v>-6.2628022093471208E-2</v>
      </c>
      <c r="M1297" s="76">
        <f t="shared" si="2352"/>
        <v>-8.0715452506322427E-4</v>
      </c>
      <c r="N1297" s="62">
        <f t="shared" si="2358"/>
        <v>172.25129484471825</v>
      </c>
      <c r="O1297" s="96">
        <f t="shared" si="2353"/>
        <v>-0.57604773199113934</v>
      </c>
      <c r="P1297" s="96"/>
      <c r="Q1297" s="159">
        <f>IFERROR(INDEX('Non-Labor Expenditures'!$F$7:$AB$91,MATCH($C1297,'Non-Labor Expenditures'!$D$7:$D$91,0),MATCH($G1297,'Non-Labor Expenditures'!$F$5:$AB$5,0)),"NA")</f>
        <v>41088.911668768778</v>
      </c>
      <c r="R1297" s="159">
        <f t="shared" si="2342"/>
        <v>381.33206809002957</v>
      </c>
      <c r="S1297" s="165">
        <f t="shared" si="2354"/>
        <v>-5.6269952480050893E-2</v>
      </c>
      <c r="T1297" s="165">
        <f t="shared" si="2355"/>
        <v>-7.2521125929187586E-4</v>
      </c>
      <c r="U1297" s="165"/>
      <c r="V1297" s="165"/>
      <c r="W1297" s="159">
        <f t="shared" si="2324"/>
        <v>83143.12536163535</v>
      </c>
      <c r="X1297" s="163"/>
      <c r="Y1297" s="167">
        <v>4351.5800800438765</v>
      </c>
      <c r="Z1297" s="168">
        <v>4.5572824532491146E-2</v>
      </c>
      <c r="AA1297" s="76">
        <f t="shared" si="2343"/>
        <v>5.8734589264870308E-4</v>
      </c>
      <c r="AB1297" s="168"/>
      <c r="AC1297" s="168"/>
      <c r="AD1297" s="163">
        <f t="shared" si="2363"/>
        <v>152604.69751850487</v>
      </c>
      <c r="AE1297" s="168">
        <f t="shared" si="2356"/>
        <v>-5.1532655638294581E-2</v>
      </c>
      <c r="AF1297" s="163"/>
      <c r="AG1297" s="163"/>
      <c r="AH1297" s="163"/>
      <c r="AI1297" s="163"/>
      <c r="AJ1297" s="116">
        <f t="shared" si="2357"/>
        <v>243.5557041009063</v>
      </c>
      <c r="AK1297" s="114">
        <f>+AV1297/$AX$22</f>
        <v>1.6921716273669393E-2</v>
      </c>
      <c r="AL1297" s="115">
        <f t="shared" si="2344"/>
        <v>0.18592258920902666</v>
      </c>
      <c r="AM1297" s="115">
        <f t="shared" si="2345"/>
        <v>0.26925063472431005</v>
      </c>
      <c r="AN1297" s="115">
        <f t="shared" si="2346"/>
        <v>0.54482677606666341</v>
      </c>
      <c r="AO1297" s="115">
        <f t="shared" si="2349"/>
        <v>-1.6316524109914951E-3</v>
      </c>
      <c r="AP1297" s="166">
        <f t="shared" si="2360"/>
        <v>101.66786771730546</v>
      </c>
      <c r="AQ1297" s="168">
        <f t="shared" si="2361"/>
        <v>-1.6316524109914975E-3</v>
      </c>
      <c r="AR1297" s="169">
        <f>+AD1297/$AF$22</f>
        <v>1.2888073071484846E-2</v>
      </c>
      <c r="AS1297" s="169">
        <f t="shared" si="2359"/>
        <v>-2.1028855500122843E-5</v>
      </c>
      <c r="AT1297" s="115"/>
      <c r="AU1297" s="115"/>
      <c r="AV1297" s="113">
        <f>IFERROR(INDEX('Total Customers'!$F$7:$AB$91,MATCH($C1297,'Total Customers'!$D$7:$D$91,0),MATCH($G1297,'Total Customers'!$F$5:$AB$5,0)),"NA")</f>
        <v>626570</v>
      </c>
      <c r="AW1297" s="68">
        <f t="shared" si="2347"/>
        <v>9.9250825963298501E-3</v>
      </c>
      <c r="AX1297" s="114"/>
      <c r="AY1297" s="114"/>
      <c r="AZ1297" s="116"/>
      <c r="BA1297" s="116"/>
      <c r="BB1297" s="166"/>
      <c r="BC1297" s="166"/>
      <c r="BD1297" s="166"/>
      <c r="BE1297" s="166"/>
      <c r="BF1297" s="166"/>
      <c r="BG1297" s="166"/>
      <c r="BH1297" s="166"/>
      <c r="BI1297" s="113"/>
      <c r="BJ1297" s="113"/>
      <c r="BK1297" s="113">
        <f>INDEX('Dist. Plant Gas Additions'!$F$7:$AE$91,MATCH($C1297,'Dist. Plant Gas Additions'!$D$7:$D$91,0),MATCH(Calculation!$G1297,'Dist. Plant Gas Additions'!$F$5:$AE$5,0))</f>
        <v>149642</v>
      </c>
      <c r="BL1297" s="113">
        <f>INDEX('Gen. Plant Additions'!$F$7:$AE$91,MATCH($C1297,'Gen. Plant Additions'!$D$7:$D$91,0),MATCH(Calculation!$G1297,'Gen. Plant Additions'!$F$5:$AE$5,0))</f>
        <v>12465</v>
      </c>
      <c r="BM1297" s="231">
        <f t="shared" si="2325"/>
        <v>0.94288352700878608</v>
      </c>
      <c r="BN1297" s="61">
        <f t="shared" si="2362"/>
        <v>11753.043164164519</v>
      </c>
      <c r="BO1297" s="113">
        <f>INDEX('Dist Plant Depreciation'!$E$7:$AD$94,MATCH($C1297,'Dist Plant Depreciation'!$D$7:$D$94,0),MATCH(Calculation!$G1297,'Dist Plant Depreciation'!$E$5:$AD$5,0))</f>
        <v>796100</v>
      </c>
      <c r="BP1297" s="113">
        <f>INDEX('Gen. Plant Depreciation'!$E$7:$AD$94,MATCH($C1297,'Gen. Plant Depreciation'!$D$7:$D$94,0),MATCH(Calculation!$G1297,'Gen. Plant Depreciation'!$E$5:$AD$5,0))</f>
        <v>59381</v>
      </c>
      <c r="BQ1297" s="113"/>
      <c r="BR1297" s="113"/>
      <c r="BS1297" s="113"/>
      <c r="BT1297" s="113"/>
      <c r="BU1297" s="113"/>
      <c r="BV1297" s="175"/>
      <c r="BW1297" s="113">
        <f>INDEX('Gross Dx Plant'!$E$7:$AD$91,MATCH($C1297,'Gross Dx Plant'!$D$7:$D$91,0),MATCH(Calculation!$G1297,'Gross Dx Plant'!$E$5:$AD$5,0))</f>
        <v>2014531</v>
      </c>
      <c r="BX1297" s="113">
        <f>INDEX('Gross Gen Plant'!$E$7:$AD$91,MATCH($C1297,'Gross Gen Plant'!$D$7:$D$91,0),MATCH(Calculation!$G1297,'Gross Gen Plant'!$E$5:$AD$5,0))</f>
        <v>122033</v>
      </c>
      <c r="BY1297" s="113">
        <f t="shared" si="2318"/>
        <v>1281083</v>
      </c>
      <c r="BZ1297" s="113"/>
      <c r="CA1297" s="116">
        <v>2017</v>
      </c>
      <c r="CB1297" s="113"/>
      <c r="CC1297" s="113"/>
      <c r="CD1297" s="113"/>
      <c r="CE1297" s="175"/>
      <c r="CF1297" s="113">
        <f t="shared" si="2326"/>
        <v>162107</v>
      </c>
      <c r="CG1297" s="113">
        <f t="shared" si="2327"/>
        <v>227.54140373983043</v>
      </c>
      <c r="CH1297" s="178">
        <v>0.87074829931972786</v>
      </c>
      <c r="CI1297" s="61">
        <f>+CI1278*CH1297+CG1279*CH1296+CG1280*CH1295+CG1281*CH1294+CG1282*CH1293+CG1283*CH1292+CG1284*CH1291+CG1285*CH1290+CG1286*CH1289+CG1287*CH1288+CG1288*CH1287+CG1289*CH1286+CG1290*CH1285+CG1291*CH1284+CG1292*CH1283+CG1293*CH1282+CG1294*CH1281+CG1295*CH1280+CG1296*CH1279+CG1297</f>
        <v>4351.5800800438765</v>
      </c>
      <c r="CJ1297" s="114">
        <f t="shared" si="2328"/>
        <v>4.5572824532491146E-2</v>
      </c>
      <c r="CK1297" s="114"/>
      <c r="CL1297" s="169">
        <f t="shared" si="2329"/>
        <v>8.1002615809689042E-3</v>
      </c>
      <c r="CM1297" s="169">
        <f t="shared" si="2337"/>
        <v>7.9294796796758726E-3</v>
      </c>
      <c r="CN1297" s="114">
        <f>VLOOKUP($H1297,RoR!$E:$F,2,FALSE)</f>
        <v>3.7433333333333339E-2</v>
      </c>
      <c r="CO1297" s="169">
        <v>1.9056896421275615E-2</v>
      </c>
      <c r="CP1297" s="169">
        <f t="shared" si="2335"/>
        <v>1.8376436912057724E-2</v>
      </c>
      <c r="CQ1297" s="169">
        <f t="shared" si="2338"/>
        <v>2.2972461928857754E-2</v>
      </c>
      <c r="CR1297" s="169">
        <v>1.3976271617800498E-2</v>
      </c>
      <c r="CS1297" s="179">
        <f t="shared" si="2330"/>
        <v>0.90330050000000006</v>
      </c>
      <c r="CT1297" s="180">
        <f t="shared" si="2331"/>
        <v>1.3699568463593395</v>
      </c>
      <c r="CU1297" s="180">
        <f t="shared" si="2332"/>
        <v>0.30714603739982199</v>
      </c>
      <c r="CV1297" s="180">
        <f t="shared" si="2333"/>
        <v>0.77007188472689425</v>
      </c>
      <c r="CW1297" s="180">
        <f t="shared" si="2334"/>
        <v>0.32402839633793828</v>
      </c>
      <c r="CX1297" s="181">
        <f>INDEX('State Tax Lookup'!$D$7:$Z$91,MATCH(Calculation!$C1297,'State Tax Lookup'!$B$7:$B$91,0),MATCH($H1297,'State Tax Lookup'!$D$6:$Z$6,0))</f>
        <v>0.26134999999999997</v>
      </c>
      <c r="CY1297" s="72">
        <v>0.37</v>
      </c>
      <c r="CZ1297" s="70">
        <f t="shared" si="2336"/>
        <v>19.997301376294541</v>
      </c>
      <c r="DA1297" s="70">
        <v>18.231812616449311</v>
      </c>
      <c r="DB1297" s="69">
        <f t="shared" si="2339"/>
        <v>-9.8970543950515175E-2</v>
      </c>
      <c r="DC1297" s="111">
        <f>VLOOKUP($H1297,RoR!$E:$F,2,FALSE)</f>
        <v>3.7433333333333339E-2</v>
      </c>
      <c r="DD1297" s="216">
        <f>HLOOKUP($H1297,'GDP-PI'!$D$8:$CQ$11,3,FALSE)</f>
        <v>1.9056896421275615E-2</v>
      </c>
      <c r="DE1297" s="111">
        <f>VLOOKUP(H1297,'HW Dx Data'!$E:$F,2,FALSE)</f>
        <v>712.42858370229726</v>
      </c>
      <c r="DF1297" s="72">
        <f t="shared" si="2350"/>
        <v>140.44999999999999</v>
      </c>
      <c r="DG1297" s="69">
        <f t="shared" si="2351"/>
        <v>2.5235657841165486E-2</v>
      </c>
      <c r="DH1297" s="66">
        <f>HLOOKUP(H1297,'GDP-PI'!$8:$9,2,FALSE)</f>
        <v>107.751</v>
      </c>
      <c r="DI1297" s="69">
        <f t="shared" si="2340"/>
        <v>1.8877588227745139E-2</v>
      </c>
    </row>
    <row r="1298" spans="1:113" s="160" customFormat="1" ht="21">
      <c r="A1298" s="160" t="s">
        <v>236</v>
      </c>
      <c r="B1298" s="160" t="s">
        <v>236</v>
      </c>
      <c r="C1298" s="160">
        <v>4008752</v>
      </c>
      <c r="D1298" s="161" t="s">
        <v>192</v>
      </c>
      <c r="E1298" s="161"/>
      <c r="F1298" s="189"/>
      <c r="G1298" s="160" t="s">
        <v>136</v>
      </c>
      <c r="H1298" s="162">
        <v>2018</v>
      </c>
      <c r="I1298" s="163"/>
      <c r="J1298" s="159">
        <f>IFERROR(INDEX('Labor Expenditures'!$F$7:$X$91,MATCH($C1298,'Labor Expenditures'!$D$7:$D$91,0),MATCH($G1298,'Labor Expenditures'!$F$5:$X$5,0)),"NA")</f>
        <v>28997.248915172193</v>
      </c>
      <c r="K1298" s="159">
        <f t="shared" si="2341"/>
        <v>200.74246393334852</v>
      </c>
      <c r="L1298" s="165">
        <f t="shared" si="2348"/>
        <v>-6.3069355133827769E-3</v>
      </c>
      <c r="M1298" s="76">
        <f t="shared" si="2352"/>
        <v>-7.9606220566428616E-5</v>
      </c>
      <c r="N1298" s="62">
        <f t="shared" si="2358"/>
        <v>118.44623545395737</v>
      </c>
      <c r="O1298" s="96">
        <f t="shared" si="2353"/>
        <v>-0.37449527873756161</v>
      </c>
      <c r="P1298" s="96"/>
      <c r="Q1298" s="159">
        <f>IFERROR(INDEX('Non-Labor Expenditures'!$F$7:$AB$91,MATCH($C1298,'Non-Labor Expenditures'!$D$7:$D$91,0),MATCH($G1298,'Non-Labor Expenditures'!$F$5:$AB$5,0)),"NA")</f>
        <v>41993.432368194786</v>
      </c>
      <c r="R1298" s="159">
        <f t="shared" si="2342"/>
        <v>380.64422661114543</v>
      </c>
      <c r="S1298" s="165">
        <f t="shared" si="2354"/>
        <v>-1.8054148678998243E-3</v>
      </c>
      <c r="T1298" s="165">
        <f t="shared" si="2355"/>
        <v>-2.2787969511179665E-5</v>
      </c>
      <c r="U1298" s="165"/>
      <c r="V1298" s="165"/>
      <c r="W1298" s="159">
        <f t="shared" si="2324"/>
        <v>91461.767454534231</v>
      </c>
      <c r="X1298" s="163"/>
      <c r="Y1298" s="167">
        <v>4509.9040523114427</v>
      </c>
      <c r="Z1298" s="168">
        <v>3.5736862918454557E-2</v>
      </c>
      <c r="AA1298" s="76">
        <f t="shared" si="2343"/>
        <v>4.5107113998583509E-4</v>
      </c>
      <c r="AB1298" s="168"/>
      <c r="AC1298" s="168"/>
      <c r="AD1298" s="163">
        <f t="shared" si="2363"/>
        <v>162452.44873790123</v>
      </c>
      <c r="AE1298" s="168">
        <f t="shared" si="2356"/>
        <v>6.2534434205025857E-2</v>
      </c>
      <c r="AF1298" s="163"/>
      <c r="AG1298" s="163"/>
      <c r="AH1298" s="163"/>
      <c r="AI1298" s="163"/>
      <c r="AJ1298" s="116">
        <f t="shared" si="2357"/>
        <v>256.72248589256731</v>
      </c>
      <c r="AK1298" s="114">
        <f>+AV1298/$AX$23</f>
        <v>1.6940136822349284E-2</v>
      </c>
      <c r="AL1298" s="115">
        <f t="shared" si="2344"/>
        <v>0.17849684101688115</v>
      </c>
      <c r="AM1298" s="115">
        <f t="shared" si="2345"/>
        <v>0.25849676440363462</v>
      </c>
      <c r="AN1298" s="115">
        <f t="shared" si="2346"/>
        <v>0.56300639457948409</v>
      </c>
      <c r="AO1298" s="115">
        <f t="shared" si="2349"/>
        <v>1.816965465437935E-2</v>
      </c>
      <c r="AP1298" s="166">
        <f t="shared" si="2360"/>
        <v>103.53202199778337</v>
      </c>
      <c r="AQ1298" s="168">
        <f t="shared" si="2361"/>
        <v>1.816965465437935E-2</v>
      </c>
      <c r="AR1298" s="169">
        <f>+AD1298/$AF$23</f>
        <v>1.2622012766344453E-2</v>
      </c>
      <c r="AS1298" s="169">
        <f t="shared" si="2359"/>
        <v>2.2933761300764606E-4</v>
      </c>
      <c r="AT1298" s="115"/>
      <c r="AU1298" s="115"/>
      <c r="AV1298" s="113">
        <f>IFERROR(INDEX('Total Customers'!$F$7:$AB$91,MATCH($C1298,'Total Customers'!$D$7:$D$91,0),MATCH($G1298,'Total Customers'!$F$5:$AB$5,0)),"NA")</f>
        <v>632794</v>
      </c>
      <c r="AW1298" s="68">
        <f t="shared" si="2347"/>
        <v>9.8844348015583207E-3</v>
      </c>
      <c r="AX1298" s="114"/>
      <c r="AY1298" s="114"/>
      <c r="AZ1298" s="116"/>
      <c r="BA1298" s="116"/>
      <c r="BB1298" s="166"/>
      <c r="BC1298" s="166"/>
      <c r="BD1298" s="166"/>
      <c r="BE1298" s="166"/>
      <c r="BF1298" s="166"/>
      <c r="BG1298" s="166"/>
      <c r="BH1298" s="166"/>
      <c r="BI1298" s="113"/>
      <c r="BJ1298" s="113"/>
      <c r="BK1298" s="113">
        <f>INDEX('Dist. Plant Gas Additions'!$F$7:$AE$91,MATCH($C1298,'Dist. Plant Gas Additions'!$D$7:$D$91,0),MATCH(Calculation!$G1298,'Dist. Plant Gas Additions'!$F$5:$AE$5,0))</f>
        <v>134043</v>
      </c>
      <c r="BL1298" s="113">
        <f>INDEX('Gen. Plant Additions'!$F$7:$AE$91,MATCH($C1298,'Gen. Plant Additions'!$D$7:$D$91,0),MATCH(Calculation!$G1298,'Gen. Plant Additions'!$F$5:$AE$5,0))</f>
        <v>12771</v>
      </c>
      <c r="BM1298" s="231">
        <f t="shared" si="2325"/>
        <v>0.94815996555956195</v>
      </c>
      <c r="BN1298" s="61">
        <f t="shared" si="2362"/>
        <v>12108.950920161165</v>
      </c>
      <c r="BO1298" s="113">
        <f>INDEX('Dist Plant Depreciation'!$E$7:$AD$94,MATCH($C1298,'Dist Plant Depreciation'!$D$7:$D$94,0),MATCH(Calculation!$G1298,'Dist Plant Depreciation'!$E$5:$AD$5,0))</f>
        <v>827324</v>
      </c>
      <c r="BP1298" s="113">
        <f>INDEX('Gen. Plant Depreciation'!$E$7:$AD$94,MATCH($C1298,'Gen. Plant Depreciation'!$D$7:$D$94,0),MATCH(Calculation!$G1298,'Gen. Plant Depreciation'!$E$5:$AD$5,0))</f>
        <v>51133</v>
      </c>
      <c r="BQ1298" s="113"/>
      <c r="BR1298" s="113"/>
      <c r="BS1298" s="113"/>
      <c r="BT1298" s="113"/>
      <c r="BU1298" s="113"/>
      <c r="BV1298" s="175"/>
      <c r="BW1298" s="113">
        <f>INDEX('Gross Dx Plant'!$E$7:$AD$91,MATCH($C1298,'Gross Dx Plant'!$D$7:$D$91,0),MATCH(Calculation!$G1298,'Gross Dx Plant'!$E$5:$AD$5,0))</f>
        <v>2140766</v>
      </c>
      <c r="BX1298" s="113">
        <f>INDEX('Gross Gen Plant'!$E$7:$AD$91,MATCH($C1298,'Gross Gen Plant'!$D$7:$D$91,0),MATCH(Calculation!$G1298,'Gross Gen Plant'!$E$5:$AD$5,0))</f>
        <v>117045</v>
      </c>
      <c r="BY1298" s="113">
        <f t="shared" si="2318"/>
        <v>1379354</v>
      </c>
      <c r="BZ1298" s="113"/>
      <c r="CA1298" s="116">
        <v>2018</v>
      </c>
      <c r="CB1298" s="113"/>
      <c r="CC1298" s="113"/>
      <c r="CD1298" s="113"/>
      <c r="CE1298" s="175"/>
      <c r="CF1298" s="113">
        <f t="shared" si="2326"/>
        <v>146814</v>
      </c>
      <c r="CG1298" s="113">
        <f t="shared" si="2327"/>
        <v>194.42042376124905</v>
      </c>
      <c r="CH1298" s="178">
        <v>0.86111111111111116</v>
      </c>
      <c r="CI1298" s="61">
        <f>+CI1278*CH1298++CG1279*CH1297+CG1280*CH1296+CG1281*CH1295+CG1282*CH1294+CG1283*CH1293+CG1284*CH1292+CG1285*CH1291+CG1286*CH1290+CG1287*CH1289+CG1288*CH1288+CG1289*CH1287+CG1290*CH1286+CG1291*CH1285+CG1292*CH1284+CG1293*CH1283+CG1294*CH1282+CG1295*CH1281+CG1296*CH1280+CG1297*CH1279+CG1298</f>
        <v>4509.9040523114427</v>
      </c>
      <c r="CJ1298" s="114">
        <f t="shared" si="2328"/>
        <v>3.5736862918454557E-2</v>
      </c>
      <c r="CK1298" s="114"/>
      <c r="CL1298" s="169">
        <f t="shared" si="2329"/>
        <v>8.2950217690395556E-3</v>
      </c>
      <c r="CM1298" s="169">
        <f t="shared" si="2337"/>
        <v>8.091197190386137E-3</v>
      </c>
      <c r="CN1298" s="114">
        <f>VLOOKUP($H1298,RoR!$E:$F,2,FALSE)</f>
        <v>3.9299999999999995E-2</v>
      </c>
      <c r="CO1298" s="169">
        <v>2.386056741932796E-2</v>
      </c>
      <c r="CP1298" s="169">
        <f t="shared" si="2335"/>
        <v>1.5439432580672034E-2</v>
      </c>
      <c r="CQ1298" s="169">
        <f t="shared" si="2338"/>
        <v>2.281074441814749E-2</v>
      </c>
      <c r="CR1298" s="169">
        <v>3.8270792163076606E-2</v>
      </c>
      <c r="CS1298" s="179">
        <f t="shared" si="2330"/>
        <v>0.90330050000000006</v>
      </c>
      <c r="CT1298" s="180">
        <f t="shared" si="2331"/>
        <v>1.3048868010700074</v>
      </c>
      <c r="CU1298" s="180">
        <f t="shared" si="2332"/>
        <v>0.33886768447837151</v>
      </c>
      <c r="CV1298" s="180">
        <f t="shared" si="2333"/>
        <v>0.78602506232557801</v>
      </c>
      <c r="CW1298" s="180">
        <f t="shared" si="2334"/>
        <v>0.34756768162358759</v>
      </c>
      <c r="CX1298" s="181">
        <f>INDEX('State Tax Lookup'!$D$7:$Z$91,MATCH(Calculation!$C1298,'State Tax Lookup'!$B$7:$B$91,0),MATCH($H1298,'State Tax Lookup'!$D$6:$Z$6,0))</f>
        <v>0.26134999999999997</v>
      </c>
      <c r="CY1298" s="72">
        <v>0.37</v>
      </c>
      <c r="CZ1298" s="70">
        <f t="shared" si="2336"/>
        <v>21.018059135341026</v>
      </c>
      <c r="DA1298" s="70">
        <v>19.050901628905343</v>
      </c>
      <c r="DB1298" s="69">
        <f t="shared" si="2339"/>
        <v>4.9784693731760012E-2</v>
      </c>
      <c r="DC1298" s="111">
        <f>VLOOKUP($H1298,RoR!$E:$F,2,FALSE)</f>
        <v>3.9299999999999995E-2</v>
      </c>
      <c r="DD1298" s="216">
        <f>HLOOKUP($H1298,'GDP-PI'!$D$8:$CQ$11,3,FALSE)</f>
        <v>2.386056741932796E-2</v>
      </c>
      <c r="DE1298" s="111">
        <f>VLOOKUP(H1298,'HW Dx Data'!$E:$F,2,FALSE)</f>
        <v>755.13671434174842</v>
      </c>
      <c r="DF1298" s="72">
        <f t="shared" si="2350"/>
        <v>144.44999999999999</v>
      </c>
      <c r="DG1298" s="69">
        <f t="shared" si="2351"/>
        <v>2.80818733619915E-2</v>
      </c>
      <c r="DH1298" s="66">
        <f>HLOOKUP(H1298,'GDP-PI'!$8:$9,2,FALSE)</f>
        <v>110.322</v>
      </c>
      <c r="DI1298" s="69">
        <f t="shared" si="2340"/>
        <v>2.3580352716508712E-2</v>
      </c>
    </row>
    <row r="1299" spans="1:113" s="160" customFormat="1" ht="21">
      <c r="A1299" s="160" t="s">
        <v>236</v>
      </c>
      <c r="B1299" s="160" t="s">
        <v>236</v>
      </c>
      <c r="C1299" s="160">
        <v>4008752</v>
      </c>
      <c r="D1299" s="161" t="s">
        <v>192</v>
      </c>
      <c r="E1299" s="161"/>
      <c r="F1299" s="189"/>
      <c r="G1299" s="160" t="s">
        <v>140</v>
      </c>
      <c r="H1299" s="162">
        <v>2019</v>
      </c>
      <c r="I1299" s="163"/>
      <c r="J1299" s="159">
        <f>IFERROR(INDEX('Labor Expenditures'!$F$7:$X$91,MATCH($C1299,'Labor Expenditures'!$D$7:$D$91,0),MATCH($G1299,'Labor Expenditures'!$F$5:$X$5,0)),"NA")</f>
        <v>32398.991040669644</v>
      </c>
      <c r="K1299" s="159">
        <f t="shared" si="2341"/>
        <v>216.46227520073253</v>
      </c>
      <c r="L1299" s="165">
        <f t="shared" si="2348"/>
        <v>7.5393471201713566E-2</v>
      </c>
      <c r="M1299" s="76">
        <f t="shared" si="2352"/>
        <v>9.9683133722081279E-4</v>
      </c>
      <c r="N1299" s="62">
        <f t="shared" si="2358"/>
        <v>117.51535736536094</v>
      </c>
      <c r="O1299" s="96">
        <f t="shared" si="2353"/>
        <v>-7.8901223433168414E-3</v>
      </c>
      <c r="P1299" s="96"/>
      <c r="Q1299" s="159">
        <f>IFERROR(INDEX('Non-Labor Expenditures'!$F$7:$AB$91,MATCH($C1299,'Non-Labor Expenditures'!$D$7:$D$91,0),MATCH($G1299,'Non-Labor Expenditures'!$F$5:$AB$5,0)),"NA")</f>
        <v>46919.790323703215</v>
      </c>
      <c r="R1299" s="159">
        <f t="shared" si="2342"/>
        <v>417.74061436014898</v>
      </c>
      <c r="S1299" s="165">
        <f t="shared" si="2354"/>
        <v>9.2995549649483464E-2</v>
      </c>
      <c r="T1299" s="165">
        <f t="shared" si="2355"/>
        <v>1.2295610831428616E-3</v>
      </c>
      <c r="U1299" s="165"/>
      <c r="V1299" s="165"/>
      <c r="W1299" s="159">
        <f t="shared" si="2324"/>
        <v>96124.754485169586</v>
      </c>
      <c r="X1299" s="163"/>
      <c r="Y1299" s="167">
        <v>4690.6845415827329</v>
      </c>
      <c r="Z1299" s="168">
        <v>3.9302650644716275E-2</v>
      </c>
      <c r="AA1299" s="76">
        <f t="shared" si="2343"/>
        <v>5.1964862704987789E-4</v>
      </c>
      <c r="AB1299" s="168"/>
      <c r="AC1299" s="168"/>
      <c r="AD1299" s="163">
        <f t="shared" si="2363"/>
        <v>175443.53584954244</v>
      </c>
      <c r="AE1299" s="168">
        <f t="shared" si="2356"/>
        <v>7.6931922291791729E-2</v>
      </c>
      <c r="AF1299" s="163"/>
      <c r="AG1299" s="163"/>
      <c r="AH1299" s="163"/>
      <c r="AI1299" s="163"/>
      <c r="AJ1299" s="116">
        <f t="shared" si="2357"/>
        <v>274.66354370441144</v>
      </c>
      <c r="AK1299" s="114">
        <f>+AV1299/$AX$24</f>
        <v>1.6958770247953895E-2</v>
      </c>
      <c r="AL1299" s="115">
        <f t="shared" si="2344"/>
        <v>0.18466904969616263</v>
      </c>
      <c r="AM1299" s="115">
        <f t="shared" si="2345"/>
        <v>0.26743527538079759</v>
      </c>
      <c r="AN1299" s="115">
        <f t="shared" si="2346"/>
        <v>0.54789567492303981</v>
      </c>
      <c r="AO1299" s="115">
        <f t="shared" si="2349"/>
        <v>5.9975536089547914E-2</v>
      </c>
      <c r="AP1299" s="166">
        <f t="shared" si="2360"/>
        <v>109.93139531027747</v>
      </c>
      <c r="AQ1299" s="168">
        <f t="shared" si="2361"/>
        <v>5.9975536089547921E-2</v>
      </c>
      <c r="AR1299" s="169">
        <f>+AD1299/$AF$24</f>
        <v>1.3221719617522484E-2</v>
      </c>
      <c r="AS1299" s="169">
        <f t="shared" si="2359"/>
        <v>7.9297972208660348E-4</v>
      </c>
      <c r="AT1299" s="115"/>
      <c r="AU1299" s="115"/>
      <c r="AV1299" s="113">
        <f>IFERROR(INDEX('Total Customers'!$F$7:$AB$91,MATCH($C1299,'Total Customers'!$D$7:$D$91,0),MATCH($G1299,'Total Customers'!$F$5:$AB$5,0)),"NA")</f>
        <v>638758</v>
      </c>
      <c r="AW1299" s="68">
        <f t="shared" si="2347"/>
        <v>9.3807311616041431E-3</v>
      </c>
      <c r="AX1299" s="114"/>
      <c r="AY1299" s="114"/>
      <c r="AZ1299" s="116"/>
      <c r="BA1299" s="116"/>
      <c r="BB1299" s="166"/>
      <c r="BC1299" s="166"/>
      <c r="BD1299" s="166"/>
      <c r="BE1299" s="166"/>
      <c r="BF1299" s="166"/>
      <c r="BG1299" s="166"/>
      <c r="BH1299" s="166"/>
      <c r="BI1299" s="113"/>
      <c r="BJ1299" s="113"/>
      <c r="BK1299" s="113">
        <f>INDEX('Dist. Plant Gas Additions'!$F$7:$AE$91,MATCH($C1299,'Dist. Plant Gas Additions'!$D$7:$D$91,0),MATCH(Calculation!$G1299,'Dist. Plant Gas Additions'!$F$5:$AE$5,0))</f>
        <v>156761</v>
      </c>
      <c r="BL1299" s="113">
        <f>INDEX('Gen. Plant Additions'!$F$7:$AE$91,MATCH($C1299,'Gen. Plant Additions'!$D$7:$D$91,0),MATCH(Calculation!$G1299,'Gen. Plant Additions'!$F$5:$AE$5,0))</f>
        <v>12830</v>
      </c>
      <c r="BM1299" s="231">
        <f t="shared" si="2325"/>
        <v>0.95318790777637874</v>
      </c>
      <c r="BN1299" s="61">
        <f t="shared" si="2362"/>
        <v>12229.400856770939</v>
      </c>
      <c r="BO1299" s="113">
        <f>INDEX('Dist Plant Depreciation'!$E$7:$AD$94,MATCH($C1299,'Dist Plant Depreciation'!$D$7:$D$94,0),MATCH(Calculation!$G1299,'Dist Plant Depreciation'!$E$5:$AD$5,0))</f>
        <v>855980</v>
      </c>
      <c r="BP1299" s="113">
        <f>INDEX('Gen. Plant Depreciation'!$E$7:$AD$94,MATCH($C1299,'Gen. Plant Depreciation'!$D$7:$D$94,0),MATCH(Calculation!$G1299,'Gen. Plant Depreciation'!$E$5:$AD$5,0))</f>
        <v>43290</v>
      </c>
      <c r="BQ1299" s="113"/>
      <c r="BR1299" s="113"/>
      <c r="BS1299" s="113"/>
      <c r="BT1299" s="113"/>
      <c r="BU1299" s="113"/>
      <c r="BV1299" s="175"/>
      <c r="BW1299" s="113">
        <f>INDEX('Gross Dx Plant'!$E$7:$AD$91,MATCH($C1299,'Gross Dx Plant'!$D$7:$D$91,0),MATCH(Calculation!$G1299,'Gross Dx Plant'!$E$5:$AD$5,0))</f>
        <v>2285370</v>
      </c>
      <c r="BX1299" s="113">
        <f>INDEX('Gross Gen Plant'!$E$7:$AD$91,MATCH($C1299,'Gross Gen Plant'!$D$7:$D$91,0),MATCH(Calculation!$G1299,'Gross Gen Plant'!$E$5:$AD$5,0))</f>
        <v>112237</v>
      </c>
      <c r="BY1299" s="113">
        <f t="shared" si="2318"/>
        <v>1498337</v>
      </c>
      <c r="BZ1299" s="113"/>
      <c r="CA1299" s="116">
        <v>2019</v>
      </c>
      <c r="CB1299" s="113"/>
      <c r="CC1299" s="113"/>
      <c r="CD1299" s="113"/>
      <c r="CE1299" s="175"/>
      <c r="CF1299" s="113">
        <f t="shared" si="2326"/>
        <v>169591</v>
      </c>
      <c r="CG1299" s="113">
        <f t="shared" si="2327"/>
        <v>219.24031584661489</v>
      </c>
      <c r="CH1299" s="178">
        <v>0.85106382978723405</v>
      </c>
      <c r="CI1299" s="61">
        <f>CI1278*CH1299+CG1279*CH1298+CG1280*CH1297+CG1281*CH1296+CG1282*CH1295+CG1283*CH1294+CG1284*CH1293+CG1285*CH1292+CG1286*CH1291+CG1287*CH1290+CG1288*CH1289+CG1289*CH1288+CG1290*CH1287+CG1291*CH1286+CG1292*CH1285+CG1293*CH1284+CG1294*CH1283+CG1295*CH1282+CG1296*CH1281+CG1297*CH1280+CG1298*CH1279+CG1299</f>
        <v>4690.6845415827329</v>
      </c>
      <c r="CJ1299" s="114">
        <f t="shared" si="2328"/>
        <v>3.9302650644716275E-2</v>
      </c>
      <c r="CK1299" s="114"/>
      <c r="CL1299" s="169">
        <f t="shared" si="2329"/>
        <v>8.5278591582481737E-3</v>
      </c>
      <c r="CM1299" s="169">
        <f t="shared" si="2337"/>
        <v>8.3077141694188773E-3</v>
      </c>
      <c r="CN1299" s="114">
        <f>VLOOKUP($H1299,RoR!$E:$F,2,FALSE)</f>
        <v>3.3875000000000009E-2</v>
      </c>
      <c r="CO1299" s="169">
        <v>1.8092492884465461E-2</v>
      </c>
      <c r="CP1299" s="169">
        <f t="shared" si="2335"/>
        <v>1.5782507115534548E-2</v>
      </c>
      <c r="CQ1299" s="169">
        <f t="shared" si="2338"/>
        <v>2.2594227439114746E-2</v>
      </c>
      <c r="CR1299" s="169">
        <v>4.8445665544254078E-2</v>
      </c>
      <c r="CS1299" s="179">
        <f t="shared" si="2330"/>
        <v>0.90330050000000006</v>
      </c>
      <c r="CT1299" s="180">
        <f t="shared" si="2331"/>
        <v>1.513861292459078</v>
      </c>
      <c r="CU1299" s="180">
        <f t="shared" si="2332"/>
        <v>0.23699261992619944</v>
      </c>
      <c r="CV1299" s="180">
        <f t="shared" si="2333"/>
        <v>0.73619765810468829</v>
      </c>
      <c r="CW1299" s="180">
        <f t="shared" si="2334"/>
        <v>0.26412854465362851</v>
      </c>
      <c r="CX1299" s="181">
        <f>INDEX('State Tax Lookup'!$D$7:$Z$91,MATCH(Calculation!$C1299,'State Tax Lookup'!$B$7:$B$91,0),MATCH($H1299,'State Tax Lookup'!$D$6:$Z$6,0))</f>
        <v>0.26134999999999997</v>
      </c>
      <c r="CY1299" s="72">
        <v>0.37</v>
      </c>
      <c r="CZ1299" s="70">
        <f t="shared" si="2336"/>
        <v>21.314146236859109</v>
      </c>
      <c r="DA1299" s="70">
        <v>19.236104090735289</v>
      </c>
      <c r="DB1299" s="69">
        <f t="shared" si="2339"/>
        <v>1.3988967849396735E-2</v>
      </c>
      <c r="DC1299" s="111">
        <f>VLOOKUP($H1299,RoR!$E:$F,2,FALSE)</f>
        <v>3.3875000000000009E-2</v>
      </c>
      <c r="DD1299" s="216">
        <f>HLOOKUP($H1299,'GDP-PI'!$D$8:$CQ$11,3,FALSE)</f>
        <v>1.8092492884465461E-2</v>
      </c>
      <c r="DE1299" s="111">
        <f>VLOOKUP(H1299,'HW Dx Data'!$E:$F,2,FALSE)</f>
        <v>773.53929793938721</v>
      </c>
      <c r="DF1299" s="72">
        <f t="shared" si="2350"/>
        <v>149.67500000000001</v>
      </c>
      <c r="DG1299" s="69">
        <f t="shared" si="2351"/>
        <v>3.5532849899171604E-2</v>
      </c>
      <c r="DH1299" s="66">
        <f>HLOOKUP(H1299,'GDP-PI'!$8:$9,2,FALSE)</f>
        <v>112.318</v>
      </c>
      <c r="DI1299" s="69">
        <f t="shared" si="2340"/>
        <v>1.7930771451401852E-2</v>
      </c>
    </row>
    <row r="1300" spans="1:113" s="160" customFormat="1" ht="21">
      <c r="A1300" s="160" t="s">
        <v>236</v>
      </c>
      <c r="B1300" s="160" t="s">
        <v>236</v>
      </c>
      <c r="C1300" s="160">
        <v>4008752</v>
      </c>
      <c r="D1300" s="160" t="s">
        <v>192</v>
      </c>
      <c r="G1300" s="161" t="s">
        <v>141</v>
      </c>
      <c r="H1300" s="162">
        <v>2020</v>
      </c>
      <c r="I1300" s="163"/>
      <c r="J1300" s="159">
        <v>31117.178481389019</v>
      </c>
      <c r="K1300" s="159">
        <f t="shared" si="2341"/>
        <v>203.18105440018948</v>
      </c>
      <c r="L1300" s="165">
        <f t="shared" si="2348"/>
        <v>-6.331880862602958E-2</v>
      </c>
      <c r="M1300" s="76">
        <f t="shared" si="2352"/>
        <v>-8.3465941929250183E-4</v>
      </c>
      <c r="N1300" s="62">
        <f t="shared" si="2358"/>
        <v>117.35354516164529</v>
      </c>
      <c r="O1300" s="96">
        <f t="shared" si="2353"/>
        <v>-1.3778940300394834E-3</v>
      </c>
      <c r="P1300" s="96"/>
      <c r="Q1300" s="159">
        <f>IFERROR(INDEX('Non-Labor Expenditures'!$F$7:$AB$91,MATCH($C1300,'Non-Labor Expenditures'!$D$7:$D$91,0),MATCH($G1300,'Non-Labor Expenditures'!$F$5:$AB$5,0)),"NA")</f>
        <v>45063.486328302832</v>
      </c>
      <c r="R1300" s="159">
        <f t="shared" si="2342"/>
        <v>396.60532047475272</v>
      </c>
      <c r="S1300" s="165">
        <f t="shared" si="2354"/>
        <v>-5.1919068890053946E-2</v>
      </c>
      <c r="T1300" s="165">
        <f t="shared" si="2355"/>
        <v>-6.8438969131465069E-4</v>
      </c>
      <c r="U1300" s="165"/>
      <c r="V1300" s="165"/>
      <c r="W1300" s="159">
        <f t="shared" si="2324"/>
        <v>104106.10233880441</v>
      </c>
      <c r="X1300" s="163"/>
      <c r="Y1300" s="167">
        <v>4840.3439889135025</v>
      </c>
      <c r="Z1300" s="168">
        <v>3.1407260791658981E-2</v>
      </c>
      <c r="AA1300" s="76">
        <f t="shared" si="2343"/>
        <v>4.1400599004886906E-4</v>
      </c>
      <c r="AB1300" s="168"/>
      <c r="AC1300" s="168"/>
      <c r="AD1300" s="163">
        <f t="shared" si="2363"/>
        <v>180286.76714849626</v>
      </c>
      <c r="AE1300" s="168">
        <f t="shared" si="2356"/>
        <v>2.723147590898153E-2</v>
      </c>
      <c r="AF1300" s="163"/>
      <c r="AG1300" s="163"/>
      <c r="AH1300" s="163"/>
      <c r="AI1300" s="163"/>
      <c r="AJ1300" s="116">
        <f t="shared" si="2357"/>
        <v>279.88842010329506</v>
      </c>
      <c r="AK1300" s="114">
        <f>+AV1300/$AX$25</f>
        <v>1.6980842937734494E-2</v>
      </c>
      <c r="AL1300" s="115">
        <f t="shared" si="2344"/>
        <v>0.17259823875902564</v>
      </c>
      <c r="AM1300" s="115">
        <f t="shared" si="2345"/>
        <v>0.24995448662732703</v>
      </c>
      <c r="AN1300" s="115">
        <f t="shared" si="2346"/>
        <v>0.57744727461364731</v>
      </c>
      <c r="AO1300" s="115">
        <f t="shared" si="2349"/>
        <v>-7.0700971332947719E-3</v>
      </c>
      <c r="AP1300" s="166">
        <f t="shared" si="2360"/>
        <v>109.15691073415636</v>
      </c>
      <c r="AQ1300" s="168">
        <f t="shared" si="2361"/>
        <v>-7.0700971332947511E-3</v>
      </c>
      <c r="AR1300" s="169">
        <f>+AD1300/$AF$25</f>
        <v>1.3181856029890361E-2</v>
      </c>
      <c r="AS1300" s="169">
        <f t="shared" si="2359"/>
        <v>-9.3197002528431968E-5</v>
      </c>
      <c r="AT1300" s="115"/>
      <c r="AU1300" s="115"/>
      <c r="AV1300" s="113">
        <f>IFERROR(INDEX('Total Customers'!$F$7:$AB$91,MATCH($C1300,'Total Customers'!$D$7:$D$91,0),MATCH($G1300,'Total Customers'!$F$5:$AB$5,0)),"NA")</f>
        <v>644138</v>
      </c>
      <c r="AW1300" s="68">
        <f t="shared" si="2347"/>
        <v>8.3873229614116682E-3</v>
      </c>
      <c r="AX1300" s="114"/>
      <c r="AY1300" s="114"/>
      <c r="AZ1300" s="116"/>
      <c r="BA1300" s="116"/>
      <c r="BB1300" s="166"/>
      <c r="BC1300" s="166"/>
      <c r="BD1300" s="166"/>
      <c r="BE1300" s="166"/>
      <c r="BF1300" s="166"/>
      <c r="BG1300" s="166"/>
      <c r="BH1300" s="166"/>
      <c r="BI1300" s="113"/>
      <c r="BJ1300" s="113"/>
      <c r="BK1300" s="113">
        <f>INDEX('Dist. Plant Gas Additions'!$F$7:$AE$91,MATCH($C1300,'Dist. Plant Gas Additions'!$D$7:$D$91,0),MATCH(Calculation!$G1300,'Dist. Plant Gas Additions'!$F$5:$AE$5,0))</f>
        <v>136913</v>
      </c>
      <c r="BL1300" s="113">
        <f>INDEX('Gen. Plant Additions'!$F$7:$AE$91,MATCH($C1300,'Gen. Plant Additions'!$D$7:$D$91,0),MATCH(Calculation!$G1300,'Gen. Plant Additions'!$F$5:$AE$5,0))</f>
        <v>18157</v>
      </c>
      <c r="BN1300" s="61">
        <f>+BM1301*BL1300</f>
        <v>17259.893031934469</v>
      </c>
      <c r="BO1300" s="113">
        <f>INDEX('Dist Plant Depreciation'!$E$7:$AD$94,MATCH($C1300,'Dist Plant Depreciation'!$D$7:$D$94,0),MATCH(Calculation!$G1300,'Dist Plant Depreciation'!$E$5:$AD$5,0))</f>
        <v>884905</v>
      </c>
      <c r="BP1300" s="113">
        <f>INDEX('Gen. Plant Depreciation'!$E$7:$AD$94,MATCH($C1300,'Gen. Plant Depreciation'!$D$7:$D$94,0),MATCH(Calculation!$G1300,'Gen. Plant Depreciation'!$E$5:$AD$5,0))</f>
        <v>48867</v>
      </c>
      <c r="BQ1300" s="113"/>
      <c r="BR1300" s="113"/>
      <c r="BS1300" s="113"/>
      <c r="BT1300" s="113"/>
      <c r="BU1300" s="113"/>
      <c r="BV1300" s="175"/>
      <c r="BW1300" s="113">
        <f>INDEX('Gross Dx Plant'!$E$7:$AD$91,MATCH($C1300,'Gross Dx Plant'!$D$7:$D$91,0),MATCH(Calculation!$G1300,'Gross Dx Plant'!$E$5:$AD$5,0))</f>
        <v>2407670</v>
      </c>
      <c r="BX1300" s="113">
        <f>INDEX('Gross Gen Plant'!$E$7:$AD$91,MATCH($C1300,'Gross Gen Plant'!$D$7:$D$91,0),MATCH(Calculation!$G1300,'Gross Gen Plant'!$E$5:$AD$5,0))</f>
        <v>125142</v>
      </c>
      <c r="BY1300" s="113">
        <f t="shared" si="2318"/>
        <v>1599040</v>
      </c>
      <c r="BZ1300" s="113"/>
      <c r="CA1300" s="116">
        <v>2020</v>
      </c>
      <c r="CB1300" s="113"/>
      <c r="CC1300" s="113"/>
      <c r="CD1300" s="113"/>
      <c r="CE1300" s="175"/>
      <c r="CF1300" s="113">
        <f t="shared" si="2326"/>
        <v>155070</v>
      </c>
      <c r="CG1300" s="113">
        <f t="shared" si="2327"/>
        <v>190.7192023121722</v>
      </c>
      <c r="CH1300" s="178">
        <v>0.84057971014492749</v>
      </c>
      <c r="CI1300" s="61">
        <f>CI1278*CH1300+CG1279*CH1299+CG1280*CH1298+CG1281*CH1297+CG1282*CH1296+CG1283*CH1295+CG1284*CH1294+CG1285*CH1293+CG1286*CH1292+CG1287*CH1291+CG1288*CH1290+CG1289*CH1289+CG1290*CH1288+CG1291*CH1287+CG1292*CH1286+CG1293*CH1285+CG1294*CH1284+CG1295*CH1283+CG1296*CH1282+CG1297*CH1281+CG1298*CH1280+CG1299*CH1279+CG1300</f>
        <v>4840.3439889135025</v>
      </c>
      <c r="CJ1300" s="114">
        <f t="shared" si="2328"/>
        <v>3.1407260791658981E-2</v>
      </c>
      <c r="CK1300" s="114"/>
      <c r="CL1300" s="169">
        <f t="shared" si="2329"/>
        <v>8.7534675626573296E-3</v>
      </c>
      <c r="CM1300" s="169">
        <f t="shared" si="2337"/>
        <v>8.5254494966483518E-3</v>
      </c>
      <c r="CN1300" s="114">
        <f>VLOOKUP($H1300,RoR!$E:$F,2,FALSE)</f>
        <v>2.4766666666666666E-2</v>
      </c>
      <c r="CO1300" s="169">
        <v>1.1618796630994188E-2</v>
      </c>
      <c r="CP1300" s="169">
        <f t="shared" si="2335"/>
        <v>1.3147870035672478E-2</v>
      </c>
      <c r="CQ1300" s="169">
        <f t="shared" si="2338"/>
        <v>2.2376492111885273E-2</v>
      </c>
      <c r="CR1300" s="169">
        <v>4.5144642961987357E-2</v>
      </c>
      <c r="CS1300" s="179">
        <f t="shared" si="2330"/>
        <v>0.90330050000000006</v>
      </c>
      <c r="CT1300" s="180">
        <f t="shared" si="2331"/>
        <v>2.0706077233668081</v>
      </c>
      <c r="CU1300" s="180">
        <f t="shared" si="2332"/>
        <v>-3.4421265141318998E-2</v>
      </c>
      <c r="CV1300" s="180">
        <f t="shared" si="2333"/>
        <v>0.62416226176410472</v>
      </c>
      <c r="CW1300" s="180">
        <f t="shared" si="2334"/>
        <v>-4.4485877841158712E-2</v>
      </c>
      <c r="CX1300" s="181">
        <v>0.26134999999999997</v>
      </c>
      <c r="CY1300" s="72">
        <v>0.37</v>
      </c>
      <c r="CZ1300" s="70">
        <f t="shared" si="2336"/>
        <v>22.194223767534979</v>
      </c>
      <c r="DA1300" s="70">
        <v>19.952659173050833</v>
      </c>
      <c r="DB1300" s="69">
        <f t="shared" si="2339"/>
        <v>4.0461069525352632E-2</v>
      </c>
      <c r="DC1300" s="111">
        <f>VLOOKUP($H1300,RoR!$E:$F,2,FALSE)</f>
        <v>2.4766666666666666E-2</v>
      </c>
      <c r="DD1300" s="216">
        <f>HLOOKUP($H1300,'GDP-PI'!$D$8:$CQ$11,3,FALSE)</f>
        <v>1.1618796630994188E-2</v>
      </c>
      <c r="DE1300" s="111">
        <f>VLOOKUP(H1300,'HW Dx Data'!$E:$F,2,FALSE)</f>
        <v>813.080162458833</v>
      </c>
      <c r="DF1300" s="72">
        <f t="shared" si="2350"/>
        <v>153.15</v>
      </c>
      <c r="DG1300" s="69">
        <f t="shared" si="2351"/>
        <v>2.2951556467368479E-2</v>
      </c>
      <c r="DH1300" s="66">
        <f>HLOOKUP(H1300,'GDP-PI'!$8:$9,2,FALSE)</f>
        <v>113.623</v>
      </c>
      <c r="DI1300" s="69">
        <f t="shared" si="2340"/>
        <v>1.1551816731392881E-2</v>
      </c>
    </row>
    <row r="1301" spans="1:113" s="160" customFormat="1" ht="21">
      <c r="A1301" s="160" t="s">
        <v>236</v>
      </c>
      <c r="B1301" s="160" t="s">
        <v>236</v>
      </c>
      <c r="C1301" s="160">
        <v>4008752</v>
      </c>
      <c r="D1301" s="160" t="s">
        <v>192</v>
      </c>
      <c r="G1301" s="161" t="s">
        <v>142</v>
      </c>
      <c r="H1301" s="162">
        <v>2021</v>
      </c>
      <c r="I1301" s="163"/>
      <c r="J1301" s="159">
        <v>36909.453588245211</v>
      </c>
      <c r="K1301" s="159">
        <f t="shared" si="2341"/>
        <v>234.7183058076007</v>
      </c>
      <c r="L1301" s="164">
        <f t="shared" si="2348"/>
        <v>0.14428862130115702</v>
      </c>
      <c r="M1301" s="76">
        <f t="shared" si="2352"/>
        <v>1.7391783542195945E-3</v>
      </c>
      <c r="N1301" s="166">
        <f>+N1300*EXP(O1301)</f>
        <v>118.52674795584979</v>
      </c>
      <c r="O1301" s="114">
        <f t="shared" si="2353"/>
        <v>9.9475242550720686E-3</v>
      </c>
      <c r="P1301" s="114"/>
      <c r="Q1301" s="159">
        <v>52028.988793068558</v>
      </c>
      <c r="R1301" s="159">
        <f t="shared" si="2342"/>
        <v>439.10025143951862</v>
      </c>
      <c r="S1301" s="165">
        <f t="shared" si="2354"/>
        <v>0.1017861189803051</v>
      </c>
      <c r="T1301" s="165">
        <f t="shared" si="2355"/>
        <v>1.2268757806000834E-3</v>
      </c>
      <c r="U1301" s="165"/>
      <c r="V1301" s="165"/>
      <c r="W1301" s="159">
        <f t="shared" si="2324"/>
        <v>95749.10693158998</v>
      </c>
      <c r="X1301" s="163"/>
      <c r="Y1301" s="167">
        <v>4876.008663717761</v>
      </c>
      <c r="Z1301" s="168"/>
      <c r="AA1301" s="76">
        <f t="shared" si="2343"/>
        <v>0</v>
      </c>
      <c r="AB1301" s="168"/>
      <c r="AC1301" s="168"/>
      <c r="AD1301" s="163">
        <f t="shared" si="2363"/>
        <v>184687.54931290375</v>
      </c>
      <c r="AE1301" s="168">
        <f t="shared" si="2356"/>
        <v>2.4116740610963982E-2</v>
      </c>
      <c r="AF1301" s="113"/>
      <c r="AG1301" s="114"/>
      <c r="AH1301" s="114"/>
      <c r="AI1301" s="114"/>
      <c r="AJ1301" s="116">
        <f t="shared" si="2357"/>
        <v>286.79526889902286</v>
      </c>
      <c r="AK1301" s="114">
        <f>+AV1301/$AX$26</f>
        <v>1.6680448713355635E-2</v>
      </c>
      <c r="AL1301" s="115">
        <f t="shared" si="2344"/>
        <v>0.19984808789525924</v>
      </c>
      <c r="AM1301" s="115">
        <f t="shared" si="2345"/>
        <v>0.28171356968367872</v>
      </c>
      <c r="AN1301" s="115">
        <f t="shared" si="2346"/>
        <v>0.51843834242106202</v>
      </c>
      <c r="AO1301" s="115">
        <f t="shared" si="2349"/>
        <v>5.3928097509663361E-2</v>
      </c>
      <c r="AP1301" s="166">
        <f t="shared" si="2360"/>
        <v>115.20515466338807</v>
      </c>
      <c r="AQ1301" s="168">
        <f t="shared" si="2361"/>
        <v>5.3928097509663417E-2</v>
      </c>
      <c r="AR1301" s="169">
        <f>+AD1301/$AF$26</f>
        <v>1.2053468517033008E-2</v>
      </c>
      <c r="AS1301" s="169">
        <f t="shared" si="2359"/>
        <v>6.500206255162142E-4</v>
      </c>
      <c r="AT1301" s="115"/>
      <c r="AU1301" s="115"/>
      <c r="AV1301" s="113">
        <f>INDEX('Total Customers'!$E$7:$E$91,MATCH(Calculation!$C1301,'Total Customers'!$D$7:$D$91,0))</f>
        <v>643970</v>
      </c>
      <c r="AW1301" s="68">
        <f t="shared" si="2347"/>
        <v>-2.6084769437432424E-4</v>
      </c>
      <c r="AX1301" s="113"/>
      <c r="AY1301" s="113"/>
      <c r="AZ1301" s="116"/>
      <c r="BA1301" s="116"/>
      <c r="BB1301" s="166"/>
      <c r="BC1301" s="166"/>
      <c r="BD1301" s="166"/>
      <c r="BE1301" s="166"/>
      <c r="BF1301" s="166"/>
      <c r="BG1301" s="166"/>
      <c r="BH1301" s="166"/>
      <c r="BI1301" s="113"/>
      <c r="BJ1301" s="113"/>
      <c r="BK1301" s="113">
        <f>INDEX('Dist. Plant Gas Additions'!$E$7:$AE$91,MATCH($C1301,'Dist. Plant Gas Additions'!$D$7:$D$91,0),MATCH(Calculation!$G1301,'Dist. Plant Gas Additions'!$E$5:$AE$5,0))</f>
        <v>125524</v>
      </c>
      <c r="BL1301" s="113">
        <f>INDEX('Gen. Plant Additions'!$E$7:$AE$91,MATCH($C1301,'Gen. Plant Additions'!$D$7:$D$91,0),MATCH(Calculation!$G1301,'Gen. Plant Additions'!$E$5:$AE$5,0))</f>
        <v>12412</v>
      </c>
      <c r="BM1301" s="231">
        <f>+(BW1300/(BW1300+BX1300))</f>
        <v>0.9505916743919407</v>
      </c>
      <c r="BN1301" s="61" t="e">
        <f>+#REF!*BL1301</f>
        <v>#REF!</v>
      </c>
      <c r="BO1301" s="113"/>
      <c r="BP1301" s="113"/>
      <c r="BQ1301" s="175"/>
      <c r="BR1301" s="175"/>
      <c r="BS1301" s="170"/>
      <c r="BT1301" s="176"/>
      <c r="BU1301" s="177"/>
      <c r="BV1301" s="177"/>
      <c r="BW1301" s="113"/>
      <c r="BX1301" s="113"/>
      <c r="BY1301" s="113"/>
      <c r="BZ1301" s="113"/>
      <c r="CA1301" s="116">
        <v>2021</v>
      </c>
      <c r="CB1301" s="113"/>
      <c r="CC1301" s="113"/>
      <c r="CD1301" s="113"/>
      <c r="CE1301" s="175"/>
      <c r="CF1301" s="113">
        <f t="shared" si="2326"/>
        <v>137936</v>
      </c>
      <c r="CG1301" s="113">
        <f t="shared" si="2327"/>
        <v>147.83780682224955</v>
      </c>
      <c r="CH1301" s="178">
        <f>+(51-23)/(51-23*0.75)</f>
        <v>0.82962962962962961</v>
      </c>
      <c r="CI1301" s="113">
        <f>CI1278*CH1301+CG1279*CH1300+CG1280*CH1299+CG1281*CH1298+CG1282*CH1297+CG1283*CH1296+CG1284*CH1295+CG1285*CH1294+CG1286*CH1293+CG1287*CH1292+CG1288*CH1291+CG1289*CH1290+CG1290*CH1289+CG1291*CH1288+CG1292*CH1287+CG1283*CH1286+CG1294*CH1285+CG1295*CH1284+CG1296*CH1283+CG1297*CH1282+CG1298*CH1281+CG1299*CH1280+CG1301+CG1300*CH1279</f>
        <v>4876.008663717761</v>
      </c>
      <c r="CJ1301" s="114"/>
      <c r="CK1301" s="113"/>
      <c r="CL1301" s="169">
        <f t="shared" si="2329"/>
        <v>2.3174619877206325E-2</v>
      </c>
      <c r="CM1301" s="169">
        <f t="shared" si="2337"/>
        <v>1.3485315532703943E-2</v>
      </c>
      <c r="CN1301" s="114">
        <f>VLOOKUP($H1301,RoR!$E:$F,2,FALSE)</f>
        <v>2.7033333333333336E-2</v>
      </c>
      <c r="CO1301" s="169"/>
      <c r="CP1301" s="169"/>
      <c r="CQ1301" s="169">
        <f t="shared" si="2338"/>
        <v>1.741662607582968E-2</v>
      </c>
      <c r="CR1301" s="169">
        <v>7.433422950153494E-2</v>
      </c>
      <c r="CS1301" s="179">
        <f t="shared" si="2330"/>
        <v>0.90330050000000006</v>
      </c>
      <c r="CT1301" s="180">
        <f t="shared" si="2331"/>
        <v>1.8969932656739068</v>
      </c>
      <c r="CU1301" s="180">
        <f t="shared" si="2332"/>
        <v>5.0215782983970621E-2</v>
      </c>
      <c r="CV1301" s="180">
        <f t="shared" si="2333"/>
        <v>0.655952481704143</v>
      </c>
      <c r="CW1301" s="180">
        <f t="shared" si="2334"/>
        <v>6.2485378865697057E-2</v>
      </c>
      <c r="CX1301" s="181">
        <f>CX1300</f>
        <v>0.26134999999999997</v>
      </c>
      <c r="CY1301" s="72">
        <v>0.37</v>
      </c>
      <c r="CZ1301" s="182">
        <f t="shared" si="2336"/>
        <v>19.781467422748708</v>
      </c>
      <c r="DA1301" s="182"/>
      <c r="DB1301" s="169">
        <f>LN(CZ1302/CZ1300)</f>
        <v>0.20866791832657433</v>
      </c>
      <c r="DC1301" s="181">
        <f>VLOOKUP($H1301,RoR!$E:$F,2,FALSE)</f>
        <v>2.7033333333333336E-2</v>
      </c>
      <c r="DD1301" s="183">
        <f>HLOOKUP($H1301,'GDP-PI'!$D$8:$CR$11,3,FALSE)</f>
        <v>4.2834637353352578E-2</v>
      </c>
      <c r="DE1301" s="181">
        <f>VLOOKUP(H1301,'HW Dx Data'!$E:$F,2,FALSE)</f>
        <v>933.02249921662576</v>
      </c>
      <c r="DF1301" s="72">
        <f t="shared" si="2350"/>
        <v>157.25</v>
      </c>
      <c r="DG1301" s="69">
        <f t="shared" si="2351"/>
        <v>2.6419062301765574E-2</v>
      </c>
      <c r="DH1301" s="175">
        <f>HLOOKUP(H1301,'GDP-PI'!$8:$9,2,FALSE)</f>
        <v>118.49</v>
      </c>
      <c r="DI1301" s="169">
        <f t="shared" si="2340"/>
        <v>4.194261824609434E-2</v>
      </c>
    </row>
    <row r="1302" spans="1:113" s="160" customFormat="1" ht="21">
      <c r="G1302" s="161" t="s">
        <v>144</v>
      </c>
      <c r="H1302" s="162"/>
      <c r="I1302" s="163"/>
      <c r="J1302" s="159">
        <v>32319.459412333228</v>
      </c>
      <c r="K1302" s="159">
        <f t="shared" si="2341"/>
        <v>198.82780321336958</v>
      </c>
      <c r="L1302" s="164">
        <f t="shared" ref="L1302" si="2364">LN(K1302/K1301)</f>
        <v>-0.16594695679749399</v>
      </c>
      <c r="M1302" s="76">
        <f t="shared" si="2352"/>
        <v>-2.287464908285524E-3</v>
      </c>
      <c r="N1302" s="166">
        <f>+N1301*EXP(O1302)</f>
        <v>118.29622080362999</v>
      </c>
      <c r="O1302" s="114">
        <f t="shared" si="2353"/>
        <v>-1.9468316459203725E-3</v>
      </c>
      <c r="P1302" s="114"/>
      <c r="Q1302" s="163">
        <v>45558.756039072141</v>
      </c>
      <c r="R1302" s="159">
        <f t="shared" si="2342"/>
        <v>358.02558773337637</v>
      </c>
      <c r="S1302" s="165">
        <f t="shared" ref="S1302" si="2365">LN(R1302/R1301)</f>
        <v>-0.20412329223011319</v>
      </c>
      <c r="T1302" s="165">
        <f t="shared" si="2355"/>
        <v>-2.8136994913976403E-3</v>
      </c>
      <c r="U1302" s="166"/>
      <c r="V1302" s="114"/>
      <c r="W1302" s="159">
        <f t="shared" si="2324"/>
        <v>133329.96173379553</v>
      </c>
      <c r="X1302" s="168"/>
      <c r="Y1302" s="167">
        <v>5032.2094006211664</v>
      </c>
      <c r="Z1302" s="168">
        <v>3.153214390240152E-2</v>
      </c>
      <c r="AA1302" s="76">
        <f t="shared" si="2343"/>
        <v>4.3464896284763966E-4</v>
      </c>
      <c r="AB1302" s="166"/>
      <c r="AC1302" s="114"/>
      <c r="AD1302" s="163">
        <f t="shared" si="2363"/>
        <v>211208.17718520091</v>
      </c>
      <c r="AE1302" s="168">
        <f t="shared" si="2356"/>
        <v>0.13417879420790921</v>
      </c>
      <c r="AF1302" s="113"/>
      <c r="AG1302" s="114"/>
      <c r="AH1302" s="114"/>
      <c r="AI1302" s="114"/>
      <c r="AJ1302" s="116">
        <f t="shared" si="2357"/>
        <v>326.0940435874528</v>
      </c>
      <c r="AK1302" s="114"/>
      <c r="AL1302" s="115">
        <f t="shared" si="2344"/>
        <v>0.15302181877169202</v>
      </c>
      <c r="AM1302" s="115">
        <f t="shared" si="2345"/>
        <v>0.21570545537696342</v>
      </c>
      <c r="AN1302" s="115">
        <f t="shared" si="2346"/>
        <v>0.63127272585134453</v>
      </c>
      <c r="AO1302" s="115"/>
      <c r="AP1302" s="166"/>
      <c r="AQ1302" s="168"/>
      <c r="AR1302" s="169">
        <f>+AD1302/$AF$26</f>
        <v>1.3784313689325018E-2</v>
      </c>
      <c r="AS1302" s="169"/>
      <c r="AT1302" s="166"/>
      <c r="AU1302" s="168"/>
      <c r="AV1302" s="113">
        <v>647691</v>
      </c>
      <c r="AW1302" s="68">
        <f t="shared" si="2347"/>
        <v>5.7615896020614867E-3</v>
      </c>
      <c r="AX1302" s="113"/>
      <c r="AY1302" s="113"/>
      <c r="AZ1302" s="113"/>
      <c r="BA1302" s="113"/>
      <c r="BB1302" s="171"/>
      <c r="BC1302" s="172"/>
      <c r="BD1302" s="173"/>
      <c r="BE1302" s="115"/>
      <c r="BF1302" s="174"/>
      <c r="BG1302" s="174"/>
      <c r="BH1302" s="166"/>
      <c r="BI1302" s="113"/>
      <c r="BJ1302" s="113"/>
      <c r="BK1302" s="113"/>
      <c r="BL1302" s="113"/>
      <c r="BM1302" s="231" t="e">
        <f t="shared" ref="BM1302:BM1351" si="2366">+(BW1301/(BW1301+BX1301))</f>
        <v>#DIV/0!</v>
      </c>
      <c r="BN1302" s="61" t="e">
        <f t="shared" si="2362"/>
        <v>#DIV/0!</v>
      </c>
      <c r="BO1302" s="113"/>
      <c r="BP1302" s="113"/>
      <c r="BQ1302" s="175"/>
      <c r="BR1302" s="175"/>
      <c r="BS1302" s="170"/>
      <c r="BT1302" s="176"/>
      <c r="BU1302" s="177"/>
      <c r="BV1302" s="177"/>
      <c r="BW1302" s="113"/>
      <c r="BX1302" s="113"/>
      <c r="BY1302" s="113"/>
      <c r="BZ1302" s="113"/>
      <c r="CA1302" s="116">
        <v>2022</v>
      </c>
      <c r="CB1302" s="113"/>
      <c r="CC1302" s="113"/>
      <c r="CD1302" s="113"/>
      <c r="CE1302" s="175"/>
      <c r="CF1302" s="238">
        <v>138451</v>
      </c>
      <c r="CG1302" s="113">
        <f>+CF1302/DE1302</f>
        <v>134.31282195554954</v>
      </c>
      <c r="CH1302" s="178">
        <f>+(51-24)/(51-24*0.75)</f>
        <v>0.81818181818181823</v>
      </c>
      <c r="CI1302" s="113">
        <f>+CI1278*CH1302+CG1279*CH1301+CG1280*CH1300+CG1281*CH1299+CG1282*CH1298+CG1283*CH1297+CG1284*CH1296+CG1285*CH1295+CG1286*CH1294+CG1287*CH1293+CG1288*CH1292+CG1289*CH1291+CG1290*CH1290+CG1291*CH1289+CG1292*CH1288+CG1293*CH1287+CG1294*CH1286+CG1295*CH1285+CG1296*CH1284+CG1297*CH1283+CG1298*CH1282+CG1299*CH1281+CG1300*CH1280+CG1301*CH1279+CG1302*CH1278</f>
        <v>5032.7090077262583</v>
      </c>
      <c r="CJ1302" s="114">
        <f t="shared" ref="CJ1302" si="2367">LN(CI1302/CI1301)</f>
        <v>3.1631420833467074E-2</v>
      </c>
      <c r="CK1302" s="113"/>
      <c r="CL1302" s="169">
        <f t="shared" si="2329"/>
        <v>-4.5913622384497867E-3</v>
      </c>
      <c r="CM1302" s="169">
        <f t="shared" si="2337"/>
        <v>9.1122417338046231E-3</v>
      </c>
      <c r="CN1302" s="114"/>
      <c r="CO1302" s="169"/>
      <c r="CP1302" s="169"/>
      <c r="CQ1302" s="69">
        <f t="shared" si="2338"/>
        <v>2.1789699874729E-2</v>
      </c>
      <c r="CR1302" s="169">
        <v>0.10114668178709289</v>
      </c>
      <c r="CS1302" s="179">
        <f t="shared" si="2330"/>
        <v>0.90330050000000006</v>
      </c>
      <c r="CT1302" s="180">
        <f t="shared" si="2331"/>
        <v>1.2820512820512819</v>
      </c>
      <c r="CU1302" s="180">
        <f t="shared" si="2332"/>
        <v>0.35000000000000003</v>
      </c>
      <c r="CV1302" s="180">
        <f t="shared" si="2333"/>
        <v>0.79171095533705893</v>
      </c>
      <c r="CW1302" s="180">
        <f t="shared" si="2334"/>
        <v>0.35525491585637264</v>
      </c>
      <c r="CX1302" s="181">
        <f>CX1301</f>
        <v>0.26134999999999997</v>
      </c>
      <c r="CY1302" s="72">
        <v>0.37</v>
      </c>
      <c r="CZ1302" s="182">
        <f t="shared" si="2336"/>
        <v>27.344078103449633</v>
      </c>
      <c r="DA1302" s="182"/>
      <c r="DB1302" s="169">
        <f t="shared" ref="DB1302" si="2368">LN(CZ1302/CZ1301)</f>
        <v>0.32375447205834007</v>
      </c>
      <c r="DC1302" s="181">
        <v>0.04</v>
      </c>
      <c r="DD1302" s="183">
        <v>7.0000000000000001E-3</v>
      </c>
      <c r="DE1302" s="181">
        <v>1030.81</v>
      </c>
      <c r="DF1302" s="72">
        <f t="shared" si="2350"/>
        <v>162.55000000000001</v>
      </c>
      <c r="DG1302" s="169">
        <f t="shared" si="2351"/>
        <v>3.3148751169364422E-2</v>
      </c>
      <c r="DH1302" s="175">
        <v>127.25</v>
      </c>
      <c r="DI1302" s="169">
        <f t="shared" si="2340"/>
        <v>7.1325086601983473E-2</v>
      </c>
    </row>
    <row r="1303" spans="1:113" s="160" customFormat="1" ht="21">
      <c r="A1303" s="160" t="s">
        <v>237</v>
      </c>
      <c r="B1303" s="160" t="s">
        <v>237</v>
      </c>
      <c r="C1303" s="160">
        <v>4008669</v>
      </c>
      <c r="D1303" s="161" t="s">
        <v>192</v>
      </c>
      <c r="E1303" s="161"/>
      <c r="F1303" s="189"/>
      <c r="G1303" s="160" t="s">
        <v>100</v>
      </c>
      <c r="H1303" s="162">
        <v>1998</v>
      </c>
      <c r="I1303" s="163"/>
      <c r="J1303" s="159"/>
      <c r="K1303" s="159"/>
      <c r="L1303" s="159"/>
      <c r="M1303" s="60"/>
      <c r="N1303" s="131"/>
      <c r="O1303" s="76"/>
      <c r="P1303" s="76"/>
      <c r="Q1303" s="165"/>
      <c r="R1303" s="165"/>
      <c r="S1303" s="165"/>
      <c r="T1303" s="159"/>
      <c r="U1303" s="165"/>
      <c r="V1303" s="165"/>
      <c r="W1303" s="159"/>
      <c r="X1303" s="163"/>
      <c r="Y1303" s="167">
        <v>632.36344910360026</v>
      </c>
      <c r="Z1303" s="168"/>
      <c r="AA1303" s="78"/>
      <c r="AB1303" s="168"/>
      <c r="AC1303" s="168"/>
      <c r="AD1303" s="163">
        <f t="shared" si="2363"/>
        <v>0</v>
      </c>
      <c r="AE1303" s="163"/>
      <c r="AF1303" s="163"/>
      <c r="AG1303" s="114"/>
      <c r="AH1303" s="114"/>
      <c r="AI1303" s="114"/>
      <c r="AJ1303" s="166">
        <f>+(AJ1300+AJ1301+AJ1302)/3</f>
        <v>297.59257752992357</v>
      </c>
      <c r="AK1303" s="168"/>
      <c r="AL1303" s="115"/>
      <c r="AM1303" s="115"/>
      <c r="AN1303" s="115"/>
      <c r="AO1303" s="115"/>
      <c r="AP1303" s="115"/>
      <c r="AQ1303" s="168">
        <f>AVERAGE(AQ1312:AQ1326)</f>
        <v>3.3840705364674789E-2</v>
      </c>
      <c r="AR1303" s="115"/>
      <c r="AS1303" s="115"/>
      <c r="AT1303" s="115"/>
      <c r="AU1303" s="115"/>
      <c r="AV1303" s="113">
        <f>IFERROR(INDEX('Total Customers'!$F$7:$AB$91,MATCH($C1303,'Total Customers'!$D$7:$D$91,0),MATCH($G1303,'Total Customers'!$F$5:$AB$5,0)),"NA")</f>
        <v>150657</v>
      </c>
      <c r="AW1303" s="68"/>
      <c r="AX1303" s="114"/>
      <c r="AY1303" s="114"/>
      <c r="AZ1303" s="116"/>
      <c r="BA1303" s="116"/>
      <c r="BB1303" s="166"/>
      <c r="BC1303" s="166"/>
      <c r="BD1303" s="166"/>
      <c r="BE1303" s="166"/>
      <c r="BF1303" s="166"/>
      <c r="BG1303" s="166"/>
      <c r="BH1303" s="166"/>
      <c r="BI1303" s="113">
        <f>INDEX('Gross Dx Plant'!$E$7:$AD$91,MATCH($C1303,'Gross Dx Plant'!$D$7:$D$91,0),MATCH(Calculation!$G1303,'Gross Dx Plant'!$E$5:$AD$5,0))</f>
        <v>227831</v>
      </c>
      <c r="BJ1303" s="113">
        <f>INDEX('Gross Gen Plant'!$E$7:$AD$91,MATCH($C1303,'Gross Gen Plant'!$D$7:$D$91,0),MATCH(Calculation!$G1303,'Gross Gen Plant'!$E$5:$AD$5,0))</f>
        <v>6882</v>
      </c>
      <c r="BK1303" s="113">
        <f>INDEX('Dist. Plant Gas Additions'!$F$7:$AE$91,MATCH($C1303,'Dist. Plant Gas Additions'!$D$7:$D$91,0),MATCH(Calculation!$G1303,'Dist. Plant Gas Additions'!$F$5:$AE$5,0))</f>
        <v>7050</v>
      </c>
      <c r="BL1303" s="113">
        <f>INDEX('Gen. Plant Additions'!$F$7:$AE$91,MATCH($C1303,'Gen. Plant Additions'!$D$7:$D$91,0),MATCH(Calculation!$G1303,'Gen. Plant Additions'!$F$5:$AE$5,0))</f>
        <v>199</v>
      </c>
      <c r="BM1303" s="231" t="e">
        <f t="shared" si="2366"/>
        <v>#DIV/0!</v>
      </c>
      <c r="BN1303" s="61" t="e">
        <f t="shared" si="2362"/>
        <v>#DIV/0!</v>
      </c>
      <c r="BO1303" s="113">
        <f>INDEX('Dist Plant Depreciation'!$E$7:$AD$94,MATCH($C1303,'Dist Plant Depreciation'!$D$7:$D$94,0),MATCH(Calculation!$G1303,'Dist Plant Depreciation'!$E$5:$AD$5,0))</f>
        <v>103974</v>
      </c>
      <c r="BP1303" s="113">
        <f>INDEX('Gen. Plant Depreciation'!$E$7:$AD$94,MATCH($C1303,'Gen. Plant Depreciation'!$D$7:$D$94,0),MATCH(Calculation!$G1303,'Gen. Plant Depreciation'!$E$5:$AD$5,0))</f>
        <v>3179</v>
      </c>
      <c r="BQ1303" s="113"/>
      <c r="BR1303" s="113"/>
      <c r="BS1303" s="113"/>
      <c r="BT1303" s="113"/>
      <c r="BU1303" s="113"/>
      <c r="BV1303" s="175"/>
      <c r="BW1303" s="113">
        <f>INDEX('Gross Dx Plant'!$E$7:$AD$91,MATCH($C1303,'Gross Dx Plant'!$D$7:$D$91,0),MATCH(Calculation!$G1303,'Gross Dx Plant'!$E$5:$AD$5,0))</f>
        <v>227831</v>
      </c>
      <c r="BX1303" s="113">
        <f>INDEX('Gross Gen Plant'!$E$7:$AD$91,MATCH($C1303,'Gross Gen Plant'!$D$7:$D$91,0),MATCH(Calculation!$G1303,'Gross Gen Plant'!$E$5:$AD$5,0))</f>
        <v>6882</v>
      </c>
      <c r="BY1303" s="113">
        <f t="shared" si="2318"/>
        <v>127560</v>
      </c>
      <c r="BZ1303" s="113"/>
      <c r="CA1303" s="116">
        <v>1998</v>
      </c>
      <c r="CB1303" s="113">
        <f>BI1303+BJ1303</f>
        <v>234713</v>
      </c>
      <c r="CC1303" s="113">
        <f>103974+3179</f>
        <v>107153</v>
      </c>
      <c r="CD1303" s="113">
        <f>+CB1303-CC1303</f>
        <v>127560</v>
      </c>
      <c r="CE1303" s="113">
        <f>CD1303/$BV$3</f>
        <v>632.36344910360026</v>
      </c>
      <c r="CF1303" s="175"/>
      <c r="CG1303" s="175"/>
      <c r="CH1303" s="178">
        <v>1</v>
      </c>
      <c r="CI1303" s="113">
        <f>+CE1303</f>
        <v>632.36344910360026</v>
      </c>
      <c r="CJ1303" s="114"/>
      <c r="CK1303" s="114"/>
      <c r="CL1303" s="169"/>
      <c r="CM1303" s="169"/>
      <c r="CN1303" s="114" t="e">
        <f>VLOOKUP($H1303,RoR!$E:$F,2,FALSE)</f>
        <v>#N/A</v>
      </c>
      <c r="CO1303" s="169">
        <v>1.1028127770464469E-2</v>
      </c>
      <c r="CP1303" s="169"/>
      <c r="CQ1303" s="169"/>
      <c r="CR1303" s="169"/>
      <c r="CS1303" s="179"/>
      <c r="CT1303" s="182" t="e">
        <f>2/(DC1303*39)</f>
        <v>#N/A</v>
      </c>
      <c r="CU1303" s="180" t="e">
        <f>+(DC1303*40-(1+DC1303))/(DC1303*40)</f>
        <v>#N/A</v>
      </c>
      <c r="CV1303" s="180" t="e">
        <f>+(1-(1/(1+DC1303)^40))</f>
        <v>#N/A</v>
      </c>
      <c r="CW1303" s="180" t="e">
        <f>+CV1303*CU1303*CT1303</f>
        <v>#N/A</v>
      </c>
      <c r="CX1303" s="181">
        <f>INDEX('State Tax Lookup'!$D$7:$Z$91,MATCH(Calculation!$C1303,'State Tax Lookup'!$B$7:$B$91,0),MATCH($H1303,'State Tax Lookup'!$D$6:$Z$6,0))</f>
        <v>0.40134999999999998</v>
      </c>
      <c r="CY1303" s="72">
        <v>0.37</v>
      </c>
      <c r="CZ1303" s="66"/>
      <c r="DA1303" s="66"/>
      <c r="DB1303" s="69"/>
      <c r="DC1303" s="111" t="e">
        <f>VLOOKUP($H1303,RoR!$E:$F,2,FALSE)</f>
        <v>#N/A</v>
      </c>
      <c r="DD1303" s="216">
        <f>HLOOKUP($H1303,'GDP-PI'!$D$8:$CQ$11,3,FALSE)</f>
        <v>1.1028127770464469E-2</v>
      </c>
      <c r="DE1303" s="111">
        <f>VLOOKUP(H1303,'HW Dx Data'!$E:$F,2,FALSE)</f>
        <v>329.24564746449528</v>
      </c>
      <c r="DF1303" s="72" t="e">
        <f t="shared" si="2350"/>
        <v>#N/A</v>
      </c>
      <c r="DG1303" s="169" t="e">
        <f t="shared" si="2351"/>
        <v>#N/A</v>
      </c>
      <c r="DH1303" s="66">
        <f>HLOOKUP(H1303,'GDP-PI'!$8:$9,2,FALSE)</f>
        <v>75.266999999999996</v>
      </c>
      <c r="DI1303"/>
    </row>
    <row r="1304" spans="1:113" s="160" customFormat="1" ht="21">
      <c r="A1304" s="160" t="s">
        <v>237</v>
      </c>
      <c r="B1304" s="160" t="s">
        <v>237</v>
      </c>
      <c r="C1304" s="160">
        <v>4008669</v>
      </c>
      <c r="D1304" s="161" t="s">
        <v>192</v>
      </c>
      <c r="E1304" s="161"/>
      <c r="F1304" s="189"/>
      <c r="G1304" s="160" t="s">
        <v>106</v>
      </c>
      <c r="H1304" s="162">
        <v>1999</v>
      </c>
      <c r="I1304" s="163"/>
      <c r="J1304" s="159"/>
      <c r="K1304" s="163"/>
      <c r="L1304" s="163"/>
      <c r="M1304" s="60"/>
      <c r="N1304" s="152"/>
      <c r="O1304" s="60"/>
      <c r="P1304" s="59"/>
      <c r="Q1304" s="169"/>
      <c r="R1304" s="169"/>
      <c r="S1304" s="169"/>
      <c r="T1304" s="187"/>
      <c r="U1304" s="169"/>
      <c r="V1304" s="169"/>
      <c r="W1304" s="159">
        <f t="shared" ref="W1304:W1327" si="2369">+CI1303*CZ1304</f>
        <v>0</v>
      </c>
      <c r="X1304" s="163"/>
      <c r="Y1304" s="167">
        <v>672.13393685775304</v>
      </c>
      <c r="Z1304" s="168">
        <v>6.0993324915000882E-2</v>
      </c>
      <c r="AA1304" s="78"/>
      <c r="AB1304" s="168"/>
      <c r="AC1304" s="168"/>
      <c r="AD1304" s="163">
        <f t="shared" si="2363"/>
        <v>0</v>
      </c>
      <c r="AE1304" s="168"/>
      <c r="AF1304" s="163"/>
      <c r="AG1304" s="114"/>
      <c r="AH1304" s="114"/>
      <c r="AI1304" s="114"/>
      <c r="AJ1304" s="167"/>
      <c r="AK1304" s="168"/>
      <c r="AL1304" s="115"/>
      <c r="AM1304" s="115"/>
      <c r="AN1304" s="115"/>
      <c r="AO1304" s="115"/>
      <c r="AP1304" s="115"/>
      <c r="AQ1304" s="168"/>
      <c r="AR1304" s="115"/>
      <c r="AS1304" s="115"/>
      <c r="AT1304" s="115"/>
      <c r="AU1304" s="115"/>
      <c r="AV1304" s="113">
        <f>IFERROR(INDEX('Total Customers'!$F$7:$AB$91,MATCH($C1304,'Total Customers'!$D$7:$D$91,0),MATCH($G1304,'Total Customers'!$F$5:$AB$5,0)),"NA")</f>
        <v>153970</v>
      </c>
      <c r="AW1304" s="68">
        <f t="shared" si="2347"/>
        <v>2.1752048428036758E-2</v>
      </c>
      <c r="AX1304" s="114"/>
      <c r="AY1304" s="114"/>
      <c r="AZ1304" s="116"/>
      <c r="BA1304" s="116"/>
      <c r="BB1304" s="166"/>
      <c r="BC1304" s="166"/>
      <c r="BD1304" s="166"/>
      <c r="BE1304" s="166"/>
      <c r="BF1304" s="166"/>
      <c r="BG1304" s="166"/>
      <c r="BH1304" s="166"/>
      <c r="BI1304" s="113"/>
      <c r="BJ1304" s="113"/>
      <c r="BK1304" s="113">
        <f>INDEX('Dist. Plant Gas Additions'!$F$7:$AE$91,MATCH($C1304,'Dist. Plant Gas Additions'!$D$7:$D$91,0),MATCH(Calculation!$G1304,'Dist. Plant Gas Additions'!$F$5:$AE$5,0))</f>
        <v>10210</v>
      </c>
      <c r="BL1304" s="113">
        <f>INDEX('Gen. Plant Additions'!$F$7:$AE$91,MATCH($C1304,'Gen. Plant Additions'!$D$7:$D$91,0),MATCH(Calculation!$G1304,'Gen. Plant Additions'!$F$5:$AE$5,0))</f>
        <v>4181</v>
      </c>
      <c r="BM1304" s="231">
        <f t="shared" si="2366"/>
        <v>0.97067908466936215</v>
      </c>
      <c r="BN1304" s="61">
        <f t="shared" si="2362"/>
        <v>4058.4092530026032</v>
      </c>
      <c r="BO1304" s="113">
        <f>INDEX('Dist Plant Depreciation'!$E$7:$AD$94,MATCH($C1304,'Dist Plant Depreciation'!$D$7:$D$94,0),MATCH(Calculation!$G1304,'Dist Plant Depreciation'!$E$5:$AD$5,0))</f>
        <v>112341</v>
      </c>
      <c r="BP1304" s="113">
        <f>INDEX('Gen. Plant Depreciation'!$E$7:$AD$94,MATCH($C1304,'Gen. Plant Depreciation'!$D$7:$D$94,0),MATCH(Calculation!$G1304,'Gen. Plant Depreciation'!$E$5:$AD$5,0))</f>
        <v>3042</v>
      </c>
      <c r="BQ1304" s="113"/>
      <c r="BR1304" s="113"/>
      <c r="BS1304" s="113"/>
      <c r="BT1304" s="113"/>
      <c r="BU1304" s="113"/>
      <c r="BV1304" s="175"/>
      <c r="BW1304" s="113">
        <f>INDEX('Gross Dx Plant'!$E$7:$AD$91,MATCH($C1304,'Gross Dx Plant'!$D$7:$D$91,0),MATCH(Calculation!$G1304,'Gross Dx Plant'!$E$5:$AD$5,0))</f>
        <v>236673</v>
      </c>
      <c r="BX1304" s="113">
        <f>INDEX('Gross Gen Plant'!$E$7:$AD$91,MATCH($C1304,'Gross Gen Plant'!$D$7:$D$91,0),MATCH(Calculation!$G1304,'Gross Gen Plant'!$E$5:$AD$5,0))</f>
        <v>11063</v>
      </c>
      <c r="BY1304" s="113">
        <f t="shared" si="2318"/>
        <v>132353</v>
      </c>
      <c r="BZ1304" s="113"/>
      <c r="CA1304" s="116">
        <v>1999</v>
      </c>
      <c r="CB1304" s="113"/>
      <c r="CC1304" s="113"/>
      <c r="CD1304" s="113"/>
      <c r="CE1304" s="175"/>
      <c r="CF1304" s="113">
        <f t="shared" ref="CF1304:CF1326" si="2370">+BL1304+BK1304</f>
        <v>14391</v>
      </c>
      <c r="CG1304" s="113">
        <f t="shared" ref="CG1304:CG1326" si="2371">+CF1304/$DE1304</f>
        <v>42.916574565613431</v>
      </c>
      <c r="CH1304" s="178">
        <v>0.99502487562189057</v>
      </c>
      <c r="CI1304" s="61">
        <f>+CI1303*CH1304+CG1304</f>
        <v>672.13393685775304</v>
      </c>
      <c r="CJ1304" s="114">
        <f t="shared" ref="CJ1304:CJ1325" si="2372">LN(CI1304/CI1303)</f>
        <v>6.0993324915000882E-2</v>
      </c>
      <c r="CK1304" s="114"/>
      <c r="CL1304" s="169">
        <f t="shared" ref="CL1304:CL1327" si="2373">+(CI1303-CI1304+CG1304)/CI1303</f>
        <v>4.9751243781093746E-3</v>
      </c>
      <c r="CM1304" s="169"/>
      <c r="CN1304" s="114">
        <f>VLOOKUP($H1304,RoR!$E:$F,2,FALSE)</f>
        <v>7.0416666666666669E-2</v>
      </c>
      <c r="CO1304" s="169">
        <v>1.4335631817396832E-2</v>
      </c>
      <c r="CP1304" s="169">
        <f>+CN1304-CO1304</f>
        <v>5.6081034849269837E-2</v>
      </c>
      <c r="CQ1304" s="169"/>
      <c r="CR1304" s="169"/>
      <c r="CS1304" s="179">
        <f t="shared" ref="CS1304:CS1327" si="2374">1-CX1304*CY1304</f>
        <v>0.85150049999999999</v>
      </c>
      <c r="CT1304" s="180">
        <f t="shared" ref="CT1304:CT1327" si="2375">2/(DC1304*39)</f>
        <v>0.72826581702321336</v>
      </c>
      <c r="CU1304" s="180">
        <f t="shared" ref="CU1304:CU1327" si="2376">+(DC1304*40-(1+DC1304))/(DC1304*40)</f>
        <v>0.61997041420118348</v>
      </c>
      <c r="CV1304" s="180">
        <f t="shared" ref="CV1304:CV1327" si="2377">+(1-(1/(1+DC1304)^40))</f>
        <v>0.93425155319585029</v>
      </c>
      <c r="CW1304" s="180">
        <f t="shared" ref="CW1304:CW1327" si="2378">+CV1304*CU1304*CT1304</f>
        <v>0.42181762214141483</v>
      </c>
      <c r="CX1304" s="181">
        <f>INDEX('State Tax Lookup'!$D$7:$Z$91,MATCH(Calculation!$C1304,'State Tax Lookup'!$B$7:$B$91,0),MATCH($H1304,'State Tax Lookup'!$D$6:$Z$6,0))</f>
        <v>0.40134999999999998</v>
      </c>
      <c r="CY1304" s="72">
        <v>0.37</v>
      </c>
      <c r="CZ1304" s="70"/>
      <c r="DA1304" s="70"/>
      <c r="DB1304" s="69"/>
      <c r="DC1304" s="111">
        <f>VLOOKUP($H1304,RoR!$E:$F,2,FALSE)</f>
        <v>7.0416666666666669E-2</v>
      </c>
      <c r="DD1304" s="216">
        <f>HLOOKUP($H1304,'GDP-PI'!$D$8:$CQ$11,3,FALSE)</f>
        <v>1.4335631817396832E-2</v>
      </c>
      <c r="DE1304" s="111">
        <f>VLOOKUP(H1304,'HW Dx Data'!$E:$F,2,FALSE)</f>
        <v>335.32499146683239</v>
      </c>
      <c r="DF1304" s="66"/>
      <c r="DG1304" s="69"/>
      <c r="DH1304" s="66">
        <f>HLOOKUP(H1304,'GDP-PI'!$8:$9,2,FALSE)</f>
        <v>76.346000000000004</v>
      </c>
      <c r="DI1304"/>
    </row>
    <row r="1305" spans="1:113" s="160" customFormat="1" ht="21">
      <c r="A1305" s="160" t="s">
        <v>237</v>
      </c>
      <c r="B1305" s="160" t="s">
        <v>237</v>
      </c>
      <c r="C1305" s="160">
        <v>4008669</v>
      </c>
      <c r="D1305" s="161" t="s">
        <v>192</v>
      </c>
      <c r="E1305" s="161"/>
      <c r="F1305" s="189"/>
      <c r="G1305" s="160" t="s">
        <v>107</v>
      </c>
      <c r="H1305" s="162">
        <v>2000</v>
      </c>
      <c r="I1305" s="163"/>
      <c r="J1305" s="159"/>
      <c r="K1305" s="159"/>
      <c r="L1305" s="159"/>
      <c r="M1305" s="60"/>
      <c r="N1305" s="152"/>
      <c r="O1305" s="60"/>
      <c r="P1305" s="60"/>
      <c r="Q1305" s="159"/>
      <c r="R1305" s="159"/>
      <c r="S1305" s="159"/>
      <c r="T1305" s="159"/>
      <c r="U1305" s="159"/>
      <c r="V1305" s="159"/>
      <c r="W1305" s="159">
        <f t="shared" si="2369"/>
        <v>0</v>
      </c>
      <c r="X1305" s="163"/>
      <c r="Y1305" s="167">
        <v>717.24281562259262</v>
      </c>
      <c r="Z1305" s="168">
        <v>6.495680678804186E-2</v>
      </c>
      <c r="AA1305" s="78"/>
      <c r="AB1305" s="168"/>
      <c r="AC1305" s="168"/>
      <c r="AD1305" s="163">
        <f t="shared" si="2363"/>
        <v>0</v>
      </c>
      <c r="AE1305" s="168"/>
      <c r="AF1305" s="163"/>
      <c r="AG1305" s="163"/>
      <c r="AH1305" s="163"/>
      <c r="AI1305" s="163"/>
      <c r="AJ1305" s="167"/>
      <c r="AK1305" s="168"/>
      <c r="AL1305" s="115"/>
      <c r="AM1305" s="115"/>
      <c r="AN1305" s="115"/>
      <c r="AO1305" s="115"/>
      <c r="AP1305" s="115"/>
      <c r="AQ1305" s="168"/>
      <c r="AR1305" s="115"/>
      <c r="AS1305" s="115"/>
      <c r="AT1305" s="115"/>
      <c r="AU1305" s="115"/>
      <c r="AV1305" s="113">
        <f>IFERROR(INDEX('Total Customers'!$F$7:$AB$91,MATCH($C1305,'Total Customers'!$D$7:$D$91,0),MATCH($G1305,'Total Customers'!$F$5:$AB$5,0)),"NA")</f>
        <v>157077</v>
      </c>
      <c r="AW1305" s="68">
        <f t="shared" si="2347"/>
        <v>1.9978352737091601E-2</v>
      </c>
      <c r="AX1305" s="114"/>
      <c r="AY1305" s="114"/>
      <c r="AZ1305" s="116"/>
      <c r="BA1305" s="116"/>
      <c r="BB1305" s="166"/>
      <c r="BC1305" s="166"/>
      <c r="BD1305" s="166"/>
      <c r="BE1305" s="166"/>
      <c r="BF1305" s="166"/>
      <c r="BG1305" s="166"/>
      <c r="BH1305" s="166"/>
      <c r="BI1305" s="113"/>
      <c r="BJ1305" s="113"/>
      <c r="BK1305" s="113">
        <f>INDEX('Dist. Plant Gas Additions'!$F$7:$AE$91,MATCH($C1305,'Dist. Plant Gas Additions'!$D$7:$D$91,0),MATCH(Calculation!$G1305,'Dist. Plant Gas Additions'!$F$5:$AE$5,0))</f>
        <v>15138</v>
      </c>
      <c r="BL1305" s="113">
        <f>INDEX('Gen. Plant Additions'!$F$7:$AE$91,MATCH($C1305,'Gen. Plant Additions'!$D$7:$D$91,0),MATCH(Calculation!$G1305,'Gen. Plant Additions'!$F$5:$AE$5,0))</f>
        <v>1691</v>
      </c>
      <c r="BM1305" s="231">
        <f t="shared" si="2366"/>
        <v>0.95534359156521453</v>
      </c>
      <c r="BN1305" s="61">
        <f t="shared" si="2362"/>
        <v>1615.4860133367779</v>
      </c>
      <c r="BO1305" s="113">
        <f>INDEX('Dist Plant Depreciation'!$E$7:$AD$94,MATCH($C1305,'Dist Plant Depreciation'!$D$7:$D$94,0),MATCH(Calculation!$G1305,'Dist Plant Depreciation'!$E$5:$AD$5,0))</f>
        <v>119306</v>
      </c>
      <c r="BP1305" s="113">
        <f>INDEX('Gen. Plant Depreciation'!$E$7:$AD$94,MATCH($C1305,'Gen. Plant Depreciation'!$D$7:$D$94,0),MATCH(Calculation!$G1305,'Gen. Plant Depreciation'!$E$5:$AD$5,0))</f>
        <v>4811</v>
      </c>
      <c r="BQ1305" s="113"/>
      <c r="BR1305" s="113"/>
      <c r="BS1305" s="113"/>
      <c r="BT1305" s="113"/>
      <c r="BU1305" s="113"/>
      <c r="BV1305" s="175"/>
      <c r="BW1305" s="113">
        <f>INDEX('Gross Dx Plant'!$E$7:$AD$91,MATCH($C1305,'Gross Dx Plant'!$D$7:$D$91,0),MATCH(Calculation!$G1305,'Gross Dx Plant'!$E$5:$AD$5,0))</f>
        <v>250863</v>
      </c>
      <c r="BX1305" s="113">
        <f>INDEX('Gross Gen Plant'!$E$7:$AD$91,MATCH($C1305,'Gross Gen Plant'!$D$7:$D$91,0),MATCH(Calculation!$G1305,'Gross Gen Plant'!$E$5:$AD$5,0))</f>
        <v>11932</v>
      </c>
      <c r="BY1305" s="113">
        <f t="shared" si="2318"/>
        <v>138678</v>
      </c>
      <c r="BZ1305" s="113"/>
      <c r="CA1305" s="116">
        <v>2000</v>
      </c>
      <c r="CB1305" s="113"/>
      <c r="CC1305" s="113"/>
      <c r="CD1305" s="113"/>
      <c r="CE1305" s="175"/>
      <c r="CF1305" s="113">
        <f t="shared" si="2370"/>
        <v>16829</v>
      </c>
      <c r="CG1305" s="113">
        <f t="shared" si="2371"/>
        <v>48.563816836630245</v>
      </c>
      <c r="CH1305" s="178">
        <v>0.98989898989898994</v>
      </c>
      <c r="CI1305" s="61">
        <f>+CI1303*CH1305+CG1304*CH1304+CG1305</f>
        <v>717.24281562259262</v>
      </c>
      <c r="CJ1305" s="114">
        <f t="shared" si="2372"/>
        <v>6.495680678804186E-2</v>
      </c>
      <c r="CK1305" s="114"/>
      <c r="CL1305" s="169">
        <f t="shared" si="2373"/>
        <v>5.1402523847294693E-3</v>
      </c>
      <c r="CM1305" s="169"/>
      <c r="CN1305" s="114">
        <f>VLOOKUP($H1305,RoR!$E:$F,2,FALSE)</f>
        <v>7.6225000000000001E-2</v>
      </c>
      <c r="CO1305" s="169">
        <v>2.2568307442433211E-2</v>
      </c>
      <c r="CP1305" s="169">
        <f t="shared" ref="CP1305:CP1325" si="2379">+CN1305-CO1305</f>
        <v>5.365669255756679E-2</v>
      </c>
      <c r="CQ1305" s="169"/>
      <c r="CR1305" s="169"/>
      <c r="CS1305" s="179">
        <f t="shared" si="2374"/>
        <v>0.85150049999999999</v>
      </c>
      <c r="CT1305" s="180">
        <f t="shared" si="2375"/>
        <v>0.67277207323124022</v>
      </c>
      <c r="CU1305" s="180">
        <f t="shared" si="2376"/>
        <v>0.6470236142997704</v>
      </c>
      <c r="CV1305" s="180">
        <f t="shared" si="2377"/>
        <v>0.94704866037543145</v>
      </c>
      <c r="CW1305" s="180">
        <f t="shared" si="2378"/>
        <v>0.41224973107878493</v>
      </c>
      <c r="CX1305" s="181">
        <f>INDEX('State Tax Lookup'!$D$7:$Z$91,MATCH(Calculation!$C1305,'State Tax Lookup'!$B$7:$B$91,0),MATCH($H1305,'State Tax Lookup'!$D$6:$Z$6,0))</f>
        <v>0.40134999999999998</v>
      </c>
      <c r="CY1305" s="72">
        <v>0.37</v>
      </c>
      <c r="CZ1305" s="70"/>
      <c r="DA1305" s="70"/>
      <c r="DB1305" s="69"/>
      <c r="DC1305" s="111">
        <f>VLOOKUP($H1305,RoR!$E:$F,2,FALSE)</f>
        <v>7.6225000000000001E-2</v>
      </c>
      <c r="DD1305" s="216">
        <f>HLOOKUP($H1305,'GDP-PI'!$D$8:$CQ$11,3,FALSE)</f>
        <v>2.2568307442433211E-2</v>
      </c>
      <c r="DE1305" s="111">
        <f>VLOOKUP(H1305,'HW Dx Data'!$E:$F,2,FALSE)</f>
        <v>346.53371782150339</v>
      </c>
      <c r="DF1305" s="66"/>
      <c r="DG1305" s="69"/>
      <c r="DH1305" s="66">
        <f>HLOOKUP(H1305,'GDP-PI'!$8:$9,2,FALSE)</f>
        <v>78.069000000000003</v>
      </c>
      <c r="DI1305"/>
    </row>
    <row r="1306" spans="1:113" s="160" customFormat="1" ht="21">
      <c r="A1306" s="160" t="s">
        <v>237</v>
      </c>
      <c r="B1306" s="160" t="s">
        <v>237</v>
      </c>
      <c r="C1306" s="160">
        <v>4008669</v>
      </c>
      <c r="D1306" s="161" t="s">
        <v>192</v>
      </c>
      <c r="E1306" s="161"/>
      <c r="F1306" s="189"/>
      <c r="G1306" s="160" t="s">
        <v>111</v>
      </c>
      <c r="H1306" s="162">
        <v>2001</v>
      </c>
      <c r="I1306" s="163"/>
      <c r="J1306" s="159"/>
      <c r="K1306" s="159"/>
      <c r="L1306" s="159"/>
      <c r="M1306" s="60"/>
      <c r="N1306" s="152"/>
      <c r="O1306" s="60"/>
      <c r="P1306" s="60"/>
      <c r="Q1306" s="159"/>
      <c r="R1306" s="159"/>
      <c r="S1306" s="159"/>
      <c r="T1306" s="159"/>
      <c r="U1306" s="159"/>
      <c r="V1306" s="159"/>
      <c r="W1306" s="159">
        <f t="shared" si="2369"/>
        <v>9305.6521581559518</v>
      </c>
      <c r="X1306" s="163"/>
      <c r="Y1306" s="167">
        <v>748.22995397702744</v>
      </c>
      <c r="Z1306" s="168">
        <v>4.2295917580380621E-2</v>
      </c>
      <c r="AA1306" s="78"/>
      <c r="AB1306" s="168"/>
      <c r="AC1306" s="168"/>
      <c r="AD1306" s="163">
        <f t="shared" si="2363"/>
        <v>9305.6521581559518</v>
      </c>
      <c r="AE1306" s="168"/>
      <c r="AF1306" s="163"/>
      <c r="AG1306" s="163"/>
      <c r="AH1306" s="163"/>
      <c r="AI1306" s="163"/>
      <c r="AJ1306" s="167"/>
      <c r="AK1306" s="168"/>
      <c r="AL1306" s="115"/>
      <c r="AM1306" s="115"/>
      <c r="AN1306" s="115"/>
      <c r="AO1306" s="115"/>
      <c r="AP1306" s="115"/>
      <c r="AQ1306" s="168"/>
      <c r="AR1306" s="115"/>
      <c r="AS1306" s="115"/>
      <c r="AT1306" s="115"/>
      <c r="AU1306" s="115"/>
      <c r="AV1306" s="113">
        <f>IFERROR(INDEX('Total Customers'!$F$7:$AB$91,MATCH($C1306,'Total Customers'!$D$7:$D$91,0),MATCH($G1306,'Total Customers'!$F$5:$AB$5,0)),"NA")</f>
        <v>159515</v>
      </c>
      <c r="AW1306" s="68">
        <f t="shared" si="2347"/>
        <v>1.540183071127855E-2</v>
      </c>
      <c r="AX1306" s="114"/>
      <c r="AY1306" s="114"/>
      <c r="AZ1306" s="116"/>
      <c r="BA1306" s="116"/>
      <c r="BB1306" s="166"/>
      <c r="BC1306" s="166"/>
      <c r="BD1306" s="166"/>
      <c r="BE1306" s="166"/>
      <c r="BF1306" s="166"/>
      <c r="BG1306" s="166"/>
      <c r="BH1306" s="166"/>
      <c r="BI1306" s="113"/>
      <c r="BJ1306" s="113"/>
      <c r="BK1306" s="113">
        <f>INDEX('Dist. Plant Gas Additions'!$F$7:$AE$91,MATCH($C1306,'Dist. Plant Gas Additions'!$D$7:$D$91,0),MATCH(Calculation!$G1306,'Dist. Plant Gas Additions'!$F$5:$AE$5,0))</f>
        <v>11237</v>
      </c>
      <c r="BL1306" s="113">
        <f>INDEX('Gen. Plant Additions'!$F$7:$AE$91,MATCH($C1306,'Gen. Plant Additions'!$D$7:$D$91,0),MATCH(Calculation!$G1306,'Gen. Plant Additions'!$F$5:$AE$5,0))</f>
        <v>974</v>
      </c>
      <c r="BM1306" s="231">
        <f t="shared" si="2366"/>
        <v>0.9545957875910881</v>
      </c>
      <c r="BN1306" s="61">
        <f t="shared" si="2362"/>
        <v>929.77629711371981</v>
      </c>
      <c r="BO1306" s="113">
        <f>INDEX('Dist Plant Depreciation'!$E$7:$AD$94,MATCH($C1306,'Dist Plant Depreciation'!$D$7:$D$94,0),MATCH(Calculation!$G1306,'Dist Plant Depreciation'!$E$5:$AD$5,0))</f>
        <v>124486</v>
      </c>
      <c r="BP1306" s="113">
        <f>INDEX('Gen. Plant Depreciation'!$E$7:$AD$94,MATCH($C1306,'Gen. Plant Depreciation'!$D$7:$D$94,0),MATCH(Calculation!$G1306,'Gen. Plant Depreciation'!$E$5:$AD$5,0))</f>
        <v>5601</v>
      </c>
      <c r="BQ1306" s="113"/>
      <c r="BR1306" s="113"/>
      <c r="BS1306" s="113"/>
      <c r="BT1306" s="113"/>
      <c r="BU1306" s="113"/>
      <c r="BV1306" s="175"/>
      <c r="BW1306" s="113">
        <f>INDEX('Gross Dx Plant'!$E$7:$AD$91,MATCH($C1306,'Gross Dx Plant'!$D$7:$D$91,0),MATCH(Calculation!$G1306,'Gross Dx Plant'!$E$5:$AD$5,0))</f>
        <v>258099</v>
      </c>
      <c r="BX1306" s="113">
        <f>INDEX('Gross Gen Plant'!$E$7:$AD$91,MATCH($C1306,'Gross Gen Plant'!$D$7:$D$91,0),MATCH(Calculation!$G1306,'Gross Gen Plant'!$E$5:$AD$5,0))</f>
        <v>12028</v>
      </c>
      <c r="BY1306" s="113">
        <f t="shared" si="2318"/>
        <v>140040</v>
      </c>
      <c r="BZ1306" s="113"/>
      <c r="CA1306" s="116">
        <v>2001</v>
      </c>
      <c r="CB1306" s="113"/>
      <c r="CC1306" s="113"/>
      <c r="CD1306" s="113"/>
      <c r="CE1306" s="175"/>
      <c r="CF1306" s="113">
        <f t="shared" si="2370"/>
        <v>12211</v>
      </c>
      <c r="CG1306" s="113">
        <f t="shared" si="2371"/>
        <v>34.548282672119043</v>
      </c>
      <c r="CH1306" s="178">
        <v>0.98461538461538467</v>
      </c>
      <c r="CI1306" s="61">
        <f>+CI1303*CH1306+CG1304*CH1305+CG1305*CH1303+CG1306</f>
        <v>748.22995397702744</v>
      </c>
      <c r="CJ1306" s="114">
        <f t="shared" si="2372"/>
        <v>4.2295917580380621E-2</v>
      </c>
      <c r="CK1306" s="114"/>
      <c r="CL1306" s="169">
        <f t="shared" si="2373"/>
        <v>4.9650470386280871E-3</v>
      </c>
      <c r="CM1306" s="169">
        <f>+(CL1306+CL1305+CL1304)/3</f>
        <v>5.0268079338223097E-3</v>
      </c>
      <c r="CN1306" s="114">
        <f>VLOOKUP($H1306,RoR!$E:$F,2,FALSE)</f>
        <v>7.0824999999999999E-2</v>
      </c>
      <c r="CO1306" s="169">
        <v>2.2454495382290052E-2</v>
      </c>
      <c r="CP1306" s="169">
        <f t="shared" si="2379"/>
        <v>4.8370504617709947E-2</v>
      </c>
      <c r="CQ1306" s="169">
        <f>+$CP$2-CM1306</f>
        <v>2.5875133674711316E-2</v>
      </c>
      <c r="CR1306" s="169">
        <v>2.3947275901631187E-2</v>
      </c>
      <c r="CS1306" s="179">
        <f t="shared" si="2374"/>
        <v>0.85150049999999999</v>
      </c>
      <c r="CT1306" s="180">
        <f t="shared" si="2375"/>
        <v>0.72406708481540816</v>
      </c>
      <c r="CU1306" s="180">
        <f t="shared" si="2376"/>
        <v>0.62201729615248857</v>
      </c>
      <c r="CV1306" s="180">
        <f t="shared" si="2377"/>
        <v>0.9352469954311422</v>
      </c>
      <c r="CW1306" s="180">
        <f t="shared" si="2378"/>
        <v>0.42121864641655071</v>
      </c>
      <c r="CX1306" s="181">
        <f>INDEX('State Tax Lookup'!$D$7:$Z$91,MATCH(Calculation!$C1306,'State Tax Lookup'!$B$7:$B$91,0),MATCH($H1306,'State Tax Lookup'!$D$6:$Z$6,0))</f>
        <v>0.40134999999999998</v>
      </c>
      <c r="CY1306" s="72">
        <v>0.37</v>
      </c>
      <c r="CZ1306" s="70">
        <f t="shared" ref="CZ1306:CZ1327" si="2380">+(DE1306*CQ1306-CR1306)*CS1306/(1-CX1306)</f>
        <v>12.974200585164885</v>
      </c>
      <c r="DA1306" s="70"/>
      <c r="DB1306" s="69"/>
      <c r="DC1306" s="111">
        <f>VLOOKUP($H1306,RoR!$E:$F,2,FALSE)</f>
        <v>7.0824999999999999E-2</v>
      </c>
      <c r="DD1306" s="216">
        <f>HLOOKUP($H1306,'GDP-PI'!$D$8:$CQ$11,3,FALSE)</f>
        <v>2.2454495382290052E-2</v>
      </c>
      <c r="DE1306" s="111">
        <f>VLOOKUP(H1306,'HW Dx Data'!$E:$F,2,FALSE)</f>
        <v>353.44738017483138</v>
      </c>
      <c r="DF1306" s="66"/>
      <c r="DG1306" s="69"/>
      <c r="DH1306" s="66">
        <f>HLOOKUP(H1306,'GDP-PI'!$8:$9,2,FALSE)</f>
        <v>79.822000000000003</v>
      </c>
      <c r="DI1306"/>
    </row>
    <row r="1307" spans="1:113" s="160" customFormat="1" ht="21">
      <c r="A1307" s="160" t="s">
        <v>237</v>
      </c>
      <c r="B1307" s="160" t="s">
        <v>237</v>
      </c>
      <c r="C1307" s="160">
        <v>4008669</v>
      </c>
      <c r="D1307" s="161" t="s">
        <v>192</v>
      </c>
      <c r="E1307" s="161"/>
      <c r="F1307" s="189"/>
      <c r="G1307" s="160" t="s">
        <v>113</v>
      </c>
      <c r="H1307" s="162">
        <v>2002</v>
      </c>
      <c r="I1307" s="163"/>
      <c r="J1307" s="159"/>
      <c r="K1307" s="159"/>
      <c r="L1307" s="159"/>
      <c r="M1307" s="60"/>
      <c r="N1307" s="152"/>
      <c r="O1307" s="60"/>
      <c r="P1307" s="60"/>
      <c r="Q1307" s="159"/>
      <c r="R1307" s="159"/>
      <c r="S1307" s="159"/>
      <c r="T1307" s="159"/>
      <c r="U1307" s="159"/>
      <c r="V1307" s="159"/>
      <c r="W1307" s="159">
        <f t="shared" si="2369"/>
        <v>9818.9899539164326</v>
      </c>
      <c r="X1307" s="163"/>
      <c r="Y1307" s="167">
        <v>761.63986310585062</v>
      </c>
      <c r="Z1307" s="168">
        <v>1.776346753829279E-2</v>
      </c>
      <c r="AA1307" s="78"/>
      <c r="AB1307" s="168"/>
      <c r="AC1307" s="168"/>
      <c r="AD1307" s="163">
        <f t="shared" si="2363"/>
        <v>9818.9899539164326</v>
      </c>
      <c r="AE1307" s="168"/>
      <c r="AF1307" s="163"/>
      <c r="AG1307" s="163"/>
      <c r="AH1307" s="163"/>
      <c r="AI1307" s="163"/>
      <c r="AJ1307" s="167"/>
      <c r="AK1307" s="168"/>
      <c r="AL1307" s="115"/>
      <c r="AM1307" s="115"/>
      <c r="AN1307" s="115"/>
      <c r="AO1307" s="115"/>
      <c r="AP1307" s="115"/>
      <c r="AQ1307" s="168"/>
      <c r="AR1307" s="115"/>
      <c r="AS1307" s="115"/>
      <c r="AT1307" s="115"/>
      <c r="AU1307" s="115"/>
      <c r="AV1307" s="113">
        <f>IFERROR(INDEX('Total Customers'!$F$7:$AB$91,MATCH($C1307,'Total Customers'!$D$7:$D$91,0),MATCH($G1307,'Total Customers'!$F$5:$AB$5,0)),"NA")</f>
        <v>165567</v>
      </c>
      <c r="AW1307" s="68">
        <f t="shared" si="2347"/>
        <v>3.7237985040669837E-2</v>
      </c>
      <c r="AX1307" s="114"/>
      <c r="AY1307" s="114"/>
      <c r="AZ1307" s="116"/>
      <c r="BA1307" s="116"/>
      <c r="BB1307" s="166"/>
      <c r="BC1307" s="166"/>
      <c r="BD1307" s="166"/>
      <c r="BE1307" s="166"/>
      <c r="BF1307" s="166"/>
      <c r="BG1307" s="166"/>
      <c r="BH1307" s="166"/>
      <c r="BI1307" s="113"/>
      <c r="BJ1307" s="113"/>
      <c r="BK1307" s="113">
        <f>INDEX('Dist. Plant Gas Additions'!$F$7:$AE$91,MATCH($C1307,'Dist. Plant Gas Additions'!$D$7:$D$91,0),MATCH(Calculation!$G1307,'Dist. Plant Gas Additions'!$F$5:$AE$5,0))</f>
        <v>6134</v>
      </c>
      <c r="BL1307" s="113">
        <f>INDEX('Gen. Plant Additions'!$F$7:$AE$91,MATCH($C1307,'Gen. Plant Additions'!$D$7:$D$91,0),MATCH(Calculation!$G1307,'Gen. Plant Additions'!$F$5:$AE$5,0))</f>
        <v>278</v>
      </c>
      <c r="BM1307" s="231">
        <f t="shared" si="2366"/>
        <v>0.95547279612922809</v>
      </c>
      <c r="BN1307" s="61">
        <f t="shared" si="2362"/>
        <v>265.62143732392542</v>
      </c>
      <c r="BO1307" s="113">
        <f>INDEX('Dist Plant Depreciation'!$E$7:$AD$94,MATCH($C1307,'Dist Plant Depreciation'!$D$7:$D$94,0),MATCH(Calculation!$G1307,'Dist Plant Depreciation'!$E$5:$AD$5,0))</f>
        <v>132894</v>
      </c>
      <c r="BP1307" s="113">
        <f>INDEX('Gen. Plant Depreciation'!$E$7:$AD$94,MATCH($C1307,'Gen. Plant Depreciation'!$D$7:$D$94,0),MATCH(Calculation!$G1307,'Gen. Plant Depreciation'!$E$5:$AD$5,0))</f>
        <v>7042</v>
      </c>
      <c r="BQ1307" s="113"/>
      <c r="BR1307" s="113"/>
      <c r="BS1307" s="113"/>
      <c r="BT1307" s="113"/>
      <c r="BU1307" s="113"/>
      <c r="BV1307" s="175"/>
      <c r="BW1307" s="113">
        <f>INDEX('Gross Dx Plant'!$E$7:$AD$91,MATCH($C1307,'Gross Dx Plant'!$D$7:$D$91,0),MATCH(Calculation!$G1307,'Gross Dx Plant'!$E$5:$AD$5,0))</f>
        <v>263418</v>
      </c>
      <c r="BX1307" s="113">
        <f>INDEX('Gross Gen Plant'!$E$7:$AD$91,MATCH($C1307,'Gross Gen Plant'!$D$7:$D$91,0),MATCH(Calculation!$G1307,'Gross Gen Plant'!$E$5:$AD$5,0))</f>
        <v>12165</v>
      </c>
      <c r="BY1307" s="113">
        <f t="shared" si="2318"/>
        <v>135647</v>
      </c>
      <c r="BZ1307" s="113"/>
      <c r="CA1307" s="116">
        <v>2002</v>
      </c>
      <c r="CB1307" s="113"/>
      <c r="CC1307" s="113"/>
      <c r="CD1307" s="113"/>
      <c r="CE1307" s="175"/>
      <c r="CF1307" s="113">
        <f t="shared" si="2370"/>
        <v>6412</v>
      </c>
      <c r="CG1307" s="113">
        <f t="shared" si="2371"/>
        <v>17.744659051950649</v>
      </c>
      <c r="CH1307" s="178">
        <v>0.97916666666666663</v>
      </c>
      <c r="CI1307" s="61">
        <f>+CI1303*CH1307+CG1304*CH1306+CG1305*CH1305+CG1306*CH1304+CG1307</f>
        <v>761.63986310585062</v>
      </c>
      <c r="CJ1307" s="114">
        <f t="shared" si="2372"/>
        <v>1.776346753829279E-2</v>
      </c>
      <c r="CK1307" s="114"/>
      <c r="CL1307" s="169">
        <f t="shared" si="2373"/>
        <v>5.7933392001846386E-3</v>
      </c>
      <c r="CM1307" s="169">
        <f t="shared" ref="CM1307:CM1327" si="2381">+(CL1307+CL1306+CL1305)/3</f>
        <v>5.2995462078473977E-3</v>
      </c>
      <c r="CN1307" s="114">
        <f>VLOOKUP($H1307,RoR!$E:$F,2,FALSE)</f>
        <v>6.4916666666666664E-2</v>
      </c>
      <c r="CO1307" s="169">
        <v>1.5246423291824351E-2</v>
      </c>
      <c r="CP1307" s="169">
        <f t="shared" si="2379"/>
        <v>4.9670243374842313E-2</v>
      </c>
      <c r="CQ1307" s="169">
        <f t="shared" ref="CQ1307:CQ1327" si="2382">+$CP$2-CM1307</f>
        <v>2.5602395400686227E-2</v>
      </c>
      <c r="CR1307" s="169">
        <v>2.5243621214759093E-2</v>
      </c>
      <c r="CS1307" s="179">
        <f t="shared" si="2374"/>
        <v>0.85150049999999999</v>
      </c>
      <c r="CT1307" s="180">
        <f t="shared" si="2375"/>
        <v>0.78996741384417901</v>
      </c>
      <c r="CU1307" s="180">
        <f t="shared" si="2376"/>
        <v>0.58989088575096271</v>
      </c>
      <c r="CV1307" s="180">
        <f t="shared" si="2377"/>
        <v>0.91920675783645744</v>
      </c>
      <c r="CW1307" s="180">
        <f t="shared" si="2378"/>
        <v>0.42834536472275586</v>
      </c>
      <c r="CX1307" s="181">
        <f>INDEX('State Tax Lookup'!$D$7:$Z$91,MATCH(Calculation!$C1307,'State Tax Lookup'!$B$7:$B$91,0),MATCH($H1307,'State Tax Lookup'!$D$6:$Z$6,0))</f>
        <v>0.40134999999999998</v>
      </c>
      <c r="CY1307" s="72">
        <v>0.37</v>
      </c>
      <c r="CZ1307" s="70">
        <f t="shared" si="2380"/>
        <v>13.122957590411973</v>
      </c>
      <c r="DA1307" s="70"/>
      <c r="DB1307" s="69">
        <f>LN(CZ1307/CZ1306)</f>
        <v>1.1400368989254383E-2</v>
      </c>
      <c r="DC1307" s="111">
        <f>VLOOKUP($H1307,RoR!$E:$F,2,FALSE)</f>
        <v>6.4916666666666664E-2</v>
      </c>
      <c r="DD1307" s="216">
        <f>HLOOKUP($H1307,'GDP-PI'!$D$8:$CQ$11,3,FALSE)</f>
        <v>1.5246423291824351E-2</v>
      </c>
      <c r="DE1307" s="111">
        <f>VLOOKUP(H1307,'HW Dx Data'!$E:$F,2,FALSE)</f>
        <v>361.34816573413599</v>
      </c>
      <c r="DF1307" s="66"/>
      <c r="DG1307" s="69"/>
      <c r="DH1307" s="66">
        <f>HLOOKUP(H1307,'GDP-PI'!$8:$9,2,FALSE)</f>
        <v>81.039000000000001</v>
      </c>
      <c r="DI1307" s="69">
        <f>LN(DH1307/DH1306)</f>
        <v>1.513136459537477E-2</v>
      </c>
    </row>
    <row r="1308" spans="1:113" s="160" customFormat="1" ht="21">
      <c r="A1308" s="160" t="s">
        <v>237</v>
      </c>
      <c r="B1308" s="160" t="s">
        <v>237</v>
      </c>
      <c r="C1308" s="160">
        <v>4008669</v>
      </c>
      <c r="D1308" s="161" t="s">
        <v>192</v>
      </c>
      <c r="E1308" s="161"/>
      <c r="F1308" s="189"/>
      <c r="G1308" s="160" t="s">
        <v>114</v>
      </c>
      <c r="H1308" s="162">
        <v>2003</v>
      </c>
      <c r="I1308" s="163"/>
      <c r="J1308" s="159"/>
      <c r="K1308" s="159"/>
      <c r="L1308" s="159"/>
      <c r="M1308" s="76"/>
      <c r="N1308" s="152"/>
      <c r="O1308" s="76"/>
      <c r="P1308" s="76"/>
      <c r="Q1308" s="159"/>
      <c r="R1308" s="159"/>
      <c r="S1308" s="159"/>
      <c r="T1308" s="159"/>
      <c r="U1308" s="159"/>
      <c r="V1308" s="159"/>
      <c r="W1308" s="159">
        <f t="shared" si="2369"/>
        <v>10148.573466443915</v>
      </c>
      <c r="X1308" s="163"/>
      <c r="Y1308" s="167">
        <v>802.7638292199498</v>
      </c>
      <c r="Z1308" s="168">
        <v>5.2586736756973937E-2</v>
      </c>
      <c r="AA1308" s="78"/>
      <c r="AB1308" s="168"/>
      <c r="AC1308" s="168"/>
      <c r="AD1308" s="163">
        <f t="shared" si="2363"/>
        <v>10148.573466443915</v>
      </c>
      <c r="AE1308" s="168"/>
      <c r="AF1308" s="163"/>
      <c r="AG1308" s="163"/>
      <c r="AH1308" s="163"/>
      <c r="AI1308" s="163"/>
      <c r="AJ1308" s="167"/>
      <c r="AK1308" s="168"/>
      <c r="AL1308" s="115"/>
      <c r="AM1308" s="115"/>
      <c r="AN1308" s="115"/>
      <c r="AO1308" s="115"/>
      <c r="AP1308" s="115"/>
      <c r="AQ1308" s="168"/>
      <c r="AR1308" s="115"/>
      <c r="AS1308" s="115"/>
      <c r="AT1308" s="115"/>
      <c r="AU1308" s="115"/>
      <c r="AV1308" s="113">
        <f>IFERROR(INDEX('Total Customers'!$F$7:$AB$91,MATCH($C1308,'Total Customers'!$D$7:$D$91,0),MATCH($G1308,'Total Customers'!$F$5:$AB$5,0)),"NA")</f>
        <v>166961</v>
      </c>
      <c r="AW1308" s="68">
        <f t="shared" si="2347"/>
        <v>8.3843054786942092E-3</v>
      </c>
      <c r="AX1308" s="114"/>
      <c r="AY1308" s="114"/>
      <c r="AZ1308" s="116"/>
      <c r="BA1308" s="116"/>
      <c r="BB1308" s="166"/>
      <c r="BC1308" s="166"/>
      <c r="BD1308" s="166"/>
      <c r="BE1308" s="166"/>
      <c r="BF1308" s="166"/>
      <c r="BG1308" s="166"/>
      <c r="BH1308" s="166"/>
      <c r="BI1308" s="113"/>
      <c r="BJ1308" s="113"/>
      <c r="BK1308" s="113">
        <f>INDEX('Dist. Plant Gas Additions'!$F$7:$AE$91,MATCH($C1308,'Dist. Plant Gas Additions'!$D$7:$D$91,0),MATCH(Calculation!$G1308,'Dist. Plant Gas Additions'!$F$5:$AE$5,0))</f>
        <v>16462</v>
      </c>
      <c r="BL1308" s="113">
        <f>INDEX('Gen. Plant Additions'!$F$7:$AE$91,MATCH($C1308,'Gen. Plant Additions'!$D$7:$D$91,0),MATCH(Calculation!$G1308,'Gen. Plant Additions'!$F$5:$AE$5,0))</f>
        <v>314</v>
      </c>
      <c r="BM1308" s="231">
        <f t="shared" si="2366"/>
        <v>0.95585721905923082</v>
      </c>
      <c r="BN1308" s="61">
        <f>+BM1308*BL1308</f>
        <v>300.1391667845985</v>
      </c>
      <c r="BO1308" s="113">
        <f>INDEX('Dist Plant Depreciation'!$E$7:$AD$94,MATCH($C1308,'Dist Plant Depreciation'!$D$7:$D$94,0),MATCH(Calculation!$G1308,'Dist Plant Depreciation'!$E$5:$AD$5,0))</f>
        <v>141966</v>
      </c>
      <c r="BP1308" s="113">
        <f>INDEX('Gen. Plant Depreciation'!$E$7:$AD$94,MATCH($C1308,'Gen. Plant Depreciation'!$D$7:$D$94,0),MATCH(Calculation!$G1308,'Gen. Plant Depreciation'!$E$5:$AD$5,0))</f>
        <v>6928</v>
      </c>
      <c r="BQ1308" s="113"/>
      <c r="BR1308" s="113"/>
      <c r="BS1308" s="113"/>
      <c r="BT1308" s="113"/>
      <c r="BU1308" s="113"/>
      <c r="BV1308" s="175"/>
      <c r="BW1308" s="113">
        <f>INDEX('Gross Dx Plant'!$E$7:$AD$91,MATCH($C1308,'Gross Dx Plant'!$D$7:$D$91,0),MATCH(Calculation!$G1308,'Gross Dx Plant'!$E$5:$AD$5,0))</f>
        <v>278921</v>
      </c>
      <c r="BX1308" s="113">
        <f>INDEX('Gross Gen Plant'!$E$7:$AD$91,MATCH($C1308,'Gross Gen Plant'!$D$7:$D$91,0),MATCH(Calculation!$G1308,'Gross Gen Plant'!$E$5:$AD$5,0))</f>
        <v>10825</v>
      </c>
      <c r="BY1308" s="113">
        <f t="shared" si="2318"/>
        <v>140852</v>
      </c>
      <c r="BZ1308" s="113"/>
      <c r="CA1308" s="116">
        <v>2003</v>
      </c>
      <c r="CB1308" s="113"/>
      <c r="CC1308" s="113"/>
      <c r="CD1308" s="113"/>
      <c r="CE1308" s="175"/>
      <c r="CF1308" s="113">
        <f t="shared" si="2370"/>
        <v>16776</v>
      </c>
      <c r="CG1308" s="113">
        <f t="shared" si="2371"/>
        <v>45.434724150428721</v>
      </c>
      <c r="CH1308" s="178">
        <v>0.97354497354497349</v>
      </c>
      <c r="CI1308" s="61">
        <f>+CI1303*CH1308+CG1304*CH1307+CG1305*CH1306+CG1306*CH1305+CG1307*CH1304+CG1308</f>
        <v>802.7638292199498</v>
      </c>
      <c r="CJ1308" s="114">
        <f t="shared" si="2372"/>
        <v>5.2586736756973937E-2</v>
      </c>
      <c r="CK1308" s="114"/>
      <c r="CL1308" s="169">
        <f t="shared" si="2373"/>
        <v>5.6598377332180792E-3</v>
      </c>
      <c r="CM1308" s="169">
        <f t="shared" si="2381"/>
        <v>5.4727413240102689E-3</v>
      </c>
      <c r="CN1308" s="114">
        <f>VLOOKUP($H1308,RoR!$E:$F,2,FALSE)</f>
        <v>5.6666666666666671E-2</v>
      </c>
      <c r="CO1308" s="169">
        <v>1.8855119140166909E-2</v>
      </c>
      <c r="CP1308" s="169">
        <f t="shared" si="2379"/>
        <v>3.7811547526499761E-2</v>
      </c>
      <c r="CQ1308" s="169">
        <f t="shared" si="2382"/>
        <v>2.5429200284523355E-2</v>
      </c>
      <c r="CR1308" s="169">
        <v>2.1375012817671957E-2</v>
      </c>
      <c r="CS1308" s="179">
        <f t="shared" si="2374"/>
        <v>0.85150049999999999</v>
      </c>
      <c r="CT1308" s="180">
        <f t="shared" si="2375"/>
        <v>0.90497737556561086</v>
      </c>
      <c r="CU1308" s="180">
        <f t="shared" si="2376"/>
        <v>0.5338235294117647</v>
      </c>
      <c r="CV1308" s="180">
        <f t="shared" si="2377"/>
        <v>0.88972433127405692</v>
      </c>
      <c r="CW1308" s="180">
        <f t="shared" si="2378"/>
        <v>0.42982423775949252</v>
      </c>
      <c r="CX1308" s="181">
        <f>INDEX('State Tax Lookup'!$D$7:$Z$91,MATCH(Calculation!$C1308,'State Tax Lookup'!$B$7:$B$91,0),MATCH($H1308,'State Tax Lookup'!$D$6:$Z$6,0))</f>
        <v>0.40134999999999998</v>
      </c>
      <c r="CY1308" s="72">
        <v>0.37</v>
      </c>
      <c r="CZ1308" s="70">
        <f t="shared" si="2380"/>
        <v>13.324635379586868</v>
      </c>
      <c r="DA1308" s="70"/>
      <c r="DB1308" s="69">
        <f t="shared" ref="DB1308:DB1325" si="2383">LN(CZ1308/CZ1307)</f>
        <v>1.5251421834490035E-2</v>
      </c>
      <c r="DC1308" s="111">
        <f>VLOOKUP($H1308,RoR!$E:$F,2,FALSE)</f>
        <v>5.6666666666666671E-2</v>
      </c>
      <c r="DD1308" s="216">
        <f>HLOOKUP($H1308,'GDP-PI'!$D$8:$CQ$11,3,FALSE)</f>
        <v>1.8855119140166909E-2</v>
      </c>
      <c r="DE1308" s="111">
        <f>VLOOKUP(H1308,'HW Dx Data'!$E:$F,2,FALSE)</f>
        <v>369.23301095560191</v>
      </c>
      <c r="DF1308" s="66"/>
      <c r="DG1308" s="69"/>
      <c r="DH1308" s="66">
        <f>HLOOKUP(H1308,'GDP-PI'!$8:$9,2,FALSE)</f>
        <v>82.566999999999993</v>
      </c>
      <c r="DI1308" s="69">
        <f t="shared" ref="DI1308:DI1327" si="2384">LN(DH1308/DH1307)</f>
        <v>1.8679564681853753E-2</v>
      </c>
    </row>
    <row r="1309" spans="1:113" s="160" customFormat="1" ht="21">
      <c r="A1309" s="160" t="s">
        <v>237</v>
      </c>
      <c r="B1309" s="160" t="s">
        <v>237</v>
      </c>
      <c r="C1309" s="160">
        <v>4008669</v>
      </c>
      <c r="D1309" s="161" t="s">
        <v>192</v>
      </c>
      <c r="E1309" s="161"/>
      <c r="F1309" s="189"/>
      <c r="G1309" s="160" t="s">
        <v>115</v>
      </c>
      <c r="H1309" s="162">
        <v>2004</v>
      </c>
      <c r="I1309" s="163"/>
      <c r="J1309" s="159">
        <f>IFERROR(INDEX('Labor Expenditures'!$F$7:$X$91,MATCH($C1309,'Labor Expenditures'!$D$7:$D$91,0),MATCH($G1309,'Labor Expenditures'!$F$5:$X$5,0)),"NA")</f>
        <v>9427.210217984577</v>
      </c>
      <c r="K1309" s="159">
        <f t="shared" ref="K1309:K1327" si="2385">+J1309/DF1309</f>
        <v>99.91743739252334</v>
      </c>
      <c r="L1309" s="165"/>
      <c r="M1309" s="76"/>
      <c r="N1309" s="152"/>
      <c r="O1309" s="76"/>
      <c r="P1309" s="76"/>
      <c r="Q1309" s="159">
        <f>IFERROR(INDEX('Non-Labor Expenditures'!$F$7:$AB$91,MATCH($C1309,'Non-Labor Expenditures'!$D$7:$D$91,0),MATCH($G1309,'Non-Labor Expenditures'!$F$5:$AB$5,0)),"NA")</f>
        <v>13652.361155632041</v>
      </c>
      <c r="R1309" s="159">
        <f t="shared" ref="R1309:R1327" si="2386">+Q1309/DH1309</f>
        <v>161.03660331255799</v>
      </c>
      <c r="S1309" s="159"/>
      <c r="T1309" s="159"/>
      <c r="U1309" s="159"/>
      <c r="V1309" s="159"/>
      <c r="W1309" s="159">
        <f t="shared" si="2369"/>
        <v>11847.082409776302</v>
      </c>
      <c r="X1309" s="163"/>
      <c r="Y1309" s="167">
        <v>845.42936505829834</v>
      </c>
      <c r="Z1309" s="168">
        <v>5.1784062507760707E-2</v>
      </c>
      <c r="AA1309" s="76">
        <f t="shared" ref="AA1309:AA1327" si="2387">+Z1309*$AR1309</f>
        <v>0</v>
      </c>
      <c r="AB1309" s="168"/>
      <c r="AC1309" s="168"/>
      <c r="AD1309" s="163">
        <f t="shared" si="2363"/>
        <v>34926.653783392918</v>
      </c>
      <c r="AE1309" s="168"/>
      <c r="AF1309" s="163"/>
      <c r="AG1309" s="163"/>
      <c r="AH1309" s="163"/>
      <c r="AI1309" s="163"/>
      <c r="AJ1309" s="167"/>
      <c r="AK1309" s="168"/>
      <c r="AL1309" s="115">
        <f t="shared" ref="AL1309:AL1327" si="2388">+J1309/AD1309</f>
        <v>0.26991449786314969</v>
      </c>
      <c r="AM1309" s="115">
        <f t="shared" ref="AM1309:AM1327" si="2389">+Q1309/AD1309</f>
        <v>0.39088660598008756</v>
      </c>
      <c r="AN1309" s="115">
        <f t="shared" ref="AN1309:AN1327" si="2390">+W1309/AD1309</f>
        <v>0.3391988961567628</v>
      </c>
      <c r="AO1309" s="115"/>
      <c r="AP1309" s="115"/>
      <c r="AQ1309" s="168"/>
      <c r="AR1309" s="115"/>
      <c r="AS1309" s="115"/>
      <c r="AT1309" s="115"/>
      <c r="AU1309" s="115"/>
      <c r="AV1309" s="113">
        <f>IFERROR(INDEX('Total Customers'!$F$7:$AB$91,MATCH($C1309,'Total Customers'!$D$7:$D$91,0),MATCH($G1309,'Total Customers'!$F$5:$AB$5,0)),"NA")</f>
        <v>169216</v>
      </c>
      <c r="AW1309" s="68">
        <f t="shared" si="2347"/>
        <v>1.3415753139550235E-2</v>
      </c>
      <c r="AX1309" s="114"/>
      <c r="AY1309" s="114"/>
      <c r="AZ1309" s="116"/>
      <c r="BA1309" s="116"/>
      <c r="BB1309" s="166"/>
      <c r="BC1309" s="166"/>
      <c r="BD1309" s="166"/>
      <c r="BE1309" s="166"/>
      <c r="BF1309" s="166"/>
      <c r="BG1309" s="166"/>
      <c r="BH1309" s="166"/>
      <c r="BI1309" s="113"/>
      <c r="BJ1309" s="113"/>
      <c r="BK1309" s="113">
        <f>INDEX('Dist. Plant Gas Additions'!$F$7:$AE$91,MATCH($C1309,'Dist. Plant Gas Additions'!$D$7:$D$91,0),MATCH(Calculation!$G1309,'Dist. Plant Gas Additions'!$F$5:$AE$5,0))</f>
        <v>18903</v>
      </c>
      <c r="BL1309" s="113">
        <f>INDEX('Gen. Plant Additions'!$F$7:$AE$91,MATCH($C1309,'Gen. Plant Additions'!$D$7:$D$91,0),MATCH(Calculation!$G1309,'Gen. Plant Additions'!$F$5:$AE$5,0))</f>
        <v>738</v>
      </c>
      <c r="BM1309" s="231">
        <f t="shared" si="2366"/>
        <v>0.96263969131584215</v>
      </c>
      <c r="BN1309" s="61">
        <f t="shared" si="2362"/>
        <v>710.42809219109154</v>
      </c>
      <c r="BO1309" s="113">
        <f>INDEX('Dist Plant Depreciation'!$E$7:$AD$94,MATCH($C1309,'Dist Plant Depreciation'!$D$7:$D$94,0),MATCH(Calculation!$G1309,'Dist Plant Depreciation'!$E$5:$AD$5,0))</f>
        <v>147410</v>
      </c>
      <c r="BP1309" s="113">
        <f>INDEX('Gen. Plant Depreciation'!$E$7:$AD$94,MATCH($C1309,'Gen. Plant Depreciation'!$D$7:$D$94,0),MATCH(Calculation!$G1309,'Gen. Plant Depreciation'!$E$5:$AD$5,0))</f>
        <v>7939</v>
      </c>
      <c r="BQ1309" s="113"/>
      <c r="BR1309" s="113"/>
      <c r="BS1309" s="113"/>
      <c r="BT1309" s="113"/>
      <c r="BU1309" s="113"/>
      <c r="BV1309" s="175"/>
      <c r="BW1309" s="113">
        <f>INDEX('Gross Dx Plant'!$E$7:$AD$91,MATCH($C1309,'Gross Dx Plant'!$D$7:$D$91,0),MATCH(Calculation!$G1309,'Gross Dx Plant'!$E$5:$AD$5,0))</f>
        <v>293049</v>
      </c>
      <c r="BX1309" s="113">
        <f>INDEX('Gross Gen Plant'!$E$7:$AD$91,MATCH($C1309,'Gross Gen Plant'!$D$7:$D$91,0),MATCH(Calculation!$G1309,'Gross Gen Plant'!$E$5:$AD$5,0))</f>
        <v>11058</v>
      </c>
      <c r="BY1309" s="113">
        <f t="shared" si="2318"/>
        <v>148758</v>
      </c>
      <c r="BZ1309" s="113"/>
      <c r="CA1309" s="116">
        <v>2004</v>
      </c>
      <c r="CB1309" s="113"/>
      <c r="CC1309" s="113"/>
      <c r="CD1309" s="113"/>
      <c r="CE1309" s="175"/>
      <c r="CF1309" s="113">
        <f t="shared" si="2370"/>
        <v>19641</v>
      </c>
      <c r="CG1309" s="113">
        <f t="shared" si="2371"/>
        <v>47.340579341536454</v>
      </c>
      <c r="CH1309" s="178">
        <v>0.967741935483871</v>
      </c>
      <c r="CI1309" s="61">
        <f>+CI1303*CH1309+CG1304*CH1308+CG1305*CH1307+CG1306*CH1306+CG1307*CH1305+CG1308*CH1304+CG1309</f>
        <v>845.42936505829834</v>
      </c>
      <c r="CJ1309" s="114">
        <f t="shared" si="2372"/>
        <v>5.1784062507760707E-2</v>
      </c>
      <c r="CK1309" s="114"/>
      <c r="CL1309" s="169">
        <f t="shared" si="2373"/>
        <v>5.8236847912426174E-3</v>
      </c>
      <c r="CM1309" s="169">
        <f t="shared" si="2381"/>
        <v>5.7589539082151114E-3</v>
      </c>
      <c r="CN1309" s="114">
        <f>VLOOKUP($H1309,RoR!$E:$F,2,FALSE)</f>
        <v>5.6283333333333331E-2</v>
      </c>
      <c r="CO1309" s="169">
        <v>2.6778252812867276E-2</v>
      </c>
      <c r="CP1309" s="169">
        <f t="shared" si="2379"/>
        <v>2.9505080520466055E-2</v>
      </c>
      <c r="CQ1309" s="169">
        <f t="shared" si="2382"/>
        <v>2.5142987700318514E-2</v>
      </c>
      <c r="CR1309" s="169">
        <v>5.5940039414565046E-2</v>
      </c>
      <c r="CS1309" s="179">
        <f t="shared" si="2374"/>
        <v>0.85150049999999999</v>
      </c>
      <c r="CT1309" s="180">
        <f t="shared" si="2375"/>
        <v>0.91114097628755619</v>
      </c>
      <c r="CU1309" s="180">
        <f t="shared" si="2376"/>
        <v>0.53081877405981637</v>
      </c>
      <c r="CV1309" s="180">
        <f t="shared" si="2377"/>
        <v>0.88811215519385678</v>
      </c>
      <c r="CW1309" s="180">
        <f t="shared" si="2378"/>
        <v>0.42953609753547711</v>
      </c>
      <c r="CX1309" s="181">
        <f>INDEX('State Tax Lookup'!$D$7:$Z$91,MATCH(Calculation!$C1309,'State Tax Lookup'!$B$7:$B$91,0),MATCH($H1309,'State Tax Lookup'!$D$6:$Z$6,0))</f>
        <v>0.40134999999999998</v>
      </c>
      <c r="CY1309" s="72">
        <v>0.37</v>
      </c>
      <c r="CZ1309" s="70">
        <f t="shared" si="2380"/>
        <v>14.757867729651172</v>
      </c>
      <c r="DA1309" s="70"/>
      <c r="DB1309" s="69">
        <f t="shared" si="2383"/>
        <v>0.10216173993155463</v>
      </c>
      <c r="DC1309" s="111">
        <f>VLOOKUP($H1309,RoR!$E:$F,2,FALSE)</f>
        <v>5.6283333333333331E-2</v>
      </c>
      <c r="DD1309" s="216">
        <f>HLOOKUP($H1309,'GDP-PI'!$D$8:$CQ$11,3,FALSE)</f>
        <v>2.6778252812867276E-2</v>
      </c>
      <c r="DE1309" s="111">
        <f>VLOOKUP(H1309,'HW Dx Data'!$E:$F,2,FALSE)</f>
        <v>414.88719135228365</v>
      </c>
      <c r="DF1309" s="72">
        <f>VLOOKUP(G1309,EG$8:EH$27,2,FALSE)</f>
        <v>94.35</v>
      </c>
      <c r="DG1309" s="69"/>
      <c r="DH1309" s="66">
        <f>HLOOKUP(H1309,'GDP-PI'!$8:$9,2,FALSE)</f>
        <v>84.778000000000006</v>
      </c>
      <c r="DI1309" s="69">
        <f t="shared" si="2384"/>
        <v>2.6425990216022755E-2</v>
      </c>
    </row>
    <row r="1310" spans="1:113" s="160" customFormat="1" ht="21">
      <c r="A1310" s="160" t="s">
        <v>237</v>
      </c>
      <c r="B1310" s="160" t="s">
        <v>237</v>
      </c>
      <c r="C1310" s="160">
        <v>4008669</v>
      </c>
      <c r="D1310" s="161" t="s">
        <v>192</v>
      </c>
      <c r="E1310" s="161"/>
      <c r="F1310" s="189"/>
      <c r="G1310" s="160" t="s">
        <v>116</v>
      </c>
      <c r="H1310" s="162">
        <v>2005</v>
      </c>
      <c r="I1310" s="163"/>
      <c r="J1310" s="159">
        <f>IFERROR(INDEX('Labor Expenditures'!$F$7:$X$91,MATCH($C1310,'Labor Expenditures'!$D$7:$D$91,0),MATCH($G1310,'Labor Expenditures'!$F$5:$X$5,0)),"NA")</f>
        <v>8067.5425623243082</v>
      </c>
      <c r="K1310" s="159">
        <f t="shared" si="2385"/>
        <v>81.305543586034858</v>
      </c>
      <c r="L1310" s="165">
        <f t="shared" ref="L1310:L1326" si="2391">LN(K1310/K1309)</f>
        <v>-0.20613001787715451</v>
      </c>
      <c r="M1310" s="76"/>
      <c r="N1310" s="62">
        <v>100</v>
      </c>
      <c r="O1310" s="77"/>
      <c r="P1310" s="77"/>
      <c r="Q1310" s="159">
        <f>IFERROR(INDEX('Non-Labor Expenditures'!$F$7:$AB$91,MATCH($C1310,'Non-Labor Expenditures'!$D$7:$D$91,0),MATCH($G1310,'Non-Labor Expenditures'!$F$5:$AB$5,0)),"NA")</f>
        <v>11683.308439347753</v>
      </c>
      <c r="R1310" s="159">
        <f t="shared" si="2386"/>
        <v>133.66559245080776</v>
      </c>
      <c r="S1310" s="165">
        <f>LN(R1310/R1309)</f>
        <v>-0.1862905868333182</v>
      </c>
      <c r="T1310" s="165"/>
      <c r="U1310" s="165"/>
      <c r="V1310" s="165"/>
      <c r="W1310" s="159">
        <f t="shared" si="2369"/>
        <v>14038.8966023666</v>
      </c>
      <c r="X1310" s="163"/>
      <c r="Y1310" s="167">
        <v>875.60739408298696</v>
      </c>
      <c r="Z1310" s="168">
        <v>3.5073187567964785E-2</v>
      </c>
      <c r="AA1310" s="76">
        <f t="shared" si="2387"/>
        <v>0</v>
      </c>
      <c r="AB1310" s="168"/>
      <c r="AC1310" s="168"/>
      <c r="AD1310" s="163">
        <f t="shared" si="2363"/>
        <v>33789.747604038661</v>
      </c>
      <c r="AE1310" s="168">
        <f>LN(AD1310/AD1309)</f>
        <v>-3.3092825293255058E-2</v>
      </c>
      <c r="AF1310" s="163"/>
      <c r="AG1310" s="163"/>
      <c r="AH1310" s="163"/>
      <c r="AI1310" s="163"/>
      <c r="AJ1310" s="116"/>
      <c r="AK1310" s="114"/>
      <c r="AL1310" s="115">
        <f t="shared" si="2388"/>
        <v>0.23875711227153557</v>
      </c>
      <c r="AM1310" s="115">
        <f t="shared" si="2389"/>
        <v>0.34576489224652646</v>
      </c>
      <c r="AN1310" s="115">
        <f t="shared" si="2390"/>
        <v>0.41547799548193798</v>
      </c>
      <c r="AO1310" s="115">
        <f t="shared" ref="AO1310:AO1326" si="2392">+(((AL1310+AL1309)/2)*L1310+((AM1309+AM1310)/2)*S1310+((AN1309+AN1310)/2)*Z1310)</f>
        <v>-0.10780740190664494</v>
      </c>
      <c r="AP1310" s="166">
        <v>100</v>
      </c>
      <c r="AQ1310" s="168"/>
      <c r="AR1310" s="115"/>
      <c r="AS1310" s="115"/>
      <c r="AT1310" s="115"/>
      <c r="AU1310" s="115"/>
      <c r="AV1310" s="113">
        <f>IFERROR(INDEX('Total Customers'!$F$7:$AB$91,MATCH($C1310,'Total Customers'!$D$7:$D$91,0),MATCH($G1310,'Total Customers'!$F$5:$AB$5,0)),"NA")</f>
        <v>172312</v>
      </c>
      <c r="AW1310" s="68">
        <f t="shared" si="2347"/>
        <v>1.813078172594234E-2</v>
      </c>
      <c r="AX1310" s="114"/>
      <c r="AY1310" s="114"/>
      <c r="AZ1310" s="116"/>
      <c r="BA1310" s="116"/>
      <c r="BB1310" s="166"/>
      <c r="BC1310" s="166"/>
      <c r="BD1310" s="166"/>
      <c r="BE1310" s="166"/>
      <c r="BF1310" s="166"/>
      <c r="BG1310" s="166"/>
      <c r="BH1310" s="166"/>
      <c r="BI1310" s="113"/>
      <c r="BJ1310" s="113"/>
      <c r="BK1310" s="113">
        <f>INDEX('Dist. Plant Gas Additions'!$F$7:$AE$91,MATCH($C1310,'Dist. Plant Gas Additions'!$D$7:$D$91,0),MATCH(Calculation!$G1310,'Dist. Plant Gas Additions'!$F$5:$AE$5,0))</f>
        <v>15931</v>
      </c>
      <c r="BL1310" s="113">
        <f>INDEX('Gen. Plant Additions'!$F$7:$AE$91,MATCH($C1310,'Gen. Plant Additions'!$D$7:$D$91,0),MATCH(Calculation!$G1310,'Gen. Plant Additions'!$F$5:$AE$5,0))</f>
        <v>604</v>
      </c>
      <c r="BM1310" s="231">
        <f t="shared" si="2366"/>
        <v>0.96363779853801457</v>
      </c>
      <c r="BN1310" s="61">
        <f t="shared" si="2362"/>
        <v>582.03723031696074</v>
      </c>
      <c r="BO1310" s="113">
        <f>INDEX('Dist Plant Depreciation'!$E$7:$AD$94,MATCH($C1310,'Dist Plant Depreciation'!$D$7:$D$94,0),MATCH(Calculation!$G1310,'Dist Plant Depreciation'!$E$5:$AD$5,0))</f>
        <v>156022</v>
      </c>
      <c r="BP1310" s="113">
        <f>INDEX('Gen. Plant Depreciation'!$E$7:$AD$94,MATCH($C1310,'Gen. Plant Depreciation'!$D$7:$D$94,0),MATCH(Calculation!$G1310,'Gen. Plant Depreciation'!$E$5:$AD$5,0))</f>
        <v>9111</v>
      </c>
      <c r="BQ1310" s="113"/>
      <c r="BR1310" s="113"/>
      <c r="BS1310" s="113"/>
      <c r="BT1310" s="113"/>
      <c r="BU1310" s="113"/>
      <c r="BV1310" s="175"/>
      <c r="BW1310" s="113">
        <f>INDEX('Gross Dx Plant'!$E$7:$AD$91,MATCH($C1310,'Gross Dx Plant'!$D$7:$D$91,0),MATCH(Calculation!$G1310,'Gross Dx Plant'!$E$5:$AD$5,0))</f>
        <v>307677</v>
      </c>
      <c r="BX1310" s="113">
        <f>INDEX('Gross Gen Plant'!$E$7:$AD$91,MATCH($C1310,'Gross Gen Plant'!$D$7:$D$91,0),MATCH(Calculation!$G1310,'Gross Gen Plant'!$E$5:$AD$5,0))</f>
        <v>11604</v>
      </c>
      <c r="BY1310" s="113">
        <f t="shared" si="2318"/>
        <v>154148</v>
      </c>
      <c r="BZ1310" s="113"/>
      <c r="CA1310" s="116">
        <v>2005</v>
      </c>
      <c r="CB1310" s="113"/>
      <c r="CC1310" s="113"/>
      <c r="CD1310" s="113"/>
      <c r="CE1310" s="175"/>
      <c r="CF1310" s="113">
        <f t="shared" si="2370"/>
        <v>16535</v>
      </c>
      <c r="CG1310" s="113">
        <f t="shared" si="2371"/>
        <v>35.240449385717099</v>
      </c>
      <c r="CH1310" s="178">
        <v>0.96174863387978138</v>
      </c>
      <c r="CI1310" s="61">
        <f>+CI1303*CH1310+CG1304*CH1309+CG1305*CH1308+CG1306*CH1307+CG1307*CH1306+CG1308*CH1305+CG1309*CH1304+CG1310</f>
        <v>875.60739408298696</v>
      </c>
      <c r="CJ1310" s="114">
        <f t="shared" si="2372"/>
        <v>3.5073187567964785E-2</v>
      </c>
      <c r="CK1310" s="114"/>
      <c r="CL1310" s="169">
        <f t="shared" si="2373"/>
        <v>5.987987370984443E-3</v>
      </c>
      <c r="CM1310" s="169">
        <f t="shared" si="2381"/>
        <v>5.8238366318150462E-3</v>
      </c>
      <c r="CN1310" s="114">
        <f>VLOOKUP($H1310,RoR!$E:$F,2,FALSE)</f>
        <v>5.2350000000000001E-2</v>
      </c>
      <c r="CO1310" s="169">
        <v>3.1010403642454332E-2</v>
      </c>
      <c r="CP1310" s="169">
        <f t="shared" si="2379"/>
        <v>2.1339596357545669E-2</v>
      </c>
      <c r="CQ1310" s="169">
        <f t="shared" si="2382"/>
        <v>2.5078104976718578E-2</v>
      </c>
      <c r="CR1310" s="169">
        <v>9.2129610649277341E-2</v>
      </c>
      <c r="CS1310" s="179">
        <f t="shared" si="2374"/>
        <v>0.85150049999999999</v>
      </c>
      <c r="CT1310" s="180">
        <f t="shared" si="2375"/>
        <v>0.97959983346802826</v>
      </c>
      <c r="CU1310" s="180">
        <f t="shared" si="2376"/>
        <v>0.49744508118433622</v>
      </c>
      <c r="CV1310" s="180">
        <f t="shared" si="2377"/>
        <v>0.87010519444335932</v>
      </c>
      <c r="CW1310" s="180">
        <f t="shared" si="2378"/>
        <v>0.42399975420741998</v>
      </c>
      <c r="CX1310" s="181">
        <f>INDEX('State Tax Lookup'!$D$7:$Z$91,MATCH(Calculation!$C1310,'State Tax Lookup'!$B$7:$B$91,0),MATCH($H1310,'State Tax Lookup'!$D$6:$Z$6,0))</f>
        <v>0.40134999999999998</v>
      </c>
      <c r="CY1310" s="72">
        <v>0.37</v>
      </c>
      <c r="CZ1310" s="70">
        <f t="shared" si="2380"/>
        <v>16.605641089126966</v>
      </c>
      <c r="DA1310" s="70"/>
      <c r="DB1310" s="69">
        <f t="shared" si="2383"/>
        <v>0.11796611630556696</v>
      </c>
      <c r="DC1310" s="111">
        <f>VLOOKUP($H1310,RoR!$E:$F,2,FALSE)</f>
        <v>5.2350000000000001E-2</v>
      </c>
      <c r="DD1310" s="216">
        <f>HLOOKUP($H1310,'GDP-PI'!$D$8:$CQ$11,3,FALSE)</f>
        <v>3.1010403642454332E-2</v>
      </c>
      <c r="DE1310" s="111">
        <f>VLOOKUP(H1310,'HW Dx Data'!$E:$F,2,FALSE)</f>
        <v>469.20514034936258</v>
      </c>
      <c r="DF1310" s="72">
        <f t="shared" ref="DF1310:DF1328" si="2393">VLOOKUP(G1310,EG$8:EH$27,2,FALSE)</f>
        <v>99.224999999999994</v>
      </c>
      <c r="DG1310" s="69">
        <f t="shared" ref="DG1310:DG1328" si="2394">LN(DF1310/DF1309)</f>
        <v>5.0378726854569796E-2</v>
      </c>
      <c r="DH1310" s="66">
        <f>HLOOKUP(H1310,'GDP-PI'!$8:$9,2,FALSE)</f>
        <v>87.406999999999996</v>
      </c>
      <c r="DI1310" s="69">
        <f t="shared" si="2384"/>
        <v>3.0539295810733648E-2</v>
      </c>
    </row>
    <row r="1311" spans="1:113" s="160" customFormat="1" ht="21">
      <c r="A1311" s="160" t="s">
        <v>237</v>
      </c>
      <c r="B1311" s="160" t="s">
        <v>237</v>
      </c>
      <c r="C1311" s="160">
        <v>4008669</v>
      </c>
      <c r="D1311" s="161" t="s">
        <v>192</v>
      </c>
      <c r="E1311" s="161"/>
      <c r="F1311" s="189"/>
      <c r="G1311" s="160" t="s">
        <v>117</v>
      </c>
      <c r="H1311" s="162">
        <v>2006</v>
      </c>
      <c r="I1311" s="163"/>
      <c r="J1311" s="159">
        <f>IFERROR(INDEX('Labor Expenditures'!$F$7:$X$91,MATCH($C1311,'Labor Expenditures'!$D$7:$D$91,0),MATCH($G1311,'Labor Expenditures'!$F$5:$X$5,0)),"NA")</f>
        <v>9275.8279611023318</v>
      </c>
      <c r="K1311" s="159">
        <f t="shared" si="2385"/>
        <v>84.788189772416189</v>
      </c>
      <c r="L1311" s="165">
        <f t="shared" si="2391"/>
        <v>4.194206052773037E-2</v>
      </c>
      <c r="M1311" s="76">
        <f t="shared" ref="M1311:M1327" si="2395">+L1311*$AR1311</f>
        <v>1.9451064352539666E-4</v>
      </c>
      <c r="N1311" s="62">
        <f>+N1310*EXP(O1311)</f>
        <v>116.28194656340065</v>
      </c>
      <c r="O1311" s="96">
        <f t="shared" ref="O1311:O1327" si="2396">+M1311+M1336+M1361+M1386+M1411+M1436+M1461+M1486+M1511+M1536+M1561+M1586+M1611+M1636+M1661+M1686+M1711+M1736+M1761+M1786+M1811+M1836+M1861+M1886+M1911+M1936+M1961+M1986+M2011+M2036+M2061+M2086+M2111+M2136+M2161+M2186+M2211+M2236+M2261+M2286+M2311+M2336+M2361+M2386+M2411+M2436+M2461+M2486+M2511+M2536+M2561+M2586+M2611+M2636</f>
        <v>0.1508476298737895</v>
      </c>
      <c r="P1311" s="96"/>
      <c r="Q1311" s="159">
        <f>IFERROR(INDEX('Non-Labor Expenditures'!$F$7:$AB$91,MATCH($C1311,'Non-Labor Expenditures'!$D$7:$D$91,0),MATCH($G1311,'Non-Labor Expenditures'!$F$5:$AB$5,0)),"NA")</f>
        <v>13433.13137336111</v>
      </c>
      <c r="R1311" s="159">
        <f t="shared" si="2386"/>
        <v>149.13439364701367</v>
      </c>
      <c r="S1311" s="165">
        <f t="shared" ref="S1311:S1326" si="2397">LN(R1311/R1310)</f>
        <v>0.10950676812102779</v>
      </c>
      <c r="T1311" s="165">
        <f t="shared" ref="T1311:T1327" si="2398">+S1311*AR1311</f>
        <v>5.078489628215731E-4</v>
      </c>
      <c r="U1311" s="165"/>
      <c r="V1311" s="165"/>
      <c r="W1311" s="159">
        <f t="shared" si="2369"/>
        <v>14204.629133216798</v>
      </c>
      <c r="X1311" s="163"/>
      <c r="Y1311" s="167">
        <v>906.06414991787335</v>
      </c>
      <c r="Z1311" s="168">
        <v>3.4192298982211392E-2</v>
      </c>
      <c r="AA1311" s="76">
        <f t="shared" si="2387"/>
        <v>1.58570322844427E-4</v>
      </c>
      <c r="AB1311" s="168"/>
      <c r="AC1311" s="168"/>
      <c r="AD1311" s="163">
        <f t="shared" si="2363"/>
        <v>36913.588467680238</v>
      </c>
      <c r="AE1311" s="168">
        <f t="shared" ref="AE1311:AE1327" si="2399">LN(AD1311/AD1310)</f>
        <v>8.8422303263069546E-2</v>
      </c>
      <c r="AF1311" s="163"/>
      <c r="AG1311" s="163"/>
      <c r="AH1311" s="163"/>
      <c r="AI1311" s="163"/>
      <c r="AJ1311" s="116">
        <f t="shared" ref="AJ1311:AJ1327" si="2400">+(AD1311*1000)/AV1311</f>
        <v>213.76380248129669</v>
      </c>
      <c r="AK1311" s="114">
        <f>+AV1311/$AX$11</f>
        <v>4.9791460558640446E-3</v>
      </c>
      <c r="AL1311" s="115">
        <f t="shared" si="2388"/>
        <v>0.25128491555958588</v>
      </c>
      <c r="AM1311" s="115">
        <f t="shared" si="2389"/>
        <v>0.36390749127851696</v>
      </c>
      <c r="AN1311" s="115">
        <f t="shared" si="2390"/>
        <v>0.38480759316189722</v>
      </c>
      <c r="AO1311" s="115">
        <f t="shared" si="2392"/>
        <v>6.2815452827531842E-2</v>
      </c>
      <c r="AP1311" s="166">
        <f>+AP1310*EXP(AO1311)</f>
        <v>106.48303096745676</v>
      </c>
      <c r="AQ1311" s="168">
        <f>LN(AP1311/AP1310)</f>
        <v>6.2815452827531912E-2</v>
      </c>
      <c r="AR1311" s="169">
        <f>+AD1311/$AF$11</f>
        <v>4.6376034242951465E-3</v>
      </c>
      <c r="AS1311" s="169">
        <f>+AR1311*AQ1311</f>
        <v>2.9131315913161226E-4</v>
      </c>
      <c r="AT1311" s="115"/>
      <c r="AU1311" s="115"/>
      <c r="AV1311" s="113">
        <f>IFERROR(INDEX('Total Customers'!$F$7:$AB$91,MATCH($C1311,'Total Customers'!$D$7:$D$91,0),MATCH($G1311,'Total Customers'!$F$5:$AB$5,0)),"NA")</f>
        <v>172684</v>
      </c>
      <c r="AW1311" s="68">
        <f t="shared" si="2347"/>
        <v>2.1565475783580285E-3</v>
      </c>
      <c r="AX1311" s="114"/>
      <c r="AY1311" s="114"/>
      <c r="AZ1311" s="116"/>
      <c r="BA1311" s="116"/>
      <c r="BB1311" s="166"/>
      <c r="BC1311" s="166"/>
      <c r="BD1311" s="166"/>
      <c r="BE1311" s="166"/>
      <c r="BF1311" s="166"/>
      <c r="BG1311" s="166"/>
      <c r="BH1311" s="166"/>
      <c r="BI1311" s="113"/>
      <c r="BJ1311" s="113"/>
      <c r="BK1311" s="113">
        <v>15931</v>
      </c>
      <c r="BL1311" s="113">
        <v>604</v>
      </c>
      <c r="BM1311" s="231">
        <f t="shared" si="2366"/>
        <v>0.96365583921373332</v>
      </c>
      <c r="BN1311" s="61">
        <f t="shared" si="2362"/>
        <v>582.04812688509492</v>
      </c>
      <c r="BO1311" s="113">
        <f>INDEX('Dist Plant Depreciation'!$E$7:$AD$94,MATCH($C1311,'Dist Plant Depreciation'!$D$7:$D$94,0),MATCH(Calculation!$G1311,'Dist Plant Depreciation'!$E$5:$AD$5,0))</f>
        <v>166490</v>
      </c>
      <c r="BP1311" s="113">
        <f>INDEX('Gen. Plant Depreciation'!$E$7:$AD$94,MATCH($C1311,'Gen. Plant Depreciation'!$D$7:$D$94,0),MATCH(Calculation!$G1311,'Gen. Plant Depreciation'!$E$5:$AD$5,0))</f>
        <v>-6963</v>
      </c>
      <c r="BQ1311" s="113"/>
      <c r="BR1311" s="113"/>
      <c r="BS1311" s="113"/>
      <c r="BT1311" s="113"/>
      <c r="BU1311" s="113"/>
      <c r="BV1311" s="175"/>
      <c r="BW1311" s="113">
        <f>INDEX('Gross Dx Plant'!$E$7:$AD$91,MATCH($C1311,'Gross Dx Plant'!$D$7:$D$91,0),MATCH(Calculation!$G1311,'Gross Dx Plant'!$E$5:$AD$5,0))</f>
        <v>318969</v>
      </c>
      <c r="BX1311" s="113">
        <f>INDEX('Gross Gen Plant'!$E$7:$AD$91,MATCH($C1311,'Gross Gen Plant'!$D$7:$D$91,0),MATCH(Calculation!$G1311,'Gross Gen Plant'!$E$5:$AD$5,0))</f>
        <v>6579</v>
      </c>
      <c r="BY1311" s="113">
        <f t="shared" si="2318"/>
        <v>166021</v>
      </c>
      <c r="BZ1311" s="114"/>
      <c r="CA1311" s="116">
        <v>2006</v>
      </c>
      <c r="CB1311" s="113"/>
      <c r="CC1311" s="113"/>
      <c r="CD1311" s="113"/>
      <c r="CE1311" s="175"/>
      <c r="CF1311" s="113">
        <f t="shared" si="2370"/>
        <v>16535</v>
      </c>
      <c r="CG1311" s="113">
        <f t="shared" si="2371"/>
        <v>35.861014509753765</v>
      </c>
      <c r="CH1311" s="178">
        <v>0.9555555555555556</v>
      </c>
      <c r="CI1311" s="61">
        <f>+CI1303*CH1311+CG1304*CH1310+CG1305*CH1309+CG1306*CH1308+CG1307*CH1307+CG1308*CH1306+CG1309*CH1305+CG1310*CH1304+CG1311</f>
        <v>906.06414991787335</v>
      </c>
      <c r="CJ1311" s="114">
        <f t="shared" si="2372"/>
        <v>3.4192298982211392E-2</v>
      </c>
      <c r="CK1311" s="114"/>
      <c r="CL1311" s="169">
        <f t="shared" si="2373"/>
        <v>6.1720112362997868E-3</v>
      </c>
      <c r="CM1311" s="169">
        <f t="shared" si="2381"/>
        <v>5.9945611328422821E-3</v>
      </c>
      <c r="CN1311" s="114">
        <f>VLOOKUP($H1311,RoR!$E:$F,2,FALSE)</f>
        <v>5.5874999999999994E-2</v>
      </c>
      <c r="CO1311" s="169">
        <v>3.0512430354548314E-2</v>
      </c>
      <c r="CP1311" s="169">
        <f t="shared" si="2379"/>
        <v>2.536256964545168E-2</v>
      </c>
      <c r="CQ1311" s="169">
        <f t="shared" si="2382"/>
        <v>2.4907380475691344E-2</v>
      </c>
      <c r="CR1311" s="169">
        <v>7.9087823893859641E-2</v>
      </c>
      <c r="CS1311" s="179">
        <f t="shared" si="2374"/>
        <v>0.85150049999999999</v>
      </c>
      <c r="CT1311" s="180">
        <f t="shared" si="2375"/>
        <v>0.91779957551769631</v>
      </c>
      <c r="CU1311" s="180">
        <f t="shared" si="2376"/>
        <v>0.52757270693512304</v>
      </c>
      <c r="CV1311" s="180">
        <f t="shared" si="2377"/>
        <v>0.88636824549024895</v>
      </c>
      <c r="CW1311" s="180">
        <f t="shared" si="2378"/>
        <v>0.42918482841932087</v>
      </c>
      <c r="CX1311" s="181">
        <f>INDEX('State Tax Lookup'!$D$7:$Z$91,MATCH(Calculation!$C1311,'State Tax Lookup'!$B$7:$B$91,0),MATCH($H1311,'State Tax Lookup'!$D$6:$Z$6,0))</f>
        <v>0.40134999999999998</v>
      </c>
      <c r="CY1311" s="72">
        <v>0.37</v>
      </c>
      <c r="CZ1311" s="70">
        <f t="shared" si="2380"/>
        <v>16.222600710325356</v>
      </c>
      <c r="DA1311" s="70">
        <v>14.788696346247992</v>
      </c>
      <c r="DB1311" s="69">
        <f t="shared" si="2383"/>
        <v>-2.3337086723027773E-2</v>
      </c>
      <c r="DC1311" s="111">
        <f>VLOOKUP($H1311,RoR!$E:$F,2,FALSE)</f>
        <v>5.5874999999999994E-2</v>
      </c>
      <c r="DD1311" s="216">
        <f>HLOOKUP($H1311,'GDP-PI'!$D$8:$CQ$11,3,FALSE)</f>
        <v>3.0512430354548314E-2</v>
      </c>
      <c r="DE1311" s="111">
        <f>VLOOKUP(H1311,'HW Dx Data'!$E:$F,2,FALSE)</f>
        <v>461.08567272971823</v>
      </c>
      <c r="DF1311" s="72">
        <f t="shared" si="2393"/>
        <v>109.4</v>
      </c>
      <c r="DG1311" s="69">
        <f t="shared" si="2394"/>
        <v>9.7620891318751846E-2</v>
      </c>
      <c r="DH1311" s="66">
        <f>HLOOKUP(H1311,'GDP-PI'!$8:$9,2,FALSE)</f>
        <v>90.073999999999998</v>
      </c>
      <c r="DI1311" s="69">
        <f t="shared" si="2384"/>
        <v>3.005618372545445E-2</v>
      </c>
    </row>
    <row r="1312" spans="1:113" s="160" customFormat="1" ht="21">
      <c r="A1312" s="160" t="s">
        <v>237</v>
      </c>
      <c r="B1312" s="160" t="s">
        <v>237</v>
      </c>
      <c r="C1312" s="160">
        <v>4008669</v>
      </c>
      <c r="D1312" s="161" t="s">
        <v>192</v>
      </c>
      <c r="E1312" s="161"/>
      <c r="F1312" s="189"/>
      <c r="G1312" s="160" t="s">
        <v>118</v>
      </c>
      <c r="H1312" s="162">
        <v>2007</v>
      </c>
      <c r="I1312" s="163"/>
      <c r="J1312" s="159">
        <f>IFERROR(INDEX('Labor Expenditures'!$F$7:$X$91,MATCH($C1312,'Labor Expenditures'!$D$7:$D$91,0),MATCH($G1312,'Labor Expenditures'!$F$5:$X$5,0)),"NA")</f>
        <v>7498.8348460240086</v>
      </c>
      <c r="K1312" s="159">
        <f t="shared" si="2385"/>
        <v>71.742021966266535</v>
      </c>
      <c r="L1312" s="165">
        <f t="shared" si="2391"/>
        <v>-0.16707960519733212</v>
      </c>
      <c r="M1312" s="76">
        <f t="shared" si="2395"/>
        <v>-6.7856892269804931E-4</v>
      </c>
      <c r="N1312" s="62">
        <f t="shared" ref="N1312:N1325" si="2401">+N1311*EXP(O1312)</f>
        <v>120.20322386328979</v>
      </c>
      <c r="O1312" s="96">
        <f t="shared" si="2396"/>
        <v>3.3166026705592731E-2</v>
      </c>
      <c r="P1312" s="96"/>
      <c r="Q1312" s="159">
        <f>IFERROR(INDEX('Non-Labor Expenditures'!$F$7:$AB$91,MATCH($C1312,'Non-Labor Expenditures'!$D$7:$D$91,0),MATCH($G1312,'Non-Labor Expenditures'!$F$5:$AB$5,0)),"NA")</f>
        <v>10859.713446195441</v>
      </c>
      <c r="R1312" s="159">
        <f t="shared" si="2386"/>
        <v>117.40484600959415</v>
      </c>
      <c r="S1312" s="165">
        <f t="shared" si="2397"/>
        <v>-0.23921968589262232</v>
      </c>
      <c r="T1312" s="165">
        <f t="shared" si="2398"/>
        <v>-9.7155511202341813E-4</v>
      </c>
      <c r="U1312" s="165"/>
      <c r="V1312" s="165"/>
      <c r="W1312" s="159">
        <f t="shared" si="2369"/>
        <v>15788.260722281537</v>
      </c>
      <c r="X1312" s="163"/>
      <c r="Y1312" s="167">
        <v>909.01977844995315</v>
      </c>
      <c r="Z1312" s="168">
        <v>3.256743226317858E-3</v>
      </c>
      <c r="AA1312" s="76">
        <f t="shared" si="2387"/>
        <v>1.3226777379421088E-5</v>
      </c>
      <c r="AB1312" s="168"/>
      <c r="AC1312" s="168"/>
      <c r="AD1312" s="163">
        <f t="shared" si="2363"/>
        <v>34146.809014500985</v>
      </c>
      <c r="AE1312" s="168">
        <f t="shared" si="2399"/>
        <v>-7.7910593042483101E-2</v>
      </c>
      <c r="AF1312" s="163"/>
      <c r="AG1312" s="163"/>
      <c r="AH1312" s="163"/>
      <c r="AI1312" s="163"/>
      <c r="AJ1312" s="116">
        <f t="shared" si="2400"/>
        <v>195.28978229874971</v>
      </c>
      <c r="AK1312" s="114">
        <f>+AV1312/$AX$12</f>
        <v>5.0036988601569873E-3</v>
      </c>
      <c r="AL1312" s="115">
        <f t="shared" si="2388"/>
        <v>0.21960572781015963</v>
      </c>
      <c r="AM1312" s="115">
        <f t="shared" si="2389"/>
        <v>0.31803011056124431</v>
      </c>
      <c r="AN1312" s="115">
        <f t="shared" si="2390"/>
        <v>0.46236416162859612</v>
      </c>
      <c r="AO1312" s="115">
        <f t="shared" si="2392"/>
        <v>-0.11952505041093445</v>
      </c>
      <c r="AP1312" s="166">
        <f>+AP1311*EXP(AO1312)</f>
        <v>94.4868421601319</v>
      </c>
      <c r="AQ1312" s="168">
        <f>LN(AP1312/AP1311)</f>
        <v>-0.11952505041093443</v>
      </c>
      <c r="AR1312" s="169">
        <f>+AD1312/$AF$12</f>
        <v>4.0613510062859817E-3</v>
      </c>
      <c r="AS1312" s="169">
        <f t="shared" ref="AS1312:AS1326" si="2402">+AR1312*AQ1312</f>
        <v>-4.8543318376283124E-4</v>
      </c>
      <c r="AT1312" s="115"/>
      <c r="AU1312" s="115"/>
      <c r="AV1312" s="113">
        <f>IFERROR(INDEX('Total Customers'!$F$7:$AB$91,MATCH($C1312,'Total Customers'!$D$7:$D$91,0),MATCH($G1312,'Total Customers'!$F$5:$AB$5,0)),"NA")</f>
        <v>174852</v>
      </c>
      <c r="AW1312" s="68">
        <f t="shared" si="2347"/>
        <v>1.2476567166305616E-2</v>
      </c>
      <c r="AX1312" s="114"/>
      <c r="AY1312" s="114"/>
      <c r="AZ1312" s="116"/>
      <c r="BA1312" s="116"/>
      <c r="BB1312" s="166"/>
      <c r="BC1312" s="166"/>
      <c r="BD1312" s="166"/>
      <c r="BE1312" s="166"/>
      <c r="BF1312" s="166"/>
      <c r="BG1312" s="166"/>
      <c r="BH1312" s="166"/>
      <c r="BI1312" s="113"/>
      <c r="BJ1312" s="113"/>
      <c r="BK1312" s="113">
        <f>INDEX('Dist. Plant Gas Additions'!$F$7:$AE$91,MATCH($C1312,'Dist. Plant Gas Additions'!$D$7:$D$91,0),MATCH(Calculation!$G1312,'Dist. Plant Gas Additions'!$F$5:$AE$5,0))</f>
        <v>4301</v>
      </c>
      <c r="BL1312" s="113">
        <f>INDEX('Gen. Plant Additions'!$F$7:$AE$91,MATCH($C1312,'Gen. Plant Additions'!$D$7:$D$91,0),MATCH(Calculation!$G1312,'Gen. Plant Additions'!$F$5:$AE$5,0))</f>
        <v>41</v>
      </c>
      <c r="BM1312" s="231">
        <f t="shared" si="2366"/>
        <v>0.97979099856242402</v>
      </c>
      <c r="BN1312" s="61">
        <f t="shared" si="2362"/>
        <v>40.171430941059384</v>
      </c>
      <c r="BO1312" s="113">
        <f>INDEX('Dist Plant Depreciation'!$E$7:$AD$94,MATCH($C1312,'Dist Plant Depreciation'!$D$7:$D$94,0),MATCH(Calculation!$G1312,'Dist Plant Depreciation'!$E$5:$AD$5,0))</f>
        <v>171380</v>
      </c>
      <c r="BP1312" s="113">
        <f>INDEX('Gen. Plant Depreciation'!$E$7:$AD$94,MATCH($C1312,'Gen. Plant Depreciation'!$D$7:$D$94,0),MATCH(Calculation!$G1312,'Gen. Plant Depreciation'!$E$5:$AD$5,0))</f>
        <v>4896</v>
      </c>
      <c r="BQ1312" s="113"/>
      <c r="BR1312" s="113"/>
      <c r="BS1312" s="113"/>
      <c r="BT1312" s="113"/>
      <c r="BU1312" s="113"/>
      <c r="BV1312" s="175"/>
      <c r="BW1312" s="113">
        <f>INDEX('Gross Dx Plant'!$E$7:$AD$91,MATCH($C1312,'Gross Dx Plant'!$D$7:$D$91,0),MATCH(Calculation!$G1312,'Gross Dx Plant'!$E$5:$AD$5,0))</f>
        <v>279904</v>
      </c>
      <c r="BX1312" s="113">
        <f>INDEX('Gross Gen Plant'!$E$7:$AD$91,MATCH($C1312,'Gross Gen Plant'!$D$7:$D$91,0),MATCH(Calculation!$G1312,'Gross Gen Plant'!$E$5:$AD$5,0))</f>
        <v>6335</v>
      </c>
      <c r="BY1312" s="113">
        <f t="shared" si="2318"/>
        <v>109963</v>
      </c>
      <c r="BZ1312" s="113"/>
      <c r="CA1312" s="116">
        <v>2007</v>
      </c>
      <c r="CB1312" s="113"/>
      <c r="CC1312" s="113"/>
      <c r="CD1312" s="113"/>
      <c r="CE1312" s="175"/>
      <c r="CF1312" s="113">
        <f t="shared" si="2370"/>
        <v>4342</v>
      </c>
      <c r="CG1312" s="113">
        <f t="shared" si="2371"/>
        <v>8.7184848250002283</v>
      </c>
      <c r="CH1312" s="178">
        <v>0.94915254237288138</v>
      </c>
      <c r="CI1312" s="61">
        <f>+CI1303*CH1312+CG1304*CH1311+CG1305*CH1310+CG1306*CH1309+CG1307*CH1308+CG1308*CH1307+CG1309*CH1306+CG1310*CH1305+CG1311*CH1304+CG1312</f>
        <v>909.01977844995315</v>
      </c>
      <c r="CJ1312" s="114">
        <f t="shared" si="2372"/>
        <v>3.256743226317858E-3</v>
      </c>
      <c r="CK1312" s="114"/>
      <c r="CL1312" s="169">
        <f t="shared" si="2373"/>
        <v>6.3603181887759057E-3</v>
      </c>
      <c r="CM1312" s="169">
        <f t="shared" si="2381"/>
        <v>6.1734389320200452E-3</v>
      </c>
      <c r="CN1312" s="114">
        <f>VLOOKUP($H1312,RoR!$E:$F,2,FALSE)</f>
        <v>5.5558333333333321E-2</v>
      </c>
      <c r="CO1312" s="169">
        <v>2.691120634145272E-2</v>
      </c>
      <c r="CP1312" s="169">
        <f t="shared" si="2379"/>
        <v>2.86471269918806E-2</v>
      </c>
      <c r="CQ1312" s="169">
        <f t="shared" si="2382"/>
        <v>2.4728502676513581E-2</v>
      </c>
      <c r="CR1312" s="169">
        <v>6.4575155250632399E-2</v>
      </c>
      <c r="CS1312" s="179">
        <f t="shared" si="2374"/>
        <v>0.85150049999999999</v>
      </c>
      <c r="CT1312" s="180">
        <f t="shared" si="2375"/>
        <v>0.92303077153834634</v>
      </c>
      <c r="CU1312" s="180">
        <f t="shared" si="2376"/>
        <v>0.52502249887505614</v>
      </c>
      <c r="CV1312" s="180">
        <f t="shared" si="2377"/>
        <v>0.88499666072084604</v>
      </c>
      <c r="CW1312" s="180">
        <f t="shared" si="2378"/>
        <v>0.42887993290280618</v>
      </c>
      <c r="CX1312" s="181">
        <f>INDEX('State Tax Lookup'!$D$7:$Z$91,MATCH(Calculation!$C1312,'State Tax Lookup'!$B$7:$B$91,0),MATCH($H1312,'State Tax Lookup'!$D$6:$Z$6,0))</f>
        <v>0.40134999999999998</v>
      </c>
      <c r="CY1312" s="72">
        <v>0.37</v>
      </c>
      <c r="CZ1312" s="70">
        <f t="shared" si="2380"/>
        <v>17.425102542367007</v>
      </c>
      <c r="DA1312" s="70">
        <v>16.108943221861779</v>
      </c>
      <c r="DB1312" s="69">
        <f t="shared" si="2383"/>
        <v>7.150646585525039E-2</v>
      </c>
      <c r="DC1312" s="111">
        <f>VLOOKUP($H1312,RoR!$E:$F,2,FALSE)</f>
        <v>5.5558333333333321E-2</v>
      </c>
      <c r="DD1312" s="216">
        <f>HLOOKUP($H1312,'GDP-PI'!$D$8:$CQ$11,3,FALSE)</f>
        <v>2.691120634145272E-2</v>
      </c>
      <c r="DE1312" s="111">
        <f>VLOOKUP(H1312,'HW Dx Data'!$E:$F,2,FALSE)</f>
        <v>498.0223154772637</v>
      </c>
      <c r="DF1312" s="72">
        <f t="shared" si="2393"/>
        <v>104.52499999999999</v>
      </c>
      <c r="DG1312" s="69">
        <f t="shared" si="2394"/>
        <v>-4.5584612745252218E-2</v>
      </c>
      <c r="DH1312" s="66">
        <f>HLOOKUP(H1312,'GDP-PI'!$8:$9,2,FALSE)</f>
        <v>92.498000000000005</v>
      </c>
      <c r="DI1312" s="69">
        <f t="shared" si="2384"/>
        <v>2.6555467950038037E-2</v>
      </c>
    </row>
    <row r="1313" spans="1:113" s="160" customFormat="1" ht="21">
      <c r="A1313" s="160" t="s">
        <v>237</v>
      </c>
      <c r="B1313" s="160" t="s">
        <v>237</v>
      </c>
      <c r="C1313" s="160">
        <v>4008669</v>
      </c>
      <c r="D1313" s="161" t="s">
        <v>192</v>
      </c>
      <c r="E1313" s="161"/>
      <c r="F1313" s="189"/>
      <c r="G1313" s="160" t="s">
        <v>120</v>
      </c>
      <c r="H1313" s="162">
        <v>2008</v>
      </c>
      <c r="I1313" s="163"/>
      <c r="J1313" s="159">
        <f>IFERROR(INDEX('Labor Expenditures'!$F$7:$X$91,MATCH($C1313,'Labor Expenditures'!$D$7:$D$91,0),MATCH($G1313,'Labor Expenditures'!$F$5:$X$5,0)),"NA")</f>
        <v>7645.6798606609336</v>
      </c>
      <c r="K1313" s="159">
        <f t="shared" si="2385"/>
        <v>70.85894217480012</v>
      </c>
      <c r="L1313" s="165">
        <f t="shared" si="2391"/>
        <v>-1.2385485406474538E-2</v>
      </c>
      <c r="M1313" s="76">
        <f t="shared" si="2395"/>
        <v>-5.0565612082731567E-5</v>
      </c>
      <c r="N1313" s="62">
        <f t="shared" si="2401"/>
        <v>114.17917700147248</v>
      </c>
      <c r="O1313" s="96">
        <f t="shared" si="2396"/>
        <v>-5.1414899961764855E-2</v>
      </c>
      <c r="P1313" s="96"/>
      <c r="Q1313" s="159">
        <f>IFERROR(INDEX('Non-Labor Expenditures'!$F$7:$AB$91,MATCH($C1313,'Non-Labor Expenditures'!$D$7:$D$91,0),MATCH($G1313,'Non-Labor Expenditures'!$F$5:$AB$5,0)),"NA")</f>
        <v>11072.372454255194</v>
      </c>
      <c r="R1313" s="159">
        <f t="shared" si="2386"/>
        <v>117.46130499719081</v>
      </c>
      <c r="S1313" s="165">
        <f t="shared" si="2397"/>
        <v>4.8077586695353686E-4</v>
      </c>
      <c r="T1313" s="165">
        <f t="shared" si="2398"/>
        <v>1.9628399848102055E-6</v>
      </c>
      <c r="U1313" s="165"/>
      <c r="V1313" s="165"/>
      <c r="W1313" s="159">
        <f t="shared" si="2369"/>
        <v>17980.831396084861</v>
      </c>
      <c r="X1313" s="163"/>
      <c r="Y1313" s="167">
        <v>957.76527959710165</v>
      </c>
      <c r="Z1313" s="168">
        <v>5.2235884680258748E-2</v>
      </c>
      <c r="AA1313" s="76">
        <f t="shared" si="2387"/>
        <v>2.1326087713603042E-4</v>
      </c>
      <c r="AB1313" s="168"/>
      <c r="AC1313" s="168"/>
      <c r="AD1313" s="163">
        <f t="shared" si="2363"/>
        <v>36698.883711000992</v>
      </c>
      <c r="AE1313" s="168">
        <f t="shared" si="2399"/>
        <v>7.2077196631123594E-2</v>
      </c>
      <c r="AF1313" s="163"/>
      <c r="AG1313" s="163"/>
      <c r="AH1313" s="163"/>
      <c r="AI1313" s="163"/>
      <c r="AJ1313" s="116">
        <f t="shared" si="2400"/>
        <v>207.75265762226923</v>
      </c>
      <c r="AK1313" s="114">
        <f>+AV1313/$AX$13</f>
        <v>5.0280386584606396E-3</v>
      </c>
      <c r="AL1313" s="115">
        <f t="shared" si="2388"/>
        <v>0.20833548837260782</v>
      </c>
      <c r="AM1313" s="115">
        <f t="shared" si="2389"/>
        <v>0.3017086988653036</v>
      </c>
      <c r="AN1313" s="115">
        <f t="shared" si="2390"/>
        <v>0.48995581276208849</v>
      </c>
      <c r="AO1313" s="115">
        <f t="shared" si="2392"/>
        <v>2.2371486068252469E-2</v>
      </c>
      <c r="AP1313" s="166">
        <f t="shared" ref="AP1313:AP1326" si="2403">+AP1312*EXP(AO1313)</f>
        <v>96.624475092428227</v>
      </c>
      <c r="AQ1313" s="168">
        <f t="shared" ref="AQ1313:AQ1326" si="2404">LN(AP1313/AP1312)</f>
        <v>2.2371486068252507E-2</v>
      </c>
      <c r="AR1313" s="169">
        <f>+AD1313/$AF$13</f>
        <v>4.0826508145008419E-3</v>
      </c>
      <c r="AS1313" s="169">
        <f t="shared" si="2402"/>
        <v>9.1334965818145339E-5</v>
      </c>
      <c r="AT1313" s="115"/>
      <c r="AU1313" s="115"/>
      <c r="AV1313" s="113">
        <f>IFERROR(INDEX('Total Customers'!$F$7:$AB$91,MATCH($C1313,'Total Customers'!$D$7:$D$91,0),MATCH($G1313,'Total Customers'!$F$5:$AB$5,0)),"NA")</f>
        <v>176647</v>
      </c>
      <c r="AW1313" s="68">
        <f t="shared" si="2347"/>
        <v>1.0213489107007905E-2</v>
      </c>
      <c r="AX1313" s="114"/>
      <c r="AY1313" s="114"/>
      <c r="AZ1313" s="116"/>
      <c r="BA1313" s="116"/>
      <c r="BB1313" s="166"/>
      <c r="BC1313" s="166"/>
      <c r="BD1313" s="166"/>
      <c r="BE1313" s="166"/>
      <c r="BF1313" s="166"/>
      <c r="BG1313" s="166"/>
      <c r="BH1313" s="166"/>
      <c r="BI1313" s="113"/>
      <c r="BJ1313" s="113"/>
      <c r="BK1313" s="113">
        <f>INDEX('Dist. Plant Gas Additions'!$F$7:$AE$91,MATCH($C1313,'Dist. Plant Gas Additions'!$D$7:$D$91,0),MATCH(Calculation!$G1313,'Dist. Plant Gas Additions'!$F$5:$AE$5,0))</f>
        <v>30563</v>
      </c>
      <c r="BL1313" s="113">
        <f>INDEX('Gen. Plant Additions'!$F$7:$AE$91,MATCH($C1313,'Gen. Plant Additions'!$D$7:$D$91,0),MATCH(Calculation!$G1313,'Gen. Plant Additions'!$F$5:$AE$5,0))</f>
        <v>636</v>
      </c>
      <c r="BM1313" s="231">
        <f t="shared" si="2366"/>
        <v>0.97786814515142939</v>
      </c>
      <c r="BN1313" s="61">
        <f t="shared" si="2362"/>
        <v>621.92414031630915</v>
      </c>
      <c r="BO1313" s="113">
        <f>INDEX('Dist Plant Depreciation'!$E$7:$AD$94,MATCH($C1313,'Dist Plant Depreciation'!$D$7:$D$94,0),MATCH(Calculation!$G1313,'Dist Plant Depreciation'!$E$5:$AD$5,0))</f>
        <v>177176</v>
      </c>
      <c r="BP1313" s="113">
        <f>INDEX('Gen. Plant Depreciation'!$E$7:$AD$94,MATCH($C1313,'Gen. Plant Depreciation'!$D$7:$D$94,0),MATCH(Calculation!$G1313,'Gen. Plant Depreciation'!$E$5:$AD$5,0))</f>
        <v>2379</v>
      </c>
      <c r="BQ1313" s="113"/>
      <c r="BR1313" s="113"/>
      <c r="BS1313" s="113"/>
      <c r="BT1313" s="113"/>
      <c r="BU1313" s="113"/>
      <c r="BV1313" s="175"/>
      <c r="BW1313" s="113">
        <f>INDEX('Gross Dx Plant'!$E$7:$AD$91,MATCH($C1313,'Gross Dx Plant'!$D$7:$D$91,0),MATCH(Calculation!$G1313,'Gross Dx Plant'!$E$5:$AD$5,0))</f>
        <v>362749</v>
      </c>
      <c r="BX1313" s="113">
        <f>INDEX('Gross Gen Plant'!$E$7:$AD$91,MATCH($C1313,'Gross Gen Plant'!$D$7:$D$91,0),MATCH(Calculation!$G1313,'Gross Gen Plant'!$E$5:$AD$5,0))</f>
        <v>7329</v>
      </c>
      <c r="BY1313" s="113">
        <f t="shared" si="2318"/>
        <v>190523</v>
      </c>
      <c r="BZ1313" s="113"/>
      <c r="CA1313" s="116">
        <v>2008</v>
      </c>
      <c r="CB1313" s="113"/>
      <c r="CC1313" s="113"/>
      <c r="CD1313" s="113"/>
      <c r="CE1313" s="175"/>
      <c r="CF1313" s="113">
        <f t="shared" si="2370"/>
        <v>31199</v>
      </c>
      <c r="CG1313" s="113">
        <f t="shared" si="2371"/>
        <v>54.746497721651771</v>
      </c>
      <c r="CH1313" s="178">
        <v>0.94252873563218387</v>
      </c>
      <c r="CI1313" s="61">
        <f>+CI1303*CH1313+CG1304*CH1312+CG1305*CH1311+CG1306*CH1310+CG1307*CH1309+CG1308*CH1308+CG1309*CH1307+CG1310*CH1306+CG1311*CH1305+CG1312*CH1304+CG1313</f>
        <v>957.76527959710165</v>
      </c>
      <c r="CJ1313" s="114">
        <f t="shared" si="2372"/>
        <v>5.2235884680258748E-2</v>
      </c>
      <c r="CK1313" s="114"/>
      <c r="CL1313" s="169">
        <f t="shared" si="2373"/>
        <v>6.6016127665957693E-3</v>
      </c>
      <c r="CM1313" s="169">
        <f t="shared" si="2381"/>
        <v>6.3779807305571539E-3</v>
      </c>
      <c r="CN1313" s="114">
        <f>VLOOKUP($H1313,RoR!$E:$F,2,FALSE)</f>
        <v>5.6316666666666668E-2</v>
      </c>
      <c r="CO1313" s="169">
        <v>1.9092304698479889E-2</v>
      </c>
      <c r="CP1313" s="169">
        <f t="shared" si="2379"/>
        <v>3.7224361968186778E-2</v>
      </c>
      <c r="CQ1313" s="169">
        <f t="shared" si="2382"/>
        <v>2.452396087797647E-2</v>
      </c>
      <c r="CR1313" s="169">
        <v>6.9030581091053131E-2</v>
      </c>
      <c r="CS1313" s="179">
        <f t="shared" si="2374"/>
        <v>0.85150049999999999</v>
      </c>
      <c r="CT1313" s="180">
        <f t="shared" si="2375"/>
        <v>0.91060168006009956</v>
      </c>
      <c r="CU1313" s="180">
        <f t="shared" si="2376"/>
        <v>0.53108168097070152</v>
      </c>
      <c r="CV1313" s="180">
        <f t="shared" si="2377"/>
        <v>0.88825329850328805</v>
      </c>
      <c r="CW1313" s="180">
        <f t="shared" si="2378"/>
        <v>0.4295627335323573</v>
      </c>
      <c r="CX1313" s="181">
        <f>INDEX('State Tax Lookup'!$D$7:$Z$91,MATCH(Calculation!$C1313,'State Tax Lookup'!$B$7:$B$91,0),MATCH($H1313,'State Tax Lookup'!$D$6:$Z$6,0))</f>
        <v>0.40134999999999998</v>
      </c>
      <c r="CY1313" s="72">
        <v>0.37</v>
      </c>
      <c r="CZ1313" s="70">
        <f t="shared" si="2380"/>
        <v>19.780462232346039</v>
      </c>
      <c r="DA1313" s="70">
        <v>18.300102035478151</v>
      </c>
      <c r="DB1313" s="69">
        <f t="shared" si="2383"/>
        <v>0.12678285318061897</v>
      </c>
      <c r="DC1313" s="111">
        <f>VLOOKUP($H1313,RoR!$E:$F,2,FALSE)</f>
        <v>5.6316666666666668E-2</v>
      </c>
      <c r="DD1313" s="216">
        <f>HLOOKUP($H1313,'GDP-PI'!$D$8:$CQ$11,3,FALSE)</f>
        <v>1.9092304698479889E-2</v>
      </c>
      <c r="DE1313" s="111">
        <f>VLOOKUP(H1313,'HW Dx Data'!$E:$F,2,FALSE)</f>
        <v>569.88120333515076</v>
      </c>
      <c r="DF1313" s="72">
        <f t="shared" si="2393"/>
        <v>107.9</v>
      </c>
      <c r="DG1313" s="69">
        <f t="shared" si="2394"/>
        <v>3.1778595021460486E-2</v>
      </c>
      <c r="DH1313" s="66">
        <f>HLOOKUP(H1313,'GDP-PI'!$8:$9,2,FALSE)</f>
        <v>94.263999999999996</v>
      </c>
      <c r="DI1313" s="69">
        <f t="shared" si="2384"/>
        <v>1.8912333748032254E-2</v>
      </c>
    </row>
    <row r="1314" spans="1:113" s="160" customFormat="1" ht="21">
      <c r="A1314" s="160" t="s">
        <v>237</v>
      </c>
      <c r="B1314" s="160" t="s">
        <v>237</v>
      </c>
      <c r="C1314" s="160">
        <v>4008669</v>
      </c>
      <c r="D1314" s="161" t="s">
        <v>192</v>
      </c>
      <c r="E1314" s="161"/>
      <c r="F1314" s="189"/>
      <c r="G1314" s="160" t="s">
        <v>125</v>
      </c>
      <c r="H1314" s="162">
        <v>2009</v>
      </c>
      <c r="I1314" s="163"/>
      <c r="J1314" s="159">
        <f>IFERROR(INDEX('Labor Expenditures'!$F$7:$X$91,MATCH($C1314,'Labor Expenditures'!$D$7:$D$91,0),MATCH($G1314,'Labor Expenditures'!$F$5:$X$5,0)),"NA")</f>
        <v>8271.472908744985</v>
      </c>
      <c r="K1314" s="159">
        <f t="shared" si="2385"/>
        <v>74.568157843092052</v>
      </c>
      <c r="L1314" s="165">
        <f t="shared" si="2391"/>
        <v>5.1022406580583241E-2</v>
      </c>
      <c r="M1314" s="76">
        <f t="shared" si="2395"/>
        <v>2.090889457190646E-4</v>
      </c>
      <c r="N1314" s="62">
        <f t="shared" si="2401"/>
        <v>117.17512916154158</v>
      </c>
      <c r="O1314" s="96">
        <f t="shared" si="2396"/>
        <v>2.5900703498519952E-2</v>
      </c>
      <c r="P1314" s="96"/>
      <c r="Q1314" s="159">
        <f>IFERROR(INDEX('Non-Labor Expenditures'!$F$7:$AB$91,MATCH($C1314,'Non-Labor Expenditures'!$D$7:$D$91,0),MATCH($G1314,'Non-Labor Expenditures'!$F$5:$AB$5,0)),"NA")</f>
        <v>11978.637669899636</v>
      </c>
      <c r="R1314" s="159">
        <f t="shared" si="2386"/>
        <v>126.09225012789226</v>
      </c>
      <c r="S1314" s="165">
        <f t="shared" si="2397"/>
        <v>7.0904822763157641E-2</v>
      </c>
      <c r="T1314" s="165">
        <f t="shared" si="2398"/>
        <v>2.9056674570085113E-4</v>
      </c>
      <c r="U1314" s="165"/>
      <c r="V1314" s="165"/>
      <c r="W1314" s="159">
        <f t="shared" si="2369"/>
        <v>18171.079128847712</v>
      </c>
      <c r="X1314" s="163"/>
      <c r="Y1314" s="167">
        <v>998.05851017432121</v>
      </c>
      <c r="Z1314" s="168">
        <v>4.1209164930301939E-2</v>
      </c>
      <c r="AA1314" s="76">
        <f t="shared" si="2387"/>
        <v>1.6887445000524293E-4</v>
      </c>
      <c r="AB1314" s="168"/>
      <c r="AC1314" s="168"/>
      <c r="AD1314" s="163">
        <f t="shared" si="2363"/>
        <v>38421.189707492333</v>
      </c>
      <c r="AE1314" s="168">
        <f t="shared" si="2399"/>
        <v>4.586278469493224E-2</v>
      </c>
      <c r="AF1314" s="163"/>
      <c r="AG1314" s="163"/>
      <c r="AH1314" s="163"/>
      <c r="AI1314" s="163"/>
      <c r="AJ1314" s="116">
        <f t="shared" si="2400"/>
        <v>216.59285360136383</v>
      </c>
      <c r="AK1314" s="114">
        <f>+AV1314/$AX$14</f>
        <v>5.0427222382205764E-3</v>
      </c>
      <c r="AL1314" s="115">
        <f t="shared" si="2388"/>
        <v>0.21528414324796416</v>
      </c>
      <c r="AM1314" s="115">
        <f t="shared" si="2389"/>
        <v>0.3117716489545283</v>
      </c>
      <c r="AN1314" s="115">
        <f t="shared" si="2390"/>
        <v>0.47294420779750757</v>
      </c>
      <c r="AO1314" s="115">
        <f t="shared" si="2392"/>
        <v>5.2396557084769368E-2</v>
      </c>
      <c r="AP1314" s="166">
        <f t="shared" si="2403"/>
        <v>101.82224852439117</v>
      </c>
      <c r="AQ1314" s="168">
        <f t="shared" si="2404"/>
        <v>5.239655708476932E-2</v>
      </c>
      <c r="AR1314" s="169">
        <f>+AD1314/$AF$14</f>
        <v>4.0979828222887892E-3</v>
      </c>
      <c r="AS1314" s="169">
        <f t="shared" si="2402"/>
        <v>2.1472019088045863E-4</v>
      </c>
      <c r="AT1314" s="115"/>
      <c r="AU1314" s="115"/>
      <c r="AV1314" s="113">
        <f>IFERROR(INDEX('Total Customers'!$F$7:$AB$91,MATCH($C1314,'Total Customers'!$D$7:$D$91,0),MATCH($G1314,'Total Customers'!$F$5:$AB$5,0)),"NA")</f>
        <v>177389</v>
      </c>
      <c r="AW1314" s="68">
        <f t="shared" si="2347"/>
        <v>4.1916702618801961E-3</v>
      </c>
      <c r="AX1314" s="114"/>
      <c r="AY1314" s="114"/>
      <c r="AZ1314" s="116"/>
      <c r="BA1314" s="116"/>
      <c r="BB1314" s="166"/>
      <c r="BC1314" s="166"/>
      <c r="BD1314" s="166"/>
      <c r="BE1314" s="166"/>
      <c r="BF1314" s="166"/>
      <c r="BG1314" s="166"/>
      <c r="BH1314" s="166"/>
      <c r="BI1314" s="113"/>
      <c r="BJ1314" s="113"/>
      <c r="BK1314" s="113">
        <f>INDEX('Dist. Plant Gas Additions'!$F$7:$AE$91,MATCH($C1314,'Dist. Plant Gas Additions'!$D$7:$D$91,0),MATCH(Calculation!$G1314,'Dist. Plant Gas Additions'!$F$5:$AE$5,0))</f>
        <v>25250</v>
      </c>
      <c r="BL1314" s="113">
        <f>INDEX('Gen. Plant Additions'!$F$7:$AE$91,MATCH($C1314,'Gen. Plant Additions'!$D$7:$D$91,0),MATCH(Calculation!$G1314,'Gen. Plant Additions'!$F$5:$AE$5,0))</f>
        <v>519</v>
      </c>
      <c r="BM1314" s="231">
        <f t="shared" si="2366"/>
        <v>0.98019606677511228</v>
      </c>
      <c r="BN1314" s="61">
        <f t="shared" si="2362"/>
        <v>508.72175865628327</v>
      </c>
      <c r="BO1314" s="113">
        <f>INDEX('Dist Plant Depreciation'!$E$7:$AD$94,MATCH($C1314,'Dist Plant Depreciation'!$D$7:$D$94,0),MATCH(Calculation!$G1314,'Dist Plant Depreciation'!$E$5:$AD$5,0))</f>
        <v>184575</v>
      </c>
      <c r="BP1314" s="113">
        <f>INDEX('Gen. Plant Depreciation'!$E$7:$AD$94,MATCH($C1314,'Gen. Plant Depreciation'!$D$7:$D$94,0),MATCH(Calculation!$G1314,'Gen. Plant Depreciation'!$E$5:$AD$5,0))</f>
        <v>3043</v>
      </c>
      <c r="BQ1314" s="113"/>
      <c r="BR1314" s="113"/>
      <c r="BS1314" s="113"/>
      <c r="BT1314" s="113"/>
      <c r="BU1314" s="113"/>
      <c r="BV1314" s="175"/>
      <c r="BW1314" s="113">
        <f>INDEX('Gross Dx Plant'!$E$7:$AD$91,MATCH($C1314,'Gross Dx Plant'!$D$7:$D$91,0),MATCH(Calculation!$G1314,'Gross Dx Plant'!$E$5:$AD$5,0))</f>
        <v>386148</v>
      </c>
      <c r="BX1314" s="113">
        <f>INDEX('Gross Gen Plant'!$E$7:$AD$91,MATCH($C1314,'Gross Gen Plant'!$D$7:$D$91,0),MATCH(Calculation!$G1314,'Gross Gen Plant'!$E$5:$AD$5,0))</f>
        <v>7578</v>
      </c>
      <c r="BY1314" s="113">
        <f t="shared" si="2318"/>
        <v>206108</v>
      </c>
      <c r="BZ1314" s="113"/>
      <c r="CA1314" s="116">
        <v>2009</v>
      </c>
      <c r="CB1314" s="113"/>
      <c r="CC1314" s="113"/>
      <c r="CD1314" s="113"/>
      <c r="CE1314" s="175"/>
      <c r="CF1314" s="113">
        <f t="shared" si="2370"/>
        <v>25769</v>
      </c>
      <c r="CG1314" s="113">
        <f t="shared" si="2371"/>
        <v>46.772734263742883</v>
      </c>
      <c r="CH1314" s="178">
        <v>0.93567251461988299</v>
      </c>
      <c r="CI1314" s="61">
        <f>+CI1303*CH1314+CG1304*CH1313+CG1305*CH1312+CG1306*CH1311+CG1307*CH1310+CG1308*CH1309+CG1309*CH1308+CG1310*CH1307+CG1311*CH1306+CG1312*CH1305+CG1313*CH1304+CG1314</f>
        <v>998.05851017432121</v>
      </c>
      <c r="CJ1314" s="114">
        <f t="shared" si="2372"/>
        <v>4.1209164930301939E-2</v>
      </c>
      <c r="CK1314" s="114"/>
      <c r="CL1314" s="169">
        <f t="shared" si="2373"/>
        <v>6.7652313406568916E-3</v>
      </c>
      <c r="CM1314" s="169">
        <f t="shared" si="2381"/>
        <v>6.5757207653428552E-3</v>
      </c>
      <c r="CN1314" s="114">
        <f>VLOOKUP($H1314,RoR!$E:$F,2,FALSE)</f>
        <v>5.3133333333333324E-2</v>
      </c>
      <c r="CO1314" s="169">
        <v>7.7972502758210105E-3</v>
      </c>
      <c r="CP1314" s="169">
        <f t="shared" si="2379"/>
        <v>4.5336083057512314E-2</v>
      </c>
      <c r="CQ1314" s="169">
        <f t="shared" si="2382"/>
        <v>2.432622084319077E-2</v>
      </c>
      <c r="CR1314" s="169">
        <v>6.3720160300892073E-2</v>
      </c>
      <c r="CS1314" s="179">
        <f t="shared" si="2374"/>
        <v>0.85150049999999999</v>
      </c>
      <c r="CT1314" s="180">
        <f t="shared" si="2375"/>
        <v>0.96515780330083989</v>
      </c>
      <c r="CU1314" s="180">
        <f t="shared" si="2376"/>
        <v>0.50448557089084056</v>
      </c>
      <c r="CV1314" s="180">
        <f t="shared" si="2377"/>
        <v>0.87391435735465484</v>
      </c>
      <c r="CW1314" s="180">
        <f t="shared" si="2378"/>
        <v>0.42551605393279146</v>
      </c>
      <c r="CX1314" s="181">
        <f>INDEX('State Tax Lookup'!$D$7:$Z$91,MATCH(Calculation!$C1314,'State Tax Lookup'!$B$7:$B$91,0),MATCH($H1314,'State Tax Lookup'!$D$6:$Z$6,0))</f>
        <v>0.40134999999999998</v>
      </c>
      <c r="CY1314" s="72">
        <v>0.37</v>
      </c>
      <c r="CZ1314" s="70">
        <f t="shared" si="2380"/>
        <v>18.97237195369167</v>
      </c>
      <c r="DA1314" s="70">
        <v>17.478615056163342</v>
      </c>
      <c r="DB1314" s="69">
        <f t="shared" si="2383"/>
        <v>-4.1710881368812985E-2</v>
      </c>
      <c r="DC1314" s="111">
        <f>VLOOKUP($H1314,RoR!$E:$F,2,FALSE)</f>
        <v>5.3133333333333324E-2</v>
      </c>
      <c r="DD1314" s="216">
        <f>HLOOKUP($H1314,'GDP-PI'!$D$8:$CQ$11,3,FALSE)</f>
        <v>7.7972502758210105E-3</v>
      </c>
      <c r="DE1314" s="111">
        <f>VLOOKUP(H1314,'HW Dx Data'!$E:$F,2,FALSE)</f>
        <v>550.94063679692806</v>
      </c>
      <c r="DF1314" s="72">
        <f t="shared" si="2393"/>
        <v>110.925</v>
      </c>
      <c r="DG1314" s="69">
        <f t="shared" si="2394"/>
        <v>2.7649425000884052E-2</v>
      </c>
      <c r="DH1314" s="66">
        <f>HLOOKUP(H1314,'GDP-PI'!$8:$9,2,FALSE)</f>
        <v>94.998999999999995</v>
      </c>
      <c r="DI1314" s="69">
        <f t="shared" si="2384"/>
        <v>7.7670088183096342E-3</v>
      </c>
    </row>
    <row r="1315" spans="1:113" s="160" customFormat="1" ht="21">
      <c r="A1315" s="160" t="s">
        <v>237</v>
      </c>
      <c r="B1315" s="160" t="s">
        <v>237</v>
      </c>
      <c r="C1315" s="160">
        <v>4008669</v>
      </c>
      <c r="D1315" s="161" t="s">
        <v>192</v>
      </c>
      <c r="E1315" s="161"/>
      <c r="F1315" s="189"/>
      <c r="G1315" s="160" t="s">
        <v>126</v>
      </c>
      <c r="H1315" s="162">
        <v>2010</v>
      </c>
      <c r="I1315" s="163"/>
      <c r="J1315" s="159">
        <f>IFERROR(INDEX('Labor Expenditures'!$F$7:$X$91,MATCH($C1315,'Labor Expenditures'!$D$7:$D$91,0),MATCH($G1315,'Labor Expenditures'!$F$5:$X$5,0)),"NA")</f>
        <v>8736.6409130018692</v>
      </c>
      <c r="K1315" s="159">
        <f t="shared" si="2385"/>
        <v>74.720042018403845</v>
      </c>
      <c r="L1315" s="165">
        <f t="shared" si="2391"/>
        <v>2.0347787414792683E-3</v>
      </c>
      <c r="M1315" s="76">
        <f t="shared" si="2395"/>
        <v>8.5450761904291916E-6</v>
      </c>
      <c r="N1315" s="62">
        <f t="shared" si="2401"/>
        <v>98.529366949350575</v>
      </c>
      <c r="O1315" s="96">
        <f t="shared" si="2396"/>
        <v>-0.17331500074379344</v>
      </c>
      <c r="P1315" s="96"/>
      <c r="Q1315" s="159">
        <f>IFERROR(INDEX('Non-Labor Expenditures'!$F$7:$AB$91,MATCH($C1315,'Non-Labor Expenditures'!$D$7:$D$91,0),MATCH($G1315,'Non-Labor Expenditures'!$F$5:$AB$5,0)),"NA")</f>
        <v>12652.287821462425</v>
      </c>
      <c r="R1315" s="159">
        <f t="shared" si="2386"/>
        <v>131.64519266106635</v>
      </c>
      <c r="S1315" s="165">
        <f t="shared" si="2397"/>
        <v>4.3096586281305728E-2</v>
      </c>
      <c r="T1315" s="165">
        <f t="shared" si="2398"/>
        <v>1.8098459838116753E-4</v>
      </c>
      <c r="U1315" s="165"/>
      <c r="V1315" s="165"/>
      <c r="W1315" s="159">
        <f t="shared" si="2369"/>
        <v>19422.219939824052</v>
      </c>
      <c r="X1315" s="163"/>
      <c r="Y1315" s="167">
        <v>1027.2693869591199</v>
      </c>
      <c r="Z1315" s="168">
        <v>2.8847578241936594E-2</v>
      </c>
      <c r="AA1315" s="76">
        <f t="shared" si="2387"/>
        <v>1.2114572899828339E-4</v>
      </c>
      <c r="AB1315" s="168"/>
      <c r="AC1315" s="168"/>
      <c r="AD1315" s="163">
        <f t="shared" si="2363"/>
        <v>40811.148674288343</v>
      </c>
      <c r="AE1315" s="168">
        <f t="shared" si="2399"/>
        <v>6.0346173205544945E-2</v>
      </c>
      <c r="AF1315" s="163"/>
      <c r="AG1315" s="163"/>
      <c r="AH1315" s="163"/>
      <c r="AI1315" s="163"/>
      <c r="AJ1315" s="116">
        <f t="shared" si="2400"/>
        <v>228.87879284998704</v>
      </c>
      <c r="AK1315" s="114">
        <f>+AV1315/$AX$15</f>
        <v>5.0411416119496228E-3</v>
      </c>
      <c r="AL1315" s="115">
        <f t="shared" si="2388"/>
        <v>0.21407485936572251</v>
      </c>
      <c r="AM1315" s="115">
        <f t="shared" si="2389"/>
        <v>0.31002038002996868</v>
      </c>
      <c r="AN1315" s="115">
        <f t="shared" si="2390"/>
        <v>0.47590476060430886</v>
      </c>
      <c r="AO1315" s="115">
        <f t="shared" si="2392"/>
        <v>2.7521379626445908E-2</v>
      </c>
      <c r="AP1315" s="166">
        <f t="shared" si="2403"/>
        <v>104.6634549087517</v>
      </c>
      <c r="AQ1315" s="168">
        <f t="shared" si="2404"/>
        <v>2.7521379626445935E-2</v>
      </c>
      <c r="AR1315" s="169">
        <f>+AD1315/$AF$15</f>
        <v>4.1995112373824917E-3</v>
      </c>
      <c r="AS1315" s="169">
        <f t="shared" si="2402"/>
        <v>1.1557634300952926E-4</v>
      </c>
      <c r="AT1315" s="115"/>
      <c r="AU1315" s="115"/>
      <c r="AV1315" s="113">
        <f>IFERROR(INDEX('Total Customers'!$F$7:$AB$91,MATCH($C1315,'Total Customers'!$D$7:$D$91,0),MATCH($G1315,'Total Customers'!$F$5:$AB$5,0)),"NA")</f>
        <v>178309</v>
      </c>
      <c r="AW1315" s="68">
        <f t="shared" si="2347"/>
        <v>5.1729391312033178E-3</v>
      </c>
      <c r="AX1315" s="114"/>
      <c r="AY1315" s="114"/>
      <c r="AZ1315" s="116"/>
      <c r="BA1315" s="116"/>
      <c r="BB1315" s="166"/>
      <c r="BC1315" s="166"/>
      <c r="BD1315" s="166"/>
      <c r="BE1315" s="166"/>
      <c r="BF1315" s="166"/>
      <c r="BG1315" s="166"/>
      <c r="BH1315" s="166"/>
      <c r="BI1315" s="113"/>
      <c r="BJ1315" s="113"/>
      <c r="BK1315" s="113">
        <f>INDEX('Dist. Plant Gas Additions'!$F$7:$AE$91,MATCH($C1315,'Dist. Plant Gas Additions'!$D$7:$D$91,0),MATCH(Calculation!$G1315,'Dist. Plant Gas Additions'!$F$5:$AE$5,0))</f>
        <v>20274</v>
      </c>
      <c r="BL1315" s="113">
        <f>INDEX('Gen. Plant Additions'!$F$7:$AE$91,MATCH($C1315,'Gen. Plant Additions'!$D$7:$D$91,0),MATCH(Calculation!$G1315,'Gen. Plant Additions'!$F$5:$AE$5,0))</f>
        <v>294</v>
      </c>
      <c r="BM1315" s="231">
        <f t="shared" si="2366"/>
        <v>0.98075311257067099</v>
      </c>
      <c r="BN1315" s="61">
        <f t="shared" si="2362"/>
        <v>288.34141509577728</v>
      </c>
      <c r="BO1315" s="113">
        <f>INDEX('Dist Plant Depreciation'!$E$7:$AD$94,MATCH($C1315,'Dist Plant Depreciation'!$D$7:$D$94,0),MATCH(Calculation!$G1315,'Dist Plant Depreciation'!$E$5:$AD$5,0))</f>
        <v>189801</v>
      </c>
      <c r="BP1315" s="113">
        <f>INDEX('Gen. Plant Depreciation'!$E$7:$AD$94,MATCH($C1315,'Gen. Plant Depreciation'!$D$7:$D$94,0),MATCH(Calculation!$G1315,'Gen. Plant Depreciation'!$E$5:$AD$5,0))</f>
        <v>3212</v>
      </c>
      <c r="BQ1315" s="113"/>
      <c r="BR1315" s="113"/>
      <c r="BS1315" s="113"/>
      <c r="BT1315" s="113"/>
      <c r="BU1315" s="113"/>
      <c r="BV1315" s="175"/>
      <c r="BW1315" s="113">
        <f>INDEX('Gross Dx Plant'!$E$7:$AD$91,MATCH($C1315,'Gross Dx Plant'!$D$7:$D$91,0),MATCH(Calculation!$G1315,'Gross Dx Plant'!$E$5:$AD$5,0))</f>
        <v>404073</v>
      </c>
      <c r="BX1315" s="113">
        <f>INDEX('Gross Gen Plant'!$E$7:$AD$91,MATCH($C1315,'Gross Gen Plant'!$D$7:$D$91,0),MATCH(Calculation!$G1315,'Gross Gen Plant'!$E$5:$AD$5,0))</f>
        <v>7279</v>
      </c>
      <c r="BY1315" s="113">
        <f t="shared" si="2318"/>
        <v>218339</v>
      </c>
      <c r="BZ1315" s="113"/>
      <c r="CA1315" s="116">
        <v>2010</v>
      </c>
      <c r="CB1315" s="113"/>
      <c r="CC1315" s="113"/>
      <c r="CD1315" s="113"/>
      <c r="CE1315" s="175"/>
      <c r="CF1315" s="113">
        <f t="shared" si="2370"/>
        <v>20568</v>
      </c>
      <c r="CG1315" s="113">
        <f t="shared" si="2371"/>
        <v>36.148294309368097</v>
      </c>
      <c r="CH1315" s="178">
        <v>0.9285714285714286</v>
      </c>
      <c r="CI1315" s="61">
        <f>+CI1303*CH1315+CG1304*CH1314+CG1305*CH1313+CG1306*CH1312+CG1307*CH1311+CG1308*CH1310+CG1309*CH1309+CG1310*CH1308+CG1311*CH1307+CG1312*CH1306+CG1313*CH1305+CG1314*CH1304+CG1315</f>
        <v>1027.2693869591199</v>
      </c>
      <c r="CJ1315" s="114">
        <f t="shared" si="2372"/>
        <v>2.8847578241936594E-2</v>
      </c>
      <c r="CK1315" s="114"/>
      <c r="CL1315" s="169">
        <f t="shared" si="2373"/>
        <v>6.9509126507600874E-3</v>
      </c>
      <c r="CM1315" s="169">
        <f t="shared" si="2381"/>
        <v>6.7725855860042497E-3</v>
      </c>
      <c r="CN1315" s="114">
        <f>VLOOKUP($H1315,RoR!$E:$F,2,FALSE)</f>
        <v>4.9433333333333322E-2</v>
      </c>
      <c r="CO1315" s="169">
        <v>1.1684333519300205E-2</v>
      </c>
      <c r="CP1315" s="169">
        <f t="shared" si="2379"/>
        <v>3.7748999814033117E-2</v>
      </c>
      <c r="CQ1315" s="169">
        <f t="shared" si="2382"/>
        <v>2.4129356022529375E-2</v>
      </c>
      <c r="CR1315" s="169">
        <v>4.7937530248493419E-2</v>
      </c>
      <c r="CS1315" s="179">
        <f t="shared" si="2374"/>
        <v>0.85150049999999999</v>
      </c>
      <c r="CT1315" s="180">
        <f t="shared" si="2375"/>
        <v>1.037398205301105</v>
      </c>
      <c r="CU1315" s="180">
        <f t="shared" si="2376"/>
        <v>0.46926837491571133</v>
      </c>
      <c r="CV1315" s="180">
        <f t="shared" si="2377"/>
        <v>0.8548537519972772</v>
      </c>
      <c r="CW1315" s="180">
        <f t="shared" si="2378"/>
        <v>0.41615833911547367</v>
      </c>
      <c r="CX1315" s="181">
        <f>INDEX('State Tax Lookup'!$D$7:$Z$91,MATCH(Calculation!$C1315,'State Tax Lookup'!$B$7:$B$91,0),MATCH($H1315,'State Tax Lookup'!$D$6:$Z$6,0))</f>
        <v>0.40134999999999998</v>
      </c>
      <c r="CY1315" s="72">
        <v>0.37</v>
      </c>
      <c r="CZ1315" s="70">
        <f t="shared" si="2380"/>
        <v>19.460001334422529</v>
      </c>
      <c r="DA1315" s="70">
        <v>17.956102603965455</v>
      </c>
      <c r="DB1315" s="69">
        <f t="shared" si="2383"/>
        <v>2.5377332105031476E-2</v>
      </c>
      <c r="DC1315" s="111">
        <f>VLOOKUP($H1315,RoR!$E:$F,2,FALSE)</f>
        <v>4.9433333333333322E-2</v>
      </c>
      <c r="DD1315" s="216">
        <f>HLOOKUP($H1315,'GDP-PI'!$D$8:$CQ$11,3,FALSE)</f>
        <v>1.1684333519300205E-2</v>
      </c>
      <c r="DE1315" s="111">
        <f>VLOOKUP(H1315,'HW Dx Data'!$E:$F,2,FALSE)</f>
        <v>568.98950262971744</v>
      </c>
      <c r="DF1315" s="72">
        <f t="shared" si="2393"/>
        <v>116.925</v>
      </c>
      <c r="DG1315" s="69">
        <f t="shared" si="2394"/>
        <v>5.2678406346976722E-2</v>
      </c>
      <c r="DH1315" s="66">
        <f>HLOOKUP(H1315,'GDP-PI'!$8:$9,2,FALSE)</f>
        <v>96.108999999999995</v>
      </c>
      <c r="DI1315" s="69">
        <f t="shared" si="2384"/>
        <v>1.1616598807150427E-2</v>
      </c>
    </row>
    <row r="1316" spans="1:113" s="160" customFormat="1" ht="21">
      <c r="A1316" s="160" t="s">
        <v>237</v>
      </c>
      <c r="B1316" s="160" t="s">
        <v>237</v>
      </c>
      <c r="C1316" s="160">
        <v>4008669</v>
      </c>
      <c r="D1316" s="161" t="s">
        <v>192</v>
      </c>
      <c r="E1316" s="161"/>
      <c r="F1316" s="189"/>
      <c r="G1316" s="160" t="s">
        <v>127</v>
      </c>
      <c r="H1316" s="162">
        <v>2011</v>
      </c>
      <c r="I1316" s="163"/>
      <c r="J1316" s="159">
        <f>IFERROR(INDEX('Labor Expenditures'!$F$7:$X$91,MATCH($C1316,'Labor Expenditures'!$D$7:$D$91,0),MATCH($G1316,'Labor Expenditures'!$F$5:$X$5,0)),"NA")</f>
        <v>9179.0850602837381</v>
      </c>
      <c r="K1316" s="159">
        <f t="shared" si="2385"/>
        <v>75.938656134715515</v>
      </c>
      <c r="L1316" s="165">
        <f t="shared" si="2391"/>
        <v>1.6177501973035947E-2</v>
      </c>
      <c r="M1316" s="76">
        <f t="shared" si="2395"/>
        <v>6.9476471445733699E-5</v>
      </c>
      <c r="N1316" s="62">
        <f t="shared" si="2401"/>
        <v>119.22115610437613</v>
      </c>
      <c r="O1316" s="96">
        <f t="shared" si="2396"/>
        <v>0.19062557761949045</v>
      </c>
      <c r="P1316" s="96"/>
      <c r="Q1316" s="159">
        <f>IFERROR(INDEX('Non-Labor Expenditures'!$F$7:$AB$91,MATCH($C1316,'Non-Labor Expenditures'!$D$7:$D$91,0),MATCH($G1316,'Non-Labor Expenditures'!$F$5:$AB$5,0)),"NA")</f>
        <v>13293.029583894353</v>
      </c>
      <c r="R1316" s="159">
        <f t="shared" si="2386"/>
        <v>135.48831523049529</v>
      </c>
      <c r="S1316" s="165">
        <f t="shared" si="2397"/>
        <v>2.8775032921695178E-2</v>
      </c>
      <c r="T1316" s="165">
        <f t="shared" si="2398"/>
        <v>1.2357827286724323E-4</v>
      </c>
      <c r="U1316" s="165"/>
      <c r="V1316" s="165"/>
      <c r="W1316" s="159">
        <f t="shared" si="2369"/>
        <v>21359.004572120924</v>
      </c>
      <c r="X1316" s="163"/>
      <c r="Y1316" s="167">
        <v>1045.5663470148404</v>
      </c>
      <c r="Z1316" s="168">
        <v>1.7654496194061283E-2</v>
      </c>
      <c r="AA1316" s="76">
        <f t="shared" si="2387"/>
        <v>7.5819623002359527E-5</v>
      </c>
      <c r="AB1316" s="168"/>
      <c r="AC1316" s="168"/>
      <c r="AD1316" s="163">
        <f t="shared" si="2363"/>
        <v>43831.119216299019</v>
      </c>
      <c r="AE1316" s="168">
        <f t="shared" si="2399"/>
        <v>7.1388753593809487E-2</v>
      </c>
      <c r="AF1316" s="163"/>
      <c r="AG1316" s="163"/>
      <c r="AH1316" s="163"/>
      <c r="AI1316" s="163"/>
      <c r="AJ1316" s="116">
        <f t="shared" si="2400"/>
        <v>244.51688767070013</v>
      </c>
      <c r="AK1316" s="114">
        <f>+AV1316/$AX$16</f>
        <v>5.0434625000798346E-3</v>
      </c>
      <c r="AL1316" s="115">
        <f t="shared" si="2388"/>
        <v>0.20941936287290625</v>
      </c>
      <c r="AM1316" s="115">
        <f t="shared" si="2389"/>
        <v>0.30327835158156796</v>
      </c>
      <c r="AN1316" s="115">
        <f t="shared" si="2390"/>
        <v>0.48730228554552574</v>
      </c>
      <c r="AO1316" s="115">
        <f t="shared" si="2392"/>
        <v>2.0751852469567934E-2</v>
      </c>
      <c r="AP1316" s="166">
        <f t="shared" si="2403"/>
        <v>106.85810828742569</v>
      </c>
      <c r="AQ1316" s="168">
        <f t="shared" si="2404"/>
        <v>2.0751852469568038E-2</v>
      </c>
      <c r="AR1316" s="169">
        <f>+AD1316/$AF$16</f>
        <v>4.2946353251283459E-3</v>
      </c>
      <c r="AS1316" s="169">
        <f t="shared" si="2402"/>
        <v>8.9121638677658804E-5</v>
      </c>
      <c r="AT1316" s="115"/>
      <c r="AU1316" s="115"/>
      <c r="AV1316" s="113">
        <f>IFERROR(INDEX('Total Customers'!$F$7:$AB$91,MATCH($C1316,'Total Customers'!$D$7:$D$91,0),MATCH($G1316,'Total Customers'!$F$5:$AB$5,0)),"NA")</f>
        <v>179256</v>
      </c>
      <c r="AW1316" s="68">
        <f t="shared" si="2347"/>
        <v>5.296951403066001E-3</v>
      </c>
      <c r="AX1316" s="114"/>
      <c r="AY1316" s="114"/>
      <c r="AZ1316" s="116"/>
      <c r="BA1316" s="116"/>
      <c r="BB1316" s="166"/>
      <c r="BC1316" s="166"/>
      <c r="BD1316" s="166"/>
      <c r="BE1316" s="166"/>
      <c r="BF1316" s="166"/>
      <c r="BG1316" s="166"/>
      <c r="BH1316" s="166"/>
      <c r="BI1316" s="113"/>
      <c r="BJ1316" s="113"/>
      <c r="BK1316" s="113">
        <f>INDEX('Dist. Plant Gas Additions'!$F$7:$AE$91,MATCH($C1316,'Dist. Plant Gas Additions'!$D$7:$D$91,0),MATCH(Calculation!$G1316,'Dist. Plant Gas Additions'!$F$5:$AE$5,0))</f>
        <v>15536</v>
      </c>
      <c r="BL1316" s="113">
        <f>INDEX('Gen. Plant Additions'!$F$7:$AE$91,MATCH($C1316,'Gen. Plant Additions'!$D$7:$D$91,0),MATCH(Calculation!$G1316,'Gen. Plant Additions'!$F$5:$AE$5,0))</f>
        <v>157</v>
      </c>
      <c r="BM1316" s="231">
        <f t="shared" si="2366"/>
        <v>0.98230469281782995</v>
      </c>
      <c r="BN1316" s="61">
        <f t="shared" si="2362"/>
        <v>154.22183677239931</v>
      </c>
      <c r="BO1316" s="113">
        <f>INDEX('Dist Plant Depreciation'!$E$7:$AD$94,MATCH($C1316,'Dist Plant Depreciation'!$D$7:$D$94,0),MATCH(Calculation!$G1316,'Dist Plant Depreciation'!$E$5:$AD$5,0))</f>
        <v>197584</v>
      </c>
      <c r="BP1316" s="113">
        <f>INDEX('Gen. Plant Depreciation'!$E$7:$AD$94,MATCH($C1316,'Gen. Plant Depreciation'!$D$7:$D$94,0),MATCH(Calculation!$G1316,'Gen. Plant Depreciation'!$E$5:$AD$5,0))</f>
        <v>3637</v>
      </c>
      <c r="BQ1316" s="113"/>
      <c r="BR1316" s="113"/>
      <c r="BS1316" s="113"/>
      <c r="BT1316" s="113"/>
      <c r="BU1316" s="113"/>
      <c r="BV1316" s="175"/>
      <c r="BW1316" s="113">
        <f>INDEX('Gross Dx Plant'!$E$7:$AD$91,MATCH($C1316,'Gross Dx Plant'!$D$7:$D$91,0),MATCH(Calculation!$G1316,'Gross Dx Plant'!$E$5:$AD$5,0))</f>
        <v>417620</v>
      </c>
      <c r="BX1316" s="113">
        <f>INDEX('Gross Gen Plant'!$E$7:$AD$91,MATCH($C1316,'Gross Gen Plant'!$D$7:$D$91,0),MATCH(Calculation!$G1316,'Gross Gen Plant'!$E$5:$AD$5,0))</f>
        <v>7090</v>
      </c>
      <c r="BY1316" s="113">
        <f t="shared" si="2318"/>
        <v>223489</v>
      </c>
      <c r="BZ1316" s="113"/>
      <c r="CA1316" s="116">
        <v>2011</v>
      </c>
      <c r="CB1316" s="113"/>
      <c r="CC1316" s="113"/>
      <c r="CD1316" s="113"/>
      <c r="CE1316" s="175"/>
      <c r="CF1316" s="113">
        <f t="shared" si="2370"/>
        <v>15693</v>
      </c>
      <c r="CG1316" s="113">
        <f t="shared" si="2371"/>
        <v>25.658461887761955</v>
      </c>
      <c r="CH1316" s="178">
        <v>0.92121212121212126</v>
      </c>
      <c r="CI1316" s="61">
        <f>+CI1303*CH1316+CG1304*CH1315+CG1305*CH1314+CG1306*CH1313+CG1307*CH1312+CG1308*CH1311+CG1309*CH1310+CG1310*CH1309+CG1311*CH1308+CG1312*CH1307+CG1313*CH1306+CG1314*CH1305+CG1315*CH1304+CG1316</f>
        <v>1045.5663470148404</v>
      </c>
      <c r="CJ1316" s="114">
        <f t="shared" si="2372"/>
        <v>1.7654496194061283E-2</v>
      </c>
      <c r="CK1316" s="114"/>
      <c r="CL1316" s="169">
        <f t="shared" si="2373"/>
        <v>7.1660870317888283E-3</v>
      </c>
      <c r="CM1316" s="169">
        <f t="shared" si="2381"/>
        <v>6.9607436744019355E-3</v>
      </c>
      <c r="CN1316" s="114">
        <f>VLOOKUP($H1316,RoR!$E:$F,2,FALSE)</f>
        <v>4.6391666666666664E-2</v>
      </c>
      <c r="CO1316" s="169">
        <v>2.0840920205183799E-2</v>
      </c>
      <c r="CP1316" s="169">
        <f t="shared" si="2379"/>
        <v>2.5550746461482865E-2</v>
      </c>
      <c r="CQ1316" s="169">
        <f t="shared" si="2382"/>
        <v>2.394119793413169E-2</v>
      </c>
      <c r="CR1316" s="169">
        <v>2.4810540821321614E-2</v>
      </c>
      <c r="CS1316" s="179">
        <f t="shared" si="2374"/>
        <v>0.85150049999999999</v>
      </c>
      <c r="CT1316" s="180">
        <f t="shared" si="2375"/>
        <v>1.1054151524782025</v>
      </c>
      <c r="CU1316" s="180">
        <f t="shared" si="2376"/>
        <v>0.43611011316687626</v>
      </c>
      <c r="CV1316" s="180">
        <f t="shared" si="2377"/>
        <v>0.83698442246886229</v>
      </c>
      <c r="CW1316" s="180">
        <f t="shared" si="2378"/>
        <v>0.40349573304423936</v>
      </c>
      <c r="CX1316" s="181">
        <f>INDEX('State Tax Lookup'!$D$7:$Z$91,MATCH(Calculation!$C1316,'State Tax Lookup'!$B$7:$B$91,0),MATCH($H1316,'State Tax Lookup'!$D$6:$Z$6,0))</f>
        <v>0.40134999999999998</v>
      </c>
      <c r="CY1316" s="72">
        <v>0.37</v>
      </c>
      <c r="CZ1316" s="70">
        <f t="shared" si="2380"/>
        <v>20.792018961401119</v>
      </c>
      <c r="DA1316" s="70">
        <v>19.146574949201604</v>
      </c>
      <c r="DB1316" s="69">
        <f t="shared" si="2383"/>
        <v>6.6208063964905861E-2</v>
      </c>
      <c r="DC1316" s="111">
        <f>VLOOKUP($H1316,RoR!$E:$F,2,FALSE)</f>
        <v>4.6391666666666664E-2</v>
      </c>
      <c r="DD1316" s="216">
        <f>HLOOKUP($H1316,'GDP-PI'!$D$8:$CQ$11,3,FALSE)</f>
        <v>2.0840920205183799E-2</v>
      </c>
      <c r="DE1316" s="111">
        <f>VLOOKUP(H1316,'HW Dx Data'!$E:$F,2,FALSE)</f>
        <v>611.61109612283201</v>
      </c>
      <c r="DF1316" s="72">
        <f t="shared" si="2393"/>
        <v>120.875</v>
      </c>
      <c r="DG1316" s="69">
        <f t="shared" si="2394"/>
        <v>3.3224250161508609E-2</v>
      </c>
      <c r="DH1316" s="66">
        <f>HLOOKUP(H1316,'GDP-PI'!$8:$9,2,FALSE)</f>
        <v>98.111999999999995</v>
      </c>
      <c r="DI1316" s="69">
        <f t="shared" si="2384"/>
        <v>2.0626719212849295E-2</v>
      </c>
    </row>
    <row r="1317" spans="1:113" s="160" customFormat="1" ht="21">
      <c r="A1317" s="160" t="s">
        <v>237</v>
      </c>
      <c r="B1317" s="160" t="s">
        <v>237</v>
      </c>
      <c r="C1317" s="160">
        <v>4008669</v>
      </c>
      <c r="D1317" s="161" t="s">
        <v>192</v>
      </c>
      <c r="E1317" s="161"/>
      <c r="F1317" s="189"/>
      <c r="G1317" s="160" t="s">
        <v>128</v>
      </c>
      <c r="H1317" s="162">
        <v>2012</v>
      </c>
      <c r="I1317" s="163"/>
      <c r="J1317" s="159">
        <f>IFERROR(INDEX('Labor Expenditures'!$F$7:$X$91,MATCH($C1317,'Labor Expenditures'!$D$7:$D$91,0),MATCH($G1317,'Labor Expenditures'!$F$5:$X$5,0)),"NA")</f>
        <v>8866.9588875377649</v>
      </c>
      <c r="K1317" s="159">
        <f t="shared" si="2385"/>
        <v>71.049350060398751</v>
      </c>
      <c r="L1317" s="165">
        <f t="shared" si="2391"/>
        <v>-6.6551151373893377E-2</v>
      </c>
      <c r="M1317" s="76">
        <f t="shared" si="2395"/>
        <v>-2.8134945976126874E-4</v>
      </c>
      <c r="N1317" s="62">
        <f t="shared" si="2401"/>
        <v>119.39435454202237</v>
      </c>
      <c r="O1317" s="96">
        <f t="shared" si="2396"/>
        <v>1.4516949681423622E-3</v>
      </c>
      <c r="P1317" s="96"/>
      <c r="Q1317" s="159">
        <f>IFERROR(INDEX('Non-Labor Expenditures'!$F$7:$AB$91,MATCH($C1317,'Non-Labor Expenditures'!$D$7:$D$91,0),MATCH($G1317,'Non-Labor Expenditures'!$F$5:$AB$5,0)),"NA")</f>
        <v>12841.012588630592</v>
      </c>
      <c r="R1317" s="159">
        <f t="shared" si="2386"/>
        <v>128.41012588630593</v>
      </c>
      <c r="S1317" s="165">
        <f t="shared" si="2397"/>
        <v>-5.3656151950766798E-2</v>
      </c>
      <c r="T1317" s="165">
        <f t="shared" si="2398"/>
        <v>-2.2683498410725739E-4</v>
      </c>
      <c r="U1317" s="165"/>
      <c r="V1317" s="165"/>
      <c r="W1317" s="159">
        <f t="shared" si="2369"/>
        <v>23501.769530283633</v>
      </c>
      <c r="X1317" s="163"/>
      <c r="Y1317" s="167">
        <v>1059.7048628319767</v>
      </c>
      <c r="Z1317" s="168">
        <v>1.3431740588215576E-2</v>
      </c>
      <c r="AA1317" s="76">
        <f t="shared" si="2387"/>
        <v>5.6783584958837934E-5</v>
      </c>
      <c r="AB1317" s="168"/>
      <c r="AC1317" s="168"/>
      <c r="AD1317" s="163">
        <f t="shared" si="2363"/>
        <v>45209.741006451994</v>
      </c>
      <c r="AE1317" s="168">
        <f t="shared" si="2399"/>
        <v>3.0968523113520312E-2</v>
      </c>
      <c r="AF1317" s="163"/>
      <c r="AG1317" s="163"/>
      <c r="AH1317" s="163"/>
      <c r="AI1317" s="163"/>
      <c r="AJ1317" s="116">
        <f t="shared" si="2400"/>
        <v>250.60137472050107</v>
      </c>
      <c r="AK1317" s="114">
        <f>+AV1317/$AX$17</f>
        <v>5.0514654177833927E-3</v>
      </c>
      <c r="AL1317" s="115">
        <f t="shared" si="2388"/>
        <v>0.19612938915691508</v>
      </c>
      <c r="AM1317" s="115">
        <f t="shared" si="2389"/>
        <v>0.28403198741611946</v>
      </c>
      <c r="AN1317" s="115">
        <f t="shared" si="2390"/>
        <v>0.51983862342696541</v>
      </c>
      <c r="AO1317" s="115">
        <f t="shared" si="2392"/>
        <v>-2.2487446876124164E-2</v>
      </c>
      <c r="AP1317" s="166">
        <f t="shared" si="2403"/>
        <v>104.48195914891382</v>
      </c>
      <c r="AQ1317" s="168">
        <f t="shared" si="2404"/>
        <v>-2.2487446876124185E-2</v>
      </c>
      <c r="AR1317" s="169">
        <f>+AD1317/$AF$17</f>
        <v>4.2275671262336154E-3</v>
      </c>
      <c r="AS1317" s="169">
        <f t="shared" si="2402"/>
        <v>-9.5067191166427418E-5</v>
      </c>
      <c r="AT1317" s="115"/>
      <c r="AU1317" s="115"/>
      <c r="AV1317" s="113">
        <f>IFERROR(INDEX('Total Customers'!$F$7:$AB$91,MATCH($C1317,'Total Customers'!$D$7:$D$91,0),MATCH($G1317,'Total Customers'!$F$5:$AB$5,0)),"NA")</f>
        <v>180405</v>
      </c>
      <c r="AW1317" s="68">
        <f t="shared" si="2347"/>
        <v>6.3893717078144195E-3</v>
      </c>
      <c r="AX1317" s="114"/>
      <c r="AY1317" s="114"/>
      <c r="AZ1317" s="116"/>
      <c r="BA1317" s="116"/>
      <c r="BB1317" s="166"/>
      <c r="BC1317" s="166"/>
      <c r="BD1317" s="166"/>
      <c r="BE1317" s="166"/>
      <c r="BF1317" s="166"/>
      <c r="BG1317" s="166"/>
      <c r="BH1317" s="166"/>
      <c r="BI1317" s="113"/>
      <c r="BJ1317" s="113"/>
      <c r="BK1317" s="113">
        <f>INDEX('Dist. Plant Gas Additions'!$F$7:$AE$91,MATCH($C1317,'Dist. Plant Gas Additions'!$D$7:$D$91,0),MATCH(Calculation!$G1317,'Dist. Plant Gas Additions'!$F$5:$AE$5,0))</f>
        <v>14260</v>
      </c>
      <c r="BL1317" s="113">
        <f>INDEX('Gen. Plant Additions'!$F$7:$AE$91,MATCH($C1317,'Gen. Plant Additions'!$D$7:$D$91,0),MATCH(Calculation!$G1317,'Gen. Plant Additions'!$F$5:$AE$5,0))</f>
        <v>383</v>
      </c>
      <c r="BM1317" s="231">
        <f t="shared" si="2366"/>
        <v>0.98330625603352872</v>
      </c>
      <c r="BN1317" s="61">
        <f t="shared" si="2362"/>
        <v>376.60629606084149</v>
      </c>
      <c r="BO1317" s="113">
        <f>INDEX('Dist Plant Depreciation'!$E$7:$AD$94,MATCH($C1317,'Dist Plant Depreciation'!$D$7:$D$94,0),MATCH(Calculation!$G1317,'Dist Plant Depreciation'!$E$5:$AD$5,0))</f>
        <v>205134</v>
      </c>
      <c r="BP1317" s="113">
        <f>INDEX('Gen. Plant Depreciation'!$E$7:$AD$94,MATCH($C1317,'Gen. Plant Depreciation'!$D$7:$D$94,0),MATCH(Calculation!$G1317,'Gen. Plant Depreciation'!$E$5:$AD$5,0))</f>
        <v>4364</v>
      </c>
      <c r="BQ1317" s="113"/>
      <c r="BR1317" s="113"/>
      <c r="BS1317" s="113"/>
      <c r="BT1317" s="113"/>
      <c r="BU1317" s="113"/>
      <c r="BV1317" s="175"/>
      <c r="BW1317" s="113">
        <f>INDEX('Gross Dx Plant'!$E$7:$AD$91,MATCH($C1317,'Gross Dx Plant'!$D$7:$D$91,0),MATCH(Calculation!$G1317,'Gross Dx Plant'!$E$5:$AD$5,0))</f>
        <v>429542</v>
      </c>
      <c r="BX1317" s="113">
        <f>INDEX('Gross Gen Plant'!$E$7:$AD$91,MATCH($C1317,'Gross Gen Plant'!$D$7:$D$91,0),MATCH(Calculation!$G1317,'Gross Gen Plant'!$E$5:$AD$5,0))</f>
        <v>7422</v>
      </c>
      <c r="BY1317" s="113">
        <f t="shared" si="2318"/>
        <v>227466</v>
      </c>
      <c r="BZ1317" s="113"/>
      <c r="CA1317" s="116">
        <v>2012</v>
      </c>
      <c r="CB1317" s="113"/>
      <c r="CC1317" s="113"/>
      <c r="CD1317" s="113"/>
      <c r="CE1317" s="175"/>
      <c r="CF1317" s="113">
        <f t="shared" si="2370"/>
        <v>14643</v>
      </c>
      <c r="CG1317" s="113">
        <f t="shared" si="2371"/>
        <v>21.890532259934705</v>
      </c>
      <c r="CH1317" s="178">
        <v>0.9135802469135802</v>
      </c>
      <c r="CI1317" s="61">
        <f>+CI1303*CH1317+CG1304*CH1316+CG1305*CH1315+CG1306*CH1314+CG1307*CH1313+CG1308*CH1312+CG1309*CH1311+CG1310*CH1310+CG1311*CH1309+CG1312*CH1308+CG1313*CH1307+CG1314*CH1306+CG1315*CH1305+CG1316*CH1304+CG1317</f>
        <v>1059.7048628319767</v>
      </c>
      <c r="CJ1317" s="114">
        <f t="shared" si="2372"/>
        <v>1.3431740588215576E-2</v>
      </c>
      <c r="CK1317" s="114"/>
      <c r="CL1317" s="169">
        <f t="shared" si="2373"/>
        <v>7.4141793726729245E-3</v>
      </c>
      <c r="CM1317" s="169">
        <f t="shared" si="2381"/>
        <v>7.1770596850739476E-3</v>
      </c>
      <c r="CN1317" s="114">
        <f>VLOOKUP($H1317,RoR!$E:$F,2,FALSE)</f>
        <v>3.6733333333333333E-2</v>
      </c>
      <c r="CO1317" s="169">
        <v>1.924331376386168E-2</v>
      </c>
      <c r="CP1317" s="169">
        <f t="shared" si="2379"/>
        <v>1.7490019569471653E-2</v>
      </c>
      <c r="CQ1317" s="169">
        <f t="shared" si="2382"/>
        <v>2.3724881923459677E-2</v>
      </c>
      <c r="CR1317" s="169">
        <v>6.7122682943869583E-2</v>
      </c>
      <c r="CS1317" s="179">
        <f t="shared" si="2374"/>
        <v>0.85150049999999999</v>
      </c>
      <c r="CT1317" s="180">
        <f t="shared" si="2375"/>
        <v>1.3960631020522127</v>
      </c>
      <c r="CU1317" s="180">
        <f t="shared" si="2376"/>
        <v>0.29441923774954631</v>
      </c>
      <c r="CV1317" s="180">
        <f t="shared" si="2377"/>
        <v>0.76377954189366437</v>
      </c>
      <c r="CW1317" s="180">
        <f t="shared" si="2378"/>
        <v>0.31393465103033691</v>
      </c>
      <c r="CX1317" s="181">
        <f>INDEX('State Tax Lookup'!$D$7:$Z$91,MATCH(Calculation!$C1317,'State Tax Lookup'!$B$7:$B$91,0),MATCH($H1317,'State Tax Lookup'!$D$6:$Z$6,0))</f>
        <v>0.40134999999999998</v>
      </c>
      <c r="CY1317" s="72">
        <v>0.37</v>
      </c>
      <c r="CZ1317" s="70">
        <f t="shared" si="2380"/>
        <v>22.477549700583523</v>
      </c>
      <c r="DA1317" s="70">
        <v>20.759737328210988</v>
      </c>
      <c r="DB1317" s="69">
        <f t="shared" si="2383"/>
        <v>7.7947810704946704E-2</v>
      </c>
      <c r="DC1317" s="111">
        <f>VLOOKUP($H1317,RoR!$E:$F,2,FALSE)</f>
        <v>3.6733333333333333E-2</v>
      </c>
      <c r="DD1317" s="216">
        <f>HLOOKUP($H1317,'GDP-PI'!$D$8:$CQ$11,3,FALSE)</f>
        <v>1.924331376386168E-2</v>
      </c>
      <c r="DE1317" s="111">
        <f>VLOOKUP(H1317,'HW Dx Data'!$E:$F,2,FALSE)</f>
        <v>668.91932211262167</v>
      </c>
      <c r="DF1317" s="72">
        <f t="shared" si="2393"/>
        <v>124.80000000000001</v>
      </c>
      <c r="DG1317" s="69">
        <f t="shared" si="2394"/>
        <v>3.1955502161869064E-2</v>
      </c>
      <c r="DH1317" s="66">
        <f>HLOOKUP(H1317,'GDP-PI'!$8:$9,2,FALSE)</f>
        <v>100</v>
      </c>
      <c r="DI1317" s="69">
        <f t="shared" si="2384"/>
        <v>1.9060502738742411E-2</v>
      </c>
    </row>
    <row r="1318" spans="1:113" s="160" customFormat="1" ht="21">
      <c r="A1318" s="160" t="s">
        <v>237</v>
      </c>
      <c r="B1318" s="160" t="s">
        <v>237</v>
      </c>
      <c r="C1318" s="160">
        <v>4008669</v>
      </c>
      <c r="D1318" s="161" t="s">
        <v>192</v>
      </c>
      <c r="E1318" s="161"/>
      <c r="F1318" s="189"/>
      <c r="G1318" s="160" t="s">
        <v>129</v>
      </c>
      <c r="H1318" s="162">
        <v>2013</v>
      </c>
      <c r="I1318" s="163"/>
      <c r="J1318" s="159">
        <f>IFERROR(INDEX('Labor Expenditures'!$F$7:$X$91,MATCH($C1318,'Labor Expenditures'!$D$7:$D$91,0),MATCH($G1318,'Labor Expenditures'!$F$5:$X$5,0)),"NA")</f>
        <v>9552.8849298259447</v>
      </c>
      <c r="K1318" s="159">
        <f t="shared" si="2385"/>
        <v>75.338209225756657</v>
      </c>
      <c r="L1318" s="165">
        <f t="shared" si="2391"/>
        <v>5.8612725880984262E-2</v>
      </c>
      <c r="M1318" s="76">
        <f t="shared" si="2395"/>
        <v>2.4721715270721633E-4</v>
      </c>
      <c r="N1318" s="62">
        <f t="shared" si="2401"/>
        <v>109.00261860364199</v>
      </c>
      <c r="O1318" s="96">
        <f t="shared" si="2396"/>
        <v>-9.1060012120869269E-2</v>
      </c>
      <c r="P1318" s="96"/>
      <c r="Q1318" s="159">
        <f>IFERROR(INDEX('Non-Labor Expenditures'!$F$7:$AB$91,MATCH($C1318,'Non-Labor Expenditures'!$D$7:$D$91,0),MATCH($G1318,'Non-Labor Expenditures'!$F$5:$AB$5,0)),"NA")</f>
        <v>13834.36161117669</v>
      </c>
      <c r="R1318" s="159">
        <f t="shared" si="2386"/>
        <v>135.93351489271899</v>
      </c>
      <c r="S1318" s="165">
        <f t="shared" si="2397"/>
        <v>5.6936654932271916E-2</v>
      </c>
      <c r="T1318" s="165">
        <f t="shared" si="2398"/>
        <v>2.4014780929334213E-4</v>
      </c>
      <c r="U1318" s="165"/>
      <c r="V1318" s="165"/>
      <c r="W1318" s="159">
        <f t="shared" si="2369"/>
        <v>23393.433329910371</v>
      </c>
      <c r="X1318" s="163"/>
      <c r="Y1318" s="167">
        <v>1080.9726179045372</v>
      </c>
      <c r="Z1318" s="168">
        <v>1.987076993397479E-2</v>
      </c>
      <c r="AA1318" s="76">
        <f t="shared" si="2387"/>
        <v>8.381106818256917E-5</v>
      </c>
      <c r="AB1318" s="168"/>
      <c r="AC1318" s="168"/>
      <c r="AD1318" s="163">
        <f t="shared" si="2363"/>
        <v>46780.679870913009</v>
      </c>
      <c r="AE1318" s="168">
        <f t="shared" si="2399"/>
        <v>3.4157721805766858E-2</v>
      </c>
      <c r="AF1318" s="163"/>
      <c r="AG1318" s="163"/>
      <c r="AH1318" s="163"/>
      <c r="AI1318" s="163"/>
      <c r="AJ1318" s="116">
        <f t="shared" si="2400"/>
        <v>256.88567639307115</v>
      </c>
      <c r="AK1318" s="114">
        <f>+AV1318/$AX$18</f>
        <v>5.066624243318601E-3</v>
      </c>
      <c r="AL1318" s="115">
        <f t="shared" si="2388"/>
        <v>0.20420577375502566</v>
      </c>
      <c r="AM1318" s="115">
        <f t="shared" si="2389"/>
        <v>0.2957281007747502</v>
      </c>
      <c r="AN1318" s="115">
        <f t="shared" si="2390"/>
        <v>0.50006612547022411</v>
      </c>
      <c r="AO1318" s="115">
        <f t="shared" si="2392"/>
        <v>3.8370313934504109E-2</v>
      </c>
      <c r="AP1318" s="166">
        <f t="shared" si="2403"/>
        <v>108.56887136299449</v>
      </c>
      <c r="AQ1318" s="168">
        <f t="shared" si="2404"/>
        <v>3.8370313934504074E-2</v>
      </c>
      <c r="AR1318" s="169">
        <f>+AD1318/$AF$18</f>
        <v>4.2178067815716626E-3</v>
      </c>
      <c r="AS1318" s="169">
        <f t="shared" si="2402"/>
        <v>1.6183857032398496E-4</v>
      </c>
      <c r="AT1318" s="115"/>
      <c r="AU1318" s="115"/>
      <c r="AV1318" s="113">
        <f>IFERROR(INDEX('Total Customers'!$F$7:$AB$91,MATCH($C1318,'Total Customers'!$D$7:$D$91,0),MATCH($G1318,'Total Customers'!$F$5:$AB$5,0)),"NA")</f>
        <v>182107</v>
      </c>
      <c r="AW1318" s="68">
        <f t="shared" si="2347"/>
        <v>9.3901029814119075E-3</v>
      </c>
      <c r="AX1318" s="114"/>
      <c r="AY1318" s="114"/>
      <c r="AZ1318" s="116"/>
      <c r="BA1318" s="116"/>
      <c r="BB1318" s="166"/>
      <c r="BC1318" s="166"/>
      <c r="BD1318" s="166"/>
      <c r="BE1318" s="166"/>
      <c r="BF1318" s="166"/>
      <c r="BG1318" s="166"/>
      <c r="BH1318" s="166"/>
      <c r="BI1318" s="113"/>
      <c r="BJ1318" s="113"/>
      <c r="BK1318" s="113">
        <f>INDEX('Dist. Plant Gas Additions'!$F$7:$AE$91,MATCH($C1318,'Dist. Plant Gas Additions'!$D$7:$D$91,0),MATCH(Calculation!$G1318,'Dist. Plant Gas Additions'!$F$5:$AE$5,0))</f>
        <v>19159</v>
      </c>
      <c r="BL1318" s="113">
        <f>INDEX('Gen. Plant Additions'!$F$7:$AE$91,MATCH($C1318,'Gen. Plant Additions'!$D$7:$D$91,0),MATCH(Calculation!$G1318,'Gen. Plant Additions'!$F$5:$AE$5,0))</f>
        <v>347</v>
      </c>
      <c r="BM1318" s="231">
        <f t="shared" si="2366"/>
        <v>0.98301461905328591</v>
      </c>
      <c r="BN1318" s="61">
        <f t="shared" ref="BN1318:BN1323" si="2405">+BM1318*BL1318</f>
        <v>341.10607281149021</v>
      </c>
      <c r="BO1318" s="113">
        <f>INDEX('Dist Plant Depreciation'!$E$7:$AD$94,MATCH($C1318,'Dist Plant Depreciation'!$D$7:$D$94,0),MATCH(Calculation!$G1318,'Dist Plant Depreciation'!$E$5:$AD$5,0))</f>
        <v>212135</v>
      </c>
      <c r="BP1318" s="113">
        <f>INDEX('Gen. Plant Depreciation'!$E$7:$AD$94,MATCH($C1318,'Gen. Plant Depreciation'!$D$7:$D$94,0),MATCH(Calculation!$G1318,'Gen. Plant Depreciation'!$E$5:$AD$5,0))</f>
        <v>4858</v>
      </c>
      <c r="BQ1318" s="113"/>
      <c r="BR1318" s="113"/>
      <c r="BS1318" s="113"/>
      <c r="BT1318" s="113"/>
      <c r="BU1318" s="113"/>
      <c r="BV1318" s="175"/>
      <c r="BW1318" s="113">
        <f>INDEX('Gross Dx Plant'!$E$7:$AD$91,MATCH($C1318,'Gross Dx Plant'!$D$7:$D$91,0),MATCH(Calculation!$G1318,'Gross Dx Plant'!$E$5:$AD$5,0))</f>
        <v>445667</v>
      </c>
      <c r="BX1318" s="113">
        <f>INDEX('Gross Gen Plant'!$E$7:$AD$91,MATCH($C1318,'Gross Gen Plant'!$D$7:$D$91,0),MATCH(Calculation!$G1318,'Gross Gen Plant'!$E$5:$AD$5,0))</f>
        <v>7461</v>
      </c>
      <c r="BY1318" s="113">
        <f t="shared" si="2318"/>
        <v>236135</v>
      </c>
      <c r="BZ1318" s="113"/>
      <c r="CA1318" s="116">
        <v>2013</v>
      </c>
      <c r="CB1318" s="113"/>
      <c r="CC1318" s="113"/>
      <c r="CD1318" s="113"/>
      <c r="CE1318" s="175"/>
      <c r="CF1318" s="113">
        <f t="shared" si="2370"/>
        <v>19506</v>
      </c>
      <c r="CG1318" s="113">
        <f t="shared" si="2371"/>
        <v>29.40979554355917</v>
      </c>
      <c r="CH1318" s="178">
        <v>0.90566037735849059</v>
      </c>
      <c r="CI1318" s="61">
        <f>+CI1303*CH1318+CG1304*CH1317+CG1305*CH1316+CG1306*CH1315+CG1307*CH1314+CG1308*CH1313+CG1309*CH1312+CG1310*CH1311+CG1311*CH1310+CG1312*CH1309+CG1313*CH1308+CG1314*CH1307+CG1315*CH1306+CG1316*CH1305+CG1317*CH1304+CG1318</f>
        <v>1080.9726179045372</v>
      </c>
      <c r="CJ1318" s="114">
        <f t="shared" si="2372"/>
        <v>1.987076993397479E-2</v>
      </c>
      <c r="CK1318" s="114"/>
      <c r="CL1318" s="169">
        <f t="shared" si="2373"/>
        <v>7.6833095294474166E-3</v>
      </c>
      <c r="CM1318" s="169">
        <f t="shared" si="2381"/>
        <v>7.4211919779697232E-3</v>
      </c>
      <c r="CN1318" s="114">
        <f>VLOOKUP($H1318,RoR!$E:$F,2,FALSE)</f>
        <v>4.2350000000000006E-2</v>
      </c>
      <c r="CO1318" s="169">
        <v>1.7730000000000024E-2</v>
      </c>
      <c r="CP1318" s="169">
        <f t="shared" si="2379"/>
        <v>2.4619999999999982E-2</v>
      </c>
      <c r="CQ1318" s="169">
        <f t="shared" si="2382"/>
        <v>2.3480749630563902E-2</v>
      </c>
      <c r="CR1318" s="169">
        <v>5.3376742735721204E-2</v>
      </c>
      <c r="CS1318" s="179">
        <f t="shared" si="2374"/>
        <v>0.85150049999999999</v>
      </c>
      <c r="CT1318" s="180">
        <f t="shared" si="2375"/>
        <v>1.2109103018193925</v>
      </c>
      <c r="CU1318" s="180">
        <f t="shared" si="2376"/>
        <v>0.38468122786304604</v>
      </c>
      <c r="CV1318" s="180">
        <f t="shared" si="2377"/>
        <v>0.80969194503422559</v>
      </c>
      <c r="CW1318" s="180">
        <f t="shared" si="2378"/>
        <v>0.37716621754800816</v>
      </c>
      <c r="CX1318" s="181">
        <f>INDEX('State Tax Lookup'!$D$7:$Z$91,MATCH(Calculation!$C1318,'State Tax Lookup'!$B$7:$B$91,0),MATCH($H1318,'State Tax Lookup'!$D$6:$Z$6,0))</f>
        <v>0.40134999999999998</v>
      </c>
      <c r="CY1318" s="72">
        <v>0.37</v>
      </c>
      <c r="CZ1318" s="70">
        <f t="shared" si="2380"/>
        <v>22.075423214906543</v>
      </c>
      <c r="DA1318" s="70">
        <v>20.339519021246105</v>
      </c>
      <c r="DB1318" s="69">
        <f t="shared" si="2383"/>
        <v>-1.8052102010850599E-2</v>
      </c>
      <c r="DC1318" s="111">
        <f>VLOOKUP($H1318,RoR!$E:$F,2,FALSE)</f>
        <v>4.2350000000000006E-2</v>
      </c>
      <c r="DD1318" s="216">
        <f>HLOOKUP($H1318,'GDP-PI'!$D$8:$CQ$11,3,FALSE)</f>
        <v>1.7730000000000024E-2</v>
      </c>
      <c r="DE1318" s="111">
        <f>VLOOKUP(H1318,'HW Dx Data'!$E:$F,2,FALSE)</f>
        <v>663.24840548821396</v>
      </c>
      <c r="DF1318" s="72">
        <f t="shared" si="2393"/>
        <v>126.8</v>
      </c>
      <c r="DG1318" s="69">
        <f t="shared" si="2394"/>
        <v>1.5898586067798204E-2</v>
      </c>
      <c r="DH1318" s="66">
        <f>HLOOKUP(H1318,'GDP-PI'!$8:$9,2,FALSE)</f>
        <v>101.773</v>
      </c>
      <c r="DI1318" s="69">
        <f t="shared" si="2384"/>
        <v>1.7574657016510519E-2</v>
      </c>
    </row>
    <row r="1319" spans="1:113" s="160" customFormat="1" ht="21">
      <c r="A1319" s="160" t="s">
        <v>237</v>
      </c>
      <c r="B1319" s="160" t="s">
        <v>237</v>
      </c>
      <c r="C1319" s="160">
        <v>4008669</v>
      </c>
      <c r="D1319" s="161" t="s">
        <v>192</v>
      </c>
      <c r="E1319" s="161"/>
      <c r="F1319" s="189"/>
      <c r="G1319" s="160" t="s">
        <v>130</v>
      </c>
      <c r="H1319" s="162">
        <v>2014</v>
      </c>
      <c r="I1319" s="163"/>
      <c r="J1319" s="159">
        <f>IFERROR(INDEX('Labor Expenditures'!$F$7:$X$91,MATCH($C1319,'Labor Expenditures'!$D$7:$D$91,0),MATCH($G1319,'Labor Expenditures'!$F$5:$X$5,0)),"NA")</f>
        <v>10689.028583694484</v>
      </c>
      <c r="K1319" s="159">
        <f t="shared" si="2385"/>
        <v>82.604548560235571</v>
      </c>
      <c r="L1319" s="165">
        <f t="shared" si="2391"/>
        <v>9.2077313580623044E-2</v>
      </c>
      <c r="M1319" s="76">
        <f t="shared" si="2395"/>
        <v>4.0880921436254534E-4</v>
      </c>
      <c r="N1319" s="62">
        <f t="shared" si="2401"/>
        <v>124.16016868425146</v>
      </c>
      <c r="O1319" s="96">
        <f t="shared" si="2396"/>
        <v>0.13020050921061671</v>
      </c>
      <c r="P1319" s="96"/>
      <c r="Q1319" s="159">
        <f>IFERROR(INDEX('Non-Labor Expenditures'!$F$7:$AB$91,MATCH($C1319,'Non-Labor Expenditures'!$D$7:$D$91,0),MATCH($G1319,'Non-Labor Expenditures'!$F$5:$AB$5,0)),"NA")</f>
        <v>15479.709824341791</v>
      </c>
      <c r="R1319" s="159">
        <f t="shared" si="2386"/>
        <v>149.35029305567735</v>
      </c>
      <c r="S1319" s="165">
        <f t="shared" si="2397"/>
        <v>9.4128601746041832E-2</v>
      </c>
      <c r="T1319" s="165">
        <f t="shared" si="2398"/>
        <v>4.179166206358808E-4</v>
      </c>
      <c r="U1319" s="165"/>
      <c r="V1319" s="165"/>
      <c r="W1319" s="159">
        <f t="shared" si="2369"/>
        <v>24377.775044983991</v>
      </c>
      <c r="X1319" s="163"/>
      <c r="Y1319" s="167">
        <v>1104.3900308200664</v>
      </c>
      <c r="Z1319" s="168">
        <v>2.1431966251232455E-2</v>
      </c>
      <c r="AA1319" s="76">
        <f t="shared" si="2387"/>
        <v>9.5154658022676431E-5</v>
      </c>
      <c r="AB1319" s="168"/>
      <c r="AC1319" s="168"/>
      <c r="AD1319" s="163">
        <f t="shared" si="2363"/>
        <v>50546.513453020263</v>
      </c>
      <c r="AE1319" s="168">
        <f t="shared" si="2399"/>
        <v>7.7423676425358759E-2</v>
      </c>
      <c r="AF1319" s="163"/>
      <c r="AG1319" s="163"/>
      <c r="AH1319" s="163"/>
      <c r="AI1319" s="163"/>
      <c r="AJ1319" s="116">
        <f t="shared" si="2400"/>
        <v>274.98130462207325</v>
      </c>
      <c r="AK1319" s="114">
        <f>+AV1319/$AX$19</f>
        <v>5.0868991412062964E-3</v>
      </c>
      <c r="AL1319" s="115">
        <f t="shared" si="2388"/>
        <v>0.21146915689109297</v>
      </c>
      <c r="AM1319" s="115">
        <f t="shared" si="2389"/>
        <v>0.30624683616861503</v>
      </c>
      <c r="AN1319" s="115">
        <f t="shared" si="2390"/>
        <v>0.48228400694029205</v>
      </c>
      <c r="AO1319" s="115">
        <f t="shared" si="2392"/>
        <v>5.79954924610315E-2</v>
      </c>
      <c r="AP1319" s="166">
        <f t="shared" si="2403"/>
        <v>115.05154245022669</v>
      </c>
      <c r="AQ1319" s="168">
        <f t="shared" si="2404"/>
        <v>5.7995492461031577E-2</v>
      </c>
      <c r="AR1319" s="169">
        <f>+AD1319/$AF$19</f>
        <v>4.4398473246571356E-3</v>
      </c>
      <c r="AS1319" s="169">
        <f t="shared" si="2402"/>
        <v>2.5749113204528415E-4</v>
      </c>
      <c r="AT1319" s="115"/>
      <c r="AU1319" s="115"/>
      <c r="AV1319" s="113">
        <f>IFERROR(INDEX('Total Customers'!$F$7:$AB$91,MATCH($C1319,'Total Customers'!$D$7:$D$91,0),MATCH($G1319,'Total Customers'!$F$5:$AB$5,0)),"NA")</f>
        <v>183818</v>
      </c>
      <c r="AW1319" s="68">
        <f t="shared" si="2347"/>
        <v>9.3517112497719795E-3</v>
      </c>
      <c r="AX1319" s="114"/>
      <c r="AY1319" s="114"/>
      <c r="AZ1319" s="116"/>
      <c r="BA1319" s="116"/>
      <c r="BB1319" s="166"/>
      <c r="BC1319" s="166"/>
      <c r="BD1319" s="166"/>
      <c r="BE1319" s="166"/>
      <c r="BF1319" s="166"/>
      <c r="BG1319" s="166"/>
      <c r="BH1319" s="166"/>
      <c r="BI1319" s="113"/>
      <c r="BJ1319" s="113"/>
      <c r="BK1319" s="113">
        <f>INDEX('Dist. Plant Gas Additions'!$F$7:$AE$91,MATCH($C1319,'Dist. Plant Gas Additions'!$D$7:$D$91,0),MATCH(Calculation!$G1319,'Dist. Plant Gas Additions'!$F$5:$AE$5,0))</f>
        <v>21266</v>
      </c>
      <c r="BL1319" s="113">
        <f>INDEX('Gen. Plant Additions'!$F$7:$AE$91,MATCH($C1319,'Gen. Plant Additions'!$D$7:$D$91,0),MATCH(Calculation!$G1319,'Gen. Plant Additions'!$F$5:$AE$5,0))</f>
        <v>641</v>
      </c>
      <c r="BM1319" s="231">
        <f t="shared" si="2366"/>
        <v>0.98353445384085736</v>
      </c>
      <c r="BN1319" s="61">
        <f t="shared" si="2405"/>
        <v>630.44558491198961</v>
      </c>
      <c r="BO1319" s="113">
        <f>INDEX('Dist Plant Depreciation'!$E$7:$AD$94,MATCH($C1319,'Dist Plant Depreciation'!$D$7:$D$94,0),MATCH(Calculation!$G1319,'Dist Plant Depreciation'!$E$5:$AD$5,0))</f>
        <v>219574</v>
      </c>
      <c r="BP1319" s="113">
        <f>INDEX('Gen. Plant Depreciation'!$E$7:$AD$94,MATCH($C1319,'Gen. Plant Depreciation'!$D$7:$D$94,0),MATCH(Calculation!$G1319,'Gen. Plant Depreciation'!$E$5:$AD$5,0))</f>
        <v>5152</v>
      </c>
      <c r="BQ1319" s="113"/>
      <c r="BR1319" s="113"/>
      <c r="BS1319" s="113"/>
      <c r="BT1319" s="113"/>
      <c r="BU1319" s="113"/>
      <c r="BV1319" s="175"/>
      <c r="BW1319" s="113">
        <f>INDEX('Gross Dx Plant'!$E$7:$AD$91,MATCH($C1319,'Gross Dx Plant'!$D$7:$D$91,0),MATCH(Calculation!$G1319,'Gross Dx Plant'!$E$5:$AD$5,0))</f>
        <v>464020</v>
      </c>
      <c r="BX1319" s="113">
        <f>INDEX('Gross Gen Plant'!$E$7:$AD$91,MATCH($C1319,'Gross Gen Plant'!$D$7:$D$91,0),MATCH(Calculation!$G1319,'Gross Gen Plant'!$E$5:$AD$5,0))</f>
        <v>8101</v>
      </c>
      <c r="BY1319" s="113">
        <f t="shared" si="2318"/>
        <v>247395</v>
      </c>
      <c r="BZ1319" s="113"/>
      <c r="CA1319" s="116">
        <v>2014</v>
      </c>
      <c r="CB1319" s="113"/>
      <c r="CC1319" s="113"/>
      <c r="CD1319" s="113"/>
      <c r="CE1319" s="175"/>
      <c r="CF1319" s="113">
        <f t="shared" si="2370"/>
        <v>21907</v>
      </c>
      <c r="CG1319" s="113">
        <f t="shared" si="2371"/>
        <v>32.005825578593175</v>
      </c>
      <c r="CH1319" s="178">
        <v>0.89743589743589747</v>
      </c>
      <c r="CI1319" s="61">
        <f>+CI1303*CH1319+CG1304*CH1318+CG1305*CH1317+CG1306*CH1316+CG1307*CH1315+CG1308*CH1314+CG1309*CH1313+CG1310*CH1312+CG1311*CH1311+CG1312*CH1310+CG1313*CH1309+CG1314*CH1308+CG1315*CH1307+CG1316*CH1306+CG1317*CH1305+CG1318*CH1304+CG1319</f>
        <v>1104.3900308200664</v>
      </c>
      <c r="CJ1319" s="114">
        <f t="shared" si="2372"/>
        <v>2.1431966251232455E-2</v>
      </c>
      <c r="CK1319" s="114"/>
      <c r="CL1319" s="169">
        <f t="shared" si="2373"/>
        <v>7.9450788306854436E-3</v>
      </c>
      <c r="CM1319" s="169">
        <f t="shared" si="2381"/>
        <v>7.6808559109352616E-3</v>
      </c>
      <c r="CN1319" s="114">
        <f>VLOOKUP($H1319,RoR!$E:$F,2,FALSE)</f>
        <v>4.1625000000000002E-2</v>
      </c>
      <c r="CO1319" s="169">
        <v>1.841352814597208E-2</v>
      </c>
      <c r="CP1319" s="169">
        <f t="shared" si="2379"/>
        <v>2.3211471854027922E-2</v>
      </c>
      <c r="CQ1319" s="169">
        <f t="shared" si="2382"/>
        <v>2.3221085697598363E-2</v>
      </c>
      <c r="CR1319" s="169">
        <v>3.9072621432650924E-2</v>
      </c>
      <c r="CS1319" s="179">
        <f t="shared" si="2374"/>
        <v>0.85150049999999999</v>
      </c>
      <c r="CT1319" s="180">
        <f t="shared" si="2375"/>
        <v>1.2320012320012319</v>
      </c>
      <c r="CU1319" s="180">
        <f t="shared" si="2376"/>
        <v>0.37439939939939942</v>
      </c>
      <c r="CV1319" s="180">
        <f t="shared" si="2377"/>
        <v>0.80432100613819935</v>
      </c>
      <c r="CW1319" s="180">
        <f t="shared" si="2378"/>
        <v>0.37100152660040037</v>
      </c>
      <c r="CX1319" s="181">
        <f>INDEX('State Tax Lookup'!$D$7:$Z$91,MATCH(Calculation!$C1319,'State Tax Lookup'!$B$7:$B$91,0),MATCH($H1319,'State Tax Lookup'!$D$6:$Z$6,0))</f>
        <v>0.40134999999999998</v>
      </c>
      <c r="CY1319" s="72">
        <v>0.37</v>
      </c>
      <c r="CZ1319" s="70">
        <f t="shared" si="2380"/>
        <v>22.551704493903138</v>
      </c>
      <c r="DA1319" s="70">
        <v>20.763592984765573</v>
      </c>
      <c r="DB1319" s="69">
        <f t="shared" si="2383"/>
        <v>2.1345732415443172E-2</v>
      </c>
      <c r="DC1319" s="111">
        <f>VLOOKUP($H1319,RoR!$E:$F,2,FALSE)</f>
        <v>4.1625000000000002E-2</v>
      </c>
      <c r="DD1319" s="216">
        <f>HLOOKUP($H1319,'GDP-PI'!$D$8:$CQ$11,3,FALSE)</f>
        <v>1.841352814597208E-2</v>
      </c>
      <c r="DE1319" s="111">
        <f>VLOOKUP(H1319,'HW Dx Data'!$E:$F,2,FALSE)</f>
        <v>684.46914285042885</v>
      </c>
      <c r="DF1319" s="72">
        <f t="shared" si="2393"/>
        <v>129.4</v>
      </c>
      <c r="DG1319" s="69">
        <f t="shared" si="2394"/>
        <v>2.0297340063674733E-2</v>
      </c>
      <c r="DH1319" s="66">
        <f>HLOOKUP(H1319,'GDP-PI'!$8:$9,2,FALSE)</f>
        <v>103.64700000000001</v>
      </c>
      <c r="DI1319" s="69">
        <f t="shared" si="2384"/>
        <v>1.8246051898256087E-2</v>
      </c>
    </row>
    <row r="1320" spans="1:113" s="160" customFormat="1" ht="21">
      <c r="A1320" s="160" t="s">
        <v>237</v>
      </c>
      <c r="B1320" s="160" t="s">
        <v>237</v>
      </c>
      <c r="C1320" s="160">
        <v>4008669</v>
      </c>
      <c r="D1320" s="161" t="s">
        <v>192</v>
      </c>
      <c r="E1320" s="161"/>
      <c r="F1320" s="189"/>
      <c r="G1320" s="160" t="s">
        <v>132</v>
      </c>
      <c r="H1320" s="162">
        <v>2015</v>
      </c>
      <c r="I1320" s="163"/>
      <c r="J1320" s="159">
        <f>IFERROR(INDEX('Labor Expenditures'!$F$7:$X$91,MATCH($C1320,'Labor Expenditures'!$D$7:$D$91,0),MATCH($G1320,'Labor Expenditures'!$F$5:$X$5,0)),"NA")</f>
        <v>11680.247909899137</v>
      </c>
      <c r="K1320" s="159">
        <f t="shared" si="2385"/>
        <v>87.492493707109645</v>
      </c>
      <c r="L1320" s="165">
        <f t="shared" si="2391"/>
        <v>5.7488257153276531E-2</v>
      </c>
      <c r="M1320" s="76">
        <f t="shared" si="2395"/>
        <v>2.6476751480686929E-4</v>
      </c>
      <c r="N1320" s="62">
        <f t="shared" si="2401"/>
        <v>124.15550655205868</v>
      </c>
      <c r="O1320" s="96">
        <f t="shared" si="2396"/>
        <v>-3.7550043418671292E-5</v>
      </c>
      <c r="P1320" s="96"/>
      <c r="Q1320" s="159">
        <f>IFERROR(INDEX('Non-Labor Expenditures'!$F$7:$AB$91,MATCH($C1320,'Non-Labor Expenditures'!$D$7:$D$91,0),MATCH($G1320,'Non-Labor Expenditures'!$F$5:$AB$5,0)),"NA")</f>
        <v>16915.180542918941</v>
      </c>
      <c r="R1320" s="159">
        <f t="shared" si="2386"/>
        <v>161.65273505021017</v>
      </c>
      <c r="S1320" s="165">
        <f t="shared" si="2397"/>
        <v>7.9155916741337581E-2</v>
      </c>
      <c r="T1320" s="165">
        <f t="shared" si="2398"/>
        <v>3.6455993616200488E-4</v>
      </c>
      <c r="U1320" s="165"/>
      <c r="V1320" s="165"/>
      <c r="W1320" s="159">
        <f t="shared" si="2369"/>
        <v>24356.535341390623</v>
      </c>
      <c r="X1320" s="163"/>
      <c r="Y1320" s="167">
        <v>1146.517264287995</v>
      </c>
      <c r="Z1320" s="168">
        <v>3.7435707206852541E-2</v>
      </c>
      <c r="AA1320" s="76">
        <f t="shared" si="2387"/>
        <v>1.7241363111372452E-4</v>
      </c>
      <c r="AB1320" s="168"/>
      <c r="AC1320" s="168"/>
      <c r="AD1320" s="163">
        <f t="shared" si="2363"/>
        <v>52951.963794208699</v>
      </c>
      <c r="AE1320" s="168">
        <f t="shared" si="2399"/>
        <v>4.6491188226122304E-2</v>
      </c>
      <c r="AF1320" s="163"/>
      <c r="AG1320" s="163"/>
      <c r="AH1320" s="163"/>
      <c r="AI1320" s="163"/>
      <c r="AJ1320" s="116">
        <f t="shared" si="2400"/>
        <v>285.4784149349473</v>
      </c>
      <c r="AK1320" s="114">
        <f>+AV1320/$AX$20</f>
        <v>5.091292751652622E-3</v>
      </c>
      <c r="AL1320" s="115">
        <f t="shared" si="2388"/>
        <v>0.22058195906185812</v>
      </c>
      <c r="AM1320" s="115">
        <f t="shared" si="2389"/>
        <v>0.31944387574855038</v>
      </c>
      <c r="AN1320" s="115">
        <f t="shared" si="2390"/>
        <v>0.45997416518959156</v>
      </c>
      <c r="AO1320" s="115">
        <f t="shared" si="2392"/>
        <v>5.4819544300362559E-2</v>
      </c>
      <c r="AP1320" s="166">
        <f t="shared" si="2403"/>
        <v>121.53469377256859</v>
      </c>
      <c r="AQ1320" s="168">
        <f t="shared" si="2404"/>
        <v>5.4819544300362601E-2</v>
      </c>
      <c r="AR1320" s="169">
        <f>+AD1320/$AF$20</f>
        <v>4.6055930013835693E-3</v>
      </c>
      <c r="AS1320" s="169">
        <f t="shared" si="2402"/>
        <v>2.5247650956878654E-4</v>
      </c>
      <c r="AT1320" s="115"/>
      <c r="AU1320" s="115"/>
      <c r="AV1320" s="113">
        <f>IFERROR(INDEX('Total Customers'!$F$7:$AB$91,MATCH($C1320,'Total Customers'!$D$7:$D$91,0),MATCH($G1320,'Total Customers'!$F$5:$AB$5,0)),"NA")</f>
        <v>185485</v>
      </c>
      <c r="AW1320" s="68">
        <f t="shared" si="2347"/>
        <v>9.0278785823727312E-3</v>
      </c>
      <c r="AX1320" s="114"/>
      <c r="AY1320" s="114"/>
      <c r="AZ1320" s="116"/>
      <c r="BA1320" s="116"/>
      <c r="BB1320" s="166"/>
      <c r="BC1320" s="166"/>
      <c r="BD1320" s="166"/>
      <c r="BE1320" s="166"/>
      <c r="BF1320" s="166"/>
      <c r="BG1320" s="166"/>
      <c r="BH1320" s="166"/>
      <c r="BI1320" s="113"/>
      <c r="BJ1320" s="113"/>
      <c r="BK1320" s="113">
        <f>INDEX('Dist. Plant Gas Additions'!$F$7:$AE$91,MATCH($C1320,'Dist. Plant Gas Additions'!$D$7:$D$91,0),MATCH(Calculation!$G1320,'Dist. Plant Gas Additions'!$F$5:$AE$5,0))</f>
        <v>33675</v>
      </c>
      <c r="BL1320" s="113">
        <f>INDEX('Gen. Plant Additions'!$F$7:$AE$91,MATCH($C1320,'Gen. Plant Additions'!$D$7:$D$91,0),MATCH(Calculation!$G1320,'Gen. Plant Additions'!$F$5:$AE$5,0))</f>
        <v>914</v>
      </c>
      <c r="BM1320" s="231">
        <f t="shared" si="2366"/>
        <v>0.98284126315076004</v>
      </c>
      <c r="BN1320" s="61">
        <f t="shared" si="2405"/>
        <v>898.31691451979464</v>
      </c>
      <c r="BO1320" s="113">
        <f>INDEX('Dist Plant Depreciation'!$E$7:$AD$94,MATCH($C1320,'Dist Plant Depreciation'!$D$7:$D$94,0),MATCH(Calculation!$G1320,'Dist Plant Depreciation'!$E$5:$AD$5,0))</f>
        <v>226706</v>
      </c>
      <c r="BP1320" s="113">
        <f>INDEX('Gen. Plant Depreciation'!$E$7:$AD$94,MATCH($C1320,'Gen. Plant Depreciation'!$D$7:$D$94,0),MATCH(Calculation!$G1320,'Gen. Plant Depreciation'!$E$5:$AD$5,0))</f>
        <v>5296</v>
      </c>
      <c r="BQ1320" s="113"/>
      <c r="BR1320" s="113"/>
      <c r="BS1320" s="113"/>
      <c r="BT1320" s="113"/>
      <c r="BU1320" s="113"/>
      <c r="BV1320" s="175"/>
      <c r="BW1320" s="113">
        <f>INDEX('Gross Dx Plant'!$E$7:$AD$91,MATCH($C1320,'Gross Dx Plant'!$D$7:$D$91,0),MATCH(Calculation!$G1320,'Gross Dx Plant'!$E$5:$AD$5,0))</f>
        <v>494197</v>
      </c>
      <c r="BX1320" s="113">
        <f>INDEX('Gross Gen Plant'!$E$7:$AD$91,MATCH($C1320,'Gross Gen Plant'!$D$7:$D$91,0),MATCH(Calculation!$G1320,'Gross Gen Plant'!$E$5:$AD$5,0))</f>
        <v>8868</v>
      </c>
      <c r="BY1320" s="113">
        <f t="shared" si="2318"/>
        <v>271063</v>
      </c>
      <c r="BZ1320" s="113"/>
      <c r="CA1320" s="116">
        <v>2015</v>
      </c>
      <c r="CB1320" s="113"/>
      <c r="CC1320" s="113"/>
      <c r="CD1320" s="113"/>
      <c r="CE1320" s="175"/>
      <c r="CF1320" s="113">
        <f t="shared" si="2370"/>
        <v>34589</v>
      </c>
      <c r="CG1320" s="113">
        <f t="shared" si="2371"/>
        <v>51.196345233042692</v>
      </c>
      <c r="CH1320" s="178">
        <v>0.88888888888888884</v>
      </c>
      <c r="CI1320" s="61">
        <f>+CI1303*CH1320+CG1304*CH1319+CG1305*CH1318+CG1306*CH1317+CG1307*CH1316+CG1308*CH1315+CG1309*CH1314+CG1310*CH1313+CG1311*CH1312+CG1312*CH1311+CG1313*CH1310+CG1314*CH1309+CG1315*CH1308+CG1316*CH1307+CG1317*CH1306+CG1318*CH1305+CG1319*CH1304+CG1320</f>
        <v>1146.517264287995</v>
      </c>
      <c r="CJ1320" s="114">
        <f t="shared" si="2372"/>
        <v>3.7435707206852541E-2</v>
      </c>
      <c r="CK1320" s="114"/>
      <c r="CL1320" s="169">
        <f t="shared" si="2373"/>
        <v>8.211873986565978E-3</v>
      </c>
      <c r="CM1320" s="169">
        <f t="shared" si="2381"/>
        <v>7.9467541155662791E-3</v>
      </c>
      <c r="CN1320" s="114">
        <f>VLOOKUP($H1320,RoR!$E:$F,2,FALSE)</f>
        <v>3.8866666666666674E-2</v>
      </c>
      <c r="CO1320" s="169">
        <v>9.5709475431029478E-3</v>
      </c>
      <c r="CP1320" s="169">
        <f t="shared" si="2379"/>
        <v>2.9295719123563727E-2</v>
      </c>
      <c r="CQ1320" s="169">
        <f t="shared" si="2382"/>
        <v>2.2955187492967346E-2</v>
      </c>
      <c r="CR1320" s="169">
        <v>3.5270373279175926E-3</v>
      </c>
      <c r="CS1320" s="179">
        <f t="shared" si="2374"/>
        <v>0.85150049999999999</v>
      </c>
      <c r="CT1320" s="180">
        <f t="shared" si="2375"/>
        <v>1.3194352816994324</v>
      </c>
      <c r="CU1320" s="180">
        <f t="shared" si="2376"/>
        <v>0.33177530017152673</v>
      </c>
      <c r="CV1320" s="180">
        <f t="shared" si="2377"/>
        <v>0.78242572977668579</v>
      </c>
      <c r="CW1320" s="180">
        <f t="shared" si="2378"/>
        <v>0.34251158643433932</v>
      </c>
      <c r="CX1320" s="181">
        <f>INDEX('State Tax Lookup'!$D$7:$Z$91,MATCH(Calculation!$C1320,'State Tax Lookup'!$B$7:$B$91,0),MATCH($H1320,'State Tax Lookup'!$D$6:$Z$6,0))</f>
        <v>0.40134999999999998</v>
      </c>
      <c r="CY1320" s="72">
        <v>0.37</v>
      </c>
      <c r="CZ1320" s="70">
        <f t="shared" si="2380"/>
        <v>22.054287581086406</v>
      </c>
      <c r="DA1320" s="70">
        <v>20.279488671080099</v>
      </c>
      <c r="DB1320" s="69">
        <f t="shared" si="2383"/>
        <v>-2.2303619292786375E-2</v>
      </c>
      <c r="DC1320" s="111">
        <f>VLOOKUP($H1320,RoR!$E:$F,2,FALSE)</f>
        <v>3.8866666666666674E-2</v>
      </c>
      <c r="DD1320" s="216">
        <f>HLOOKUP($H1320,'GDP-PI'!$D$8:$CQ$11,3,FALSE)</f>
        <v>9.5709475431029478E-3</v>
      </c>
      <c r="DE1320" s="111">
        <f>VLOOKUP(H1320,'HW Dx Data'!$E:$F,2,FALSE)</f>
        <v>675.61463308665782</v>
      </c>
      <c r="DF1320" s="72">
        <f t="shared" si="2393"/>
        <v>133.5</v>
      </c>
      <c r="DG1320" s="69">
        <f t="shared" si="2394"/>
        <v>3.1193095773504077E-2</v>
      </c>
      <c r="DH1320" s="66">
        <f>HLOOKUP(H1320,'GDP-PI'!$8:$9,2,FALSE)</f>
        <v>104.639</v>
      </c>
      <c r="DI1320" s="69">
        <f t="shared" si="2384"/>
        <v>9.5254361854427965E-3</v>
      </c>
    </row>
    <row r="1321" spans="1:113" s="160" customFormat="1" ht="21">
      <c r="A1321" s="160" t="s">
        <v>237</v>
      </c>
      <c r="B1321" s="160" t="s">
        <v>237</v>
      </c>
      <c r="C1321" s="160">
        <v>4008669</v>
      </c>
      <c r="D1321" s="161" t="s">
        <v>192</v>
      </c>
      <c r="E1321" s="161"/>
      <c r="F1321" s="189"/>
      <c r="G1321" s="160" t="s">
        <v>133</v>
      </c>
      <c r="H1321" s="162">
        <v>2016</v>
      </c>
      <c r="I1321" s="163"/>
      <c r="J1321" s="159">
        <f>IFERROR(INDEX('Labor Expenditures'!$F$7:$X$91,MATCH($C1321,'Labor Expenditures'!$D$7:$D$91,0),MATCH($G1321,'Labor Expenditures'!$F$5:$X$5,0)),"NA")</f>
        <v>11571.493549309196</v>
      </c>
      <c r="K1321" s="159">
        <f t="shared" si="2385"/>
        <v>84.494293897840066</v>
      </c>
      <c r="L1321" s="165">
        <f t="shared" si="2391"/>
        <v>-3.4868999232451667E-2</v>
      </c>
      <c r="M1321" s="76">
        <f t="shared" si="2395"/>
        <v>-1.5586829513659933E-4</v>
      </c>
      <c r="N1321" s="62">
        <f t="shared" si="2401"/>
        <v>308.32839566051047</v>
      </c>
      <c r="O1321" s="96">
        <f t="shared" si="2396"/>
        <v>0.90963056964767219</v>
      </c>
      <c r="P1321" s="96"/>
      <c r="Q1321" s="159">
        <f>IFERROR(INDEX('Non-Labor Expenditures'!$F$7:$AB$91,MATCH($C1321,'Non-Labor Expenditures'!$D$7:$D$91,0),MATCH($G1321,'Non-Labor Expenditures'!$F$5:$AB$5,0)),"NA")</f>
        <v>16757.683916272043</v>
      </c>
      <c r="R1321" s="159">
        <f t="shared" si="2386"/>
        <v>158.48607774336122</v>
      </c>
      <c r="S1321" s="165">
        <f t="shared" si="2397"/>
        <v>-1.9783671730874003E-2</v>
      </c>
      <c r="T1321" s="165">
        <f t="shared" si="2398"/>
        <v>-8.8435207551457225E-5</v>
      </c>
      <c r="U1321" s="165"/>
      <c r="V1321" s="165"/>
      <c r="W1321" s="159">
        <f t="shared" si="2369"/>
        <v>24855.054195948214</v>
      </c>
      <c r="X1321" s="163"/>
      <c r="Y1321" s="167">
        <v>1214.9788264150322</v>
      </c>
      <c r="Z1321" s="168">
        <v>5.7997768365500253E-2</v>
      </c>
      <c r="AA1321" s="76">
        <f t="shared" si="2387"/>
        <v>2.5925645920014283E-4</v>
      </c>
      <c r="AB1321" s="168"/>
      <c r="AC1321" s="168"/>
      <c r="AD1321" s="163">
        <f t="shared" si="2363"/>
        <v>53184.231661529455</v>
      </c>
      <c r="AE1321" s="168">
        <f t="shared" si="2399"/>
        <v>4.3767960045463959E-3</v>
      </c>
      <c r="AF1321" s="163"/>
      <c r="AG1321" s="163"/>
      <c r="AH1321" s="163"/>
      <c r="AI1321" s="163"/>
      <c r="AJ1321" s="116">
        <f t="shared" si="2400"/>
        <v>285.31547791920525</v>
      </c>
      <c r="AK1321" s="114">
        <f>+AV1321/$AX$21</f>
        <v>5.0723313001195614E-3</v>
      </c>
      <c r="AL1321" s="115">
        <f t="shared" si="2388"/>
        <v>0.21757376552793894</v>
      </c>
      <c r="AM1321" s="115">
        <f t="shared" si="2389"/>
        <v>0.31508744965838492</v>
      </c>
      <c r="AN1321" s="115">
        <f t="shared" si="2390"/>
        <v>0.46733878481367613</v>
      </c>
      <c r="AO1321" s="115">
        <f t="shared" si="2392"/>
        <v>1.2975335303697553E-2</v>
      </c>
      <c r="AP1321" s="166">
        <f t="shared" si="2403"/>
        <v>123.12192231792477</v>
      </c>
      <c r="AQ1321" s="168">
        <f t="shared" si="2404"/>
        <v>1.2975335303697521E-2</v>
      </c>
      <c r="AR1321" s="169">
        <f>+AD1321/$AF$21</f>
        <v>4.4701109457577085E-3</v>
      </c>
      <c r="AS1321" s="169">
        <f t="shared" si="2402"/>
        <v>5.800118836593471E-5</v>
      </c>
      <c r="AT1321" s="115"/>
      <c r="AU1321" s="115"/>
      <c r="AV1321" s="113">
        <f>IFERROR(INDEX('Total Customers'!$F$7:$AB$91,MATCH($C1321,'Total Customers'!$D$7:$D$91,0),MATCH($G1321,'Total Customers'!$F$5:$AB$5,0)),"NA")</f>
        <v>186405</v>
      </c>
      <c r="AW1321" s="68">
        <f t="shared" si="2347"/>
        <v>4.9477096818213622E-3</v>
      </c>
      <c r="AX1321" s="114"/>
      <c r="AY1321" s="114"/>
      <c r="AZ1321" s="116"/>
      <c r="BA1321" s="116"/>
      <c r="BB1321" s="166"/>
      <c r="BC1321" s="166"/>
      <c r="BD1321" s="166"/>
      <c r="BE1321" s="166"/>
      <c r="BF1321" s="166"/>
      <c r="BG1321" s="166"/>
      <c r="BH1321" s="166"/>
      <c r="BI1321" s="113"/>
      <c r="BJ1321" s="113"/>
      <c r="BK1321" s="113">
        <f>INDEX('Dist. Plant Gas Additions'!$F$7:$AE$91,MATCH($C1321,'Dist. Plant Gas Additions'!$D$7:$D$91,0),MATCH(Calculation!$G1321,'Dist. Plant Gas Additions'!$F$5:$AE$5,0))</f>
        <v>48571</v>
      </c>
      <c r="BL1321" s="113">
        <f>INDEX('Gen. Plant Additions'!$F$7:$AE$91,MATCH($C1321,'Gen. Plant Additions'!$D$7:$D$91,0),MATCH(Calculation!$G1321,'Gen. Plant Additions'!$F$5:$AE$5,0))</f>
        <v>3890</v>
      </c>
      <c r="BM1321" s="231">
        <f t="shared" si="2366"/>
        <v>0.98237205927663418</v>
      </c>
      <c r="BN1321" s="61">
        <f t="shared" si="2405"/>
        <v>3821.4273105861071</v>
      </c>
      <c r="BO1321" s="113">
        <f>INDEX('Dist Plant Depreciation'!$E$7:$AD$94,MATCH($C1321,'Dist Plant Depreciation'!$D$7:$D$94,0),MATCH(Calculation!$G1321,'Dist Plant Depreciation'!$E$5:$AD$5,0))</f>
        <v>232253</v>
      </c>
      <c r="BP1321" s="113">
        <f>INDEX('Gen. Plant Depreciation'!$E$7:$AD$94,MATCH($C1321,'Gen. Plant Depreciation'!$D$7:$D$94,0),MATCH(Calculation!$G1321,'Gen. Plant Depreciation'!$E$5:$AD$5,0))</f>
        <v>5544</v>
      </c>
      <c r="BQ1321" s="113"/>
      <c r="BR1321" s="113"/>
      <c r="BS1321" s="113"/>
      <c r="BT1321" s="113"/>
      <c r="BU1321" s="113"/>
      <c r="BV1321" s="175"/>
      <c r="BW1321" s="113">
        <f>INDEX('Gross Dx Plant'!$E$7:$AD$91,MATCH($C1321,'Gross Dx Plant'!$D$7:$D$91,0),MATCH(Calculation!$G1321,'Gross Dx Plant'!$E$5:$AD$5,0))</f>
        <v>537142</v>
      </c>
      <c r="BX1321" s="113">
        <f>INDEX('Gross Gen Plant'!$E$7:$AD$91,MATCH($C1321,'Gross Gen Plant'!$D$7:$D$91,0),MATCH(Calculation!$G1321,'Gross Gen Plant'!$E$5:$AD$5,0))</f>
        <v>12608</v>
      </c>
      <c r="BY1321" s="113">
        <f t="shared" si="2318"/>
        <v>311953</v>
      </c>
      <c r="BZ1321" s="113"/>
      <c r="CA1321" s="116">
        <v>2016</v>
      </c>
      <c r="CB1321" s="113"/>
      <c r="CC1321" s="113"/>
      <c r="CD1321" s="113"/>
      <c r="CE1321" s="175"/>
      <c r="CF1321" s="113">
        <f t="shared" si="2370"/>
        <v>52461</v>
      </c>
      <c r="CG1321" s="113">
        <f t="shared" si="2371"/>
        <v>78.13016672376898</v>
      </c>
      <c r="CH1321" s="178">
        <v>0.88</v>
      </c>
      <c r="CI1321" s="61">
        <f>+CI1303*CH1321+CG1304*CH1320+CG1305*CH1319+CG1306*CH1318+CG1307*CH1317+CG1308*CH1316+CG1309*CH1315+CG1310*CH1314+CG1311*CH1313+CG1312*CH1312+CG1313*CH1311+CG1314*CH1310+CG1315*CH1309+CG1316*CH1308+CG1317*CH1307+CG1318*CH1306+CG1319*CH1305+CG1320*CH1304+CG1321</f>
        <v>1214.9788264150322</v>
      </c>
      <c r="CJ1321" s="114">
        <f t="shared" si="2372"/>
        <v>5.7997768365500253E-2</v>
      </c>
      <c r="CK1321" s="114"/>
      <c r="CL1321" s="169">
        <f t="shared" si="2373"/>
        <v>8.4330213751609446E-3</v>
      </c>
      <c r="CM1321" s="169">
        <f t="shared" si="2381"/>
        <v>8.1966580641374548E-3</v>
      </c>
      <c r="CN1321" s="114">
        <f>VLOOKUP($H1321,RoR!$E:$F,2,FALSE)</f>
        <v>3.6658333333333334E-2</v>
      </c>
      <c r="CO1321" s="169">
        <v>1.0483662879041455E-2</v>
      </c>
      <c r="CP1321" s="169">
        <f t="shared" si="2379"/>
        <v>2.6174670454291879E-2</v>
      </c>
      <c r="CQ1321" s="169">
        <f t="shared" si="2382"/>
        <v>2.270528354439617E-2</v>
      </c>
      <c r="CR1321" s="169">
        <v>4.301363574220729E-3</v>
      </c>
      <c r="CS1321" s="179">
        <f t="shared" si="2374"/>
        <v>0.85150049999999999</v>
      </c>
      <c r="CT1321" s="180">
        <f t="shared" si="2375"/>
        <v>1.3989193348138562</v>
      </c>
      <c r="CU1321" s="180">
        <f t="shared" si="2376"/>
        <v>0.29302682427824522</v>
      </c>
      <c r="CV1321" s="180">
        <f t="shared" si="2377"/>
        <v>0.76309497491941802</v>
      </c>
      <c r="CW1321" s="180">
        <f t="shared" si="2378"/>
        <v>0.31280857135128509</v>
      </c>
      <c r="CX1321" s="181">
        <f>INDEX('State Tax Lookup'!$D$7:$Z$91,MATCH(Calculation!$C1321,'State Tax Lookup'!$B$7:$B$91,0),MATCH($H1321,'State Tax Lookup'!$D$6:$Z$6,0))</f>
        <v>0.40134999999999998</v>
      </c>
      <c r="CY1321" s="72">
        <v>0.37</v>
      </c>
      <c r="CZ1321" s="70">
        <f t="shared" si="2380"/>
        <v>21.678743940575188</v>
      </c>
      <c r="DA1321" s="70">
        <v>19.909765876209278</v>
      </c>
      <c r="DB1321" s="69">
        <f t="shared" si="2383"/>
        <v>-1.7174792539362417E-2</v>
      </c>
      <c r="DC1321" s="111">
        <f>VLOOKUP($H1321,RoR!$E:$F,2,FALSE)</f>
        <v>3.6658333333333334E-2</v>
      </c>
      <c r="DD1321" s="216">
        <f>HLOOKUP($H1321,'GDP-PI'!$D$8:$CQ$11,3,FALSE)</f>
        <v>1.0483662879041455E-2</v>
      </c>
      <c r="DE1321" s="111">
        <f>VLOOKUP(H1321,'HW Dx Data'!$E:$F,2,FALSE)</f>
        <v>671.45639385971219</v>
      </c>
      <c r="DF1321" s="72">
        <f t="shared" si="2393"/>
        <v>136.94999999999999</v>
      </c>
      <c r="DG1321" s="69">
        <f t="shared" si="2394"/>
        <v>2.5514417868782811E-2</v>
      </c>
      <c r="DH1321" s="66">
        <f>HLOOKUP(H1321,'GDP-PI'!$8:$9,2,FALSE)</f>
        <v>105.736</v>
      </c>
      <c r="DI1321" s="69">
        <f t="shared" si="2384"/>
        <v>1.0429090367205095E-2</v>
      </c>
    </row>
    <row r="1322" spans="1:113" s="160" customFormat="1" ht="21">
      <c r="A1322" s="160" t="s">
        <v>237</v>
      </c>
      <c r="B1322" s="160" t="s">
        <v>237</v>
      </c>
      <c r="C1322" s="160">
        <v>4008669</v>
      </c>
      <c r="D1322" s="161" t="s">
        <v>192</v>
      </c>
      <c r="E1322" s="161"/>
      <c r="F1322" s="189"/>
      <c r="G1322" s="160" t="s">
        <v>135</v>
      </c>
      <c r="H1322" s="162">
        <v>2017</v>
      </c>
      <c r="I1322" s="163"/>
      <c r="J1322" s="159">
        <f>IFERROR(INDEX('Labor Expenditures'!$F$7:$X$91,MATCH($C1322,'Labor Expenditures'!$D$7:$D$91,0),MATCH($G1322,'Labor Expenditures'!$F$5:$X$5,0)),"NA")</f>
        <v>11834.48054413148</v>
      </c>
      <c r="K1322" s="159">
        <f t="shared" si="2385"/>
        <v>84.261164429558434</v>
      </c>
      <c r="L1322" s="165">
        <f t="shared" si="2391"/>
        <v>-2.7629283093658892E-3</v>
      </c>
      <c r="M1322" s="76">
        <f t="shared" si="2395"/>
        <v>-1.2311239260083821E-5</v>
      </c>
      <c r="N1322" s="62">
        <f t="shared" si="2401"/>
        <v>173.45615476740906</v>
      </c>
      <c r="O1322" s="96">
        <f t="shared" si="2396"/>
        <v>-0.57524057746607615</v>
      </c>
      <c r="P1322" s="96"/>
      <c r="Q1322" s="159">
        <f>IFERROR(INDEX('Non-Labor Expenditures'!$F$7:$AB$91,MATCH($C1322,'Non-Labor Expenditures'!$D$7:$D$91,0),MATCH($G1322,'Non-Labor Expenditures'!$F$5:$AB$5,0)),"NA")</f>
        <v>17138.538203969867</v>
      </c>
      <c r="R1322" s="159">
        <f t="shared" si="2386"/>
        <v>159.05688303560865</v>
      </c>
      <c r="S1322" s="165">
        <f t="shared" si="2397"/>
        <v>3.5951413040545273E-3</v>
      </c>
      <c r="T1322" s="165">
        <f t="shared" si="2398"/>
        <v>1.6019469132799597E-5</v>
      </c>
      <c r="U1322" s="165"/>
      <c r="V1322" s="165"/>
      <c r="W1322" s="159">
        <f t="shared" si="2369"/>
        <v>23787.865799077081</v>
      </c>
      <c r="X1322" s="163"/>
      <c r="Y1322" s="167">
        <v>1265.0250791256299</v>
      </c>
      <c r="Z1322" s="168">
        <v>4.0365297556958231E-2</v>
      </c>
      <c r="AA1322" s="76">
        <f t="shared" si="2387"/>
        <v>1.7986237078378714E-4</v>
      </c>
      <c r="AB1322" s="168"/>
      <c r="AC1322" s="168"/>
      <c r="AD1322" s="163">
        <f t="shared" si="2363"/>
        <v>52760.88454717843</v>
      </c>
      <c r="AE1322" s="168">
        <f t="shared" si="2399"/>
        <v>-7.9918618763811112E-3</v>
      </c>
      <c r="AF1322" s="163"/>
      <c r="AG1322" s="163"/>
      <c r="AH1322" s="163"/>
      <c r="AI1322" s="163"/>
      <c r="AJ1322" s="116">
        <f t="shared" si="2400"/>
        <v>280.46845605223575</v>
      </c>
      <c r="AK1322" s="114">
        <f>+AV1322/$AX$22</f>
        <v>5.0804578901860369E-3</v>
      </c>
      <c r="AL1322" s="115">
        <f t="shared" si="2388"/>
        <v>0.22430405869236644</v>
      </c>
      <c r="AM1322" s="115">
        <f t="shared" si="2389"/>
        <v>0.32483417120584285</v>
      </c>
      <c r="AN1322" s="115">
        <f t="shared" si="2390"/>
        <v>0.45086177010179068</v>
      </c>
      <c r="AO1322" s="115">
        <f t="shared" si="2392"/>
        <v>1.9071585258417102E-2</v>
      </c>
      <c r="AP1322" s="166">
        <f t="shared" si="2403"/>
        <v>125.49258686665476</v>
      </c>
      <c r="AQ1322" s="168">
        <f t="shared" si="2404"/>
        <v>1.9071585258417054E-2</v>
      </c>
      <c r="AR1322" s="169">
        <f>+AD1322/$AF$22</f>
        <v>4.455866342369677E-3</v>
      </c>
      <c r="AS1322" s="169">
        <f t="shared" si="2402"/>
        <v>8.4980434848614246E-5</v>
      </c>
      <c r="AT1322" s="115"/>
      <c r="AU1322" s="115"/>
      <c r="AV1322" s="113">
        <f>IFERROR(INDEX('Total Customers'!$F$7:$AB$91,MATCH($C1322,'Total Customers'!$D$7:$D$91,0),MATCH($G1322,'Total Customers'!$F$5:$AB$5,0)),"NA")</f>
        <v>188117</v>
      </c>
      <c r="AW1322" s="68">
        <f t="shared" si="2347"/>
        <v>9.1423837559191142E-3</v>
      </c>
      <c r="AX1322" s="114"/>
      <c r="AY1322" s="114"/>
      <c r="AZ1322" s="116"/>
      <c r="BA1322" s="116"/>
      <c r="BB1322" s="166"/>
      <c r="BC1322" s="166"/>
      <c r="BD1322" s="166"/>
      <c r="BE1322" s="166"/>
      <c r="BF1322" s="166"/>
      <c r="BG1322" s="166"/>
      <c r="BH1322" s="166"/>
      <c r="BI1322" s="113"/>
      <c r="BJ1322" s="113"/>
      <c r="BK1322" s="113">
        <f>INDEX('Dist. Plant Gas Additions'!$F$7:$AE$91,MATCH($C1322,'Dist. Plant Gas Additions'!$D$7:$D$91,0),MATCH(Calculation!$G1322,'Dist. Plant Gas Additions'!$F$5:$AE$5,0))</f>
        <v>41559</v>
      </c>
      <c r="BL1322" s="113">
        <f>INDEX('Gen. Plant Additions'!$F$7:$AE$91,MATCH($C1322,'Gen. Plant Additions'!$D$7:$D$91,0),MATCH(Calculation!$G1322,'Gen. Plant Additions'!$F$5:$AE$5,0))</f>
        <v>1526</v>
      </c>
      <c r="BM1322" s="231">
        <f t="shared" si="2366"/>
        <v>0.9770659390632106</v>
      </c>
      <c r="BN1322" s="61">
        <f t="shared" si="2405"/>
        <v>1491.0026230104593</v>
      </c>
      <c r="BO1322" s="113">
        <f>INDEX('Dist Plant Depreciation'!$E$7:$AD$94,MATCH($C1322,'Dist Plant Depreciation'!$D$7:$D$94,0),MATCH(Calculation!$G1322,'Dist Plant Depreciation'!$E$5:$AD$5,0))</f>
        <v>237748</v>
      </c>
      <c r="BP1322" s="113">
        <f>INDEX('Gen. Plant Depreciation'!$E$7:$AD$94,MATCH($C1322,'Gen. Plant Depreciation'!$D$7:$D$94,0),MATCH(Calculation!$G1322,'Gen. Plant Depreciation'!$E$5:$AD$5,0))</f>
        <v>5053</v>
      </c>
      <c r="BQ1322" s="113"/>
      <c r="BR1322" s="113"/>
      <c r="BS1322" s="113"/>
      <c r="BT1322" s="113"/>
      <c r="BU1322" s="113"/>
      <c r="BV1322" s="175"/>
      <c r="BW1322" s="113">
        <f>INDEX('Gross Dx Plant'!$E$7:$AD$91,MATCH($C1322,'Gross Dx Plant'!$D$7:$D$91,0),MATCH(Calculation!$G1322,'Gross Dx Plant'!$E$5:$AD$5,0))</f>
        <v>572015</v>
      </c>
      <c r="BX1322" s="113">
        <f>INDEX('Gross Gen Plant'!$E$7:$AD$91,MATCH($C1322,'Gross Gen Plant'!$D$7:$D$91,0),MATCH(Calculation!$G1322,'Gross Gen Plant'!$E$5:$AD$5,0))</f>
        <v>13165</v>
      </c>
      <c r="BY1322" s="113">
        <f t="shared" si="2318"/>
        <v>342379</v>
      </c>
      <c r="BZ1322" s="113"/>
      <c r="CA1322" s="116">
        <v>2017</v>
      </c>
      <c r="CB1322" s="113"/>
      <c r="CC1322" s="113"/>
      <c r="CD1322" s="113"/>
      <c r="CE1322" s="175"/>
      <c r="CF1322" s="113">
        <f t="shared" si="2370"/>
        <v>43085</v>
      </c>
      <c r="CG1322" s="113">
        <f t="shared" si="2371"/>
        <v>60.476237177485203</v>
      </c>
      <c r="CH1322" s="178">
        <v>0.87074829931972786</v>
      </c>
      <c r="CI1322" s="61">
        <f>+CI1303*CH1322+CG1304*CH1321+CG1305*CH1320+CG1306*CH1319+CG1307*CH1318+CG1308*CH1317+CG1309*CH1316+CG1310*CH1315+CG1311*CH1314+CG1312*CH1313+CG1313*CH1312+CG1314*CH1311+CG1315*CH1310+CG1316*CH1309+CG1317*CH1308+CG1318*CH1307+CG1319*CH1306+CG1320*CH1305+CG1321*CH1304+CG1322</f>
        <v>1265.0250791256299</v>
      </c>
      <c r="CJ1322" s="114">
        <f t="shared" si="2372"/>
        <v>4.0365297556958231E-2</v>
      </c>
      <c r="CK1322" s="114"/>
      <c r="CL1322" s="169">
        <f t="shared" si="2373"/>
        <v>8.5844989559717075E-3</v>
      </c>
      <c r="CM1322" s="169">
        <f t="shared" si="2381"/>
        <v>8.4097981058995422E-3</v>
      </c>
      <c r="CN1322" s="114">
        <f>VLOOKUP($H1322,RoR!$E:$F,2,FALSE)</f>
        <v>3.7433333333333339E-2</v>
      </c>
      <c r="CO1322" s="169">
        <v>1.9056896421275615E-2</v>
      </c>
      <c r="CP1322" s="169">
        <f t="shared" si="2379"/>
        <v>1.8376436912057724E-2</v>
      </c>
      <c r="CQ1322" s="169">
        <f t="shared" si="2382"/>
        <v>2.2492143502634083E-2</v>
      </c>
      <c r="CR1322" s="169">
        <v>1.3976271617800498E-2</v>
      </c>
      <c r="CS1322" s="179">
        <f t="shared" si="2374"/>
        <v>0.90330050000000006</v>
      </c>
      <c r="CT1322" s="180">
        <f t="shared" si="2375"/>
        <v>1.3699568463593395</v>
      </c>
      <c r="CU1322" s="180">
        <f t="shared" si="2376"/>
        <v>0.30714603739982199</v>
      </c>
      <c r="CV1322" s="180">
        <f t="shared" si="2377"/>
        <v>0.77007188472689425</v>
      </c>
      <c r="CW1322" s="180">
        <f t="shared" si="2378"/>
        <v>0.32402839633793828</v>
      </c>
      <c r="CX1322" s="181">
        <f>INDEX('State Tax Lookup'!$D$7:$Z$91,MATCH(Calculation!$C1322,'State Tax Lookup'!$B$7:$B$91,0),MATCH($H1322,'State Tax Lookup'!$D$6:$Z$6,0))</f>
        <v>0.26134999999999997</v>
      </c>
      <c r="CY1322" s="72">
        <v>0.37</v>
      </c>
      <c r="CZ1322" s="70">
        <f t="shared" si="2380"/>
        <v>19.578831566362815</v>
      </c>
      <c r="DA1322" s="70">
        <v>18.231812616449311</v>
      </c>
      <c r="DB1322" s="69">
        <f t="shared" si="2383"/>
        <v>-0.10188327810477883</v>
      </c>
      <c r="DC1322" s="111">
        <f>VLOOKUP($H1322,RoR!$E:$F,2,FALSE)</f>
        <v>3.7433333333333339E-2</v>
      </c>
      <c r="DD1322" s="216">
        <f>HLOOKUP($H1322,'GDP-PI'!$D$8:$CQ$11,3,FALSE)</f>
        <v>1.9056896421275615E-2</v>
      </c>
      <c r="DE1322" s="111">
        <f>VLOOKUP(H1322,'HW Dx Data'!$E:$F,2,FALSE)</f>
        <v>712.42858370229726</v>
      </c>
      <c r="DF1322" s="72">
        <f t="shared" si="2393"/>
        <v>140.44999999999999</v>
      </c>
      <c r="DG1322" s="69">
        <f t="shared" si="2394"/>
        <v>2.5235657841165486E-2</v>
      </c>
      <c r="DH1322" s="66">
        <f>HLOOKUP(H1322,'GDP-PI'!$8:$9,2,FALSE)</f>
        <v>107.751</v>
      </c>
      <c r="DI1322" s="69">
        <f t="shared" si="2384"/>
        <v>1.8877588227745139E-2</v>
      </c>
    </row>
    <row r="1323" spans="1:113" s="160" customFormat="1" ht="21">
      <c r="A1323" s="160" t="s">
        <v>237</v>
      </c>
      <c r="B1323" s="160" t="s">
        <v>237</v>
      </c>
      <c r="C1323" s="160">
        <v>4008669</v>
      </c>
      <c r="D1323" s="161" t="s">
        <v>192</v>
      </c>
      <c r="E1323" s="161"/>
      <c r="F1323" s="189"/>
      <c r="G1323" s="160" t="s">
        <v>136</v>
      </c>
      <c r="H1323" s="162">
        <v>2018</v>
      </c>
      <c r="I1323" s="163"/>
      <c r="J1323" s="159">
        <f>IFERROR(INDEX('Labor Expenditures'!$F$7:$X$91,MATCH($C1323,'Labor Expenditures'!$D$7:$D$91,0),MATCH($G1323,'Labor Expenditures'!$F$5:$X$5,0)),"NA")</f>
        <v>12310.585611699657</v>
      </c>
      <c r="K1323" s="159">
        <f t="shared" si="2385"/>
        <v>85.223853317408498</v>
      </c>
      <c r="L1323" s="165">
        <f t="shared" si="2391"/>
        <v>1.1360287228140109E-2</v>
      </c>
      <c r="M1323" s="76">
        <f t="shared" si="2395"/>
        <v>4.9538354146548295E-5</v>
      </c>
      <c r="N1323" s="62">
        <f t="shared" si="2401"/>
        <v>119.28423620929827</v>
      </c>
      <c r="O1323" s="96">
        <f t="shared" si="2396"/>
        <v>-0.3744156725169952</v>
      </c>
      <c r="P1323" s="96"/>
      <c r="Q1323" s="159">
        <f>IFERROR(INDEX('Non-Labor Expenditures'!$F$7:$AB$91,MATCH($C1323,'Non-Labor Expenditures'!$D$7:$D$91,0),MATCH($G1323,'Non-Labor Expenditures'!$F$5:$AB$5,0)),"NA")</f>
        <v>17828.027265969053</v>
      </c>
      <c r="R1323" s="159">
        <f t="shared" si="2386"/>
        <v>161.5999280829667</v>
      </c>
      <c r="S1323" s="165">
        <f t="shared" si="2397"/>
        <v>1.5861807873622992E-2</v>
      </c>
      <c r="T1323" s="165">
        <f t="shared" si="2398"/>
        <v>6.9167956766238281E-5</v>
      </c>
      <c r="U1323" s="165"/>
      <c r="V1323" s="165"/>
      <c r="W1323" s="159">
        <f t="shared" si="2369"/>
        <v>25985.554165414094</v>
      </c>
      <c r="X1323" s="163"/>
      <c r="Y1323" s="167">
        <v>1312.4968814233625</v>
      </c>
      <c r="Z1323" s="168">
        <v>3.6839392043710631E-2</v>
      </c>
      <c r="AA1323" s="76">
        <f t="shared" si="2387"/>
        <v>1.6064407641774487E-4</v>
      </c>
      <c r="AB1323" s="168"/>
      <c r="AC1323" s="168"/>
      <c r="AD1323" s="163">
        <f t="shared" si="2363"/>
        <v>56124.167043082809</v>
      </c>
      <c r="AE1323" s="168">
        <f t="shared" si="2399"/>
        <v>6.179641165191381E-2</v>
      </c>
      <c r="AF1323" s="163"/>
      <c r="AG1323" s="163"/>
      <c r="AH1323" s="163"/>
      <c r="AI1323" s="163"/>
      <c r="AJ1323" s="116">
        <f t="shared" si="2400"/>
        <v>295.78109525258532</v>
      </c>
      <c r="AK1323" s="114">
        <f>+AV1323/$AX$23</f>
        <v>5.0796531286705542E-3</v>
      </c>
      <c r="AL1323" s="115">
        <f t="shared" si="2388"/>
        <v>0.21934553794356779</v>
      </c>
      <c r="AM1323" s="115">
        <f t="shared" si="2389"/>
        <v>0.31765330703765554</v>
      </c>
      <c r="AN1323" s="115">
        <f t="shared" si="2390"/>
        <v>0.46300115501877659</v>
      </c>
      <c r="AO1323" s="115">
        <f t="shared" si="2392"/>
        <v>2.4448577180134184E-2</v>
      </c>
      <c r="AP1323" s="166">
        <f t="shared" si="2403"/>
        <v>128.59851511738526</v>
      </c>
      <c r="AQ1323" s="168">
        <f t="shared" si="2404"/>
        <v>2.4448577180134108E-2</v>
      </c>
      <c r="AR1323" s="169">
        <f>+AD1323/$AF$23</f>
        <v>4.3606603558261131E-3</v>
      </c>
      <c r="AS1323" s="169">
        <f t="shared" si="2402"/>
        <v>1.0661194126576578E-4</v>
      </c>
      <c r="AT1323" s="115"/>
      <c r="AU1323" s="115"/>
      <c r="AV1323" s="113">
        <f>IFERROR(INDEX('Total Customers'!$F$7:$AB$91,MATCH($C1323,'Total Customers'!$D$7:$D$91,0),MATCH($G1323,'Total Customers'!$F$5:$AB$5,0)),"NA")</f>
        <v>189749</v>
      </c>
      <c r="AW1323" s="68">
        <f t="shared" si="2347"/>
        <v>8.6380364876389622E-3</v>
      </c>
      <c r="AX1323" s="114"/>
      <c r="AY1323" s="114"/>
      <c r="AZ1323" s="116"/>
      <c r="BA1323" s="116"/>
      <c r="BB1323" s="166"/>
      <c r="BC1323" s="166"/>
      <c r="BD1323" s="166"/>
      <c r="BE1323" s="166"/>
      <c r="BF1323" s="166"/>
      <c r="BG1323" s="166"/>
      <c r="BH1323" s="166"/>
      <c r="BI1323" s="113"/>
      <c r="BJ1323" s="113"/>
      <c r="BK1323" s="113">
        <f>INDEX('Dist. Plant Gas Additions'!$F$7:$AE$91,MATCH($C1323,'Dist. Plant Gas Additions'!$D$7:$D$91,0),MATCH(Calculation!$G1323,'Dist. Plant Gas Additions'!$F$5:$AE$5,0))</f>
        <v>42753</v>
      </c>
      <c r="BL1323" s="113">
        <f>INDEX('Gen. Plant Additions'!$F$7:$AE$91,MATCH($C1323,'Gen. Plant Additions'!$D$7:$D$91,0),MATCH(Calculation!$G1323,'Gen. Plant Additions'!$F$5:$AE$5,0))</f>
        <v>1505</v>
      </c>
      <c r="BM1323" s="231">
        <f t="shared" si="2366"/>
        <v>0.97750264875764725</v>
      </c>
      <c r="BN1323" s="61">
        <f t="shared" si="2405"/>
        <v>1471.141486380259</v>
      </c>
      <c r="BO1323" s="113">
        <f>INDEX('Dist Plant Depreciation'!$E$7:$AD$94,MATCH($C1323,'Dist Plant Depreciation'!$D$7:$D$94,0),MATCH(Calculation!$G1323,'Dist Plant Depreciation'!$E$5:$AD$5,0))</f>
        <v>243533</v>
      </c>
      <c r="BP1323" s="113">
        <f>INDEX('Gen. Plant Depreciation'!$E$7:$AD$94,MATCH($C1323,'Gen. Plant Depreciation'!$D$7:$D$94,0),MATCH(Calculation!$G1323,'Gen. Plant Depreciation'!$E$5:$AD$5,0))</f>
        <v>3366</v>
      </c>
      <c r="BQ1323" s="113"/>
      <c r="BR1323" s="113"/>
      <c r="BS1323" s="113"/>
      <c r="BT1323" s="113"/>
      <c r="BU1323" s="113"/>
      <c r="BV1323" s="175"/>
      <c r="BW1323" s="113">
        <f>INDEX('Gross Dx Plant'!$E$7:$AD$91,MATCH($C1323,'Gross Dx Plant'!$D$7:$D$91,0),MATCH(Calculation!$G1323,'Gross Dx Plant'!$E$5:$AD$5,0))</f>
        <v>608209</v>
      </c>
      <c r="BX1323" s="113">
        <f>INDEX('Gross Gen Plant'!$E$7:$AD$91,MATCH($C1323,'Gross Gen Plant'!$D$7:$D$91,0),MATCH(Calculation!$G1323,'Gross Gen Plant'!$E$5:$AD$5,0))</f>
        <v>12478</v>
      </c>
      <c r="BY1323" s="113">
        <f t="shared" si="2318"/>
        <v>373788</v>
      </c>
      <c r="BZ1323" s="113"/>
      <c r="CA1323" s="116">
        <v>2018</v>
      </c>
      <c r="CB1323" s="113"/>
      <c r="CC1323" s="113"/>
      <c r="CD1323" s="113"/>
      <c r="CE1323" s="175"/>
      <c r="CF1323" s="113">
        <f t="shared" si="2370"/>
        <v>44258</v>
      </c>
      <c r="CG1323" s="113">
        <f t="shared" si="2371"/>
        <v>58.609254667983713</v>
      </c>
      <c r="CH1323" s="178">
        <v>0.86111111111111116</v>
      </c>
      <c r="CI1323" s="61">
        <f>+CI1303*CH1323++CG1304*CH1322+CG1305*CH1321+CG1306*CH1320+CG1307*CH1319+CG1308*CH1318+CG1309*CH1317+CG1310*CH1316+CG1311*CH1315+CG1312*CH1314+CG1313*CH1313+CG1314*CH1312+CG1315*CH1311+CG1316*CH1310+CG1317*CH1309+CG1318*CH1308+CG1319*CH1307+CG1320*CH1306+CG1321*CH1305+CG1322*CH1304+CG1323</f>
        <v>1312.4968814233625</v>
      </c>
      <c r="CJ1323" s="114">
        <f t="shared" si="2372"/>
        <v>3.6839392043710631E-2</v>
      </c>
      <c r="CK1323" s="114"/>
      <c r="CL1323" s="169">
        <f t="shared" si="2373"/>
        <v>8.8041356286383821E-3</v>
      </c>
      <c r="CM1323" s="169">
        <f t="shared" si="2381"/>
        <v>8.6072186532570108E-3</v>
      </c>
      <c r="CN1323" s="114">
        <f>VLOOKUP($H1323,RoR!$E:$F,2,FALSE)</f>
        <v>3.9299999999999995E-2</v>
      </c>
      <c r="CO1323" s="169">
        <v>2.386056741932796E-2</v>
      </c>
      <c r="CP1323" s="169">
        <f t="shared" si="2379"/>
        <v>1.5439432580672034E-2</v>
      </c>
      <c r="CQ1323" s="169">
        <f t="shared" si="2382"/>
        <v>2.2294722955276614E-2</v>
      </c>
      <c r="CR1323" s="169">
        <v>3.8270792163076606E-2</v>
      </c>
      <c r="CS1323" s="179">
        <f t="shared" si="2374"/>
        <v>0.90330050000000006</v>
      </c>
      <c r="CT1323" s="180">
        <f t="shared" si="2375"/>
        <v>1.3048868010700074</v>
      </c>
      <c r="CU1323" s="180">
        <f t="shared" si="2376"/>
        <v>0.33886768447837151</v>
      </c>
      <c r="CV1323" s="180">
        <f t="shared" si="2377"/>
        <v>0.78602506232557801</v>
      </c>
      <c r="CW1323" s="180">
        <f t="shared" si="2378"/>
        <v>0.34756768162358759</v>
      </c>
      <c r="CX1323" s="181">
        <f>INDEX('State Tax Lookup'!$D$7:$Z$91,MATCH(Calculation!$C1323,'State Tax Lookup'!$B$7:$B$91,0),MATCH($H1323,'State Tax Lookup'!$D$6:$Z$6,0))</f>
        <v>0.26134999999999997</v>
      </c>
      <c r="CY1323" s="72">
        <v>0.37</v>
      </c>
      <c r="CZ1323" s="70">
        <f t="shared" si="2380"/>
        <v>20.541532807693422</v>
      </c>
      <c r="DA1323" s="70">
        <v>19.050901628905343</v>
      </c>
      <c r="DB1323" s="69">
        <f t="shared" si="2383"/>
        <v>4.7999866744379484E-2</v>
      </c>
      <c r="DC1323" s="111">
        <f>VLOOKUP($H1323,RoR!$E:$F,2,FALSE)</f>
        <v>3.9299999999999995E-2</v>
      </c>
      <c r="DD1323" s="216">
        <f>HLOOKUP($H1323,'GDP-PI'!$D$8:$CQ$11,3,FALSE)</f>
        <v>2.386056741932796E-2</v>
      </c>
      <c r="DE1323" s="111">
        <f>VLOOKUP(H1323,'HW Dx Data'!$E:$F,2,FALSE)</f>
        <v>755.13671434174842</v>
      </c>
      <c r="DF1323" s="72">
        <f t="shared" si="2393"/>
        <v>144.44999999999999</v>
      </c>
      <c r="DG1323" s="69">
        <f t="shared" si="2394"/>
        <v>2.80818733619915E-2</v>
      </c>
      <c r="DH1323" s="66">
        <f>HLOOKUP(H1323,'GDP-PI'!$8:$9,2,FALSE)</f>
        <v>110.322</v>
      </c>
      <c r="DI1323" s="69">
        <f t="shared" si="2384"/>
        <v>2.3580352716508712E-2</v>
      </c>
    </row>
    <row r="1324" spans="1:113" s="160" customFormat="1" ht="21">
      <c r="A1324" s="160" t="s">
        <v>237</v>
      </c>
      <c r="B1324" s="160" t="s">
        <v>237</v>
      </c>
      <c r="C1324" s="160">
        <v>4008669</v>
      </c>
      <c r="D1324" s="161" t="s">
        <v>192</v>
      </c>
      <c r="E1324" s="161"/>
      <c r="F1324" s="189"/>
      <c r="G1324" s="160" t="s">
        <v>140</v>
      </c>
      <c r="H1324" s="162">
        <v>2019</v>
      </c>
      <c r="I1324" s="163"/>
      <c r="J1324" s="159">
        <f>IFERROR(INDEX('Labor Expenditures'!$F$7:$X$91,MATCH($C1324,'Labor Expenditures'!$D$7:$D$91,0),MATCH($G1324,'Labor Expenditures'!$F$5:$X$5,0)),"NA")</f>
        <v>12354.321258063899</v>
      </c>
      <c r="K1324" s="159">
        <f t="shared" si="2385"/>
        <v>82.540980511534315</v>
      </c>
      <c r="L1324" s="165">
        <f t="shared" si="2391"/>
        <v>-3.1986459683036206E-2</v>
      </c>
      <c r="M1324" s="76">
        <f t="shared" si="2395"/>
        <v>-1.3883830290902007E-4</v>
      </c>
      <c r="N1324" s="62">
        <f t="shared" si="2401"/>
        <v>118.22885921646311</v>
      </c>
      <c r="O1324" s="96">
        <f t="shared" si="2396"/>
        <v>-8.8869536805376535E-3</v>
      </c>
      <c r="P1324" s="96"/>
      <c r="Q1324" s="159">
        <f>IFERROR(INDEX('Non-Labor Expenditures'!$F$7:$AB$91,MATCH($C1324,'Non-Labor Expenditures'!$D$7:$D$91,0),MATCH($G1324,'Non-Labor Expenditures'!$F$5:$AB$5,0)),"NA")</f>
        <v>17891.364650596435</v>
      </c>
      <c r="R1324" s="159">
        <f t="shared" si="2386"/>
        <v>159.29205159098663</v>
      </c>
      <c r="S1324" s="165">
        <f t="shared" si="2397"/>
        <v>-1.4384381235266105E-2</v>
      </c>
      <c r="T1324" s="165">
        <f t="shared" si="2398"/>
        <v>-6.2435890026299129E-5</v>
      </c>
      <c r="U1324" s="165"/>
      <c r="V1324" s="165"/>
      <c r="W1324" s="159">
        <f t="shared" si="2369"/>
        <v>27350.344244144908</v>
      </c>
      <c r="X1324" s="163"/>
      <c r="Y1324" s="167">
        <v>1357.501293101031</v>
      </c>
      <c r="Z1324" s="168">
        <v>3.3714385963683494E-2</v>
      </c>
      <c r="AA1324" s="76">
        <f t="shared" si="2387"/>
        <v>1.4633842498361761E-4</v>
      </c>
      <c r="AB1324" s="168"/>
      <c r="AC1324" s="168"/>
      <c r="AD1324" s="163">
        <f t="shared" si="2363"/>
        <v>57596.030152805244</v>
      </c>
      <c r="AE1324" s="168">
        <f t="shared" si="2399"/>
        <v>2.588713951935848E-2</v>
      </c>
      <c r="AF1324" s="163"/>
      <c r="AG1324" s="163"/>
      <c r="AH1324" s="163"/>
      <c r="AI1324" s="163"/>
      <c r="AJ1324" s="116">
        <f t="shared" si="2400"/>
        <v>300.42996866552562</v>
      </c>
      <c r="AK1324" s="114">
        <f>+AV1324/$AX$24</f>
        <v>5.0898771706588989E-3</v>
      </c>
      <c r="AL1324" s="115">
        <f t="shared" si="2388"/>
        <v>0.21449952757659246</v>
      </c>
      <c r="AM1324" s="115">
        <f t="shared" si="2389"/>
        <v>0.3106353789163892</v>
      </c>
      <c r="AN1324" s="115">
        <f t="shared" si="2390"/>
        <v>0.47486509350701828</v>
      </c>
      <c r="AO1324" s="115">
        <f t="shared" si="2392"/>
        <v>4.3524365017991954E-3</v>
      </c>
      <c r="AP1324" s="166">
        <f t="shared" si="2403"/>
        <v>129.15945182383959</v>
      </c>
      <c r="AQ1324" s="168">
        <f t="shared" si="2404"/>
        <v>4.3524365017991052E-3</v>
      </c>
      <c r="AR1324" s="169">
        <f>+AD1324/$AF$24</f>
        <v>4.340533597178683E-3</v>
      </c>
      <c r="AS1324" s="169">
        <f t="shared" si="2402"/>
        <v>1.8891896865645873E-5</v>
      </c>
      <c r="AT1324" s="115"/>
      <c r="AU1324" s="115"/>
      <c r="AV1324" s="113">
        <f>IFERROR(INDEX('Total Customers'!$F$7:$AB$91,MATCH($C1324,'Total Customers'!$D$7:$D$91,0),MATCH($G1324,'Total Customers'!$F$5:$AB$5,0)),"NA")</f>
        <v>191712</v>
      </c>
      <c r="AW1324" s="68">
        <f t="shared" si="2347"/>
        <v>1.0292099731888655E-2</v>
      </c>
      <c r="AX1324" s="114"/>
      <c r="AY1324" s="114"/>
      <c r="AZ1324" s="116"/>
      <c r="BA1324" s="116"/>
      <c r="BB1324" s="166"/>
      <c r="BC1324" s="166"/>
      <c r="BD1324" s="166"/>
      <c r="BE1324" s="166"/>
      <c r="BF1324" s="166"/>
      <c r="BG1324" s="166"/>
      <c r="BH1324" s="166"/>
      <c r="BI1324" s="113"/>
      <c r="BJ1324" s="113"/>
      <c r="BK1324" s="113">
        <f>INDEX('Dist. Plant Gas Additions'!$F$7:$AE$91,MATCH($C1324,'Dist. Plant Gas Additions'!$D$7:$D$91,0),MATCH(Calculation!$G1324,'Dist. Plant Gas Additions'!$F$5:$AE$5,0))</f>
        <v>40681</v>
      </c>
      <c r="BL1324" s="113">
        <f>INDEX('Gen. Plant Additions'!$F$7:$AE$91,MATCH($C1324,'Gen. Plant Additions'!$D$7:$D$91,0),MATCH(Calculation!$G1324,'Gen. Plant Additions'!$F$5:$AE$5,0))</f>
        <v>3313</v>
      </c>
      <c r="BM1324" s="231">
        <f t="shared" si="2366"/>
        <v>0.97989646955711973</v>
      </c>
      <c r="BN1324" s="113"/>
      <c r="BO1324" s="113">
        <f>INDEX('Dist Plant Depreciation'!$E$7:$AD$94,MATCH($C1324,'Dist Plant Depreciation'!$D$7:$D$94,0),MATCH(Calculation!$G1324,'Dist Plant Depreciation'!$E$5:$AD$5,0))</f>
        <v>250414</v>
      </c>
      <c r="BP1324" s="113">
        <f>INDEX('Gen. Plant Depreciation'!$E$7:$AD$94,MATCH($C1324,'Gen. Plant Depreciation'!$D$7:$D$94,0),MATCH(Calculation!$G1324,'Gen. Plant Depreciation'!$E$5:$AD$5,0))</f>
        <v>4349</v>
      </c>
      <c r="BQ1324" s="113"/>
      <c r="BR1324" s="113"/>
      <c r="BS1324" s="113"/>
      <c r="BT1324" s="113"/>
      <c r="BU1324" s="113"/>
      <c r="BV1324" s="175"/>
      <c r="BW1324" s="113">
        <f>INDEX('Gross Dx Plant'!$E$7:$AD$91,MATCH($C1324,'Gross Dx Plant'!$D$7:$D$91,0),MATCH(Calculation!$G1324,'Gross Dx Plant'!$E$5:$AD$5,0))</f>
        <v>642181</v>
      </c>
      <c r="BX1324" s="113">
        <f>INDEX('Gross Gen Plant'!$E$7:$AD$91,MATCH($C1324,'Gross Gen Plant'!$D$7:$D$91,0),MATCH(Calculation!$G1324,'Gross Gen Plant'!$E$5:$AD$5,0))</f>
        <v>15623</v>
      </c>
      <c r="BY1324" s="113">
        <f t="shared" si="2318"/>
        <v>403041</v>
      </c>
      <c r="BZ1324" s="113"/>
      <c r="CA1324" s="116">
        <v>2019</v>
      </c>
      <c r="CB1324" s="113"/>
      <c r="CC1324" s="113"/>
      <c r="CD1324" s="113"/>
      <c r="CE1324" s="175"/>
      <c r="CF1324" s="113">
        <f t="shared" si="2370"/>
        <v>43994</v>
      </c>
      <c r="CG1324" s="113">
        <f t="shared" si="2371"/>
        <v>56.873645743913158</v>
      </c>
      <c r="CH1324" s="178">
        <v>0.85106382978723405</v>
      </c>
      <c r="CI1324" s="61">
        <f>CI1303*CH1324+CG1304*CH1323+CG1305*CH1322+CG1306*CH1321+CG1307*CH1320+CG1308*CH1319+CG1309*CH1318+CG1310*CH1317+CG1311*CH1316+CG1312*CH1315+CG1313*CH1314+CG1314*CH1313+CG1315*CH1312+CG1316*CH1311+CG1317*CH1310+CG1318*CH1309+CG1319*CH1308+CG1320*CH1307+CG1321*CH1306+CG1322*CH1305+CG1323*CH1304+CG1324</f>
        <v>1357.501293101031</v>
      </c>
      <c r="CJ1324" s="114">
        <f t="shared" si="2372"/>
        <v>3.3714385963683494E-2</v>
      </c>
      <c r="CK1324" s="114"/>
      <c r="CL1324" s="169">
        <f t="shared" si="2373"/>
        <v>9.0432474425179987E-3</v>
      </c>
      <c r="CM1324" s="169">
        <f t="shared" si="2381"/>
        <v>8.81062734237603E-3</v>
      </c>
      <c r="CN1324" s="114">
        <f>VLOOKUP($H1324,RoR!$E:$F,2,FALSE)</f>
        <v>3.3875000000000009E-2</v>
      </c>
      <c r="CO1324" s="169">
        <v>1.8092492884465461E-2</v>
      </c>
      <c r="CP1324" s="169">
        <f t="shared" si="2379"/>
        <v>1.5782507115534548E-2</v>
      </c>
      <c r="CQ1324" s="169">
        <f t="shared" si="2382"/>
        <v>2.2091314266157597E-2</v>
      </c>
      <c r="CR1324" s="169">
        <v>4.8445665544254078E-2</v>
      </c>
      <c r="CS1324" s="179">
        <f t="shared" si="2374"/>
        <v>0.90330050000000006</v>
      </c>
      <c r="CT1324" s="180">
        <f t="shared" si="2375"/>
        <v>1.513861292459078</v>
      </c>
      <c r="CU1324" s="180">
        <f t="shared" si="2376"/>
        <v>0.23699261992619944</v>
      </c>
      <c r="CV1324" s="180">
        <f t="shared" si="2377"/>
        <v>0.73619765810468829</v>
      </c>
      <c r="CW1324" s="180">
        <f t="shared" si="2378"/>
        <v>0.26412854465362851</v>
      </c>
      <c r="CX1324" s="181">
        <f>INDEX('State Tax Lookup'!$D$7:$Z$91,MATCH(Calculation!$C1324,'State Tax Lookup'!$B$7:$B$91,0),MATCH($H1324,'State Tax Lookup'!$D$6:$Z$6,0))</f>
        <v>0.26134999999999997</v>
      </c>
      <c r="CY1324" s="72">
        <v>0.37</v>
      </c>
      <c r="CZ1324" s="70">
        <f t="shared" si="2380"/>
        <v>20.838407032620374</v>
      </c>
      <c r="DA1324" s="70">
        <v>19.236104090735289</v>
      </c>
      <c r="DB1324" s="69">
        <f t="shared" si="2383"/>
        <v>1.4348948777224819E-2</v>
      </c>
      <c r="DC1324" s="111">
        <f>VLOOKUP($H1324,RoR!$E:$F,2,FALSE)</f>
        <v>3.3875000000000009E-2</v>
      </c>
      <c r="DD1324" s="216">
        <f>HLOOKUP($H1324,'GDP-PI'!$D$8:$CQ$11,3,FALSE)</f>
        <v>1.8092492884465461E-2</v>
      </c>
      <c r="DE1324" s="111">
        <f>VLOOKUP(H1324,'HW Dx Data'!$E:$F,2,FALSE)</f>
        <v>773.53929793938721</v>
      </c>
      <c r="DF1324" s="72">
        <f t="shared" si="2393"/>
        <v>149.67500000000001</v>
      </c>
      <c r="DG1324" s="69">
        <f t="shared" si="2394"/>
        <v>3.5532849899171604E-2</v>
      </c>
      <c r="DH1324" s="66">
        <f>HLOOKUP(H1324,'GDP-PI'!$8:$9,2,FALSE)</f>
        <v>112.318</v>
      </c>
      <c r="DI1324" s="69">
        <f t="shared" si="2384"/>
        <v>1.7930771451401852E-2</v>
      </c>
    </row>
    <row r="1325" spans="1:113" s="160" customFormat="1" ht="21">
      <c r="A1325" s="160" t="s">
        <v>237</v>
      </c>
      <c r="B1325" s="160" t="s">
        <v>237</v>
      </c>
      <c r="C1325" s="160">
        <v>4008669</v>
      </c>
      <c r="D1325" s="160" t="s">
        <v>192</v>
      </c>
      <c r="G1325" s="161" t="s">
        <v>141</v>
      </c>
      <c r="H1325" s="162">
        <v>2020</v>
      </c>
      <c r="I1325" s="163"/>
      <c r="J1325" s="159">
        <f>IFERROR(INDEX('Labor Expenditures'!$F$7:$X$91,MATCH($C1325,'Labor Expenditures'!$D$7:$D$91,0),MATCH($G1325,'Labor Expenditures'!$F$5:$X$5,0)),"NA")</f>
        <v>11908.289974921527</v>
      </c>
      <c r="K1325" s="159">
        <f t="shared" si="2385"/>
        <v>77.755729513036414</v>
      </c>
      <c r="L1325" s="165">
        <f t="shared" si="2391"/>
        <v>-5.9722663652288753E-2</v>
      </c>
      <c r="M1325" s="76">
        <f t="shared" si="2395"/>
        <v>-2.5577608063696367E-4</v>
      </c>
      <c r="N1325" s="62">
        <f t="shared" si="2401"/>
        <v>118.16465064988445</v>
      </c>
      <c r="O1325" s="96">
        <f t="shared" si="2396"/>
        <v>-5.432346107469816E-4</v>
      </c>
      <c r="P1325" s="96"/>
      <c r="Q1325" s="159">
        <f>IFERROR(INDEX('Non-Labor Expenditures'!$F$7:$AB$91,MATCH($C1325,'Non-Labor Expenditures'!$D$7:$D$91,0),MATCH($G1325,'Non-Labor Expenditures'!$F$5:$AB$5,0)),"NA")</f>
        <v>17245.428045453933</v>
      </c>
      <c r="R1325" s="159">
        <f t="shared" si="2386"/>
        <v>151.77761584761828</v>
      </c>
      <c r="S1325" s="165">
        <f t="shared" si="2397"/>
        <v>-4.8322923916313452E-2</v>
      </c>
      <c r="T1325" s="165">
        <f t="shared" si="2398"/>
        <v>-2.069540661513878E-4</v>
      </c>
      <c r="U1325" s="165"/>
      <c r="V1325" s="165"/>
      <c r="W1325" s="159">
        <f t="shared" si="2369"/>
        <v>29420.708617164884</v>
      </c>
      <c r="X1325" s="163"/>
      <c r="Y1325" s="167">
        <v>1426.2808640604492</v>
      </c>
      <c r="Z1325" s="168">
        <v>4.9424536581221153E-2</v>
      </c>
      <c r="AA1325" s="76">
        <f t="shared" si="2387"/>
        <v>2.1167197644840006E-4</v>
      </c>
      <c r="AB1325" s="168"/>
      <c r="AC1325" s="168"/>
      <c r="AD1325" s="163">
        <f t="shared" si="2363"/>
        <v>58574.426637540346</v>
      </c>
      <c r="AE1325" s="168">
        <f t="shared" si="2399"/>
        <v>1.6844551459202592E-2</v>
      </c>
      <c r="AF1325" s="163"/>
      <c r="AG1325" s="163"/>
      <c r="AH1325" s="163"/>
      <c r="AI1325" s="163"/>
      <c r="AJ1325" s="116">
        <f t="shared" si="2400"/>
        <v>301.68277874082759</v>
      </c>
      <c r="AK1325" s="114">
        <f>+AV1325/$AX$25</f>
        <v>5.1184427621838663E-3</v>
      </c>
      <c r="AL1325" s="115">
        <f t="shared" si="2388"/>
        <v>0.20330186155487701</v>
      </c>
      <c r="AM1325" s="115">
        <f t="shared" si="2389"/>
        <v>0.2944190670814239</v>
      </c>
      <c r="AN1325" s="115">
        <f t="shared" si="2390"/>
        <v>0.50227907136369909</v>
      </c>
      <c r="AO1325" s="115">
        <f t="shared" si="2392"/>
        <v>-2.9476571369788547E-3</v>
      </c>
      <c r="AP1325" s="166">
        <f t="shared" si="2403"/>
        <v>128.77929460568683</v>
      </c>
      <c r="AQ1325" s="168">
        <f t="shared" si="2404"/>
        <v>-2.9476571369787185E-3</v>
      </c>
      <c r="AR1325" s="169">
        <f>+AD1325/$AF$25</f>
        <v>4.2827306251127257E-3</v>
      </c>
      <c r="AS1325" s="169">
        <f t="shared" si="2402"/>
        <v>-1.2624021492870854E-5</v>
      </c>
      <c r="AT1325" s="115"/>
      <c r="AU1325" s="115"/>
      <c r="AV1325" s="113">
        <f>IFERROR(INDEX('Total Customers'!$F$7:$AB$91,MATCH($C1325,'Total Customers'!$D$7:$D$91,0),MATCH($G1325,'Total Customers'!$F$5:$AB$5,0)),"NA")</f>
        <v>194159</v>
      </c>
      <c r="AW1325" s="68">
        <f t="shared" si="2347"/>
        <v>1.2683165112138458E-2</v>
      </c>
      <c r="AX1325" s="114"/>
      <c r="AY1325" s="114"/>
      <c r="AZ1325" s="116"/>
      <c r="BA1325" s="116"/>
      <c r="BB1325" s="166"/>
      <c r="BC1325" s="166"/>
      <c r="BD1325" s="166"/>
      <c r="BE1325" s="166"/>
      <c r="BF1325" s="166"/>
      <c r="BG1325" s="166"/>
      <c r="BH1325" s="166"/>
      <c r="BI1325" s="113"/>
      <c r="BJ1325" s="113"/>
      <c r="BK1325" s="113">
        <f>INDEX('Dist. Plant Gas Additions'!$F$7:$AE$91,MATCH($C1325,'Dist. Plant Gas Additions'!$D$7:$D$91,0),MATCH(Calculation!$G1325,'Dist. Plant Gas Additions'!$F$5:$AE$5,0))</f>
        <v>63947</v>
      </c>
      <c r="BL1325" s="113">
        <f>INDEX('Gen. Plant Additions'!$F$7:$AE$91,MATCH($C1325,'Gen. Plant Additions'!$D$7:$D$91,0),MATCH(Calculation!$G1325,'Gen. Plant Additions'!$F$5:$AE$5,0))</f>
        <v>2244</v>
      </c>
      <c r="BM1325" s="231">
        <f t="shared" si="2366"/>
        <v>0.97624976436750155</v>
      </c>
      <c r="BN1325" s="113"/>
      <c r="BO1325" s="113">
        <f>INDEX('Dist Plant Depreciation'!$E$7:$AD$94,MATCH($C1325,'Dist Plant Depreciation'!$D$7:$D$94,0),MATCH(Calculation!$G1325,'Dist Plant Depreciation'!$E$5:$AD$5,0))</f>
        <v>256143</v>
      </c>
      <c r="BP1325" s="113">
        <f>INDEX('Gen. Plant Depreciation'!$E$7:$AD$94,MATCH($C1325,'Gen. Plant Depreciation'!$D$7:$D$94,0),MATCH(Calculation!$G1325,'Gen. Plant Depreciation'!$E$5:$AD$5,0))</f>
        <v>4931</v>
      </c>
      <c r="BQ1325" s="113"/>
      <c r="BR1325" s="113"/>
      <c r="BS1325" s="113"/>
      <c r="BT1325" s="113"/>
      <c r="BU1325" s="113"/>
      <c r="BV1325" s="175"/>
      <c r="BW1325" s="113">
        <f>INDEX('Gross Dx Plant'!$E$7:$AD$91,MATCH($C1325,'Gross Dx Plant'!$D$7:$D$91,0),MATCH(Calculation!$G1325,'Gross Dx Plant'!$E$5:$AD$5,0))</f>
        <v>696859</v>
      </c>
      <c r="BX1325" s="113">
        <f>INDEX('Gross Gen Plant'!$E$7:$AD$91,MATCH($C1325,'Gross Gen Plant'!$D$7:$D$91,0),MATCH(Calculation!$G1325,'Gross Gen Plant'!$E$5:$AD$5,0))</f>
        <v>17428</v>
      </c>
      <c r="BY1325" s="113">
        <f t="shared" si="2318"/>
        <v>453213</v>
      </c>
      <c r="BZ1325" s="113"/>
      <c r="CA1325" s="116">
        <v>2020</v>
      </c>
      <c r="CB1325" s="113"/>
      <c r="CC1325" s="113"/>
      <c r="CD1325" s="113"/>
      <c r="CE1325" s="175"/>
      <c r="CF1325" s="113">
        <f t="shared" si="2370"/>
        <v>66191</v>
      </c>
      <c r="CG1325" s="113">
        <f t="shared" si="2371"/>
        <v>81.407717290546131</v>
      </c>
      <c r="CH1325" s="178">
        <v>0.84057971014492749</v>
      </c>
      <c r="CI1325" s="61">
        <f>CI1303*CH1325+CG1304*CH1324+CG1305*CH1323+CG1306*CH1322+CG1307*CH1321+CG1308*CH1320+CG1309*CH1319+CG1310*CH1318+CG1311*CH1317+CG1312*CH1316+CG1313*CH1315+CG1314*CH1314+CG1315*CH1313+CG1316*CH1312+CG1317*CH1311+CG1318*CH1310+CG1319*CH1309+CG1320*CH1308+CG1321*CH1307+CG1322*CH1306+CG1323*CH1305+CG1324*CH1304+CG1325</f>
        <v>1426.2808640604492</v>
      </c>
      <c r="CJ1325" s="114">
        <f t="shared" si="2372"/>
        <v>4.9424536581221153E-2</v>
      </c>
      <c r="CK1325" s="114"/>
      <c r="CL1325" s="169">
        <f t="shared" si="2373"/>
        <v>9.3024930401949448E-3</v>
      </c>
      <c r="CM1325" s="169">
        <f t="shared" si="2381"/>
        <v>9.0499587037837764E-3</v>
      </c>
      <c r="CN1325" s="114">
        <f>VLOOKUP($H1325,RoR!$E:$F,2,FALSE)</f>
        <v>2.4766666666666666E-2</v>
      </c>
      <c r="CO1325" s="169">
        <v>1.1618796630994188E-2</v>
      </c>
      <c r="CP1325" s="169">
        <f t="shared" si="2379"/>
        <v>1.3147870035672478E-2</v>
      </c>
      <c r="CQ1325" s="169">
        <f t="shared" si="2382"/>
        <v>2.185198290474985E-2</v>
      </c>
      <c r="CR1325" s="169">
        <v>4.5144642961987357E-2</v>
      </c>
      <c r="CS1325" s="179">
        <f t="shared" si="2374"/>
        <v>0.90330050000000006</v>
      </c>
      <c r="CT1325" s="180">
        <f t="shared" si="2375"/>
        <v>2.0706077233668081</v>
      </c>
      <c r="CU1325" s="180">
        <f t="shared" si="2376"/>
        <v>-3.4421265141318998E-2</v>
      </c>
      <c r="CV1325" s="180">
        <f t="shared" si="2377"/>
        <v>0.62416226176410472</v>
      </c>
      <c r="CW1325" s="180">
        <f t="shared" si="2378"/>
        <v>-4.4485877841158712E-2</v>
      </c>
      <c r="CX1325" s="181">
        <f>INDEX('State Tax Lookup'!$D$7:$Z$91,MATCH(Calculation!$C1325,'State Tax Lookup'!$B$7:$B$91,0),MATCH($H1325,'State Tax Lookup'!$D$6:$Z$6,0))</f>
        <v>0.26134999999999997</v>
      </c>
      <c r="CY1325" s="72">
        <v>0.37</v>
      </c>
      <c r="CZ1325" s="70">
        <f t="shared" si="2380"/>
        <v>21.672692885586276</v>
      </c>
      <c r="DA1325" s="70">
        <v>19.952659173050833</v>
      </c>
      <c r="DB1325" s="69">
        <f t="shared" si="2383"/>
        <v>3.9255299747004667E-2</v>
      </c>
      <c r="DC1325" s="111">
        <f>VLOOKUP($H1325,RoR!$E:$F,2,FALSE)</f>
        <v>2.4766666666666666E-2</v>
      </c>
      <c r="DD1325" s="216">
        <f>HLOOKUP($H1325,'GDP-PI'!$D$8:$CQ$11,3,FALSE)</f>
        <v>1.1618796630994188E-2</v>
      </c>
      <c r="DE1325" s="111">
        <f>VLOOKUP(H1325,'HW Dx Data'!$E:$F,2,FALSE)</f>
        <v>813.080162458833</v>
      </c>
      <c r="DF1325" s="72">
        <f t="shared" si="2393"/>
        <v>153.15</v>
      </c>
      <c r="DG1325" s="69">
        <f t="shared" si="2394"/>
        <v>2.2951556467368479E-2</v>
      </c>
      <c r="DH1325" s="66">
        <f>HLOOKUP(H1325,'GDP-PI'!$8:$9,2,FALSE)</f>
        <v>113.623</v>
      </c>
      <c r="DI1325" s="69">
        <f t="shared" si="2384"/>
        <v>1.1551816731392881E-2</v>
      </c>
    </row>
    <row r="1326" spans="1:113" s="160" customFormat="1" ht="21">
      <c r="A1326" s="160" t="s">
        <v>237</v>
      </c>
      <c r="B1326" s="160" t="s">
        <v>237</v>
      </c>
      <c r="C1326" s="160">
        <v>4008669</v>
      </c>
      <c r="D1326" s="160" t="s">
        <v>192</v>
      </c>
      <c r="G1326" s="161" t="s">
        <v>142</v>
      </c>
      <c r="H1326" s="162">
        <v>2021</v>
      </c>
      <c r="I1326" s="163"/>
      <c r="J1326" s="159">
        <v>37083.103177765493</v>
      </c>
      <c r="K1326" s="159">
        <f t="shared" si="2385"/>
        <v>235.82259572505879</v>
      </c>
      <c r="L1326" s="164">
        <f t="shared" si="2391"/>
        <v>1.1095075694880299</v>
      </c>
      <c r="M1326" s="76">
        <f t="shared" si="2395"/>
        <v>6.8852467055252635E-3</v>
      </c>
      <c r="N1326" s="166">
        <f>+N1325*EXP(O1326)</f>
        <v>119.13857867638254</v>
      </c>
      <c r="O1326" s="114">
        <f t="shared" si="2396"/>
        <v>8.2083459008524748E-3</v>
      </c>
      <c r="P1326" s="114"/>
      <c r="Q1326" s="159">
        <v>17123.186362329376</v>
      </c>
      <c r="R1326" s="159">
        <f t="shared" si="2386"/>
        <v>144.51165804987235</v>
      </c>
      <c r="S1326" s="165">
        <f t="shared" si="2397"/>
        <v>-4.905621306019229E-2</v>
      </c>
      <c r="T1326" s="165">
        <f t="shared" si="2398"/>
        <v>-3.0442706174063503E-4</v>
      </c>
      <c r="U1326" s="165"/>
      <c r="V1326" s="165"/>
      <c r="W1326" s="159">
        <f t="shared" si="2369"/>
        <v>40879.324901976768</v>
      </c>
      <c r="X1326" s="163"/>
      <c r="Y1326" s="167">
        <v>1478.3976897708333</v>
      </c>
      <c r="Z1326" s="168"/>
      <c r="AA1326" s="76">
        <f t="shared" si="2387"/>
        <v>0</v>
      </c>
      <c r="AB1326" s="168"/>
      <c r="AC1326" s="168"/>
      <c r="AD1326" s="163">
        <f t="shared" si="2363"/>
        <v>95085.614442071645</v>
      </c>
      <c r="AE1326" s="168">
        <f t="shared" si="2399"/>
        <v>0.48447949458517769</v>
      </c>
      <c r="AF1326" s="113"/>
      <c r="AG1326" s="114"/>
      <c r="AH1326" s="114"/>
      <c r="AI1326" s="114"/>
      <c r="AJ1326" s="116">
        <f t="shared" si="2400"/>
        <v>484.53243669587368</v>
      </c>
      <c r="AK1326" s="114">
        <f>+AV1326/$AX$26</f>
        <v>5.0831632163087356E-3</v>
      </c>
      <c r="AL1326" s="115">
        <f t="shared" si="2388"/>
        <v>0.3899969874029407</v>
      </c>
      <c r="AM1326" s="115">
        <f t="shared" si="2389"/>
        <v>0.18008177643697321</v>
      </c>
      <c r="AN1326" s="115">
        <f t="shared" si="2390"/>
        <v>0.42992123616008598</v>
      </c>
      <c r="AO1326" s="115">
        <f t="shared" si="2392"/>
        <v>0.31749617470517727</v>
      </c>
      <c r="AP1326" s="166">
        <f t="shared" si="2403"/>
        <v>176.90205525736809</v>
      </c>
      <c r="AQ1326" s="168">
        <f t="shared" si="2404"/>
        <v>0.31749617470517733</v>
      </c>
      <c r="AR1326" s="169">
        <f>+AD1326/$AF$26</f>
        <v>6.2056779916358617E-3</v>
      </c>
      <c r="AS1326" s="169">
        <f t="shared" si="2402"/>
        <v>1.9702790237964935E-3</v>
      </c>
      <c r="AT1326" s="115"/>
      <c r="AU1326" s="115"/>
      <c r="AV1326" s="113">
        <f>INDEX('Total Customers'!$E$7:$E$91,MATCH(Calculation!$C1326,'Total Customers'!$D$7:$D$91,0))</f>
        <v>196242</v>
      </c>
      <c r="AW1326" s="68">
        <f t="shared" si="2347"/>
        <v>1.0671180486766794E-2</v>
      </c>
      <c r="AX1326" s="113"/>
      <c r="AY1326" s="113"/>
      <c r="AZ1326" s="116"/>
      <c r="BA1326" s="116"/>
      <c r="BB1326" s="166"/>
      <c r="BC1326" s="166"/>
      <c r="BD1326" s="166"/>
      <c r="BE1326" s="166"/>
      <c r="BF1326" s="166"/>
      <c r="BG1326" s="166"/>
      <c r="BH1326" s="166"/>
      <c r="BI1326" s="113"/>
      <c r="BJ1326" s="113"/>
      <c r="BK1326" s="113">
        <f>INDEX('Dist. Plant Gas Additions'!$E$7:$AE$91,MATCH($C1326,'Dist. Plant Gas Additions'!$D$7:$D$91,0),MATCH(Calculation!$G1326,'Dist. Plant Gas Additions'!$E$5:$AE$5,0))</f>
        <v>44814</v>
      </c>
      <c r="BL1326" s="113">
        <f>INDEX('Gen. Plant Additions'!$E$7:$AE$91,MATCH($C1326,'Gen. Plant Additions'!$D$7:$D$91,0),MATCH(Calculation!$G1326,'Gen. Plant Additions'!$E$5:$AE$5,0))</f>
        <v>2165</v>
      </c>
      <c r="BM1326" s="231">
        <f t="shared" si="2366"/>
        <v>0.9756008439184809</v>
      </c>
      <c r="BN1326" s="113"/>
      <c r="BO1326" s="113"/>
      <c r="BP1326" s="113"/>
      <c r="BQ1326" s="175"/>
      <c r="BR1326" s="175"/>
      <c r="BS1326" s="170"/>
      <c r="BT1326" s="176"/>
      <c r="BU1326" s="177"/>
      <c r="BV1326" s="177"/>
      <c r="BW1326" s="113"/>
      <c r="BX1326" s="113"/>
      <c r="BY1326" s="113"/>
      <c r="BZ1326" s="113"/>
      <c r="CA1326" s="116">
        <v>2021</v>
      </c>
      <c r="CB1326" s="113"/>
      <c r="CC1326" s="113"/>
      <c r="CD1326" s="113"/>
      <c r="CE1326" s="175"/>
      <c r="CF1326" s="113">
        <f t="shared" si="2370"/>
        <v>46979</v>
      </c>
      <c r="CG1326" s="113">
        <f t="shared" si="2371"/>
        <v>50.351411717771008</v>
      </c>
      <c r="CH1326" s="178">
        <f>+(51-23)/(51-23*0.75)</f>
        <v>0.82962962962962961</v>
      </c>
      <c r="CI1326" s="113">
        <f>CI1303*CH1326+CG1304*CH1325+CG1305*CH1324+CG1306*CH1323+CG1307*CH1322+CG1308*CH1321+CG1309*CH1320+CG1310*CH1319+CG1311*CH1318+CG1312*CH1317+CG1313*CH1316+CG1314*CH1315+CG1315*CH1314+CG1316*CH1313+CG1317*CH1312+CG1308*CH1311+CG1319*CH1310+CG1320*CH1309+CG1321*CH1308+CG1322*CH1307+CG1323*CH1306+CG1324*CH1305+CG1326+CG1325*CH1304</f>
        <v>1478.3976897708333</v>
      </c>
      <c r="CJ1326" s="114"/>
      <c r="CK1326" s="113"/>
      <c r="CL1326" s="169">
        <f t="shared" si="2373"/>
        <v>-1.237774436366736E-3</v>
      </c>
      <c r="CM1326" s="169">
        <f t="shared" si="2381"/>
        <v>5.7026553487820692E-3</v>
      </c>
      <c r="CN1326" s="114">
        <f>VLOOKUP($H1326,RoR!$E:$F,2,FALSE)</f>
        <v>2.7033333333333336E-2</v>
      </c>
      <c r="CO1326" s="169"/>
      <c r="CP1326" s="169"/>
      <c r="CQ1326" s="169">
        <f t="shared" si="2382"/>
        <v>2.5199286259751555E-2</v>
      </c>
      <c r="CR1326" s="169">
        <v>7.433422950153494E-2</v>
      </c>
      <c r="CS1326" s="179">
        <f t="shared" si="2374"/>
        <v>0.90330050000000006</v>
      </c>
      <c r="CT1326" s="180">
        <f t="shared" si="2375"/>
        <v>1.8969932656739068</v>
      </c>
      <c r="CU1326" s="180">
        <f t="shared" si="2376"/>
        <v>5.0215782983970621E-2</v>
      </c>
      <c r="CV1326" s="180">
        <f t="shared" si="2377"/>
        <v>0.655952481704143</v>
      </c>
      <c r="CW1326" s="180">
        <f t="shared" si="2378"/>
        <v>6.2485378865697057E-2</v>
      </c>
      <c r="CX1326" s="181">
        <f>CX1325</f>
        <v>0.26134999999999997</v>
      </c>
      <c r="CY1326" s="72">
        <v>0.37</v>
      </c>
      <c r="CZ1326" s="182">
        <f t="shared" si="2380"/>
        <v>28.661483114621809</v>
      </c>
      <c r="DA1326" s="182"/>
      <c r="DB1326" s="169">
        <f>LN(CZ1327/CZ1325)</f>
        <v>0.22012930153271665</v>
      </c>
      <c r="DC1326" s="181">
        <f>VLOOKUP($H1326,RoR!$E:$F,2,FALSE)</f>
        <v>2.7033333333333336E-2</v>
      </c>
      <c r="DD1326" s="183">
        <f>HLOOKUP($H1326,'GDP-PI'!$D$8:$CR$11,3,FALSE)</f>
        <v>4.2834637353352578E-2</v>
      </c>
      <c r="DE1326" s="181">
        <f>VLOOKUP(H1326,'HW Dx Data'!$E:$F,2,FALSE)</f>
        <v>933.02249921662576</v>
      </c>
      <c r="DF1326" s="72">
        <f t="shared" si="2393"/>
        <v>157.25</v>
      </c>
      <c r="DG1326" s="69">
        <f t="shared" si="2394"/>
        <v>2.6419062301765574E-2</v>
      </c>
      <c r="DH1326" s="175">
        <f>HLOOKUP(H1326,'GDP-PI'!$8:$9,2,FALSE)</f>
        <v>118.49</v>
      </c>
      <c r="DI1326" s="169">
        <f t="shared" si="2384"/>
        <v>4.194261824609434E-2</v>
      </c>
    </row>
    <row r="1327" spans="1:113" s="160" customFormat="1" ht="21">
      <c r="G1327" s="161" t="s">
        <v>144</v>
      </c>
      <c r="H1327" s="162"/>
      <c r="I1327" s="163"/>
      <c r="J1327" s="159">
        <v>38972.728740420534</v>
      </c>
      <c r="K1327" s="159">
        <f t="shared" si="2385"/>
        <v>239.75840504718875</v>
      </c>
      <c r="L1327" s="164">
        <f t="shared" ref="L1327" si="2406">LN(K1327/K1326)</f>
        <v>1.6551961378990423E-2</v>
      </c>
      <c r="M1327" s="76">
        <f t="shared" si="2395"/>
        <v>1.0357923596904891E-4</v>
      </c>
      <c r="N1327" s="166">
        <f>+N1326*EXP(O1327)</f>
        <v>119.17916815178087</v>
      </c>
      <c r="O1327" s="114">
        <f t="shared" si="2396"/>
        <v>3.4063326236515149E-4</v>
      </c>
      <c r="P1327" s="114"/>
      <c r="Q1327" s="163">
        <v>16981.330451933762</v>
      </c>
      <c r="R1327" s="159">
        <f t="shared" si="2386"/>
        <v>133.44856936686651</v>
      </c>
      <c r="S1327" s="165">
        <f t="shared" ref="S1327" si="2407">LN(R1327/R1326)</f>
        <v>-7.964402741908691E-2</v>
      </c>
      <c r="T1327" s="165">
        <f t="shared" si="2398"/>
        <v>-4.9839818500532144E-4</v>
      </c>
      <c r="U1327" s="166"/>
      <c r="V1327" s="114"/>
      <c r="W1327" s="159">
        <f t="shared" si="2369"/>
        <v>39930.531689187133</v>
      </c>
      <c r="X1327" s="168"/>
      <c r="Y1327" s="167">
        <v>1494.3030758425914</v>
      </c>
      <c r="Z1327" s="168">
        <v>1.0701068897625347E-2</v>
      </c>
      <c r="AA1327" s="76">
        <f t="shared" si="2387"/>
        <v>6.6965389483997971E-5</v>
      </c>
      <c r="AB1327" s="166"/>
      <c r="AC1327" s="114"/>
      <c r="AD1327" s="163">
        <f t="shared" si="2363"/>
        <v>95884.59088154143</v>
      </c>
      <c r="AE1327" s="168">
        <f t="shared" si="2399"/>
        <v>8.3675995417158994E-3</v>
      </c>
      <c r="AF1327" s="113"/>
      <c r="AG1327" s="114"/>
      <c r="AH1327" s="114"/>
      <c r="AI1327" s="114"/>
      <c r="AJ1327" s="116">
        <f t="shared" si="2400"/>
        <v>482.8925372881223</v>
      </c>
      <c r="AK1327" s="114"/>
      <c r="AL1327" s="115">
        <f t="shared" si="2388"/>
        <v>0.40645455523263962</v>
      </c>
      <c r="AM1327" s="115">
        <f t="shared" si="2389"/>
        <v>0.17710176677828227</v>
      </c>
      <c r="AN1327" s="115">
        <f t="shared" si="2390"/>
        <v>0.41644367798907811</v>
      </c>
      <c r="AO1327" s="115"/>
      <c r="AP1327" s="166"/>
      <c r="AQ1327" s="168"/>
      <c r="AR1327" s="169">
        <f>+AD1327/$AF$26</f>
        <v>6.2578224777954782E-3</v>
      </c>
      <c r="AS1327" s="169"/>
      <c r="AT1327" s="166"/>
      <c r="AU1327" s="168"/>
      <c r="AV1327" s="113">
        <v>198563</v>
      </c>
      <c r="AW1327" s="68">
        <f t="shared" si="2347"/>
        <v>1.1757838624980192E-2</v>
      </c>
      <c r="AX1327" s="113"/>
      <c r="AY1327" s="113"/>
      <c r="AZ1327" s="113"/>
      <c r="BA1327" s="113"/>
      <c r="BB1327" s="171"/>
      <c r="BC1327" s="172"/>
      <c r="BD1327" s="173"/>
      <c r="BE1327" s="115"/>
      <c r="BF1327" s="174"/>
      <c r="BG1327" s="174"/>
      <c r="BH1327" s="166"/>
      <c r="BI1327" s="113"/>
      <c r="BJ1327" s="113"/>
      <c r="BK1327" s="113"/>
      <c r="BL1327" s="113"/>
      <c r="BM1327" s="231"/>
      <c r="BN1327" s="113"/>
      <c r="BO1327" s="113"/>
      <c r="BP1327" s="113"/>
      <c r="BQ1327" s="175"/>
      <c r="BR1327" s="175"/>
      <c r="BS1327" s="170"/>
      <c r="BT1327" s="176"/>
      <c r="BU1327" s="177"/>
      <c r="BV1327" s="177"/>
      <c r="BW1327" s="113"/>
      <c r="BX1327" s="113"/>
      <c r="BY1327" s="113"/>
      <c r="BZ1327" s="113"/>
      <c r="CA1327" s="116">
        <v>2022</v>
      </c>
      <c r="CB1327" s="113"/>
      <c r="CC1327" s="113"/>
      <c r="CD1327" s="113"/>
      <c r="CE1327" s="175"/>
      <c r="CF1327" s="238">
        <v>40333</v>
      </c>
      <c r="CG1327" s="113">
        <f>+CF1327/DE1327</f>
        <v>39.127482271223606</v>
      </c>
      <c r="CH1327" s="178">
        <f>+(51-24)/(51-24*0.75)</f>
        <v>0.81818181818181823</v>
      </c>
      <c r="CI1327" s="113">
        <f>+CI1303*CH1327+CG1304*CH1326+CG1305*CH1325+CG1306*CH1324+CG1307*CH1323+CG1308*CH1322+CG1309*CH1321+CG1310*CH1320+CG1311*CH1319+CG1312*CH1318+CG1313*CH1317+CG1314*CH1316+CG1315*CH1315+CG1316*CH1314+CG1317*CH1313+CG1318*CH1312+CG1319*CH1311+CG1320*CH1310+CG1321*CH1309+CG1322*CH1308+CG1323*CH1307+CG1324*CH1306+CG1325*CH1305+CG1326*CH1304+CG1327*CH1303</f>
        <v>1487.8557189096941</v>
      </c>
      <c r="CJ1327" s="114">
        <f t="shared" ref="CJ1327" si="2408">LN(CI1327/CI1326)</f>
        <v>6.3771093622993925E-3</v>
      </c>
      <c r="CK1327" s="113"/>
      <c r="CL1327" s="169">
        <f t="shared" si="2373"/>
        <v>2.0068654961820056E-2</v>
      </c>
      <c r="CM1327" s="169">
        <f t="shared" si="2381"/>
        <v>9.3777911885494225E-3</v>
      </c>
      <c r="CN1327" s="114"/>
      <c r="CO1327" s="169"/>
      <c r="CP1327" s="169"/>
      <c r="CQ1327" s="69">
        <f t="shared" si="2382"/>
        <v>2.1524150419984203E-2</v>
      </c>
      <c r="CR1327" s="169">
        <v>0.10114668178709289</v>
      </c>
      <c r="CS1327" s="179">
        <f t="shared" si="2374"/>
        <v>0.90330050000000006</v>
      </c>
      <c r="CT1327" s="180">
        <f t="shared" si="2375"/>
        <v>1.2820512820512819</v>
      </c>
      <c r="CU1327" s="180">
        <f t="shared" si="2376"/>
        <v>0.35000000000000003</v>
      </c>
      <c r="CV1327" s="180">
        <f t="shared" si="2377"/>
        <v>0.79171095533705893</v>
      </c>
      <c r="CW1327" s="180">
        <f t="shared" si="2378"/>
        <v>0.35525491585637264</v>
      </c>
      <c r="CX1327" s="181">
        <f>CX1326</f>
        <v>0.26134999999999997</v>
      </c>
      <c r="CY1327" s="72">
        <v>0.37</v>
      </c>
      <c r="CZ1327" s="182">
        <f t="shared" si="2380"/>
        <v>27.009330415942934</v>
      </c>
      <c r="DA1327" s="182"/>
      <c r="DB1327" s="169">
        <f t="shared" ref="DB1327" si="2409">LN(CZ1327/CZ1326)</f>
        <v>-5.9371792382958109E-2</v>
      </c>
      <c r="DC1327" s="181">
        <v>0.04</v>
      </c>
      <c r="DD1327" s="183">
        <v>7.0000000000000001E-3</v>
      </c>
      <c r="DE1327" s="181">
        <v>1030.81</v>
      </c>
      <c r="DF1327" s="72">
        <f t="shared" si="2393"/>
        <v>162.55000000000001</v>
      </c>
      <c r="DG1327" s="169">
        <f t="shared" si="2394"/>
        <v>3.3148751169364422E-2</v>
      </c>
      <c r="DH1327" s="175">
        <v>127.25</v>
      </c>
      <c r="DI1327" s="169">
        <f t="shared" si="2384"/>
        <v>7.1325086601983473E-2</v>
      </c>
    </row>
    <row r="1328" spans="1:113" s="160" customFormat="1" ht="21">
      <c r="A1328" s="160" t="s">
        <v>238</v>
      </c>
      <c r="B1328" s="160" t="s">
        <v>239</v>
      </c>
      <c r="C1328" s="160">
        <v>4064141</v>
      </c>
      <c r="D1328" s="161" t="s">
        <v>181</v>
      </c>
      <c r="E1328" s="161" t="s">
        <v>3</v>
      </c>
      <c r="F1328" s="189"/>
      <c r="G1328" s="160" t="s">
        <v>100</v>
      </c>
      <c r="H1328" s="162">
        <v>1998</v>
      </c>
      <c r="I1328" s="163"/>
      <c r="J1328" s="159"/>
      <c r="K1328" s="159"/>
      <c r="L1328" s="159"/>
      <c r="M1328" s="60"/>
      <c r="N1328" s="131"/>
      <c r="O1328" s="76"/>
      <c r="P1328" s="76"/>
      <c r="Q1328" s="165"/>
      <c r="R1328" s="165"/>
      <c r="S1328" s="165"/>
      <c r="T1328" s="159"/>
      <c r="U1328" s="165"/>
      <c r="V1328" s="165"/>
      <c r="W1328" s="159"/>
      <c r="X1328" s="163"/>
      <c r="Y1328" s="167">
        <v>1666.1160777855976</v>
      </c>
      <c r="Z1328" s="168"/>
      <c r="AA1328" s="78"/>
      <c r="AB1328" s="168"/>
      <c r="AC1328" s="168"/>
      <c r="AD1328" s="163">
        <f t="shared" si="2363"/>
        <v>0</v>
      </c>
      <c r="AE1328" s="163"/>
      <c r="AF1328" s="163"/>
      <c r="AG1328" s="114"/>
      <c r="AH1328" s="114"/>
      <c r="AI1328" s="114"/>
      <c r="AJ1328" s="166">
        <f>+(AJ1325+AJ1326+AJ1327)/3</f>
        <v>423.03591757494115</v>
      </c>
      <c r="AK1328" s="168"/>
      <c r="AL1328" s="115"/>
      <c r="AM1328" s="115"/>
      <c r="AN1328" s="115"/>
      <c r="AO1328" s="115"/>
      <c r="AP1328" s="115"/>
      <c r="AQ1328" s="168">
        <f>AVERAGE(AQ1337:AQ1351)</f>
        <v>2.0175350607102856E-2</v>
      </c>
      <c r="AR1328" s="115"/>
      <c r="AS1328" s="115"/>
      <c r="AT1328" s="115"/>
      <c r="AU1328" s="115"/>
      <c r="AV1328" s="113">
        <f>IFERROR(INDEX('Total Customers'!$F$7:$AB$91,MATCH($C1328,'Total Customers'!$D$7:$D$91,0),MATCH($G1328,'Total Customers'!$F$5:$AB$5,0)),"NA")</f>
        <v>183696</v>
      </c>
      <c r="AW1328" s="68"/>
      <c r="AX1328" s="114"/>
      <c r="AY1328" s="114"/>
      <c r="AZ1328" s="116"/>
      <c r="BA1328" s="116"/>
      <c r="BB1328" s="166"/>
      <c r="BC1328" s="166"/>
      <c r="BD1328" s="166"/>
      <c r="BE1328" s="166"/>
      <c r="BF1328" s="166"/>
      <c r="BG1328" s="166"/>
      <c r="BH1328" s="166"/>
      <c r="BI1328" s="113">
        <f>INDEX('Gross Dx Plant'!$E$7:$AD$91,MATCH($C1328,'Gross Dx Plant'!$D$7:$D$91,0),MATCH(Calculation!$G1328,'Gross Dx Plant'!$E$5:$AD$5,0))</f>
        <v>498933</v>
      </c>
      <c r="BJ1328" s="113">
        <f>INDEX('Gross Gen Plant'!$E$7:$AD$91,MATCH($C1328,'Gross Gen Plant'!$D$7:$D$91,0),MATCH(Calculation!$G1328,'Gross Gen Plant'!$E$5:$AD$5,0))</f>
        <v>37292</v>
      </c>
      <c r="BK1328" s="113">
        <f>INDEX('Dist. Plant Gas Additions'!$F$7:$AE$91,MATCH($C1328,'Dist. Plant Gas Additions'!$D$7:$D$91,0),MATCH(Calculation!$G1328,'Dist. Plant Gas Additions'!$F$5:$AE$5,0))</f>
        <v>22874</v>
      </c>
      <c r="BL1328" s="113">
        <f>INDEX('Gen. Plant Additions'!$F$7:$AE$91,MATCH($C1328,'Gen. Plant Additions'!$D$7:$D$91,0),MATCH(Calculation!$G1328,'Gen. Plant Additions'!$F$5:$AE$5,0))</f>
        <v>1807</v>
      </c>
      <c r="BM1328" s="231"/>
      <c r="BN1328" s="113"/>
      <c r="BO1328" s="113">
        <f>INDEX('Dist Plant Depreciation'!$E$7:$AD$94,MATCH($C1328,'Dist Plant Depreciation'!$D$7:$D$94,0),MATCH(Calculation!$G1328,'Dist Plant Depreciation'!$E$5:$AD$5,0))</f>
        <v>189588</v>
      </c>
      <c r="BP1328" s="113">
        <f>INDEX('Gen. Plant Depreciation'!$E$7:$AD$94,MATCH($C1328,'Gen. Plant Depreciation'!$D$7:$D$94,0),MATCH(Calculation!$G1328,'Gen. Plant Depreciation'!$E$5:$AD$5,0))</f>
        <v>10549</v>
      </c>
      <c r="BQ1328" s="113"/>
      <c r="BR1328" s="113"/>
      <c r="BS1328" s="113"/>
      <c r="BT1328" s="113"/>
      <c r="BU1328" s="113"/>
      <c r="BV1328" s="175"/>
      <c r="BW1328" s="113">
        <f>INDEX('Gross Dx Plant'!$E$7:$AD$91,MATCH($C1328,'Gross Dx Plant'!$D$7:$D$91,0),MATCH(Calculation!$G1328,'Gross Dx Plant'!$E$5:$AD$5,0))</f>
        <v>498933</v>
      </c>
      <c r="BX1328" s="113">
        <f>INDEX('Gross Gen Plant'!$E$7:$AD$91,MATCH($C1328,'Gross Gen Plant'!$D$7:$D$91,0),MATCH(Calculation!$G1328,'Gross Gen Plant'!$E$5:$AD$5,0))</f>
        <v>37292</v>
      </c>
      <c r="BY1328" s="113">
        <f t="shared" si="2318"/>
        <v>336088</v>
      </c>
      <c r="BZ1328" s="113"/>
      <c r="CA1328" s="116">
        <v>1998</v>
      </c>
      <c r="CB1328" s="113">
        <f>BI1328+BJ1328</f>
        <v>536225</v>
      </c>
      <c r="CC1328" s="113">
        <f>189588+10549</f>
        <v>200137</v>
      </c>
      <c r="CD1328" s="113">
        <f>+CB1328-CC1328</f>
        <v>336088</v>
      </c>
      <c r="CE1328" s="113">
        <f>CD1328/$BV$3</f>
        <v>1666.1160777855976</v>
      </c>
      <c r="CF1328" s="175"/>
      <c r="CG1328" s="175"/>
      <c r="CH1328" s="178">
        <v>1</v>
      </c>
      <c r="CI1328" s="113">
        <f>+CE1328</f>
        <v>1666.1160777855976</v>
      </c>
      <c r="CJ1328" s="114"/>
      <c r="CK1328" s="114"/>
      <c r="CL1328" s="169"/>
      <c r="CM1328" s="169"/>
      <c r="CN1328" s="114" t="e">
        <f>VLOOKUP($H1328,RoR!$E:$F,2,FALSE)</f>
        <v>#N/A</v>
      </c>
      <c r="CO1328" s="169">
        <v>1.1028127770464469E-2</v>
      </c>
      <c r="CP1328" s="169"/>
      <c r="CQ1328" s="169"/>
      <c r="CR1328" s="169"/>
      <c r="CS1328" s="179"/>
      <c r="CT1328" s="182" t="e">
        <f>2/(DC1328*39)</f>
        <v>#N/A</v>
      </c>
      <c r="CU1328" s="180" t="e">
        <f>+(DC1328*40-(1+DC1328))/(DC1328*40)</f>
        <v>#N/A</v>
      </c>
      <c r="CV1328" s="180" t="e">
        <f>+(1-(1/(1+DC1328)^40))</f>
        <v>#N/A</v>
      </c>
      <c r="CW1328" s="180" t="e">
        <f>+CV1328*CU1328*CT1328</f>
        <v>#N/A</v>
      </c>
      <c r="CX1328" s="181">
        <f>INDEX('State Tax Lookup'!$D$7:$Z$91,MATCH(Calculation!$C1328,'State Tax Lookup'!$B$7:$B$91,0),MATCH($H1328,'State Tax Lookup'!$D$6:$Z$6,0))</f>
        <v>0.40200000000000002</v>
      </c>
      <c r="CY1328" s="72">
        <v>0.37</v>
      </c>
      <c r="CZ1328" s="66"/>
      <c r="DA1328" s="66"/>
      <c r="DB1328" s="69"/>
      <c r="DC1328" s="111" t="e">
        <f>VLOOKUP($H1328,RoR!$E:$F,2,FALSE)</f>
        <v>#N/A</v>
      </c>
      <c r="DD1328" s="216">
        <f>HLOOKUP($H1328,'GDP-PI'!$D$8:$CQ$11,3,FALSE)</f>
        <v>1.1028127770464469E-2</v>
      </c>
      <c r="DE1328" s="111">
        <f>VLOOKUP(H1328,'HW Dx Data'!$E:$F,2,FALSE)</f>
        <v>329.24564746449528</v>
      </c>
      <c r="DF1328" s="72" t="e">
        <f t="shared" si="2393"/>
        <v>#N/A</v>
      </c>
      <c r="DG1328" s="169" t="e">
        <f t="shared" si="2394"/>
        <v>#N/A</v>
      </c>
      <c r="DH1328" s="66">
        <f>HLOOKUP(H1328,'GDP-PI'!$8:$9,2,FALSE)</f>
        <v>75.266999999999996</v>
      </c>
      <c r="DI1328"/>
    </row>
    <row r="1329" spans="1:113" s="160" customFormat="1" ht="21">
      <c r="A1329" s="160" t="s">
        <v>238</v>
      </c>
      <c r="B1329" s="160" t="s">
        <v>239</v>
      </c>
      <c r="C1329" s="160">
        <v>4064141</v>
      </c>
      <c r="D1329" s="161" t="s">
        <v>181</v>
      </c>
      <c r="E1329" s="161" t="s">
        <v>3</v>
      </c>
      <c r="F1329" s="189"/>
      <c r="G1329" s="160" t="s">
        <v>106</v>
      </c>
      <c r="H1329" s="162">
        <v>1999</v>
      </c>
      <c r="I1329" s="163"/>
      <c r="J1329" s="159"/>
      <c r="K1329" s="163"/>
      <c r="L1329" s="163"/>
      <c r="M1329" s="60"/>
      <c r="N1329" s="152"/>
      <c r="O1329" s="60"/>
      <c r="P1329" s="59"/>
      <c r="Q1329" s="169"/>
      <c r="R1329" s="169"/>
      <c r="S1329" s="169"/>
      <c r="T1329" s="187"/>
      <c r="U1329" s="169"/>
      <c r="V1329" s="169"/>
      <c r="W1329" s="159">
        <f t="shared" ref="W1329:W1352" si="2410">+CI1328*CZ1329</f>
        <v>0</v>
      </c>
      <c r="X1329" s="163"/>
      <c r="Y1329" s="167">
        <v>1802.4627478393556</v>
      </c>
      <c r="Z1329" s="168">
        <v>7.8658707164016975E-2</v>
      </c>
      <c r="AA1329" s="78"/>
      <c r="AB1329" s="168"/>
      <c r="AC1329" s="168"/>
      <c r="AD1329" s="163">
        <f t="shared" si="2363"/>
        <v>0</v>
      </c>
      <c r="AE1329" s="168"/>
      <c r="AF1329" s="163"/>
      <c r="AG1329" s="114"/>
      <c r="AH1329" s="114"/>
      <c r="AI1329" s="114"/>
      <c r="AJ1329" s="167"/>
      <c r="AK1329" s="168"/>
      <c r="AL1329" s="115"/>
      <c r="AM1329" s="115"/>
      <c r="AN1329" s="115"/>
      <c r="AO1329" s="115"/>
      <c r="AP1329" s="115"/>
      <c r="AQ1329" s="168"/>
      <c r="AR1329" s="115"/>
      <c r="AS1329" s="115"/>
      <c r="AT1329" s="115"/>
      <c r="AU1329" s="115"/>
      <c r="AV1329" s="113">
        <f>IFERROR(INDEX('Total Customers'!$F$7:$AB$91,MATCH($C1329,'Total Customers'!$D$7:$D$91,0),MATCH($G1329,'Total Customers'!$F$5:$AB$5,0)),"NA")</f>
        <v>184711</v>
      </c>
      <c r="AW1329" s="68">
        <f t="shared" si="2347"/>
        <v>5.5102241171642533E-3</v>
      </c>
      <c r="AX1329" s="114"/>
      <c r="AY1329" s="114"/>
      <c r="AZ1329" s="116"/>
      <c r="BA1329" s="116"/>
      <c r="BB1329" s="166"/>
      <c r="BC1329" s="166"/>
      <c r="BD1329" s="166"/>
      <c r="BE1329" s="166"/>
      <c r="BF1329" s="166"/>
      <c r="BG1329" s="166"/>
      <c r="BH1329" s="166"/>
      <c r="BI1329" s="113"/>
      <c r="BJ1329" s="113"/>
      <c r="BK1329" s="113">
        <f>INDEX('Dist. Plant Gas Additions'!$F$7:$AE$91,MATCH($C1329,'Dist. Plant Gas Additions'!$D$7:$D$91,0),MATCH(Calculation!$G1329,'Dist. Plant Gas Additions'!$F$5:$AE$5,0))</f>
        <v>20230</v>
      </c>
      <c r="BL1329" s="113">
        <f>INDEX('Gen. Plant Additions'!$F$7:$AE$91,MATCH($C1329,'Gen. Plant Additions'!$D$7:$D$91,0),MATCH(Calculation!$G1329,'Gen. Plant Additions'!$F$5:$AE$5,0))</f>
        <v>28270</v>
      </c>
      <c r="BM1329" s="231">
        <f t="shared" si="2366"/>
        <v>0.93045456664646375</v>
      </c>
      <c r="BN1329" s="113"/>
      <c r="BO1329" s="113">
        <f>INDEX('Dist Plant Depreciation'!$E$7:$AD$94,MATCH($C1329,'Dist Plant Depreciation'!$D$7:$D$94,0),MATCH(Calculation!$G1329,'Dist Plant Depreciation'!$E$5:$AD$5,0))</f>
        <v>204357</v>
      </c>
      <c r="BP1329" s="113">
        <f>INDEX('Gen. Plant Depreciation'!$E$7:$AD$94,MATCH($C1329,'Gen. Plant Depreciation'!$D$7:$D$94,0),MATCH(Calculation!$G1329,'Gen. Plant Depreciation'!$E$5:$AD$5,0))</f>
        <v>12606</v>
      </c>
      <c r="BQ1329" s="113"/>
      <c r="BR1329" s="113"/>
      <c r="BS1329" s="113"/>
      <c r="BT1329" s="113"/>
      <c r="BU1329" s="113"/>
      <c r="BV1329" s="175"/>
      <c r="BW1329" s="113">
        <f>INDEX('Gross Dx Plant'!$E$7:$AD$91,MATCH($C1329,'Gross Dx Plant'!$D$7:$D$91,0),MATCH(Calculation!$G1329,'Gross Dx Plant'!$E$5:$AD$5,0))</f>
        <v>516461</v>
      </c>
      <c r="BX1329" s="113">
        <f>INDEX('Gross Gen Plant'!$E$7:$AD$91,MATCH($C1329,'Gross Gen Plant'!$D$7:$D$91,0),MATCH(Calculation!$G1329,'Gross Gen Plant'!$E$5:$AD$5,0))</f>
        <v>64958</v>
      </c>
      <c r="BY1329" s="113">
        <f t="shared" si="2318"/>
        <v>364456</v>
      </c>
      <c r="BZ1329" s="113"/>
      <c r="CA1329" s="116">
        <v>1999</v>
      </c>
      <c r="CB1329" s="113"/>
      <c r="CC1329" s="113"/>
      <c r="CD1329" s="113"/>
      <c r="CE1329" s="175"/>
      <c r="CF1329" s="113">
        <f t="shared" ref="CF1329:CF1351" si="2411">+BL1329+BK1329</f>
        <v>48500</v>
      </c>
      <c r="CG1329" s="113">
        <f t="shared" ref="CG1329:CG1351" si="2412">+CF1329/$DE1329</f>
        <v>144.63580476910926</v>
      </c>
      <c r="CH1329" s="178">
        <v>0.99502487562189057</v>
      </c>
      <c r="CI1329" s="61">
        <f>+CI1328*CH1329+CG1329</f>
        <v>1802.4627478393556</v>
      </c>
      <c r="CJ1329" s="114">
        <f t="shared" ref="CJ1329:CJ1350" si="2413">LN(CI1329/CI1328)</f>
        <v>7.8658707164016975E-2</v>
      </c>
      <c r="CK1329" s="114"/>
      <c r="CL1329" s="169">
        <f t="shared" ref="CL1329:CL1352" si="2414">+(CI1328-CI1329+CG1329)/CI1328</f>
        <v>4.9751243781094145E-3</v>
      </c>
      <c r="CM1329" s="169"/>
      <c r="CN1329" s="114">
        <f>VLOOKUP($H1329,RoR!$E:$F,2,FALSE)</f>
        <v>7.0416666666666669E-2</v>
      </c>
      <c r="CO1329" s="169">
        <v>1.4335631817396832E-2</v>
      </c>
      <c r="CP1329" s="169">
        <f>+CN1329-CO1329</f>
        <v>5.6081034849269837E-2</v>
      </c>
      <c r="CQ1329" s="169"/>
      <c r="CR1329" s="169"/>
      <c r="CS1329" s="179">
        <f t="shared" ref="CS1329:CS1352" si="2415">1-CX1329*CY1329</f>
        <v>0.85126000000000002</v>
      </c>
      <c r="CT1329" s="180">
        <f t="shared" ref="CT1329:CT1352" si="2416">2/(DC1329*39)</f>
        <v>0.72826581702321336</v>
      </c>
      <c r="CU1329" s="180">
        <f t="shared" ref="CU1329:CU1352" si="2417">+(DC1329*40-(1+DC1329))/(DC1329*40)</f>
        <v>0.61997041420118348</v>
      </c>
      <c r="CV1329" s="180">
        <f t="shared" ref="CV1329:CV1352" si="2418">+(1-(1/(1+DC1329)^40))</f>
        <v>0.93425155319585029</v>
      </c>
      <c r="CW1329" s="180">
        <f t="shared" ref="CW1329:CW1352" si="2419">+CV1329*CU1329*CT1329</f>
        <v>0.42181762214141483</v>
      </c>
      <c r="CX1329" s="181">
        <f>INDEX('State Tax Lookup'!$D$7:$Z$91,MATCH(Calculation!$C1329,'State Tax Lookup'!$B$7:$B$91,0),MATCH($H1329,'State Tax Lookup'!$D$6:$Z$6,0))</f>
        <v>0.40200000000000002</v>
      </c>
      <c r="CY1329" s="72">
        <v>0.37</v>
      </c>
      <c r="CZ1329" s="70"/>
      <c r="DA1329" s="70"/>
      <c r="DB1329" s="69"/>
      <c r="DC1329" s="111">
        <f>VLOOKUP($H1329,RoR!$E:$F,2,FALSE)</f>
        <v>7.0416666666666669E-2</v>
      </c>
      <c r="DD1329" s="216">
        <f>HLOOKUP($H1329,'GDP-PI'!$D$8:$CQ$11,3,FALSE)</f>
        <v>1.4335631817396832E-2</v>
      </c>
      <c r="DE1329" s="111">
        <f>VLOOKUP(H1329,'HW Dx Data'!$E:$F,2,FALSE)</f>
        <v>335.32499146683239</v>
      </c>
      <c r="DF1329" s="66"/>
      <c r="DG1329" s="69"/>
      <c r="DH1329" s="66">
        <f>HLOOKUP(H1329,'GDP-PI'!$8:$9,2,FALSE)</f>
        <v>76.346000000000004</v>
      </c>
      <c r="DI1329"/>
    </row>
    <row r="1330" spans="1:113" s="160" customFormat="1" ht="21">
      <c r="A1330" s="160" t="s">
        <v>238</v>
      </c>
      <c r="B1330" s="160" t="s">
        <v>239</v>
      </c>
      <c r="C1330" s="160">
        <v>4064141</v>
      </c>
      <c r="D1330" s="161" t="s">
        <v>181</v>
      </c>
      <c r="E1330" s="161" t="s">
        <v>3</v>
      </c>
      <c r="F1330" s="189"/>
      <c r="G1330" s="160" t="s">
        <v>107</v>
      </c>
      <c r="H1330" s="162">
        <v>2000</v>
      </c>
      <c r="I1330" s="163"/>
      <c r="J1330" s="159"/>
      <c r="K1330" s="159"/>
      <c r="L1330" s="159"/>
      <c r="M1330" s="60"/>
      <c r="N1330" s="152"/>
      <c r="O1330" s="60"/>
      <c r="P1330" s="60"/>
      <c r="Q1330" s="159"/>
      <c r="R1330" s="159"/>
      <c r="S1330" s="159"/>
      <c r="T1330" s="159"/>
      <c r="U1330" s="159"/>
      <c r="V1330" s="159"/>
      <c r="W1330" s="159">
        <f t="shared" si="2410"/>
        <v>0</v>
      </c>
      <c r="X1330" s="163"/>
      <c r="Y1330" s="167">
        <v>1852.0052048717012</v>
      </c>
      <c r="Z1330" s="168">
        <v>2.7115023603239755E-2</v>
      </c>
      <c r="AA1330" s="78"/>
      <c r="AB1330" s="168"/>
      <c r="AC1330" s="168"/>
      <c r="AD1330" s="163">
        <f t="shared" si="2363"/>
        <v>0</v>
      </c>
      <c r="AE1330" s="168"/>
      <c r="AF1330" s="163"/>
      <c r="AG1330" s="163"/>
      <c r="AH1330" s="163"/>
      <c r="AI1330" s="163"/>
      <c r="AJ1330" s="167"/>
      <c r="AK1330" s="168"/>
      <c r="AL1330" s="115"/>
      <c r="AM1330" s="115"/>
      <c r="AN1330" s="115"/>
      <c r="AO1330" s="115"/>
      <c r="AP1330" s="115"/>
      <c r="AQ1330" s="168"/>
      <c r="AR1330" s="115"/>
      <c r="AS1330" s="115"/>
      <c r="AT1330" s="115"/>
      <c r="AU1330" s="115"/>
      <c r="AV1330" s="113">
        <f>IFERROR(INDEX('Total Customers'!$F$7:$AB$91,MATCH($C1330,'Total Customers'!$D$7:$D$91,0),MATCH($G1330,'Total Customers'!$F$5:$AB$5,0)),"NA")</f>
        <v>185373</v>
      </c>
      <c r="AW1330" s="68">
        <f t="shared" si="2347"/>
        <v>3.5775699899395779E-3</v>
      </c>
      <c r="AX1330" s="114"/>
      <c r="AY1330" s="114"/>
      <c r="AZ1330" s="116"/>
      <c r="BA1330" s="116"/>
      <c r="BB1330" s="166"/>
      <c r="BC1330" s="166"/>
      <c r="BD1330" s="166"/>
      <c r="BE1330" s="166"/>
      <c r="BF1330" s="166"/>
      <c r="BG1330" s="166"/>
      <c r="BH1330" s="166"/>
      <c r="BI1330" s="113"/>
      <c r="BJ1330" s="113"/>
      <c r="BK1330" s="113">
        <f>INDEX('Dist. Plant Gas Additions'!$F$7:$AE$91,MATCH($C1330,'Dist. Plant Gas Additions'!$D$7:$D$91,0),MATCH(Calculation!$G1330,'Dist. Plant Gas Additions'!$F$5:$AE$5,0))</f>
        <v>17984</v>
      </c>
      <c r="BL1330" s="113">
        <f>INDEX('Gen. Plant Additions'!$F$7:$AE$91,MATCH($C1330,'Gen. Plant Additions'!$D$7:$D$91,0),MATCH(Calculation!$G1330,'Gen. Plant Additions'!$F$5:$AE$5,0))</f>
        <v>2393</v>
      </c>
      <c r="BM1330" s="231">
        <f t="shared" si="2366"/>
        <v>0.8882767849003903</v>
      </c>
      <c r="BN1330" s="113"/>
      <c r="BO1330" s="113"/>
      <c r="BP1330" s="113"/>
      <c r="BQ1330" s="113"/>
      <c r="BR1330" s="113"/>
      <c r="BS1330" s="113"/>
      <c r="BT1330" s="113"/>
      <c r="BU1330" s="113"/>
      <c r="BV1330" s="175"/>
      <c r="BW1330" s="113">
        <f>INDEX('Gross Dx Plant'!$E$7:$AD$91,MATCH($C1330,'Gross Dx Plant'!$D$7:$D$91,0),MATCH(Calculation!$G1330,'Gross Dx Plant'!$E$5:$AD$5,0))</f>
        <v>530802</v>
      </c>
      <c r="BX1330" s="113">
        <f>INDEX('Gross Gen Plant'!$E$7:$AD$91,MATCH($C1330,'Gross Gen Plant'!$D$7:$D$91,0),MATCH(Calculation!$G1330,'Gross Gen Plant'!$E$5:$AD$5,0))</f>
        <v>67051</v>
      </c>
      <c r="BY1330" s="113">
        <f t="shared" si="2318"/>
        <v>597853</v>
      </c>
      <c r="BZ1330" s="113"/>
      <c r="CA1330" s="116">
        <v>2000</v>
      </c>
      <c r="CB1330" s="113"/>
      <c r="CC1330" s="113"/>
      <c r="CD1330" s="113"/>
      <c r="CE1330" s="175"/>
      <c r="CF1330" s="113">
        <f t="shared" si="2411"/>
        <v>20377</v>
      </c>
      <c r="CG1330" s="113">
        <f t="shared" si="2412"/>
        <v>58.802358766415978</v>
      </c>
      <c r="CH1330" s="178">
        <v>0.98989898989898994</v>
      </c>
      <c r="CI1330" s="61">
        <f>+CI1328*CH1330+CG1329*CH1329+CG1330</f>
        <v>1852.0052048717012</v>
      </c>
      <c r="CJ1330" s="114">
        <f t="shared" si="2413"/>
        <v>2.7115023603239755E-2</v>
      </c>
      <c r="CK1330" s="114"/>
      <c r="CL1330" s="169">
        <f t="shared" si="2414"/>
        <v>5.1373609497175335E-3</v>
      </c>
      <c r="CM1330" s="169"/>
      <c r="CN1330" s="114">
        <f>VLOOKUP($H1330,RoR!$E:$F,2,FALSE)</f>
        <v>7.6225000000000001E-2</v>
      </c>
      <c r="CO1330" s="169">
        <v>2.2568307442433211E-2</v>
      </c>
      <c r="CP1330" s="169">
        <f t="shared" ref="CP1330:CP1350" si="2420">+CN1330-CO1330</f>
        <v>5.365669255756679E-2</v>
      </c>
      <c r="CQ1330" s="169"/>
      <c r="CR1330" s="169"/>
      <c r="CS1330" s="179">
        <f t="shared" si="2415"/>
        <v>0.85126000000000002</v>
      </c>
      <c r="CT1330" s="180">
        <f t="shared" si="2416"/>
        <v>0.67277207323124022</v>
      </c>
      <c r="CU1330" s="180">
        <f t="shared" si="2417"/>
        <v>0.6470236142997704</v>
      </c>
      <c r="CV1330" s="180">
        <f t="shared" si="2418"/>
        <v>0.94704866037543145</v>
      </c>
      <c r="CW1330" s="180">
        <f t="shared" si="2419"/>
        <v>0.41224973107878493</v>
      </c>
      <c r="CX1330" s="181">
        <f>INDEX('State Tax Lookup'!$D$7:$Z$91,MATCH(Calculation!$C1330,'State Tax Lookup'!$B$7:$B$91,0),MATCH($H1330,'State Tax Lookup'!$D$6:$Z$6,0))</f>
        <v>0.40200000000000002</v>
      </c>
      <c r="CY1330" s="72">
        <v>0.37</v>
      </c>
      <c r="CZ1330" s="70"/>
      <c r="DA1330" s="70"/>
      <c r="DB1330" s="69"/>
      <c r="DC1330" s="111">
        <f>VLOOKUP($H1330,RoR!$E:$F,2,FALSE)</f>
        <v>7.6225000000000001E-2</v>
      </c>
      <c r="DD1330" s="216">
        <f>HLOOKUP($H1330,'GDP-PI'!$D$8:$CQ$11,3,FALSE)</f>
        <v>2.2568307442433211E-2</v>
      </c>
      <c r="DE1330" s="111">
        <f>VLOOKUP(H1330,'HW Dx Data'!$E:$F,2,FALSE)</f>
        <v>346.53371782150339</v>
      </c>
      <c r="DF1330" s="66"/>
      <c r="DG1330" s="69"/>
      <c r="DH1330" s="66">
        <f>HLOOKUP(H1330,'GDP-PI'!$8:$9,2,FALSE)</f>
        <v>78.069000000000003</v>
      </c>
      <c r="DI1330"/>
    </row>
    <row r="1331" spans="1:113" s="160" customFormat="1" ht="21">
      <c r="A1331" s="160" t="s">
        <v>238</v>
      </c>
      <c r="B1331" s="160" t="s">
        <v>239</v>
      </c>
      <c r="C1331" s="160">
        <v>4064141</v>
      </c>
      <c r="D1331" s="161" t="s">
        <v>181</v>
      </c>
      <c r="E1331" s="161" t="s">
        <v>3</v>
      </c>
      <c r="F1331" s="189"/>
      <c r="G1331" s="160" t="s">
        <v>111</v>
      </c>
      <c r="H1331" s="162">
        <v>2001</v>
      </c>
      <c r="I1331" s="163"/>
      <c r="J1331" s="159"/>
      <c r="K1331" s="159"/>
      <c r="L1331" s="159"/>
      <c r="M1331" s="60"/>
      <c r="N1331" s="152"/>
      <c r="O1331" s="60"/>
      <c r="P1331" s="60"/>
      <c r="Q1331" s="159"/>
      <c r="R1331" s="159"/>
      <c r="S1331" s="159"/>
      <c r="T1331" s="159"/>
      <c r="U1331" s="159"/>
      <c r="V1331" s="159"/>
      <c r="W1331" s="159">
        <f t="shared" si="2410"/>
        <v>23989.944845472739</v>
      </c>
      <c r="X1331" s="163"/>
      <c r="Y1331" s="167">
        <v>1923.5505825829398</v>
      </c>
      <c r="Z1331" s="168">
        <v>3.7903793396278036E-2</v>
      </c>
      <c r="AA1331" s="78"/>
      <c r="AB1331" s="168"/>
      <c r="AC1331" s="168"/>
      <c r="AD1331" s="163">
        <f t="shared" si="2363"/>
        <v>23989.944845472739</v>
      </c>
      <c r="AE1331" s="168"/>
      <c r="AF1331" s="163"/>
      <c r="AG1331" s="163"/>
      <c r="AH1331" s="163"/>
      <c r="AI1331" s="163"/>
      <c r="AJ1331" s="167"/>
      <c r="AK1331" s="168"/>
      <c r="AL1331" s="115"/>
      <c r="AM1331" s="115"/>
      <c r="AN1331" s="115"/>
      <c r="AO1331" s="115"/>
      <c r="AP1331" s="115"/>
      <c r="AQ1331" s="168"/>
      <c r="AR1331" s="115"/>
      <c r="AS1331" s="115"/>
      <c r="AT1331" s="115"/>
      <c r="AU1331" s="115"/>
      <c r="AV1331" s="113">
        <f>IFERROR(INDEX('Total Customers'!$F$7:$AB$91,MATCH($C1331,'Total Customers'!$D$7:$D$91,0),MATCH($G1331,'Total Customers'!$F$5:$AB$5,0)),"NA")</f>
        <v>191112</v>
      </c>
      <c r="AW1331" s="68">
        <f t="shared" si="2347"/>
        <v>3.0489632164693515E-2</v>
      </c>
      <c r="AX1331" s="114"/>
      <c r="AY1331" s="114"/>
      <c r="AZ1331" s="116"/>
      <c r="BA1331" s="116"/>
      <c r="BB1331" s="166"/>
      <c r="BC1331" s="166"/>
      <c r="BD1331" s="166"/>
      <c r="BE1331" s="166"/>
      <c r="BF1331" s="166"/>
      <c r="BG1331" s="166"/>
      <c r="BH1331" s="166"/>
      <c r="BI1331" s="113"/>
      <c r="BJ1331" s="113"/>
      <c r="BK1331" s="113">
        <f>INDEX('Dist. Plant Gas Additions'!$F$7:$AE$91,MATCH($C1331,'Dist. Plant Gas Additions'!$D$7:$D$91,0),MATCH(Calculation!$G1331,'Dist. Plant Gas Additions'!$F$5:$AE$5,0))</f>
        <v>23946</v>
      </c>
      <c r="BL1331" s="113">
        <f>INDEX('Gen. Plant Additions'!$F$7:$AE$91,MATCH($C1331,'Gen. Plant Additions'!$D$7:$D$91,0),MATCH(Calculation!$G1331,'Gen. Plant Additions'!$F$5:$AE$5,0))</f>
        <v>4715</v>
      </c>
      <c r="BM1331" s="231">
        <f t="shared" si="2366"/>
        <v>0.88784701255994369</v>
      </c>
      <c r="BN1331" s="113"/>
      <c r="BO1331" s="113"/>
      <c r="BP1331" s="113"/>
      <c r="BQ1331" s="113"/>
      <c r="BR1331" s="113"/>
      <c r="BS1331" s="113"/>
      <c r="BT1331" s="113"/>
      <c r="BU1331" s="113"/>
      <c r="BV1331" s="175"/>
      <c r="BW1331" s="113">
        <f>INDEX('Gross Dx Plant'!$E$7:$AD$91,MATCH($C1331,'Gross Dx Plant'!$D$7:$D$91,0),MATCH(Calculation!$G1331,'Gross Dx Plant'!$E$5:$AD$5,0))</f>
        <v>556525</v>
      </c>
      <c r="BX1331" s="113">
        <f>INDEX('Gross Gen Plant'!$E$7:$AD$91,MATCH($C1331,'Gross Gen Plant'!$D$7:$D$91,0),MATCH(Calculation!$G1331,'Gross Gen Plant'!$E$5:$AD$5,0))</f>
        <v>67961</v>
      </c>
      <c r="BY1331" s="113">
        <f t="shared" si="2318"/>
        <v>624486</v>
      </c>
      <c r="BZ1331" s="113"/>
      <c r="CA1331" s="116">
        <v>2001</v>
      </c>
      <c r="CB1331" s="113"/>
      <c r="CC1331" s="113"/>
      <c r="CD1331" s="113"/>
      <c r="CE1331" s="175"/>
      <c r="CF1331" s="113">
        <f t="shared" si="2411"/>
        <v>28661</v>
      </c>
      <c r="CG1331" s="113">
        <f t="shared" si="2412"/>
        <v>81.089864029612968</v>
      </c>
      <c r="CH1331" s="178">
        <v>0.98461538461538467</v>
      </c>
      <c r="CI1331" s="61">
        <f>+CI1328*CH1331+CG1329*CH1330+CG1330*CH1328+CG1331</f>
        <v>1923.5505825829398</v>
      </c>
      <c r="CJ1331" s="114">
        <f t="shared" si="2413"/>
        <v>3.7903793396278036E-2</v>
      </c>
      <c r="CK1331" s="114"/>
      <c r="CL1331" s="169">
        <f t="shared" si="2414"/>
        <v>5.153595839400206E-3</v>
      </c>
      <c r="CM1331" s="169">
        <f>+(CL1331+CL1330+CL1329)/3</f>
        <v>5.0886937224090519E-3</v>
      </c>
      <c r="CN1331" s="114">
        <f>VLOOKUP($H1331,RoR!$E:$F,2,FALSE)</f>
        <v>7.0824999999999999E-2</v>
      </c>
      <c r="CO1331" s="169">
        <v>2.2454495382290052E-2</v>
      </c>
      <c r="CP1331" s="169">
        <f t="shared" si="2420"/>
        <v>4.8370504617709947E-2</v>
      </c>
      <c r="CQ1331" s="169">
        <f>+$CP$2-CM1331</f>
        <v>2.5813247886124574E-2</v>
      </c>
      <c r="CR1331" s="169">
        <v>2.3947275901631187E-2</v>
      </c>
      <c r="CS1331" s="179">
        <f t="shared" si="2415"/>
        <v>0.85126000000000002</v>
      </c>
      <c r="CT1331" s="180">
        <f t="shared" si="2416"/>
        <v>0.72406708481540816</v>
      </c>
      <c r="CU1331" s="180">
        <f t="shared" si="2417"/>
        <v>0.62201729615248857</v>
      </c>
      <c r="CV1331" s="180">
        <f t="shared" si="2418"/>
        <v>0.9352469954311422</v>
      </c>
      <c r="CW1331" s="180">
        <f t="shared" si="2419"/>
        <v>0.42121864641655071</v>
      </c>
      <c r="CX1331" s="181">
        <f>INDEX('State Tax Lookup'!$D$7:$Z$91,MATCH(Calculation!$C1331,'State Tax Lookup'!$B$7:$B$91,0),MATCH($H1331,'State Tax Lookup'!$D$6:$Z$6,0))</f>
        <v>0.40200000000000002</v>
      </c>
      <c r="CY1331" s="72">
        <v>0.37</v>
      </c>
      <c r="CZ1331" s="70">
        <f t="shared" ref="CZ1331:CZ1352" si="2421">+(DE1331*CQ1331-CR1331)*CS1331/(1-CX1331)</f>
        <v>12.95349752925487</v>
      </c>
      <c r="DA1331" s="70"/>
      <c r="DB1331" s="69"/>
      <c r="DC1331" s="111">
        <f>VLOOKUP($H1331,RoR!$E:$F,2,FALSE)</f>
        <v>7.0824999999999999E-2</v>
      </c>
      <c r="DD1331" s="216">
        <f>HLOOKUP($H1331,'GDP-PI'!$D$8:$CQ$11,3,FALSE)</f>
        <v>2.2454495382290052E-2</v>
      </c>
      <c r="DE1331" s="111">
        <f>VLOOKUP(H1331,'HW Dx Data'!$E:$F,2,FALSE)</f>
        <v>353.44738017483138</v>
      </c>
      <c r="DF1331" s="66"/>
      <c r="DG1331" s="69"/>
      <c r="DH1331" s="66">
        <f>HLOOKUP(H1331,'GDP-PI'!$8:$9,2,FALSE)</f>
        <v>79.822000000000003</v>
      </c>
      <c r="DI1331"/>
    </row>
    <row r="1332" spans="1:113" s="160" customFormat="1" ht="21">
      <c r="A1332" s="160" t="s">
        <v>238</v>
      </c>
      <c r="B1332" s="160" t="s">
        <v>239</v>
      </c>
      <c r="C1332" s="160">
        <v>4064141</v>
      </c>
      <c r="D1332" s="161" t="s">
        <v>181</v>
      </c>
      <c r="E1332" s="161" t="s">
        <v>3</v>
      </c>
      <c r="F1332" s="189"/>
      <c r="G1332" s="160" t="s">
        <v>113</v>
      </c>
      <c r="H1332" s="162">
        <v>2002</v>
      </c>
      <c r="I1332" s="163"/>
      <c r="J1332" s="159"/>
      <c r="K1332" s="159"/>
      <c r="L1332" s="159"/>
      <c r="M1332" s="60"/>
      <c r="N1332" s="152"/>
      <c r="O1332" s="60"/>
      <c r="P1332" s="60"/>
      <c r="Q1332" s="159"/>
      <c r="R1332" s="159"/>
      <c r="S1332" s="159"/>
      <c r="T1332" s="159"/>
      <c r="U1332" s="159"/>
      <c r="V1332" s="159"/>
      <c r="W1332" s="159">
        <f t="shared" si="2410"/>
        <v>25253.863184627025</v>
      </c>
      <c r="X1332" s="163"/>
      <c r="Y1332" s="167">
        <v>2052.2299727388827</v>
      </c>
      <c r="Z1332" s="168">
        <v>6.4754253491504363E-2</v>
      </c>
      <c r="AA1332" s="78"/>
      <c r="AB1332" s="168"/>
      <c r="AC1332" s="168"/>
      <c r="AD1332" s="163">
        <f t="shared" si="2363"/>
        <v>25253.863184627025</v>
      </c>
      <c r="AE1332" s="168"/>
      <c r="AF1332" s="163"/>
      <c r="AG1332" s="163"/>
      <c r="AH1332" s="163"/>
      <c r="AI1332" s="163"/>
      <c r="AJ1332" s="167"/>
      <c r="AK1332" s="168"/>
      <c r="AL1332" s="115"/>
      <c r="AM1332" s="115"/>
      <c r="AN1332" s="115"/>
      <c r="AO1332" s="115"/>
      <c r="AP1332" s="115"/>
      <c r="AQ1332" s="168"/>
      <c r="AR1332" s="115"/>
      <c r="AS1332" s="115"/>
      <c r="AT1332" s="115"/>
      <c r="AU1332" s="115"/>
      <c r="AV1332" s="113">
        <f>IFERROR(INDEX('Total Customers'!$F$7:$AB$91,MATCH($C1332,'Total Customers'!$D$7:$D$91,0),MATCH($G1332,'Total Customers'!$F$5:$AB$5,0)),"NA")</f>
        <v>190984</v>
      </c>
      <c r="AW1332" s="68">
        <f t="shared" si="2347"/>
        <v>-6.6998871900309117E-4</v>
      </c>
      <c r="AX1332" s="114"/>
      <c r="AY1332" s="114"/>
      <c r="AZ1332" s="116"/>
      <c r="BA1332" s="116"/>
      <c r="BB1332" s="166"/>
      <c r="BC1332" s="166"/>
      <c r="BD1332" s="166"/>
      <c r="BE1332" s="166"/>
      <c r="BF1332" s="166"/>
      <c r="BG1332" s="166"/>
      <c r="BH1332" s="166"/>
      <c r="BI1332" s="113"/>
      <c r="BJ1332" s="113"/>
      <c r="BK1332" s="113">
        <f>INDEX('Dist. Plant Gas Additions'!$F$7:$AE$91,MATCH($C1332,'Dist. Plant Gas Additions'!$D$7:$D$91,0),MATCH(Calculation!$G1332,'Dist. Plant Gas Additions'!$F$5:$AE$5,0))</f>
        <v>44077</v>
      </c>
      <c r="BL1332" s="113">
        <f>INDEX('Gen. Plant Additions'!$F$7:$AE$91,MATCH($C1332,'Gen. Plant Additions'!$D$7:$D$91,0),MATCH(Calculation!$G1332,'Gen. Plant Additions'!$F$5:$AE$5,0))</f>
        <v>6338</v>
      </c>
      <c r="BM1332" s="231">
        <f t="shared" si="2366"/>
        <v>0.891172900593448</v>
      </c>
      <c r="BN1332" s="113"/>
      <c r="BO1332" s="113">
        <f>INDEX('Dist Plant Depreciation'!$E$7:$AD$94,MATCH($C1332,'Dist Plant Depreciation'!$D$7:$D$94,0),MATCH(Calculation!$G1332,'Dist Plant Depreciation'!$E$5:$AD$5,0))</f>
        <v>247837</v>
      </c>
      <c r="BP1332" s="113">
        <f>INDEX('Gen. Plant Depreciation'!$E$7:$AD$94,MATCH($C1332,'Gen. Plant Depreciation'!$D$7:$D$94,0),MATCH(Calculation!$G1332,'Gen. Plant Depreciation'!$E$5:$AD$5,0))</f>
        <v>26384</v>
      </c>
      <c r="BQ1332" s="113"/>
      <c r="BR1332" s="113"/>
      <c r="BS1332" s="113"/>
      <c r="BT1332" s="113"/>
      <c r="BU1332" s="113"/>
      <c r="BV1332" s="175"/>
      <c r="BW1332" s="113">
        <f>INDEX('Gross Dx Plant'!$E$7:$AD$91,MATCH($C1332,'Gross Dx Plant'!$D$7:$D$91,0),MATCH(Calculation!$G1332,'Gross Dx Plant'!$E$5:$AD$5,0))</f>
        <v>600431</v>
      </c>
      <c r="BX1332" s="113">
        <f>INDEX('Gross Gen Plant'!$E$7:$AD$91,MATCH($C1332,'Gross Gen Plant'!$D$7:$D$91,0),MATCH(Calculation!$G1332,'Gross Gen Plant'!$E$5:$AD$5,0))</f>
        <v>68172</v>
      </c>
      <c r="BY1332" s="113">
        <f t="shared" si="2318"/>
        <v>394382</v>
      </c>
      <c r="BZ1332" s="113"/>
      <c r="CA1332" s="116">
        <v>2002</v>
      </c>
      <c r="CB1332" s="113"/>
      <c r="CC1332" s="113"/>
      <c r="CD1332" s="113"/>
      <c r="CE1332" s="175"/>
      <c r="CF1332" s="113">
        <f t="shared" si="2411"/>
        <v>50415</v>
      </c>
      <c r="CG1332" s="113">
        <f t="shared" si="2412"/>
        <v>139.51918061511105</v>
      </c>
      <c r="CH1332" s="178">
        <v>0.97916666666666663</v>
      </c>
      <c r="CI1332" s="61">
        <f>+CI1328*CH1332+CG1329*CH1331+CG1330*CH1330+CG1331*CH1329+CG1332</f>
        <v>2052.2299727388827</v>
      </c>
      <c r="CJ1332" s="114">
        <f t="shared" si="2413"/>
        <v>6.4754253491504363E-2</v>
      </c>
      <c r="CK1332" s="114"/>
      <c r="CL1332" s="169">
        <f t="shared" si="2414"/>
        <v>5.6353030470415403E-3</v>
      </c>
      <c r="CM1332" s="169">
        <f t="shared" ref="CM1332:CM1352" si="2422">+(CL1332+CL1331+CL1330)/3</f>
        <v>5.3087532787197593E-3</v>
      </c>
      <c r="CN1332" s="114">
        <f>VLOOKUP($H1332,RoR!$E:$F,2,FALSE)</f>
        <v>6.4916666666666664E-2</v>
      </c>
      <c r="CO1332" s="169">
        <v>1.5246423291824351E-2</v>
      </c>
      <c r="CP1332" s="169">
        <f t="shared" si="2420"/>
        <v>4.9670243374842313E-2</v>
      </c>
      <c r="CQ1332" s="169">
        <f t="shared" ref="CQ1332:CQ1352" si="2423">+$CP$2-CM1332</f>
        <v>2.5593188329813867E-2</v>
      </c>
      <c r="CR1332" s="169">
        <v>2.5243621214759093E-2</v>
      </c>
      <c r="CS1332" s="179">
        <f t="shared" si="2415"/>
        <v>0.85126000000000002</v>
      </c>
      <c r="CT1332" s="180">
        <f t="shared" si="2416"/>
        <v>0.78996741384417901</v>
      </c>
      <c r="CU1332" s="180">
        <f t="shared" si="2417"/>
        <v>0.58989088575096271</v>
      </c>
      <c r="CV1332" s="180">
        <f t="shared" si="2418"/>
        <v>0.91920675783645744</v>
      </c>
      <c r="CW1332" s="180">
        <f t="shared" si="2419"/>
        <v>0.42834536472275586</v>
      </c>
      <c r="CX1332" s="181">
        <f>INDEX('State Tax Lookup'!$D$7:$Z$91,MATCH(Calculation!$C1332,'State Tax Lookup'!$B$7:$B$91,0),MATCH($H1332,'State Tax Lookup'!$D$6:$Z$6,0))</f>
        <v>0.40200000000000002</v>
      </c>
      <c r="CY1332" s="72">
        <v>0.37</v>
      </c>
      <c r="CZ1332" s="70">
        <f t="shared" si="2421"/>
        <v>13.12877520003461</v>
      </c>
      <c r="DA1332" s="70"/>
      <c r="DB1332" s="69">
        <f>LN(CZ1332/CZ1331)</f>
        <v>1.3440570247437146E-2</v>
      </c>
      <c r="DC1332" s="111">
        <f>VLOOKUP($H1332,RoR!$E:$F,2,FALSE)</f>
        <v>6.4916666666666664E-2</v>
      </c>
      <c r="DD1332" s="216">
        <f>HLOOKUP($H1332,'GDP-PI'!$D$8:$CQ$11,3,FALSE)</f>
        <v>1.5246423291824351E-2</v>
      </c>
      <c r="DE1332" s="111">
        <f>VLOOKUP(H1332,'HW Dx Data'!$E:$F,2,FALSE)</f>
        <v>361.34816573413599</v>
      </c>
      <c r="DF1332" s="66"/>
      <c r="DG1332" s="69"/>
      <c r="DH1332" s="66">
        <f>HLOOKUP(H1332,'GDP-PI'!$8:$9,2,FALSE)</f>
        <v>81.039000000000001</v>
      </c>
      <c r="DI1332" s="69">
        <f>LN(DH1332/DH1331)</f>
        <v>1.513136459537477E-2</v>
      </c>
    </row>
    <row r="1333" spans="1:113" s="160" customFormat="1" ht="21">
      <c r="A1333" s="160" t="s">
        <v>238</v>
      </c>
      <c r="B1333" s="160" t="s">
        <v>239</v>
      </c>
      <c r="C1333" s="160">
        <v>4064141</v>
      </c>
      <c r="D1333" s="161" t="s">
        <v>181</v>
      </c>
      <c r="E1333" s="161" t="s">
        <v>3</v>
      </c>
      <c r="F1333" s="189"/>
      <c r="G1333" s="160" t="s">
        <v>114</v>
      </c>
      <c r="H1333" s="162">
        <v>2003</v>
      </c>
      <c r="I1333" s="163"/>
      <c r="J1333" s="159"/>
      <c r="K1333" s="159"/>
      <c r="L1333" s="159"/>
      <c r="M1333" s="76"/>
      <c r="N1333" s="152"/>
      <c r="O1333" s="76"/>
      <c r="P1333" s="76"/>
      <c r="Q1333" s="159"/>
      <c r="R1333" s="159"/>
      <c r="S1333" s="159"/>
      <c r="T1333" s="159"/>
      <c r="U1333" s="159"/>
      <c r="V1333" s="159"/>
      <c r="W1333" s="159">
        <f t="shared" si="2410"/>
        <v>27363.304776707795</v>
      </c>
      <c r="X1333" s="163"/>
      <c r="Y1333" s="167">
        <v>2220.3545626158948</v>
      </c>
      <c r="Z1333" s="168">
        <v>7.8739902507777931E-2</v>
      </c>
      <c r="AA1333" s="78"/>
      <c r="AB1333" s="168"/>
      <c r="AC1333" s="168"/>
      <c r="AD1333" s="163">
        <f t="shared" si="2363"/>
        <v>27363.304776707795</v>
      </c>
      <c r="AE1333" s="168"/>
      <c r="AF1333" s="163"/>
      <c r="AG1333" s="163"/>
      <c r="AH1333" s="163"/>
      <c r="AI1333" s="163"/>
      <c r="AJ1333" s="167"/>
      <c r="AK1333" s="168"/>
      <c r="AL1333" s="115"/>
      <c r="AM1333" s="115"/>
      <c r="AN1333" s="115"/>
      <c r="AO1333" s="115"/>
      <c r="AP1333" s="115"/>
      <c r="AQ1333" s="168"/>
      <c r="AR1333" s="115"/>
      <c r="AS1333" s="115"/>
      <c r="AT1333" s="115"/>
      <c r="AU1333" s="115"/>
      <c r="AV1333" s="113">
        <f>IFERROR(INDEX('Total Customers'!$F$7:$AB$91,MATCH($C1333,'Total Customers'!$D$7:$D$91,0),MATCH($G1333,'Total Customers'!$F$5:$AB$5,0)),"NA")</f>
        <v>192816</v>
      </c>
      <c r="AW1333" s="68">
        <f t="shared" si="2347"/>
        <v>9.5467113807858398E-3</v>
      </c>
      <c r="AX1333" s="114"/>
      <c r="AY1333" s="114"/>
      <c r="AZ1333" s="116"/>
      <c r="BA1333" s="116"/>
      <c r="BB1333" s="166"/>
      <c r="BC1333" s="166"/>
      <c r="BD1333" s="166"/>
      <c r="BE1333" s="166"/>
      <c r="BF1333" s="166"/>
      <c r="BG1333" s="166"/>
      <c r="BH1333" s="166"/>
      <c r="BI1333" s="113"/>
      <c r="BJ1333" s="113"/>
      <c r="BK1333" s="113">
        <f>INDEX('Dist. Plant Gas Additions'!$F$7:$AE$91,MATCH($C1333,'Dist. Plant Gas Additions'!$D$7:$D$91,0),MATCH(Calculation!$G1333,'Dist. Plant Gas Additions'!$F$5:$AE$5,0))</f>
        <v>52497</v>
      </c>
      <c r="BL1333" s="113">
        <f>INDEX('Gen. Plant Additions'!$F$7:$AE$91,MATCH($C1333,'Gen. Plant Additions'!$D$7:$D$91,0),MATCH(Calculation!$G1333,'Gen. Plant Additions'!$F$5:$AE$5,0))</f>
        <v>13854</v>
      </c>
      <c r="BM1333" s="231">
        <f t="shared" si="2366"/>
        <v>0.89803814819855732</v>
      </c>
      <c r="BN1333" s="113"/>
      <c r="BO1333" s="113">
        <f>INDEX('Dist Plant Depreciation'!$E$7:$AD$94,MATCH($C1333,'Dist Plant Depreciation'!$D$7:$D$94,0),MATCH(Calculation!$G1333,'Dist Plant Depreciation'!$E$5:$AD$5,0))</f>
        <v>257621</v>
      </c>
      <c r="BP1333" s="113">
        <f>INDEX('Gen. Plant Depreciation'!$E$7:$AD$94,MATCH($C1333,'Gen. Plant Depreciation'!$D$7:$D$94,0),MATCH(Calculation!$G1333,'Gen. Plant Depreciation'!$E$5:$AD$5,0))</f>
        <v>29686</v>
      </c>
      <c r="BQ1333" s="113"/>
      <c r="BR1333" s="113"/>
      <c r="BS1333" s="113"/>
      <c r="BT1333" s="113"/>
      <c r="BU1333" s="113"/>
      <c r="BV1333" s="175"/>
      <c r="BW1333" s="113">
        <f>INDEX('Gross Dx Plant'!$E$7:$AD$91,MATCH($C1333,'Gross Dx Plant'!$D$7:$D$91,0),MATCH(Calculation!$G1333,'Gross Dx Plant'!$E$5:$AD$5,0))</f>
        <v>647928</v>
      </c>
      <c r="BX1333" s="113">
        <f>INDEX('Gross Gen Plant'!$E$7:$AD$91,MATCH($C1333,'Gross Gen Plant'!$D$7:$D$91,0),MATCH(Calculation!$G1333,'Gross Gen Plant'!$E$5:$AD$5,0))</f>
        <v>80196</v>
      </c>
      <c r="BY1333" s="113">
        <f t="shared" si="2318"/>
        <v>440817</v>
      </c>
      <c r="BZ1333" s="113"/>
      <c r="CA1333" s="116">
        <v>2003</v>
      </c>
      <c r="CB1333" s="113"/>
      <c r="CC1333" s="113"/>
      <c r="CD1333" s="113"/>
      <c r="CE1333" s="175"/>
      <c r="CF1333" s="113">
        <f t="shared" si="2411"/>
        <v>66351</v>
      </c>
      <c r="CG1333" s="113">
        <f t="shared" si="2412"/>
        <v>179.69953398337483</v>
      </c>
      <c r="CH1333" s="178">
        <v>0.97354497354497349</v>
      </c>
      <c r="CI1333" s="61">
        <f>+CI1328*CH1333+CG1329*CH1332+CG1330*CH1331+CG1331*CH1330+CG1332*CH1329+CG1333</f>
        <v>2220.3545626158948</v>
      </c>
      <c r="CJ1333" s="114">
        <f t="shared" si="2413"/>
        <v>7.8739902507777931E-2</v>
      </c>
      <c r="CK1333" s="114"/>
      <c r="CL1333" s="169">
        <f t="shared" si="2414"/>
        <v>5.6401788591533596E-3</v>
      </c>
      <c r="CM1333" s="169">
        <f t="shared" si="2422"/>
        <v>5.4763592485317023E-3</v>
      </c>
      <c r="CN1333" s="114">
        <f>VLOOKUP($H1333,RoR!$E:$F,2,FALSE)</f>
        <v>5.6666666666666671E-2</v>
      </c>
      <c r="CO1333" s="169">
        <v>1.8855119140166909E-2</v>
      </c>
      <c r="CP1333" s="169">
        <f t="shared" si="2420"/>
        <v>3.7811547526499761E-2</v>
      </c>
      <c r="CQ1333" s="169">
        <f t="shared" si="2423"/>
        <v>2.5425582360001923E-2</v>
      </c>
      <c r="CR1333" s="169">
        <v>2.1375012817671957E-2</v>
      </c>
      <c r="CS1333" s="179">
        <f t="shared" si="2415"/>
        <v>0.85126000000000002</v>
      </c>
      <c r="CT1333" s="180">
        <f t="shared" si="2416"/>
        <v>0.90497737556561086</v>
      </c>
      <c r="CU1333" s="180">
        <f t="shared" si="2417"/>
        <v>0.5338235294117647</v>
      </c>
      <c r="CV1333" s="180">
        <f t="shared" si="2418"/>
        <v>0.88972433127405692</v>
      </c>
      <c r="CW1333" s="180">
        <f t="shared" si="2419"/>
        <v>0.42982423775949252</v>
      </c>
      <c r="CX1333" s="181">
        <f>INDEX('State Tax Lookup'!$D$7:$Z$91,MATCH(Calculation!$C1333,'State Tax Lookup'!$B$7:$B$91,0),MATCH($H1333,'State Tax Lookup'!$D$6:$Z$6,0))</f>
        <v>0.40200000000000002</v>
      </c>
      <c r="CY1333" s="72">
        <v>0.37</v>
      </c>
      <c r="CZ1333" s="70">
        <f t="shared" si="2421"/>
        <v>13.333449535477275</v>
      </c>
      <c r="DA1333" s="70"/>
      <c r="DB1333" s="69">
        <f t="shared" ref="DB1333:DB1350" si="2424">LN(CZ1333/CZ1332)</f>
        <v>1.5469479161418024E-2</v>
      </c>
      <c r="DC1333" s="111">
        <f>VLOOKUP($H1333,RoR!$E:$F,2,FALSE)</f>
        <v>5.6666666666666671E-2</v>
      </c>
      <c r="DD1333" s="216">
        <f>HLOOKUP($H1333,'GDP-PI'!$D$8:$CQ$11,3,FALSE)</f>
        <v>1.8855119140166909E-2</v>
      </c>
      <c r="DE1333" s="111">
        <f>VLOOKUP(H1333,'HW Dx Data'!$E:$F,2,FALSE)</f>
        <v>369.23301095560191</v>
      </c>
      <c r="DF1333" s="66"/>
      <c r="DG1333" s="69"/>
      <c r="DH1333" s="66">
        <f>HLOOKUP(H1333,'GDP-PI'!$8:$9,2,FALSE)</f>
        <v>82.566999999999993</v>
      </c>
      <c r="DI1333" s="69">
        <f t="shared" ref="DI1333:DI1352" si="2425">LN(DH1333/DH1332)</f>
        <v>1.8679564681853753E-2</v>
      </c>
    </row>
    <row r="1334" spans="1:113" s="160" customFormat="1" ht="21">
      <c r="A1334" s="160" t="s">
        <v>238</v>
      </c>
      <c r="B1334" s="160" t="s">
        <v>239</v>
      </c>
      <c r="C1334" s="160">
        <v>4064141</v>
      </c>
      <c r="D1334" s="161" t="s">
        <v>181</v>
      </c>
      <c r="E1334" s="161" t="s">
        <v>3</v>
      </c>
      <c r="F1334" s="189"/>
      <c r="G1334" s="160" t="s">
        <v>115</v>
      </c>
      <c r="H1334" s="162">
        <v>2004</v>
      </c>
      <c r="I1334" s="163"/>
      <c r="J1334" s="159">
        <f>IFERROR(INDEX('Labor Expenditures'!$F$7:$X$91,MATCH($C1334,'Labor Expenditures'!$D$7:$D$91,0),MATCH($G1334,'Labor Expenditures'!$F$5:$X$5,0)),"NA")</f>
        <v>23894.892477881745</v>
      </c>
      <c r="K1334" s="159">
        <f t="shared" ref="K1334:K1352" si="2426">+J1334/DF1334</f>
        <v>253.25800188533913</v>
      </c>
      <c r="L1334" s="165"/>
      <c r="M1334" s="76"/>
      <c r="N1334" s="152"/>
      <c r="O1334" s="76"/>
      <c r="P1334" s="76"/>
      <c r="Q1334" s="159">
        <f>IFERROR(INDEX('Non-Labor Expenditures'!$F$7:$AB$91,MATCH($C1334,'Non-Labor Expenditures'!$D$7:$D$91,0),MATCH($G1334,'Non-Labor Expenditures'!$F$5:$AB$5,0)),"NA")</f>
        <v>34604.267258270527</v>
      </c>
      <c r="R1334" s="159">
        <f t="shared" ref="R1334:R1352" si="2427">+Q1334/DH1334</f>
        <v>408.17508384569732</v>
      </c>
      <c r="S1334" s="159"/>
      <c r="T1334" s="159"/>
      <c r="U1334" s="159"/>
      <c r="V1334" s="159"/>
      <c r="W1334" s="159">
        <f t="shared" si="2410"/>
        <v>32889.634465434727</v>
      </c>
      <c r="X1334" s="163"/>
      <c r="Y1334" s="167">
        <v>2319.6056086485155</v>
      </c>
      <c r="Z1334" s="168">
        <v>4.3730278933537967E-2</v>
      </c>
      <c r="AA1334" s="76">
        <f t="shared" ref="AA1334:AA1352" si="2428">+Z1334*$AR1334</f>
        <v>0</v>
      </c>
      <c r="AB1334" s="168"/>
      <c r="AC1334" s="168"/>
      <c r="AD1334" s="163">
        <f t="shared" si="2363"/>
        <v>91388.794201587007</v>
      </c>
      <c r="AE1334" s="168"/>
      <c r="AF1334" s="163"/>
      <c r="AG1334" s="163"/>
      <c r="AH1334" s="163"/>
      <c r="AI1334" s="163"/>
      <c r="AJ1334" s="167"/>
      <c r="AK1334" s="168"/>
      <c r="AL1334" s="115">
        <f t="shared" ref="AL1334:AL1352" si="2429">+J1334/AD1334</f>
        <v>0.261464139959807</v>
      </c>
      <c r="AM1334" s="115">
        <f t="shared" ref="AM1334:AM1352" si="2430">+Q1334/AD1334</f>
        <v>0.37864890942690221</v>
      </c>
      <c r="AN1334" s="115">
        <f t="shared" ref="AN1334:AN1352" si="2431">+W1334/AD1334</f>
        <v>0.35988695061329068</v>
      </c>
      <c r="AO1334" s="115"/>
      <c r="AP1334" s="115"/>
      <c r="AQ1334" s="168"/>
      <c r="AR1334" s="115"/>
      <c r="AS1334" s="115"/>
      <c r="AT1334" s="115"/>
      <c r="AU1334" s="115"/>
      <c r="AV1334" s="113">
        <f>IFERROR(INDEX('Total Customers'!$F$7:$AB$91,MATCH($C1334,'Total Customers'!$D$7:$D$91,0),MATCH($G1334,'Total Customers'!$F$5:$AB$5,0)),"NA")</f>
        <v>194212</v>
      </c>
      <c r="AW1334" s="68">
        <f t="shared" si="2347"/>
        <v>7.2139796301877879E-3</v>
      </c>
      <c r="AX1334" s="114"/>
      <c r="AY1334" s="114"/>
      <c r="AZ1334" s="116"/>
      <c r="BA1334" s="116"/>
      <c r="BB1334" s="166"/>
      <c r="BC1334" s="166"/>
      <c r="BD1334" s="166"/>
      <c r="BE1334" s="166"/>
      <c r="BF1334" s="166"/>
      <c r="BG1334" s="166"/>
      <c r="BH1334" s="166"/>
      <c r="BI1334" s="113"/>
      <c r="BJ1334" s="113"/>
      <c r="BK1334" s="113">
        <f>INDEX('Dist. Plant Gas Additions'!$F$7:$AE$91,MATCH($C1334,'Dist. Plant Gas Additions'!$D$7:$D$91,0),MATCH(Calculation!$G1334,'Dist. Plant Gas Additions'!$F$5:$AE$5,0))</f>
        <v>45512</v>
      </c>
      <c r="BL1334" s="113">
        <f>INDEX('Gen. Plant Additions'!$F$7:$AE$91,MATCH($C1334,'Gen. Plant Additions'!$D$7:$D$91,0),MATCH(Calculation!$G1334,'Gen. Plant Additions'!$F$5:$AE$5,0))</f>
        <v>993</v>
      </c>
      <c r="BM1334" s="231">
        <f t="shared" si="2366"/>
        <v>0.88985941954941739</v>
      </c>
      <c r="BN1334" s="113"/>
      <c r="BO1334" s="113">
        <f>INDEX('Dist Plant Depreciation'!$E$7:$AD$94,MATCH($C1334,'Dist Plant Depreciation'!$D$7:$D$94,0),MATCH(Calculation!$G1334,'Dist Plant Depreciation'!$E$5:$AD$5,0))</f>
        <v>268255</v>
      </c>
      <c r="BP1334" s="113">
        <f>INDEX('Gen. Plant Depreciation'!$E$7:$AD$94,MATCH($C1334,'Gen. Plant Depreciation'!$D$7:$D$94,0),MATCH(Calculation!$G1334,'Gen. Plant Depreciation'!$E$5:$AD$5,0))</f>
        <v>33109</v>
      </c>
      <c r="BQ1334" s="113"/>
      <c r="BR1334" s="113"/>
      <c r="BS1334" s="113"/>
      <c r="BT1334" s="113"/>
      <c r="BU1334" s="113"/>
      <c r="BV1334" s="175"/>
      <c r="BW1334" s="113">
        <f>INDEX('Gross Dx Plant'!$E$7:$AD$91,MATCH($C1334,'Gross Dx Plant'!$D$7:$D$91,0),MATCH(Calculation!$G1334,'Gross Dx Plant'!$E$5:$AD$5,0))</f>
        <v>688670</v>
      </c>
      <c r="BX1334" s="113">
        <f>INDEX('Gross Gen Plant'!$E$7:$AD$91,MATCH($C1334,'Gross Gen Plant'!$D$7:$D$91,0),MATCH(Calculation!$G1334,'Gross Gen Plant'!$E$5:$AD$5,0))</f>
        <v>78436</v>
      </c>
      <c r="BY1334" s="113">
        <f t="shared" si="2318"/>
        <v>465742</v>
      </c>
      <c r="BZ1334" s="113"/>
      <c r="CA1334" s="116">
        <v>2004</v>
      </c>
      <c r="CB1334" s="113"/>
      <c r="CC1334" s="113"/>
      <c r="CD1334" s="113"/>
      <c r="CE1334" s="175"/>
      <c r="CF1334" s="113">
        <f t="shared" si="2411"/>
        <v>46505</v>
      </c>
      <c r="CG1334" s="113">
        <f t="shared" si="2412"/>
        <v>112.09071036495864</v>
      </c>
      <c r="CH1334" s="178">
        <v>0.967741935483871</v>
      </c>
      <c r="CI1334" s="61">
        <f>+CI1328*CH1334+CG1329*CH1333+CG1330*CH1332+CG1331*CH1331+CG1332*CH1330+CG1333*CH1329+CG1334</f>
        <v>2319.6056086485155</v>
      </c>
      <c r="CJ1334" s="114">
        <f t="shared" si="2413"/>
        <v>4.3730278933537967E-2</v>
      </c>
      <c r="CK1334" s="114"/>
      <c r="CL1334" s="169">
        <f t="shared" si="2414"/>
        <v>5.7827090089661061E-3</v>
      </c>
      <c r="CM1334" s="169">
        <f t="shared" si="2422"/>
        <v>5.6860636383870011E-3</v>
      </c>
      <c r="CN1334" s="114">
        <f>VLOOKUP($H1334,RoR!$E:$F,2,FALSE)</f>
        <v>5.6283333333333331E-2</v>
      </c>
      <c r="CO1334" s="169">
        <v>2.6778252812867276E-2</v>
      </c>
      <c r="CP1334" s="169">
        <f t="shared" si="2420"/>
        <v>2.9505080520466055E-2</v>
      </c>
      <c r="CQ1334" s="169">
        <f t="shared" si="2423"/>
        <v>2.5215877970146624E-2</v>
      </c>
      <c r="CR1334" s="169">
        <v>5.5940039414565046E-2</v>
      </c>
      <c r="CS1334" s="179">
        <f t="shared" si="2415"/>
        <v>0.85126000000000002</v>
      </c>
      <c r="CT1334" s="180">
        <f t="shared" si="2416"/>
        <v>0.91114097628755619</v>
      </c>
      <c r="CU1334" s="180">
        <f t="shared" si="2417"/>
        <v>0.53081877405981637</v>
      </c>
      <c r="CV1334" s="180">
        <f t="shared" si="2418"/>
        <v>0.88811215519385678</v>
      </c>
      <c r="CW1334" s="180">
        <f t="shared" si="2419"/>
        <v>0.42953609753547711</v>
      </c>
      <c r="CX1334" s="181">
        <f>INDEX('State Tax Lookup'!$D$7:$Z$91,MATCH(Calculation!$C1334,'State Tax Lookup'!$B$7:$B$91,0),MATCH($H1334,'State Tax Lookup'!$D$6:$Z$6,0))</f>
        <v>0.40200000000000002</v>
      </c>
      <c r="CY1334" s="72">
        <v>0.37</v>
      </c>
      <c r="CZ1334" s="70">
        <f t="shared" si="2421"/>
        <v>14.812784867424975</v>
      </c>
      <c r="DA1334" s="70"/>
      <c r="DB1334" s="69">
        <f t="shared" si="2424"/>
        <v>0.10521476969789706</v>
      </c>
      <c r="DC1334" s="111">
        <f>VLOOKUP($H1334,RoR!$E:$F,2,FALSE)</f>
        <v>5.6283333333333331E-2</v>
      </c>
      <c r="DD1334" s="216">
        <f>HLOOKUP($H1334,'GDP-PI'!$D$8:$CQ$11,3,FALSE)</f>
        <v>2.6778252812867276E-2</v>
      </c>
      <c r="DE1334" s="111">
        <f>VLOOKUP(H1334,'HW Dx Data'!$E:$F,2,FALSE)</f>
        <v>414.88719135228365</v>
      </c>
      <c r="DF1334" s="72">
        <f>VLOOKUP(G1334,EG$8:EH$27,2,FALSE)</f>
        <v>94.35</v>
      </c>
      <c r="DG1334" s="69"/>
      <c r="DH1334" s="66">
        <f>HLOOKUP(H1334,'GDP-PI'!$8:$9,2,FALSE)</f>
        <v>84.778000000000006</v>
      </c>
      <c r="DI1334" s="69">
        <f t="shared" si="2425"/>
        <v>2.6425990216022755E-2</v>
      </c>
    </row>
    <row r="1335" spans="1:113" s="160" customFormat="1" ht="21">
      <c r="A1335" s="160" t="s">
        <v>238</v>
      </c>
      <c r="B1335" s="160" t="s">
        <v>239</v>
      </c>
      <c r="C1335" s="160">
        <v>4064141</v>
      </c>
      <c r="D1335" s="161" t="s">
        <v>181</v>
      </c>
      <c r="E1335" s="161" t="s">
        <v>3</v>
      </c>
      <c r="F1335" s="189"/>
      <c r="G1335" s="160" t="s">
        <v>116</v>
      </c>
      <c r="H1335" s="162">
        <v>2005</v>
      </c>
      <c r="I1335" s="163"/>
      <c r="J1335" s="159">
        <f>IFERROR(INDEX('Labor Expenditures'!$F$7:$X$91,MATCH($C1335,'Labor Expenditures'!$D$7:$D$91,0),MATCH($G1335,'Labor Expenditures'!$F$5:$X$5,0)),"NA")</f>
        <v>25302.443898977537</v>
      </c>
      <c r="K1335" s="159">
        <f t="shared" si="2426"/>
        <v>255.00069437115181</v>
      </c>
      <c r="L1335" s="165">
        <f t="shared" ref="L1335:L1351" si="2432">LN(K1335/K1334)</f>
        <v>6.8575287660432244E-3</v>
      </c>
      <c r="M1335" s="76"/>
      <c r="N1335" s="62">
        <v>100</v>
      </c>
      <c r="O1335" s="77"/>
      <c r="P1335" s="77"/>
      <c r="Q1335" s="159">
        <f>IFERROR(INDEX('Non-Labor Expenditures'!$F$7:$AB$91,MATCH($C1335,'Non-Labor Expenditures'!$D$7:$D$91,0),MATCH($G1335,'Non-Labor Expenditures'!$F$5:$AB$5,0)),"NA")</f>
        <v>36642.664610359177</v>
      </c>
      <c r="R1335" s="159">
        <f t="shared" si="2427"/>
        <v>419.21887961329389</v>
      </c>
      <c r="S1335" s="165">
        <f>LN(R1335/R1334)</f>
        <v>2.6696959809879281E-2</v>
      </c>
      <c r="T1335" s="165"/>
      <c r="U1335" s="165"/>
      <c r="V1335" s="165"/>
      <c r="W1335" s="159">
        <f t="shared" si="2410"/>
        <v>38597.872627381788</v>
      </c>
      <c r="X1335" s="163"/>
      <c r="Y1335" s="167">
        <v>2388.1849249908983</v>
      </c>
      <c r="Z1335" s="168">
        <v>2.9136456852987217E-2</v>
      </c>
      <c r="AA1335" s="76">
        <f t="shared" si="2428"/>
        <v>0</v>
      </c>
      <c r="AB1335" s="168"/>
      <c r="AC1335" s="168"/>
      <c r="AD1335" s="163">
        <f t="shared" si="2363"/>
        <v>100542.9811367185</v>
      </c>
      <c r="AE1335" s="168">
        <f>LN(AD1335/AD1334)</f>
        <v>9.5462439864558393E-2</v>
      </c>
      <c r="AF1335" s="163"/>
      <c r="AG1335" s="163"/>
      <c r="AH1335" s="163"/>
      <c r="AI1335" s="163"/>
      <c r="AJ1335" s="116"/>
      <c r="AK1335" s="114"/>
      <c r="AL1335" s="115">
        <f t="shared" si="2429"/>
        <v>0.25165798360972841</v>
      </c>
      <c r="AM1335" s="115">
        <f t="shared" si="2430"/>
        <v>0.36444776349462349</v>
      </c>
      <c r="AN1335" s="115">
        <f t="shared" si="2431"/>
        <v>0.3838942528956481</v>
      </c>
      <c r="AO1335" s="115">
        <f t="shared" ref="AO1335:AO1351" si="2433">+(((AL1335+AL1334)/2)*L1335+((AM1334+AM1335)/2)*S1335+((AN1334+AN1335)/2)*Z1335)</f>
        <v>2.2514160339406678E-2</v>
      </c>
      <c r="AP1335" s="166">
        <v>100</v>
      </c>
      <c r="AQ1335" s="168"/>
      <c r="AR1335" s="115"/>
      <c r="AS1335" s="115"/>
      <c r="AT1335" s="115"/>
      <c r="AU1335" s="115"/>
      <c r="AV1335" s="113">
        <f>IFERROR(INDEX('Total Customers'!$F$7:$AB$91,MATCH($C1335,'Total Customers'!$D$7:$D$91,0),MATCH($G1335,'Total Customers'!$F$5:$AB$5,0)),"NA")</f>
        <v>196870</v>
      </c>
      <c r="AW1335" s="68">
        <f t="shared" si="2347"/>
        <v>1.359326651677204E-2</v>
      </c>
      <c r="AX1335" s="114"/>
      <c r="AY1335" s="114"/>
      <c r="AZ1335" s="116"/>
      <c r="BA1335" s="116"/>
      <c r="BB1335" s="166"/>
      <c r="BC1335" s="166"/>
      <c r="BD1335" s="166"/>
      <c r="BE1335" s="166"/>
      <c r="BF1335" s="166"/>
      <c r="BG1335" s="166"/>
      <c r="BH1335" s="166"/>
      <c r="BI1335" s="113"/>
      <c r="BJ1335" s="113"/>
      <c r="BK1335" s="113">
        <f>INDEX('Dist. Plant Gas Additions'!$F$7:$AE$91,MATCH($C1335,'Dist. Plant Gas Additions'!$D$7:$D$91,0),MATCH(Calculation!$G1335,'Dist. Plant Gas Additions'!$F$5:$AE$5,0))</f>
        <v>38473</v>
      </c>
      <c r="BL1335" s="113">
        <f>INDEX('Gen. Plant Additions'!$F$7:$AE$91,MATCH($C1335,'Gen. Plant Additions'!$D$7:$D$91,0),MATCH(Calculation!$G1335,'Gen. Plant Additions'!$F$5:$AE$5,0))</f>
        <v>186</v>
      </c>
      <c r="BM1335" s="231">
        <f t="shared" si="2366"/>
        <v>0.89775076716907443</v>
      </c>
      <c r="BN1335" s="113"/>
      <c r="BO1335" s="113">
        <f>INDEX('Dist Plant Depreciation'!$E$7:$AD$94,MATCH($C1335,'Dist Plant Depreciation'!$D$7:$D$94,0),MATCH(Calculation!$G1335,'Dist Plant Depreciation'!$E$5:$AD$5,0))</f>
        <v>262207</v>
      </c>
      <c r="BP1335" s="113">
        <f>INDEX('Gen. Plant Depreciation'!$E$7:$AD$94,MATCH($C1335,'Gen. Plant Depreciation'!$D$7:$D$94,0),MATCH(Calculation!$G1335,'Gen. Plant Depreciation'!$E$5:$AD$5,0))</f>
        <v>37642</v>
      </c>
      <c r="BQ1335" s="113"/>
      <c r="BR1335" s="113"/>
      <c r="BS1335" s="113"/>
      <c r="BT1335" s="113"/>
      <c r="BU1335" s="113"/>
      <c r="BV1335" s="175"/>
      <c r="BW1335" s="113">
        <f>INDEX('Gross Dx Plant'!$E$7:$AD$91,MATCH($C1335,'Gross Dx Plant'!$D$7:$D$91,0),MATCH(Calculation!$G1335,'Gross Dx Plant'!$E$5:$AD$5,0))</f>
        <v>722815</v>
      </c>
      <c r="BX1335" s="113">
        <f>INDEX('Gross Gen Plant'!$E$7:$AD$91,MATCH($C1335,'Gross Gen Plant'!$D$7:$D$91,0),MATCH(Calculation!$G1335,'Gross Gen Plant'!$E$5:$AD$5,0))</f>
        <v>78263</v>
      </c>
      <c r="BY1335" s="113">
        <f t="shared" si="2318"/>
        <v>501229</v>
      </c>
      <c r="BZ1335" s="113"/>
      <c r="CA1335" s="116">
        <v>2005</v>
      </c>
      <c r="CB1335" s="113"/>
      <c r="CC1335" s="113"/>
      <c r="CD1335" s="113"/>
      <c r="CE1335" s="175"/>
      <c r="CF1335" s="113">
        <f t="shared" si="2411"/>
        <v>38659</v>
      </c>
      <c r="CG1335" s="113">
        <f t="shared" si="2412"/>
        <v>82.392532978677792</v>
      </c>
      <c r="CH1335" s="178">
        <v>0.96174863387978138</v>
      </c>
      <c r="CI1335" s="61">
        <f>+CI1328*CH1335+CG1329*CH1334+CG1330*CH1333+CG1331*CH1332+CG1332*CH1331+CG1333*CH1330+CG1334*CH1329+CG1335</f>
        <v>2388.1849249908983</v>
      </c>
      <c r="CJ1335" s="114">
        <f t="shared" si="2413"/>
        <v>2.9136456852987217E-2</v>
      </c>
      <c r="CK1335" s="114"/>
      <c r="CL1335" s="169">
        <f t="shared" si="2414"/>
        <v>5.9549850133114261E-3</v>
      </c>
      <c r="CM1335" s="169">
        <f t="shared" si="2422"/>
        <v>5.7926242938102978E-3</v>
      </c>
      <c r="CN1335" s="114">
        <f>VLOOKUP($H1335,RoR!$E:$F,2,FALSE)</f>
        <v>5.2350000000000001E-2</v>
      </c>
      <c r="CO1335" s="169">
        <v>3.1010403642454332E-2</v>
      </c>
      <c r="CP1335" s="169">
        <f t="shared" si="2420"/>
        <v>2.1339596357545669E-2</v>
      </c>
      <c r="CQ1335" s="169">
        <f t="shared" si="2423"/>
        <v>2.5109317314723326E-2</v>
      </c>
      <c r="CR1335" s="169">
        <v>9.2129610649277341E-2</v>
      </c>
      <c r="CS1335" s="179">
        <f t="shared" si="2415"/>
        <v>0.85126000000000002</v>
      </c>
      <c r="CT1335" s="180">
        <f t="shared" si="2416"/>
        <v>0.97959983346802826</v>
      </c>
      <c r="CU1335" s="180">
        <f t="shared" si="2417"/>
        <v>0.49744508118433622</v>
      </c>
      <c r="CV1335" s="180">
        <f t="shared" si="2418"/>
        <v>0.87010519444335932</v>
      </c>
      <c r="CW1335" s="180">
        <f t="shared" si="2419"/>
        <v>0.42399975420741998</v>
      </c>
      <c r="CX1335" s="181">
        <f>INDEX('State Tax Lookup'!$D$7:$Z$91,MATCH(Calculation!$C1335,'State Tax Lookup'!$B$7:$B$91,0),MATCH($H1335,'State Tax Lookup'!$D$6:$Z$6,0))</f>
        <v>0.40200000000000002</v>
      </c>
      <c r="CY1335" s="72">
        <v>0.37</v>
      </c>
      <c r="CZ1335" s="70">
        <f t="shared" si="2421"/>
        <v>16.639842774768198</v>
      </c>
      <c r="DA1335" s="70"/>
      <c r="DB1335" s="69">
        <f t="shared" si="2424"/>
        <v>0.11630933645016257</v>
      </c>
      <c r="DC1335" s="111">
        <f>VLOOKUP($H1335,RoR!$E:$F,2,FALSE)</f>
        <v>5.2350000000000001E-2</v>
      </c>
      <c r="DD1335" s="216">
        <f>HLOOKUP($H1335,'GDP-PI'!$D$8:$CQ$11,3,FALSE)</f>
        <v>3.1010403642454332E-2</v>
      </c>
      <c r="DE1335" s="111">
        <f>VLOOKUP(H1335,'HW Dx Data'!$E:$F,2,FALSE)</f>
        <v>469.20514034936258</v>
      </c>
      <c r="DF1335" s="72">
        <f t="shared" ref="DF1335:DF1353" si="2434">VLOOKUP(G1335,EG$8:EH$27,2,FALSE)</f>
        <v>99.224999999999994</v>
      </c>
      <c r="DG1335" s="69">
        <f t="shared" ref="DG1335:DG1353" si="2435">LN(DF1335/DF1334)</f>
        <v>5.0378726854569796E-2</v>
      </c>
      <c r="DH1335" s="66">
        <f>HLOOKUP(H1335,'GDP-PI'!$8:$9,2,FALSE)</f>
        <v>87.406999999999996</v>
      </c>
      <c r="DI1335" s="69">
        <f t="shared" si="2425"/>
        <v>3.0539295810733648E-2</v>
      </c>
    </row>
    <row r="1336" spans="1:113" s="160" customFormat="1" ht="21">
      <c r="A1336" s="160" t="s">
        <v>238</v>
      </c>
      <c r="B1336" s="160" t="s">
        <v>239</v>
      </c>
      <c r="C1336" s="160">
        <v>4064141</v>
      </c>
      <c r="D1336" s="161" t="s">
        <v>181</v>
      </c>
      <c r="E1336" s="161" t="s">
        <v>3</v>
      </c>
      <c r="F1336" s="189"/>
      <c r="G1336" s="160" t="s">
        <v>117</v>
      </c>
      <c r="H1336" s="162">
        <v>2006</v>
      </c>
      <c r="I1336" s="163"/>
      <c r="J1336" s="159">
        <f>IFERROR(INDEX('Labor Expenditures'!$F$7:$X$91,MATCH($C1336,'Labor Expenditures'!$D$7:$D$91,0),MATCH($G1336,'Labor Expenditures'!$F$5:$X$5,0)),"NA")</f>
        <v>25095.715676010917</v>
      </c>
      <c r="K1336" s="159">
        <f t="shared" si="2426"/>
        <v>229.39411038401204</v>
      </c>
      <c r="L1336" s="165">
        <f t="shared" si="2432"/>
        <v>-0.10582473781484712</v>
      </c>
      <c r="M1336" s="76">
        <f t="shared" ref="M1336:M1352" si="2436">+L1336*$AR1336</f>
        <v>-1.3330456625527162E-3</v>
      </c>
      <c r="N1336" s="62">
        <f>+N1335*EXP(O1336)</f>
        <v>116.2593306867299</v>
      </c>
      <c r="O1336" s="96">
        <f t="shared" ref="O1336:O1352" si="2437">+M1336+M1361+M1386+M1411+M1436+M1461+M1486+M1511+M1536+M1561+M1586+M1611+M1636+M1661+M1686+M1711+M1736+M1761+M1786+M1811+M1836+M1861+M1886+M1911+M1936+M1961+M1986+M2011+M2036+M2061+M2086+M2111+M2136+M2161+M2186+M2211+M2236+M2261+M2286+M2311+M2336+M2361+M2386+M2411+M2436+M2461+M2486+M2511+M2536+M2561+M2586+M2611+M2636+M2661</f>
        <v>0.15065311923026412</v>
      </c>
      <c r="P1336" s="96"/>
      <c r="Q1336" s="159">
        <f>IFERROR(INDEX('Non-Labor Expenditures'!$F$7:$AB$91,MATCH($C1336,'Non-Labor Expenditures'!$D$7:$D$91,0),MATCH($G1336,'Non-Labor Expenditures'!$F$5:$AB$5,0)),"NA")</f>
        <v>36343.283531997513</v>
      </c>
      <c r="R1336" s="159">
        <f t="shared" si="2427"/>
        <v>403.4825091813122</v>
      </c>
      <c r="S1336" s="165">
        <f t="shared" ref="S1336:S1351" si="2438">LN(R1336/R1335)</f>
        <v>-3.8260030221549751E-2</v>
      </c>
      <c r="T1336" s="165">
        <f t="shared" ref="T1336:T1352" si="2439">+S1336*AR1336</f>
        <v>-4.8195127518489483E-4</v>
      </c>
      <c r="U1336" s="165"/>
      <c r="V1336" s="165"/>
      <c r="W1336" s="159">
        <f t="shared" si="2410"/>
        <v>38826.260505572915</v>
      </c>
      <c r="X1336" s="163"/>
      <c r="Y1336" s="167">
        <v>2445.6447263637579</v>
      </c>
      <c r="Z1336" s="168">
        <v>2.3775148122580626E-2</v>
      </c>
      <c r="AA1336" s="76">
        <f t="shared" si="2428"/>
        <v>2.994891245259282E-4</v>
      </c>
      <c r="AB1336" s="168"/>
      <c r="AC1336" s="168"/>
      <c r="AD1336" s="163">
        <f t="shared" si="2363"/>
        <v>100265.25971358136</v>
      </c>
      <c r="AE1336" s="168">
        <f t="shared" ref="AE1336:AE1352" si="2440">LN(AD1336/AD1335)</f>
        <v>-2.7660378780362664E-3</v>
      </c>
      <c r="AF1336" s="163"/>
      <c r="AG1336" s="163"/>
      <c r="AH1336" s="163"/>
      <c r="AI1336" s="163"/>
      <c r="AJ1336" s="116">
        <f t="shared" ref="AJ1336:AJ1352" si="2441">+(AD1336*1000)/AV1336</f>
        <v>502.8928096700289</v>
      </c>
      <c r="AK1336" s="114">
        <f>+AV1336/$AX$11</f>
        <v>5.7488082461606494E-3</v>
      </c>
      <c r="AL1336" s="115">
        <f t="shared" si="2429"/>
        <v>0.25029322965601014</v>
      </c>
      <c r="AM1336" s="115">
        <f t="shared" si="2430"/>
        <v>0.36247134486876176</v>
      </c>
      <c r="AN1336" s="115">
        <f t="shared" si="2431"/>
        <v>0.38723542547522799</v>
      </c>
      <c r="AO1336" s="115">
        <f t="shared" si="2433"/>
        <v>-3.1298540134655391E-2</v>
      </c>
      <c r="AP1336" s="166">
        <f>+AP1335*EXP(AO1336)</f>
        <v>96.918618890643842</v>
      </c>
      <c r="AQ1336" s="168">
        <f>LN(AP1336/AP1335)</f>
        <v>-3.1298540134655529E-2</v>
      </c>
      <c r="AR1336" s="169">
        <f>+AD1336/$AF$11</f>
        <v>1.2596730122639538E-2</v>
      </c>
      <c r="AS1336" s="169">
        <f>+AR1336*AQ1336</f>
        <v>-3.9425926330885784E-4</v>
      </c>
      <c r="AT1336" s="115"/>
      <c r="AU1336" s="115"/>
      <c r="AV1336" s="113">
        <f>IFERROR(INDEX('Total Customers'!$F$7:$AB$91,MATCH($C1336,'Total Customers'!$D$7:$D$91,0),MATCH($G1336,'Total Customers'!$F$5:$AB$5,0)),"NA")</f>
        <v>199377</v>
      </c>
      <c r="AW1336" s="68">
        <f t="shared" si="2347"/>
        <v>1.2653892404762014E-2</v>
      </c>
      <c r="AX1336" s="114"/>
      <c r="AY1336" s="114"/>
      <c r="AZ1336" s="116">
        <v>8247377</v>
      </c>
      <c r="BA1336" s="116"/>
      <c r="BB1336" s="166"/>
      <c r="BC1336" s="166"/>
      <c r="BD1336" s="166"/>
      <c r="BE1336" s="166"/>
      <c r="BF1336" s="166"/>
      <c r="BG1336" s="166"/>
      <c r="BH1336" s="166"/>
      <c r="BI1336" s="113"/>
      <c r="BJ1336" s="113"/>
      <c r="BK1336" s="113">
        <f>INDEX('Dist. Plant Gas Additions'!$F$7:$AE$91,MATCH($C1336,'Dist. Plant Gas Additions'!$D$7:$D$91,0),MATCH(Calculation!$G1336,'Dist. Plant Gas Additions'!$F$5:$AE$5,0))</f>
        <v>31112</v>
      </c>
      <c r="BL1336" s="113">
        <f>INDEX('Gen. Plant Additions'!$F$7:$AE$91,MATCH($C1336,'Gen. Plant Additions'!$D$7:$D$91,0),MATCH(Calculation!$G1336,'Gen. Plant Additions'!$F$5:$AE$5,0))</f>
        <v>2149</v>
      </c>
      <c r="BM1336" s="231">
        <f t="shared" si="2366"/>
        <v>0.90230289684649934</v>
      </c>
      <c r="BN1336" s="113"/>
      <c r="BO1336" s="113">
        <f>INDEX('Dist Plant Depreciation'!$E$7:$AD$94,MATCH($C1336,'Dist Plant Depreciation'!$D$7:$D$94,0),MATCH(Calculation!$G1336,'Dist Plant Depreciation'!$E$5:$AD$5,0))</f>
        <v>273337</v>
      </c>
      <c r="BP1336" s="113">
        <f>INDEX('Gen. Plant Depreciation'!$E$7:$AD$94,MATCH($C1336,'Gen. Plant Depreciation'!$D$7:$D$94,0),MATCH(Calculation!$G1336,'Gen. Plant Depreciation'!$E$5:$AD$5,0))</f>
        <v>43671</v>
      </c>
      <c r="BQ1336" s="113"/>
      <c r="BR1336" s="113"/>
      <c r="BS1336" s="113"/>
      <c r="BT1336" s="113"/>
      <c r="BU1336" s="113"/>
      <c r="BV1336" s="175"/>
      <c r="BW1336" s="113">
        <f>INDEX('Gross Dx Plant'!$E$7:$AD$91,MATCH($C1336,'Gross Dx Plant'!$D$7:$D$91,0),MATCH(Calculation!$G1336,'Gross Dx Plant'!$E$5:$AD$5,0))</f>
        <v>753415</v>
      </c>
      <c r="BX1336" s="113">
        <f>INDEX('Gross Gen Plant'!$E$7:$AD$91,MATCH($C1336,'Gross Gen Plant'!$D$7:$D$91,0),MATCH(Calculation!$G1336,'Gross Gen Plant'!$E$5:$AD$5,0))</f>
        <v>80168</v>
      </c>
      <c r="BY1336" s="113">
        <f t="shared" si="2318"/>
        <v>516575</v>
      </c>
      <c r="BZ1336" s="114"/>
      <c r="CA1336" s="116">
        <v>2006</v>
      </c>
      <c r="CB1336" s="113"/>
      <c r="CC1336" s="113"/>
      <c r="CD1336" s="113"/>
      <c r="CE1336" s="175"/>
      <c r="CF1336" s="113">
        <f t="shared" si="2411"/>
        <v>33261</v>
      </c>
      <c r="CG1336" s="113">
        <f t="shared" si="2412"/>
        <v>72.136268739577858</v>
      </c>
      <c r="CH1336" s="178">
        <v>0.9555555555555556</v>
      </c>
      <c r="CI1336" s="61">
        <f>+CI1328*CH1336+CG1329*CH1335+CG1330*CH1334+CG1331*CH1333+CG1332*CH1332+CG1333*CH1331+CG1334*CH1330+CG1335*CH1329+CG1336</f>
        <v>2445.6447263637579</v>
      </c>
      <c r="CJ1336" s="114">
        <f t="shared" si="2413"/>
        <v>2.3775148122580626E-2</v>
      </c>
      <c r="CK1336" s="114"/>
      <c r="CL1336" s="169">
        <f t="shared" si="2414"/>
        <v>6.1454484588433578E-3</v>
      </c>
      <c r="CM1336" s="169">
        <f t="shared" si="2422"/>
        <v>5.9610474937069639E-3</v>
      </c>
      <c r="CN1336" s="114">
        <f>VLOOKUP($H1336,RoR!$E:$F,2,FALSE)</f>
        <v>5.5874999999999994E-2</v>
      </c>
      <c r="CO1336" s="169">
        <v>3.0512430354548314E-2</v>
      </c>
      <c r="CP1336" s="169">
        <f t="shared" si="2420"/>
        <v>2.536256964545168E-2</v>
      </c>
      <c r="CQ1336" s="169">
        <f t="shared" si="2423"/>
        <v>2.494089411482666E-2</v>
      </c>
      <c r="CR1336" s="169">
        <v>7.9087823893859641E-2</v>
      </c>
      <c r="CS1336" s="179">
        <f t="shared" si="2415"/>
        <v>0.85126000000000002</v>
      </c>
      <c r="CT1336" s="180">
        <f t="shared" si="2416"/>
        <v>0.91779957551769631</v>
      </c>
      <c r="CU1336" s="180">
        <f t="shared" si="2417"/>
        <v>0.52757270693512304</v>
      </c>
      <c r="CV1336" s="180">
        <f t="shared" si="2418"/>
        <v>0.88636824549024895</v>
      </c>
      <c r="CW1336" s="180">
        <f t="shared" si="2419"/>
        <v>0.42918482841932087</v>
      </c>
      <c r="CX1336" s="181">
        <f>INDEX('State Tax Lookup'!$D$7:$Z$91,MATCH(Calculation!$C1336,'State Tax Lookup'!$B$7:$B$91,0),MATCH($H1336,'State Tax Lookup'!$D$6:$Z$6,0))</f>
        <v>0.40200000000000002</v>
      </c>
      <c r="CY1336" s="72">
        <v>0.37</v>
      </c>
      <c r="CZ1336" s="70">
        <f t="shared" si="2421"/>
        <v>16.257644079099482</v>
      </c>
      <c r="DA1336" s="70">
        <v>14.788696346247992</v>
      </c>
      <c r="DB1336" s="69">
        <f t="shared" si="2424"/>
        <v>-2.3236783678982985E-2</v>
      </c>
      <c r="DC1336" s="111">
        <f>VLOOKUP($H1336,RoR!$E:$F,2,FALSE)</f>
        <v>5.5874999999999994E-2</v>
      </c>
      <c r="DD1336" s="216">
        <f>HLOOKUP($H1336,'GDP-PI'!$D$8:$CQ$11,3,FALSE)</f>
        <v>3.0512430354548314E-2</v>
      </c>
      <c r="DE1336" s="111">
        <f>VLOOKUP(H1336,'HW Dx Data'!$E:$F,2,FALSE)</f>
        <v>461.08567272971823</v>
      </c>
      <c r="DF1336" s="72">
        <f t="shared" si="2434"/>
        <v>109.4</v>
      </c>
      <c r="DG1336" s="69">
        <f t="shared" si="2435"/>
        <v>9.7620891318751846E-2</v>
      </c>
      <c r="DH1336" s="66">
        <f>HLOOKUP(H1336,'GDP-PI'!$8:$9,2,FALSE)</f>
        <v>90.073999999999998</v>
      </c>
      <c r="DI1336" s="69">
        <f t="shared" si="2425"/>
        <v>3.005618372545445E-2</v>
      </c>
    </row>
    <row r="1337" spans="1:113" s="160" customFormat="1" ht="21">
      <c r="A1337" s="160" t="s">
        <v>238</v>
      </c>
      <c r="B1337" s="160" t="s">
        <v>239</v>
      </c>
      <c r="C1337" s="160">
        <v>4064141</v>
      </c>
      <c r="D1337" s="161" t="s">
        <v>181</v>
      </c>
      <c r="E1337" s="161" t="s">
        <v>3</v>
      </c>
      <c r="F1337" s="189"/>
      <c r="G1337" s="160" t="s">
        <v>118</v>
      </c>
      <c r="H1337" s="162">
        <v>2007</v>
      </c>
      <c r="I1337" s="163"/>
      <c r="J1337" s="159">
        <f>IFERROR(INDEX('Labor Expenditures'!$F$7:$X$91,MATCH($C1337,'Labor Expenditures'!$D$7:$D$91,0),MATCH($G1337,'Labor Expenditures'!$F$5:$X$5,0)),"NA")</f>
        <v>25279.701612801415</v>
      </c>
      <c r="K1337" s="159">
        <f t="shared" si="2426"/>
        <v>241.85316061039384</v>
      </c>
      <c r="L1337" s="165">
        <f t="shared" si="2432"/>
        <v>5.288923729342615E-2</v>
      </c>
      <c r="M1337" s="76">
        <f t="shared" si="2436"/>
        <v>6.5787140586593253E-4</v>
      </c>
      <c r="N1337" s="62">
        <f t="shared" ref="N1337:N1350" si="2442">+N1336*EXP(O1337)</f>
        <v>120.26142331381061</v>
      </c>
      <c r="O1337" s="96">
        <f t="shared" si="2437"/>
        <v>3.3844595628290786E-2</v>
      </c>
      <c r="P1337" s="96"/>
      <c r="Q1337" s="159">
        <f>IFERROR(INDEX('Non-Labor Expenditures'!$F$7:$AB$91,MATCH($C1337,'Non-Labor Expenditures'!$D$7:$D$91,0),MATCH($G1337,'Non-Labor Expenditures'!$F$5:$AB$5,0)),"NA")</f>
        <v>36609.729532303019</v>
      </c>
      <c r="R1337" s="159">
        <f t="shared" si="2427"/>
        <v>395.78941741770655</v>
      </c>
      <c r="S1337" s="165">
        <f t="shared" si="2438"/>
        <v>-1.9250843401863886E-2</v>
      </c>
      <c r="T1337" s="165">
        <f t="shared" si="2439"/>
        <v>-2.3945475603338388E-4</v>
      </c>
      <c r="U1337" s="165"/>
      <c r="V1337" s="165"/>
      <c r="W1337" s="159">
        <f t="shared" si="2410"/>
        <v>42691.693121008291</v>
      </c>
      <c r="X1337" s="163"/>
      <c r="Y1337" s="167">
        <v>2487.4356044599767</v>
      </c>
      <c r="Z1337" s="168">
        <v>1.6943522130648103E-2</v>
      </c>
      <c r="AA1337" s="76">
        <f t="shared" si="2428"/>
        <v>2.1075476400933993E-4</v>
      </c>
      <c r="AB1337" s="168"/>
      <c r="AC1337" s="168"/>
      <c r="AD1337" s="163">
        <f t="shared" si="2363"/>
        <v>104581.12426611272</v>
      </c>
      <c r="AE1337" s="168">
        <f t="shared" si="2440"/>
        <v>4.2143807802466203E-2</v>
      </c>
      <c r="AF1337" s="163"/>
      <c r="AG1337" s="163"/>
      <c r="AH1337" s="163"/>
      <c r="AI1337" s="163"/>
      <c r="AJ1337" s="116">
        <f t="shared" si="2441"/>
        <v>515.83099917685308</v>
      </c>
      <c r="AK1337" s="114">
        <f>+AV1337/$AX$12</f>
        <v>5.8018490952623254E-3</v>
      </c>
      <c r="AL1337" s="115">
        <f t="shared" si="2429"/>
        <v>0.24172336824832513</v>
      </c>
      <c r="AM1337" s="115">
        <f t="shared" si="2430"/>
        <v>0.35006058492111297</v>
      </c>
      <c r="AN1337" s="115">
        <f t="shared" si="2431"/>
        <v>0.40821604683056201</v>
      </c>
      <c r="AO1337" s="115">
        <f t="shared" si="2433"/>
        <v>1.2891645812261822E-2</v>
      </c>
      <c r="AP1337" s="166">
        <f>+AP1336*EXP(AO1337)</f>
        <v>98.176147790428985</v>
      </c>
      <c r="AQ1337" s="168">
        <f>LN(AP1337/AP1336)</f>
        <v>1.2891645812261853E-2</v>
      </c>
      <c r="AR1337" s="169">
        <f>+AD1337/$AF$12</f>
        <v>1.2438663129439805E-2</v>
      </c>
      <c r="AS1337" s="169">
        <f t="shared" ref="AS1337:AS1351" si="2443">+AR1337*AQ1337</f>
        <v>1.6035483944277858E-4</v>
      </c>
      <c r="AT1337" s="115"/>
      <c r="AU1337" s="115"/>
      <c r="AV1337" s="113">
        <f>IFERROR(INDEX('Total Customers'!$F$7:$AB$91,MATCH($C1337,'Total Customers'!$D$7:$D$91,0),MATCH($G1337,'Total Customers'!$F$5:$AB$5,0)),"NA")</f>
        <v>202743</v>
      </c>
      <c r="AW1337" s="68">
        <f t="shared" si="2347"/>
        <v>1.6741662285318124E-2</v>
      </c>
      <c r="AX1337" s="114"/>
      <c r="AY1337" s="114"/>
      <c r="AZ1337" s="116">
        <v>8187757</v>
      </c>
      <c r="BA1337" s="116"/>
      <c r="BB1337" s="166"/>
      <c r="BC1337" s="166"/>
      <c r="BD1337" s="166"/>
      <c r="BE1337" s="166"/>
      <c r="BF1337" s="166"/>
      <c r="BG1337" s="166"/>
      <c r="BH1337" s="166"/>
      <c r="BI1337" s="113"/>
      <c r="BJ1337" s="113"/>
      <c r="BK1337" s="113">
        <f>INDEX('Dist. Plant Gas Additions'!$F$7:$AE$91,MATCH($C1337,'Dist. Plant Gas Additions'!$D$7:$D$91,0),MATCH(Calculation!$G1337,'Dist. Plant Gas Additions'!$F$5:$AE$5,0))</f>
        <v>26596</v>
      </c>
      <c r="BL1337" s="113">
        <f>INDEX('Gen. Plant Additions'!$F$7:$AE$91,MATCH($C1337,'Gen. Plant Additions'!$D$7:$D$91,0),MATCH(Calculation!$G1337,'Gen. Plant Additions'!$F$5:$AE$5,0))</f>
        <v>1948</v>
      </c>
      <c r="BM1337" s="231">
        <f t="shared" si="2366"/>
        <v>0.90382721336687533</v>
      </c>
      <c r="BN1337" s="113"/>
      <c r="BO1337" s="113">
        <f>INDEX('Dist Plant Depreciation'!$E$7:$AD$94,MATCH($C1337,'Dist Plant Depreciation'!$D$7:$D$94,0),MATCH(Calculation!$G1337,'Dist Plant Depreciation'!$E$5:$AD$5,0))</f>
        <v>274709</v>
      </c>
      <c r="BP1337" s="113">
        <f>INDEX('Gen. Plant Depreciation'!$E$7:$AD$94,MATCH($C1337,'Gen. Plant Depreciation'!$D$7:$D$94,0),MATCH(Calculation!$G1337,'Gen. Plant Depreciation'!$E$5:$AD$5,0))</f>
        <v>50882</v>
      </c>
      <c r="BQ1337" s="113"/>
      <c r="BR1337" s="113"/>
      <c r="BS1337" s="113"/>
      <c r="BT1337" s="113"/>
      <c r="BU1337" s="113"/>
      <c r="BV1337" s="175"/>
      <c r="BW1337" s="113">
        <f>INDEX('Gross Dx Plant'!$E$7:$AD$91,MATCH($C1337,'Gross Dx Plant'!$D$7:$D$91,0),MATCH(Calculation!$G1337,'Gross Dx Plant'!$E$5:$AD$5,0))</f>
        <v>774476</v>
      </c>
      <c r="BX1337" s="113">
        <f>INDEX('Gross Gen Plant'!$E$7:$AD$91,MATCH($C1337,'Gross Gen Plant'!$D$7:$D$91,0),MATCH(Calculation!$G1337,'Gross Gen Plant'!$E$5:$AD$5,0))</f>
        <v>44076</v>
      </c>
      <c r="BY1337" s="113">
        <f t="shared" si="2318"/>
        <v>492961</v>
      </c>
      <c r="BZ1337" s="113"/>
      <c r="CA1337" s="116">
        <v>2007</v>
      </c>
      <c r="CB1337" s="113"/>
      <c r="CC1337" s="113"/>
      <c r="CD1337" s="113"/>
      <c r="CE1337" s="175"/>
      <c r="CF1337" s="113">
        <f t="shared" si="2411"/>
        <v>28544</v>
      </c>
      <c r="CG1337" s="113">
        <f t="shared" si="2412"/>
        <v>57.314700793368615</v>
      </c>
      <c r="CH1337" s="178">
        <v>0.94915254237288138</v>
      </c>
      <c r="CI1337" s="61">
        <f>+CI1328*CH1337+CG1329*CH1336+CG1330*CH1335+CG1331*CH1334+CG1332*CH1333+CG1333*CH1332+CG1334*CH1331+CG1335*CH1330+CG1336*CH1329+CG1337</f>
        <v>2487.4356044599767</v>
      </c>
      <c r="CJ1337" s="114">
        <f t="shared" si="2413"/>
        <v>1.6943522130648103E-2</v>
      </c>
      <c r="CK1337" s="114"/>
      <c r="CL1337" s="169">
        <f t="shared" si="2414"/>
        <v>6.3475379435961347E-3</v>
      </c>
      <c r="CM1337" s="169">
        <f t="shared" si="2422"/>
        <v>6.1493238052503065E-3</v>
      </c>
      <c r="CN1337" s="114">
        <f>VLOOKUP($H1337,RoR!$E:$F,2,FALSE)</f>
        <v>5.5558333333333321E-2</v>
      </c>
      <c r="CO1337" s="169">
        <v>2.691120634145272E-2</v>
      </c>
      <c r="CP1337" s="169">
        <f t="shared" si="2420"/>
        <v>2.86471269918806E-2</v>
      </c>
      <c r="CQ1337" s="169">
        <f t="shared" si="2423"/>
        <v>2.4752617803283319E-2</v>
      </c>
      <c r="CR1337" s="169">
        <v>6.4575155250632399E-2</v>
      </c>
      <c r="CS1337" s="179">
        <f t="shared" si="2415"/>
        <v>0.85126000000000002</v>
      </c>
      <c r="CT1337" s="180">
        <f t="shared" si="2416"/>
        <v>0.92303077153834634</v>
      </c>
      <c r="CU1337" s="180">
        <f t="shared" si="2417"/>
        <v>0.52502249887505614</v>
      </c>
      <c r="CV1337" s="180">
        <f t="shared" si="2418"/>
        <v>0.88499666072084604</v>
      </c>
      <c r="CW1337" s="180">
        <f t="shared" si="2419"/>
        <v>0.42887993290280618</v>
      </c>
      <c r="CX1337" s="181">
        <f>INDEX('State Tax Lookup'!$D$7:$Z$91,MATCH(Calculation!$C1337,'State Tax Lookup'!$B$7:$B$91,0),MATCH($H1337,'State Tax Lookup'!$D$6:$Z$6,0))</f>
        <v>0.40200000000000002</v>
      </c>
      <c r="CY1337" s="72">
        <v>0.37</v>
      </c>
      <c r="CZ1337" s="70">
        <f t="shared" si="2421"/>
        <v>17.456212123043443</v>
      </c>
      <c r="DA1337" s="70">
        <v>16.108943221861779</v>
      </c>
      <c r="DB1337" s="69">
        <f t="shared" si="2424"/>
        <v>7.1132377849200984E-2</v>
      </c>
      <c r="DC1337" s="111">
        <f>VLOOKUP($H1337,RoR!$E:$F,2,FALSE)</f>
        <v>5.5558333333333321E-2</v>
      </c>
      <c r="DD1337" s="216">
        <f>HLOOKUP($H1337,'GDP-PI'!$D$8:$CQ$11,3,FALSE)</f>
        <v>2.691120634145272E-2</v>
      </c>
      <c r="DE1337" s="111">
        <f>VLOOKUP(H1337,'HW Dx Data'!$E:$F,2,FALSE)</f>
        <v>498.0223154772637</v>
      </c>
      <c r="DF1337" s="72">
        <f t="shared" si="2434"/>
        <v>104.52499999999999</v>
      </c>
      <c r="DG1337" s="69">
        <f t="shared" si="2435"/>
        <v>-4.5584612745252218E-2</v>
      </c>
      <c r="DH1337" s="66">
        <f>HLOOKUP(H1337,'GDP-PI'!$8:$9,2,FALSE)</f>
        <v>92.498000000000005</v>
      </c>
      <c r="DI1337" s="69">
        <f t="shared" si="2425"/>
        <v>2.6555467950038037E-2</v>
      </c>
    </row>
    <row r="1338" spans="1:113" s="160" customFormat="1" ht="21">
      <c r="A1338" s="160" t="s">
        <v>238</v>
      </c>
      <c r="B1338" s="160" t="s">
        <v>239</v>
      </c>
      <c r="C1338" s="160">
        <v>4064141</v>
      </c>
      <c r="D1338" s="161" t="s">
        <v>181</v>
      </c>
      <c r="E1338" s="161" t="s">
        <v>3</v>
      </c>
      <c r="F1338" s="189"/>
      <c r="G1338" s="160" t="s">
        <v>120</v>
      </c>
      <c r="H1338" s="162">
        <v>2008</v>
      </c>
      <c r="I1338" s="163"/>
      <c r="J1338" s="159">
        <f>IFERROR(INDEX('Labor Expenditures'!$F$7:$X$91,MATCH($C1338,'Labor Expenditures'!$D$7:$D$91,0),MATCH($G1338,'Labor Expenditures'!$F$5:$X$5,0)),"NA")</f>
        <v>26558.330714454718</v>
      </c>
      <c r="K1338" s="159">
        <f t="shared" si="2426"/>
        <v>246.13837548150804</v>
      </c>
      <c r="L1338" s="165">
        <f t="shared" si="2432"/>
        <v>1.756311208736586E-2</v>
      </c>
      <c r="M1338" s="76">
        <f t="shared" si="2436"/>
        <v>2.2334869309203947E-4</v>
      </c>
      <c r="N1338" s="62">
        <f t="shared" si="2442"/>
        <v>114.24023623779028</v>
      </c>
      <c r="O1338" s="96">
        <f t="shared" si="2437"/>
        <v>-5.1364334349682121E-2</v>
      </c>
      <c r="P1338" s="96"/>
      <c r="Q1338" s="159">
        <f>IFERROR(INDEX('Non-Labor Expenditures'!$F$7:$AB$91,MATCH($C1338,'Non-Labor Expenditures'!$D$7:$D$91,0),MATCH($G1338,'Non-Labor Expenditures'!$F$5:$AB$5,0)),"NA")</f>
        <v>38461.423286471167</v>
      </c>
      <c r="R1338" s="159">
        <f t="shared" si="2427"/>
        <v>408.0181541889923</v>
      </c>
      <c r="S1338" s="165">
        <f t="shared" si="2438"/>
        <v>3.0429373360793755E-2</v>
      </c>
      <c r="T1338" s="165">
        <f t="shared" si="2439"/>
        <v>3.8696790966972263E-4</v>
      </c>
      <c r="U1338" s="165"/>
      <c r="V1338" s="165"/>
      <c r="W1338" s="159">
        <f t="shared" si="2410"/>
        <v>49292.439976325084</v>
      </c>
      <c r="X1338" s="163"/>
      <c r="Y1338" s="167">
        <v>2581.0464305156829</v>
      </c>
      <c r="Z1338" s="168">
        <v>3.694260786472274E-2</v>
      </c>
      <c r="AA1338" s="76">
        <f t="shared" si="2428"/>
        <v>4.6979619243750053E-4</v>
      </c>
      <c r="AB1338" s="168"/>
      <c r="AC1338" s="168"/>
      <c r="AD1338" s="163">
        <f t="shared" si="2363"/>
        <v>114312.19397725096</v>
      </c>
      <c r="AE1338" s="168">
        <f t="shared" si="2440"/>
        <v>8.897017007618363E-2</v>
      </c>
      <c r="AF1338" s="163"/>
      <c r="AG1338" s="163"/>
      <c r="AH1338" s="163"/>
      <c r="AI1338" s="163"/>
      <c r="AJ1338" s="116">
        <f t="shared" si="2441"/>
        <v>558.06963642566438</v>
      </c>
      <c r="AK1338" s="114">
        <f>+AV1338/$AX$13</f>
        <v>5.8303752602975713E-3</v>
      </c>
      <c r="AL1338" s="115">
        <f t="shared" si="2429"/>
        <v>0.23233156315537112</v>
      </c>
      <c r="AM1338" s="115">
        <f t="shared" si="2430"/>
        <v>0.33645949699929034</v>
      </c>
      <c r="AN1338" s="115">
        <f t="shared" si="2431"/>
        <v>0.43120893984533853</v>
      </c>
      <c r="AO1338" s="115">
        <f t="shared" si="2433"/>
        <v>3.011340195143411E-2</v>
      </c>
      <c r="AP1338" s="166">
        <f t="shared" ref="AP1338:AP1351" si="2444">+AP1337*EXP(AO1338)</f>
        <v>101.17752969549979</v>
      </c>
      <c r="AQ1338" s="168">
        <f t="shared" ref="AQ1338:AQ1351" si="2445">LN(AP1338/AP1337)</f>
        <v>3.0113401951434034E-2</v>
      </c>
      <c r="AR1338" s="169">
        <f>+AD1338/$AF$13</f>
        <v>1.2716920098272721E-2</v>
      </c>
      <c r="AS1338" s="169">
        <f t="shared" si="2443"/>
        <v>3.8294972650355642E-4</v>
      </c>
      <c r="AT1338" s="115"/>
      <c r="AU1338" s="115"/>
      <c r="AV1338" s="113">
        <f>IFERROR(INDEX('Total Customers'!$F$7:$AB$91,MATCH($C1338,'Total Customers'!$D$7:$D$91,0),MATCH($G1338,'Total Customers'!$F$5:$AB$5,0)),"NA")</f>
        <v>204835</v>
      </c>
      <c r="AW1338" s="68">
        <f t="shared" si="2347"/>
        <v>1.0265609879302452E-2</v>
      </c>
      <c r="AX1338" s="114"/>
      <c r="AY1338" s="114"/>
      <c r="AZ1338" s="116">
        <v>8244107</v>
      </c>
      <c r="BA1338" s="116"/>
      <c r="BB1338" s="166"/>
      <c r="BC1338" s="166"/>
      <c r="BD1338" s="166"/>
      <c r="BE1338" s="166"/>
      <c r="BF1338" s="166"/>
      <c r="BG1338" s="166"/>
      <c r="BH1338" s="166"/>
      <c r="BI1338" s="113"/>
      <c r="BJ1338" s="113"/>
      <c r="BK1338" s="113">
        <f>INDEX('Dist. Plant Gas Additions'!$F$7:$AE$91,MATCH($C1338,'Dist. Plant Gas Additions'!$D$7:$D$91,0),MATCH(Calculation!$G1338,'Dist. Plant Gas Additions'!$F$5:$AE$5,0))</f>
        <v>58978</v>
      </c>
      <c r="BL1338" s="113">
        <f>INDEX('Gen. Plant Additions'!$F$7:$AE$91,MATCH($C1338,'Gen. Plant Additions'!$D$7:$D$91,0),MATCH(Calculation!$G1338,'Gen. Plant Additions'!$F$5:$AE$5,0))</f>
        <v>3677</v>
      </c>
      <c r="BM1338" s="231">
        <f t="shared" si="2366"/>
        <v>0.94615369579452502</v>
      </c>
      <c r="BN1338" s="113"/>
      <c r="BO1338" s="113">
        <f>INDEX('Dist Plant Depreciation'!$E$7:$AD$94,MATCH($C1338,'Dist Plant Depreciation'!$D$7:$D$94,0),MATCH(Calculation!$G1338,'Dist Plant Depreciation'!$E$5:$AD$5,0))</f>
        <v>284869</v>
      </c>
      <c r="BP1338" s="113">
        <f>INDEX('Gen. Plant Depreciation'!$E$7:$AD$94,MATCH($C1338,'Gen. Plant Depreciation'!$D$7:$D$94,0),MATCH(Calculation!$G1338,'Gen. Plant Depreciation'!$E$5:$AD$5,0))</f>
        <v>56503</v>
      </c>
      <c r="BQ1338" s="113"/>
      <c r="BR1338" s="113"/>
      <c r="BS1338" s="113"/>
      <c r="BT1338" s="113"/>
      <c r="BU1338" s="113"/>
      <c r="BV1338" s="175"/>
      <c r="BW1338" s="113">
        <f>INDEX('Gross Dx Plant'!$E$7:$AD$91,MATCH($C1338,'Gross Dx Plant'!$D$7:$D$91,0),MATCH(Calculation!$G1338,'Gross Dx Plant'!$E$5:$AD$5,0))</f>
        <v>829638</v>
      </c>
      <c r="BX1338" s="113">
        <f>INDEX('Gross Gen Plant'!$E$7:$AD$91,MATCH($C1338,'Gross Gen Plant'!$D$7:$D$91,0),MATCH(Calculation!$G1338,'Gross Gen Plant'!$E$5:$AD$5,0))</f>
        <v>47307</v>
      </c>
      <c r="BY1338" s="113">
        <f t="shared" si="2318"/>
        <v>535573</v>
      </c>
      <c r="BZ1338" s="113"/>
      <c r="CA1338" s="116">
        <v>2008</v>
      </c>
      <c r="CB1338" s="113"/>
      <c r="CC1338" s="113"/>
      <c r="CD1338" s="113"/>
      <c r="CE1338" s="175"/>
      <c r="CF1338" s="113">
        <f t="shared" si="2411"/>
        <v>62655</v>
      </c>
      <c r="CG1338" s="113">
        <f t="shared" si="2412"/>
        <v>109.94396662553581</v>
      </c>
      <c r="CH1338" s="178">
        <v>0.94252873563218387</v>
      </c>
      <c r="CI1338" s="61">
        <f>+CI1328*CH1338+CG1329*CH1337+CG1330*CH1336+CG1331*CH1335+CG1332*CH1334+CG1333*CH1333+CG1334*CH1332+CG1335*CH1331+CG1336*CH1330+CG1337*CH1329+CG1338</f>
        <v>2581.0464305156829</v>
      </c>
      <c r="CJ1338" s="114">
        <f t="shared" si="2413"/>
        <v>3.694260786472274E-2</v>
      </c>
      <c r="CK1338" s="114"/>
      <c r="CL1338" s="169">
        <f t="shared" si="2414"/>
        <v>6.5662566462200153E-3</v>
      </c>
      <c r="CM1338" s="169">
        <f t="shared" si="2422"/>
        <v>6.3530810162198354E-3</v>
      </c>
      <c r="CN1338" s="114">
        <f>VLOOKUP($H1338,RoR!$E:$F,2,FALSE)</f>
        <v>5.6316666666666668E-2</v>
      </c>
      <c r="CO1338" s="169">
        <v>1.9092304698479889E-2</v>
      </c>
      <c r="CP1338" s="169">
        <f t="shared" si="2420"/>
        <v>3.7224361968186778E-2</v>
      </c>
      <c r="CQ1338" s="169">
        <f t="shared" si="2423"/>
        <v>2.4548860592313791E-2</v>
      </c>
      <c r="CR1338" s="169">
        <v>6.9030581091053131E-2</v>
      </c>
      <c r="CS1338" s="179">
        <f t="shared" si="2415"/>
        <v>0.85126000000000002</v>
      </c>
      <c r="CT1338" s="180">
        <f t="shared" si="2416"/>
        <v>0.91060168006009956</v>
      </c>
      <c r="CU1338" s="180">
        <f t="shared" si="2417"/>
        <v>0.53108168097070152</v>
      </c>
      <c r="CV1338" s="180">
        <f t="shared" si="2418"/>
        <v>0.88825329850328805</v>
      </c>
      <c r="CW1338" s="180">
        <f t="shared" si="2419"/>
        <v>0.4295627335323573</v>
      </c>
      <c r="CX1338" s="181">
        <f>INDEX('State Tax Lookup'!$D$7:$Z$91,MATCH(Calculation!$C1338,'State Tax Lookup'!$B$7:$B$91,0),MATCH($H1338,'State Tax Lookup'!$D$6:$Z$6,0))</f>
        <v>0.40200000000000002</v>
      </c>
      <c r="CY1338" s="72">
        <v>0.37</v>
      </c>
      <c r="CZ1338" s="70">
        <f t="shared" si="2421"/>
        <v>19.816569276383937</v>
      </c>
      <c r="DA1338" s="70">
        <v>18.300102035478151</v>
      </c>
      <c r="DB1338" s="69">
        <f t="shared" si="2424"/>
        <v>0.12682283900537228</v>
      </c>
      <c r="DC1338" s="111">
        <f>VLOOKUP($H1338,RoR!$E:$F,2,FALSE)</f>
        <v>5.6316666666666668E-2</v>
      </c>
      <c r="DD1338" s="216">
        <f>HLOOKUP($H1338,'GDP-PI'!$D$8:$CQ$11,3,FALSE)</f>
        <v>1.9092304698479889E-2</v>
      </c>
      <c r="DE1338" s="111">
        <f>VLOOKUP(H1338,'HW Dx Data'!$E:$F,2,FALSE)</f>
        <v>569.88120333515076</v>
      </c>
      <c r="DF1338" s="72">
        <f t="shared" si="2434"/>
        <v>107.9</v>
      </c>
      <c r="DG1338" s="69">
        <f t="shared" si="2435"/>
        <v>3.1778595021460486E-2</v>
      </c>
      <c r="DH1338" s="66">
        <f>HLOOKUP(H1338,'GDP-PI'!$8:$9,2,FALSE)</f>
        <v>94.263999999999996</v>
      </c>
      <c r="DI1338" s="69">
        <f t="shared" si="2425"/>
        <v>1.8912333748032254E-2</v>
      </c>
    </row>
    <row r="1339" spans="1:113" s="160" customFormat="1" ht="21">
      <c r="A1339" s="160" t="s">
        <v>238</v>
      </c>
      <c r="B1339" s="160" t="s">
        <v>239</v>
      </c>
      <c r="C1339" s="160">
        <v>4064141</v>
      </c>
      <c r="D1339" s="161" t="s">
        <v>181</v>
      </c>
      <c r="E1339" s="161" t="s">
        <v>3</v>
      </c>
      <c r="F1339" s="189"/>
      <c r="G1339" s="160" t="s">
        <v>125</v>
      </c>
      <c r="H1339" s="162">
        <v>2009</v>
      </c>
      <c r="I1339" s="163"/>
      <c r="J1339" s="159">
        <f>IFERROR(INDEX('Labor Expenditures'!$F$7:$X$91,MATCH($C1339,'Labor Expenditures'!$D$7:$D$91,0),MATCH($G1339,'Labor Expenditures'!$F$5:$X$5,0)),"NA")</f>
        <v>29150.460904251362</v>
      </c>
      <c r="K1339" s="159">
        <f t="shared" si="2426"/>
        <v>262.79432863873217</v>
      </c>
      <c r="L1339" s="165">
        <f t="shared" si="2432"/>
        <v>6.5477826110476256E-2</v>
      </c>
      <c r="M1339" s="76">
        <f t="shared" si="2436"/>
        <v>8.4093538560186902E-4</v>
      </c>
      <c r="N1339" s="62">
        <f t="shared" si="2442"/>
        <v>117.21327997020521</v>
      </c>
      <c r="O1339" s="96">
        <f t="shared" si="2437"/>
        <v>2.5691614552800886E-2</v>
      </c>
      <c r="P1339" s="96"/>
      <c r="Q1339" s="159">
        <f>IFERROR(INDEX('Non-Labor Expenditures'!$F$7:$AB$91,MATCH($C1339,'Non-Labor Expenditures'!$D$7:$D$91,0),MATCH($G1339,'Non-Labor Expenditures'!$F$5:$AB$5,0)),"NA")</f>
        <v>42215.311944433706</v>
      </c>
      <c r="R1339" s="159">
        <f t="shared" si="2427"/>
        <v>444.37638232437928</v>
      </c>
      <c r="S1339" s="165">
        <f t="shared" si="2438"/>
        <v>8.5360242293050517E-2</v>
      </c>
      <c r="T1339" s="165">
        <f t="shared" si="2439"/>
        <v>1.0962863694750921E-3</v>
      </c>
      <c r="U1339" s="165"/>
      <c r="V1339" s="165"/>
      <c r="W1339" s="159">
        <f t="shared" si="2410"/>
        <v>49046.027612067468</v>
      </c>
      <c r="X1339" s="163"/>
      <c r="Y1339" s="167">
        <v>2682.6846174818434</v>
      </c>
      <c r="Z1339" s="168">
        <v>3.8623106148172368E-2</v>
      </c>
      <c r="AA1339" s="76">
        <f t="shared" si="2428"/>
        <v>4.9603871403816537E-4</v>
      </c>
      <c r="AB1339" s="168"/>
      <c r="AC1339" s="168"/>
      <c r="AD1339" s="163">
        <f t="shared" si="2363"/>
        <v>120411.80046075254</v>
      </c>
      <c r="AE1339" s="168">
        <f t="shared" si="2440"/>
        <v>5.1984289467489009E-2</v>
      </c>
      <c r="AF1339" s="163"/>
      <c r="AG1339" s="163"/>
      <c r="AH1339" s="163"/>
      <c r="AI1339" s="163"/>
      <c r="AJ1339" s="116">
        <f t="shared" si="2441"/>
        <v>583.28311871241021</v>
      </c>
      <c r="AK1339" s="114">
        <f>+AV1339/$AX$14</f>
        <v>5.868512102857445E-3</v>
      </c>
      <c r="AL1339" s="115">
        <f t="shared" si="2429"/>
        <v>0.24208973533082226</v>
      </c>
      <c r="AM1339" s="115">
        <f t="shared" si="2430"/>
        <v>0.35059115288450088</v>
      </c>
      <c r="AN1339" s="115">
        <f t="shared" si="2431"/>
        <v>0.40731911178467689</v>
      </c>
      <c r="AO1339" s="115">
        <f t="shared" si="2433"/>
        <v>6.1048721586694901E-2</v>
      </c>
      <c r="AP1339" s="166">
        <f t="shared" si="2444"/>
        <v>107.54672617298766</v>
      </c>
      <c r="AQ1339" s="168">
        <f t="shared" si="2445"/>
        <v>6.1048721586694964E-2</v>
      </c>
      <c r="AR1339" s="169">
        <f>+AD1339/$AF$14</f>
        <v>1.2843055971085789E-2</v>
      </c>
      <c r="AS1339" s="169">
        <f t="shared" si="2443"/>
        <v>7.8405214830115665E-4</v>
      </c>
      <c r="AT1339" s="115"/>
      <c r="AU1339" s="115"/>
      <c r="AV1339" s="113">
        <f>IFERROR(INDEX('Total Customers'!$F$7:$AB$91,MATCH($C1339,'Total Customers'!$D$7:$D$91,0),MATCH($G1339,'Total Customers'!$F$5:$AB$5,0)),"NA")</f>
        <v>206438</v>
      </c>
      <c r="AW1339" s="68">
        <f t="shared" si="2347"/>
        <v>7.7953481872660825E-3</v>
      </c>
      <c r="AX1339" s="114"/>
      <c r="AY1339" s="114"/>
      <c r="AZ1339" s="116">
        <v>8336812</v>
      </c>
      <c r="BA1339" s="116"/>
      <c r="BB1339" s="166"/>
      <c r="BC1339" s="166"/>
      <c r="BD1339" s="166"/>
      <c r="BE1339" s="166"/>
      <c r="BF1339" s="166"/>
      <c r="BG1339" s="166"/>
      <c r="BH1339" s="166"/>
      <c r="BI1339" s="113"/>
      <c r="BJ1339" s="113"/>
      <c r="BK1339" s="113">
        <f>INDEX('Dist. Plant Gas Additions'!$F$7:$AE$91,MATCH($C1339,'Dist. Plant Gas Additions'!$D$7:$D$91,0),MATCH(Calculation!$G1339,'Dist. Plant Gas Additions'!$F$5:$AE$5,0))</f>
        <v>62955</v>
      </c>
      <c r="BL1339" s="113">
        <f>INDEX('Gen. Plant Additions'!$F$7:$AE$91,MATCH($C1339,'Gen. Plant Additions'!$D$7:$D$91,0),MATCH(Calculation!$G1339,'Gen. Plant Additions'!$F$5:$AE$5,0))</f>
        <v>2650</v>
      </c>
      <c r="BM1339" s="231">
        <f t="shared" si="2366"/>
        <v>0.94605476968338953</v>
      </c>
      <c r="BN1339" s="113"/>
      <c r="BO1339" s="113">
        <f>INDEX('Dist Plant Depreciation'!$E$7:$AD$94,MATCH($C1339,'Dist Plant Depreciation'!$D$7:$D$94,0),MATCH(Calculation!$G1339,'Dist Plant Depreciation'!$E$5:$AD$5,0))</f>
        <v>298403</v>
      </c>
      <c r="BP1339" s="113">
        <f>INDEX('Gen. Plant Depreciation'!$E$7:$AD$94,MATCH($C1339,'Gen. Plant Depreciation'!$D$7:$D$94,0),MATCH(Calculation!$G1339,'Gen. Plant Depreciation'!$E$5:$AD$5,0))</f>
        <v>30213</v>
      </c>
      <c r="BQ1339" s="113"/>
      <c r="BR1339" s="113"/>
      <c r="BS1339" s="113"/>
      <c r="BT1339" s="113"/>
      <c r="BU1339" s="113"/>
      <c r="BV1339" s="175"/>
      <c r="BW1339" s="113">
        <f>INDEX('Gross Dx Plant'!$E$7:$AD$91,MATCH($C1339,'Gross Dx Plant'!$D$7:$D$91,0),MATCH(Calculation!$G1339,'Gross Dx Plant'!$E$5:$AD$5,0))</f>
        <v>890696</v>
      </c>
      <c r="BX1339" s="113">
        <f>INDEX('Gross Gen Plant'!$E$7:$AD$91,MATCH($C1339,'Gross Gen Plant'!$D$7:$D$91,0),MATCH(Calculation!$G1339,'Gross Gen Plant'!$E$5:$AD$5,0))</f>
        <v>49502</v>
      </c>
      <c r="BY1339" s="113">
        <f t="shared" ref="BY1339:BY1350" si="2446">IF(OR(BO1339="NA",BP1339="NA"),"NA",(SUM(BW1339:BX1339)-SUM(BO1339:BP1339)))</f>
        <v>611582</v>
      </c>
      <c r="BZ1339" s="113"/>
      <c r="CA1339" s="116">
        <v>2009</v>
      </c>
      <c r="CB1339" s="113"/>
      <c r="CC1339" s="113"/>
      <c r="CD1339" s="113"/>
      <c r="CE1339" s="175"/>
      <c r="CF1339" s="113">
        <f t="shared" si="2411"/>
        <v>65605</v>
      </c>
      <c r="CG1339" s="113">
        <f t="shared" si="2412"/>
        <v>119.07816490251278</v>
      </c>
      <c r="CH1339" s="178">
        <v>0.93567251461988299</v>
      </c>
      <c r="CI1339" s="61">
        <f>+CI1328*CH1339+CG1329*CH1338+CG1330*CH1337+CG1331*CH1336+CG1332*CH1335+CG1333*CH1334+CG1334*CH1333+CG1335*CH1332+CG1336*CH1331+CG1337*CH1330+CG1338*CH1329+CG1339</f>
        <v>2682.6846174818434</v>
      </c>
      <c r="CJ1339" s="114">
        <f t="shared" si="2413"/>
        <v>3.8623106148172368E-2</v>
      </c>
      <c r="CK1339" s="114"/>
      <c r="CL1339" s="169">
        <f t="shared" si="2414"/>
        <v>6.7569408012810896E-3</v>
      </c>
      <c r="CM1339" s="169">
        <f t="shared" si="2422"/>
        <v>6.5569117970324135E-3</v>
      </c>
      <c r="CN1339" s="114">
        <f>VLOOKUP($H1339,RoR!$E:$F,2,FALSE)</f>
        <v>5.3133333333333324E-2</v>
      </c>
      <c r="CO1339" s="169">
        <v>7.7972502758210105E-3</v>
      </c>
      <c r="CP1339" s="169">
        <f t="shared" si="2420"/>
        <v>4.5336083057512314E-2</v>
      </c>
      <c r="CQ1339" s="169">
        <f t="shared" si="2423"/>
        <v>2.4345029811501211E-2</v>
      </c>
      <c r="CR1339" s="169">
        <v>6.3720160300892073E-2</v>
      </c>
      <c r="CS1339" s="179">
        <f t="shared" si="2415"/>
        <v>0.85126000000000002</v>
      </c>
      <c r="CT1339" s="180">
        <f t="shared" si="2416"/>
        <v>0.96515780330083989</v>
      </c>
      <c r="CU1339" s="180">
        <f t="shared" si="2417"/>
        <v>0.50448557089084056</v>
      </c>
      <c r="CV1339" s="180">
        <f t="shared" si="2418"/>
        <v>0.87391435735465484</v>
      </c>
      <c r="CW1339" s="180">
        <f t="shared" si="2419"/>
        <v>0.42551605393279146</v>
      </c>
      <c r="CX1339" s="181">
        <f>INDEX('State Tax Lookup'!$D$7:$Z$91,MATCH(Calculation!$C1339,'State Tax Lookup'!$B$7:$B$91,0),MATCH($H1339,'State Tax Lookup'!$D$6:$Z$6,0))</f>
        <v>0.40200000000000002</v>
      </c>
      <c r="CY1339" s="72">
        <v>0.37</v>
      </c>
      <c r="CZ1339" s="70">
        <f t="shared" si="2421"/>
        <v>19.002380984780761</v>
      </c>
      <c r="DA1339" s="70">
        <v>17.478615056163342</v>
      </c>
      <c r="DB1339" s="69">
        <f t="shared" si="2424"/>
        <v>-4.195413358866102E-2</v>
      </c>
      <c r="DC1339" s="111">
        <f>VLOOKUP($H1339,RoR!$E:$F,2,FALSE)</f>
        <v>5.3133333333333324E-2</v>
      </c>
      <c r="DD1339" s="216">
        <f>HLOOKUP($H1339,'GDP-PI'!$D$8:$CQ$11,3,FALSE)</f>
        <v>7.7972502758210105E-3</v>
      </c>
      <c r="DE1339" s="111">
        <f>VLOOKUP(H1339,'HW Dx Data'!$E:$F,2,FALSE)</f>
        <v>550.94063679692806</v>
      </c>
      <c r="DF1339" s="72">
        <f t="shared" si="2434"/>
        <v>110.925</v>
      </c>
      <c r="DG1339" s="69">
        <f t="shared" si="2435"/>
        <v>2.7649425000884052E-2</v>
      </c>
      <c r="DH1339" s="66">
        <f>HLOOKUP(H1339,'GDP-PI'!$8:$9,2,FALSE)</f>
        <v>94.998999999999995</v>
      </c>
      <c r="DI1339" s="69">
        <f t="shared" si="2425"/>
        <v>7.7670088183096342E-3</v>
      </c>
    </row>
    <row r="1340" spans="1:113" s="160" customFormat="1" ht="21">
      <c r="A1340" s="160" t="s">
        <v>238</v>
      </c>
      <c r="B1340" s="160" t="s">
        <v>239</v>
      </c>
      <c r="C1340" s="160">
        <v>4064141</v>
      </c>
      <c r="D1340" s="161" t="s">
        <v>181</v>
      </c>
      <c r="E1340" s="161" t="s">
        <v>3</v>
      </c>
      <c r="F1340" s="189"/>
      <c r="G1340" s="160" t="s">
        <v>126</v>
      </c>
      <c r="H1340" s="162">
        <v>2010</v>
      </c>
      <c r="I1340" s="163"/>
      <c r="J1340" s="159">
        <f>IFERROR(INDEX('Labor Expenditures'!$F$7:$X$91,MATCH($C1340,'Labor Expenditures'!$D$7:$D$91,0),MATCH($G1340,'Labor Expenditures'!$F$5:$X$5,0)),"NA")</f>
        <v>30726.286782521151</v>
      </c>
      <c r="K1340" s="159">
        <f t="shared" si="2426"/>
        <v>262.78628849708059</v>
      </c>
      <c r="L1340" s="165">
        <f t="shared" si="2432"/>
        <v>-3.0595274597504411E-5</v>
      </c>
      <c r="M1340" s="76">
        <f t="shared" si="2436"/>
        <v>-4.0142150040336354E-7</v>
      </c>
      <c r="N1340" s="62">
        <f t="shared" si="2442"/>
        <v>98.560604711272063</v>
      </c>
      <c r="O1340" s="96">
        <f t="shared" si="2437"/>
        <v>-0.17332354581998385</v>
      </c>
      <c r="P1340" s="96"/>
      <c r="Q1340" s="159">
        <f>IFERROR(INDEX('Non-Labor Expenditures'!$F$7:$AB$91,MATCH($C1340,'Non-Labor Expenditures'!$D$7:$D$91,0),MATCH($G1340,'Non-Labor Expenditures'!$F$5:$AB$5,0)),"NA")</f>
        <v>44497.402139843565</v>
      </c>
      <c r="R1340" s="159">
        <f t="shared" si="2427"/>
        <v>462.98892028679484</v>
      </c>
      <c r="S1340" s="165">
        <f t="shared" si="2438"/>
        <v>4.1031212265229003E-2</v>
      </c>
      <c r="T1340" s="165">
        <f t="shared" si="2439"/>
        <v>5.3834492442243374E-4</v>
      </c>
      <c r="U1340" s="165"/>
      <c r="V1340" s="165"/>
      <c r="W1340" s="159">
        <f t="shared" si="2410"/>
        <v>52281.055592447912</v>
      </c>
      <c r="X1340" s="163"/>
      <c r="Y1340" s="167">
        <v>2771.2364743701874</v>
      </c>
      <c r="Z1340" s="168">
        <v>3.2475585165970405E-2</v>
      </c>
      <c r="AA1340" s="76">
        <f t="shared" si="2428"/>
        <v>4.2609188168111443E-4</v>
      </c>
      <c r="AB1340" s="168"/>
      <c r="AC1340" s="168"/>
      <c r="AD1340" s="163">
        <f t="shared" si="2363"/>
        <v>127504.74451481263</v>
      </c>
      <c r="AE1340" s="168">
        <f t="shared" si="2440"/>
        <v>5.7236037243644539E-2</v>
      </c>
      <c r="AF1340" s="163"/>
      <c r="AG1340" s="163"/>
      <c r="AH1340" s="163"/>
      <c r="AI1340" s="163"/>
      <c r="AJ1340" s="116">
        <f t="shared" si="2441"/>
        <v>619.29778865397668</v>
      </c>
      <c r="AK1340" s="114">
        <f>+AV1340/$AX$15</f>
        <v>5.8207969419258702E-3</v>
      </c>
      <c r="AL1340" s="115">
        <f t="shared" si="2429"/>
        <v>0.24098151719328045</v>
      </c>
      <c r="AM1340" s="115">
        <f t="shared" si="2430"/>
        <v>0.34898624603474393</v>
      </c>
      <c r="AN1340" s="115">
        <f t="shared" si="2431"/>
        <v>0.41003223677197564</v>
      </c>
      <c r="AO1340" s="115">
        <f t="shared" si="2433"/>
        <v>2.7616846191981761E-2</v>
      </c>
      <c r="AP1340" s="166">
        <f t="shared" si="2444"/>
        <v>110.55822015050677</v>
      </c>
      <c r="AQ1340" s="168">
        <f t="shared" si="2445"/>
        <v>2.7616846191981747E-2</v>
      </c>
      <c r="AR1340" s="169">
        <f>+AD1340/$AF$15</f>
        <v>1.3120375799343425E-2</v>
      </c>
      <c r="AS1340" s="169">
        <f t="shared" si="2443"/>
        <v>3.6234340043146695E-4</v>
      </c>
      <c r="AT1340" s="115"/>
      <c r="AU1340" s="115"/>
      <c r="AV1340" s="113">
        <f>IFERROR(INDEX('Total Customers'!$F$7:$AB$91,MATCH($C1340,'Total Customers'!$D$7:$D$91,0),MATCH($G1340,'Total Customers'!$F$5:$AB$5,0)),"NA")</f>
        <v>205886</v>
      </c>
      <c r="AW1340" s="68">
        <f t="shared" si="2347"/>
        <v>-2.6775076385373549E-3</v>
      </c>
      <c r="AX1340" s="114"/>
      <c r="AY1340" s="114"/>
      <c r="AZ1340" s="116">
        <v>8403441</v>
      </c>
      <c r="BA1340" s="116"/>
      <c r="BB1340" s="166"/>
      <c r="BC1340" s="166"/>
      <c r="BD1340" s="166"/>
      <c r="BE1340" s="166"/>
      <c r="BF1340" s="166"/>
      <c r="BG1340" s="166"/>
      <c r="BH1340" s="166"/>
      <c r="BI1340" s="113"/>
      <c r="BJ1340" s="113"/>
      <c r="BK1340" s="113">
        <f>INDEX('Dist. Plant Gas Additions'!$F$7:$AE$91,MATCH($C1340,'Dist. Plant Gas Additions'!$D$7:$D$91,0),MATCH(Calculation!$G1340,'Dist. Plant Gas Additions'!$F$5:$AE$5,0))</f>
        <v>57438</v>
      </c>
      <c r="BL1340" s="113">
        <f>INDEX('Gen. Plant Additions'!$F$7:$AE$91,MATCH($C1340,'Gen. Plant Additions'!$D$7:$D$91,0),MATCH(Calculation!$G1340,'Gen. Plant Additions'!$F$5:$AE$5,0))</f>
        <v>3552</v>
      </c>
      <c r="BM1340" s="231">
        <f t="shared" si="2366"/>
        <v>0.94734938810761138</v>
      </c>
      <c r="BN1340" s="113"/>
      <c r="BO1340" s="113">
        <f>INDEX('Dist Plant Depreciation'!$E$7:$AD$94,MATCH($C1340,'Dist Plant Depreciation'!$D$7:$D$94,0),MATCH(Calculation!$G1340,'Dist Plant Depreciation'!$E$5:$AD$5,0))</f>
        <v>311925</v>
      </c>
      <c r="BP1340" s="113">
        <f>INDEX('Gen. Plant Depreciation'!$E$7:$AD$94,MATCH($C1340,'Gen. Plant Depreciation'!$D$7:$D$94,0),MATCH(Calculation!$G1340,'Gen. Plant Depreciation'!$E$5:$AD$5,0))</f>
        <v>30594</v>
      </c>
      <c r="BQ1340" s="113"/>
      <c r="BR1340" s="113"/>
      <c r="BS1340" s="113"/>
      <c r="BT1340" s="113"/>
      <c r="BU1340" s="113"/>
      <c r="BV1340" s="175"/>
      <c r="BW1340" s="113">
        <f>INDEX('Gross Dx Plant'!$E$7:$AD$91,MATCH($C1340,'Gross Dx Plant'!$D$7:$D$91,0),MATCH(Calculation!$G1340,'Gross Dx Plant'!$E$5:$AD$5,0))</f>
        <v>945406</v>
      </c>
      <c r="BX1340" s="113">
        <f>INDEX('Gross Gen Plant'!$E$7:$AD$91,MATCH($C1340,'Gross Gen Plant'!$D$7:$D$91,0),MATCH(Calculation!$G1340,'Gross Gen Plant'!$E$5:$AD$5,0))</f>
        <v>49451</v>
      </c>
      <c r="BY1340" s="113">
        <f t="shared" si="2446"/>
        <v>652338</v>
      </c>
      <c r="BZ1340" s="113"/>
      <c r="CA1340" s="116">
        <v>2010</v>
      </c>
      <c r="CB1340" s="113"/>
      <c r="CC1340" s="113"/>
      <c r="CD1340" s="113"/>
      <c r="CE1340" s="175"/>
      <c r="CF1340" s="113">
        <f t="shared" si="2411"/>
        <v>60990</v>
      </c>
      <c r="CG1340" s="113">
        <f t="shared" si="2412"/>
        <v>107.19002673708481</v>
      </c>
      <c r="CH1340" s="178">
        <v>0.9285714285714286</v>
      </c>
      <c r="CI1340" s="61">
        <f>+CI1328*CH1340+CG1329*CH1339+CG1330*CH1338+CG1331*CH1337+CG1332*CH1336+CG1333*CH1335+CG1334*CH1334+CG1335*CH1333+CG1336*CH1332+CG1337*CH1331+CG1338*CH1330+CG1339*CH1329+CG1340</f>
        <v>2771.2364743701874</v>
      </c>
      <c r="CJ1340" s="114">
        <f t="shared" si="2413"/>
        <v>3.2475585165970405E-2</v>
      </c>
      <c r="CK1340" s="114"/>
      <c r="CL1340" s="169">
        <f t="shared" si="2414"/>
        <v>6.9475814366266857E-3</v>
      </c>
      <c r="CM1340" s="169">
        <f t="shared" si="2422"/>
        <v>6.7569262947092638E-3</v>
      </c>
      <c r="CN1340" s="114">
        <f>VLOOKUP($H1340,RoR!$E:$F,2,FALSE)</f>
        <v>4.9433333333333322E-2</v>
      </c>
      <c r="CO1340" s="169">
        <v>1.1684333519300205E-2</v>
      </c>
      <c r="CP1340" s="169">
        <f t="shared" si="2420"/>
        <v>3.7748999814033117E-2</v>
      </c>
      <c r="CQ1340" s="169">
        <f t="shared" si="2423"/>
        <v>2.4145015313824361E-2</v>
      </c>
      <c r="CR1340" s="169">
        <v>4.7937530248493419E-2</v>
      </c>
      <c r="CS1340" s="179">
        <f t="shared" si="2415"/>
        <v>0.85126000000000002</v>
      </c>
      <c r="CT1340" s="180">
        <f t="shared" si="2416"/>
        <v>1.037398205301105</v>
      </c>
      <c r="CU1340" s="180">
        <f t="shared" si="2417"/>
        <v>0.46926837491571133</v>
      </c>
      <c r="CV1340" s="180">
        <f t="shared" si="2418"/>
        <v>0.8548537519972772</v>
      </c>
      <c r="CW1340" s="180">
        <f t="shared" si="2419"/>
        <v>0.41615833911547367</v>
      </c>
      <c r="CX1340" s="181">
        <f>INDEX('State Tax Lookup'!$D$7:$Z$91,MATCH(Calculation!$C1340,'State Tax Lookup'!$B$7:$B$91,0),MATCH($H1340,'State Tax Lookup'!$D$6:$Z$6,0))</f>
        <v>0.40200000000000002</v>
      </c>
      <c r="CY1340" s="72">
        <v>0.37</v>
      </c>
      <c r="CZ1340" s="70">
        <f t="shared" si="2421"/>
        <v>19.488334652443264</v>
      </c>
      <c r="DA1340" s="70">
        <v>17.956102603965455</v>
      </c>
      <c r="DB1340" s="69">
        <f t="shared" si="2424"/>
        <v>2.5251777307695213E-2</v>
      </c>
      <c r="DC1340" s="111">
        <f>VLOOKUP($H1340,RoR!$E:$F,2,FALSE)</f>
        <v>4.9433333333333322E-2</v>
      </c>
      <c r="DD1340" s="216">
        <f>HLOOKUP($H1340,'GDP-PI'!$D$8:$CQ$11,3,FALSE)</f>
        <v>1.1684333519300205E-2</v>
      </c>
      <c r="DE1340" s="111">
        <f>VLOOKUP(H1340,'HW Dx Data'!$E:$F,2,FALSE)</f>
        <v>568.98950262971744</v>
      </c>
      <c r="DF1340" s="72">
        <f t="shared" si="2434"/>
        <v>116.925</v>
      </c>
      <c r="DG1340" s="69">
        <f t="shared" si="2435"/>
        <v>5.2678406346976722E-2</v>
      </c>
      <c r="DH1340" s="66">
        <f>HLOOKUP(H1340,'GDP-PI'!$8:$9,2,FALSE)</f>
        <v>96.108999999999995</v>
      </c>
      <c r="DI1340" s="69">
        <f t="shared" si="2425"/>
        <v>1.1616598807150427E-2</v>
      </c>
    </row>
    <row r="1341" spans="1:113" s="160" customFormat="1" ht="21">
      <c r="A1341" s="160" t="s">
        <v>238</v>
      </c>
      <c r="B1341" s="160" t="s">
        <v>239</v>
      </c>
      <c r="C1341" s="160">
        <v>4064141</v>
      </c>
      <c r="D1341" s="161" t="s">
        <v>181</v>
      </c>
      <c r="E1341" s="161" t="s">
        <v>3</v>
      </c>
      <c r="F1341" s="189"/>
      <c r="G1341" s="160" t="s">
        <v>127</v>
      </c>
      <c r="H1341" s="162">
        <v>2011</v>
      </c>
      <c r="I1341" s="163"/>
      <c r="J1341" s="159">
        <f>IFERROR(INDEX('Labor Expenditures'!$F$7:$X$91,MATCH($C1341,'Labor Expenditures'!$D$7:$D$91,0),MATCH($G1341,'Labor Expenditures'!$F$5:$X$5,0)),"NA")</f>
        <v>32267.303393300001</v>
      </c>
      <c r="K1341" s="159">
        <f t="shared" si="2426"/>
        <v>266.94770128893487</v>
      </c>
      <c r="L1341" s="165">
        <f t="shared" si="2432"/>
        <v>1.5711653311164923E-2</v>
      </c>
      <c r="M1341" s="76">
        <f t="shared" si="2436"/>
        <v>2.1041332110889125E-4</v>
      </c>
      <c r="N1341" s="62">
        <f t="shared" si="2442"/>
        <v>119.25066859004227</v>
      </c>
      <c r="O1341" s="96">
        <f t="shared" si="2437"/>
        <v>0.19055610114804469</v>
      </c>
      <c r="P1341" s="96"/>
      <c r="Q1341" s="159">
        <f>IFERROR(INDEX('Non-Labor Expenditures'!$F$7:$AB$91,MATCH($C1341,'Non-Labor Expenditures'!$D$7:$D$91,0),MATCH($G1341,'Non-Labor Expenditures'!$F$5:$AB$5,0)),"NA")</f>
        <v>46729.082014452186</v>
      </c>
      <c r="R1341" s="159">
        <f t="shared" si="2427"/>
        <v>476.28304401553521</v>
      </c>
      <c r="S1341" s="165">
        <f t="shared" si="2438"/>
        <v>2.8309184259824122E-2</v>
      </c>
      <c r="T1341" s="165">
        <f t="shared" si="2439"/>
        <v>3.7912174868066098E-4</v>
      </c>
      <c r="U1341" s="165"/>
      <c r="V1341" s="165"/>
      <c r="W1341" s="159">
        <f t="shared" si="2410"/>
        <v>57684.446050711318</v>
      </c>
      <c r="X1341" s="163"/>
      <c r="Y1341" s="167">
        <v>2933.5510037944368</v>
      </c>
      <c r="Z1341" s="168">
        <v>5.6920034661842034E-2</v>
      </c>
      <c r="AA1341" s="76">
        <f t="shared" si="2428"/>
        <v>7.6228346524936062E-4</v>
      </c>
      <c r="AB1341" s="168"/>
      <c r="AC1341" s="168"/>
      <c r="AD1341" s="163">
        <f t="shared" si="2363"/>
        <v>136680.83145846351</v>
      </c>
      <c r="AE1341" s="168">
        <f t="shared" si="2440"/>
        <v>6.9494934690497029E-2</v>
      </c>
      <c r="AF1341" s="163"/>
      <c r="AG1341" s="163"/>
      <c r="AH1341" s="163"/>
      <c r="AI1341" s="163"/>
      <c r="AJ1341" s="116">
        <f t="shared" si="2441"/>
        <v>657.90063902068096</v>
      </c>
      <c r="AK1341" s="114">
        <f>+AV1341/$AX$16</f>
        <v>5.8452406880611296E-3</v>
      </c>
      <c r="AL1341" s="115">
        <f t="shared" si="2429"/>
        <v>0.23607775171535916</v>
      </c>
      <c r="AM1341" s="115">
        <f t="shared" si="2430"/>
        <v>0.341884677725661</v>
      </c>
      <c r="AN1341" s="115">
        <f t="shared" si="2431"/>
        <v>0.42203757055897978</v>
      </c>
      <c r="AO1341" s="115">
        <f t="shared" si="2433"/>
        <v>3.7207412198404378E-2</v>
      </c>
      <c r="AP1341" s="166">
        <f t="shared" si="2444"/>
        <v>114.7492913811838</v>
      </c>
      <c r="AQ1341" s="168">
        <f t="shared" si="2445"/>
        <v>3.7207412198404295E-2</v>
      </c>
      <c r="AR1341" s="169">
        <f>+AD1341/$AF$16</f>
        <v>1.3392182028314523E-2</v>
      </c>
      <c r="AS1341" s="169">
        <f t="shared" si="2443"/>
        <v>4.9828843696356055E-4</v>
      </c>
      <c r="AT1341" s="115"/>
      <c r="AU1341" s="115"/>
      <c r="AV1341" s="113">
        <f>IFERROR(INDEX('Total Customers'!$F$7:$AB$91,MATCH($C1341,'Total Customers'!$D$7:$D$91,0),MATCH($G1341,'Total Customers'!$F$5:$AB$5,0)),"NA")</f>
        <v>207753</v>
      </c>
      <c r="AW1341" s="68">
        <f t="shared" si="2347"/>
        <v>9.0272565144012672E-3</v>
      </c>
      <c r="AX1341" s="114"/>
      <c r="AY1341" s="114"/>
      <c r="AZ1341" s="116">
        <v>8437841</v>
      </c>
      <c r="BA1341" s="116"/>
      <c r="BB1341" s="166"/>
      <c r="BC1341" s="166"/>
      <c r="BD1341" s="166"/>
      <c r="BE1341" s="166"/>
      <c r="BF1341" s="166"/>
      <c r="BG1341" s="166"/>
      <c r="BH1341" s="166"/>
      <c r="BI1341" s="113"/>
      <c r="BJ1341" s="113"/>
      <c r="BK1341" s="113">
        <f>INDEX('Dist. Plant Gas Additions'!$F$7:$AE$91,MATCH($C1341,'Dist. Plant Gas Additions'!$D$7:$D$91,0),MATCH(Calculation!$G1341,'Dist. Plant Gas Additions'!$F$5:$AE$5,0))</f>
        <v>101025</v>
      </c>
      <c r="BL1341" s="113">
        <f>INDEX('Gen. Plant Additions'!$F$7:$AE$91,MATCH($C1341,'Gen. Plant Additions'!$D$7:$D$91,0),MATCH(Calculation!$G1341,'Gen. Plant Additions'!$F$5:$AE$5,0))</f>
        <v>10375</v>
      </c>
      <c r="BM1341" s="231">
        <f t="shared" si="2366"/>
        <v>0.95029335874402054</v>
      </c>
      <c r="BN1341" s="113"/>
      <c r="BO1341" s="113">
        <f>INDEX('Dist Plant Depreciation'!$E$7:$AD$94,MATCH($C1341,'Dist Plant Depreciation'!$D$7:$D$94,0),MATCH(Calculation!$G1341,'Dist Plant Depreciation'!$E$5:$AD$5,0))</f>
        <v>321804</v>
      </c>
      <c r="BP1341" s="113">
        <f>INDEX('Gen. Plant Depreciation'!$E$7:$AD$94,MATCH($C1341,'Gen. Plant Depreciation'!$D$7:$D$94,0),MATCH(Calculation!$G1341,'Gen. Plant Depreciation'!$E$5:$AD$5,0))</f>
        <v>35203</v>
      </c>
      <c r="BQ1341" s="113"/>
      <c r="BR1341" s="113"/>
      <c r="BS1341" s="113"/>
      <c r="BT1341" s="113"/>
      <c r="BU1341" s="113"/>
      <c r="BV1341" s="175"/>
      <c r="BW1341" s="113">
        <f>INDEX('Gross Dx Plant'!$E$7:$AD$91,MATCH($C1341,'Gross Dx Plant'!$D$7:$D$91,0),MATCH(Calculation!$G1341,'Gross Dx Plant'!$E$5:$AD$5,0))</f>
        <v>1040044</v>
      </c>
      <c r="BX1341" s="113">
        <f>INDEX('Gross Gen Plant'!$E$7:$AD$91,MATCH($C1341,'Gross Gen Plant'!$D$7:$D$91,0),MATCH(Calculation!$G1341,'Gross Gen Plant'!$E$5:$AD$5,0))</f>
        <v>59099</v>
      </c>
      <c r="BY1341" s="113">
        <f t="shared" si="2446"/>
        <v>742136</v>
      </c>
      <c r="BZ1341" s="113"/>
      <c r="CA1341" s="116">
        <v>2011</v>
      </c>
      <c r="CB1341" s="113"/>
      <c r="CC1341" s="113"/>
      <c r="CD1341" s="113"/>
      <c r="CE1341" s="175"/>
      <c r="CF1341" s="113">
        <f t="shared" si="2411"/>
        <v>111400</v>
      </c>
      <c r="CG1341" s="113">
        <f t="shared" si="2412"/>
        <v>182.14188837677193</v>
      </c>
      <c r="CH1341" s="178">
        <v>0.92121212121212126</v>
      </c>
      <c r="CI1341" s="61">
        <f>+CI1328*CH1341+CG1329*CH1340+CG1330*CH1339+CG1331*CH1338+CG1332*CH1337+CG1333*CH1336+CG1334*CH1335+CG1335*CH1334+CG1336*CH1333+CG1337*CH1332+CG1338*CH1331+CG1339*CH1330+CG1340*CH1329+CG1341</f>
        <v>2933.5510037944368</v>
      </c>
      <c r="CJ1341" s="114">
        <f t="shared" si="2413"/>
        <v>5.6920034661842034E-2</v>
      </c>
      <c r="CK1341" s="114"/>
      <c r="CL1341" s="169">
        <f t="shared" si="2414"/>
        <v>7.1546976001131638E-3</v>
      </c>
      <c r="CM1341" s="169">
        <f t="shared" si="2422"/>
        <v>6.9530732793403128E-3</v>
      </c>
      <c r="CN1341" s="114">
        <f>VLOOKUP($H1341,RoR!$E:$F,2,FALSE)</f>
        <v>4.6391666666666664E-2</v>
      </c>
      <c r="CO1341" s="169">
        <v>2.0840920205183799E-2</v>
      </c>
      <c r="CP1341" s="169">
        <f t="shared" si="2420"/>
        <v>2.5550746461482865E-2</v>
      </c>
      <c r="CQ1341" s="169">
        <f t="shared" si="2423"/>
        <v>2.3948868329193313E-2</v>
      </c>
      <c r="CR1341" s="169">
        <v>2.4810540821321614E-2</v>
      </c>
      <c r="CS1341" s="179">
        <f t="shared" si="2415"/>
        <v>0.85126000000000002</v>
      </c>
      <c r="CT1341" s="180">
        <f t="shared" si="2416"/>
        <v>1.1054151524782025</v>
      </c>
      <c r="CU1341" s="180">
        <f t="shared" si="2417"/>
        <v>0.43611011316687626</v>
      </c>
      <c r="CV1341" s="180">
        <f t="shared" si="2418"/>
        <v>0.83698442246886229</v>
      </c>
      <c r="CW1341" s="180">
        <f t="shared" si="2419"/>
        <v>0.40349573304423936</v>
      </c>
      <c r="CX1341" s="181">
        <f>INDEX('State Tax Lookup'!$D$7:$Z$91,MATCH(Calculation!$C1341,'State Tax Lookup'!$B$7:$B$91,0),MATCH($H1341,'State Tax Lookup'!$D$6:$Z$6,0))</f>
        <v>0.40200000000000002</v>
      </c>
      <c r="CY1341" s="72">
        <v>0.37</v>
      </c>
      <c r="CZ1341" s="70">
        <f t="shared" si="2421"/>
        <v>20.81541816593661</v>
      </c>
      <c r="DA1341" s="70">
        <v>19.146574949201604</v>
      </c>
      <c r="DB1341" s="69">
        <f t="shared" si="2424"/>
        <v>6.5877906477658954E-2</v>
      </c>
      <c r="DC1341" s="111">
        <f>VLOOKUP($H1341,RoR!$E:$F,2,FALSE)</f>
        <v>4.6391666666666664E-2</v>
      </c>
      <c r="DD1341" s="216">
        <f>HLOOKUP($H1341,'GDP-PI'!$D$8:$CQ$11,3,FALSE)</f>
        <v>2.0840920205183799E-2</v>
      </c>
      <c r="DE1341" s="111">
        <f>VLOOKUP(H1341,'HW Dx Data'!$E:$F,2,FALSE)</f>
        <v>611.61109612283201</v>
      </c>
      <c r="DF1341" s="72">
        <f t="shared" si="2434"/>
        <v>120.875</v>
      </c>
      <c r="DG1341" s="69">
        <f t="shared" si="2435"/>
        <v>3.3224250161508609E-2</v>
      </c>
      <c r="DH1341" s="66">
        <f>HLOOKUP(H1341,'GDP-PI'!$8:$9,2,FALSE)</f>
        <v>98.111999999999995</v>
      </c>
      <c r="DI1341" s="69">
        <f t="shared" si="2425"/>
        <v>2.0626719212849295E-2</v>
      </c>
    </row>
    <row r="1342" spans="1:113" s="160" customFormat="1" ht="21">
      <c r="A1342" s="160" t="s">
        <v>238</v>
      </c>
      <c r="B1342" s="160" t="s">
        <v>239</v>
      </c>
      <c r="C1342" s="160">
        <v>4064141</v>
      </c>
      <c r="D1342" s="161" t="s">
        <v>181</v>
      </c>
      <c r="E1342" s="161" t="s">
        <v>3</v>
      </c>
      <c r="F1342" s="189"/>
      <c r="G1342" s="160" t="s">
        <v>128</v>
      </c>
      <c r="H1342" s="162">
        <v>2012</v>
      </c>
      <c r="I1342" s="163"/>
      <c r="J1342" s="159">
        <f>IFERROR(INDEX('Labor Expenditures'!$F$7:$X$91,MATCH($C1342,'Labor Expenditures'!$D$7:$D$91,0),MATCH($G1342,'Labor Expenditures'!$F$5:$X$5,0)),"NA")</f>
        <v>32158.369578901482</v>
      </c>
      <c r="K1342" s="159">
        <f t="shared" si="2426"/>
        <v>257.67924342068494</v>
      </c>
      <c r="L1342" s="165">
        <f t="shared" si="2432"/>
        <v>-3.5337194992862975E-2</v>
      </c>
      <c r="M1342" s="76">
        <f t="shared" si="2436"/>
        <v>-4.7858563810861327E-4</v>
      </c>
      <c r="N1342" s="62">
        <f t="shared" si="2442"/>
        <v>119.45751448155507</v>
      </c>
      <c r="O1342" s="96">
        <f t="shared" si="2437"/>
        <v>1.7330444279036309E-3</v>
      </c>
      <c r="P1342" s="96"/>
      <c r="Q1342" s="159">
        <f>IFERROR(INDEX('Non-Labor Expenditures'!$F$7:$AB$91,MATCH($C1342,'Non-Labor Expenditures'!$D$7:$D$91,0),MATCH($G1342,'Non-Labor Expenditures'!$F$5:$AB$5,0)),"NA")</f>
        <v>46571.325505173118</v>
      </c>
      <c r="R1342" s="159">
        <f t="shared" si="2427"/>
        <v>465.71325505173115</v>
      </c>
      <c r="S1342" s="165">
        <f t="shared" si="2438"/>
        <v>-2.2442195569736721E-2</v>
      </c>
      <c r="T1342" s="165">
        <f t="shared" si="2439"/>
        <v>-3.0394354983382228E-4</v>
      </c>
      <c r="U1342" s="165"/>
      <c r="V1342" s="165"/>
      <c r="W1342" s="159">
        <f t="shared" si="2410"/>
        <v>66103.828214217414</v>
      </c>
      <c r="X1342" s="163"/>
      <c r="Y1342" s="167">
        <v>3053.9642328060213</v>
      </c>
      <c r="Z1342" s="168">
        <v>4.0226859236528939E-2</v>
      </c>
      <c r="AA1342" s="76">
        <f t="shared" si="2428"/>
        <v>5.4480829903754042E-4</v>
      </c>
      <c r="AB1342" s="168"/>
      <c r="AC1342" s="168"/>
      <c r="AD1342" s="163">
        <f t="shared" si="2363"/>
        <v>144833.52329829201</v>
      </c>
      <c r="AE1342" s="168">
        <f t="shared" si="2440"/>
        <v>5.7936457169722413E-2</v>
      </c>
      <c r="AF1342" s="163"/>
      <c r="AG1342" s="163"/>
      <c r="AH1342" s="163"/>
      <c r="AI1342" s="163"/>
      <c r="AJ1342" s="116">
        <f t="shared" si="2441"/>
        <v>684.65611225332088</v>
      </c>
      <c r="AK1342" s="114">
        <f>+AV1342/$AX$17</f>
        <v>5.9233230642650398E-3</v>
      </c>
      <c r="AL1342" s="115">
        <f t="shared" si="2429"/>
        <v>0.22203678296681137</v>
      </c>
      <c r="AM1342" s="115">
        <f t="shared" si="2430"/>
        <v>0.32155073248654664</v>
      </c>
      <c r="AN1342" s="115">
        <f t="shared" si="2431"/>
        <v>0.45641248454664196</v>
      </c>
      <c r="AO1342" s="115">
        <f t="shared" si="2433"/>
        <v>2.129928424027757E-3</v>
      </c>
      <c r="AP1342" s="166">
        <f t="shared" si="2444"/>
        <v>114.9939596289646</v>
      </c>
      <c r="AQ1342" s="168">
        <f t="shared" si="2445"/>
        <v>2.1299284240278217E-3</v>
      </c>
      <c r="AR1342" s="169">
        <f>+AD1342/$AF$17</f>
        <v>1.3543396361971369E-2</v>
      </c>
      <c r="AS1342" s="169">
        <f t="shared" si="2443"/>
        <v>2.8846464869237811E-5</v>
      </c>
      <c r="AT1342" s="115"/>
      <c r="AU1342" s="115"/>
      <c r="AV1342" s="113">
        <f>IFERROR(INDEX('Total Customers'!$F$7:$AB$91,MATCH($C1342,'Total Customers'!$D$7:$D$91,0),MATCH($G1342,'Total Customers'!$F$5:$AB$5,0)),"NA")</f>
        <v>211542</v>
      </c>
      <c r="AW1342" s="68">
        <f t="shared" si="2347"/>
        <v>1.8073686267399813E-2</v>
      </c>
      <c r="AX1342" s="114"/>
      <c r="AY1342" s="114"/>
      <c r="AZ1342" s="116">
        <v>8485072</v>
      </c>
      <c r="BA1342" s="116"/>
      <c r="BB1342" s="166"/>
      <c r="BC1342" s="166"/>
      <c r="BD1342" s="166"/>
      <c r="BE1342" s="166"/>
      <c r="BF1342" s="166"/>
      <c r="BG1342" s="166"/>
      <c r="BH1342" s="166"/>
      <c r="BI1342" s="113"/>
      <c r="BJ1342" s="113"/>
      <c r="BK1342" s="113">
        <f>INDEX('Dist. Plant Gas Additions'!$F$7:$AE$91,MATCH($C1342,'Dist. Plant Gas Additions'!$D$7:$D$91,0),MATCH(Calculation!$G1342,'Dist. Plant Gas Additions'!$F$5:$AE$5,0))</f>
        <v>90248</v>
      </c>
      <c r="BL1342" s="113">
        <f>INDEX('Gen. Plant Additions'!$F$7:$AE$91,MATCH($C1342,'Gen. Plant Additions'!$D$7:$D$91,0),MATCH(Calculation!$G1342,'Gen. Plant Additions'!$F$5:$AE$5,0))</f>
        <v>4641</v>
      </c>
      <c r="BM1342" s="231">
        <f t="shared" si="2366"/>
        <v>0.94623174600575177</v>
      </c>
      <c r="BN1342" s="113"/>
      <c r="BO1342" s="113">
        <f>INDEX('Dist Plant Depreciation'!$E$7:$AD$94,MATCH($C1342,'Dist Plant Depreciation'!$D$7:$D$94,0),MATCH(Calculation!$G1342,'Dist Plant Depreciation'!$E$5:$AD$5,0))</f>
        <v>332567</v>
      </c>
      <c r="BP1342" s="113">
        <f>INDEX('Gen. Plant Depreciation'!$E$7:$AD$94,MATCH($C1342,'Gen. Plant Depreciation'!$D$7:$D$94,0),MATCH(Calculation!$G1342,'Gen. Plant Depreciation'!$E$5:$AD$5,0))</f>
        <v>38728</v>
      </c>
      <c r="BQ1342" s="113"/>
      <c r="BR1342" s="113"/>
      <c r="BS1342" s="113"/>
      <c r="BT1342" s="113"/>
      <c r="BU1342" s="113"/>
      <c r="BV1342" s="175"/>
      <c r="BW1342" s="113">
        <f>INDEX('Gross Dx Plant'!$E$7:$AD$91,MATCH($C1342,'Gross Dx Plant'!$D$7:$D$91,0),MATCH(Calculation!$G1342,'Gross Dx Plant'!$E$5:$AD$5,0))</f>
        <v>1124061</v>
      </c>
      <c r="BX1342" s="113">
        <f>INDEX('Gross Gen Plant'!$E$7:$AD$91,MATCH($C1342,'Gross Gen Plant'!$D$7:$D$91,0),MATCH(Calculation!$G1342,'Gross Gen Plant'!$E$5:$AD$5,0))</f>
        <v>61963</v>
      </c>
      <c r="BY1342" s="113">
        <f t="shared" si="2446"/>
        <v>814729</v>
      </c>
      <c r="BZ1342" s="113"/>
      <c r="CA1342" s="116">
        <v>2012</v>
      </c>
      <c r="CB1342" s="113"/>
      <c r="CC1342" s="113"/>
      <c r="CD1342" s="113"/>
      <c r="CE1342" s="175"/>
      <c r="CF1342" s="113">
        <f t="shared" si="2411"/>
        <v>94889</v>
      </c>
      <c r="CG1342" s="113">
        <f t="shared" si="2412"/>
        <v>141.85417712305841</v>
      </c>
      <c r="CH1342" s="178">
        <v>0.9135802469135802</v>
      </c>
      <c r="CI1342" s="61">
        <f>+CI1328*CH1342+CG1329*CH1341+CG1330*CH1340+CG1331*CH1339+CG1332*CH1338+CG1333*CH1337+CG1334*CH1336+CG1335*CH1335+CG1336*CH1334+CG1337*CH1333+CG1338*CH1332+CG1339*CH1331+CG1340*CH1330+CG1341*CH1329+CG1342</f>
        <v>3053.9642328060213</v>
      </c>
      <c r="CJ1342" s="114">
        <f t="shared" si="2413"/>
        <v>4.0226859236528939E-2</v>
      </c>
      <c r="CK1342" s="114"/>
      <c r="CL1342" s="169">
        <f t="shared" si="2414"/>
        <v>7.3088717679497955E-3</v>
      </c>
      <c r="CM1342" s="169">
        <f t="shared" si="2422"/>
        <v>7.1370502682298817E-3</v>
      </c>
      <c r="CN1342" s="114">
        <f>VLOOKUP($H1342,RoR!$E:$F,2,FALSE)</f>
        <v>3.6733333333333333E-2</v>
      </c>
      <c r="CO1342" s="169">
        <v>1.924331376386168E-2</v>
      </c>
      <c r="CP1342" s="169">
        <f t="shared" si="2420"/>
        <v>1.7490019569471653E-2</v>
      </c>
      <c r="CQ1342" s="169">
        <f t="shared" si="2423"/>
        <v>2.3764891340303743E-2</v>
      </c>
      <c r="CR1342" s="169">
        <v>6.7122682943869583E-2</v>
      </c>
      <c r="CS1342" s="179">
        <f t="shared" si="2415"/>
        <v>0.85126000000000002</v>
      </c>
      <c r="CT1342" s="180">
        <f t="shared" si="2416"/>
        <v>1.3960631020522127</v>
      </c>
      <c r="CU1342" s="180">
        <f t="shared" si="2417"/>
        <v>0.29441923774954631</v>
      </c>
      <c r="CV1342" s="180">
        <f t="shared" si="2418"/>
        <v>0.76377954189366437</v>
      </c>
      <c r="CW1342" s="180">
        <f t="shared" si="2419"/>
        <v>0.31393465103033691</v>
      </c>
      <c r="CX1342" s="181">
        <f>INDEX('State Tax Lookup'!$D$7:$Z$91,MATCH(Calculation!$C1342,'State Tax Lookup'!$B$7:$B$91,0),MATCH($H1342,'State Tax Lookup'!$D$6:$Z$6,0))</f>
        <v>0.40200000000000002</v>
      </c>
      <c r="CY1342" s="72">
        <v>0.37</v>
      </c>
      <c r="CZ1342" s="70">
        <f t="shared" si="2421"/>
        <v>22.533723848235336</v>
      </c>
      <c r="DA1342" s="70">
        <v>20.759737328210988</v>
      </c>
      <c r="DB1342" s="69">
        <f t="shared" si="2424"/>
        <v>7.9319054684636514E-2</v>
      </c>
      <c r="DC1342" s="111">
        <f>VLOOKUP($H1342,RoR!$E:$F,2,FALSE)</f>
        <v>3.6733333333333333E-2</v>
      </c>
      <c r="DD1342" s="216">
        <f>HLOOKUP($H1342,'GDP-PI'!$D$8:$CQ$11,3,FALSE)</f>
        <v>1.924331376386168E-2</v>
      </c>
      <c r="DE1342" s="111">
        <f>VLOOKUP(H1342,'HW Dx Data'!$E:$F,2,FALSE)</f>
        <v>668.91932211262167</v>
      </c>
      <c r="DF1342" s="72">
        <f t="shared" si="2434"/>
        <v>124.80000000000001</v>
      </c>
      <c r="DG1342" s="69">
        <f t="shared" si="2435"/>
        <v>3.1955502161869064E-2</v>
      </c>
      <c r="DH1342" s="66">
        <f>HLOOKUP(H1342,'GDP-PI'!$8:$9,2,FALSE)</f>
        <v>100</v>
      </c>
      <c r="DI1342" s="69">
        <f t="shared" si="2425"/>
        <v>1.9060502738742411E-2</v>
      </c>
    </row>
    <row r="1343" spans="1:113" s="160" customFormat="1" ht="21">
      <c r="A1343" s="160" t="s">
        <v>238</v>
      </c>
      <c r="B1343" s="160" t="s">
        <v>239</v>
      </c>
      <c r="C1343" s="160">
        <v>4064141</v>
      </c>
      <c r="D1343" s="161" t="s">
        <v>181</v>
      </c>
      <c r="E1343" s="161" t="s">
        <v>3</v>
      </c>
      <c r="F1343" s="189"/>
      <c r="G1343" s="160" t="s">
        <v>129</v>
      </c>
      <c r="H1343" s="162">
        <v>2013</v>
      </c>
      <c r="I1343" s="163"/>
      <c r="J1343" s="159">
        <f>IFERROR(INDEX('Labor Expenditures'!$F$7:$X$91,MATCH($C1343,'Labor Expenditures'!$D$7:$D$91,0),MATCH($G1343,'Labor Expenditures'!$F$5:$X$5,0)),"NA")</f>
        <v>32430.899449424294</v>
      </c>
      <c r="K1343" s="159">
        <f t="shared" si="2426"/>
        <v>255.76419124151653</v>
      </c>
      <c r="L1343" s="165">
        <f t="shared" si="2432"/>
        <v>-7.4596768812930005E-3</v>
      </c>
      <c r="M1343" s="76">
        <f t="shared" si="2436"/>
        <v>-9.8970718838639244E-5</v>
      </c>
      <c r="N1343" s="62">
        <f t="shared" si="2442"/>
        <v>109.0333230466848</v>
      </c>
      <c r="O1343" s="96">
        <f t="shared" si="2437"/>
        <v>-9.1307229273576485E-2</v>
      </c>
      <c r="P1343" s="96"/>
      <c r="Q1343" s="159">
        <f>IFERROR(INDEX('Non-Labor Expenditures'!$F$7:$AB$91,MATCH($C1343,'Non-Labor Expenditures'!$D$7:$D$91,0),MATCH($G1343,'Non-Labor Expenditures'!$F$5:$AB$5,0)),"NA")</f>
        <v>46965.999659248628</v>
      </c>
      <c r="R1343" s="159">
        <f t="shared" si="2427"/>
        <v>461.47799179790934</v>
      </c>
      <c r="S1343" s="165">
        <f t="shared" si="2438"/>
        <v>-9.1357478300053419E-3</v>
      </c>
      <c r="T1343" s="165">
        <f t="shared" si="2439"/>
        <v>-1.2120786788119507E-4</v>
      </c>
      <c r="U1343" s="165"/>
      <c r="V1343" s="165"/>
      <c r="W1343" s="159">
        <f t="shared" si="2410"/>
        <v>67755.232242022408</v>
      </c>
      <c r="X1343" s="163"/>
      <c r="Y1343" s="167">
        <v>3172.5535629409223</v>
      </c>
      <c r="Z1343" s="168">
        <v>3.8096308837122415E-2</v>
      </c>
      <c r="AA1343" s="76">
        <f t="shared" si="2428"/>
        <v>5.0543999836830415E-4</v>
      </c>
      <c r="AB1343" s="168"/>
      <c r="AC1343" s="168"/>
      <c r="AD1343" s="163">
        <f t="shared" si="2363"/>
        <v>147152.13135069533</v>
      </c>
      <c r="AE1343" s="168">
        <f t="shared" si="2440"/>
        <v>1.5881991131869298E-2</v>
      </c>
      <c r="AF1343" s="163"/>
      <c r="AG1343" s="163"/>
      <c r="AH1343" s="163"/>
      <c r="AI1343" s="163"/>
      <c r="AJ1343" s="116">
        <f t="shared" si="2441"/>
        <v>685.40402317109624</v>
      </c>
      <c r="AK1343" s="114">
        <f>+AV1343/$AX$18</f>
        <v>5.9732675036931237E-3</v>
      </c>
      <c r="AL1343" s="115">
        <f t="shared" si="2429"/>
        <v>0.2203902801253653</v>
      </c>
      <c r="AM1343" s="115">
        <f t="shared" si="2430"/>
        <v>0.31916628884782172</v>
      </c>
      <c r="AN1343" s="115">
        <f t="shared" si="2431"/>
        <v>0.46044343102681295</v>
      </c>
      <c r="AO1343" s="115">
        <f t="shared" si="2433"/>
        <v>1.2887517023659478E-2</v>
      </c>
      <c r="AP1343" s="166">
        <f t="shared" si="2444"/>
        <v>116.48553696105125</v>
      </c>
      <c r="AQ1343" s="168">
        <f t="shared" si="2445"/>
        <v>1.2887517023659518E-2</v>
      </c>
      <c r="AR1343" s="169">
        <f>+AD1343/$AF$18</f>
        <v>1.3267427049934695E-2</v>
      </c>
      <c r="AS1343" s="169">
        <f t="shared" si="2443"/>
        <v>1.7098419196619416E-4</v>
      </c>
      <c r="AT1343" s="115"/>
      <c r="AU1343" s="115"/>
      <c r="AV1343" s="113">
        <f>IFERROR(INDEX('Total Customers'!$F$7:$AB$91,MATCH($C1343,'Total Customers'!$D$7:$D$91,0),MATCH($G1343,'Total Customers'!$F$5:$AB$5,0)),"NA")</f>
        <v>214694</v>
      </c>
      <c r="AW1343" s="68">
        <f t="shared" si="2347"/>
        <v>1.4790198191208715E-2</v>
      </c>
      <c r="AX1343" s="114"/>
      <c r="AY1343" s="114"/>
      <c r="AZ1343" s="116">
        <v>8534921</v>
      </c>
      <c r="BA1343" s="116"/>
      <c r="BB1343" s="166"/>
      <c r="BC1343" s="166"/>
      <c r="BD1343" s="166"/>
      <c r="BE1343" s="166"/>
      <c r="BF1343" s="166"/>
      <c r="BG1343" s="166"/>
      <c r="BH1343" s="166"/>
      <c r="BI1343" s="113"/>
      <c r="BJ1343" s="113"/>
      <c r="BK1343" s="113">
        <f>INDEX('Dist. Plant Gas Additions'!$F$7:$AE$91,MATCH($C1343,'Dist. Plant Gas Additions'!$D$7:$D$91,0),MATCH(Calculation!$G1343,'Dist. Plant Gas Additions'!$F$5:$AE$5,0))</f>
        <v>91488</v>
      </c>
      <c r="BL1343" s="113">
        <f>INDEX('Gen. Plant Additions'!$F$7:$AE$91,MATCH($C1343,'Gen. Plant Additions'!$D$7:$D$91,0),MATCH(Calculation!$G1343,'Gen. Plant Additions'!$F$5:$AE$5,0))</f>
        <v>2368</v>
      </c>
      <c r="BM1343" s="231">
        <f t="shared" si="2366"/>
        <v>0.94775569465710641</v>
      </c>
      <c r="BN1343" s="113"/>
      <c r="BO1343" s="113">
        <f>INDEX('Dist Plant Depreciation'!$E$7:$AD$94,MATCH($C1343,'Dist Plant Depreciation'!$D$7:$D$94,0),MATCH(Calculation!$G1343,'Dist Plant Depreciation'!$E$5:$AD$5,0))</f>
        <v>341546</v>
      </c>
      <c r="BP1343" s="113">
        <f>INDEX('Gen. Plant Depreciation'!$E$7:$AD$94,MATCH($C1343,'Gen. Plant Depreciation'!$D$7:$D$94,0),MATCH(Calculation!$G1343,'Gen. Plant Depreciation'!$E$5:$AD$5,0))</f>
        <v>43520</v>
      </c>
      <c r="BQ1343" s="113"/>
      <c r="BR1343" s="113"/>
      <c r="BS1343" s="113"/>
      <c r="BT1343" s="113"/>
      <c r="BU1343" s="113"/>
      <c r="BV1343" s="175"/>
      <c r="BW1343" s="113">
        <f>INDEX('Gross Dx Plant'!$E$7:$AD$91,MATCH($C1343,'Gross Dx Plant'!$D$7:$D$91,0),MATCH(Calculation!$G1343,'Gross Dx Plant'!$E$5:$AD$5,0))</f>
        <v>1207933</v>
      </c>
      <c r="BX1343" s="113">
        <f>INDEX('Gross Gen Plant'!$E$7:$AD$91,MATCH($C1343,'Gross Gen Plant'!$D$7:$D$91,0),MATCH(Calculation!$G1343,'Gross Gen Plant'!$E$5:$AD$5,0))</f>
        <v>63896</v>
      </c>
      <c r="BY1343" s="113">
        <f t="shared" si="2446"/>
        <v>886763</v>
      </c>
      <c r="BZ1343" s="113"/>
      <c r="CA1343" s="116">
        <v>2013</v>
      </c>
      <c r="CB1343" s="113"/>
      <c r="CC1343" s="113"/>
      <c r="CD1343" s="113"/>
      <c r="CE1343" s="175"/>
      <c r="CF1343" s="113">
        <f t="shared" si="2411"/>
        <v>93856</v>
      </c>
      <c r="CG1343" s="113">
        <f t="shared" si="2412"/>
        <v>141.50957503005688</v>
      </c>
      <c r="CH1343" s="178">
        <v>0.90566037735849059</v>
      </c>
      <c r="CI1343" s="61">
        <f>+CI1328*CH1343+CG1329*CH1342+CG1330*CH1341+CG1331*CH1340+CG1332*CH1339+CG1333*CH1338+CG1334*CH1337+CG1335*CH1336+CG1336*CH1335+CG1337*CH1334+CG1338*CH1333+CG1339*CH1332+CG1340*CH1331+CG1341*CH1330+CG1342*CH1329+CG1343</f>
        <v>3172.5535629409223</v>
      </c>
      <c r="CJ1343" s="114">
        <f t="shared" si="2413"/>
        <v>3.8096308837122415E-2</v>
      </c>
      <c r="CK1343" s="114"/>
      <c r="CL1343" s="169">
        <f t="shared" si="2414"/>
        <v>7.5050796760957545E-3</v>
      </c>
      <c r="CM1343" s="169">
        <f t="shared" si="2422"/>
        <v>7.3228830147195707E-3</v>
      </c>
      <c r="CN1343" s="114">
        <f>VLOOKUP($H1343,RoR!$E:$F,2,FALSE)</f>
        <v>4.2350000000000006E-2</v>
      </c>
      <c r="CO1343" s="169">
        <v>1.7730000000000024E-2</v>
      </c>
      <c r="CP1343" s="169">
        <f t="shared" si="2420"/>
        <v>2.4619999999999982E-2</v>
      </c>
      <c r="CQ1343" s="169">
        <f t="shared" si="2423"/>
        <v>2.3579058593814053E-2</v>
      </c>
      <c r="CR1343" s="169">
        <v>5.3376742735721204E-2</v>
      </c>
      <c r="CS1343" s="179">
        <f t="shared" si="2415"/>
        <v>0.85126000000000002</v>
      </c>
      <c r="CT1343" s="180">
        <f t="shared" si="2416"/>
        <v>1.2109103018193925</v>
      </c>
      <c r="CU1343" s="180">
        <f t="shared" si="2417"/>
        <v>0.38468122786304604</v>
      </c>
      <c r="CV1343" s="180">
        <f t="shared" si="2418"/>
        <v>0.80969194503422559</v>
      </c>
      <c r="CW1343" s="180">
        <f t="shared" si="2419"/>
        <v>0.37716621754800816</v>
      </c>
      <c r="CX1343" s="181">
        <f>INDEX('State Tax Lookup'!$D$7:$Z$91,MATCH(Calculation!$C1343,'State Tax Lookup'!$B$7:$B$91,0),MATCH($H1343,'State Tax Lookup'!$D$6:$Z$6,0))</f>
        <v>0.40200000000000002</v>
      </c>
      <c r="CY1343" s="72">
        <v>0.37</v>
      </c>
      <c r="CZ1343" s="70">
        <f t="shared" si="2421"/>
        <v>22.185994031687802</v>
      </c>
      <c r="DA1343" s="70">
        <v>20.339519021246105</v>
      </c>
      <c r="DB1343" s="69">
        <f t="shared" si="2424"/>
        <v>-1.5551834469732533E-2</v>
      </c>
      <c r="DC1343" s="111">
        <f>VLOOKUP($H1343,RoR!$E:$F,2,FALSE)</f>
        <v>4.2350000000000006E-2</v>
      </c>
      <c r="DD1343" s="216">
        <f>HLOOKUP($H1343,'GDP-PI'!$D$8:$CQ$11,3,FALSE)</f>
        <v>1.7730000000000024E-2</v>
      </c>
      <c r="DE1343" s="111">
        <f>VLOOKUP(H1343,'HW Dx Data'!$E:$F,2,FALSE)</f>
        <v>663.24840548821396</v>
      </c>
      <c r="DF1343" s="72">
        <f t="shared" si="2434"/>
        <v>126.8</v>
      </c>
      <c r="DG1343" s="69">
        <f t="shared" si="2435"/>
        <v>1.5898586067798204E-2</v>
      </c>
      <c r="DH1343" s="66">
        <f>HLOOKUP(H1343,'GDP-PI'!$8:$9,2,FALSE)</f>
        <v>101.773</v>
      </c>
      <c r="DI1343" s="69">
        <f t="shared" si="2425"/>
        <v>1.7574657016510519E-2</v>
      </c>
    </row>
    <row r="1344" spans="1:113" s="160" customFormat="1" ht="21">
      <c r="A1344" s="160" t="s">
        <v>238</v>
      </c>
      <c r="B1344" s="160" t="s">
        <v>239</v>
      </c>
      <c r="C1344" s="160">
        <v>4064141</v>
      </c>
      <c r="D1344" s="161" t="s">
        <v>181</v>
      </c>
      <c r="E1344" s="161" t="s">
        <v>3</v>
      </c>
      <c r="F1344" s="189"/>
      <c r="G1344" s="160" t="s">
        <v>130</v>
      </c>
      <c r="H1344" s="162">
        <v>2014</v>
      </c>
      <c r="I1344" s="163"/>
      <c r="J1344" s="159">
        <f>IFERROR(INDEX('Labor Expenditures'!$F$7:$X$91,MATCH($C1344,'Labor Expenditures'!$D$7:$D$91,0),MATCH($G1344,'Labor Expenditures'!$F$5:$X$5,0)),"NA")</f>
        <v>32547.237847510016</v>
      </c>
      <c r="K1344" s="159">
        <f t="shared" si="2426"/>
        <v>251.52424920795994</v>
      </c>
      <c r="L1344" s="165">
        <f t="shared" si="2432"/>
        <v>-1.6716488803921188E-2</v>
      </c>
      <c r="M1344" s="76">
        <f t="shared" si="2436"/>
        <v>-2.2292033840320188E-4</v>
      </c>
      <c r="N1344" s="62">
        <f t="shared" si="2442"/>
        <v>124.14438104529995</v>
      </c>
      <c r="O1344" s="96">
        <f t="shared" si="2437"/>
        <v>0.12979169999625415</v>
      </c>
      <c r="P1344" s="96"/>
      <c r="Q1344" s="159">
        <f>IFERROR(INDEX('Non-Labor Expenditures'!$F$7:$AB$91,MATCH($C1344,'Non-Labor Expenditures'!$D$7:$D$91,0),MATCH($G1344,'Non-Labor Expenditures'!$F$5:$AB$5,0)),"NA")</f>
        <v>47134.479388692227</v>
      </c>
      <c r="R1344" s="159">
        <f t="shared" si="2427"/>
        <v>454.75970735952052</v>
      </c>
      <c r="S1344" s="165">
        <f t="shared" si="2438"/>
        <v>-1.4665200638502501E-2</v>
      </c>
      <c r="T1344" s="165">
        <f t="shared" si="2439"/>
        <v>-1.9556567933805451E-4</v>
      </c>
      <c r="U1344" s="165"/>
      <c r="V1344" s="165"/>
      <c r="W1344" s="159">
        <f t="shared" si="2410"/>
        <v>72137.867938944924</v>
      </c>
      <c r="X1344" s="163"/>
      <c r="Y1344" s="167">
        <v>3296.7278727631415</v>
      </c>
      <c r="Z1344" s="168">
        <v>3.8393618874119739E-2</v>
      </c>
      <c r="AA1344" s="76">
        <f t="shared" si="2428"/>
        <v>5.1199259679070351E-4</v>
      </c>
      <c r="AB1344" s="168"/>
      <c r="AC1344" s="168"/>
      <c r="AD1344" s="163">
        <f t="shared" si="2363"/>
        <v>151819.58517514716</v>
      </c>
      <c r="AE1344" s="168">
        <f t="shared" si="2440"/>
        <v>3.1225917459233712E-2</v>
      </c>
      <c r="AF1344" s="163"/>
      <c r="AG1344" s="163"/>
      <c r="AH1344" s="163"/>
      <c r="AI1344" s="163"/>
      <c r="AJ1344" s="116">
        <f t="shared" si="2441"/>
        <v>692.0740176376205</v>
      </c>
      <c r="AK1344" s="114">
        <f>+AV1344/$AX$19</f>
        <v>6.0707220060455666E-3</v>
      </c>
      <c r="AL1344" s="115">
        <f t="shared" si="2429"/>
        <v>0.21438102211886423</v>
      </c>
      <c r="AM1344" s="115">
        <f t="shared" si="2430"/>
        <v>0.31046376087983235</v>
      </c>
      <c r="AN1344" s="115">
        <f t="shared" si="2431"/>
        <v>0.47515521700130348</v>
      </c>
      <c r="AO1344" s="115">
        <f t="shared" si="2433"/>
        <v>9.7097586490074751E-3</v>
      </c>
      <c r="AP1344" s="166">
        <f t="shared" si="2444"/>
        <v>117.62209232069279</v>
      </c>
      <c r="AQ1344" s="168">
        <f t="shared" si="2445"/>
        <v>9.7097586490074664E-3</v>
      </c>
      <c r="AR1344" s="169">
        <f>+AD1344/$AF$19</f>
        <v>1.3335356546340726E-2</v>
      </c>
      <c r="AS1344" s="169">
        <f t="shared" si="2443"/>
        <v>1.294830935634302E-4</v>
      </c>
      <c r="AT1344" s="115"/>
      <c r="AU1344" s="115"/>
      <c r="AV1344" s="113">
        <f>IFERROR(INDEX('Total Customers'!$F$7:$AB$91,MATCH($C1344,'Total Customers'!$D$7:$D$91,0),MATCH($G1344,'Total Customers'!$F$5:$AB$5,0)),"NA")</f>
        <v>219369</v>
      </c>
      <c r="AW1344" s="68">
        <f t="shared" si="2347"/>
        <v>2.1541484895633241E-2</v>
      </c>
      <c r="AX1344" s="114"/>
      <c r="AY1344" s="114"/>
      <c r="AZ1344" s="116">
        <v>8599754</v>
      </c>
      <c r="BA1344" s="116"/>
      <c r="BB1344" s="166"/>
      <c r="BC1344" s="166"/>
      <c r="BD1344" s="166"/>
      <c r="BE1344" s="166"/>
      <c r="BF1344" s="166"/>
      <c r="BG1344" s="166"/>
      <c r="BH1344" s="166"/>
      <c r="BI1344" s="113"/>
      <c r="BJ1344" s="113"/>
      <c r="BK1344" s="113">
        <f>INDEX('Dist. Plant Gas Additions'!$F$7:$AE$91,MATCH($C1344,'Dist. Plant Gas Additions'!$D$7:$D$91,0),MATCH(Calculation!$G1344,'Dist. Plant Gas Additions'!$F$5:$AE$5,0))</f>
        <v>98247</v>
      </c>
      <c r="BL1344" s="113">
        <f>INDEX('Gen. Plant Additions'!$F$7:$AE$91,MATCH($C1344,'Gen. Plant Additions'!$D$7:$D$91,0),MATCH(Calculation!$G1344,'Gen. Plant Additions'!$F$5:$AE$5,0))</f>
        <v>3490</v>
      </c>
      <c r="BM1344" s="231">
        <f t="shared" si="2366"/>
        <v>0.94976054170804414</v>
      </c>
      <c r="BN1344" s="113"/>
      <c r="BO1344" s="113">
        <f>INDEX('Dist Plant Depreciation'!$E$7:$AD$94,MATCH($C1344,'Dist Plant Depreciation'!$D$7:$D$94,0),MATCH(Calculation!$G1344,'Dist Plant Depreciation'!$E$5:$AD$5,0))</f>
        <v>358461</v>
      </c>
      <c r="BP1344" s="113">
        <f>INDEX('Gen. Plant Depreciation'!$E$7:$AD$94,MATCH($C1344,'Gen. Plant Depreciation'!$D$7:$D$94,0),MATCH(Calculation!$G1344,'Gen. Plant Depreciation'!$E$5:$AD$5,0))</f>
        <v>25956</v>
      </c>
      <c r="BQ1344" s="113"/>
      <c r="BR1344" s="113"/>
      <c r="BS1344" s="113"/>
      <c r="BT1344" s="113"/>
      <c r="BU1344" s="113"/>
      <c r="BV1344" s="175"/>
      <c r="BW1344" s="113">
        <f>INDEX('Gross Dx Plant'!$E$7:$AD$91,MATCH($C1344,'Gross Dx Plant'!$D$7:$D$91,0),MATCH(Calculation!$G1344,'Gross Dx Plant'!$E$5:$AD$5,0))</f>
        <v>1304010</v>
      </c>
      <c r="BX1344" s="113">
        <f>INDEX('Gross Gen Plant'!$E$7:$AD$91,MATCH($C1344,'Gross Gen Plant'!$D$7:$D$91,0),MATCH(Calculation!$G1344,'Gross Gen Plant'!$E$5:$AD$5,0))</f>
        <v>66062</v>
      </c>
      <c r="BY1344" s="113">
        <f t="shared" si="2446"/>
        <v>985655</v>
      </c>
      <c r="BZ1344" s="113"/>
      <c r="CA1344" s="116">
        <v>2014</v>
      </c>
      <c r="CB1344" s="113"/>
      <c r="CC1344" s="113"/>
      <c r="CD1344" s="113"/>
      <c r="CE1344" s="175"/>
      <c r="CF1344" s="113">
        <f t="shared" si="2411"/>
        <v>101737</v>
      </c>
      <c r="CG1344" s="113">
        <f t="shared" si="2412"/>
        <v>148.63635718671355</v>
      </c>
      <c r="CH1344" s="178">
        <v>0.89743589743589747</v>
      </c>
      <c r="CI1344" s="61">
        <f>+CI1328*CH1344+CG1329*CH1343+CG1330*CH1342+CG1331*CH1341+CG1332*CH1340+CG1333*CH1339+CG1334*CH1338+CG1335*CH1337+CG1336*CH1336+CG1337*CH1335+CG1338*CH1334+CG1339*CH1333+CG1340*CH1332+CG1341*CH1331+CG1342*CH1330+CG1343*CH1329+CG1344</f>
        <v>3296.7278727631415</v>
      </c>
      <c r="CJ1344" s="114">
        <f t="shared" si="2413"/>
        <v>3.8393618874119739E-2</v>
      </c>
      <c r="CK1344" s="114"/>
      <c r="CL1344" s="169">
        <f t="shared" si="2414"/>
        <v>7.7105230468728081E-3</v>
      </c>
      <c r="CM1344" s="169">
        <f t="shared" si="2422"/>
        <v>7.5081581636394527E-3</v>
      </c>
      <c r="CN1344" s="114">
        <f>VLOOKUP($H1344,RoR!$E:$F,2,FALSE)</f>
        <v>4.1625000000000002E-2</v>
      </c>
      <c r="CO1344" s="169">
        <v>1.841352814597208E-2</v>
      </c>
      <c r="CP1344" s="169">
        <f t="shared" si="2420"/>
        <v>2.3211471854027922E-2</v>
      </c>
      <c r="CQ1344" s="169">
        <f t="shared" si="2423"/>
        <v>2.3393783444894171E-2</v>
      </c>
      <c r="CR1344" s="169">
        <v>3.9072621432650924E-2</v>
      </c>
      <c r="CS1344" s="179">
        <f t="shared" si="2415"/>
        <v>0.85126000000000002</v>
      </c>
      <c r="CT1344" s="180">
        <f t="shared" si="2416"/>
        <v>1.2320012320012319</v>
      </c>
      <c r="CU1344" s="180">
        <f t="shared" si="2417"/>
        <v>0.37439939939939942</v>
      </c>
      <c r="CV1344" s="180">
        <f t="shared" si="2418"/>
        <v>0.80432100613819935</v>
      </c>
      <c r="CW1344" s="180">
        <f t="shared" si="2419"/>
        <v>0.37100152660040037</v>
      </c>
      <c r="CX1344" s="181">
        <f>INDEX('State Tax Lookup'!$D$7:$Z$91,MATCH(Calculation!$C1344,'State Tax Lookup'!$B$7:$B$91,0),MATCH($H1344,'State Tax Lookup'!$D$6:$Z$6,0))</f>
        <v>0.40200000000000002</v>
      </c>
      <c r="CY1344" s="72">
        <v>0.37</v>
      </c>
      <c r="CZ1344" s="70">
        <f t="shared" si="2421"/>
        <v>22.738108753024147</v>
      </c>
      <c r="DA1344" s="70">
        <v>20.763592984765573</v>
      </c>
      <c r="DB1344" s="69">
        <f t="shared" si="2424"/>
        <v>2.4581126267129688E-2</v>
      </c>
      <c r="DC1344" s="111">
        <f>VLOOKUP($H1344,RoR!$E:$F,2,FALSE)</f>
        <v>4.1625000000000002E-2</v>
      </c>
      <c r="DD1344" s="216">
        <f>HLOOKUP($H1344,'GDP-PI'!$D$8:$CQ$11,3,FALSE)</f>
        <v>1.841352814597208E-2</v>
      </c>
      <c r="DE1344" s="111">
        <f>VLOOKUP(H1344,'HW Dx Data'!$E:$F,2,FALSE)</f>
        <v>684.46914285042885</v>
      </c>
      <c r="DF1344" s="72">
        <f t="shared" si="2434"/>
        <v>129.4</v>
      </c>
      <c r="DG1344" s="69">
        <f t="shared" si="2435"/>
        <v>2.0297340063674733E-2</v>
      </c>
      <c r="DH1344" s="66">
        <f>HLOOKUP(H1344,'GDP-PI'!$8:$9,2,FALSE)</f>
        <v>103.64700000000001</v>
      </c>
      <c r="DI1344" s="69">
        <f t="shared" si="2425"/>
        <v>1.8246051898256087E-2</v>
      </c>
    </row>
    <row r="1345" spans="1:129" s="160" customFormat="1" ht="21">
      <c r="A1345" s="160" t="s">
        <v>238</v>
      </c>
      <c r="B1345" s="160" t="s">
        <v>239</v>
      </c>
      <c r="C1345" s="160">
        <v>4064141</v>
      </c>
      <c r="D1345" s="161" t="s">
        <v>181</v>
      </c>
      <c r="E1345" s="161" t="s">
        <v>3</v>
      </c>
      <c r="F1345" s="189"/>
      <c r="G1345" s="160" t="s">
        <v>132</v>
      </c>
      <c r="H1345" s="162">
        <v>2015</v>
      </c>
      <c r="I1345" s="163"/>
      <c r="J1345" s="159">
        <f>IFERROR(INDEX('Labor Expenditures'!$F$7:$X$91,MATCH($C1345,'Labor Expenditures'!$D$7:$D$91,0),MATCH($G1345,'Labor Expenditures'!$F$5:$X$5,0)),"NA")</f>
        <v>31900.780219457771</v>
      </c>
      <c r="K1345" s="159">
        <f t="shared" si="2426"/>
        <v>238.95715520193087</v>
      </c>
      <c r="L1345" s="165">
        <f t="shared" si="2432"/>
        <v>-5.1255134290009663E-2</v>
      </c>
      <c r="M1345" s="76">
        <f t="shared" si="2436"/>
        <v>-6.7587872581970044E-4</v>
      </c>
      <c r="N1345" s="62">
        <f t="shared" si="2442"/>
        <v>124.10685569172735</v>
      </c>
      <c r="O1345" s="96">
        <f t="shared" si="2437"/>
        <v>-3.0231755822554058E-4</v>
      </c>
      <c r="P1345" s="96"/>
      <c r="Q1345" s="159">
        <f>IFERROR(INDEX('Non-Labor Expenditures'!$F$7:$AB$91,MATCH($C1345,'Non-Labor Expenditures'!$D$7:$D$91,0),MATCH($G1345,'Non-Labor Expenditures'!$F$5:$AB$5,0)),"NA")</f>
        <v>46198.288001642693</v>
      </c>
      <c r="R1345" s="159">
        <f t="shared" si="2427"/>
        <v>441.50161987062847</v>
      </c>
      <c r="S1345" s="165">
        <f t="shared" si="2438"/>
        <v>-2.9587474701948557E-2</v>
      </c>
      <c r="T1345" s="165">
        <f t="shared" si="2439"/>
        <v>-3.9015690776706075E-4</v>
      </c>
      <c r="U1345" s="165"/>
      <c r="V1345" s="165"/>
      <c r="W1345" s="159">
        <f t="shared" si="2410"/>
        <v>73510.955458921395</v>
      </c>
      <c r="X1345" s="163"/>
      <c r="Y1345" s="167">
        <v>3377.4799088683067</v>
      </c>
      <c r="Z1345" s="168">
        <v>2.4199419463209929E-2</v>
      </c>
      <c r="AA1345" s="76">
        <f t="shared" si="2428"/>
        <v>3.1910701276923142E-4</v>
      </c>
      <c r="AB1345" s="168"/>
      <c r="AC1345" s="168"/>
      <c r="AD1345" s="163">
        <f t="shared" si="2363"/>
        <v>151610.02368002187</v>
      </c>
      <c r="AE1345" s="168">
        <f t="shared" si="2440"/>
        <v>-1.3812859544945605E-3</v>
      </c>
      <c r="AF1345" s="163"/>
      <c r="AG1345" s="163"/>
      <c r="AH1345" s="163"/>
      <c r="AI1345" s="163"/>
      <c r="AJ1345" s="116">
        <f t="shared" si="2441"/>
        <v>680.1888955289146</v>
      </c>
      <c r="AK1345" s="114">
        <f>+AV1345/$AX$20</f>
        <v>6.1181152469841739E-3</v>
      </c>
      <c r="AL1345" s="115">
        <f t="shared" si="2429"/>
        <v>0.21041339777629384</v>
      </c>
      <c r="AM1345" s="115">
        <f t="shared" si="2430"/>
        <v>0.30471789978178326</v>
      </c>
      <c r="AN1345" s="115">
        <f t="shared" si="2431"/>
        <v>0.48486870244192282</v>
      </c>
      <c r="AO1345" s="115">
        <f t="shared" si="2433"/>
        <v>-8.3712726689899215E-3</v>
      </c>
      <c r="AP1345" s="166">
        <f t="shared" si="2444"/>
        <v>116.64155561024285</v>
      </c>
      <c r="AQ1345" s="168">
        <f t="shared" si="2445"/>
        <v>-8.3712726689898868E-3</v>
      </c>
      <c r="AR1345" s="169">
        <f>+AD1345/$AF$20</f>
        <v>1.3186556531009589E-2</v>
      </c>
      <c r="AS1345" s="169">
        <f t="shared" si="2443"/>
        <v>-1.1038826028613066E-4</v>
      </c>
      <c r="AT1345" s="115"/>
      <c r="AU1345" s="115"/>
      <c r="AV1345" s="113">
        <f>IFERROR(INDEX('Total Customers'!$F$7:$AB$91,MATCH($C1345,'Total Customers'!$D$7:$D$91,0),MATCH($G1345,'Total Customers'!$F$5:$AB$5,0)),"NA")</f>
        <v>222894</v>
      </c>
      <c r="AW1345" s="68">
        <f t="shared" si="2347"/>
        <v>1.5941078710376089E-2</v>
      </c>
      <c r="AX1345" s="114"/>
      <c r="AY1345" s="114"/>
      <c r="AZ1345" s="116">
        <v>8659109</v>
      </c>
      <c r="BA1345" s="116"/>
      <c r="BB1345" s="166"/>
      <c r="BC1345" s="166"/>
      <c r="BD1345" s="166"/>
      <c r="BE1345" s="166"/>
      <c r="BF1345" s="166"/>
      <c r="BG1345" s="166"/>
      <c r="BH1345" s="166"/>
      <c r="BI1345" s="113"/>
      <c r="BJ1345" s="113"/>
      <c r="BK1345" s="113">
        <f>INDEX('Dist. Plant Gas Additions'!$F$7:$AE$91,MATCH($C1345,'Dist. Plant Gas Additions'!$D$7:$D$91,0),MATCH(Calculation!$G1345,'Dist. Plant Gas Additions'!$F$5:$AE$5,0))</f>
        <v>70590</v>
      </c>
      <c r="BL1345" s="113">
        <f>INDEX('Gen. Plant Additions'!$F$7:$AE$91,MATCH($C1345,'Gen. Plant Additions'!$D$7:$D$91,0),MATCH(Calculation!$G1345,'Gen. Plant Additions'!$F$5:$AE$5,0))</f>
        <v>1606</v>
      </c>
      <c r="BM1345" s="231">
        <f t="shared" si="2366"/>
        <v>0.95178209612341547</v>
      </c>
      <c r="BN1345" s="113"/>
      <c r="BO1345" s="113">
        <f>INDEX('Dist Plant Depreciation'!$E$7:$AD$94,MATCH($C1345,'Dist Plant Depreciation'!$D$7:$D$94,0),MATCH(Calculation!$G1345,'Dist Plant Depreciation'!$E$5:$AD$5,0))</f>
        <v>360182</v>
      </c>
      <c r="BP1345" s="113">
        <f>INDEX('Gen. Plant Depreciation'!$E$7:$AD$94,MATCH($C1345,'Gen. Plant Depreciation'!$D$7:$D$94,0),MATCH(Calculation!$G1345,'Gen. Plant Depreciation'!$E$5:$AD$5,0))</f>
        <v>27938</v>
      </c>
      <c r="BQ1345" s="113"/>
      <c r="BR1345" s="113"/>
      <c r="BS1345" s="113"/>
      <c r="BT1345" s="113"/>
      <c r="BU1345" s="113"/>
      <c r="BV1345" s="175"/>
      <c r="BW1345" s="113">
        <f>INDEX('Gross Dx Plant'!$E$7:$AD$91,MATCH($C1345,'Gross Dx Plant'!$D$7:$D$91,0),MATCH(Calculation!$G1345,'Gross Dx Plant'!$E$5:$AD$5,0))</f>
        <v>1358745</v>
      </c>
      <c r="BX1345" s="113">
        <f>INDEX('Gross Gen Plant'!$E$7:$AD$91,MATCH($C1345,'Gross Gen Plant'!$D$7:$D$91,0),MATCH(Calculation!$G1345,'Gross Gen Plant'!$E$5:$AD$5,0))</f>
        <v>65555</v>
      </c>
      <c r="BY1345" s="113">
        <f t="shared" si="2446"/>
        <v>1036180</v>
      </c>
      <c r="BZ1345" s="113"/>
      <c r="CA1345" s="116">
        <v>2015</v>
      </c>
      <c r="CB1345" s="113"/>
      <c r="CC1345" s="113"/>
      <c r="CD1345" s="113"/>
      <c r="CE1345" s="175"/>
      <c r="CF1345" s="113">
        <f t="shared" si="2411"/>
        <v>72196</v>
      </c>
      <c r="CG1345" s="113">
        <f t="shared" si="2412"/>
        <v>106.85973403234409</v>
      </c>
      <c r="CH1345" s="178">
        <v>0.88888888888888884</v>
      </c>
      <c r="CI1345" s="61">
        <f>+CI1328*CH1345+CG1329*CH1344+CG1330*CH1343+CG1331*CH1342+CG1332*CH1341+CG1333*CH1340+CG1334*CH1339+CG1335*CH1338+CG1336*CH1337+CG1337*CH1336+CG1338*CH1335+CG1339*CH1334+CG1340*CH1333+CG1341*CH1332+CG1342*CH1331+CG1343*CH1330+CG1344*CH1329+CG1345</f>
        <v>3377.4799088683067</v>
      </c>
      <c r="CJ1345" s="114">
        <f t="shared" si="2413"/>
        <v>2.4199419463209929E-2</v>
      </c>
      <c r="CK1345" s="114"/>
      <c r="CL1345" s="169">
        <f t="shared" si="2414"/>
        <v>7.9192760017819802E-3</v>
      </c>
      <c r="CM1345" s="169">
        <f t="shared" si="2422"/>
        <v>7.7116262415835137E-3</v>
      </c>
      <c r="CN1345" s="114">
        <f>VLOOKUP($H1345,RoR!$E:$F,2,FALSE)</f>
        <v>3.8866666666666674E-2</v>
      </c>
      <c r="CO1345" s="169">
        <v>9.5709475431029478E-3</v>
      </c>
      <c r="CP1345" s="169">
        <f t="shared" si="2420"/>
        <v>2.9295719123563727E-2</v>
      </c>
      <c r="CQ1345" s="169">
        <f t="shared" si="2423"/>
        <v>2.3190315366950112E-2</v>
      </c>
      <c r="CR1345" s="169">
        <v>3.5270373279175926E-3</v>
      </c>
      <c r="CS1345" s="179">
        <f t="shared" si="2415"/>
        <v>0.85126000000000002</v>
      </c>
      <c r="CT1345" s="180">
        <f t="shared" si="2416"/>
        <v>1.3194352816994324</v>
      </c>
      <c r="CU1345" s="180">
        <f t="shared" si="2417"/>
        <v>0.33177530017152673</v>
      </c>
      <c r="CV1345" s="180">
        <f t="shared" si="2418"/>
        <v>0.78242572977668579</v>
      </c>
      <c r="CW1345" s="180">
        <f t="shared" si="2419"/>
        <v>0.34251158643433932</v>
      </c>
      <c r="CX1345" s="181">
        <f>INDEX('State Tax Lookup'!$D$7:$Z$91,MATCH(Calculation!$C1345,'State Tax Lookup'!$B$7:$B$91,0),MATCH($H1345,'State Tax Lookup'!$D$6:$Z$6,0))</f>
        <v>0.40200000000000002</v>
      </c>
      <c r="CY1345" s="72">
        <v>0.37</v>
      </c>
      <c r="CZ1345" s="70">
        <f t="shared" si="2421"/>
        <v>22.298156928951627</v>
      </c>
      <c r="DA1345" s="70">
        <v>20.279488671080099</v>
      </c>
      <c r="DB1345" s="69">
        <f t="shared" si="2424"/>
        <v>-1.953829044649574E-2</v>
      </c>
      <c r="DC1345" s="111">
        <f>VLOOKUP($H1345,RoR!$E:$F,2,FALSE)</f>
        <v>3.8866666666666674E-2</v>
      </c>
      <c r="DD1345" s="216">
        <f>HLOOKUP($H1345,'GDP-PI'!$D$8:$CQ$11,3,FALSE)</f>
        <v>9.5709475431029478E-3</v>
      </c>
      <c r="DE1345" s="111">
        <f>VLOOKUP(H1345,'HW Dx Data'!$E:$F,2,FALSE)</f>
        <v>675.61463308665782</v>
      </c>
      <c r="DF1345" s="72">
        <f t="shared" si="2434"/>
        <v>133.5</v>
      </c>
      <c r="DG1345" s="69">
        <f t="shared" si="2435"/>
        <v>3.1193095773504077E-2</v>
      </c>
      <c r="DH1345" s="66">
        <f>HLOOKUP(H1345,'GDP-PI'!$8:$9,2,FALSE)</f>
        <v>104.639</v>
      </c>
      <c r="DI1345" s="69">
        <f t="shared" si="2425"/>
        <v>9.5254361854427965E-3</v>
      </c>
    </row>
    <row r="1346" spans="1:129" s="160" customFormat="1" ht="21">
      <c r="A1346" s="160" t="s">
        <v>238</v>
      </c>
      <c r="B1346" s="160" t="s">
        <v>239</v>
      </c>
      <c r="C1346" s="160">
        <v>4064141</v>
      </c>
      <c r="D1346" s="161" t="s">
        <v>181</v>
      </c>
      <c r="E1346" s="161" t="s">
        <v>3</v>
      </c>
      <c r="F1346" s="189"/>
      <c r="G1346" s="160" t="s">
        <v>133</v>
      </c>
      <c r="H1346" s="162">
        <v>2016</v>
      </c>
      <c r="I1346" s="163"/>
      <c r="J1346" s="159">
        <f>IFERROR(INDEX('Labor Expenditures'!$F$7:$X$91,MATCH($C1346,'Labor Expenditures'!$D$7:$D$91,0),MATCH($G1346,'Labor Expenditures'!$F$5:$X$5,0)),"NA")</f>
        <v>30387.502992497026</v>
      </c>
      <c r="K1346" s="159">
        <f t="shared" si="2426"/>
        <v>221.88757205182205</v>
      </c>
      <c r="L1346" s="165">
        <f t="shared" si="2432"/>
        <v>-7.4113447530563259E-2</v>
      </c>
      <c r="M1346" s="76">
        <f t="shared" si="2436"/>
        <v>-9.2512902883116219E-4</v>
      </c>
      <c r="N1346" s="62">
        <f t="shared" si="2442"/>
        <v>308.25561940819682</v>
      </c>
      <c r="O1346" s="96">
        <f t="shared" si="2437"/>
        <v>0.90978643794280878</v>
      </c>
      <c r="P1346" s="96"/>
      <c r="Q1346" s="159">
        <f>IFERROR(INDEX('Non-Labor Expenditures'!$F$7:$AB$91,MATCH($C1346,'Non-Labor Expenditures'!$D$7:$D$91,0),MATCH($G1346,'Non-Labor Expenditures'!$F$5:$AB$5,0)),"NA")</f>
        <v>44006.779935804923</v>
      </c>
      <c r="R1346" s="159">
        <f t="shared" si="2427"/>
        <v>416.19486206972954</v>
      </c>
      <c r="S1346" s="165">
        <f t="shared" si="2438"/>
        <v>-5.9028120028985297E-2</v>
      </c>
      <c r="T1346" s="165">
        <f t="shared" si="2439"/>
        <v>-7.3682481622008844E-4</v>
      </c>
      <c r="U1346" s="165"/>
      <c r="V1346" s="165"/>
      <c r="W1346" s="159">
        <f t="shared" si="2410"/>
        <v>74120.566754417639</v>
      </c>
      <c r="X1346" s="163"/>
      <c r="Y1346" s="167">
        <v>3569.0555153537707</v>
      </c>
      <c r="Z1346" s="168">
        <v>5.5171156950491677E-2</v>
      </c>
      <c r="AA1346" s="76">
        <f t="shared" si="2428"/>
        <v>6.8867986242377528E-4</v>
      </c>
      <c r="AB1346" s="168"/>
      <c r="AC1346" s="168"/>
      <c r="AD1346" s="163">
        <f t="shared" si="2363"/>
        <v>148514.84968271959</v>
      </c>
      <c r="AE1346" s="168">
        <f t="shared" si="2440"/>
        <v>-2.0626639177114353E-2</v>
      </c>
      <c r="AF1346" s="163"/>
      <c r="AG1346" s="163"/>
      <c r="AH1346" s="163"/>
      <c r="AI1346" s="163"/>
      <c r="AJ1346" s="116">
        <f t="shared" si="2441"/>
        <v>655.88002650956378</v>
      </c>
      <c r="AK1346" s="114">
        <f>+AV1346/$AX$21</f>
        <v>6.1616287667920549E-3</v>
      </c>
      <c r="AL1346" s="115">
        <f t="shared" si="2429"/>
        <v>0.20460918929935634</v>
      </c>
      <c r="AM1346" s="115">
        <f t="shared" si="2430"/>
        <v>0.29631232183057127</v>
      </c>
      <c r="AN1346" s="115">
        <f t="shared" si="2431"/>
        <v>0.49907848887007233</v>
      </c>
      <c r="AO1346" s="115">
        <f t="shared" si="2433"/>
        <v>-5.9754669353709877E-3</v>
      </c>
      <c r="AP1346" s="166">
        <f t="shared" si="2444"/>
        <v>115.94664612344813</v>
      </c>
      <c r="AQ1346" s="168">
        <f t="shared" si="2445"/>
        <v>-5.9754669353709929E-3</v>
      </c>
      <c r="AR1346" s="169">
        <f>+AD1346/$AF$21</f>
        <v>1.2482606863614772E-2</v>
      </c>
      <c r="AS1346" s="169">
        <f t="shared" si="2443"/>
        <v>-7.458940458076509E-5</v>
      </c>
      <c r="AT1346" s="115"/>
      <c r="AU1346" s="115"/>
      <c r="AV1346" s="113">
        <f>IFERROR(INDEX('Total Customers'!$F$7:$AB$91,MATCH($C1346,'Total Customers'!$D$7:$D$91,0),MATCH($G1346,'Total Customers'!$F$5:$AB$5,0)),"NA")</f>
        <v>226436</v>
      </c>
      <c r="AW1346" s="68">
        <f t="shared" si="2347"/>
        <v>1.5766022159762787E-2</v>
      </c>
      <c r="AX1346" s="114"/>
      <c r="AY1346" s="114"/>
      <c r="AZ1346" s="116">
        <v>8759079</v>
      </c>
      <c r="BA1346" s="116"/>
      <c r="BB1346" s="166"/>
      <c r="BC1346" s="166"/>
      <c r="BD1346" s="166"/>
      <c r="BE1346" s="166"/>
      <c r="BF1346" s="166"/>
      <c r="BG1346" s="166"/>
      <c r="BH1346" s="166"/>
      <c r="BI1346" s="113"/>
      <c r="BJ1346" s="113"/>
      <c r="BK1346" s="113">
        <f>INDEX('Dist. Plant Gas Additions'!$F$7:$AE$91,MATCH($C1346,'Dist. Plant Gas Additions'!$D$7:$D$91,0),MATCH(Calculation!$G1346,'Dist. Plant Gas Additions'!$F$5:$AE$5,0))</f>
        <v>138150</v>
      </c>
      <c r="BL1346" s="113">
        <f>INDEX('Gen. Plant Additions'!$F$7:$AE$91,MATCH($C1346,'Gen. Plant Additions'!$D$7:$D$91,0),MATCH(Calculation!$G1346,'Gen. Plant Additions'!$F$5:$AE$5,0))</f>
        <v>9030</v>
      </c>
      <c r="BM1346" s="231">
        <f t="shared" si="2366"/>
        <v>0.95397388190690169</v>
      </c>
      <c r="BN1346" s="113"/>
      <c r="BO1346" s="113">
        <f>INDEX('Dist Plant Depreciation'!$E$7:$AD$94,MATCH($C1346,'Dist Plant Depreciation'!$D$7:$D$94,0),MATCH(Calculation!$G1346,'Dist Plant Depreciation'!$E$5:$AD$5,0))</f>
        <v>371835</v>
      </c>
      <c r="BP1346" s="113">
        <f>INDEX('Gen. Plant Depreciation'!$E$7:$AD$94,MATCH($C1346,'Gen. Plant Depreciation'!$D$7:$D$94,0),MATCH(Calculation!$G1346,'Gen. Plant Depreciation'!$E$5:$AD$5,0))</f>
        <v>26367</v>
      </c>
      <c r="BQ1346" s="113"/>
      <c r="BR1346" s="113"/>
      <c r="BS1346" s="113"/>
      <c r="BT1346" s="113"/>
      <c r="BU1346" s="113"/>
      <c r="BV1346" s="175"/>
      <c r="BW1346" s="113">
        <f>INDEX('Gross Dx Plant'!$E$7:$AD$91,MATCH($C1346,'Gross Dx Plant'!$D$7:$D$91,0),MATCH(Calculation!$G1346,'Gross Dx Plant'!$E$5:$AD$5,0))</f>
        <v>1489922</v>
      </c>
      <c r="BX1346" s="113">
        <f>INDEX('Gross Gen Plant'!$E$7:$AD$91,MATCH($C1346,'Gross Gen Plant'!$D$7:$D$91,0),MATCH(Calculation!$G1346,'Gross Gen Plant'!$E$5:$AD$5,0))</f>
        <v>69992</v>
      </c>
      <c r="BY1346" s="113">
        <f t="shared" si="2446"/>
        <v>1161712</v>
      </c>
      <c r="BZ1346" s="113"/>
      <c r="CA1346" s="116">
        <v>2016</v>
      </c>
      <c r="CB1346" s="113"/>
      <c r="CC1346" s="113"/>
      <c r="CD1346" s="113"/>
      <c r="CE1346" s="175"/>
      <c r="CF1346" s="113">
        <f t="shared" si="2411"/>
        <v>147180</v>
      </c>
      <c r="CG1346" s="113">
        <f t="shared" si="2412"/>
        <v>219.19517238337656</v>
      </c>
      <c r="CH1346" s="178">
        <v>0.88</v>
      </c>
      <c r="CI1346" s="61">
        <f>+CI1328*CH1346+CG1329*CH1345+CG1330*CH1344+CG1331*CH1343+CG1332*CH1342+CG1333*CH1341+CG1334*CH1340+CG1335*CH1339+CG1336*CH1338+CG1337*CH1337+CG1338*CH1336+CG1339*CH1335+CG1340*CH1334+CG1341*CH1333+CG1342*CH1332+CG1343*CH1331+CG1344*CH1330+CG1345*CH1329+CG1346</f>
        <v>3569.0555153537707</v>
      </c>
      <c r="CJ1346" s="114">
        <f t="shared" si="2413"/>
        <v>5.5171156950491677E-2</v>
      </c>
      <c r="CK1346" s="114"/>
      <c r="CL1346" s="169">
        <f t="shared" si="2414"/>
        <v>8.1775663048035737E-3</v>
      </c>
      <c r="CM1346" s="169">
        <f t="shared" si="2422"/>
        <v>7.9357884511527879E-3</v>
      </c>
      <c r="CN1346" s="114">
        <f>VLOOKUP($H1346,RoR!$E:$F,2,FALSE)</f>
        <v>3.6658333333333334E-2</v>
      </c>
      <c r="CO1346" s="169">
        <v>1.0483662879041455E-2</v>
      </c>
      <c r="CP1346" s="169">
        <f t="shared" si="2420"/>
        <v>2.6174670454291879E-2</v>
      </c>
      <c r="CQ1346" s="169">
        <f t="shared" si="2423"/>
        <v>2.2966153157380837E-2</v>
      </c>
      <c r="CR1346" s="169">
        <v>4.301363574220729E-3</v>
      </c>
      <c r="CS1346" s="179">
        <f t="shared" si="2415"/>
        <v>0.85126000000000002</v>
      </c>
      <c r="CT1346" s="180">
        <f t="shared" si="2416"/>
        <v>1.3989193348138562</v>
      </c>
      <c r="CU1346" s="180">
        <f t="shared" si="2417"/>
        <v>0.29302682427824522</v>
      </c>
      <c r="CV1346" s="180">
        <f t="shared" si="2418"/>
        <v>0.76309497491941802</v>
      </c>
      <c r="CW1346" s="180">
        <f t="shared" si="2419"/>
        <v>0.31280857135128509</v>
      </c>
      <c r="CX1346" s="181">
        <f>INDEX('State Tax Lookup'!$D$7:$Z$91,MATCH(Calculation!$C1346,'State Tax Lookup'!$B$7:$B$91,0),MATCH($H1346,'State Tax Lookup'!$D$6:$Z$6,0))</f>
        <v>0.40200000000000002</v>
      </c>
      <c r="CY1346" s="72">
        <v>0.37</v>
      </c>
      <c r="CZ1346" s="70">
        <f t="shared" si="2421"/>
        <v>21.945524105057739</v>
      </c>
      <c r="DA1346" s="70">
        <v>19.909765876209278</v>
      </c>
      <c r="DB1346" s="69">
        <f t="shared" si="2424"/>
        <v>-1.5940820605685812E-2</v>
      </c>
      <c r="DC1346" s="111">
        <f>VLOOKUP($H1346,RoR!$E:$F,2,FALSE)</f>
        <v>3.6658333333333334E-2</v>
      </c>
      <c r="DD1346" s="216">
        <f>HLOOKUP($H1346,'GDP-PI'!$D$8:$CQ$11,3,FALSE)</f>
        <v>1.0483662879041455E-2</v>
      </c>
      <c r="DE1346" s="111">
        <f>VLOOKUP(H1346,'HW Dx Data'!$E:$F,2,FALSE)</f>
        <v>671.45639385971219</v>
      </c>
      <c r="DF1346" s="72">
        <f t="shared" si="2434"/>
        <v>136.94999999999999</v>
      </c>
      <c r="DG1346" s="69">
        <f t="shared" si="2435"/>
        <v>2.5514417868782811E-2</v>
      </c>
      <c r="DH1346" s="66">
        <f>HLOOKUP(H1346,'GDP-PI'!$8:$9,2,FALSE)</f>
        <v>105.736</v>
      </c>
      <c r="DI1346" s="69">
        <f t="shared" si="2425"/>
        <v>1.0429090367205095E-2</v>
      </c>
    </row>
    <row r="1347" spans="1:129" s="160" customFormat="1" ht="21">
      <c r="A1347" s="160" t="s">
        <v>238</v>
      </c>
      <c r="B1347" s="160" t="s">
        <v>239</v>
      </c>
      <c r="C1347" s="160">
        <v>4064141</v>
      </c>
      <c r="D1347" s="161" t="s">
        <v>181</v>
      </c>
      <c r="E1347" s="161" t="s">
        <v>3</v>
      </c>
      <c r="F1347" s="189"/>
      <c r="G1347" s="160" t="s">
        <v>135</v>
      </c>
      <c r="H1347" s="162">
        <v>2017</v>
      </c>
      <c r="I1347" s="163"/>
      <c r="J1347" s="159">
        <f>IFERROR(INDEX('Labor Expenditures'!$F$7:$X$91,MATCH($C1347,'Labor Expenditures'!$D$7:$D$91,0),MATCH($G1347,'Labor Expenditures'!$F$5:$X$5,0)),"NA")</f>
        <v>32248.095654620898</v>
      </c>
      <c r="K1347" s="159">
        <f t="shared" si="2426"/>
        <v>229.60552263881027</v>
      </c>
      <c r="L1347" s="165">
        <f t="shared" si="2432"/>
        <v>3.4191896067876384E-2</v>
      </c>
      <c r="M1347" s="76">
        <f t="shared" si="2436"/>
        <v>4.3225974898848614E-4</v>
      </c>
      <c r="N1347" s="62">
        <f t="shared" si="2442"/>
        <v>173.41734803605561</v>
      </c>
      <c r="O1347" s="96">
        <f t="shared" si="2437"/>
        <v>-0.575228266226816</v>
      </c>
      <c r="P1347" s="96"/>
      <c r="Q1347" s="159">
        <f>IFERROR(INDEX('Non-Labor Expenditures'!$F$7:$AB$91,MATCH($C1347,'Non-Labor Expenditures'!$D$7:$D$91,0),MATCH($G1347,'Non-Labor Expenditures'!$F$5:$AB$5,0)),"NA")</f>
        <v>46701.265621334118</v>
      </c>
      <c r="R1347" s="159">
        <f t="shared" si="2427"/>
        <v>433.41839631496799</v>
      </c>
      <c r="S1347" s="165">
        <f t="shared" si="2438"/>
        <v>4.0549965681296901E-2</v>
      </c>
      <c r="T1347" s="165">
        <f t="shared" si="2439"/>
        <v>5.1263954336118142E-4</v>
      </c>
      <c r="U1347" s="165"/>
      <c r="V1347" s="165"/>
      <c r="W1347" s="159">
        <f t="shared" si="2410"/>
        <v>70743.649996892535</v>
      </c>
      <c r="X1347" s="163"/>
      <c r="Y1347" s="167">
        <v>3707.9099772035465</v>
      </c>
      <c r="Z1347" s="168">
        <v>3.8167370152903141E-2</v>
      </c>
      <c r="AA1347" s="76">
        <f t="shared" si="2428"/>
        <v>4.8251836660631359E-4</v>
      </c>
      <c r="AB1347" s="168"/>
      <c r="AC1347" s="168"/>
      <c r="AD1347" s="163">
        <f t="shared" si="2363"/>
        <v>149693.01127284754</v>
      </c>
      <c r="AE1347" s="168">
        <f t="shared" si="2440"/>
        <v>7.9016543449586703E-3</v>
      </c>
      <c r="AF1347" s="163"/>
      <c r="AG1347" s="163"/>
      <c r="AH1347" s="163"/>
      <c r="AI1347" s="163"/>
      <c r="AJ1347" s="116">
        <f t="shared" si="2441"/>
        <v>650.68075282908308</v>
      </c>
      <c r="AK1347" s="114">
        <f>+AV1347/$AX$22</f>
        <v>6.2131004661175691E-3</v>
      </c>
      <c r="AL1347" s="115">
        <f t="shared" si="2429"/>
        <v>0.21542819788588424</v>
      </c>
      <c r="AM1347" s="115">
        <f t="shared" si="2430"/>
        <v>0.31198026697593162</v>
      </c>
      <c r="AN1347" s="115">
        <f t="shared" si="2431"/>
        <v>0.47259153513818425</v>
      </c>
      <c r="AO1347" s="115">
        <f t="shared" si="2433"/>
        <v>3.8057103880177225E-2</v>
      </c>
      <c r="AP1347" s="166">
        <f t="shared" si="2444"/>
        <v>120.44428031531551</v>
      </c>
      <c r="AQ1347" s="168">
        <f t="shared" si="2445"/>
        <v>3.8057103880177183E-2</v>
      </c>
      <c r="AR1347" s="169">
        <f>+AD1347/$AF$22</f>
        <v>1.2642169598620134E-2</v>
      </c>
      <c r="AS1347" s="169">
        <f t="shared" si="2443"/>
        <v>4.8112436168550434E-4</v>
      </c>
      <c r="AT1347" s="115"/>
      <c r="AU1347" s="115"/>
      <c r="AV1347" s="113">
        <f>IFERROR(INDEX('Total Customers'!$F$7:$AB$91,MATCH($C1347,'Total Customers'!$D$7:$D$91,0),MATCH($G1347,'Total Customers'!$F$5:$AB$5,0)),"NA")</f>
        <v>230056</v>
      </c>
      <c r="AW1347" s="68">
        <f t="shared" si="2347"/>
        <v>1.5860413259154604E-2</v>
      </c>
      <c r="AX1347" s="114"/>
      <c r="AY1347" s="114"/>
      <c r="AZ1347" s="116">
        <v>8824403</v>
      </c>
      <c r="BA1347" s="116"/>
      <c r="BB1347" s="166"/>
      <c r="BC1347" s="166"/>
      <c r="BD1347" s="166"/>
      <c r="BE1347" s="166"/>
      <c r="BF1347" s="166"/>
      <c r="BG1347" s="166"/>
      <c r="BH1347" s="166"/>
      <c r="BI1347" s="113"/>
      <c r="BJ1347" s="113"/>
      <c r="BK1347" s="113">
        <f>INDEX('Dist. Plant Gas Additions'!$F$7:$AE$91,MATCH($C1347,'Dist. Plant Gas Additions'!$D$7:$D$91,0),MATCH(Calculation!$G1347,'Dist. Plant Gas Additions'!$F$5:$AE$5,0))</f>
        <v>113048</v>
      </c>
      <c r="BL1347" s="113">
        <f>INDEX('Gen. Plant Additions'!$F$7:$AE$91,MATCH($C1347,'Gen. Plant Additions'!$D$7:$D$91,0),MATCH(Calculation!$G1347,'Gen. Plant Additions'!$F$5:$AE$5,0))</f>
        <v>7080</v>
      </c>
      <c r="BM1347" s="231">
        <f t="shared" si="2366"/>
        <v>0.95513085977816725</v>
      </c>
      <c r="BN1347" s="113"/>
      <c r="BO1347" s="113">
        <f>INDEX('Dist Plant Depreciation'!$E$7:$AD$94,MATCH($C1347,'Dist Plant Depreciation'!$D$7:$D$94,0),MATCH(Calculation!$G1347,'Dist Plant Depreciation'!$E$5:$AD$5,0))</f>
        <v>392198</v>
      </c>
      <c r="BP1347" s="113">
        <f>INDEX('Gen. Plant Depreciation'!$E$7:$AD$94,MATCH($C1347,'Gen. Plant Depreciation'!$D$7:$D$94,0),MATCH(Calculation!$G1347,'Gen. Plant Depreciation'!$E$5:$AD$5,0))</f>
        <v>28244</v>
      </c>
      <c r="BQ1347" s="113"/>
      <c r="BR1347" s="113"/>
      <c r="BS1347" s="113"/>
      <c r="BT1347" s="113"/>
      <c r="BU1347" s="113"/>
      <c r="BV1347" s="175"/>
      <c r="BW1347" s="113">
        <f>INDEX('Gross Dx Plant'!$E$7:$AD$91,MATCH($C1347,'Gross Dx Plant'!$D$7:$D$91,0),MATCH(Calculation!$G1347,'Gross Dx Plant'!$E$5:$AD$5,0))</f>
        <v>1601099</v>
      </c>
      <c r="BX1347" s="113">
        <f>INDEX('Gross Gen Plant'!$E$7:$AD$91,MATCH($C1347,'Gross Gen Plant'!$D$7:$D$91,0),MATCH(Calculation!$G1347,'Gross Gen Plant'!$E$5:$AD$5,0))</f>
        <v>75731</v>
      </c>
      <c r="BY1347" s="113">
        <f t="shared" si="2446"/>
        <v>1256388</v>
      </c>
      <c r="BZ1347" s="113"/>
      <c r="CA1347" s="116">
        <v>2017</v>
      </c>
      <c r="CB1347" s="113"/>
      <c r="CC1347" s="113"/>
      <c r="CD1347" s="113"/>
      <c r="CE1347" s="175"/>
      <c r="CF1347" s="113">
        <f t="shared" si="2411"/>
        <v>120128</v>
      </c>
      <c r="CG1347" s="113">
        <f t="shared" si="2412"/>
        <v>168.61760287006945</v>
      </c>
      <c r="CH1347" s="178">
        <v>0.87074829931972786</v>
      </c>
      <c r="CI1347" s="61">
        <f>+CI1328*CH1347+CG1329*CH1346+CG1330*CH1345+CG1331*CH1344+CG1332*CH1343+CG1333*CH1342+CG1334*CH1341+CG1335*CH1340+CG1336*CH1339+CG1337*CH1338+CG1338*CH1337+CG1339*CH1336+CG1340*CH1335+CG1341*CH1334+CG1342*CH1333+CG1343*CH1332+CG1344*CH1331+CG1345*CH1330+CG1346*CH1329+CG1347</f>
        <v>3707.9099772035465</v>
      </c>
      <c r="CJ1347" s="114">
        <f t="shared" si="2413"/>
        <v>3.8167370152903141E-2</v>
      </c>
      <c r="CK1347" s="114"/>
      <c r="CL1347" s="169">
        <f t="shared" si="2414"/>
        <v>8.3392205283036782E-3</v>
      </c>
      <c r="CM1347" s="169">
        <f t="shared" si="2422"/>
        <v>8.1453542782964107E-3</v>
      </c>
      <c r="CN1347" s="114">
        <f>VLOOKUP($H1347,RoR!$E:$F,2,FALSE)</f>
        <v>3.7433333333333339E-2</v>
      </c>
      <c r="CO1347" s="169">
        <v>1.9056896421275615E-2</v>
      </c>
      <c r="CP1347" s="169">
        <f t="shared" si="2420"/>
        <v>1.8376436912057724E-2</v>
      </c>
      <c r="CQ1347" s="169">
        <f t="shared" si="2423"/>
        <v>2.2756587330237214E-2</v>
      </c>
      <c r="CR1347" s="169">
        <v>1.3976271617800498E-2</v>
      </c>
      <c r="CS1347" s="179">
        <f t="shared" si="2415"/>
        <v>0.90305999999999997</v>
      </c>
      <c r="CT1347" s="180">
        <f t="shared" si="2416"/>
        <v>1.3699568463593395</v>
      </c>
      <c r="CU1347" s="180">
        <f t="shared" si="2417"/>
        <v>0.30714603739982199</v>
      </c>
      <c r="CV1347" s="180">
        <f t="shared" si="2418"/>
        <v>0.77007188472689425</v>
      </c>
      <c r="CW1347" s="180">
        <f t="shared" si="2419"/>
        <v>0.32402839633793828</v>
      </c>
      <c r="CX1347" s="181">
        <f>INDEX('State Tax Lookup'!$D$7:$Z$91,MATCH(Calculation!$C1347,'State Tax Lookup'!$B$7:$B$91,0),MATCH($H1347,'State Tax Lookup'!$D$6:$Z$6,0))</f>
        <v>0.26200000000000001</v>
      </c>
      <c r="CY1347" s="72">
        <v>0.37</v>
      </c>
      <c r="CZ1347" s="70">
        <f t="shared" si="2421"/>
        <v>19.821392436334886</v>
      </c>
      <c r="DA1347" s="70">
        <v>18.231812616449311</v>
      </c>
      <c r="DB1347" s="69">
        <f t="shared" si="2424"/>
        <v>-0.10180142498102529</v>
      </c>
      <c r="DC1347" s="111">
        <f>VLOOKUP($H1347,RoR!$E:$F,2,FALSE)</f>
        <v>3.7433333333333339E-2</v>
      </c>
      <c r="DD1347" s="216">
        <f>HLOOKUP($H1347,'GDP-PI'!$D$8:$CQ$11,3,FALSE)</f>
        <v>1.9056896421275615E-2</v>
      </c>
      <c r="DE1347" s="111">
        <f>VLOOKUP(H1347,'HW Dx Data'!$E:$F,2,FALSE)</f>
        <v>712.42858370229726</v>
      </c>
      <c r="DF1347" s="72">
        <f t="shared" si="2434"/>
        <v>140.44999999999999</v>
      </c>
      <c r="DG1347" s="69">
        <f t="shared" si="2435"/>
        <v>2.5235657841165486E-2</v>
      </c>
      <c r="DH1347" s="66">
        <f>HLOOKUP(H1347,'GDP-PI'!$8:$9,2,FALSE)</f>
        <v>107.751</v>
      </c>
      <c r="DI1347" s="69">
        <f t="shared" si="2425"/>
        <v>1.8877588227745139E-2</v>
      </c>
    </row>
    <row r="1348" spans="1:129" s="160" customFormat="1" ht="21">
      <c r="A1348" s="160" t="s">
        <v>238</v>
      </c>
      <c r="B1348" s="160" t="s">
        <v>239</v>
      </c>
      <c r="C1348" s="160">
        <v>4064141</v>
      </c>
      <c r="D1348" s="161" t="s">
        <v>181</v>
      </c>
      <c r="E1348" s="161" t="s">
        <v>3</v>
      </c>
      <c r="F1348" s="189"/>
      <c r="G1348" s="160" t="s">
        <v>136</v>
      </c>
      <c r="H1348" s="162">
        <v>2018</v>
      </c>
      <c r="I1348" s="163"/>
      <c r="J1348" s="159">
        <f>IFERROR(INDEX('Labor Expenditures'!$F$7:$X$91,MATCH($C1348,'Labor Expenditures'!$D$7:$D$91,0),MATCH($G1348,'Labor Expenditures'!$F$5:$X$5,0)),"NA")</f>
        <v>32818.821917094734</v>
      </c>
      <c r="K1348" s="159">
        <f t="shared" si="2426"/>
        <v>227.19849025333843</v>
      </c>
      <c r="L1348" s="165">
        <f t="shared" si="2432"/>
        <v>-1.0538675647854531E-2</v>
      </c>
      <c r="M1348" s="76">
        <f t="shared" si="2436"/>
        <v>-1.2888802277834821E-4</v>
      </c>
      <c r="N1348" s="62">
        <f t="shared" si="2442"/>
        <v>119.25164149310251</v>
      </c>
      <c r="O1348" s="96">
        <f t="shared" si="2437"/>
        <v>-0.37446521087114171</v>
      </c>
      <c r="P1348" s="96"/>
      <c r="Q1348" s="159">
        <f>IFERROR(INDEX('Non-Labor Expenditures'!$F$7:$AB$91,MATCH($C1348,'Non-Labor Expenditures'!$D$7:$D$91,0),MATCH($G1348,'Non-Labor Expenditures'!$F$5:$AB$5,0)),"NA")</f>
        <v>47527.783846358136</v>
      </c>
      <c r="R1348" s="159">
        <f t="shared" si="2427"/>
        <v>430.80966485703789</v>
      </c>
      <c r="S1348" s="165">
        <f t="shared" si="2438"/>
        <v>-6.0371550023715255E-3</v>
      </c>
      <c r="T1348" s="165">
        <f t="shared" si="2439"/>
        <v>-7.3834416909916893E-5</v>
      </c>
      <c r="U1348" s="165"/>
      <c r="V1348" s="165"/>
      <c r="W1348" s="159">
        <f t="shared" si="2410"/>
        <v>77060.440723797801</v>
      </c>
      <c r="X1348" s="163"/>
      <c r="Y1348" s="167">
        <v>3902.1692982776367</v>
      </c>
      <c r="Z1348" s="168">
        <v>5.1064259408129295E-2</v>
      </c>
      <c r="AA1348" s="76">
        <f t="shared" si="2428"/>
        <v>6.2451598755620963E-4</v>
      </c>
      <c r="AB1348" s="168"/>
      <c r="AC1348" s="168"/>
      <c r="AD1348" s="163">
        <f t="shared" si="2363"/>
        <v>157407.04648725066</v>
      </c>
      <c r="AE1348" s="168">
        <f t="shared" si="2440"/>
        <v>5.0248497555287826E-2</v>
      </c>
      <c r="AF1348" s="163"/>
      <c r="AG1348" s="163"/>
      <c r="AH1348" s="163"/>
      <c r="AI1348" s="163"/>
      <c r="AJ1348" s="116">
        <f t="shared" si="2441"/>
        <v>673.22632260061869</v>
      </c>
      <c r="AK1348" s="114">
        <f>+AV1348/$AX$23</f>
        <v>6.2591829101310793E-3</v>
      </c>
      <c r="AL1348" s="115">
        <f t="shared" si="2429"/>
        <v>0.20849652318298806</v>
      </c>
      <c r="AM1348" s="115">
        <f t="shared" si="2430"/>
        <v>0.30194190734788801</v>
      </c>
      <c r="AN1348" s="115">
        <f t="shared" si="2431"/>
        <v>0.48956156946912405</v>
      </c>
      <c r="AO1348" s="115">
        <f t="shared" si="2433"/>
        <v>2.0478843631883323E-2</v>
      </c>
      <c r="AP1348" s="166">
        <f t="shared" si="2444"/>
        <v>122.93626933408675</v>
      </c>
      <c r="AQ1348" s="168">
        <f t="shared" si="2445"/>
        <v>2.0478843631883355E-2</v>
      </c>
      <c r="AR1348" s="169">
        <f>+AD1348/$AF$23</f>
        <v>1.2230001860298954E-2</v>
      </c>
      <c r="AS1348" s="169">
        <f t="shared" si="2443"/>
        <v>2.5045629571470481E-4</v>
      </c>
      <c r="AT1348" s="115"/>
      <c r="AU1348" s="115"/>
      <c r="AV1348" s="113">
        <f>IFERROR(INDEX('Total Customers'!$F$7:$AB$91,MATCH($C1348,'Total Customers'!$D$7:$D$91,0),MATCH($G1348,'Total Customers'!$F$5:$AB$5,0)),"NA")</f>
        <v>233810</v>
      </c>
      <c r="AW1348" s="68">
        <f t="shared" ref="AW1348:AW1352" si="2447">LN(AV1348/AV1347)</f>
        <v>1.6186062174903419E-2</v>
      </c>
      <c r="AX1348" s="114"/>
      <c r="AY1348" s="114"/>
      <c r="AZ1348" s="116">
        <v>8911356</v>
      </c>
      <c r="BA1348" s="116"/>
      <c r="BB1348" s="166"/>
      <c r="BC1348" s="166"/>
      <c r="BD1348" s="166"/>
      <c r="BE1348" s="166"/>
      <c r="BF1348" s="166"/>
      <c r="BG1348" s="166"/>
      <c r="BH1348" s="166"/>
      <c r="BI1348" s="113"/>
      <c r="BJ1348" s="113"/>
      <c r="BK1348" s="113">
        <f>INDEX('Dist. Plant Gas Additions'!$F$7:$AE$91,MATCH($C1348,'Dist. Plant Gas Additions'!$D$7:$D$91,0),MATCH(Calculation!$G1348,'Dist. Plant Gas Additions'!$F$5:$AE$5,0))</f>
        <v>164259</v>
      </c>
      <c r="BL1348" s="113">
        <f>INDEX('Gen. Plant Additions'!$F$7:$AE$91,MATCH($C1348,'Gen. Plant Additions'!$D$7:$D$91,0),MATCH(Calculation!$G1348,'Gen. Plant Additions'!$F$5:$AE$5,0))</f>
        <v>6409</v>
      </c>
      <c r="BM1348" s="231">
        <f t="shared" si="2366"/>
        <v>0.95483680516212144</v>
      </c>
      <c r="BN1348" s="113"/>
      <c r="BO1348" s="113">
        <f>INDEX('Dist Plant Depreciation'!$E$7:$AD$94,MATCH($C1348,'Dist Plant Depreciation'!$D$7:$D$94,0),MATCH(Calculation!$G1348,'Dist Plant Depreciation'!$E$5:$AD$5,0))</f>
        <v>396041</v>
      </c>
      <c r="BP1348" s="113">
        <f>INDEX('Gen. Plant Depreciation'!$E$7:$AD$94,MATCH($C1348,'Gen. Plant Depreciation'!$D$7:$D$94,0),MATCH(Calculation!$G1348,'Gen. Plant Depreciation'!$E$5:$AD$5,0))</f>
        <v>26926</v>
      </c>
      <c r="BQ1348" s="113"/>
      <c r="BR1348" s="113"/>
      <c r="BS1348" s="113"/>
      <c r="BT1348" s="113"/>
      <c r="BU1348" s="113"/>
      <c r="BV1348" s="175"/>
      <c r="BW1348" s="113">
        <f>INDEX('Gross Dx Plant'!$E$7:$AD$91,MATCH($C1348,'Gross Dx Plant'!$D$7:$D$91,0),MATCH(Calculation!$G1348,'Gross Dx Plant'!$E$5:$AD$5,0))</f>
        <v>1743530</v>
      </c>
      <c r="BX1348" s="113">
        <f>INDEX('Gross Gen Plant'!$E$7:$AD$91,MATCH($C1348,'Gross Gen Plant'!$D$7:$D$91,0),MATCH(Calculation!$G1348,'Gross Gen Plant'!$E$5:$AD$5,0))</f>
        <v>76805</v>
      </c>
      <c r="BY1348" s="113">
        <f t="shared" si="2446"/>
        <v>1397368</v>
      </c>
      <c r="BZ1348" s="113"/>
      <c r="CA1348" s="116">
        <v>2018</v>
      </c>
      <c r="CB1348" s="113"/>
      <c r="CC1348" s="113"/>
      <c r="CD1348" s="113"/>
      <c r="CE1348" s="175"/>
      <c r="CF1348" s="113">
        <f t="shared" si="2411"/>
        <v>170668</v>
      </c>
      <c r="CG1348" s="113">
        <f t="shared" si="2412"/>
        <v>226.00940565943884</v>
      </c>
      <c r="CH1348" s="178">
        <v>0.86111111111111116</v>
      </c>
      <c r="CI1348" s="61">
        <f>+CI1328*CH1348++CG1329*CH1347+CG1330*CH1346+CG1331*CH1345+CG1332*CH1344+CG1333*CH1343+CG1334*CH1342+CG1335*CH1341+CG1336*CH1340+CG1337*CH1339+CG1338*CH1338+CG1339*CH1337+CG1340*CH1336+CG1341*CH1335+CG1342*CH1334+CG1343*CH1333+CG1344*CH1332+CG1345*CH1331+CG1346*CH1330+CG1347*CH1329+CG1348</f>
        <v>3902.1692982776367</v>
      </c>
      <c r="CJ1348" s="114">
        <f t="shared" si="2413"/>
        <v>5.1064259408129295E-2</v>
      </c>
      <c r="CK1348" s="114"/>
      <c r="CL1348" s="169">
        <f t="shared" si="2414"/>
        <v>8.5627981209225965E-3</v>
      </c>
      <c r="CM1348" s="169">
        <f t="shared" si="2422"/>
        <v>8.3598616513432828E-3</v>
      </c>
      <c r="CN1348" s="114">
        <f>VLOOKUP($H1348,RoR!$E:$F,2,FALSE)</f>
        <v>3.9299999999999995E-2</v>
      </c>
      <c r="CO1348" s="169">
        <v>2.386056741932796E-2</v>
      </c>
      <c r="CP1348" s="169">
        <f t="shared" si="2420"/>
        <v>1.5439432580672034E-2</v>
      </c>
      <c r="CQ1348" s="169">
        <f t="shared" si="2423"/>
        <v>2.254207995719034E-2</v>
      </c>
      <c r="CR1348" s="169">
        <v>3.8270792163076606E-2</v>
      </c>
      <c r="CS1348" s="179">
        <f t="shared" si="2415"/>
        <v>0.90305999999999997</v>
      </c>
      <c r="CT1348" s="180">
        <f t="shared" si="2416"/>
        <v>1.3048868010700074</v>
      </c>
      <c r="CU1348" s="180">
        <f t="shared" si="2417"/>
        <v>0.33886768447837151</v>
      </c>
      <c r="CV1348" s="180">
        <f t="shared" si="2418"/>
        <v>0.78602506232557801</v>
      </c>
      <c r="CW1348" s="180">
        <f t="shared" si="2419"/>
        <v>0.34756768162358759</v>
      </c>
      <c r="CX1348" s="181">
        <f>INDEX('State Tax Lookup'!$D$7:$Z$91,MATCH(Calculation!$C1348,'State Tax Lookup'!$B$7:$B$91,0),MATCH($H1348,'State Tax Lookup'!$D$6:$Z$6,0))</f>
        <v>0.26200000000000001</v>
      </c>
      <c r="CY1348" s="72">
        <v>0.37</v>
      </c>
      <c r="CZ1348" s="70">
        <f t="shared" si="2421"/>
        <v>20.782716192564013</v>
      </c>
      <c r="DA1348" s="70">
        <v>19.050901628905343</v>
      </c>
      <c r="DB1348" s="69">
        <f t="shared" si="2424"/>
        <v>4.7359908456662624E-2</v>
      </c>
      <c r="DC1348" s="111">
        <f>VLOOKUP($H1348,RoR!$E:$F,2,FALSE)</f>
        <v>3.9299999999999995E-2</v>
      </c>
      <c r="DD1348" s="216">
        <f>HLOOKUP($H1348,'GDP-PI'!$D$8:$CQ$11,3,FALSE)</f>
        <v>2.386056741932796E-2</v>
      </c>
      <c r="DE1348" s="111">
        <f>VLOOKUP(H1348,'HW Dx Data'!$E:$F,2,FALSE)</f>
        <v>755.13671434174842</v>
      </c>
      <c r="DF1348" s="72">
        <f t="shared" si="2434"/>
        <v>144.44999999999999</v>
      </c>
      <c r="DG1348" s="69">
        <f t="shared" si="2435"/>
        <v>2.80818733619915E-2</v>
      </c>
      <c r="DH1348" s="66">
        <f>HLOOKUP(H1348,'GDP-PI'!$8:$9,2,FALSE)</f>
        <v>110.322</v>
      </c>
      <c r="DI1348" s="69">
        <f t="shared" si="2425"/>
        <v>2.3580352716508712E-2</v>
      </c>
    </row>
    <row r="1349" spans="1:129" s="160" customFormat="1" ht="21">
      <c r="A1349" s="160" t="s">
        <v>238</v>
      </c>
      <c r="B1349" s="160" t="s">
        <v>239</v>
      </c>
      <c r="C1349" s="160">
        <v>4064141</v>
      </c>
      <c r="D1349" s="161" t="s">
        <v>181</v>
      </c>
      <c r="E1349" s="161" t="s">
        <v>3</v>
      </c>
      <c r="F1349" s="189"/>
      <c r="G1349" s="160" t="s">
        <v>140</v>
      </c>
      <c r="H1349" s="162">
        <v>2019</v>
      </c>
      <c r="I1349" s="163"/>
      <c r="J1349" s="159">
        <v>32819</v>
      </c>
      <c r="K1349" s="159">
        <f t="shared" si="2426"/>
        <v>219.2684148989477</v>
      </c>
      <c r="L1349" s="165">
        <f t="shared" si="2432"/>
        <v>-3.5527423670815378E-2</v>
      </c>
      <c r="M1349" s="76">
        <f t="shared" si="2436"/>
        <v>-4.3556258388793688E-4</v>
      </c>
      <c r="N1349" s="62">
        <f t="shared" si="2442"/>
        <v>118.21296423272068</v>
      </c>
      <c r="O1349" s="96">
        <f t="shared" si="2437"/>
        <v>-8.748115377628634E-3</v>
      </c>
      <c r="P1349" s="96"/>
      <c r="Q1349" s="159">
        <v>47528</v>
      </c>
      <c r="R1349" s="159">
        <f t="shared" si="2427"/>
        <v>423.1556829715629</v>
      </c>
      <c r="S1349" s="165">
        <f t="shared" si="2438"/>
        <v>-1.7926223518953722E-2</v>
      </c>
      <c r="T1349" s="165">
        <f t="shared" si="2439"/>
        <v>-2.1977366857823128E-4</v>
      </c>
      <c r="U1349" s="165"/>
      <c r="V1349" s="165"/>
      <c r="W1349" s="159">
        <f t="shared" si="2410"/>
        <v>82333.79223457769</v>
      </c>
      <c r="X1349" s="163"/>
      <c r="Y1349" s="167">
        <v>4134.2267789717362</v>
      </c>
      <c r="Z1349" s="168">
        <v>5.7767687962883098E-2</v>
      </c>
      <c r="AA1349" s="76">
        <f t="shared" si="2428"/>
        <v>7.0822595152078929E-4</v>
      </c>
      <c r="AB1349" s="168"/>
      <c r="AC1349" s="168"/>
      <c r="AD1349" s="163">
        <f t="shared" si="2363"/>
        <v>162680.7922345777</v>
      </c>
      <c r="AE1349" s="168">
        <f t="shared" si="2440"/>
        <v>3.2954847915549756E-2</v>
      </c>
      <c r="AF1349" s="163"/>
      <c r="AG1349" s="163"/>
      <c r="AH1349" s="163"/>
      <c r="AI1349" s="163"/>
      <c r="AJ1349" s="116">
        <f t="shared" si="2441"/>
        <v>674.84762171954105</v>
      </c>
      <c r="AK1349" s="114">
        <f>+AV1349/$AX$24</f>
        <v>6.4001265460197909E-3</v>
      </c>
      <c r="AL1349" s="115">
        <f t="shared" si="2429"/>
        <v>0.20173862906123924</v>
      </c>
      <c r="AM1349" s="115">
        <f t="shared" si="2430"/>
        <v>0.2921549578604643</v>
      </c>
      <c r="AN1349" s="115">
        <f t="shared" si="2431"/>
        <v>0.5061064130782964</v>
      </c>
      <c r="AO1349" s="115">
        <f t="shared" si="2433"/>
        <v>1.6146463037177979E-2</v>
      </c>
      <c r="AP1349" s="166">
        <f t="shared" si="2444"/>
        <v>124.937367113443</v>
      </c>
      <c r="AQ1349" s="168">
        <f t="shared" si="2445"/>
        <v>1.6146463037177962E-2</v>
      </c>
      <c r="AR1349" s="169">
        <f>+AD1349/$AF$24</f>
        <v>1.2259897816506672E-2</v>
      </c>
      <c r="AS1349" s="169">
        <f t="shared" si="2443"/>
        <v>1.9795398693380379E-4</v>
      </c>
      <c r="AT1349" s="115"/>
      <c r="AU1349" s="115"/>
      <c r="AV1349" s="113">
        <f>IFERROR(INDEX('Total Customers'!$F$7:$AB$91,MATCH($C1349,'Total Customers'!$D$7:$D$91,0),MATCH($G1349,'Total Customers'!$F$5:$AB$5,0)),"NA")</f>
        <v>241063</v>
      </c>
      <c r="AW1349" s="68">
        <f t="shared" si="2447"/>
        <v>3.0549490394242942E-2</v>
      </c>
      <c r="AX1349" s="114"/>
      <c r="AY1349" s="114"/>
      <c r="AZ1349" s="116">
        <v>8963640</v>
      </c>
      <c r="BA1349" s="116"/>
      <c r="BB1349" s="166"/>
      <c r="BC1349" s="166"/>
      <c r="BD1349" s="166"/>
      <c r="BE1349" s="166"/>
      <c r="BF1349" s="166"/>
      <c r="BG1349" s="166"/>
      <c r="BH1349" s="166"/>
      <c r="BI1349" s="113"/>
      <c r="BJ1349" s="113"/>
      <c r="BK1349" s="113">
        <f>INDEX('Dist. Plant Gas Additions'!$F$7:$AE$91,MATCH($C1349,'Dist. Plant Gas Additions'!$D$7:$D$91,0),MATCH(Calculation!$G1349,'Dist. Plant Gas Additions'!$F$5:$AE$5,0))</f>
        <v>199657</v>
      </c>
      <c r="BL1349" s="113">
        <f>INDEX('Gen. Plant Additions'!$F$7:$AE$91,MATCH($C1349,'Gen. Plant Additions'!$D$7:$D$91,0),MATCH(Calculation!$G1349,'Gen. Plant Additions'!$F$5:$AE$5,0))</f>
        <v>6239</v>
      </c>
      <c r="BM1349" s="231">
        <f t="shared" si="2366"/>
        <v>0.95780721680350045</v>
      </c>
      <c r="BN1349" s="113"/>
      <c r="BO1349" s="113">
        <f>INDEX('Dist Plant Depreciation'!$E$7:$AD$94,MATCH($C1349,'Dist Plant Depreciation'!$D$7:$D$94,0),MATCH(Calculation!$G1349,'Dist Plant Depreciation'!$E$5:$AD$5,0))</f>
        <v>406803</v>
      </c>
      <c r="BP1349" s="113">
        <f>INDEX('Gen. Plant Depreciation'!$E$7:$AD$94,MATCH($C1349,'Gen. Plant Depreciation'!$D$7:$D$94,0),MATCH(Calculation!$G1349,'Gen. Plant Depreciation'!$E$5:$AD$5,0))</f>
        <v>29590</v>
      </c>
      <c r="BQ1349" s="113"/>
      <c r="BR1349" s="113"/>
      <c r="BS1349" s="113"/>
      <c r="BT1349" s="113"/>
      <c r="BU1349" s="113"/>
      <c r="BV1349" s="175"/>
      <c r="BW1349" s="113">
        <f>INDEX('Gross Dx Plant'!$E$7:$AD$91,MATCH($C1349,'Gross Dx Plant'!$D$7:$D$91,0),MATCH(Calculation!$G1349,'Gross Dx Plant'!$E$5:$AD$5,0))</f>
        <v>1932542</v>
      </c>
      <c r="BX1349" s="113">
        <f>INDEX('Gross Gen Plant'!$E$7:$AD$91,MATCH($C1349,'Gross Gen Plant'!$D$7:$D$91,0),MATCH(Calculation!$G1349,'Gross Gen Plant'!$E$5:$AD$5,0))</f>
        <v>81495</v>
      </c>
      <c r="BY1349" s="113">
        <f t="shared" si="2446"/>
        <v>1577644</v>
      </c>
      <c r="BZ1349" s="113"/>
      <c r="CA1349" s="116">
        <v>2019</v>
      </c>
      <c r="CB1349" s="113"/>
      <c r="CC1349" s="113"/>
      <c r="CD1349" s="113"/>
      <c r="CE1349" s="175"/>
      <c r="CF1349" s="113">
        <f t="shared" si="2411"/>
        <v>205896</v>
      </c>
      <c r="CG1349" s="113">
        <f t="shared" si="2412"/>
        <v>266.17393653881766</v>
      </c>
      <c r="CH1349" s="178">
        <v>0.85106382978723405</v>
      </c>
      <c r="CI1349" s="61">
        <f>CI1328*CH1349+CG1329*CH1348+CG1330*CH1347+CG1331*CH1346+CG1332*CH1345+CG1333*CH1344+CG1334*CH1343+CG1335*CH1342+CG1336*CH1341+CG1337*CH1340+CG1338*CH1339+CG1339*CH1338+CG1340*CH1337+CG1341*CH1336+CG1342*CH1335+CG1343*CH1334+CG1344*CH1333+CG1345*CH1332+CG1346*CH1331+CG1347*CH1330+CG1348*CH1329+CG1349</f>
        <v>4134.2267789717362</v>
      </c>
      <c r="CJ1349" s="114">
        <f t="shared" si="2413"/>
        <v>5.7767687962883098E-2</v>
      </c>
      <c r="CK1349" s="114"/>
      <c r="CL1349" s="169">
        <f t="shared" si="2414"/>
        <v>8.7429460991804535E-3</v>
      </c>
      <c r="CM1349" s="169">
        <f t="shared" si="2422"/>
        <v>8.5483215828022433E-3</v>
      </c>
      <c r="CN1349" s="114">
        <f>VLOOKUP($H1349,RoR!$E:$F,2,FALSE)</f>
        <v>3.3875000000000009E-2</v>
      </c>
      <c r="CO1349" s="169">
        <v>1.8092492884465461E-2</v>
      </c>
      <c r="CP1349" s="169">
        <f t="shared" si="2420"/>
        <v>1.5782507115534548E-2</v>
      </c>
      <c r="CQ1349" s="169">
        <f t="shared" si="2423"/>
        <v>2.235362002573138E-2</v>
      </c>
      <c r="CR1349" s="169">
        <v>4.8445665544254078E-2</v>
      </c>
      <c r="CS1349" s="179">
        <f t="shared" si="2415"/>
        <v>0.90305999999999997</v>
      </c>
      <c r="CT1349" s="180">
        <f t="shared" si="2416"/>
        <v>1.513861292459078</v>
      </c>
      <c r="CU1349" s="180">
        <f t="shared" si="2417"/>
        <v>0.23699261992619944</v>
      </c>
      <c r="CV1349" s="180">
        <f t="shared" si="2418"/>
        <v>0.73619765810468829</v>
      </c>
      <c r="CW1349" s="180">
        <f t="shared" si="2419"/>
        <v>0.26412854465362851</v>
      </c>
      <c r="CX1349" s="181">
        <f>INDEX('State Tax Lookup'!$D$7:$Z$91,MATCH(Calculation!$C1349,'State Tax Lookup'!$B$7:$B$91,0),MATCH($H1349,'State Tax Lookup'!$D$6:$Z$6,0))</f>
        <v>0.26200000000000001</v>
      </c>
      <c r="CY1349" s="72">
        <v>0.37</v>
      </c>
      <c r="CZ1349" s="70">
        <f t="shared" si="2421"/>
        <v>21.099492600415537</v>
      </c>
      <c r="DA1349" s="70">
        <v>19.236104090735289</v>
      </c>
      <c r="DB1349" s="69">
        <f t="shared" si="2424"/>
        <v>1.5127303824728966E-2</v>
      </c>
      <c r="DC1349" s="111">
        <f>VLOOKUP($H1349,RoR!$E:$F,2,FALSE)</f>
        <v>3.3875000000000009E-2</v>
      </c>
      <c r="DD1349" s="216">
        <f>HLOOKUP($H1349,'GDP-PI'!$D$8:$CQ$11,3,FALSE)</f>
        <v>1.8092492884465461E-2</v>
      </c>
      <c r="DE1349" s="111">
        <f>VLOOKUP(H1349,'HW Dx Data'!$E:$F,2,FALSE)</f>
        <v>773.53929793938721</v>
      </c>
      <c r="DF1349" s="72">
        <f t="shared" si="2434"/>
        <v>149.67500000000001</v>
      </c>
      <c r="DG1349" s="69">
        <f t="shared" si="2435"/>
        <v>3.5532849899171604E-2</v>
      </c>
      <c r="DH1349" s="66">
        <f>HLOOKUP(H1349,'GDP-PI'!$8:$9,2,FALSE)</f>
        <v>112.318</v>
      </c>
      <c r="DI1349" s="69">
        <f t="shared" si="2425"/>
        <v>1.7930771451401852E-2</v>
      </c>
    </row>
    <row r="1350" spans="1:129" s="160" customFormat="1" ht="21">
      <c r="A1350" s="160" t="s">
        <v>238</v>
      </c>
      <c r="B1350" s="160" t="s">
        <v>239</v>
      </c>
      <c r="C1350" s="160">
        <v>4064141</v>
      </c>
      <c r="D1350" s="160" t="s">
        <v>181</v>
      </c>
      <c r="E1350" s="160" t="s">
        <v>3</v>
      </c>
      <c r="G1350" s="161" t="s">
        <v>141</v>
      </c>
      <c r="H1350" s="162">
        <v>2020</v>
      </c>
      <c r="I1350" s="163"/>
      <c r="J1350" s="159">
        <v>32819</v>
      </c>
      <c r="K1350" s="159">
        <f t="shared" si="2426"/>
        <v>214.2931766242246</v>
      </c>
      <c r="L1350" s="165">
        <f t="shared" si="2432"/>
        <v>-2.2951556467368461E-2</v>
      </c>
      <c r="M1350" s="76">
        <f t="shared" si="2436"/>
        <v>-2.8745853011001793E-4</v>
      </c>
      <c r="N1350" s="62">
        <f t="shared" si="2442"/>
        <v>118.17898779142529</v>
      </c>
      <c r="O1350" s="96">
        <f t="shared" si="2437"/>
        <v>-2.8745853011001793E-4</v>
      </c>
      <c r="P1350" s="96"/>
      <c r="Q1350" s="159">
        <v>47528</v>
      </c>
      <c r="R1350" s="159">
        <f t="shared" si="2427"/>
        <v>418.29559156156762</v>
      </c>
      <c r="S1350" s="165">
        <f t="shared" si="2438"/>
        <v>-1.1551816731392965E-2</v>
      </c>
      <c r="T1350" s="165">
        <f t="shared" si="2439"/>
        <v>-1.4468161505419978E-4</v>
      </c>
      <c r="U1350" s="165"/>
      <c r="V1350" s="165"/>
      <c r="W1350" s="159">
        <f t="shared" si="2410"/>
        <v>90950.23188587428</v>
      </c>
      <c r="X1350" s="163"/>
      <c r="Y1350" s="167">
        <v>4338.3052633979969</v>
      </c>
      <c r="Z1350" s="168">
        <v>4.8183462758395919E-2</v>
      </c>
      <c r="AA1350" s="76">
        <f t="shared" si="2428"/>
        <v>6.0347747656380854E-4</v>
      </c>
      <c r="AB1350" s="168"/>
      <c r="AC1350" s="168"/>
      <c r="AD1350" s="163">
        <f t="shared" si="2363"/>
        <v>171297.23188587429</v>
      </c>
      <c r="AE1350" s="168">
        <f t="shared" si="2440"/>
        <v>5.161029482499082E-2</v>
      </c>
      <c r="AF1350" s="163"/>
      <c r="AG1350" s="163"/>
      <c r="AH1350" s="163"/>
      <c r="AI1350" s="163"/>
      <c r="AJ1350" s="116">
        <f t="shared" si="2441"/>
        <v>710.59113960198908</v>
      </c>
      <c r="AK1350" s="114">
        <f>+AV1350/$AX$25</f>
        <v>6.354931615739314E-3</v>
      </c>
      <c r="AL1350" s="115">
        <f t="shared" si="2429"/>
        <v>0.19159095356465219</v>
      </c>
      <c r="AM1350" s="115">
        <f t="shared" si="2430"/>
        <v>0.27745924132425698</v>
      </c>
      <c r="AN1350" s="115">
        <f t="shared" si="2431"/>
        <v>0.5309498051110908</v>
      </c>
      <c r="AO1350" s="115">
        <f t="shared" si="2433"/>
        <v>1.7180677352492783E-2</v>
      </c>
      <c r="AP1350" s="166">
        <f t="shared" si="2444"/>
        <v>127.10242099753097</v>
      </c>
      <c r="AQ1350" s="168">
        <f t="shared" si="2445"/>
        <v>1.7180677352492849E-2</v>
      </c>
      <c r="AR1350" s="169">
        <f>+AD1350/$AF$25</f>
        <v>1.2524576732681033E-2</v>
      </c>
      <c r="AS1350" s="169">
        <f t="shared" si="2443"/>
        <v>2.151807118207319E-4</v>
      </c>
      <c r="AT1350" s="115"/>
      <c r="AU1350" s="115"/>
      <c r="AV1350" s="113">
        <v>241063</v>
      </c>
      <c r="AW1350" s="68">
        <f t="shared" si="2447"/>
        <v>0</v>
      </c>
      <c r="AX1350" s="114"/>
      <c r="AY1350" s="114"/>
      <c r="AZ1350" s="116">
        <v>9060252</v>
      </c>
      <c r="BA1350" s="116"/>
      <c r="BB1350" s="166"/>
      <c r="BC1350" s="166"/>
      <c r="BD1350" s="166"/>
      <c r="BE1350" s="166"/>
      <c r="BF1350" s="166"/>
      <c r="BG1350" s="166"/>
      <c r="BH1350" s="166"/>
      <c r="BI1350" s="113"/>
      <c r="BJ1350" s="113"/>
      <c r="BK1350" s="113">
        <f>INDEX('Dist. Plant Gas Additions'!$F$7:$AE$91,MATCH($C1350,'Dist. Plant Gas Additions'!$D$7:$D$91,0),MATCH(Calculation!$G1350,'Dist. Plant Gas Additions'!$F$5:$AE$5,0))</f>
        <v>187318</v>
      </c>
      <c r="BL1350" s="113">
        <f>INDEX('Gen. Plant Additions'!$F$7:$AE$91,MATCH($C1350,'Gen. Plant Additions'!$D$7:$D$91,0),MATCH(Calculation!$G1350,'Gen. Plant Additions'!$F$5:$AE$5,0))</f>
        <v>8529</v>
      </c>
      <c r="BM1350" s="231">
        <f t="shared" si="2366"/>
        <v>0.95953649312301614</v>
      </c>
      <c r="BN1350" s="113"/>
      <c r="BO1350" s="113">
        <f>INDEX('Dist Plant Depreciation'!$E$7:$AD$94,MATCH($C1350,'Dist Plant Depreciation'!$D$7:$D$94,0),MATCH(Calculation!$G1350,'Dist Plant Depreciation'!$E$5:$AD$5,0))</f>
        <v>416963</v>
      </c>
      <c r="BP1350" s="113">
        <f>INDEX('Gen. Plant Depreciation'!$E$7:$AD$94,MATCH($C1350,'Gen. Plant Depreciation'!$D$7:$D$94,0),MATCH(Calculation!$G1350,'Gen. Plant Depreciation'!$E$5:$AD$5,0))</f>
        <v>34015</v>
      </c>
      <c r="BQ1350" s="113"/>
      <c r="BR1350" s="113"/>
      <c r="BS1350" s="113"/>
      <c r="BT1350" s="113"/>
      <c r="BU1350" s="113"/>
      <c r="BV1350" s="175"/>
      <c r="BW1350" s="113">
        <f>INDEX('Gross Dx Plant'!$E$7:$AD$91,MATCH($C1350,'Gross Dx Plant'!$D$7:$D$91,0),MATCH(Calculation!$G1350,'Gross Dx Plant'!$E$5:$AD$5,0))</f>
        <v>2103278</v>
      </c>
      <c r="BX1350" s="113">
        <f>INDEX('Gross Gen Plant'!$E$7:$AD$91,MATCH($C1350,'Gross Gen Plant'!$D$7:$D$91,0),MATCH(Calculation!$G1350,'Gross Gen Plant'!$E$5:$AD$5,0))</f>
        <v>89722</v>
      </c>
      <c r="BY1350" s="113">
        <f t="shared" si="2446"/>
        <v>1742022</v>
      </c>
      <c r="BZ1350" s="113"/>
      <c r="CA1350" s="116">
        <v>2020</v>
      </c>
      <c r="CB1350" s="175"/>
      <c r="CC1350" s="175"/>
      <c r="CD1350" s="113"/>
      <c r="CE1350" s="175"/>
      <c r="CF1350" s="113">
        <f t="shared" si="2411"/>
        <v>195847</v>
      </c>
      <c r="CG1350" s="113">
        <f t="shared" si="2412"/>
        <v>240.87046891875917</v>
      </c>
      <c r="CH1350" s="178">
        <v>0.84057971014492749</v>
      </c>
      <c r="CI1350" s="61">
        <f>CI1328*CH1350+CG1329*CH1349+CG1330*CH1348+CG1331*CH1347+CG1332*CH1346+CG1333*CH1345+CG1334*CH1344+CG1335*CH1343+CG1336*CH1342+CG1337*CH1341+CG1338*CH1340+CG1339*CH1339+CG1340*CH1338+CG1341*CH1337+CG1342*CH1336+CG1343*CH1335+CG1344*CH1334+CG1345*CH1333+CG1346*CH1332+CG1347*CH1331+CG1348*CH1330+CG1349*CH1329+CG1350</f>
        <v>4338.3052633979969</v>
      </c>
      <c r="CJ1350" s="114">
        <f t="shared" si="2413"/>
        <v>4.8183462758395919E-2</v>
      </c>
      <c r="CK1350" s="114"/>
      <c r="CL1350" s="169">
        <f t="shared" si="2414"/>
        <v>8.8993629182696488E-3</v>
      </c>
      <c r="CM1350" s="169">
        <f t="shared" si="2422"/>
        <v>8.7350357127908996E-3</v>
      </c>
      <c r="CN1350" s="114">
        <f>VLOOKUP($H1350,RoR!$E:$F,2,FALSE)</f>
        <v>2.4766666666666666E-2</v>
      </c>
      <c r="CO1350" s="169">
        <v>1.1618796630994188E-2</v>
      </c>
      <c r="CP1350" s="169">
        <f t="shared" si="2420"/>
        <v>1.3147870035672478E-2</v>
      </c>
      <c r="CQ1350" s="169">
        <f t="shared" si="2423"/>
        <v>2.2166905895742724E-2</v>
      </c>
      <c r="CR1350" s="169">
        <v>4.5144642961987357E-2</v>
      </c>
      <c r="CS1350" s="179">
        <f t="shared" si="2415"/>
        <v>0.90305999999999997</v>
      </c>
      <c r="CT1350" s="180">
        <f t="shared" si="2416"/>
        <v>2.0706077233668081</v>
      </c>
      <c r="CU1350" s="180">
        <f t="shared" si="2417"/>
        <v>-3.4421265141318998E-2</v>
      </c>
      <c r="CV1350" s="180">
        <f t="shared" si="2418"/>
        <v>0.62416226176410472</v>
      </c>
      <c r="CW1350" s="180">
        <f t="shared" si="2419"/>
        <v>-4.4485877841158712E-2</v>
      </c>
      <c r="CX1350" s="181">
        <f>INDEX('State Tax Lookup'!$D$7:$Z$91,MATCH(Calculation!$C1350,'State Tax Lookup'!$B$7:$B$91,0),MATCH($H1350,'State Tax Lookup'!$D$6:$Z$6,0))</f>
        <v>0.26200000000000001</v>
      </c>
      <c r="CY1350" s="72">
        <v>0.37</v>
      </c>
      <c r="CZ1350" s="70">
        <f t="shared" si="2421"/>
        <v>21.99933306718491</v>
      </c>
      <c r="DA1350" s="70">
        <v>19.952659173050833</v>
      </c>
      <c r="DB1350" s="69">
        <f t="shared" si="2424"/>
        <v>4.1763144951637535E-2</v>
      </c>
      <c r="DC1350" s="111">
        <f>VLOOKUP($H1350,RoR!$E:$F,2,FALSE)</f>
        <v>2.4766666666666666E-2</v>
      </c>
      <c r="DD1350" s="216">
        <f>HLOOKUP($H1350,'GDP-PI'!$D$8:$CQ$11,3,FALSE)</f>
        <v>1.1618796630994188E-2</v>
      </c>
      <c r="DE1350" s="111">
        <f>VLOOKUP(H1350,'HW Dx Data'!$E:$F,2,FALSE)</f>
        <v>813.080162458833</v>
      </c>
      <c r="DF1350" s="72">
        <f t="shared" si="2434"/>
        <v>153.15</v>
      </c>
      <c r="DG1350" s="69">
        <f t="shared" si="2435"/>
        <v>2.2951556467368479E-2</v>
      </c>
      <c r="DH1350" s="66">
        <f>HLOOKUP(H1350,'GDP-PI'!$8:$9,2,FALSE)</f>
        <v>113.623</v>
      </c>
      <c r="DI1350" s="69">
        <f t="shared" si="2425"/>
        <v>1.1551816731392881E-2</v>
      </c>
    </row>
    <row r="1351" spans="1:129" s="160" customFormat="1" ht="21">
      <c r="A1351" s="160" t="s">
        <v>238</v>
      </c>
      <c r="B1351" s="160" t="s">
        <v>239</v>
      </c>
      <c r="C1351" s="160">
        <v>4064141</v>
      </c>
      <c r="D1351" s="160" t="s">
        <v>181</v>
      </c>
      <c r="E1351" s="160" t="s">
        <v>3</v>
      </c>
      <c r="G1351" s="161" t="s">
        <v>142</v>
      </c>
      <c r="H1351" s="162">
        <v>2021</v>
      </c>
      <c r="I1351" s="163"/>
      <c r="J1351" s="159">
        <v>37083.103177765493</v>
      </c>
      <c r="K1351" s="159">
        <f t="shared" si="2426"/>
        <v>235.82259572505879</v>
      </c>
      <c r="L1351" s="164">
        <f t="shared" si="2432"/>
        <v>9.5734747643268586E-2</v>
      </c>
      <c r="M1351" s="76">
        <f t="shared" si="2436"/>
        <v>1.3230991953272107E-3</v>
      </c>
      <c r="N1351" s="166">
        <f>+N1350*EXP(O1351)</f>
        <v>118.33545380227756</v>
      </c>
      <c r="O1351" s="114">
        <f t="shared" si="2437"/>
        <v>1.3230991953272107E-3</v>
      </c>
      <c r="P1351" s="114"/>
      <c r="Q1351" s="159">
        <v>52273.77194938028</v>
      </c>
      <c r="R1351" s="159">
        <f t="shared" si="2427"/>
        <v>441.16610641725276</v>
      </c>
      <c r="S1351" s="165">
        <f t="shared" si="2438"/>
        <v>5.3233123618324572E-2</v>
      </c>
      <c r="T1351" s="165">
        <f t="shared" si="2439"/>
        <v>7.3570678105935882E-4</v>
      </c>
      <c r="U1351" s="165"/>
      <c r="V1351" s="165"/>
      <c r="W1351" s="159">
        <f t="shared" si="2410"/>
        <v>122405.29997275188</v>
      </c>
      <c r="X1351" s="163"/>
      <c r="Y1351" s="167">
        <v>4554.2795151840673</v>
      </c>
      <c r="Z1351" s="168"/>
      <c r="AA1351" s="76">
        <f t="shared" si="2428"/>
        <v>0</v>
      </c>
      <c r="AB1351" s="168"/>
      <c r="AC1351" s="168"/>
      <c r="AD1351" s="163">
        <f t="shared" si="2363"/>
        <v>211762.17509989766</v>
      </c>
      <c r="AE1351" s="168">
        <f t="shared" si="2440"/>
        <v>0.21206358365190264</v>
      </c>
      <c r="AF1351" s="113"/>
      <c r="AG1351" s="114"/>
      <c r="AH1351" s="114"/>
      <c r="AI1351" s="114"/>
      <c r="AJ1351" s="116">
        <f t="shared" si="2441"/>
        <v>855.30064098380228</v>
      </c>
      <c r="AK1351" s="114">
        <f>+AV1351/$AX$26</f>
        <v>6.4131542401700313E-3</v>
      </c>
      <c r="AL1351" s="115">
        <f t="shared" si="2429"/>
        <v>0.1751167467007351</v>
      </c>
      <c r="AM1351" s="115">
        <f t="shared" si="2430"/>
        <v>0.24685131763838566</v>
      </c>
      <c r="AN1351" s="115">
        <f t="shared" si="2431"/>
        <v>0.57803193566087918</v>
      </c>
      <c r="AO1351" s="115">
        <f t="shared" si="2433"/>
        <v>3.1508678971700718E-2</v>
      </c>
      <c r="AP1351" s="166">
        <f t="shared" si="2444"/>
        <v>131.17101173554749</v>
      </c>
      <c r="AQ1351" s="168">
        <f t="shared" si="2445"/>
        <v>3.1508678971700677E-2</v>
      </c>
      <c r="AR1351" s="169">
        <f>+AD1351/$AF$26</f>
        <v>1.3820469870118699E-2</v>
      </c>
      <c r="AS1351" s="169">
        <f t="shared" si="2443"/>
        <v>4.3546474837563185E-4</v>
      </c>
      <c r="AT1351" s="115"/>
      <c r="AU1351" s="115"/>
      <c r="AV1351" s="113">
        <v>247588</v>
      </c>
      <c r="AW1351" s="68">
        <f t="shared" si="2447"/>
        <v>2.6707764252213002E-2</v>
      </c>
      <c r="AX1351" s="113"/>
      <c r="AY1351" s="113"/>
      <c r="AZ1351" s="116"/>
      <c r="BA1351" s="116"/>
      <c r="BB1351" s="166"/>
      <c r="BC1351" s="166"/>
      <c r="BD1351" s="166"/>
      <c r="BE1351" s="166"/>
      <c r="BF1351" s="166"/>
      <c r="BG1351" s="166"/>
      <c r="BH1351" s="166"/>
      <c r="BI1351" s="113"/>
      <c r="BJ1351" s="113"/>
      <c r="BK1351" s="113">
        <f>INDEX('Dist. Plant Gas Additions'!$E$7:$AE$91,MATCH($C1351,'Dist. Plant Gas Additions'!$D$7:$D$91,0),MATCH(Calculation!$G1351,'Dist. Plant Gas Additions'!$E$5:$AE$5,0))</f>
        <v>195582</v>
      </c>
      <c r="BL1351" s="113">
        <f>INDEX('Gen. Plant Additions'!$E$7:$AE$91,MATCH($C1351,'Gen. Plant Additions'!$D$7:$D$91,0),MATCH(Calculation!$G1351,'Gen. Plant Additions'!$E$5:$AE$5,0))</f>
        <v>8700</v>
      </c>
      <c r="BM1351" s="231">
        <f t="shared" si="2366"/>
        <v>0.95908709530323755</v>
      </c>
      <c r="BN1351" s="113"/>
      <c r="BO1351" s="113"/>
      <c r="BP1351" s="113"/>
      <c r="BQ1351" s="175"/>
      <c r="BR1351" s="175"/>
      <c r="BS1351" s="170"/>
      <c r="BT1351" s="176"/>
      <c r="BU1351" s="177"/>
      <c r="BV1351" s="177"/>
      <c r="BW1351" s="113"/>
      <c r="BX1351" s="113"/>
      <c r="BY1351" s="113"/>
      <c r="BZ1351" s="113"/>
      <c r="CA1351" s="116">
        <v>2021</v>
      </c>
      <c r="CB1351" s="113"/>
      <c r="CC1351" s="113"/>
      <c r="CD1351" s="113"/>
      <c r="CE1351" s="175"/>
      <c r="CF1351" s="113">
        <f t="shared" si="2411"/>
        <v>204282</v>
      </c>
      <c r="CG1351" s="113">
        <f t="shared" si="2412"/>
        <v>218.94648861256513</v>
      </c>
      <c r="CH1351" s="178">
        <f>+(51-23)/(51-23*0.75)</f>
        <v>0.82962962962962961</v>
      </c>
      <c r="CI1351" s="113">
        <f>CI1328*CH1351+CG1329*CH1350+CG1330*CH1349+CG1331*CH1348+CG1332*CH1347+CG1333*CH1346+CG1334*CH1345+CG1335*CH1344+CG1336*CH1343+CG1337*CH1342+CG1338*CH1341+CG1339*CH1340+CG1340*CH1339+CG1341*CH1338+CG1342*CH1337+CG1333*CH1336+CG1344*CH1335+CG1345*CH1334+CG1346*CH1333+CG1347*CH1332+CG1348*CH1331+CG1349*CH1330+CG1351+CG1350*CH1329</f>
        <v>4554.2795151840673</v>
      </c>
      <c r="CJ1351" s="114"/>
      <c r="CK1351" s="113"/>
      <c r="CL1351" s="169">
        <f t="shared" si="2414"/>
        <v>6.851147270735535E-4</v>
      </c>
      <c r="CM1351" s="169">
        <f t="shared" si="2422"/>
        <v>6.1091412481745514E-3</v>
      </c>
      <c r="CN1351" s="114">
        <f>VLOOKUP($H1351,RoR!$E:$F,2,FALSE)</f>
        <v>2.7033333333333336E-2</v>
      </c>
      <c r="CO1351" s="169"/>
      <c r="CP1351" s="169"/>
      <c r="CQ1351" s="169">
        <f t="shared" si="2423"/>
        <v>2.4792800360359073E-2</v>
      </c>
      <c r="CR1351" s="169">
        <v>7.433422950153494E-2</v>
      </c>
      <c r="CS1351" s="179">
        <f t="shared" si="2415"/>
        <v>0.90305999999999997</v>
      </c>
      <c r="CT1351" s="180">
        <f t="shared" si="2416"/>
        <v>1.8969932656739068</v>
      </c>
      <c r="CU1351" s="180">
        <f t="shared" si="2417"/>
        <v>5.0215782983970621E-2</v>
      </c>
      <c r="CV1351" s="180">
        <f t="shared" si="2418"/>
        <v>0.655952481704143</v>
      </c>
      <c r="CW1351" s="180">
        <f t="shared" si="2419"/>
        <v>6.2485378865697057E-2</v>
      </c>
      <c r="CX1351" s="181">
        <f>CX1350</f>
        <v>0.26200000000000001</v>
      </c>
      <c r="CY1351" s="72">
        <v>0.37</v>
      </c>
      <c r="CZ1351" s="182">
        <f t="shared" si="2421"/>
        <v>28.215003910738496</v>
      </c>
      <c r="DA1351" s="182"/>
      <c r="DB1351" s="169">
        <f>LN(CZ1352/CZ1350)</f>
        <v>0.22549460550586836</v>
      </c>
      <c r="DC1351" s="181">
        <f>VLOOKUP($H1351,RoR!$E:$F,2,FALSE)</f>
        <v>2.7033333333333336E-2</v>
      </c>
      <c r="DD1351" s="183">
        <f>HLOOKUP($H1351,'GDP-PI'!$D$8:$CR$11,3,FALSE)</f>
        <v>4.2834637353352578E-2</v>
      </c>
      <c r="DE1351" s="181">
        <f>VLOOKUP(H1351,'HW Dx Data'!$E:$F,2,FALSE)</f>
        <v>933.02249921662576</v>
      </c>
      <c r="DF1351" s="72">
        <f t="shared" si="2434"/>
        <v>157.25</v>
      </c>
      <c r="DG1351" s="69">
        <f t="shared" si="2435"/>
        <v>2.6419062301765574E-2</v>
      </c>
      <c r="DH1351" s="175">
        <f>HLOOKUP(H1351,'GDP-PI'!$8:$9,2,FALSE)</f>
        <v>118.49</v>
      </c>
      <c r="DI1351" s="169">
        <f t="shared" si="2425"/>
        <v>4.194261824609434E-2</v>
      </c>
    </row>
    <row r="1352" spans="1:129" s="160" customFormat="1" ht="21">
      <c r="E1352" s="189"/>
      <c r="F1352" s="189"/>
      <c r="G1352" s="161" t="s">
        <v>144</v>
      </c>
      <c r="H1352" s="162"/>
      <c r="I1352" s="163"/>
      <c r="J1352" s="159">
        <v>38972.728740420534</v>
      </c>
      <c r="K1352" s="159">
        <f t="shared" si="2426"/>
        <v>239.75840504718875</v>
      </c>
      <c r="L1352" s="164">
        <f t="shared" ref="L1352" si="2448">LN(K1352/K1351)</f>
        <v>1.6551961378990423E-2</v>
      </c>
      <c r="M1352" s="76">
        <f t="shared" si="2436"/>
        <v>2.3705402639610256E-4</v>
      </c>
      <c r="N1352" s="166">
        <f>+N1351*EXP(O1352)</f>
        <v>118.36350902323696</v>
      </c>
      <c r="O1352" s="114">
        <f t="shared" si="2437"/>
        <v>2.3705402639610256E-4</v>
      </c>
      <c r="P1352" s="114"/>
      <c r="Q1352" s="163">
        <v>54937.460995532565</v>
      </c>
      <c r="R1352" s="159">
        <f t="shared" si="2427"/>
        <v>431.72857363876278</v>
      </c>
      <c r="S1352" s="165">
        <f t="shared" ref="S1352" si="2449">LN(R1352/R1351)</f>
        <v>-2.1624374053628614E-2</v>
      </c>
      <c r="T1352" s="165">
        <f t="shared" si="2439"/>
        <v>-3.0970015095701842E-4</v>
      </c>
      <c r="U1352" s="166"/>
      <c r="V1352" s="114"/>
      <c r="W1352" s="159">
        <f t="shared" si="2410"/>
        <v>125533.67973422185</v>
      </c>
      <c r="X1352" s="168"/>
      <c r="Y1352" s="167">
        <v>4673.8060825966149</v>
      </c>
      <c r="Z1352" s="168">
        <v>2.5906403015015116E-2</v>
      </c>
      <c r="AA1352" s="76">
        <f t="shared" si="2428"/>
        <v>3.71026551085636E-4</v>
      </c>
      <c r="AB1352" s="166"/>
      <c r="AC1352" s="114"/>
      <c r="AD1352" s="163">
        <f t="shared" si="2363"/>
        <v>219443.86947017495</v>
      </c>
      <c r="AE1352" s="168">
        <f t="shared" si="2440"/>
        <v>3.563265046023608E-2</v>
      </c>
      <c r="AF1352" s="113"/>
      <c r="AG1352" s="114"/>
      <c r="AH1352" s="114"/>
      <c r="AI1352" s="114"/>
      <c r="AJ1352" s="116">
        <f t="shared" si="2441"/>
        <v>874.2783644230077</v>
      </c>
      <c r="AK1352" s="114"/>
      <c r="AL1352" s="115">
        <f t="shared" si="2429"/>
        <v>0.17759771022319398</v>
      </c>
      <c r="AM1352" s="115">
        <f t="shared" si="2430"/>
        <v>0.25034857947124939</v>
      </c>
      <c r="AN1352" s="115">
        <f t="shared" si="2431"/>
        <v>0.57205371030555663</v>
      </c>
      <c r="AO1352" s="115"/>
      <c r="AP1352" s="166"/>
      <c r="AQ1352" s="168"/>
      <c r="AR1352" s="169">
        <f>+AD1352/$AF$26</f>
        <v>1.4321808815781658E-2</v>
      </c>
      <c r="AS1352" s="169"/>
      <c r="AT1352" s="166"/>
      <c r="AU1352" s="168"/>
      <c r="AV1352" s="113">
        <v>251000</v>
      </c>
      <c r="AW1352" s="68">
        <f t="shared" si="2447"/>
        <v>1.3686864762380858E-2</v>
      </c>
      <c r="AX1352" s="113"/>
      <c r="AY1352" s="113"/>
      <c r="AZ1352" s="113"/>
      <c r="BA1352" s="113"/>
      <c r="BB1352" s="171"/>
      <c r="BC1352" s="172"/>
      <c r="BD1352" s="173"/>
      <c r="BE1352" s="115"/>
      <c r="BF1352" s="174"/>
      <c r="BG1352" s="174"/>
      <c r="BH1352" s="166"/>
      <c r="BI1352" s="113"/>
      <c r="BJ1352" s="113"/>
      <c r="BK1352" s="113"/>
      <c r="BL1352" s="113"/>
      <c r="BM1352" s="232"/>
      <c r="BN1352" s="113"/>
      <c r="BO1352" s="113"/>
      <c r="BP1352" s="113"/>
      <c r="BQ1352" s="175"/>
      <c r="BR1352" s="175"/>
      <c r="BS1352" s="170"/>
      <c r="BT1352" s="176"/>
      <c r="BU1352" s="177"/>
      <c r="BV1352" s="177"/>
      <c r="BW1352" s="113"/>
      <c r="BX1352" s="113"/>
      <c r="BY1352" s="113"/>
      <c r="BZ1352" s="113"/>
      <c r="CA1352" s="116">
        <v>2022</v>
      </c>
      <c r="CB1352" s="113"/>
      <c r="CC1352" s="113"/>
      <c r="CD1352" s="113"/>
      <c r="CE1352" s="175"/>
      <c r="CF1352" s="238">
        <v>189061.91</v>
      </c>
      <c r="CG1352" s="113">
        <f>+CF1352/DE1352</f>
        <v>183.41101657919501</v>
      </c>
      <c r="CH1352" s="178">
        <f>+(51-24)/(51-24*0.75)</f>
        <v>0.81818181818181823</v>
      </c>
      <c r="CI1352" s="113">
        <f>+CI1328*CH1352+CG1329*CH1351+CG1330*CH1350+CG1331*CH1349+CG1332*CH1348+CG1333*CH1347+CG1334*CH1346+CG1335*CH1345+CG1336*CH1344+CG1337*CH1343+CG1338*CH1342+CG1339*CH1341+CG1340*CH1340+CG1341*CH1339+CG1342*CH1338+CG1343*CH1337+CG1344*CH1336+CG1345*CH1335+CG1346*CH1334+CG1347*CH1333+CG1348*CH1332+CG1349*CH1331+CG1350*CH1330+CG1351*CH1329+CG1352*CH1328</f>
        <v>4659.040907637117</v>
      </c>
      <c r="CJ1352" s="114">
        <f t="shared" ref="CJ1352" si="2450">LN(CI1352/CI1351)</f>
        <v>2.2742269435260396E-2</v>
      </c>
      <c r="CK1352" s="113"/>
      <c r="CL1352" s="169">
        <f t="shared" si="2414"/>
        <v>1.7269388904200055E-2</v>
      </c>
      <c r="CM1352" s="169">
        <f t="shared" si="2422"/>
        <v>8.9512888498477529E-3</v>
      </c>
      <c r="CN1352" s="114"/>
      <c r="CO1352" s="169"/>
      <c r="CP1352" s="169"/>
      <c r="CQ1352" s="69">
        <f t="shared" si="2423"/>
        <v>2.1950652758685872E-2</v>
      </c>
      <c r="CR1352" s="169">
        <v>0.10114668178709289</v>
      </c>
      <c r="CS1352" s="179">
        <f t="shared" si="2415"/>
        <v>0.90305999999999997</v>
      </c>
      <c r="CT1352" s="180">
        <f t="shared" si="2416"/>
        <v>1.2820512820512819</v>
      </c>
      <c r="CU1352" s="180">
        <f t="shared" si="2417"/>
        <v>0.35000000000000003</v>
      </c>
      <c r="CV1352" s="180">
        <f t="shared" si="2418"/>
        <v>0.79171095533705893</v>
      </c>
      <c r="CW1352" s="180">
        <f t="shared" si="2419"/>
        <v>0.35525491585637264</v>
      </c>
      <c r="CX1352" s="181">
        <f>CX1351</f>
        <v>0.26200000000000001</v>
      </c>
      <c r="CY1352" s="72">
        <v>0.37</v>
      </c>
      <c r="CZ1352" s="182">
        <f t="shared" si="2421"/>
        <v>27.56389442406638</v>
      </c>
      <c r="DA1352" s="182"/>
      <c r="DB1352" s="169">
        <f t="shared" ref="DB1352" si="2451">LN(CZ1352/CZ1351)</f>
        <v>-2.334714674932507E-2</v>
      </c>
      <c r="DC1352" s="181">
        <v>0.04</v>
      </c>
      <c r="DD1352" s="183">
        <v>7.0000000000000001E-3</v>
      </c>
      <c r="DE1352" s="181">
        <v>1030.81</v>
      </c>
      <c r="DF1352" s="72">
        <f t="shared" si="2434"/>
        <v>162.55000000000001</v>
      </c>
      <c r="DG1352" s="169">
        <f t="shared" si="2435"/>
        <v>3.3148751169364422E-2</v>
      </c>
      <c r="DH1352" s="175">
        <v>127.25</v>
      </c>
      <c r="DI1352" s="169">
        <f t="shared" si="2425"/>
        <v>7.1325086601983473E-2</v>
      </c>
      <c r="DY1352" s="160" t="s">
        <v>240</v>
      </c>
    </row>
    <row r="1353" spans="1:129" s="160" customFormat="1" ht="21">
      <c r="E1353" s="189"/>
      <c r="F1353" s="189"/>
      <c r="H1353" s="162"/>
      <c r="I1353" s="162"/>
      <c r="N1353" s="193"/>
      <c r="W1353" s="182"/>
      <c r="X1353" s="182"/>
      <c r="Y1353" s="191"/>
      <c r="Z1353" s="182"/>
      <c r="AA1353" s="78"/>
      <c r="AB1353" s="182"/>
      <c r="AC1353" s="182"/>
      <c r="AD1353" s="182"/>
      <c r="AE1353" s="168"/>
      <c r="AF1353" s="182"/>
      <c r="AG1353" s="182"/>
      <c r="AH1353" s="182"/>
      <c r="AI1353" s="182"/>
      <c r="AJ1353" s="166">
        <f>+(AJ1350+AJ1351+AJ1352)/3</f>
        <v>813.39004833626632</v>
      </c>
      <c r="AK1353" s="168"/>
      <c r="AL1353" s="192"/>
      <c r="AM1353" s="192"/>
      <c r="AN1353" s="192"/>
      <c r="AO1353" s="115"/>
      <c r="AP1353" s="115"/>
      <c r="AQ1353" s="168"/>
      <c r="AR1353" s="115"/>
      <c r="AS1353" s="115"/>
      <c r="AT1353" s="115"/>
      <c r="AU1353" s="115"/>
      <c r="AV1353" s="175"/>
      <c r="AW1353" s="68"/>
      <c r="AX1353" s="169"/>
      <c r="AY1353" s="169"/>
      <c r="AZ1353" s="191"/>
      <c r="BA1353" s="191"/>
      <c r="BB1353" s="194"/>
      <c r="BC1353" s="194"/>
      <c r="BD1353" s="194"/>
      <c r="BE1353" s="194"/>
      <c r="BF1353" s="194"/>
      <c r="BG1353" s="194"/>
      <c r="BH1353" s="194"/>
      <c r="BI1353" s="195"/>
      <c r="BJ1353" s="195"/>
      <c r="BK1353" s="195"/>
      <c r="BL1353" s="195"/>
      <c r="BM1353" s="233"/>
      <c r="BN1353" s="195"/>
      <c r="BO1353" s="195"/>
      <c r="BP1353" s="195"/>
      <c r="BQ1353" s="195"/>
      <c r="BR1353" s="195"/>
      <c r="BS1353" s="195"/>
      <c r="BT1353" s="195"/>
      <c r="BU1353" s="195"/>
      <c r="BV1353" s="195"/>
      <c r="BW1353" s="195"/>
      <c r="BX1353" s="195"/>
      <c r="BY1353" s="195"/>
      <c r="BZ1353" s="196"/>
      <c r="CA1353" s="116"/>
      <c r="CB1353" s="175"/>
      <c r="CC1353" s="175"/>
      <c r="CD1353" s="175"/>
      <c r="CE1353" s="175"/>
      <c r="CF1353" s="113"/>
      <c r="CG1353" s="113"/>
      <c r="CH1353" s="178"/>
      <c r="CI1353" s="113"/>
      <c r="CJ1353" s="114"/>
      <c r="CK1353" s="114"/>
      <c r="CL1353" s="169"/>
      <c r="CM1353" s="169"/>
      <c r="CN1353" s="169"/>
      <c r="CO1353" s="169"/>
      <c r="CP1353" s="169"/>
      <c r="CQ1353" s="169"/>
      <c r="CR1353" s="169"/>
      <c r="CS1353" s="179"/>
      <c r="CT1353" s="175"/>
      <c r="CU1353" s="175"/>
      <c r="CV1353" s="175"/>
      <c r="CW1353" s="175"/>
      <c r="CX1353" s="175"/>
      <c r="CY1353" s="175"/>
      <c r="CZ1353" s="66"/>
      <c r="DA1353" s="66"/>
      <c r="DB1353" s="69"/>
      <c r="DC1353" s="111"/>
      <c r="DD1353" s="216"/>
      <c r="DE1353" s="111"/>
      <c r="DF1353" s="72" t="e">
        <f t="shared" si="2434"/>
        <v>#N/A</v>
      </c>
      <c r="DG1353" s="169" t="e">
        <f t="shared" si="2435"/>
        <v>#N/A</v>
      </c>
      <c r="DH1353" s="66"/>
      <c r="DI1353"/>
    </row>
    <row r="1354" spans="1:129" ht="21">
      <c r="N1354" s="38"/>
      <c r="W1354" s="70"/>
      <c r="X1354" s="70"/>
      <c r="Y1354" s="91"/>
      <c r="Z1354" s="70"/>
      <c r="AA1354" s="78"/>
      <c r="AB1354" s="70"/>
      <c r="AC1354" s="70"/>
      <c r="AD1354" s="70"/>
      <c r="AE1354" s="78"/>
      <c r="AF1354" s="70"/>
      <c r="AG1354" s="70"/>
      <c r="AH1354" s="70"/>
      <c r="AI1354" s="70"/>
      <c r="AJ1354" s="90"/>
      <c r="AK1354" s="78"/>
      <c r="AL1354" s="80"/>
      <c r="AM1354" s="80"/>
      <c r="AN1354" s="80"/>
      <c r="AO1354" s="79"/>
      <c r="AP1354" s="79"/>
      <c r="AQ1354" s="78"/>
      <c r="AR1354" s="79"/>
      <c r="AS1354" s="79"/>
      <c r="AT1354" s="79"/>
      <c r="AU1354" s="79"/>
      <c r="AV1354" s="66"/>
      <c r="AW1354" s="68"/>
      <c r="AX1354" s="69"/>
      <c r="AY1354" s="69"/>
      <c r="AZ1354" s="91"/>
      <c r="BA1354" s="91"/>
      <c r="BB1354" s="84"/>
      <c r="BC1354" s="84"/>
      <c r="BD1354" s="84"/>
      <c r="BE1354" s="84"/>
      <c r="BF1354" s="84"/>
      <c r="BG1354" s="84"/>
      <c r="BH1354" s="84"/>
      <c r="BI1354" s="83"/>
      <c r="BJ1354" s="83"/>
      <c r="BK1354" s="83"/>
      <c r="BL1354" s="83"/>
      <c r="BM1354" s="234"/>
      <c r="BN1354" s="83"/>
      <c r="BO1354" s="83"/>
      <c r="BP1354" s="83"/>
      <c r="BQ1354" s="83"/>
      <c r="BR1354" s="83"/>
      <c r="BS1354" s="83"/>
      <c r="BT1354" s="83"/>
      <c r="BU1354" s="83"/>
      <c r="BV1354" s="83"/>
      <c r="BW1354" s="83"/>
      <c r="BX1354" s="83"/>
      <c r="BY1354" s="83"/>
      <c r="BZ1354" s="83"/>
      <c r="CA1354" s="65"/>
      <c r="CB1354" s="66"/>
      <c r="CC1354" s="66"/>
      <c r="CD1354" s="66"/>
      <c r="CE1354" s="66"/>
      <c r="CF1354" s="61"/>
      <c r="CG1354" s="61"/>
      <c r="CH1354" s="67"/>
      <c r="CI1354" s="61"/>
      <c r="CJ1354" s="68"/>
      <c r="CK1354" s="68"/>
      <c r="CL1354" s="69"/>
      <c r="CM1354" s="69"/>
      <c r="CN1354" s="69"/>
      <c r="CO1354" s="69"/>
      <c r="CP1354" s="69"/>
      <c r="CQ1354" s="69"/>
      <c r="CR1354" s="69"/>
      <c r="CS1354" s="119"/>
      <c r="CT1354" s="66"/>
      <c r="CU1354" s="66"/>
      <c r="CV1354" s="66"/>
      <c r="CW1354" s="66"/>
      <c r="CX1354" s="66"/>
      <c r="CY1354" s="66"/>
      <c r="CZ1354" s="70"/>
      <c r="DA1354" s="70"/>
      <c r="DB1354" s="69"/>
      <c r="DC1354" s="111"/>
      <c r="DD1354" s="216"/>
      <c r="DE1354" s="111"/>
      <c r="DF1354" s="66"/>
      <c r="DG1354" s="69"/>
      <c r="DH1354" s="66"/>
    </row>
    <row r="1355" spans="1:129" ht="23.45">
      <c r="I1355" s="124"/>
      <c r="J1355" s="124" t="s">
        <v>241</v>
      </c>
      <c r="K1355" s="124"/>
      <c r="L1355" s="124"/>
      <c r="M1355" s="124"/>
      <c r="N1355" s="153"/>
      <c r="O1355" s="124"/>
      <c r="P1355" s="124"/>
      <c r="Q1355" s="124" t="s">
        <v>242</v>
      </c>
      <c r="R1355" s="124"/>
      <c r="S1355" s="124" t="s">
        <v>243</v>
      </c>
      <c r="T1355" s="124"/>
      <c r="U1355" s="124"/>
      <c r="V1355" s="124"/>
      <c r="W1355" s="70"/>
      <c r="X1355" s="70"/>
      <c r="Y1355" s="91"/>
      <c r="Z1355" s="70"/>
      <c r="AA1355" s="78"/>
      <c r="AB1355" s="70"/>
      <c r="AC1355" s="70"/>
      <c r="AD1355" s="70"/>
      <c r="AE1355" s="78"/>
      <c r="AF1355" s="70"/>
      <c r="AG1355" s="70"/>
      <c r="AH1355" s="70"/>
      <c r="AI1355" s="70"/>
      <c r="AJ1355" s="90"/>
      <c r="AK1355" s="78"/>
      <c r="AL1355" s="80"/>
      <c r="AM1355" s="80"/>
      <c r="AN1355" s="80"/>
      <c r="AO1355" s="79"/>
      <c r="AP1355" s="79"/>
      <c r="AQ1355" s="78"/>
      <c r="AR1355" s="79"/>
      <c r="AS1355" s="79"/>
      <c r="AT1355" s="79"/>
      <c r="AU1355" s="79"/>
      <c r="AV1355" s="66"/>
      <c r="AW1355" s="68"/>
      <c r="AX1355" s="69"/>
      <c r="AY1355" s="69"/>
      <c r="AZ1355" s="91"/>
      <c r="BA1355" s="91"/>
      <c r="BB1355" s="82"/>
      <c r="BC1355" s="82"/>
      <c r="BD1355" s="82"/>
      <c r="BE1355" s="82"/>
      <c r="BF1355" s="82"/>
      <c r="BG1355" s="82"/>
      <c r="BH1355" s="82"/>
      <c r="BI1355" s="81"/>
      <c r="BJ1355" s="81"/>
      <c r="BK1355" s="81"/>
      <c r="BL1355" s="81"/>
      <c r="BM1355" s="235"/>
      <c r="BN1355" s="81"/>
      <c r="BO1355" s="81"/>
      <c r="BP1355" s="81"/>
      <c r="BQ1355" s="81"/>
      <c r="BR1355" s="81"/>
      <c r="BS1355" s="81"/>
      <c r="BT1355" s="81"/>
      <c r="BU1355" s="81"/>
      <c r="BV1355" s="81"/>
      <c r="BW1355" s="81"/>
      <c r="BX1355" s="81"/>
      <c r="BY1355" s="81"/>
      <c r="BZ1355" s="81"/>
      <c r="CA1355" s="65"/>
      <c r="CB1355" s="66"/>
      <c r="CC1355" s="66"/>
      <c r="CD1355" s="66"/>
      <c r="CE1355" s="66"/>
      <c r="CF1355" s="61"/>
      <c r="CG1355" s="61"/>
      <c r="CH1355" s="67"/>
      <c r="CI1355" s="61"/>
      <c r="CJ1355" s="68"/>
      <c r="CK1355" s="68"/>
      <c r="CL1355" s="69"/>
      <c r="CM1355" s="69"/>
      <c r="CN1355" s="69"/>
      <c r="CO1355" s="69"/>
      <c r="CP1355" s="69"/>
      <c r="CQ1355" s="69"/>
      <c r="CR1355" s="69"/>
      <c r="CS1355" s="119"/>
      <c r="CT1355" s="66"/>
      <c r="CU1355" s="66"/>
      <c r="CV1355" s="66"/>
      <c r="CW1355" s="66"/>
      <c r="CX1355" s="66"/>
      <c r="CY1355" s="66"/>
      <c r="CZ1355" s="70"/>
      <c r="DA1355" s="70"/>
      <c r="DB1355" s="69"/>
      <c r="DC1355" s="111"/>
      <c r="DD1355" s="216"/>
      <c r="DE1355" s="111"/>
      <c r="DF1355" s="66"/>
      <c r="DG1355" s="69"/>
      <c r="DH1355" s="66"/>
    </row>
    <row r="1356" spans="1:129" ht="21">
      <c r="I1356"/>
      <c r="N1356" s="38"/>
      <c r="S1356" s="66"/>
      <c r="T1356" s="66"/>
      <c r="U1356" s="66"/>
      <c r="V1356" s="66"/>
      <c r="W1356" s="70"/>
      <c r="X1356" s="70"/>
      <c r="Y1356" s="91"/>
      <c r="Z1356" s="70"/>
      <c r="AA1356" s="78"/>
      <c r="AB1356" s="70"/>
      <c r="AC1356" s="70"/>
      <c r="AD1356" s="70"/>
      <c r="AE1356" s="78"/>
      <c r="AF1356" s="70"/>
      <c r="AG1356" s="70"/>
      <c r="AH1356" s="70"/>
      <c r="AI1356" s="70"/>
      <c r="AJ1356" s="90"/>
      <c r="AK1356" s="78"/>
      <c r="AL1356" s="80"/>
      <c r="AM1356" s="80"/>
      <c r="AN1356" s="80"/>
      <c r="AO1356" s="79"/>
      <c r="AP1356" s="79"/>
      <c r="AQ1356" s="78"/>
      <c r="AR1356" s="79"/>
      <c r="AS1356" s="79"/>
      <c r="AT1356" s="79"/>
      <c r="AU1356" s="79"/>
      <c r="AV1356" s="66"/>
      <c r="AW1356" s="68"/>
      <c r="AX1356" s="69"/>
      <c r="AY1356" s="69"/>
      <c r="AZ1356" s="91"/>
      <c r="BA1356" s="91"/>
      <c r="BB1356" s="62"/>
      <c r="BC1356" s="62"/>
      <c r="BD1356" s="62"/>
      <c r="BE1356" s="62"/>
      <c r="BF1356" s="62"/>
      <c r="BG1356" s="62"/>
      <c r="BH1356" s="62"/>
      <c r="BI1356" s="66"/>
      <c r="BJ1356" s="66"/>
      <c r="BK1356" s="66"/>
      <c r="BL1356" s="66"/>
      <c r="BM1356" s="71"/>
      <c r="BN1356" s="66"/>
      <c r="BO1356" s="66"/>
      <c r="BP1356" s="66"/>
      <c r="BQ1356" s="66"/>
      <c r="BR1356" s="66"/>
      <c r="BS1356" s="66"/>
      <c r="BT1356" s="66"/>
      <c r="BU1356" s="66"/>
      <c r="BV1356" s="66"/>
      <c r="BW1356" s="66"/>
      <c r="BX1356" s="66"/>
      <c r="BY1356" s="66"/>
      <c r="BZ1356" s="66"/>
      <c r="CA1356" s="65"/>
      <c r="CB1356" s="66"/>
      <c r="CC1356" s="66"/>
      <c r="CD1356" s="66"/>
      <c r="CE1356" s="66"/>
      <c r="CF1356" s="61"/>
      <c r="CG1356" s="61"/>
      <c r="CH1356" s="67"/>
      <c r="CI1356" s="61"/>
      <c r="CJ1356" s="68"/>
      <c r="CK1356" s="68"/>
      <c r="CL1356" s="69"/>
      <c r="CM1356" s="69"/>
      <c r="CN1356" s="69"/>
      <c r="CO1356" s="69"/>
      <c r="CP1356" s="69"/>
      <c r="CQ1356" s="69"/>
      <c r="CR1356" s="69"/>
      <c r="CS1356" s="119"/>
      <c r="CT1356" s="66"/>
      <c r="CU1356" s="66"/>
      <c r="CV1356" s="66"/>
      <c r="CW1356" s="66"/>
      <c r="CX1356" s="66"/>
      <c r="CY1356" s="66"/>
      <c r="CZ1356" s="70"/>
      <c r="DA1356" s="70"/>
      <c r="DB1356" s="69"/>
      <c r="DC1356" s="111"/>
      <c r="DD1356" s="216"/>
      <c r="DE1356" s="111"/>
      <c r="DF1356" s="66"/>
      <c r="DG1356" s="69"/>
      <c r="DH1356" s="66"/>
    </row>
    <row r="1357" spans="1:129" ht="21">
      <c r="I1357" s="66" t="s">
        <v>244</v>
      </c>
      <c r="J1357" s="66"/>
      <c r="K1357" s="66"/>
      <c r="L1357" s="66" t="s">
        <v>244</v>
      </c>
      <c r="M1357" s="66"/>
      <c r="N1357" s="64"/>
      <c r="O1357" s="66"/>
      <c r="P1357" s="66"/>
      <c r="Q1357" s="66"/>
      <c r="R1357" s="66"/>
      <c r="S1357" s="66"/>
      <c r="T1357" s="66"/>
      <c r="U1357" s="66"/>
      <c r="V1357" s="66"/>
      <c r="AA1357" s="78"/>
      <c r="AK1357" s="33"/>
      <c r="AP1357" s="79"/>
      <c r="AQ1357" s="78"/>
      <c r="AR1357" s="79"/>
      <c r="AS1357" s="79"/>
      <c r="AT1357" s="79"/>
      <c r="AU1357" s="79"/>
      <c r="AV1357" s="66"/>
      <c r="AW1357" s="68"/>
      <c r="AX1357" s="69"/>
      <c r="AY1357" s="69"/>
      <c r="AZ1357" s="91"/>
      <c r="BA1357" s="91"/>
      <c r="BB1357" s="62"/>
      <c r="BC1357" s="62"/>
      <c r="BD1357" s="62"/>
      <c r="BE1357" s="62"/>
      <c r="BF1357" s="62"/>
      <c r="BG1357" s="62"/>
      <c r="BH1357" s="62"/>
      <c r="BI1357" s="66"/>
      <c r="BJ1357" s="66"/>
      <c r="BK1357" s="66"/>
      <c r="BL1357" s="66"/>
      <c r="BM1357" s="71"/>
      <c r="BN1357" s="66"/>
      <c r="BO1357" s="66"/>
      <c r="BP1357" s="66"/>
      <c r="BQ1357" s="66"/>
      <c r="BR1357" s="66"/>
      <c r="BS1357" s="66"/>
      <c r="BT1357" s="66"/>
      <c r="BU1357" s="66"/>
      <c r="BV1357" s="66"/>
      <c r="BW1357" s="66"/>
      <c r="BX1357" s="66"/>
      <c r="BY1357" s="66"/>
      <c r="BZ1357" s="66"/>
      <c r="CA1357" s="65"/>
      <c r="CB1357" s="66"/>
      <c r="CC1357" s="66"/>
      <c r="CD1357" s="66"/>
      <c r="CE1357" s="66"/>
      <c r="CF1357" s="61"/>
      <c r="CG1357" s="61"/>
      <c r="CH1357" s="67"/>
      <c r="CI1357" s="61"/>
      <c r="CJ1357" s="68"/>
      <c r="CK1357" s="68"/>
      <c r="CL1357" s="69"/>
      <c r="CM1357" s="69"/>
      <c r="CN1357" s="69"/>
      <c r="CO1357" s="69"/>
      <c r="CP1357" s="69"/>
      <c r="CQ1357" s="69"/>
      <c r="CR1357" s="69"/>
      <c r="CS1357" s="119"/>
      <c r="CT1357" s="66"/>
      <c r="CU1357" s="66"/>
      <c r="CV1357" s="66"/>
      <c r="CW1357" s="66"/>
      <c r="CX1357" s="66"/>
      <c r="CY1357" s="66"/>
      <c r="CZ1357" s="70"/>
      <c r="DA1357" s="70"/>
      <c r="DB1357" s="69"/>
      <c r="DC1357" s="111"/>
      <c r="DD1357" s="216"/>
      <c r="DE1357" s="111"/>
      <c r="DF1357" s="66"/>
      <c r="DG1357" s="69"/>
      <c r="DH1357" s="66"/>
      <c r="DI1357" s="69"/>
    </row>
    <row r="1358" spans="1:129" ht="21">
      <c r="B1358" s="66" t="s">
        <v>245</v>
      </c>
      <c r="I1358" s="66" t="s">
        <v>246</v>
      </c>
      <c r="J1358" s="66"/>
      <c r="K1358" s="66" t="s">
        <v>247</v>
      </c>
      <c r="L1358" s="66" t="s">
        <v>246</v>
      </c>
      <c r="M1358" s="66"/>
      <c r="N1358" s="64"/>
      <c r="O1358" s="66"/>
      <c r="P1358" s="66"/>
      <c r="Q1358" s="66" t="s">
        <v>247</v>
      </c>
      <c r="R1358" s="66" t="s">
        <v>247</v>
      </c>
      <c r="S1358" s="66" t="s">
        <v>248</v>
      </c>
      <c r="T1358" s="66"/>
      <c r="U1358" s="66"/>
      <c r="V1358" s="66"/>
      <c r="AA1358" s="78"/>
      <c r="AK1358" s="33"/>
      <c r="AP1358" s="79"/>
      <c r="AQ1358" s="78"/>
      <c r="AR1358" s="79"/>
      <c r="AS1358" s="79"/>
      <c r="AT1358" s="79"/>
      <c r="AU1358" s="79"/>
      <c r="AV1358" s="66"/>
      <c r="AW1358" s="68"/>
      <c r="AX1358" s="69"/>
      <c r="AY1358" s="69"/>
      <c r="AZ1358" s="91"/>
      <c r="BA1358" s="91"/>
      <c r="BB1358" s="62"/>
      <c r="BC1358" s="62"/>
      <c r="BD1358" s="62"/>
      <c r="BE1358" s="62"/>
      <c r="BF1358" s="62"/>
      <c r="BG1358" s="62"/>
      <c r="BH1358" s="62"/>
      <c r="BI1358" s="66"/>
      <c r="BJ1358" s="66"/>
      <c r="BK1358" s="66"/>
      <c r="BL1358" s="66"/>
      <c r="BM1358" s="71"/>
      <c r="BN1358" s="66"/>
      <c r="BO1358" s="66"/>
      <c r="BP1358" s="66"/>
      <c r="BQ1358" s="66"/>
      <c r="BR1358" s="66"/>
      <c r="BS1358" s="66"/>
      <c r="BT1358" s="66"/>
      <c r="BU1358" s="66"/>
      <c r="BV1358" s="66"/>
      <c r="BW1358" s="66"/>
      <c r="BX1358" s="66"/>
      <c r="BY1358" s="66"/>
      <c r="BZ1358" s="66"/>
      <c r="CA1358" s="94"/>
      <c r="CB1358" s="66"/>
      <c r="CC1358" s="66"/>
      <c r="CD1358" s="66"/>
      <c r="CE1358" s="66"/>
      <c r="CF1358" s="77"/>
      <c r="CG1358" s="77"/>
      <c r="CH1358" s="95"/>
      <c r="CI1358" s="77"/>
      <c r="CJ1358" s="96"/>
      <c r="CK1358" s="96"/>
      <c r="CL1358" s="69"/>
      <c r="CM1358" s="69"/>
      <c r="CN1358" s="69"/>
      <c r="CO1358" s="69"/>
      <c r="CP1358" s="69"/>
      <c r="CQ1358" s="69"/>
      <c r="CR1358" s="69"/>
      <c r="CS1358" s="119"/>
      <c r="CT1358" s="66"/>
      <c r="CU1358" s="66"/>
      <c r="CV1358" s="66"/>
      <c r="CW1358" s="66"/>
      <c r="CX1358" s="66"/>
      <c r="CY1358" s="66"/>
      <c r="CZ1358" s="70"/>
      <c r="DA1358" s="70"/>
      <c r="DB1358" s="69"/>
      <c r="DC1358" s="111"/>
      <c r="DD1358" s="216"/>
      <c r="DE1358" s="111"/>
      <c r="DF1358" s="66"/>
      <c r="DG1358" s="69"/>
      <c r="DH1358" s="66"/>
      <c r="DI1358" s="69"/>
    </row>
    <row r="1359" spans="1:129" ht="21">
      <c r="G1359" s="90">
        <v>1998</v>
      </c>
      <c r="I1359" s="91"/>
      <c r="J1359" s="120">
        <v>1</v>
      </c>
      <c r="K1359" s="91">
        <v>2515.325262156442</v>
      </c>
      <c r="L1359" s="66"/>
      <c r="M1359" s="66"/>
      <c r="N1359" s="64"/>
      <c r="O1359" s="66"/>
      <c r="P1359" s="66"/>
      <c r="Q1359" s="66">
        <v>1435</v>
      </c>
      <c r="R1359" s="91">
        <f t="shared" ref="R1359:R1382" si="2452">+Q1359+K1359</f>
        <v>3950.325262156442</v>
      </c>
      <c r="S1359" s="69"/>
      <c r="T1359" s="69"/>
      <c r="U1359" s="69"/>
      <c r="V1359" s="69"/>
      <c r="AA1359" s="76"/>
      <c r="AK1359" s="33"/>
      <c r="AP1359" s="62"/>
      <c r="AQ1359" s="78"/>
      <c r="AR1359" s="79"/>
      <c r="AS1359" s="79"/>
      <c r="AT1359" s="79"/>
      <c r="AU1359" s="79"/>
      <c r="AV1359" s="66">
        <v>2020</v>
      </c>
      <c r="AW1359" s="68"/>
      <c r="AX1359" s="69">
        <v>21.439587730093177</v>
      </c>
      <c r="AY1359" s="69"/>
      <c r="AZ1359" s="91">
        <v>0.17895048597576343</v>
      </c>
      <c r="BA1359" s="91"/>
      <c r="BB1359" s="62">
        <v>363514.77220802818</v>
      </c>
      <c r="BC1359" s="62">
        <v>-0.21282146908448446</v>
      </c>
      <c r="BD1359" s="62"/>
      <c r="BE1359" s="62"/>
      <c r="BF1359" s="62"/>
      <c r="BG1359" s="62"/>
      <c r="BH1359" s="62"/>
      <c r="BI1359" s="66"/>
      <c r="BJ1359" s="66"/>
      <c r="BK1359" s="66"/>
      <c r="BL1359" s="66"/>
      <c r="BM1359" s="71"/>
      <c r="BN1359" s="66"/>
      <c r="BO1359" s="66"/>
      <c r="BP1359" s="66"/>
      <c r="BQ1359" s="66"/>
      <c r="BR1359" s="66"/>
      <c r="BS1359" s="66"/>
      <c r="BT1359" s="66"/>
      <c r="BU1359" s="66"/>
      <c r="BV1359" s="66"/>
      <c r="BW1359" s="66"/>
      <c r="BX1359" s="66"/>
      <c r="BY1359" s="66"/>
      <c r="BZ1359" s="66"/>
      <c r="CA1359" s="94"/>
      <c r="CB1359" s="66"/>
      <c r="CC1359" s="66"/>
      <c r="CD1359" s="66"/>
      <c r="CE1359" s="66"/>
      <c r="CF1359" s="77"/>
      <c r="CG1359" s="77"/>
      <c r="CH1359" s="95"/>
      <c r="CI1359" s="77"/>
      <c r="CJ1359" s="96"/>
      <c r="CK1359" s="96"/>
      <c r="CL1359" s="69"/>
      <c r="CM1359" s="69"/>
      <c r="CN1359" s="69"/>
      <c r="CO1359" s="69"/>
      <c r="CP1359" s="69"/>
      <c r="CQ1359" s="69"/>
      <c r="CR1359" s="69"/>
      <c r="CS1359" s="119"/>
      <c r="CT1359" s="66"/>
      <c r="CU1359" s="66"/>
      <c r="CV1359" s="66"/>
      <c r="CW1359" s="66"/>
      <c r="CX1359" s="66"/>
      <c r="CY1359" s="66"/>
      <c r="CZ1359" s="70"/>
      <c r="DA1359" s="70"/>
      <c r="DB1359" s="69"/>
      <c r="DC1359" s="111"/>
      <c r="DD1359" s="216"/>
      <c r="DE1359" s="111"/>
      <c r="DF1359" s="66"/>
      <c r="DG1359" s="69"/>
      <c r="DH1359" s="66"/>
      <c r="DI1359" s="69"/>
    </row>
    <row r="1360" spans="1:129" ht="21">
      <c r="G1360" s="90">
        <f>+G1359+1</f>
        <v>1999</v>
      </c>
      <c r="I1360" s="91">
        <v>135.64750960263308</v>
      </c>
      <c r="J1360" s="120">
        <v>0.99502487562189057</v>
      </c>
      <c r="K1360" s="91">
        <v>2638.4587157284459</v>
      </c>
      <c r="L1360" s="90">
        <v>72.407367830803565</v>
      </c>
      <c r="M1360" s="90"/>
      <c r="N1360" s="62"/>
      <c r="O1360" s="90"/>
      <c r="P1360" s="90"/>
      <c r="Q1360" s="91">
        <v>1500.3154454745925</v>
      </c>
      <c r="R1360" s="91">
        <f t="shared" si="2452"/>
        <v>4138.7741612030386</v>
      </c>
      <c r="S1360" s="69">
        <f>LN(R1360/R1359)</f>
        <v>4.6601727291670149E-2</v>
      </c>
      <c r="T1360" s="69"/>
      <c r="U1360" s="69"/>
      <c r="V1360" s="69"/>
      <c r="AA1360" s="76"/>
      <c r="AK1360" s="33"/>
      <c r="AP1360" s="62"/>
      <c r="AQ1360" s="78"/>
      <c r="AR1360" s="69"/>
      <c r="AS1360" s="69"/>
      <c r="AT1360" s="79"/>
      <c r="AU1360" s="79"/>
      <c r="AV1360" s="66">
        <v>2021</v>
      </c>
      <c r="AW1360" s="68"/>
      <c r="AX1360" s="69">
        <v>25.640922054930936</v>
      </c>
      <c r="AY1360" s="69"/>
      <c r="AZ1360" s="91"/>
      <c r="BA1360" s="91"/>
      <c r="BB1360" s="62">
        <v>405827.58519832609</v>
      </c>
      <c r="BC1360" s="62">
        <v>0.11010846744649747</v>
      </c>
      <c r="BD1360" s="62"/>
      <c r="BE1360" s="62"/>
      <c r="BF1360" s="62"/>
      <c r="BG1360" s="62"/>
      <c r="BH1360" s="62"/>
      <c r="BI1360" s="66"/>
      <c r="BJ1360" s="66"/>
      <c r="BK1360" s="66"/>
      <c r="BL1360" s="66"/>
      <c r="BM1360" s="71"/>
      <c r="BN1360" s="66"/>
      <c r="BO1360" s="66"/>
      <c r="BP1360" s="66"/>
      <c r="BQ1360" s="66"/>
      <c r="BR1360" s="66"/>
      <c r="BS1360" s="66"/>
      <c r="BT1360" s="66"/>
      <c r="BU1360" s="66"/>
      <c r="BV1360" s="66"/>
      <c r="BW1360" s="66"/>
      <c r="BX1360" s="66"/>
      <c r="BY1360" s="66"/>
      <c r="BZ1360" s="66"/>
      <c r="CA1360" s="94"/>
      <c r="CB1360" s="66"/>
      <c r="CC1360" s="66"/>
      <c r="CD1360" s="66"/>
      <c r="CE1360" s="66"/>
      <c r="CF1360" s="77"/>
      <c r="CG1360" s="77"/>
      <c r="CH1360" s="95"/>
      <c r="CI1360" s="77"/>
      <c r="CJ1360" s="96"/>
      <c r="CK1360" s="96"/>
      <c r="CL1360" s="69"/>
      <c r="CM1360" s="69"/>
      <c r="CN1360" s="69"/>
      <c r="CO1360" s="69"/>
      <c r="CP1360" s="69"/>
      <c r="CQ1360" s="69"/>
      <c r="CR1360" s="69"/>
      <c r="CS1360" s="119"/>
      <c r="CT1360" s="66"/>
      <c r="CU1360" s="66"/>
      <c r="CV1360" s="66"/>
      <c r="CW1360" s="66"/>
      <c r="CX1360" s="66"/>
      <c r="CY1360" s="66"/>
      <c r="CZ1360" s="70"/>
      <c r="DA1360" s="70"/>
      <c r="DB1360" s="69"/>
      <c r="DC1360" s="111"/>
      <c r="DD1360" s="216"/>
      <c r="DE1360" s="111"/>
      <c r="DF1360" s="66"/>
      <c r="DG1360" s="69"/>
      <c r="DH1360" s="66"/>
      <c r="DI1360" s="69"/>
    </row>
    <row r="1361" spans="7:113" ht="21">
      <c r="G1361" s="90">
        <f t="shared" ref="G1361:G1382" si="2453">+G1360+1</f>
        <v>2000</v>
      </c>
      <c r="I1361" s="91">
        <v>174.11581296997795</v>
      </c>
      <c r="J1361" s="120">
        <v>0.98989898989898994</v>
      </c>
      <c r="K1361" s="91">
        <v>2799.0063956168315</v>
      </c>
      <c r="L1361" s="90">
        <v>36.816042260486583</v>
      </c>
      <c r="M1361" s="90"/>
      <c r="N1361" s="62"/>
      <c r="O1361" s="90"/>
      <c r="P1361" s="90"/>
      <c r="Q1361" s="91">
        <v>1529.4153619772762</v>
      </c>
      <c r="R1361" s="91">
        <f t="shared" si="2452"/>
        <v>4328.4217575941075</v>
      </c>
      <c r="S1361" s="69">
        <f t="shared" ref="S1361:S1382" si="2454">LN(R1361/R1360)</f>
        <v>4.4803337744407895E-2</v>
      </c>
      <c r="T1361" s="69"/>
      <c r="U1361" s="69"/>
      <c r="V1361" s="69"/>
      <c r="AA1361" s="76"/>
      <c r="AK1361" s="33"/>
      <c r="AP1361" s="62"/>
      <c r="AQ1361" s="78"/>
      <c r="AR1361" s="69"/>
      <c r="AS1361" s="69"/>
      <c r="AT1361" s="79"/>
      <c r="AU1361" s="79"/>
      <c r="AV1361" s="66"/>
      <c r="AW1361" s="68"/>
      <c r="AX1361" s="69" t="s">
        <v>249</v>
      </c>
      <c r="AY1361" s="69"/>
      <c r="AZ1361" s="91"/>
      <c r="BA1361" s="91"/>
      <c r="BB1361" s="62" t="s">
        <v>250</v>
      </c>
      <c r="BC1361" s="62"/>
      <c r="BD1361" s="62"/>
      <c r="BE1361" s="62"/>
      <c r="BF1361" s="62"/>
      <c r="BG1361" s="62"/>
      <c r="BH1361" s="62"/>
      <c r="BI1361" s="66"/>
      <c r="BJ1361" s="66"/>
      <c r="BK1361" s="66"/>
      <c r="BL1361" s="66"/>
      <c r="BM1361" s="71"/>
      <c r="BN1361" s="66"/>
      <c r="BO1361" s="66"/>
      <c r="BP1361" s="66"/>
      <c r="BQ1361" s="66"/>
      <c r="BR1361" s="66"/>
      <c r="BS1361" s="66"/>
      <c r="BT1361" s="66"/>
      <c r="BU1361" s="66"/>
      <c r="BV1361" s="66"/>
      <c r="BW1361" s="66"/>
      <c r="BX1361" s="66"/>
      <c r="BY1361" s="66"/>
      <c r="BZ1361" s="66"/>
      <c r="CA1361" s="94"/>
      <c r="CB1361" s="66"/>
      <c r="CC1361" s="66"/>
      <c r="CD1361" s="66"/>
      <c r="CE1361" s="66"/>
      <c r="CF1361" s="77"/>
      <c r="CG1361" s="77"/>
      <c r="CH1361" s="95"/>
      <c r="CI1361" s="77"/>
      <c r="CJ1361" s="96"/>
      <c r="CK1361" s="96"/>
      <c r="CL1361" s="69"/>
      <c r="CM1361" s="69"/>
      <c r="CN1361" s="69"/>
      <c r="CO1361" s="69"/>
      <c r="CP1361" s="69"/>
      <c r="CQ1361" s="69"/>
      <c r="CR1361" s="69"/>
      <c r="CS1361" s="119"/>
      <c r="CT1361" s="66"/>
      <c r="CU1361" s="66"/>
      <c r="CV1361" s="66"/>
      <c r="CW1361" s="66"/>
      <c r="CX1361" s="66"/>
      <c r="CY1361" s="66"/>
      <c r="CZ1361" s="70"/>
      <c r="DA1361" s="70"/>
      <c r="DB1361" s="69"/>
      <c r="DC1361" s="111"/>
      <c r="DD1361" s="216"/>
      <c r="DE1361" s="111"/>
      <c r="DF1361" s="66"/>
      <c r="DG1361" s="69"/>
      <c r="DH1361" s="66"/>
      <c r="DI1361" s="69"/>
    </row>
    <row r="1362" spans="7:113" ht="21">
      <c r="G1362" s="90">
        <f t="shared" si="2453"/>
        <v>2001</v>
      </c>
      <c r="I1362" s="91">
        <v>291.67000742517013</v>
      </c>
      <c r="J1362" s="120">
        <v>0.98461538461538467</v>
      </c>
      <c r="K1362" s="91">
        <v>3076.6911035640669</v>
      </c>
      <c r="L1362" s="90">
        <v>65.964557407293057</v>
      </c>
      <c r="M1362" s="90"/>
      <c r="N1362" s="62"/>
      <c r="O1362" s="90"/>
      <c r="P1362" s="90"/>
      <c r="Q1362" s="91">
        <v>1587.4265423147135</v>
      </c>
      <c r="R1362" s="91">
        <f t="shared" si="2452"/>
        <v>4664.1176458787804</v>
      </c>
      <c r="S1362" s="69">
        <f t="shared" si="2454"/>
        <v>7.4695687566397162E-2</v>
      </c>
      <c r="T1362" s="69"/>
      <c r="U1362" s="69"/>
      <c r="V1362" s="69"/>
      <c r="AA1362" s="76"/>
      <c r="AK1362" s="33"/>
      <c r="AP1362" s="62"/>
      <c r="AQ1362" s="78"/>
      <c r="AR1362" s="69"/>
      <c r="AS1362" s="69"/>
      <c r="AT1362" s="79"/>
      <c r="AU1362" s="79"/>
      <c r="AV1362" s="66"/>
      <c r="AW1362" s="68"/>
      <c r="AX1362" s="69" t="s">
        <v>251</v>
      </c>
      <c r="AY1362" s="69"/>
      <c r="AZ1362" s="91" t="s">
        <v>244</v>
      </c>
      <c r="BA1362" s="91"/>
      <c r="BB1362" s="62" t="s">
        <v>244</v>
      </c>
      <c r="BC1362" s="62"/>
      <c r="BD1362" s="62"/>
      <c r="BE1362" s="62"/>
      <c r="BF1362" s="62"/>
      <c r="BG1362" s="62"/>
      <c r="BH1362" s="62"/>
      <c r="BI1362" s="66"/>
      <c r="BJ1362" s="66"/>
      <c r="BK1362" s="66"/>
      <c r="BL1362" s="66"/>
      <c r="BM1362" s="71"/>
      <c r="BN1362" s="66"/>
      <c r="BO1362" s="66"/>
      <c r="BP1362" s="66"/>
      <c r="BQ1362" s="66"/>
      <c r="BR1362" s="66"/>
      <c r="BS1362" s="66"/>
      <c r="BT1362" s="66"/>
      <c r="BU1362" s="66"/>
      <c r="BV1362" s="66"/>
      <c r="BW1362" s="66"/>
      <c r="BX1362" s="66"/>
      <c r="BY1362" s="66"/>
      <c r="BZ1362" s="66"/>
      <c r="CA1362" s="94"/>
      <c r="CB1362" s="66"/>
      <c r="CC1362" s="66"/>
      <c r="CD1362" s="66"/>
      <c r="CE1362" s="66"/>
      <c r="CF1362" s="77"/>
      <c r="CG1362" s="77"/>
      <c r="CH1362" s="95"/>
      <c r="CI1362" s="77"/>
      <c r="CJ1362" s="96"/>
      <c r="CK1362" s="96"/>
      <c r="CL1362" s="69"/>
      <c r="CM1362" s="69"/>
      <c r="CN1362" s="69"/>
      <c r="CO1362" s="69"/>
      <c r="CP1362" s="69"/>
      <c r="CQ1362" s="69"/>
      <c r="CR1362" s="69"/>
      <c r="CS1362" s="119"/>
      <c r="CT1362" s="66"/>
      <c r="CU1362" s="66"/>
      <c r="CV1362" s="66"/>
      <c r="CW1362" s="66"/>
      <c r="CX1362" s="66"/>
      <c r="CY1362" s="66"/>
      <c r="CZ1362" s="70"/>
      <c r="DA1362" s="70"/>
      <c r="DB1362" s="69"/>
      <c r="DC1362" s="111"/>
      <c r="DD1362" s="216"/>
      <c r="DE1362" s="111"/>
      <c r="DF1362" s="66"/>
      <c r="DG1362" s="69"/>
      <c r="DH1362" s="66"/>
      <c r="DI1362" s="69"/>
    </row>
    <row r="1363" spans="7:113" ht="21">
      <c r="G1363" s="90">
        <f t="shared" si="2453"/>
        <v>2002</v>
      </c>
      <c r="I1363" s="91">
        <v>276.44252682742581</v>
      </c>
      <c r="J1363" s="120">
        <v>0.97916666666666663</v>
      </c>
      <c r="K1363" s="91">
        <v>3335.5017844404128</v>
      </c>
      <c r="L1363" s="90">
        <v>57.902604701179577</v>
      </c>
      <c r="M1363" s="90"/>
      <c r="N1363" s="62"/>
      <c r="O1363" s="90"/>
      <c r="P1363" s="90"/>
      <c r="Q1363" s="91">
        <v>1636.4273442586139</v>
      </c>
      <c r="R1363" s="91">
        <f t="shared" si="2452"/>
        <v>4971.9291286990265</v>
      </c>
      <c r="S1363" s="69">
        <f t="shared" si="2454"/>
        <v>6.3909246488727617E-2</v>
      </c>
      <c r="T1363" s="69"/>
      <c r="U1363" s="69"/>
      <c r="V1363" s="69"/>
      <c r="AA1363" s="76"/>
      <c r="AK1363" s="33"/>
      <c r="AP1363" s="62"/>
      <c r="AQ1363" s="78"/>
      <c r="AR1363" s="69"/>
      <c r="AS1363" s="69"/>
      <c r="AT1363" s="79"/>
      <c r="AU1363" s="79"/>
      <c r="AV1363" s="66">
        <v>2005</v>
      </c>
      <c r="AW1363" s="68"/>
      <c r="AX1363" s="69">
        <v>48453.794659181673</v>
      </c>
      <c r="AY1363" s="69"/>
      <c r="AZ1363" s="91">
        <v>488.69182712235676</v>
      </c>
      <c r="BA1363" s="91"/>
      <c r="BB1363" s="62">
        <v>569.3205705697178</v>
      </c>
      <c r="BC1363" s="62"/>
      <c r="BD1363" s="62"/>
      <c r="BE1363" s="62"/>
      <c r="BF1363" s="62"/>
      <c r="BG1363" s="62"/>
      <c r="BH1363" s="62"/>
      <c r="BI1363" s="66"/>
      <c r="BJ1363" s="66"/>
      <c r="BK1363" s="66"/>
      <c r="BL1363" s="66"/>
      <c r="BM1363" s="71"/>
      <c r="BN1363" s="66"/>
      <c r="BO1363" s="66"/>
      <c r="BP1363" s="66"/>
      <c r="BQ1363" s="66"/>
      <c r="BR1363" s="66"/>
      <c r="BS1363" s="66"/>
      <c r="BT1363" s="66"/>
      <c r="BU1363" s="66"/>
      <c r="BV1363" s="66"/>
      <c r="BW1363" s="66"/>
      <c r="BX1363" s="66"/>
      <c r="BY1363" s="66"/>
      <c r="BZ1363" s="66"/>
      <c r="CA1363" s="94"/>
      <c r="CB1363" s="66"/>
      <c r="CC1363" s="66"/>
      <c r="CD1363" s="66"/>
      <c r="CE1363" s="66"/>
      <c r="CF1363" s="77"/>
      <c r="CG1363" s="77"/>
      <c r="CH1363" s="95"/>
      <c r="CI1363" s="77"/>
      <c r="CJ1363" s="96"/>
      <c r="CK1363" s="96"/>
      <c r="CL1363" s="69"/>
      <c r="CM1363" s="69"/>
      <c r="CN1363" s="69"/>
      <c r="CO1363" s="69"/>
      <c r="CP1363" s="69"/>
      <c r="CQ1363" s="69"/>
      <c r="CR1363" s="69"/>
      <c r="CS1363" s="119"/>
      <c r="CT1363" s="66"/>
      <c r="CU1363" s="66"/>
      <c r="CV1363" s="66"/>
      <c r="CW1363" s="66"/>
      <c r="CX1363" s="66"/>
      <c r="CY1363" s="66"/>
      <c r="CZ1363" s="70"/>
      <c r="DA1363" s="70"/>
      <c r="DB1363" s="69"/>
      <c r="DC1363" s="111"/>
      <c r="DD1363" s="216"/>
      <c r="DE1363" s="111"/>
      <c r="DF1363" s="66"/>
      <c r="DG1363" s="69"/>
      <c r="DH1363" s="66"/>
      <c r="DI1363" s="69"/>
    </row>
    <row r="1364" spans="7:113" ht="21">
      <c r="G1364" s="90">
        <f t="shared" si="2453"/>
        <v>2003</v>
      </c>
      <c r="I1364" s="91">
        <v>117.06970589690225</v>
      </c>
      <c r="J1364" s="120">
        <v>0.97354497354497349</v>
      </c>
      <c r="K1364" s="91">
        <v>3433.9016362813663</v>
      </c>
      <c r="L1364" s="90">
        <v>31.652099496069415</v>
      </c>
      <c r="M1364" s="90"/>
      <c r="N1364" s="62"/>
      <c r="O1364" s="90"/>
      <c r="P1364" s="90"/>
      <c r="Q1364" s="91">
        <v>1658.7967982277257</v>
      </c>
      <c r="R1364" s="91">
        <f t="shared" si="2452"/>
        <v>5092.6984345090923</v>
      </c>
      <c r="S1364" s="69">
        <f t="shared" si="2454"/>
        <v>2.3999914926112028E-2</v>
      </c>
      <c r="T1364" s="69"/>
      <c r="U1364" s="69"/>
      <c r="V1364" s="69"/>
      <c r="AA1364" s="76"/>
      <c r="AK1364" s="33"/>
      <c r="AP1364" s="62"/>
      <c r="AQ1364" s="78"/>
      <c r="AR1364" s="69"/>
      <c r="AS1364" s="69"/>
      <c r="AT1364" s="79"/>
      <c r="AU1364" s="79"/>
      <c r="AV1364" s="66">
        <v>2006</v>
      </c>
      <c r="AW1364" s="68"/>
      <c r="AX1364" s="69">
        <v>47097.487617277686</v>
      </c>
      <c r="AY1364" s="69"/>
      <c r="AZ1364" s="91">
        <v>461.51384240350501</v>
      </c>
      <c r="BA1364" s="91"/>
      <c r="BB1364" s="62">
        <v>547.86541934315596</v>
      </c>
      <c r="BC1364" s="62">
        <v>-3.8413996750207992E-2</v>
      </c>
      <c r="BD1364" s="62"/>
      <c r="BE1364" s="62"/>
      <c r="BF1364" s="62"/>
      <c r="BG1364" s="62"/>
      <c r="BH1364" s="62"/>
      <c r="BI1364" s="66"/>
      <c r="BJ1364" s="66"/>
      <c r="BK1364" s="66"/>
      <c r="BL1364" s="66"/>
      <c r="BM1364" s="71"/>
      <c r="BN1364" s="66"/>
      <c r="BO1364" s="66"/>
      <c r="BP1364" s="66"/>
      <c r="BQ1364" s="66"/>
      <c r="BR1364" s="66"/>
      <c r="BS1364" s="66"/>
      <c r="BT1364" s="66"/>
      <c r="BU1364" s="66"/>
      <c r="BV1364" s="66"/>
      <c r="BW1364" s="66"/>
      <c r="BX1364" s="66"/>
      <c r="BY1364" s="66"/>
      <c r="BZ1364" s="66"/>
      <c r="CA1364" s="94"/>
      <c r="CB1364" s="66"/>
      <c r="CC1364" s="66"/>
      <c r="CD1364" s="66"/>
      <c r="CE1364" s="66"/>
      <c r="CF1364" s="77"/>
      <c r="CG1364" s="77"/>
      <c r="CH1364" s="95"/>
      <c r="CI1364" s="77"/>
      <c r="CJ1364" s="96"/>
      <c r="CK1364" s="96"/>
      <c r="CL1364" s="69"/>
      <c r="CM1364" s="69"/>
      <c r="CN1364" s="69"/>
      <c r="CO1364" s="69"/>
      <c r="CP1364" s="69"/>
      <c r="CQ1364" s="69"/>
      <c r="CR1364" s="69"/>
      <c r="CS1364" s="119"/>
      <c r="CT1364" s="66"/>
      <c r="CU1364" s="66"/>
      <c r="CV1364" s="66"/>
      <c r="CW1364" s="66"/>
      <c r="CX1364" s="66"/>
      <c r="CY1364" s="66"/>
      <c r="CZ1364" s="70"/>
      <c r="DA1364" s="70"/>
      <c r="DB1364" s="69"/>
      <c r="DC1364" s="111"/>
      <c r="DD1364" s="216"/>
      <c r="DE1364" s="111"/>
      <c r="DF1364" s="66"/>
      <c r="DG1364" s="69"/>
      <c r="DH1364" s="66"/>
      <c r="DI1364" s="69"/>
    </row>
    <row r="1365" spans="7:113" ht="21">
      <c r="G1365" s="90">
        <f t="shared" si="2453"/>
        <v>2004</v>
      </c>
      <c r="I1365" s="91">
        <v>151.83886442642586</v>
      </c>
      <c r="J1365" s="120">
        <v>0.967741935483871</v>
      </c>
      <c r="K1365" s="91">
        <v>3565.8921775069389</v>
      </c>
      <c r="L1365" s="90">
        <v>28.39326025371923</v>
      </c>
      <c r="M1365" s="90"/>
      <c r="N1365" s="62"/>
      <c r="O1365" s="90"/>
      <c r="P1365" s="90"/>
      <c r="Q1365" s="91">
        <v>1677.4519643519259</v>
      </c>
      <c r="R1365" s="91">
        <f t="shared" si="2452"/>
        <v>5243.3441418588645</v>
      </c>
      <c r="S1365" s="69">
        <f t="shared" si="2454"/>
        <v>2.9151655394424523E-2</v>
      </c>
      <c r="T1365" s="69"/>
      <c r="U1365" s="69"/>
      <c r="V1365" s="69"/>
      <c r="AA1365" s="76"/>
      <c r="AK1365" s="33"/>
      <c r="AP1365" s="62"/>
      <c r="AQ1365" s="78"/>
      <c r="AR1365" s="69"/>
      <c r="AS1365" s="69"/>
      <c r="AT1365" s="79"/>
      <c r="AU1365" s="79"/>
      <c r="AV1365" s="66">
        <v>2007</v>
      </c>
      <c r="AW1365" s="68"/>
      <c r="AX1365" s="69">
        <v>51194.205229452702</v>
      </c>
      <c r="AY1365" s="69"/>
      <c r="AZ1365" s="91">
        <v>486.52131365600093</v>
      </c>
      <c r="BA1365" s="91"/>
      <c r="BB1365" s="62">
        <v>568.81912043107559</v>
      </c>
      <c r="BC1365" s="62">
        <v>3.7532821662380249E-2</v>
      </c>
      <c r="BD1365" s="62"/>
      <c r="BE1365" s="62"/>
      <c r="BF1365" s="62"/>
      <c r="BG1365" s="62"/>
      <c r="BH1365" s="62"/>
      <c r="BI1365" s="66"/>
      <c r="BJ1365" s="66"/>
      <c r="BK1365" s="66"/>
      <c r="BL1365" s="66"/>
      <c r="BM1365" s="71"/>
      <c r="BN1365" s="66"/>
      <c r="BO1365" s="66"/>
      <c r="BP1365" s="66"/>
      <c r="BQ1365" s="66"/>
      <c r="BR1365" s="66"/>
      <c r="BS1365" s="66"/>
      <c r="BT1365" s="66"/>
      <c r="BU1365" s="66"/>
      <c r="BV1365" s="66"/>
      <c r="BW1365" s="66"/>
      <c r="BX1365" s="66"/>
      <c r="BY1365" s="66"/>
      <c r="BZ1365" s="66"/>
      <c r="CA1365" s="94"/>
      <c r="CB1365" s="66"/>
      <c r="CC1365" s="66"/>
      <c r="CD1365" s="66"/>
      <c r="CE1365" s="66"/>
      <c r="CF1365" s="77"/>
      <c r="CG1365" s="77"/>
      <c r="CH1365" s="95"/>
      <c r="CI1365" s="77"/>
      <c r="CJ1365" s="96"/>
      <c r="CK1365" s="96"/>
      <c r="CL1365" s="69"/>
      <c r="CM1365" s="69"/>
      <c r="CN1365" s="69"/>
      <c r="CO1365" s="69"/>
      <c r="CP1365" s="69"/>
      <c r="CQ1365" s="69"/>
      <c r="CR1365" s="69"/>
      <c r="CS1365" s="119"/>
      <c r="CT1365" s="66"/>
      <c r="CU1365" s="66"/>
      <c r="CV1365" s="66"/>
      <c r="CW1365" s="66"/>
      <c r="CX1365" s="66"/>
      <c r="CY1365" s="66"/>
      <c r="CZ1365" s="70"/>
      <c r="DA1365" s="70"/>
      <c r="DB1365" s="69"/>
      <c r="DC1365" s="111"/>
      <c r="DD1365" s="216"/>
      <c r="DE1365" s="111"/>
      <c r="DF1365" s="66"/>
      <c r="DG1365" s="69"/>
      <c r="DH1365" s="66"/>
      <c r="DI1365" s="69"/>
    </row>
    <row r="1366" spans="7:113" ht="21">
      <c r="G1366" s="90">
        <f t="shared" si="2453"/>
        <v>2005</v>
      </c>
      <c r="I1366" s="91">
        <v>67.578117273802107</v>
      </c>
      <c r="J1366" s="120">
        <v>0.96174863387978138</v>
      </c>
      <c r="K1366" s="91">
        <v>3612.2238545530709</v>
      </c>
      <c r="L1366" s="90">
        <v>21.32755833098706</v>
      </c>
      <c r="M1366" s="90"/>
      <c r="N1366" s="62"/>
      <c r="O1366" s="90"/>
      <c r="P1366" s="90"/>
      <c r="Q1366" s="91">
        <v>1688.5828364666197</v>
      </c>
      <c r="R1366" s="91">
        <f t="shared" si="2452"/>
        <v>5300.8066910196903</v>
      </c>
      <c r="S1366" s="69">
        <f t="shared" si="2454"/>
        <v>1.0899525044361348E-2</v>
      </c>
      <c r="T1366" s="69"/>
      <c r="U1366" s="69"/>
      <c r="V1366" s="69"/>
      <c r="AA1366" s="76"/>
      <c r="AK1366" s="33"/>
      <c r="AP1366" s="62"/>
      <c r="AQ1366" s="78"/>
      <c r="AR1366" s="69"/>
      <c r="AS1366" s="69"/>
      <c r="AT1366" s="79"/>
      <c r="AU1366" s="79"/>
      <c r="AV1366" s="66">
        <v>2008</v>
      </c>
      <c r="AW1366" s="68"/>
      <c r="AX1366" s="69">
        <v>61066.144356486991</v>
      </c>
      <c r="AY1366" s="69"/>
      <c r="AZ1366" s="91">
        <v>564.25173810567799</v>
      </c>
      <c r="BA1366" s="91"/>
      <c r="BB1366" s="62">
        <v>656.1238148465352</v>
      </c>
      <c r="BC1366" s="62">
        <v>0.14278701996943932</v>
      </c>
      <c r="BD1366" s="62"/>
      <c r="BE1366" s="62"/>
      <c r="BF1366" s="62"/>
      <c r="BG1366" s="62"/>
      <c r="BH1366" s="62"/>
      <c r="BI1366" s="66"/>
      <c r="BJ1366" s="66"/>
      <c r="BK1366" s="66"/>
      <c r="BL1366" s="66"/>
      <c r="BM1366" s="71"/>
      <c r="BN1366" s="66"/>
      <c r="BO1366" s="66"/>
      <c r="BP1366" s="66"/>
      <c r="BQ1366" s="66"/>
      <c r="BR1366" s="66"/>
      <c r="BS1366" s="66"/>
      <c r="BT1366" s="66"/>
      <c r="BU1366" s="66"/>
      <c r="BV1366" s="66"/>
      <c r="BW1366" s="66"/>
      <c r="BX1366" s="66"/>
      <c r="BY1366" s="66"/>
      <c r="BZ1366" s="66"/>
      <c r="CA1366" s="94"/>
      <c r="CB1366" s="66"/>
      <c r="CC1366" s="66"/>
      <c r="CD1366" s="66"/>
      <c r="CE1366" s="66"/>
      <c r="CF1366" s="77"/>
      <c r="CG1366" s="77"/>
      <c r="CH1366" s="95"/>
      <c r="CI1366" s="77"/>
      <c r="CJ1366" s="96"/>
      <c r="CK1366" s="96"/>
      <c r="CL1366" s="69"/>
      <c r="CM1366" s="69"/>
      <c r="CN1366" s="69"/>
      <c r="CO1366" s="69"/>
      <c r="CP1366" s="69"/>
      <c r="CQ1366" s="69"/>
      <c r="CR1366" s="69"/>
      <c r="CS1366" s="119"/>
      <c r="CT1366" s="66"/>
      <c r="CU1366" s="66"/>
      <c r="CV1366" s="66"/>
      <c r="CW1366" s="66"/>
      <c r="CX1366" s="66"/>
      <c r="CY1366" s="66"/>
      <c r="CZ1366" s="70"/>
      <c r="DA1366" s="70"/>
      <c r="DB1366" s="69"/>
      <c r="DC1366" s="111"/>
      <c r="DD1366" s="216"/>
      <c r="DE1366" s="111"/>
      <c r="DF1366" s="66"/>
      <c r="DG1366" s="69"/>
      <c r="DH1366" s="66"/>
      <c r="DI1366" s="69"/>
    </row>
    <row r="1367" spans="7:113" ht="21">
      <c r="G1367" s="90">
        <f t="shared" si="2453"/>
        <v>2006</v>
      </c>
      <c r="I1367" s="91">
        <v>136.75549627620401</v>
      </c>
      <c r="J1367" s="120">
        <v>0.9555555555555556</v>
      </c>
      <c r="K1367" s="91">
        <v>3726.6993623883318</v>
      </c>
      <c r="L1367" s="90">
        <v>19.362995920355704</v>
      </c>
      <c r="M1367" s="90"/>
      <c r="N1367" s="62"/>
      <c r="O1367" s="90"/>
      <c r="P1367" s="90"/>
      <c r="Q1367" s="91">
        <v>1697.3056534782054</v>
      </c>
      <c r="R1367" s="91">
        <f t="shared" si="2452"/>
        <v>5424.0050158665372</v>
      </c>
      <c r="S1367" s="69">
        <f t="shared" si="2454"/>
        <v>2.2975460563109687E-2</v>
      </c>
      <c r="T1367" s="69"/>
      <c r="U1367" s="69"/>
      <c r="V1367" s="69"/>
      <c r="AA1367" s="76"/>
      <c r="AK1367" s="33"/>
      <c r="AP1367" s="62"/>
      <c r="AQ1367" s="78"/>
      <c r="AR1367" s="69"/>
      <c r="AS1367" s="69"/>
      <c r="AT1367" s="79"/>
      <c r="AU1367" s="79"/>
      <c r="AV1367" s="66">
        <v>2009</v>
      </c>
      <c r="AW1367" s="68"/>
      <c r="AX1367" s="69">
        <v>62815.012135447134</v>
      </c>
      <c r="AY1367" s="69"/>
      <c r="AZ1367" s="91">
        <v>572.21600669958673</v>
      </c>
      <c r="BA1367" s="91"/>
      <c r="BB1367" s="62">
        <v>673.9007353920689</v>
      </c>
      <c r="BC1367" s="62">
        <v>2.6733309920997872E-2</v>
      </c>
      <c r="BD1367" s="62"/>
      <c r="BE1367" s="62"/>
      <c r="BF1367" s="62"/>
      <c r="BG1367" s="62"/>
      <c r="BH1367" s="62"/>
      <c r="BI1367" s="66"/>
      <c r="BJ1367" s="66"/>
      <c r="BK1367" s="66"/>
      <c r="BL1367" s="66"/>
      <c r="BM1367" s="71"/>
      <c r="BN1367" s="66"/>
      <c r="BO1367" s="66"/>
      <c r="BP1367" s="66"/>
      <c r="BQ1367" s="66"/>
      <c r="BR1367" s="66"/>
      <c r="BS1367" s="66"/>
      <c r="BT1367" s="66"/>
      <c r="BU1367" s="66"/>
      <c r="BV1367" s="66"/>
      <c r="BW1367" s="66"/>
      <c r="BX1367" s="66"/>
      <c r="BY1367" s="66"/>
      <c r="BZ1367" s="66"/>
      <c r="CA1367" s="94"/>
      <c r="CB1367" s="66"/>
      <c r="CC1367" s="66"/>
      <c r="CD1367" s="66"/>
      <c r="CE1367" s="66"/>
      <c r="CF1367" s="77"/>
      <c r="CG1367" s="77"/>
      <c r="CH1367" s="95"/>
      <c r="CI1367" s="77"/>
      <c r="CJ1367" s="96"/>
      <c r="CK1367" s="96"/>
      <c r="CL1367" s="69"/>
      <c r="CM1367" s="69"/>
      <c r="CN1367" s="69"/>
      <c r="CO1367" s="69"/>
      <c r="CP1367" s="69"/>
      <c r="CQ1367" s="69"/>
      <c r="CR1367" s="69"/>
      <c r="CS1367" s="119"/>
      <c r="CT1367" s="66"/>
      <c r="CU1367" s="66"/>
      <c r="CV1367" s="66"/>
      <c r="CW1367" s="66"/>
      <c r="CX1367" s="66"/>
      <c r="CY1367" s="66"/>
      <c r="CZ1367" s="70"/>
      <c r="DA1367" s="70"/>
      <c r="DB1367" s="69"/>
      <c r="DC1367" s="111"/>
      <c r="DD1367" s="216"/>
      <c r="DE1367" s="111"/>
      <c r="DF1367" s="66"/>
      <c r="DG1367" s="69"/>
      <c r="DH1367" s="66"/>
      <c r="DI1367" s="69"/>
    </row>
    <row r="1368" spans="7:113" ht="21">
      <c r="G1368" s="90">
        <f t="shared" si="2453"/>
        <v>2007</v>
      </c>
      <c r="I1368" s="91">
        <v>101.31272923312103</v>
      </c>
      <c r="J1368" s="120">
        <v>0.94915254237288138</v>
      </c>
      <c r="K1368" s="91">
        <v>3804.3092696265567</v>
      </c>
      <c r="L1368" s="90">
        <v>26.994774294634517</v>
      </c>
      <c r="M1368" s="90"/>
      <c r="N1368" s="62"/>
      <c r="O1368" s="90"/>
      <c r="P1368" s="90"/>
      <c r="Q1368" s="91">
        <v>1713.2062812172335</v>
      </c>
      <c r="R1368" s="91">
        <f t="shared" si="2452"/>
        <v>5517.5155508437902</v>
      </c>
      <c r="S1368" s="69">
        <f t="shared" si="2454"/>
        <v>1.7093202211282292E-2</v>
      </c>
      <c r="T1368" s="69"/>
      <c r="U1368" s="69"/>
      <c r="V1368" s="69"/>
      <c r="AA1368" s="76"/>
      <c r="AK1368" s="33"/>
      <c r="AP1368" s="62"/>
      <c r="AQ1368" s="78"/>
      <c r="AR1368" s="69"/>
      <c r="AS1368" s="69"/>
      <c r="AT1368" s="79"/>
      <c r="AU1368" s="79"/>
      <c r="AV1368" s="66">
        <v>2010</v>
      </c>
      <c r="AW1368" s="68"/>
      <c r="AX1368" s="69">
        <v>60317.766891114254</v>
      </c>
      <c r="AY1368" s="69"/>
      <c r="AZ1368" s="91">
        <v>539.15322360772518</v>
      </c>
      <c r="BA1368" s="91"/>
      <c r="BB1368" s="62">
        <v>635.34132795497476</v>
      </c>
      <c r="BC1368" s="62">
        <v>-5.8920444382861904E-2</v>
      </c>
      <c r="BD1368" s="62"/>
      <c r="BE1368" s="62"/>
      <c r="BF1368" s="62"/>
      <c r="BG1368" s="62"/>
      <c r="BH1368" s="62"/>
      <c r="BI1368" s="66"/>
      <c r="BJ1368" s="66"/>
      <c r="BK1368" s="66"/>
      <c r="BL1368" s="66"/>
      <c r="BM1368" s="71"/>
      <c r="BN1368" s="66"/>
      <c r="BO1368" s="66"/>
      <c r="BP1368" s="66"/>
      <c r="BQ1368" s="66"/>
      <c r="BR1368" s="66"/>
      <c r="BS1368" s="66"/>
      <c r="BT1368" s="66"/>
      <c r="BU1368" s="66"/>
      <c r="BV1368" s="66"/>
      <c r="BW1368" s="66"/>
      <c r="BX1368" s="66"/>
      <c r="BY1368" s="66"/>
      <c r="BZ1368" s="66"/>
      <c r="CA1368" s="94"/>
      <c r="CB1368" s="66"/>
      <c r="CC1368" s="66"/>
      <c r="CD1368" s="66"/>
      <c r="CE1368" s="66"/>
      <c r="CF1368" s="77"/>
      <c r="CG1368" s="77"/>
      <c r="CH1368" s="95"/>
      <c r="CI1368" s="77"/>
      <c r="CJ1368" s="96"/>
      <c r="CK1368" s="96"/>
      <c r="CL1368" s="69"/>
      <c r="CM1368" s="69"/>
      <c r="CN1368" s="69"/>
      <c r="CO1368" s="69"/>
      <c r="CP1368" s="69"/>
      <c r="CQ1368" s="69"/>
      <c r="CR1368" s="69"/>
      <c r="CS1368" s="119"/>
      <c r="CT1368" s="66"/>
      <c r="CU1368" s="66"/>
      <c r="CV1368" s="66"/>
      <c r="CW1368" s="66"/>
      <c r="CX1368" s="66"/>
      <c r="CY1368" s="66"/>
      <c r="CZ1368" s="70"/>
      <c r="DA1368" s="70"/>
      <c r="DB1368" s="69"/>
      <c r="DC1368" s="111"/>
      <c r="DD1368" s="216"/>
      <c r="DE1368" s="111"/>
      <c r="DF1368" s="66"/>
      <c r="DG1368" s="69"/>
      <c r="DH1368" s="66"/>
      <c r="DI1368" s="69"/>
    </row>
    <row r="1369" spans="7:113" ht="21">
      <c r="G1369" s="90">
        <f t="shared" si="2453"/>
        <v>2008</v>
      </c>
      <c r="I1369" s="91">
        <v>138.34988685112313</v>
      </c>
      <c r="J1369" s="120">
        <v>0.94252873563218387</v>
      </c>
      <c r="K1369" s="91">
        <v>3917.651439884808</v>
      </c>
      <c r="L1369" s="90">
        <v>21.50272710923814</v>
      </c>
      <c r="M1369" s="90"/>
      <c r="N1369" s="62"/>
      <c r="O1369" s="90"/>
      <c r="P1369" s="90"/>
      <c r="Q1369" s="91">
        <v>1723.1016572495478</v>
      </c>
      <c r="R1369" s="91">
        <f t="shared" si="2452"/>
        <v>5640.7530971343558</v>
      </c>
      <c r="S1369" s="69">
        <f t="shared" si="2454"/>
        <v>2.2089906853513364E-2</v>
      </c>
      <c r="T1369" s="69"/>
      <c r="U1369" s="69"/>
      <c r="V1369" s="69"/>
      <c r="AA1369" s="76"/>
      <c r="AK1369" s="33"/>
      <c r="AP1369" s="62"/>
      <c r="AQ1369" s="78"/>
      <c r="AR1369" s="69"/>
      <c r="AS1369" s="69"/>
      <c r="AT1369" s="79"/>
      <c r="AU1369" s="79"/>
      <c r="AV1369" s="66">
        <v>2011</v>
      </c>
      <c r="AW1369" s="68"/>
      <c r="AX1369" s="69">
        <v>63731.618385797934</v>
      </c>
      <c r="AY1369" s="69"/>
      <c r="AZ1369" s="91">
        <v>557.58196313034068</v>
      </c>
      <c r="BA1369" s="91"/>
      <c r="BB1369" s="62">
        <v>650.79544939205402</v>
      </c>
      <c r="BC1369" s="62">
        <v>2.4033004174302836E-2</v>
      </c>
      <c r="BD1369" s="62"/>
      <c r="BE1369" s="62"/>
      <c r="BF1369" s="62"/>
      <c r="BG1369" s="62"/>
      <c r="BH1369" s="62"/>
      <c r="BI1369" s="66"/>
      <c r="BJ1369" s="66"/>
      <c r="BK1369" s="66"/>
      <c r="BL1369" s="66"/>
      <c r="BM1369" s="71"/>
      <c r="BN1369" s="66"/>
      <c r="BO1369" s="66"/>
      <c r="BP1369" s="66"/>
      <c r="BQ1369" s="66"/>
      <c r="BR1369" s="66"/>
      <c r="BS1369" s="66"/>
      <c r="BT1369" s="66"/>
      <c r="BU1369" s="66"/>
      <c r="BV1369" s="66"/>
      <c r="BW1369" s="66"/>
      <c r="BX1369" s="66"/>
      <c r="BY1369" s="66"/>
      <c r="BZ1369" s="66"/>
      <c r="CA1369" s="94"/>
      <c r="CB1369" s="66"/>
      <c r="CC1369" s="66"/>
      <c r="CD1369" s="66"/>
      <c r="CE1369" s="66"/>
      <c r="CF1369" s="77"/>
      <c r="CG1369" s="77"/>
      <c r="CH1369" s="95"/>
      <c r="CI1369" s="77"/>
      <c r="CJ1369" s="96"/>
      <c r="CK1369" s="96"/>
      <c r="CL1369" s="69"/>
      <c r="CM1369" s="69"/>
      <c r="CN1369" s="69"/>
      <c r="CO1369" s="69"/>
      <c r="CP1369" s="69"/>
      <c r="CQ1369" s="69"/>
      <c r="CR1369" s="69"/>
      <c r="CS1369" s="119"/>
      <c r="CT1369" s="66"/>
      <c r="CU1369" s="66"/>
      <c r="CV1369" s="66"/>
      <c r="CW1369" s="66"/>
      <c r="CX1369" s="66"/>
      <c r="CY1369" s="66"/>
      <c r="CZ1369" s="70"/>
      <c r="DA1369" s="70"/>
      <c r="DB1369" s="69"/>
      <c r="DC1369" s="111"/>
      <c r="DD1369" s="216"/>
      <c r="DE1369" s="111"/>
      <c r="DF1369" s="66"/>
      <c r="DG1369" s="69"/>
      <c r="DH1369" s="66"/>
      <c r="DI1369" s="69"/>
    </row>
    <row r="1370" spans="7:113" ht="21">
      <c r="G1370" s="90">
        <f t="shared" si="2453"/>
        <v>2009</v>
      </c>
      <c r="I1370" s="91">
        <v>200.33737326346994</v>
      </c>
      <c r="J1370" s="120">
        <v>0.93567251461988299</v>
      </c>
      <c r="K1370" s="91">
        <v>4091.4353268694053</v>
      </c>
      <c r="L1370" s="90">
        <v>29.05939212086319</v>
      </c>
      <c r="M1370" s="90"/>
      <c r="N1370" s="62"/>
      <c r="O1370" s="90"/>
      <c r="P1370" s="90"/>
      <c r="Q1370" s="91">
        <v>1740.0439865973044</v>
      </c>
      <c r="R1370" s="91">
        <f t="shared" si="2452"/>
        <v>5831.4793134667098</v>
      </c>
      <c r="S1370" s="69">
        <f t="shared" si="2454"/>
        <v>3.3253125308317928E-2</v>
      </c>
      <c r="T1370" s="69"/>
      <c r="U1370" s="69"/>
      <c r="V1370" s="69"/>
      <c r="AA1370" s="76"/>
      <c r="AK1370" s="33"/>
      <c r="AP1370" s="62"/>
      <c r="AQ1370" s="78"/>
      <c r="AR1370" s="69"/>
      <c r="AS1370" s="69"/>
      <c r="AT1370" s="79"/>
      <c r="AU1370" s="79"/>
      <c r="AV1370" s="66">
        <v>2012</v>
      </c>
      <c r="AW1370" s="68"/>
      <c r="AX1370" s="69">
        <v>55368.13265334582</v>
      </c>
      <c r="AY1370" s="69"/>
      <c r="AZ1370" s="91">
        <v>475.26294123043624</v>
      </c>
      <c r="BA1370" s="91"/>
      <c r="BB1370" s="62">
        <v>547.2293705542063</v>
      </c>
      <c r="BC1370" s="62">
        <v>-0.17332734386473136</v>
      </c>
      <c r="BD1370" s="62"/>
      <c r="BE1370" s="62"/>
      <c r="BF1370" s="62"/>
      <c r="BG1370" s="62"/>
      <c r="BH1370" s="62"/>
      <c r="BI1370" s="66"/>
      <c r="BJ1370" s="66"/>
      <c r="BK1370" s="66"/>
      <c r="BL1370" s="66"/>
      <c r="BM1370" s="71"/>
      <c r="BN1370" s="66"/>
      <c r="BO1370" s="66"/>
      <c r="BP1370" s="66"/>
      <c r="BQ1370" s="66"/>
      <c r="BR1370" s="66"/>
      <c r="BS1370" s="66"/>
      <c r="BT1370" s="66"/>
      <c r="BU1370" s="66"/>
      <c r="BV1370" s="66"/>
      <c r="BW1370" s="66"/>
      <c r="BX1370" s="66"/>
      <c r="BY1370" s="66"/>
      <c r="BZ1370" s="66"/>
      <c r="CA1370" s="94"/>
      <c r="CB1370" s="66"/>
      <c r="CC1370" s="66"/>
      <c r="CD1370" s="66"/>
      <c r="CE1370" s="66"/>
      <c r="CF1370" s="77"/>
      <c r="CG1370" s="77"/>
      <c r="CH1370" s="95"/>
      <c r="CI1370" s="77"/>
      <c r="CJ1370" s="96"/>
      <c r="CK1370" s="96"/>
      <c r="CL1370" s="69"/>
      <c r="CM1370" s="69"/>
      <c r="CN1370" s="69"/>
      <c r="CO1370" s="69"/>
      <c r="CP1370" s="69"/>
      <c r="CQ1370" s="69"/>
      <c r="CR1370" s="69"/>
      <c r="CS1370" s="119"/>
      <c r="CT1370" s="66"/>
      <c r="CU1370" s="66"/>
      <c r="CV1370" s="66"/>
      <c r="CW1370" s="66"/>
      <c r="CX1370" s="66"/>
      <c r="CY1370" s="66"/>
      <c r="CZ1370" s="70"/>
      <c r="DA1370" s="70"/>
      <c r="DB1370" s="69"/>
      <c r="DC1370" s="111"/>
      <c r="DD1370" s="216"/>
      <c r="DE1370" s="111"/>
      <c r="DF1370" s="66"/>
      <c r="DG1370" s="69"/>
      <c r="DH1370" s="66"/>
      <c r="DI1370" s="69"/>
    </row>
    <row r="1371" spans="7:113" ht="21">
      <c r="G1371" s="90">
        <f t="shared" si="2453"/>
        <v>2010</v>
      </c>
      <c r="I1371" s="91">
        <v>147.62135261159926</v>
      </c>
      <c r="J1371" s="120">
        <v>0.9285714285714286</v>
      </c>
      <c r="K1371" s="91">
        <v>4210.5832305694585</v>
      </c>
      <c r="L1371" s="90">
        <v>18.529340086720531</v>
      </c>
      <c r="M1371" s="90"/>
      <c r="N1371" s="62"/>
      <c r="O1371" s="90"/>
      <c r="P1371" s="90"/>
      <c r="Q1371" s="91">
        <v>1745.8843669181967</v>
      </c>
      <c r="R1371" s="91">
        <f t="shared" si="2452"/>
        <v>5956.4675974876554</v>
      </c>
      <c r="S1371" s="69">
        <f t="shared" si="2454"/>
        <v>2.120691061985476E-2</v>
      </c>
      <c r="T1371" s="69"/>
      <c r="U1371" s="69"/>
      <c r="V1371" s="69"/>
      <c r="AA1371" s="76"/>
      <c r="AK1371" s="33"/>
      <c r="AP1371" s="62"/>
      <c r="AQ1371" s="78"/>
      <c r="AR1371" s="69"/>
      <c r="AS1371" s="69"/>
      <c r="AT1371" s="79"/>
      <c r="AU1371" s="79"/>
      <c r="AV1371" s="66">
        <v>2013</v>
      </c>
      <c r="AW1371" s="68"/>
      <c r="AX1371" s="69">
        <v>68025.816273212113</v>
      </c>
      <c r="AY1371" s="69"/>
      <c r="AZ1371" s="91">
        <v>572.96960432269623</v>
      </c>
      <c r="BA1371" s="91"/>
      <c r="BB1371" s="62">
        <v>661.07662933866914</v>
      </c>
      <c r="BC1371" s="62">
        <v>0.18900172341401603</v>
      </c>
      <c r="BD1371" s="62"/>
      <c r="BE1371" s="62"/>
      <c r="BF1371" s="62"/>
      <c r="BG1371" s="62"/>
      <c r="BH1371" s="62"/>
      <c r="BI1371" s="66"/>
      <c r="BJ1371" s="66"/>
      <c r="BK1371" s="66"/>
      <c r="BL1371" s="66"/>
      <c r="BM1371" s="71"/>
      <c r="BN1371" s="66"/>
      <c r="BO1371" s="66"/>
      <c r="BP1371" s="66"/>
      <c r="BQ1371" s="66"/>
      <c r="BR1371" s="66"/>
      <c r="BS1371" s="66"/>
      <c r="BT1371" s="66"/>
      <c r="BU1371" s="66"/>
      <c r="BV1371" s="66"/>
      <c r="BW1371" s="66"/>
      <c r="BX1371" s="66"/>
      <c r="BY1371" s="66"/>
      <c r="BZ1371" s="66"/>
      <c r="CA1371" s="97"/>
      <c r="CB1371" s="66"/>
      <c r="CC1371" s="66"/>
      <c r="CD1371" s="66"/>
      <c r="CE1371" s="66"/>
      <c r="CF1371" s="77"/>
      <c r="CG1371" s="77"/>
      <c r="CH1371" s="95"/>
      <c r="CI1371" s="77"/>
      <c r="CJ1371" s="96"/>
      <c r="CK1371" s="96"/>
      <c r="CL1371" s="96"/>
      <c r="CM1371" s="96"/>
      <c r="CN1371" s="96"/>
      <c r="CO1371" s="96"/>
      <c r="CP1371" s="96"/>
      <c r="CQ1371" s="96"/>
      <c r="CR1371" s="96"/>
      <c r="CS1371" s="119"/>
      <c r="CT1371" s="66"/>
      <c r="CU1371" s="66"/>
      <c r="CV1371" s="66"/>
      <c r="CW1371" s="66"/>
      <c r="CX1371" s="66"/>
      <c r="CY1371" s="66"/>
      <c r="CZ1371" s="70"/>
      <c r="DA1371" s="70"/>
      <c r="DB1371" s="69"/>
      <c r="DC1371" s="111"/>
      <c r="DD1371" s="216"/>
      <c r="DE1371" s="111"/>
      <c r="DF1371" s="66"/>
      <c r="DG1371" s="69"/>
      <c r="DH1371" s="66"/>
      <c r="DI1371" s="69"/>
    </row>
    <row r="1372" spans="7:113" ht="21">
      <c r="G1372" s="90">
        <f t="shared" si="2453"/>
        <v>2011</v>
      </c>
      <c r="I1372" s="91">
        <v>150.20165687371772</v>
      </c>
      <c r="J1372" s="120">
        <v>0.92121212121212126</v>
      </c>
      <c r="K1372" s="91">
        <v>4330.5744381541699</v>
      </c>
      <c r="L1372" s="90">
        <v>25.526024787595723</v>
      </c>
      <c r="M1372" s="90"/>
      <c r="N1372" s="62"/>
      <c r="O1372" s="90"/>
      <c r="P1372" s="90"/>
      <c r="Q1372" s="91">
        <v>1758.1745072303875</v>
      </c>
      <c r="R1372" s="91">
        <f t="shared" si="2452"/>
        <v>6088.7489453845574</v>
      </c>
      <c r="S1372" s="69">
        <f t="shared" si="2454"/>
        <v>2.1965012546592912E-2</v>
      </c>
      <c r="T1372" s="69"/>
      <c r="U1372" s="69"/>
      <c r="V1372" s="69"/>
      <c r="AA1372" s="76"/>
      <c r="AK1372" s="33"/>
      <c r="AP1372" s="62"/>
      <c r="AQ1372" s="78"/>
      <c r="AR1372" s="69"/>
      <c r="AS1372" s="69"/>
      <c r="AT1372" s="79"/>
      <c r="AU1372" s="79"/>
      <c r="AV1372" s="66">
        <v>2014</v>
      </c>
      <c r="AW1372" s="68"/>
      <c r="AX1372" s="69">
        <v>69294.100166773147</v>
      </c>
      <c r="AY1372" s="69"/>
      <c r="AZ1372" s="91">
        <v>571.73349972585106</v>
      </c>
      <c r="BA1372" s="91"/>
      <c r="BB1372" s="62">
        <v>660.96128335829394</v>
      </c>
      <c r="BC1372" s="62">
        <v>-1.7449723576011542E-4</v>
      </c>
      <c r="BD1372" s="62"/>
      <c r="BE1372" s="62"/>
      <c r="BF1372" s="62"/>
      <c r="BG1372" s="62"/>
      <c r="BH1372" s="62"/>
      <c r="BI1372" s="66"/>
      <c r="BJ1372" s="66"/>
      <c r="BK1372" s="66"/>
      <c r="BL1372" s="66"/>
      <c r="BM1372" s="71"/>
      <c r="BN1372" s="66"/>
      <c r="BO1372" s="66"/>
      <c r="BP1372" s="66"/>
      <c r="BQ1372" s="66"/>
      <c r="BR1372" s="66"/>
      <c r="BS1372" s="66"/>
      <c r="BT1372" s="66"/>
      <c r="BU1372" s="66"/>
      <c r="BV1372" s="66"/>
      <c r="BW1372" s="66"/>
      <c r="BX1372" s="66"/>
      <c r="BY1372" s="66"/>
      <c r="BZ1372" s="66"/>
      <c r="CA1372" s="94"/>
      <c r="CB1372" s="66"/>
      <c r="CC1372" s="66"/>
      <c r="CD1372" s="66"/>
      <c r="CE1372" s="66"/>
      <c r="CF1372" s="77"/>
      <c r="CG1372" s="77"/>
      <c r="CH1372" s="95"/>
      <c r="CI1372" s="77"/>
      <c r="CJ1372" s="96"/>
      <c r="CK1372" s="96"/>
      <c r="CL1372" s="69"/>
      <c r="CM1372" s="69"/>
      <c r="CN1372" s="69"/>
      <c r="CO1372" s="69"/>
      <c r="CP1372" s="69"/>
      <c r="CQ1372" s="69"/>
      <c r="CR1372" s="69"/>
      <c r="CS1372" s="119"/>
      <c r="CT1372" s="66"/>
      <c r="CU1372" s="66"/>
      <c r="CV1372" s="66"/>
      <c r="CW1372" s="66"/>
      <c r="CX1372" s="66"/>
      <c r="CY1372" s="66"/>
      <c r="CZ1372" s="70"/>
      <c r="DA1372" s="70"/>
      <c r="DB1372" s="69"/>
      <c r="DC1372" s="111"/>
      <c r="DD1372" s="216"/>
      <c r="DE1372" s="111"/>
      <c r="DF1372" s="66"/>
      <c r="DG1372" s="69"/>
      <c r="DH1372" s="66"/>
      <c r="DI1372" s="69"/>
    </row>
    <row r="1373" spans="7:113" ht="21">
      <c r="G1373" s="90">
        <f t="shared" si="2453"/>
        <v>2012</v>
      </c>
      <c r="I1373" s="91">
        <v>140.44444059904569</v>
      </c>
      <c r="J1373" s="120">
        <v>0.9135802469135802</v>
      </c>
      <c r="K1373" s="91">
        <v>4438.9822870043772</v>
      </c>
      <c r="L1373" s="90">
        <v>25.938853052115487</v>
      </c>
      <c r="M1373" s="90"/>
      <c r="N1373" s="62"/>
      <c r="O1373" s="90"/>
      <c r="P1373" s="90"/>
      <c r="Q1373" s="91">
        <v>1770.2680234376805</v>
      </c>
      <c r="R1373" s="91">
        <f t="shared" si="2452"/>
        <v>6209.2503104420575</v>
      </c>
      <c r="S1373" s="69">
        <f t="shared" si="2454"/>
        <v>1.9597532770210979E-2</v>
      </c>
      <c r="T1373" s="69"/>
      <c r="U1373" s="69"/>
      <c r="V1373" s="69"/>
      <c r="AA1373" s="76"/>
      <c r="AK1373" s="33"/>
      <c r="AP1373" s="62"/>
      <c r="AQ1373" s="78"/>
      <c r="AR1373" s="69"/>
      <c r="AS1373" s="69"/>
      <c r="AT1373" s="79"/>
      <c r="AU1373" s="79"/>
      <c r="AV1373" s="66">
        <v>2015</v>
      </c>
      <c r="AW1373" s="68"/>
      <c r="AX1373" s="69">
        <v>63080.933254042786</v>
      </c>
      <c r="AY1373" s="69"/>
      <c r="AZ1373" s="91">
        <v>509.74491518418415</v>
      </c>
      <c r="BA1373" s="91"/>
      <c r="BB1373" s="62">
        <v>596.56673632565412</v>
      </c>
      <c r="BC1373" s="62">
        <v>-0.10250415018288074</v>
      </c>
      <c r="BD1373" s="62"/>
      <c r="BE1373" s="62"/>
      <c r="BF1373" s="62"/>
      <c r="BG1373" s="62"/>
      <c r="BH1373" s="62"/>
      <c r="BI1373" s="66"/>
      <c r="BJ1373" s="66"/>
      <c r="BK1373" s="66"/>
      <c r="BL1373" s="66"/>
      <c r="BM1373" s="71"/>
      <c r="BN1373" s="66"/>
      <c r="BO1373" s="66"/>
      <c r="BP1373" s="66"/>
      <c r="BQ1373" s="66"/>
      <c r="BR1373" s="66"/>
      <c r="BS1373" s="66"/>
      <c r="BT1373" s="66"/>
      <c r="BU1373" s="66"/>
      <c r="BV1373" s="66"/>
      <c r="BW1373" s="66"/>
      <c r="BX1373" s="66"/>
      <c r="BY1373" s="66"/>
      <c r="BZ1373" s="66"/>
      <c r="CA1373" s="94"/>
      <c r="CB1373" s="66"/>
      <c r="CC1373" s="66"/>
      <c r="CD1373" s="66"/>
      <c r="CE1373" s="66"/>
      <c r="CF1373" s="77"/>
      <c r="CG1373" s="77"/>
      <c r="CH1373" s="95"/>
      <c r="CI1373" s="77"/>
      <c r="CJ1373" s="96"/>
      <c r="CK1373" s="96"/>
      <c r="CL1373" s="69"/>
      <c r="CM1373" s="69"/>
      <c r="CN1373" s="69"/>
      <c r="CO1373" s="69"/>
      <c r="CP1373" s="69"/>
      <c r="CQ1373" s="69"/>
      <c r="CR1373" s="69"/>
      <c r="CS1373" s="119"/>
      <c r="CT1373" s="66"/>
      <c r="CU1373" s="66"/>
      <c r="CV1373" s="66"/>
      <c r="CW1373" s="66"/>
      <c r="CX1373" s="66"/>
      <c r="CY1373" s="66"/>
      <c r="CZ1373" s="70"/>
      <c r="DA1373" s="70"/>
      <c r="DB1373" s="69"/>
      <c r="DC1373" s="111"/>
      <c r="DD1373" s="216"/>
      <c r="DE1373" s="111"/>
      <c r="DF1373" s="66"/>
      <c r="DG1373" s="69"/>
      <c r="DH1373" s="66"/>
      <c r="DI1373" s="69"/>
    </row>
    <row r="1374" spans="7:113" ht="21">
      <c r="G1374" s="90">
        <f t="shared" si="2453"/>
        <v>2013</v>
      </c>
      <c r="I1374" s="91">
        <v>96.478181433241446</v>
      </c>
      <c r="J1374" s="120">
        <v>0.90566037735849059</v>
      </c>
      <c r="K1374" s="91">
        <v>4501.5645900790933</v>
      </c>
      <c r="L1374" s="90">
        <v>19.410525367978096</v>
      </c>
      <c r="M1374" s="90"/>
      <c r="N1374" s="62"/>
      <c r="O1374" s="90"/>
      <c r="P1374" s="90"/>
      <c r="Q1374" s="91">
        <v>1775.1909458958817</v>
      </c>
      <c r="R1374" s="91">
        <f t="shared" si="2452"/>
        <v>6276.7555359749749</v>
      </c>
      <c r="S1374" s="69">
        <f t="shared" si="2454"/>
        <v>1.0813046878089604E-2</v>
      </c>
      <c r="T1374" s="69"/>
      <c r="U1374" s="69"/>
      <c r="V1374" s="69"/>
      <c r="AA1374" s="76"/>
      <c r="AK1374" s="33"/>
      <c r="AP1374" s="62"/>
      <c r="AQ1374" s="78"/>
      <c r="AR1374" s="69"/>
      <c r="AS1374" s="69"/>
      <c r="AT1374" s="79"/>
      <c r="AU1374" s="79"/>
      <c r="AV1374" s="66">
        <v>2016</v>
      </c>
      <c r="AW1374" s="68"/>
      <c r="AX1374" s="69">
        <v>73469.788829246812</v>
      </c>
      <c r="AY1374" s="69"/>
      <c r="AZ1374" s="91">
        <v>581.24832934530707</v>
      </c>
      <c r="BA1374" s="91"/>
      <c r="BB1374" s="62">
        <v>672.12662011207181</v>
      </c>
      <c r="BC1374" s="62">
        <v>0.11925563043790485</v>
      </c>
      <c r="BD1374" s="62"/>
      <c r="BE1374" s="62"/>
      <c r="BF1374" s="62"/>
      <c r="BG1374" s="62"/>
      <c r="BH1374" s="62"/>
      <c r="BI1374" s="66"/>
      <c r="BJ1374" s="66"/>
      <c r="BK1374" s="66"/>
      <c r="BL1374" s="66"/>
      <c r="BM1374" s="71"/>
      <c r="BN1374" s="66"/>
      <c r="BO1374" s="66"/>
      <c r="BP1374" s="66"/>
      <c r="BQ1374" s="66"/>
      <c r="BR1374" s="66"/>
      <c r="BS1374" s="66"/>
      <c r="BT1374" s="66"/>
      <c r="BU1374" s="66"/>
      <c r="BV1374" s="66"/>
      <c r="BW1374" s="66"/>
      <c r="BX1374" s="66"/>
      <c r="BY1374" s="66"/>
      <c r="BZ1374" s="66"/>
      <c r="CA1374" s="94"/>
      <c r="CB1374" s="66"/>
      <c r="CC1374" s="66"/>
      <c r="CD1374" s="66"/>
      <c r="CE1374" s="66"/>
      <c r="CF1374" s="77"/>
      <c r="CG1374" s="77"/>
      <c r="CH1374" s="95"/>
      <c r="CI1374" s="77"/>
      <c r="CJ1374" s="96"/>
      <c r="CK1374" s="96"/>
      <c r="CL1374" s="69"/>
      <c r="CM1374" s="69"/>
      <c r="CN1374" s="69"/>
      <c r="CO1374" s="69"/>
      <c r="CP1374" s="69"/>
      <c r="CQ1374" s="69"/>
      <c r="CR1374" s="69"/>
      <c r="CS1374" s="119"/>
      <c r="CT1374" s="66"/>
      <c r="CU1374" s="66"/>
      <c r="CV1374" s="66"/>
      <c r="CW1374" s="66"/>
      <c r="CX1374" s="66"/>
      <c r="CY1374" s="66"/>
      <c r="CZ1374" s="70"/>
      <c r="DA1374" s="70"/>
      <c r="DB1374" s="69"/>
      <c r="DC1374" s="111"/>
      <c r="DD1374" s="216"/>
      <c r="DE1374" s="111"/>
      <c r="DF1374" s="66"/>
      <c r="DG1374" s="69"/>
      <c r="DH1374" s="66"/>
      <c r="DI1374" s="69"/>
    </row>
    <row r="1375" spans="7:113" ht="21">
      <c r="G1375" s="90">
        <f t="shared" si="2453"/>
        <v>2014</v>
      </c>
      <c r="I1375" s="91">
        <v>129.4974374314038</v>
      </c>
      <c r="J1375" s="120">
        <v>0.89743589743589747</v>
      </c>
      <c r="K1375" s="91">
        <v>4595.4399361425276</v>
      </c>
      <c r="L1375" s="90">
        <v>24.825078204749861</v>
      </c>
      <c r="M1375" s="90"/>
      <c r="N1375" s="62"/>
      <c r="O1375" s="90"/>
      <c r="P1375" s="90"/>
      <c r="Q1375" s="91">
        <v>1784.8855922718926</v>
      </c>
      <c r="R1375" s="91">
        <f t="shared" si="2452"/>
        <v>6380.3255284144198</v>
      </c>
      <c r="S1375" s="69">
        <f t="shared" si="2454"/>
        <v>1.6365906737820471E-2</v>
      </c>
      <c r="T1375" s="69"/>
      <c r="U1375" s="69"/>
      <c r="V1375" s="69"/>
      <c r="AA1375" s="76"/>
      <c r="AK1375" s="33"/>
      <c r="AP1375" s="62"/>
      <c r="AQ1375" s="78"/>
      <c r="AR1375" s="69"/>
      <c r="AS1375" s="69"/>
      <c r="AT1375" s="69"/>
      <c r="AU1375" s="69"/>
      <c r="AV1375" s="70">
        <v>2017</v>
      </c>
      <c r="AW1375" s="68"/>
      <c r="AX1375" s="69">
        <v>74726.142015534642</v>
      </c>
      <c r="AY1375" s="69"/>
      <c r="AZ1375" s="91">
        <v>577.0358456798042</v>
      </c>
      <c r="BA1375" s="91"/>
      <c r="BB1375" s="62">
        <v>668.78892058888164</v>
      </c>
      <c r="BC1375" s="62">
        <v>-4.9782500314958069E-3</v>
      </c>
      <c r="BD1375" s="62"/>
      <c r="BE1375" s="62"/>
      <c r="BF1375" s="62"/>
      <c r="BG1375" s="62"/>
      <c r="BH1375" s="62"/>
      <c r="BI1375" s="66"/>
      <c r="BJ1375" s="66"/>
      <c r="BK1375" s="66"/>
      <c r="BL1375" s="66"/>
      <c r="BM1375" s="71"/>
      <c r="BN1375" s="66"/>
      <c r="BO1375" s="66"/>
      <c r="BP1375" s="66"/>
      <c r="BQ1375" s="66"/>
      <c r="BR1375" s="66"/>
      <c r="BS1375" s="66"/>
      <c r="BT1375" s="66"/>
      <c r="BU1375" s="66"/>
      <c r="BV1375" s="66"/>
      <c r="BW1375" s="66"/>
      <c r="BX1375" s="66"/>
      <c r="BY1375" s="66"/>
      <c r="BZ1375" s="66"/>
      <c r="CA1375" s="94"/>
      <c r="CB1375" s="66"/>
      <c r="CC1375" s="66"/>
      <c r="CD1375" s="66"/>
      <c r="CE1375" s="66"/>
      <c r="CF1375" s="77"/>
      <c r="CG1375" s="77"/>
      <c r="CH1375" s="95"/>
      <c r="CI1375" s="77"/>
      <c r="CJ1375" s="96"/>
      <c r="CK1375" s="96"/>
      <c r="CL1375" s="69"/>
      <c r="CM1375" s="69"/>
      <c r="CN1375" s="69"/>
      <c r="CO1375" s="69"/>
      <c r="CP1375" s="69"/>
      <c r="CQ1375" s="69"/>
      <c r="CR1375" s="69"/>
      <c r="CS1375" s="119"/>
      <c r="CT1375" s="66"/>
      <c r="CU1375" s="66"/>
      <c r="CV1375" s="66"/>
      <c r="CW1375" s="66"/>
      <c r="CX1375" s="66"/>
      <c r="CY1375" s="66"/>
      <c r="CZ1375" s="70"/>
      <c r="DA1375" s="70"/>
      <c r="DB1375" s="69"/>
      <c r="DC1375" s="111"/>
      <c r="DD1375" s="216"/>
      <c r="DE1375" s="111"/>
      <c r="DF1375" s="66"/>
      <c r="DG1375" s="69"/>
      <c r="DH1375" s="66"/>
      <c r="DI1375" s="69"/>
    </row>
    <row r="1376" spans="7:113" ht="21">
      <c r="G1376" s="90">
        <f t="shared" si="2453"/>
        <v>2015</v>
      </c>
      <c r="I1376" s="91">
        <v>123.50679797857067</v>
      </c>
      <c r="J1376" s="120">
        <v>0.88888888888888884</v>
      </c>
      <c r="K1376" s="91">
        <v>4681.349254950188</v>
      </c>
      <c r="L1376" s="90">
        <v>22.230128337190095</v>
      </c>
      <c r="M1376" s="90"/>
      <c r="N1376" s="62"/>
      <c r="O1376" s="90"/>
      <c r="P1376" s="90"/>
      <c r="Q1376" s="91">
        <v>1791.2810321298016</v>
      </c>
      <c r="R1376" s="91">
        <f t="shared" si="2452"/>
        <v>6472.63028707999</v>
      </c>
      <c r="S1376" s="69">
        <f t="shared" si="2454"/>
        <v>1.4363442452155791E-2</v>
      </c>
      <c r="T1376" s="69"/>
      <c r="U1376" s="69"/>
      <c r="V1376" s="69"/>
      <c r="AA1376" s="76"/>
      <c r="AK1376" s="33"/>
      <c r="AP1376" s="33"/>
      <c r="AQ1376" s="33"/>
      <c r="AR1376" s="33"/>
      <c r="AS1376" s="33"/>
      <c r="AT1376" s="33"/>
      <c r="AU1376" s="33"/>
      <c r="AV1376" s="16">
        <v>2018</v>
      </c>
      <c r="AW1376" s="68"/>
      <c r="AX1376" s="33">
        <v>182044.14521314992</v>
      </c>
      <c r="AY1376" s="33"/>
      <c r="AZ1376" s="109">
        <v>1366.184954695309</v>
      </c>
      <c r="BA1376" s="109"/>
      <c r="BB1376" s="50">
        <v>1654.4339966079624</v>
      </c>
      <c r="BC1376" s="50">
        <v>0.90574573778178713</v>
      </c>
      <c r="BD1376" s="50"/>
      <c r="BE1376" s="50"/>
      <c r="BF1376" s="50"/>
      <c r="BG1376" s="50"/>
      <c r="BH1376" s="50"/>
      <c r="BM1376" s="236"/>
      <c r="CA1376" s="98"/>
      <c r="CF1376" s="99"/>
      <c r="CG1376" s="99"/>
      <c r="CH1376" s="100"/>
      <c r="CI1376" s="99"/>
      <c r="CJ1376" s="101"/>
      <c r="CK1376" s="101"/>
      <c r="CL1376" s="33"/>
      <c r="CM1376" s="33"/>
      <c r="CN1376" s="33"/>
      <c r="CO1376" s="33"/>
      <c r="CP1376" s="33"/>
      <c r="CQ1376" s="33"/>
      <c r="CR1376" s="33"/>
      <c r="CZ1376" s="182"/>
      <c r="DA1376" s="182"/>
      <c r="DB1376" s="169"/>
      <c r="DC1376" s="181"/>
      <c r="DD1376" s="183"/>
      <c r="DE1376" s="181"/>
      <c r="DF1376" s="66"/>
      <c r="DG1376" s="69"/>
      <c r="DH1376" s="175"/>
      <c r="DI1376" s="169"/>
    </row>
    <row r="1377" spans="7:113" ht="21">
      <c r="G1377" s="90">
        <f t="shared" si="2453"/>
        <v>2016</v>
      </c>
      <c r="I1377" s="91">
        <v>154.98549265694024</v>
      </c>
      <c r="J1377" s="120">
        <v>0.88</v>
      </c>
      <c r="K1377" s="91">
        <v>4796.6957139007873</v>
      </c>
      <c r="L1377" s="90">
        <v>26.216147706648847</v>
      </c>
      <c r="M1377" s="90"/>
      <c r="N1377" s="62"/>
      <c r="O1377" s="90"/>
      <c r="P1377" s="90"/>
      <c r="Q1377" s="91">
        <v>1800.9332191873921</v>
      </c>
      <c r="R1377" s="91">
        <f t="shared" si="2452"/>
        <v>6597.6289330881791</v>
      </c>
      <c r="S1377" s="69">
        <f t="shared" si="2454"/>
        <v>1.9127770153661225E-2</v>
      </c>
      <c r="T1377" s="69"/>
      <c r="U1377" s="69"/>
      <c r="V1377" s="69"/>
      <c r="AA1377" s="76"/>
      <c r="AK1377" s="33"/>
      <c r="AP1377" s="33"/>
      <c r="AQ1377" s="33"/>
      <c r="AR1377" s="33"/>
      <c r="AS1377" s="33"/>
      <c r="AT1377" s="33"/>
      <c r="AU1377" s="33"/>
      <c r="AV1377" s="16">
        <v>2019</v>
      </c>
      <c r="AW1377" s="68"/>
      <c r="AX1377" s="33">
        <v>106975.1197434819</v>
      </c>
      <c r="AY1377" s="33"/>
      <c r="AZ1377" s="109">
        <v>781.69616180841729</v>
      </c>
      <c r="BA1377" s="109"/>
      <c r="BB1377" s="50">
        <v>922.25901030477462</v>
      </c>
      <c r="BC1377" s="50">
        <v>-0.58438812696513687</v>
      </c>
      <c r="BD1377" s="50"/>
      <c r="BE1377" s="50"/>
      <c r="BF1377" s="50"/>
      <c r="BG1377" s="50"/>
      <c r="BH1377" s="50"/>
      <c r="BM1377" s="236"/>
      <c r="CA1377" s="98"/>
      <c r="CF1377" s="99"/>
      <c r="CG1377" s="99"/>
      <c r="CH1377" s="100"/>
      <c r="CI1377" s="99"/>
      <c r="CJ1377" s="101"/>
      <c r="CK1377" s="101"/>
      <c r="CL1377" s="33"/>
      <c r="CM1377" s="33"/>
      <c r="CN1377" s="33"/>
      <c r="CO1377" s="33"/>
      <c r="CP1377" s="33"/>
      <c r="CQ1377" s="33"/>
      <c r="CR1377" s="33"/>
      <c r="CZ1377" s="182"/>
      <c r="DA1377" s="182"/>
      <c r="DB1377" s="169"/>
      <c r="DC1377" s="181"/>
      <c r="DD1377" s="183"/>
      <c r="DE1377" s="181"/>
      <c r="DF1377" s="175"/>
      <c r="DG1377" s="169"/>
      <c r="DH1377" s="175"/>
      <c r="DI1377" s="169"/>
    </row>
    <row r="1378" spans="7:113" ht="21">
      <c r="G1378" s="90">
        <f t="shared" si="2453"/>
        <v>2017</v>
      </c>
      <c r="I1378" s="91">
        <v>142.31742285394924</v>
      </c>
      <c r="J1378" s="120">
        <v>0.87074829931972786</v>
      </c>
      <c r="K1378" s="91">
        <v>4897.0739708988322</v>
      </c>
      <c r="L1378" s="90">
        <v>25.449568440640228</v>
      </c>
      <c r="M1378" s="90"/>
      <c r="N1378" s="62"/>
      <c r="O1378" s="90"/>
      <c r="P1378" s="90"/>
      <c r="Q1378" s="91">
        <v>1809.0292736157623</v>
      </c>
      <c r="R1378" s="91">
        <f t="shared" si="2452"/>
        <v>6706.1032445145947</v>
      </c>
      <c r="S1378" s="69">
        <f t="shared" si="2454"/>
        <v>1.6307711843923642E-2</v>
      </c>
      <c r="T1378" s="69"/>
      <c r="U1378" s="69"/>
      <c r="V1378" s="69"/>
      <c r="AK1378" s="33"/>
      <c r="AP1378" s="33"/>
      <c r="AQ1378" s="33"/>
      <c r="AR1378" s="33"/>
      <c r="AS1378" s="33"/>
      <c r="AT1378" s="33"/>
      <c r="AU1378" s="33"/>
      <c r="AV1378" s="16">
        <v>2020</v>
      </c>
      <c r="AW1378" s="68"/>
      <c r="AX1378" s="33">
        <v>76508.145246526648</v>
      </c>
      <c r="AY1378" s="33"/>
      <c r="AZ1378" s="109">
        <v>544.7358152120089</v>
      </c>
      <c r="BA1378" s="109"/>
      <c r="BB1378" s="50">
        <v>625.20242804201621</v>
      </c>
      <c r="BC1378" s="50">
        <v>-0.38875062418053535</v>
      </c>
      <c r="BD1378" s="50"/>
      <c r="BE1378" s="50"/>
      <c r="BF1378" s="50"/>
      <c r="BG1378" s="50"/>
      <c r="BH1378" s="50"/>
      <c r="BM1378" s="236"/>
      <c r="CA1378" s="98"/>
      <c r="CF1378" s="99"/>
      <c r="CG1378" s="99"/>
      <c r="CH1378" s="100"/>
      <c r="CI1378" s="99"/>
      <c r="CJ1378" s="101"/>
      <c r="CK1378" s="101"/>
      <c r="CL1378" s="33"/>
      <c r="CM1378" s="33"/>
      <c r="CN1378" s="33"/>
      <c r="CO1378" s="33"/>
      <c r="CP1378" s="33"/>
      <c r="CQ1378" s="33"/>
      <c r="CR1378" s="33"/>
      <c r="DE1378" s="112"/>
      <c r="DF1378" s="175"/>
      <c r="DG1378" s="169"/>
    </row>
    <row r="1379" spans="7:113" ht="21">
      <c r="G1379" s="90">
        <f t="shared" si="2453"/>
        <v>2018</v>
      </c>
      <c r="I1379" s="91">
        <v>130.39625557847964</v>
      </c>
      <c r="J1379" s="120">
        <v>0.86111111111111116</v>
      </c>
      <c r="K1379" s="91">
        <v>4983.1797237835572</v>
      </c>
      <c r="L1379" s="90">
        <v>28.544500076108022</v>
      </c>
      <c r="M1379" s="90"/>
      <c r="N1379" s="62"/>
      <c r="O1379" s="90"/>
      <c r="P1379" s="90"/>
      <c r="Q1379" s="91">
        <v>1819.3902790851735</v>
      </c>
      <c r="R1379" s="91">
        <f t="shared" si="2452"/>
        <v>6802.5700028687306</v>
      </c>
      <c r="S1379" s="69">
        <f t="shared" si="2454"/>
        <v>1.4282438611222777E-2</v>
      </c>
      <c r="T1379" s="69"/>
      <c r="U1379" s="69"/>
      <c r="V1379" s="69"/>
      <c r="AK1379" s="33"/>
      <c r="AP1379" s="33"/>
      <c r="AQ1379" s="33"/>
      <c r="AR1379" s="33"/>
      <c r="AS1379" s="33"/>
      <c r="AT1379" s="33"/>
      <c r="AU1379" s="33"/>
      <c r="AV1379" s="16">
        <v>2021</v>
      </c>
      <c r="AW1379" s="68"/>
      <c r="AX1379" s="33">
        <v>93296.329716244523</v>
      </c>
      <c r="AY1379" s="33"/>
      <c r="AZ1379" s="109">
        <v>641.32208088155699</v>
      </c>
      <c r="BA1379" s="109"/>
      <c r="BB1379" s="50">
        <v>641.32208088155699</v>
      </c>
      <c r="BC1379" s="50">
        <v>2.5456314836395662E-2</v>
      </c>
      <c r="BD1379" s="50"/>
      <c r="BE1379" s="50"/>
      <c r="BF1379" s="50"/>
      <c r="BG1379" s="50"/>
      <c r="BH1379" s="50"/>
      <c r="BM1379" s="236"/>
      <c r="CA1379" s="98"/>
      <c r="CF1379" s="99"/>
      <c r="CG1379" s="99"/>
      <c r="CH1379" s="100"/>
      <c r="CI1379" s="99"/>
      <c r="CJ1379" s="101"/>
      <c r="CK1379" s="101"/>
      <c r="CL1379" s="33"/>
      <c r="CM1379" s="33"/>
      <c r="CN1379" s="33"/>
      <c r="CO1379" s="33"/>
      <c r="CP1379" s="33"/>
      <c r="CQ1379" s="33"/>
      <c r="CR1379" s="33"/>
      <c r="DE1379" s="112"/>
    </row>
    <row r="1380" spans="7:113" ht="21">
      <c r="G1380" s="90">
        <f t="shared" si="2453"/>
        <v>2019</v>
      </c>
      <c r="I1380" s="91">
        <v>164.19204601283508</v>
      </c>
      <c r="J1380" s="120">
        <v>0.85106382978723405</v>
      </c>
      <c r="K1380" s="91">
        <v>5100.6684479423366</v>
      </c>
      <c r="L1380" s="90">
        <v>27.335392081989447</v>
      </c>
      <c r="M1380" s="90"/>
      <c r="N1380" s="62"/>
      <c r="O1380" s="90"/>
      <c r="P1380" s="90"/>
      <c r="Q1380" s="91">
        <v>1827.6491278717051</v>
      </c>
      <c r="R1380" s="91">
        <f t="shared" si="2452"/>
        <v>6928.3175758140414</v>
      </c>
      <c r="S1380" s="69">
        <f t="shared" si="2454"/>
        <v>1.8316527296145347E-2</v>
      </c>
      <c r="T1380" s="69"/>
      <c r="U1380" s="69"/>
      <c r="V1380" s="69"/>
      <c r="AK1380" s="33"/>
      <c r="AP1380" s="33"/>
      <c r="AQ1380" s="33"/>
      <c r="AR1380" s="33"/>
      <c r="AS1380" s="33"/>
      <c r="AT1380" s="33"/>
      <c r="AU1380" s="33"/>
      <c r="AW1380" s="68"/>
      <c r="AX1380" s="33"/>
      <c r="AY1380" s="33"/>
      <c r="AZ1380" s="109"/>
      <c r="BA1380" s="109"/>
      <c r="BB1380" s="50"/>
      <c r="BC1380" s="50"/>
      <c r="BD1380" s="50"/>
      <c r="BE1380" s="50"/>
      <c r="BF1380" s="50"/>
      <c r="BG1380" s="50"/>
      <c r="BH1380" s="50"/>
      <c r="BM1380" s="236"/>
      <c r="CA1380" s="35"/>
      <c r="CH1380" s="39"/>
      <c r="CI1380" s="32"/>
      <c r="CJ1380" s="40"/>
      <c r="CK1380" s="40"/>
      <c r="CL1380" s="33"/>
      <c r="CM1380" s="33"/>
      <c r="CN1380" s="33"/>
      <c r="CO1380" s="33"/>
      <c r="CP1380" s="33"/>
      <c r="CQ1380" s="33"/>
      <c r="CR1380" s="33"/>
    </row>
    <row r="1381" spans="7:113" ht="21">
      <c r="G1381" s="90">
        <f t="shared" si="2453"/>
        <v>2020</v>
      </c>
      <c r="I1381" s="91">
        <v>151.83004788442418</v>
      </c>
      <c r="J1381" s="120">
        <v>0.84057971014492749</v>
      </c>
      <c r="K1381" s="91">
        <v>5203.0859992919059</v>
      </c>
      <c r="L1381" s="91">
        <v>48.97795056218245</v>
      </c>
      <c r="M1381" s="91"/>
      <c r="N1381" s="64"/>
      <c r="O1381" s="91"/>
      <c r="P1381" s="91"/>
      <c r="Q1381" s="91">
        <v>1856.6114546194096</v>
      </c>
      <c r="R1381" s="91">
        <f t="shared" si="2452"/>
        <v>7059.6974539113153</v>
      </c>
      <c r="S1381" s="69">
        <f t="shared" si="2454"/>
        <v>1.8785187358659729E-2</v>
      </c>
      <c r="T1381" s="69"/>
      <c r="U1381" s="69"/>
      <c r="V1381" s="69"/>
      <c r="AK1381" s="33"/>
      <c r="AP1381" s="33"/>
      <c r="AQ1381" s="33"/>
      <c r="AR1381" s="33"/>
      <c r="AS1381" s="33"/>
      <c r="AT1381" s="33"/>
      <c r="AU1381" s="33"/>
      <c r="AW1381" s="68"/>
      <c r="AX1381" s="33"/>
      <c r="AY1381" s="33"/>
      <c r="AZ1381" s="109"/>
      <c r="BA1381" s="109"/>
      <c r="BB1381" s="50"/>
      <c r="BC1381" s="50"/>
      <c r="BD1381" s="50"/>
      <c r="BE1381" s="50"/>
      <c r="BF1381" s="50"/>
      <c r="BG1381" s="50"/>
      <c r="BH1381" s="50"/>
      <c r="BM1381" s="236"/>
      <c r="CA1381" s="35"/>
      <c r="CH1381" s="39"/>
      <c r="CI1381" s="32"/>
      <c r="CJ1381" s="40"/>
      <c r="CK1381" s="40"/>
      <c r="CL1381" s="33"/>
      <c r="CM1381" s="33"/>
      <c r="CN1381" s="33"/>
      <c r="CO1381" s="33"/>
      <c r="CP1381" s="33"/>
      <c r="CQ1381" s="33"/>
      <c r="CR1381" s="33"/>
    </row>
    <row r="1382" spans="7:113" ht="21">
      <c r="G1382" s="90">
        <f t="shared" si="2453"/>
        <v>2021</v>
      </c>
      <c r="I1382" s="91">
        <v>188.40836544412838</v>
      </c>
      <c r="J1382" s="120">
        <v>0.82962962962962961</v>
      </c>
      <c r="K1382" s="91">
        <v>5358.9671506140894</v>
      </c>
      <c r="L1382" s="91">
        <v>0</v>
      </c>
      <c r="M1382" s="91"/>
      <c r="N1382" s="64"/>
      <c r="O1382" s="91"/>
      <c r="P1382" s="91"/>
      <c r="Q1382" s="91">
        <v>1847.1903647949446</v>
      </c>
      <c r="R1382" s="91">
        <f t="shared" si="2452"/>
        <v>7206.1575154090342</v>
      </c>
      <c r="S1382" s="69">
        <f t="shared" si="2454"/>
        <v>2.0533673978099149E-2</v>
      </c>
      <c r="T1382" s="69"/>
      <c r="U1382" s="69"/>
      <c r="V1382" s="69"/>
      <c r="AK1382" s="33"/>
      <c r="AP1382" s="33"/>
      <c r="AQ1382" s="33"/>
      <c r="AR1382" s="33"/>
      <c r="AS1382" s="33"/>
      <c r="AT1382" s="33"/>
      <c r="AU1382" s="33"/>
      <c r="AW1382" s="68"/>
      <c r="AX1382" s="33"/>
      <c r="AY1382" s="33"/>
      <c r="AZ1382" s="109"/>
      <c r="BA1382" s="109"/>
      <c r="BB1382" s="50"/>
      <c r="BC1382" s="50"/>
      <c r="BD1382" s="50"/>
      <c r="BE1382" s="50"/>
      <c r="BF1382" s="50"/>
      <c r="BG1382" s="50"/>
      <c r="BH1382" s="50"/>
      <c r="BM1382" s="236"/>
      <c r="CA1382" s="35"/>
      <c r="CH1382" s="39"/>
      <c r="CI1382" s="32"/>
      <c r="CJ1382" s="40"/>
      <c r="CK1382" s="40"/>
      <c r="CL1382" s="33"/>
      <c r="CM1382" s="33"/>
      <c r="CN1382" s="33"/>
      <c r="CO1382" s="33"/>
      <c r="CP1382" s="33"/>
      <c r="CQ1382" s="33"/>
      <c r="CR1382" s="33"/>
    </row>
    <row r="1383" spans="7:113" ht="21">
      <c r="J1383" s="91"/>
      <c r="K1383" s="120"/>
      <c r="L1383" s="91"/>
      <c r="M1383" s="91"/>
      <c r="N1383" s="64"/>
      <c r="O1383" s="91"/>
      <c r="P1383" s="91"/>
      <c r="Q1383" s="91"/>
      <c r="R1383" s="91"/>
      <c r="S1383" s="91"/>
      <c r="T1383" s="91"/>
      <c r="U1383" s="91"/>
      <c r="V1383" s="91"/>
      <c r="W1383" s="122"/>
      <c r="X1383" s="69"/>
      <c r="Y1383" s="69"/>
      <c r="Z1383" s="90"/>
      <c r="AA1383" s="90"/>
      <c r="AB1383" s="90"/>
      <c r="AC1383" s="90"/>
      <c r="AK1383" s="33"/>
      <c r="AP1383" s="33"/>
      <c r="AQ1383" s="33"/>
      <c r="AR1383" s="33"/>
      <c r="AS1383" s="33"/>
      <c r="AT1383" s="33"/>
      <c r="AU1383" s="33"/>
      <c r="AW1383" s="68"/>
      <c r="AX1383" s="33"/>
      <c r="AY1383" s="33"/>
      <c r="AZ1383" s="109"/>
      <c r="BA1383" s="109"/>
      <c r="BB1383" s="50"/>
      <c r="BC1383" s="50"/>
      <c r="BD1383" s="50"/>
      <c r="BE1383" s="50"/>
      <c r="BF1383" s="50"/>
      <c r="BG1383" s="50"/>
      <c r="BH1383" s="50"/>
      <c r="BM1383" s="236"/>
      <c r="CA1383" s="35"/>
      <c r="CH1383" s="39"/>
      <c r="CI1383" s="32"/>
      <c r="CJ1383" s="40"/>
      <c r="CK1383" s="40"/>
      <c r="CL1383" s="33"/>
      <c r="CM1383" s="33"/>
      <c r="CN1383" s="33"/>
      <c r="CO1383" s="33"/>
      <c r="CP1383" s="33"/>
      <c r="CQ1383" s="33"/>
      <c r="CR1383" s="33"/>
    </row>
    <row r="1384" spans="7:113" ht="21">
      <c r="G1384" s="90"/>
      <c r="J1384" s="66"/>
      <c r="L1384" s="70"/>
      <c r="M1384" s="70"/>
      <c r="N1384" s="64"/>
      <c r="O1384" s="70"/>
      <c r="P1384" s="70"/>
      <c r="Q1384" s="70"/>
      <c r="R1384" s="91"/>
      <c r="S1384" s="70"/>
      <c r="T1384" s="70"/>
      <c r="U1384" s="70"/>
      <c r="V1384" s="70"/>
      <c r="W1384" s="122"/>
      <c r="X1384" s="69"/>
      <c r="Y1384" s="69"/>
      <c r="Z1384" s="90"/>
      <c r="AA1384" s="90"/>
      <c r="AB1384" s="90"/>
      <c r="AC1384" s="90"/>
      <c r="AD1384" s="80"/>
      <c r="AE1384" s="69"/>
      <c r="AF1384" s="69"/>
      <c r="AG1384" s="69"/>
      <c r="AH1384" s="69"/>
      <c r="AI1384" s="69"/>
      <c r="AJ1384" s="96"/>
      <c r="AK1384" s="96"/>
      <c r="AL1384" s="64"/>
      <c r="AM1384" s="69"/>
      <c r="AN1384" s="69"/>
      <c r="AO1384" s="33"/>
      <c r="AP1384" s="33"/>
      <c r="AQ1384" s="33"/>
      <c r="AR1384" s="33"/>
      <c r="AS1384" s="33"/>
      <c r="AT1384" s="33"/>
      <c r="AU1384" s="33"/>
      <c r="AW1384" s="68"/>
      <c r="AX1384" s="33" t="s">
        <v>252</v>
      </c>
      <c r="AY1384" s="33"/>
      <c r="AZ1384" s="109"/>
      <c r="BA1384" s="109"/>
      <c r="BB1384" s="50"/>
      <c r="BC1384" s="50"/>
      <c r="BD1384" s="50"/>
      <c r="BE1384" s="50"/>
      <c r="BF1384" s="50"/>
      <c r="BG1384" s="50"/>
      <c r="BH1384" s="50"/>
      <c r="BM1384" s="236"/>
      <c r="CA1384" s="35"/>
      <c r="CH1384" s="39"/>
      <c r="CI1384" s="32"/>
      <c r="CJ1384" s="40"/>
      <c r="CK1384" s="40"/>
      <c r="CL1384" s="33"/>
      <c r="CM1384" s="33"/>
      <c r="CN1384" s="33"/>
      <c r="CO1384" s="33"/>
      <c r="CP1384" s="33"/>
      <c r="CQ1384" s="33"/>
      <c r="CR1384" s="33"/>
    </row>
    <row r="1385" spans="7:113" ht="42">
      <c r="G1385" s="90"/>
      <c r="I1385" s="123" t="s">
        <v>79</v>
      </c>
      <c r="J1385" s="66" t="s">
        <v>253</v>
      </c>
      <c r="K1385" s="70" t="s">
        <v>254</v>
      </c>
      <c r="L1385" s="123" t="s">
        <v>79</v>
      </c>
      <c r="M1385" s="123"/>
      <c r="N1385" s="154"/>
      <c r="O1385" s="123"/>
      <c r="P1385" s="123"/>
      <c r="Q1385" s="91" t="s">
        <v>255</v>
      </c>
      <c r="R1385" s="70" t="s">
        <v>256</v>
      </c>
      <c r="S1385" s="70" t="s">
        <v>257</v>
      </c>
      <c r="T1385" s="70"/>
      <c r="U1385" s="70"/>
      <c r="V1385" s="70"/>
      <c r="W1385" s="122"/>
      <c r="X1385" s="69"/>
      <c r="Y1385" s="69"/>
      <c r="Z1385" s="90"/>
      <c r="AA1385" s="90"/>
      <c r="AB1385" s="90"/>
      <c r="AC1385" s="90"/>
      <c r="AD1385" s="80"/>
      <c r="AE1385" s="69"/>
      <c r="AF1385" s="69"/>
      <c r="AG1385" s="69"/>
      <c r="AH1385" s="69"/>
      <c r="AI1385" s="69"/>
      <c r="AJ1385" s="96"/>
      <c r="AK1385" s="96"/>
      <c r="AL1385" s="64"/>
      <c r="AM1385" s="69"/>
      <c r="AN1385" s="69"/>
      <c r="AO1385" s="33"/>
      <c r="AP1385" s="33"/>
      <c r="AQ1385" s="33"/>
      <c r="AR1385" s="33"/>
      <c r="AS1385" s="33"/>
      <c r="AT1385" s="33"/>
      <c r="AU1385" s="33"/>
      <c r="AW1385" s="68"/>
      <c r="AX1385" s="33" t="s">
        <v>251</v>
      </c>
      <c r="AY1385" s="33"/>
      <c r="AZ1385" s="109" t="s">
        <v>244</v>
      </c>
      <c r="BA1385" s="109"/>
      <c r="BB1385" s="50" t="s">
        <v>244</v>
      </c>
      <c r="BC1385" s="50"/>
      <c r="BD1385" s="50"/>
      <c r="BE1385" s="50"/>
      <c r="BF1385" s="50"/>
      <c r="BG1385" s="50"/>
      <c r="BH1385" s="50"/>
      <c r="BM1385" s="236"/>
      <c r="CA1385" s="35"/>
      <c r="CH1385" s="39"/>
      <c r="CI1385" s="32"/>
      <c r="CJ1385" s="40"/>
      <c r="CK1385" s="40"/>
      <c r="CL1385" s="33"/>
      <c r="CM1385" s="33"/>
      <c r="CN1385" s="33"/>
      <c r="CO1385" s="33"/>
      <c r="CP1385" s="33"/>
      <c r="CQ1385" s="33"/>
      <c r="CR1385" s="33"/>
    </row>
    <row r="1386" spans="7:113" ht="21">
      <c r="G1386" s="90">
        <v>1998</v>
      </c>
      <c r="I1386" s="66"/>
      <c r="J1386" s="66"/>
      <c r="K1386" s="122"/>
      <c r="L1386" s="70"/>
      <c r="M1386" s="70"/>
      <c r="N1386" s="64"/>
      <c r="O1386" s="70"/>
      <c r="P1386" s="70"/>
      <c r="Q1386" s="91"/>
      <c r="R1386" s="16"/>
      <c r="S1386" s="16"/>
      <c r="T1386" s="16"/>
      <c r="U1386" s="16"/>
      <c r="V1386" s="16"/>
      <c r="W1386" s="122"/>
      <c r="X1386" s="69"/>
      <c r="Y1386" s="69"/>
      <c r="Z1386" s="90"/>
      <c r="AA1386" s="90"/>
      <c r="AB1386" s="90"/>
      <c r="AC1386" s="90"/>
      <c r="AD1386" s="80"/>
      <c r="AE1386" s="69"/>
      <c r="AF1386" s="69"/>
      <c r="AG1386" s="69"/>
      <c r="AH1386" s="69"/>
      <c r="AI1386" s="69"/>
      <c r="AJ1386" s="96"/>
      <c r="AK1386" s="96"/>
      <c r="AL1386" s="64"/>
      <c r="AM1386" s="69"/>
      <c r="AN1386" s="69"/>
      <c r="AO1386" s="33"/>
      <c r="AP1386" s="33"/>
      <c r="AQ1386" s="33"/>
      <c r="AR1386" s="33"/>
      <c r="AS1386" s="33"/>
      <c r="AT1386" s="33"/>
      <c r="AU1386" s="33"/>
      <c r="AV1386" s="16">
        <v>2005</v>
      </c>
      <c r="AW1386" s="68">
        <v>70170.144586995928</v>
      </c>
      <c r="AX1386" s="33">
        <v>70170.144586995928</v>
      </c>
      <c r="AY1386" s="33"/>
      <c r="AZ1386" s="109">
        <v>802.79776890862206</v>
      </c>
      <c r="BA1386" s="109"/>
      <c r="BB1386" s="50">
        <v>935.25051674891006</v>
      </c>
      <c r="BC1386" s="50"/>
      <c r="BD1386" s="50"/>
      <c r="BE1386" s="50"/>
      <c r="BF1386" s="50"/>
      <c r="BG1386" s="50"/>
      <c r="BH1386" s="50"/>
      <c r="BM1386" s="236"/>
      <c r="CA1386" s="35"/>
      <c r="CH1386" s="39"/>
      <c r="CI1386" s="32"/>
      <c r="CJ1386" s="40"/>
      <c r="CK1386" s="40"/>
      <c r="CL1386" s="33"/>
      <c r="CM1386" s="33"/>
      <c r="CN1386" s="33"/>
      <c r="CO1386" s="33"/>
      <c r="CP1386" s="33"/>
      <c r="CQ1386" s="33"/>
      <c r="CR1386" s="33"/>
    </row>
    <row r="1387" spans="7:113" ht="21">
      <c r="G1387" s="90">
        <f t="shared" ref="G1387:G1409" si="2455">+G1386+1</f>
        <v>1999</v>
      </c>
      <c r="I1387" s="64"/>
      <c r="J1387" s="66"/>
      <c r="K1387" s="122"/>
      <c r="L1387" s="70"/>
      <c r="M1387" s="70"/>
      <c r="N1387" s="64"/>
      <c r="O1387" s="70"/>
      <c r="P1387" s="70"/>
      <c r="Q1387" s="70"/>
      <c r="R1387" s="16"/>
      <c r="S1387" s="16"/>
      <c r="T1387" s="16"/>
      <c r="U1387" s="16"/>
      <c r="V1387" s="16"/>
      <c r="W1387" s="122"/>
      <c r="X1387" s="69"/>
      <c r="Y1387" s="69"/>
      <c r="Z1387" s="90"/>
      <c r="AA1387" s="90"/>
      <c r="AB1387" s="90"/>
      <c r="AC1387" s="90"/>
      <c r="AD1387" s="80"/>
      <c r="AE1387" s="69"/>
      <c r="AF1387" s="69"/>
      <c r="AG1387" s="69"/>
      <c r="AH1387" s="69"/>
      <c r="AI1387" s="69"/>
      <c r="AJ1387" s="96"/>
      <c r="AK1387" s="96"/>
      <c r="AL1387" s="64"/>
      <c r="AM1387" s="69"/>
      <c r="AN1387" s="69"/>
      <c r="AO1387" s="33"/>
      <c r="AP1387" s="33"/>
      <c r="AQ1387" s="33"/>
      <c r="AR1387" s="33"/>
      <c r="AS1387" s="33"/>
      <c r="AT1387" s="33"/>
      <c r="AU1387" s="33"/>
      <c r="AV1387" s="16">
        <v>2006</v>
      </c>
      <c r="AW1387" s="68">
        <v>68205.95866710681</v>
      </c>
      <c r="AX1387" s="33">
        <v>68205.95866710681</v>
      </c>
      <c r="AY1387" s="33"/>
      <c r="AZ1387" s="109">
        <v>757.22138094352215</v>
      </c>
      <c r="BA1387" s="109"/>
      <c r="BB1387" s="50">
        <v>898.90133575563516</v>
      </c>
      <c r="BC1387" s="50">
        <v>-3.9641146185613645E-2</v>
      </c>
      <c r="BD1387" s="50"/>
      <c r="BE1387" s="50"/>
      <c r="BF1387" s="50"/>
      <c r="BG1387" s="50"/>
      <c r="BH1387" s="50"/>
      <c r="BM1387" s="236"/>
      <c r="CA1387" s="35"/>
      <c r="CH1387" s="39"/>
      <c r="CI1387" s="32"/>
      <c r="CJ1387" s="40"/>
      <c r="CK1387" s="40"/>
      <c r="CL1387" s="33"/>
      <c r="CM1387" s="33"/>
      <c r="CN1387" s="33"/>
      <c r="CO1387" s="33"/>
      <c r="CP1387" s="33"/>
      <c r="CQ1387" s="33"/>
      <c r="CR1387" s="33"/>
    </row>
    <row r="1388" spans="7:113" ht="21">
      <c r="G1388" s="90">
        <f t="shared" si="2455"/>
        <v>2000</v>
      </c>
      <c r="I1388" s="64"/>
      <c r="J1388" s="66"/>
      <c r="K1388" s="122"/>
      <c r="L1388" s="70"/>
      <c r="M1388" s="70"/>
      <c r="N1388" s="64"/>
      <c r="O1388" s="70"/>
      <c r="P1388" s="70"/>
      <c r="Q1388" s="91"/>
      <c r="R1388" s="16"/>
      <c r="S1388" s="16"/>
      <c r="T1388" s="16"/>
      <c r="U1388" s="16"/>
      <c r="V1388" s="16"/>
      <c r="W1388" s="122"/>
      <c r="X1388" s="69"/>
      <c r="Y1388" s="69"/>
      <c r="Z1388" s="90"/>
      <c r="AA1388" s="90"/>
      <c r="AB1388" s="90"/>
      <c r="AC1388" s="90"/>
      <c r="AD1388" s="80"/>
      <c r="AE1388" s="69"/>
      <c r="AF1388" s="69"/>
      <c r="AG1388" s="69"/>
      <c r="AH1388" s="69"/>
      <c r="AI1388" s="69"/>
      <c r="AJ1388" s="96"/>
      <c r="AK1388" s="96"/>
      <c r="AL1388" s="64"/>
      <c r="AM1388" s="69"/>
      <c r="AN1388" s="69"/>
      <c r="AO1388" s="33"/>
      <c r="AP1388" s="33"/>
      <c r="AQ1388" s="33"/>
      <c r="AR1388" s="33"/>
      <c r="AS1388" s="33"/>
      <c r="AT1388" s="33"/>
      <c r="AU1388" s="33"/>
      <c r="AV1388" s="16">
        <v>2007</v>
      </c>
      <c r="AW1388" s="68">
        <v>74138.770930840226</v>
      </c>
      <c r="AX1388" s="33">
        <v>74138.770930840226</v>
      </c>
      <c r="AY1388" s="33"/>
      <c r="AZ1388" s="109">
        <v>801.5175563886811</v>
      </c>
      <c r="BA1388" s="109"/>
      <c r="BB1388" s="50">
        <v>937.0987429287336</v>
      </c>
      <c r="BC1388" s="50">
        <v>4.1615379113122901E-2</v>
      </c>
      <c r="BD1388" s="50"/>
      <c r="BE1388" s="50"/>
      <c r="BF1388" s="50"/>
      <c r="BG1388" s="50"/>
      <c r="BH1388" s="50"/>
      <c r="BM1388" s="236"/>
      <c r="CA1388" s="35"/>
      <c r="CH1388" s="39"/>
      <c r="CI1388" s="32"/>
      <c r="CJ1388" s="40"/>
      <c r="CK1388" s="40"/>
      <c r="CL1388" s="33"/>
      <c r="CM1388" s="33"/>
      <c r="CN1388" s="33"/>
      <c r="CO1388" s="33"/>
      <c r="CP1388" s="33"/>
      <c r="CQ1388" s="33"/>
      <c r="CR1388" s="33"/>
    </row>
    <row r="1389" spans="7:113" ht="21">
      <c r="G1389" s="90">
        <f t="shared" si="2455"/>
        <v>2001</v>
      </c>
      <c r="I1389" s="64">
        <v>13.028770401552904</v>
      </c>
      <c r="J1389" s="69">
        <f t="shared" ref="J1389:J1408" si="2456">LN(I1390/I1389)</f>
        <v>1.2212410459837803E-2</v>
      </c>
      <c r="K1389" s="122">
        <f t="shared" ref="K1389:K1409" si="2457">+I1389*R1361</f>
        <v>56394.013280779705</v>
      </c>
      <c r="L1389" s="70"/>
      <c r="M1389" s="70"/>
      <c r="N1389" s="64"/>
      <c r="O1389" s="70"/>
      <c r="P1389" s="70"/>
      <c r="Q1389" s="91"/>
      <c r="R1389" s="129"/>
      <c r="S1389" s="70"/>
      <c r="T1389" s="70"/>
      <c r="U1389" s="70"/>
      <c r="V1389" s="70"/>
      <c r="W1389" s="122"/>
      <c r="X1389" s="69"/>
      <c r="Y1389" s="69"/>
      <c r="Z1389" s="90"/>
      <c r="AA1389" s="90"/>
      <c r="AB1389" s="90"/>
      <c r="AC1389" s="90"/>
      <c r="AD1389" s="80"/>
      <c r="AE1389" s="69"/>
      <c r="AF1389" s="69"/>
      <c r="AG1389" s="69"/>
      <c r="AH1389" s="69"/>
      <c r="AI1389" s="69"/>
      <c r="AJ1389" s="96"/>
      <c r="AK1389" s="96"/>
      <c r="AL1389" s="64"/>
      <c r="AM1389" s="69"/>
      <c r="AN1389" s="69"/>
      <c r="AO1389" s="33"/>
      <c r="AP1389" s="33"/>
      <c r="AQ1389" s="33"/>
      <c r="AR1389" s="33"/>
      <c r="AS1389" s="33"/>
      <c r="AT1389" s="33"/>
      <c r="AU1389" s="33"/>
      <c r="AV1389" s="16">
        <v>2008</v>
      </c>
      <c r="AW1389" s="68">
        <v>88435.182610678661</v>
      </c>
      <c r="AX1389" s="33">
        <v>88435.182610678661</v>
      </c>
      <c r="AY1389" s="33"/>
      <c r="AZ1389" s="109">
        <v>938.16496871211348</v>
      </c>
      <c r="BA1389" s="109"/>
      <c r="BB1389" s="50">
        <v>1090.9180010562702</v>
      </c>
      <c r="BC1389" s="50">
        <v>0.15198616489281683</v>
      </c>
      <c r="BD1389" s="50"/>
      <c r="BE1389" s="50"/>
      <c r="BF1389" s="50"/>
      <c r="BG1389" s="50"/>
      <c r="BH1389" s="50"/>
      <c r="BM1389" s="236"/>
      <c r="CA1389" s="35"/>
      <c r="CH1389" s="39"/>
      <c r="CI1389" s="32"/>
      <c r="CJ1389" s="40"/>
      <c r="CK1389" s="40"/>
      <c r="CL1389" s="33"/>
      <c r="CM1389" s="33"/>
      <c r="CN1389" s="33"/>
      <c r="CO1389" s="33"/>
      <c r="CP1389" s="33"/>
      <c r="CQ1389" s="33"/>
      <c r="CR1389" s="33"/>
    </row>
    <row r="1390" spans="7:113" ht="21">
      <c r="G1390" s="90">
        <f t="shared" si="2455"/>
        <v>2002</v>
      </c>
      <c r="I1390" s="64">
        <v>13.188858635430005</v>
      </c>
      <c r="J1390" s="69">
        <f t="shared" si="2456"/>
        <v>1.6103398661898655E-2</v>
      </c>
      <c r="K1390" s="122">
        <f t="shared" si="2457"/>
        <v>61514.388290509822</v>
      </c>
      <c r="L1390" s="69">
        <f t="shared" ref="L1390:L1409" si="2458">LN(K1390/K1389)</f>
        <v>8.6908098026235059E-2</v>
      </c>
      <c r="M1390" s="69"/>
      <c r="N1390" s="64"/>
      <c r="O1390" s="69"/>
      <c r="P1390" s="69"/>
      <c r="Q1390" s="69"/>
      <c r="R1390" s="129"/>
      <c r="S1390" s="70"/>
      <c r="T1390" s="70"/>
      <c r="U1390" s="70"/>
      <c r="V1390" s="70"/>
      <c r="W1390" s="122"/>
      <c r="X1390" s="69"/>
      <c r="Y1390" s="69"/>
      <c r="Z1390" s="90"/>
      <c r="AA1390" s="90"/>
      <c r="AB1390" s="90"/>
      <c r="AC1390" s="90"/>
      <c r="AD1390" s="80"/>
      <c r="AE1390" s="69"/>
      <c r="AF1390" s="69"/>
      <c r="AG1390" s="69"/>
      <c r="AH1390" s="69"/>
      <c r="AI1390" s="69"/>
      <c r="AJ1390" s="96"/>
      <c r="AK1390" s="96"/>
      <c r="AL1390" s="64"/>
      <c r="AM1390" s="69"/>
      <c r="AN1390" s="69"/>
      <c r="AO1390" s="33"/>
      <c r="AP1390" s="33"/>
      <c r="AQ1390" s="33"/>
      <c r="AR1390" s="33"/>
      <c r="AS1390" s="33"/>
      <c r="AT1390" s="33"/>
      <c r="AU1390" s="33"/>
      <c r="AV1390" s="16">
        <v>2009</v>
      </c>
      <c r="AW1390" s="68">
        <v>90967.869798057029</v>
      </c>
      <c r="AX1390" s="33">
        <v>90967.869798057029</v>
      </c>
      <c r="AY1390" s="33"/>
      <c r="AZ1390" s="109">
        <v>957.56660383853546</v>
      </c>
      <c r="BA1390" s="109"/>
      <c r="BB1390" s="50">
        <v>1127.7294430046586</v>
      </c>
      <c r="BC1390" s="50">
        <v>3.318672422242485E-2</v>
      </c>
      <c r="BD1390" s="50"/>
      <c r="BE1390" s="50"/>
      <c r="BF1390" s="50"/>
      <c r="BG1390" s="50"/>
      <c r="BH1390" s="50"/>
      <c r="BM1390" s="236"/>
      <c r="CA1390" s="35"/>
      <c r="CH1390" s="39"/>
      <c r="CI1390" s="32"/>
      <c r="CJ1390" s="40"/>
      <c r="CK1390" s="40"/>
      <c r="CL1390" s="33"/>
      <c r="CM1390" s="33"/>
      <c r="CN1390" s="33"/>
      <c r="CO1390" s="33"/>
      <c r="CP1390" s="33"/>
      <c r="CQ1390" s="33"/>
      <c r="CR1390" s="33"/>
    </row>
    <row r="1391" spans="7:113" ht="21">
      <c r="G1391" s="90">
        <f t="shared" si="2455"/>
        <v>2003</v>
      </c>
      <c r="I1391" s="64">
        <v>13.402963364058664</v>
      </c>
      <c r="J1391" s="69">
        <f t="shared" si="2456"/>
        <v>0.10317820269838369</v>
      </c>
      <c r="K1391" s="122">
        <f t="shared" si="2457"/>
        <v>66638.583960649165</v>
      </c>
      <c r="L1391" s="69">
        <f t="shared" si="2458"/>
        <v>8.0012645150626227E-2</v>
      </c>
      <c r="M1391" s="69"/>
      <c r="N1391" s="64"/>
      <c r="O1391" s="69"/>
      <c r="P1391" s="69"/>
      <c r="Q1391" s="69"/>
      <c r="R1391" s="129"/>
      <c r="S1391" s="70"/>
      <c r="T1391" s="70"/>
      <c r="U1391" s="70"/>
      <c r="V1391" s="70"/>
      <c r="W1391" s="122"/>
      <c r="X1391" s="69"/>
      <c r="Y1391" s="69"/>
      <c r="Z1391" s="90"/>
      <c r="AA1391" s="90"/>
      <c r="AB1391" s="90"/>
      <c r="AC1391" s="90"/>
      <c r="AD1391" s="80"/>
      <c r="AE1391" s="69"/>
      <c r="AF1391" s="69"/>
      <c r="AG1391" s="69"/>
      <c r="AH1391" s="69"/>
      <c r="AI1391" s="69"/>
      <c r="AJ1391" s="96"/>
      <c r="AK1391" s="96"/>
      <c r="AL1391" s="64"/>
      <c r="AM1391" s="69"/>
      <c r="AN1391" s="69"/>
      <c r="AO1391" s="33"/>
      <c r="AP1391" s="33"/>
      <c r="AQ1391" s="33"/>
      <c r="AR1391" s="33"/>
      <c r="AS1391" s="33"/>
      <c r="AT1391" s="33"/>
      <c r="AU1391" s="33"/>
      <c r="AV1391" s="16">
        <v>2010</v>
      </c>
      <c r="AW1391" s="68">
        <v>87351.392263189264</v>
      </c>
      <c r="AX1391" s="33">
        <v>87351.392263189264</v>
      </c>
      <c r="AY1391" s="33"/>
      <c r="AZ1391" s="109">
        <v>908.87838041379337</v>
      </c>
      <c r="BA1391" s="109"/>
      <c r="BB1391" s="50">
        <v>1071.0276260571954</v>
      </c>
      <c r="BC1391" s="50">
        <v>-5.1587683042774161E-2</v>
      </c>
      <c r="BD1391" s="50"/>
      <c r="BE1391" s="50"/>
      <c r="BF1391" s="50"/>
      <c r="BG1391" s="50"/>
      <c r="BH1391" s="50"/>
      <c r="BM1391" s="236"/>
      <c r="CA1391" s="35"/>
      <c r="CH1391" s="39"/>
      <c r="CI1391" s="32"/>
      <c r="CJ1391" s="40"/>
      <c r="CK1391" s="40"/>
      <c r="CL1391" s="33"/>
      <c r="CM1391" s="33"/>
      <c r="CN1391" s="33"/>
      <c r="CO1391" s="33"/>
      <c r="CP1391" s="33"/>
      <c r="CQ1391" s="33"/>
      <c r="CR1391" s="33"/>
    </row>
    <row r="1392" spans="7:113" ht="21">
      <c r="G1392" s="90">
        <f t="shared" si="2455"/>
        <v>2004</v>
      </c>
      <c r="I1392" s="64">
        <v>14.85971755105423</v>
      </c>
      <c r="J1392" s="69">
        <f t="shared" si="2456"/>
        <v>0.11753886646543935</v>
      </c>
      <c r="K1392" s="122">
        <f t="shared" si="2457"/>
        <v>75676.060309501161</v>
      </c>
      <c r="L1392" s="69">
        <f t="shared" si="2458"/>
        <v>0.1271781176244958</v>
      </c>
      <c r="M1392" s="69"/>
      <c r="N1392" s="64"/>
      <c r="O1392" s="69"/>
      <c r="P1392" s="69"/>
      <c r="Q1392" s="69"/>
      <c r="R1392" s="129"/>
      <c r="S1392" s="70"/>
      <c r="T1392" s="70"/>
      <c r="U1392" s="70"/>
      <c r="V1392" s="70"/>
      <c r="W1392" s="122"/>
      <c r="X1392" s="69"/>
      <c r="Y1392" s="69"/>
      <c r="Z1392" s="90"/>
      <c r="AA1392" s="90"/>
      <c r="AB1392" s="90"/>
      <c r="AC1392" s="90"/>
      <c r="AD1392" s="80"/>
      <c r="AE1392" s="69"/>
      <c r="AF1392" s="69"/>
      <c r="AG1392" s="69"/>
      <c r="AH1392" s="69"/>
      <c r="AI1392" s="69"/>
      <c r="AJ1392" s="96"/>
      <c r="AK1392" s="96"/>
      <c r="AL1392" s="64"/>
      <c r="AM1392" s="69"/>
      <c r="AN1392" s="69"/>
      <c r="AO1392" s="33"/>
      <c r="AP1392" s="33"/>
      <c r="AQ1392" s="33"/>
      <c r="AR1392" s="33"/>
      <c r="AS1392" s="33"/>
      <c r="AT1392" s="33"/>
      <c r="AU1392" s="33"/>
      <c r="AV1392" s="16">
        <v>2011</v>
      </c>
      <c r="AW1392" s="68">
        <v>92295.286846997522</v>
      </c>
      <c r="AX1392" s="33">
        <v>92295.286846997522</v>
      </c>
      <c r="AY1392" s="33"/>
      <c r="AZ1392" s="109">
        <v>940.71354010719915</v>
      </c>
      <c r="BA1392" s="109"/>
      <c r="BB1392" s="50">
        <v>1097.9768564359813</v>
      </c>
      <c r="BC1392" s="50">
        <v>2.4850679167199019E-2</v>
      </c>
      <c r="BD1392" s="50"/>
      <c r="BE1392" s="50"/>
      <c r="BF1392" s="50"/>
      <c r="BG1392" s="50"/>
      <c r="BH1392" s="50"/>
      <c r="BM1392" s="236"/>
      <c r="CA1392" s="35"/>
      <c r="CH1392" s="39"/>
      <c r="CI1392" s="32"/>
      <c r="CJ1392" s="40"/>
      <c r="CK1392" s="40"/>
      <c r="CL1392" s="33"/>
      <c r="CM1392" s="33"/>
      <c r="CN1392" s="33"/>
      <c r="CO1392" s="33"/>
      <c r="CP1392" s="33"/>
      <c r="CQ1392" s="33"/>
      <c r="CR1392" s="33"/>
    </row>
    <row r="1393" spans="7:96" ht="21">
      <c r="G1393" s="90">
        <f t="shared" si="2455"/>
        <v>2005</v>
      </c>
      <c r="I1393" s="64">
        <v>16.713100922359288</v>
      </c>
      <c r="J1393" s="69">
        <f t="shared" si="2456"/>
        <v>-2.4112949680301744E-2</v>
      </c>
      <c r="K1393" s="122">
        <f t="shared" si="2457"/>
        <v>87632.539813548559</v>
      </c>
      <c r="L1393" s="69">
        <f t="shared" si="2458"/>
        <v>0.14669052185986362</v>
      </c>
      <c r="M1393" s="69"/>
      <c r="N1393" s="64"/>
      <c r="O1393" s="69"/>
      <c r="P1393" s="69"/>
      <c r="Q1393" s="69">
        <f t="shared" ref="Q1393:Q1409" si="2459">+R1393/AF10</f>
        <v>2.8104192139122193E-2</v>
      </c>
      <c r="R1393" s="129">
        <f>+K1393+Q1412+Q1435</f>
        <v>225828.11630300805</v>
      </c>
      <c r="S1393" s="70"/>
      <c r="T1393" s="70"/>
      <c r="U1393" s="70"/>
      <c r="V1393" s="70"/>
      <c r="W1393" s="122"/>
      <c r="X1393" s="69"/>
      <c r="Y1393" s="69"/>
      <c r="Z1393" s="90"/>
      <c r="AA1393" s="90"/>
      <c r="AB1393" s="90"/>
      <c r="AC1393" s="90"/>
      <c r="AD1393" s="80"/>
      <c r="AE1393" s="69"/>
      <c r="AF1393" s="69"/>
      <c r="AG1393" s="69"/>
      <c r="AH1393" s="69"/>
      <c r="AI1393" s="69"/>
      <c r="AJ1393" s="96"/>
      <c r="AK1393" s="96"/>
      <c r="AL1393" s="64"/>
      <c r="AM1393" s="69"/>
      <c r="AN1393" s="69"/>
      <c r="AO1393" s="33"/>
      <c r="AP1393" s="33"/>
      <c r="AQ1393" s="33"/>
      <c r="AR1393" s="33"/>
      <c r="AS1393" s="33"/>
      <c r="AT1393" s="33"/>
      <c r="AU1393" s="33"/>
      <c r="AV1393" s="16">
        <v>2012</v>
      </c>
      <c r="AW1393" s="68">
        <v>80183.397422745067</v>
      </c>
      <c r="AX1393" s="33">
        <v>80183.397422745067</v>
      </c>
      <c r="AY1393" s="33"/>
      <c r="AZ1393" s="109">
        <v>801.83397422745065</v>
      </c>
      <c r="BA1393" s="109"/>
      <c r="BB1393" s="50">
        <v>923.25124250054876</v>
      </c>
      <c r="BC1393" s="50">
        <v>-0.17332314439848345</v>
      </c>
      <c r="BD1393" s="50"/>
      <c r="BE1393" s="50"/>
      <c r="BF1393" s="50"/>
      <c r="BG1393" s="50"/>
      <c r="BH1393" s="50"/>
      <c r="BM1393" s="236"/>
      <c r="CA1393" s="35"/>
      <c r="CH1393" s="39"/>
      <c r="CI1393" s="32"/>
      <c r="CJ1393" s="40"/>
      <c r="CK1393" s="40"/>
      <c r="CL1393" s="33"/>
      <c r="CM1393" s="33"/>
      <c r="CN1393" s="33"/>
      <c r="CO1393" s="33"/>
      <c r="CP1393" s="33"/>
      <c r="CQ1393" s="33"/>
      <c r="CR1393" s="33"/>
    </row>
    <row r="1394" spans="7:96" ht="21">
      <c r="G1394" s="90">
        <f t="shared" si="2455"/>
        <v>2006</v>
      </c>
      <c r="I1394" s="64">
        <v>16.314918727312939</v>
      </c>
      <c r="J1394" s="69">
        <f t="shared" si="2456"/>
        <v>7.0922841877369233E-2</v>
      </c>
      <c r="K1394" s="122">
        <f t="shared" si="2457"/>
        <v>86482.23035318288</v>
      </c>
      <c r="L1394" s="69">
        <f t="shared" si="2458"/>
        <v>-1.3213424635940305E-2</v>
      </c>
      <c r="M1394" s="69"/>
      <c r="N1394" s="64"/>
      <c r="O1394" s="69"/>
      <c r="P1394" s="69"/>
      <c r="Q1394" s="69">
        <f t="shared" si="2459"/>
        <v>2.8061561848102236E-2</v>
      </c>
      <c r="R1394" s="129">
        <f t="shared" ref="R1394:R1409" si="2460">+K1394+Q1413+Q1436</f>
        <v>223359.53531400501</v>
      </c>
      <c r="S1394" s="69">
        <f t="shared" ref="S1394:S1409" si="2461">LN(R1394/R1393)</f>
        <v>-1.0991423440921603E-2</v>
      </c>
      <c r="T1394" s="70"/>
      <c r="U1394" s="70"/>
      <c r="V1394" s="70"/>
      <c r="W1394" s="122"/>
      <c r="X1394" s="69"/>
      <c r="Y1394" s="69"/>
      <c r="Z1394" s="90"/>
      <c r="AA1394" s="90"/>
      <c r="AB1394" s="90"/>
      <c r="AC1394" s="90"/>
      <c r="AD1394" s="80"/>
      <c r="AE1394" s="69"/>
      <c r="AF1394" s="69"/>
      <c r="AG1394" s="69"/>
      <c r="AH1394" s="69"/>
      <c r="AI1394" s="69"/>
      <c r="AJ1394" s="96"/>
      <c r="AK1394" s="96"/>
      <c r="AL1394" s="64"/>
      <c r="AM1394" s="69"/>
      <c r="AN1394" s="69"/>
      <c r="AO1394" s="33"/>
      <c r="AP1394" s="33"/>
      <c r="AQ1394" s="33"/>
      <c r="AR1394" s="33"/>
      <c r="AS1394" s="33"/>
      <c r="AT1394" s="33"/>
      <c r="AU1394" s="33"/>
      <c r="AV1394" s="16">
        <v>2013</v>
      </c>
      <c r="AW1394" s="68">
        <v>98514.087433504872</v>
      </c>
      <c r="AX1394" s="33">
        <v>98514.087433504872</v>
      </c>
      <c r="AY1394" s="33"/>
      <c r="AZ1394" s="109">
        <v>967.9786135173855</v>
      </c>
      <c r="BA1394" s="109"/>
      <c r="BB1394" s="50">
        <v>1116.8272003755289</v>
      </c>
      <c r="BC1394" s="50">
        <v>0.19034568782693581</v>
      </c>
      <c r="BD1394" s="50"/>
      <c r="BE1394" s="50"/>
      <c r="BF1394" s="50"/>
      <c r="BG1394" s="50"/>
      <c r="BH1394" s="50"/>
      <c r="BM1394" s="236"/>
      <c r="CA1394" s="35"/>
      <c r="CH1394" s="39"/>
      <c r="CI1394" s="32"/>
      <c r="CJ1394" s="40"/>
      <c r="CK1394" s="40"/>
      <c r="CL1394" s="33"/>
      <c r="CM1394" s="33"/>
      <c r="CN1394" s="33"/>
      <c r="CO1394" s="33"/>
      <c r="CP1394" s="33"/>
      <c r="CQ1394" s="33"/>
      <c r="CR1394" s="33"/>
    </row>
    <row r="1395" spans="7:96" ht="21">
      <c r="G1395" s="90">
        <f t="shared" si="2455"/>
        <v>2007</v>
      </c>
      <c r="I1395" s="64">
        <v>17.514039044703704</v>
      </c>
      <c r="J1395" s="69">
        <f t="shared" si="2456"/>
        <v>0.12676389309522537</v>
      </c>
      <c r="K1395" s="122">
        <f t="shared" si="2457"/>
        <v>94996.235626555266</v>
      </c>
      <c r="L1395" s="69">
        <f t="shared" si="2458"/>
        <v>9.3898302440478795E-2</v>
      </c>
      <c r="M1395" s="69"/>
      <c r="N1395" s="64"/>
      <c r="O1395" s="69"/>
      <c r="P1395" s="69"/>
      <c r="Q1395" s="69">
        <f t="shared" si="2459"/>
        <v>2.8727078296816536E-2</v>
      </c>
      <c r="R1395" s="129">
        <f t="shared" si="2460"/>
        <v>241529.9870973372</v>
      </c>
      <c r="S1395" s="69">
        <f t="shared" si="2461"/>
        <v>7.8210896422764603E-2</v>
      </c>
      <c r="T1395" s="69"/>
      <c r="U1395" s="69"/>
      <c r="V1395" s="69"/>
      <c r="W1395" s="122"/>
      <c r="X1395" s="69"/>
      <c r="Y1395" s="69"/>
      <c r="Z1395" s="90"/>
      <c r="AA1395" s="90"/>
      <c r="AB1395" s="90"/>
      <c r="AC1395" s="90"/>
      <c r="AD1395" s="80"/>
      <c r="AE1395" s="69"/>
      <c r="AF1395" s="69"/>
      <c r="AG1395" s="69"/>
      <c r="AH1395" s="69"/>
      <c r="AI1395" s="69"/>
      <c r="AJ1395" s="96"/>
      <c r="AK1395" s="96"/>
      <c r="AL1395" s="64"/>
      <c r="AM1395" s="69"/>
      <c r="AN1395" s="69"/>
      <c r="AO1395" s="33"/>
      <c r="AP1395" s="33"/>
      <c r="AQ1395" s="33"/>
      <c r="AR1395" s="33"/>
      <c r="AS1395" s="33"/>
      <c r="AT1395" s="33"/>
      <c r="AU1395" s="33"/>
      <c r="AV1395" s="16">
        <v>2014</v>
      </c>
      <c r="AW1395" s="68">
        <v>100350.79939413707</v>
      </c>
      <c r="AX1395" s="33">
        <v>100350.79939413707</v>
      </c>
      <c r="AY1395" s="33"/>
      <c r="AZ1395" s="109">
        <v>968.19781946546505</v>
      </c>
      <c r="BA1395" s="109"/>
      <c r="BB1395" s="50">
        <v>1119.2999423777869</v>
      </c>
      <c r="BC1395" s="50">
        <v>2.2116300660122443E-3</v>
      </c>
      <c r="BD1395" s="50"/>
      <c r="BE1395" s="50"/>
      <c r="BF1395" s="50"/>
      <c r="BG1395" s="50"/>
      <c r="BH1395" s="50"/>
      <c r="BM1395" s="236"/>
      <c r="CA1395" s="35"/>
      <c r="CH1395" s="39"/>
      <c r="CI1395" s="32"/>
      <c r="CJ1395" s="40"/>
      <c r="CK1395" s="40"/>
      <c r="CL1395" s="33"/>
      <c r="CM1395" s="33"/>
      <c r="CN1395" s="33"/>
      <c r="CO1395" s="33"/>
      <c r="CP1395" s="33"/>
      <c r="CQ1395" s="33"/>
      <c r="CR1395" s="33"/>
    </row>
    <row r="1396" spans="7:96" ht="21">
      <c r="G1396" s="90">
        <f t="shared" si="2455"/>
        <v>2008</v>
      </c>
      <c r="I1396" s="64">
        <v>19.881043375638267</v>
      </c>
      <c r="J1396" s="69">
        <f t="shared" si="2456"/>
        <v>-4.19378867621608E-2</v>
      </c>
      <c r="K1396" s="122">
        <f t="shared" si="2457"/>
        <v>109693.96599208406</v>
      </c>
      <c r="L1396" s="69">
        <f t="shared" si="2458"/>
        <v>0.14385709530650775</v>
      </c>
      <c r="M1396" s="69"/>
      <c r="N1396" s="64"/>
      <c r="O1396" s="69"/>
      <c r="P1396" s="69"/>
      <c r="Q1396" s="69">
        <f t="shared" si="2459"/>
        <v>3.1542747617150355E-2</v>
      </c>
      <c r="R1396" s="129">
        <f t="shared" si="2460"/>
        <v>283537.26030541857</v>
      </c>
      <c r="S1396" s="69">
        <f t="shared" si="2461"/>
        <v>0.16034990862097132</v>
      </c>
      <c r="T1396" s="69"/>
      <c r="U1396" s="69"/>
      <c r="V1396" s="69"/>
      <c r="W1396" s="122"/>
      <c r="X1396" s="69"/>
      <c r="Y1396" s="69"/>
      <c r="Z1396" s="90"/>
      <c r="AA1396" s="90"/>
      <c r="AB1396" s="90"/>
      <c r="AC1396" s="90"/>
      <c r="AD1396" s="80"/>
      <c r="AE1396" s="69"/>
      <c r="AF1396" s="69"/>
      <c r="AG1396" s="69"/>
      <c r="AH1396" s="69"/>
      <c r="AI1396" s="69"/>
      <c r="AJ1396" s="96"/>
      <c r="AK1396" s="96"/>
      <c r="AL1396" s="64"/>
      <c r="AM1396" s="69"/>
      <c r="AN1396" s="69"/>
      <c r="AO1396" s="33"/>
      <c r="AP1396" s="33"/>
      <c r="AQ1396" s="33"/>
      <c r="AR1396" s="33"/>
      <c r="AS1396" s="33"/>
      <c r="AT1396" s="33"/>
      <c r="AU1396" s="33"/>
      <c r="AV1396" s="16">
        <v>2015</v>
      </c>
      <c r="AW1396" s="68">
        <v>91352.973244997411</v>
      </c>
      <c r="AX1396" s="33">
        <v>91352.973244997411</v>
      </c>
      <c r="AY1396" s="33"/>
      <c r="AZ1396" s="109">
        <v>873.02987648006399</v>
      </c>
      <c r="BA1396" s="109"/>
      <c r="BB1396" s="50">
        <v>1021.727865472311</v>
      </c>
      <c r="BC1396" s="50">
        <v>-9.1208258554737839E-2</v>
      </c>
      <c r="BD1396" s="50"/>
      <c r="BE1396" s="50"/>
      <c r="BF1396" s="50"/>
      <c r="BG1396" s="50"/>
      <c r="BH1396" s="50"/>
      <c r="BM1396" s="236"/>
      <c r="CA1396" s="35"/>
      <c r="CH1396" s="39"/>
      <c r="CI1396" s="32"/>
      <c r="CJ1396" s="40"/>
      <c r="CK1396" s="40"/>
      <c r="CL1396" s="33"/>
      <c r="CM1396" s="33"/>
      <c r="CN1396" s="33"/>
      <c r="CO1396" s="33"/>
      <c r="CP1396" s="33"/>
      <c r="CQ1396" s="33"/>
      <c r="CR1396" s="33"/>
    </row>
    <row r="1397" spans="7:96" ht="21">
      <c r="G1397" s="90">
        <f t="shared" si="2455"/>
        <v>2009</v>
      </c>
      <c r="I1397" s="64">
        <v>19.064515821180596</v>
      </c>
      <c r="J1397" s="69">
        <f t="shared" si="2456"/>
        <v>2.526216386507605E-2</v>
      </c>
      <c r="K1397" s="122">
        <f t="shared" si="2457"/>
        <v>107538.22666369137</v>
      </c>
      <c r="L1397" s="69">
        <f t="shared" si="2458"/>
        <v>-1.9847979908647569E-2</v>
      </c>
      <c r="M1397" s="69"/>
      <c r="N1397" s="64"/>
      <c r="O1397" s="69"/>
      <c r="P1397" s="69"/>
      <c r="Q1397" s="69">
        <f t="shared" si="2459"/>
        <v>3.0787126450132308E-2</v>
      </c>
      <c r="R1397" s="129">
        <f t="shared" si="2460"/>
        <v>288648.84924735531</v>
      </c>
      <c r="S1397" s="69">
        <f t="shared" si="2461"/>
        <v>1.7867350647356093E-2</v>
      </c>
      <c r="T1397" s="69"/>
      <c r="U1397" s="69"/>
      <c r="V1397" s="69"/>
      <c r="W1397" s="122"/>
      <c r="X1397" s="69"/>
      <c r="Y1397" s="69"/>
      <c r="Z1397" s="90"/>
      <c r="AA1397" s="90"/>
      <c r="AB1397" s="90"/>
      <c r="AC1397" s="90"/>
      <c r="AD1397" s="80"/>
      <c r="AE1397" s="69"/>
      <c r="AF1397" s="69"/>
      <c r="AG1397" s="69"/>
      <c r="AH1397" s="69"/>
      <c r="AI1397" s="69"/>
      <c r="AJ1397" s="96"/>
      <c r="AK1397" s="96"/>
      <c r="AL1397" s="64"/>
      <c r="AM1397" s="69"/>
      <c r="AN1397" s="69"/>
      <c r="AO1397" s="33"/>
      <c r="AP1397" s="33"/>
      <c r="AQ1397" s="33"/>
      <c r="AR1397" s="33"/>
      <c r="AS1397" s="33"/>
      <c r="AT1397" s="33"/>
      <c r="AU1397" s="33"/>
      <c r="AV1397" s="16">
        <v>2016</v>
      </c>
      <c r="AW1397" s="68">
        <v>106397.97648846057</v>
      </c>
      <c r="AX1397" s="33">
        <v>106397.97648846057</v>
      </c>
      <c r="AY1397" s="33"/>
      <c r="AZ1397" s="109">
        <v>1006.2606537835795</v>
      </c>
      <c r="BA1397" s="109"/>
      <c r="BB1397" s="50">
        <v>1163.5897051800819</v>
      </c>
      <c r="BC1397" s="50">
        <v>0.13001462033465735</v>
      </c>
      <c r="BD1397" s="50"/>
      <c r="BE1397" s="50"/>
      <c r="BF1397" s="50"/>
      <c r="BG1397" s="50"/>
      <c r="BH1397" s="50"/>
      <c r="BM1397" s="236"/>
      <c r="CA1397" s="35"/>
      <c r="CH1397" s="39"/>
      <c r="CI1397" s="32"/>
      <c r="CJ1397" s="40"/>
      <c r="CK1397" s="40"/>
      <c r="CL1397" s="33"/>
      <c r="CM1397" s="33"/>
      <c r="CN1397" s="33"/>
      <c r="CO1397" s="33"/>
      <c r="CP1397" s="33"/>
      <c r="CQ1397" s="33"/>
      <c r="CR1397" s="33"/>
    </row>
    <row r="1398" spans="7:96" ht="21">
      <c r="G1398" s="90">
        <f t="shared" si="2455"/>
        <v>2010</v>
      </c>
      <c r="I1398" s="64">
        <v>19.552261561541915</v>
      </c>
      <c r="J1398" s="69">
        <f t="shared" si="2456"/>
        <v>6.5694124180750518E-2</v>
      </c>
      <c r="K1398" s="122">
        <f t="shared" si="2457"/>
        <v>114018.60882762198</v>
      </c>
      <c r="L1398" s="69">
        <f t="shared" si="2458"/>
        <v>5.8515289173394179E-2</v>
      </c>
      <c r="M1398" s="69"/>
      <c r="N1398" s="64"/>
      <c r="O1398" s="69"/>
      <c r="P1398" s="69"/>
      <c r="Q1398" s="69">
        <f t="shared" si="2459"/>
        <v>2.9638887373740833E-2</v>
      </c>
      <c r="R1398" s="129">
        <f t="shared" si="2460"/>
        <v>288032.81400531577</v>
      </c>
      <c r="S1398" s="69">
        <f t="shared" si="2461"/>
        <v>-2.1364836637686223E-3</v>
      </c>
      <c r="T1398" s="69"/>
      <c r="U1398" s="69"/>
      <c r="V1398" s="69"/>
      <c r="W1398" s="122"/>
      <c r="X1398" s="69"/>
      <c r="Y1398" s="69"/>
      <c r="Z1398" s="90"/>
      <c r="AA1398" s="90"/>
      <c r="AB1398" s="90"/>
      <c r="AC1398" s="90"/>
      <c r="AD1398" s="80"/>
      <c r="AE1398" s="69"/>
      <c r="AF1398" s="69"/>
      <c r="AG1398" s="69"/>
      <c r="AH1398" s="69"/>
      <c r="AI1398" s="69"/>
      <c r="AJ1398" s="96"/>
      <c r="AK1398" s="96"/>
      <c r="AL1398" s="64"/>
      <c r="AM1398" s="69"/>
      <c r="AN1398" s="69"/>
      <c r="AO1398" s="33"/>
      <c r="AP1398" s="33"/>
      <c r="AQ1398" s="33"/>
      <c r="AR1398" s="33"/>
      <c r="AS1398" s="33"/>
      <c r="AT1398" s="33"/>
      <c r="AU1398" s="33"/>
      <c r="AV1398" s="16">
        <v>2017</v>
      </c>
      <c r="AW1398" s="68">
        <v>108217.41055661241</v>
      </c>
      <c r="AX1398" s="33">
        <v>108217.41055661241</v>
      </c>
      <c r="AY1398" s="33"/>
      <c r="AZ1398" s="109">
        <v>1004.3285960836781</v>
      </c>
      <c r="BA1398" s="109"/>
      <c r="BB1398" s="50">
        <v>1164.0244583073368</v>
      </c>
      <c r="BC1398" s="50">
        <v>3.7356116759415986E-4</v>
      </c>
      <c r="BD1398" s="50"/>
      <c r="BE1398" s="50"/>
      <c r="BF1398" s="50"/>
      <c r="BG1398" s="50"/>
      <c r="BH1398" s="50"/>
      <c r="BM1398" s="236"/>
      <c r="CA1398" s="35"/>
      <c r="CH1398" s="39"/>
      <c r="CI1398" s="32"/>
      <c r="CJ1398" s="40"/>
      <c r="CK1398" s="40"/>
      <c r="CL1398" s="33"/>
      <c r="CM1398" s="33"/>
      <c r="CN1398" s="33"/>
      <c r="CO1398" s="33"/>
      <c r="CP1398" s="33"/>
      <c r="CQ1398" s="33"/>
      <c r="CR1398" s="33"/>
    </row>
    <row r="1399" spans="7:96" ht="21">
      <c r="G1399" s="90">
        <f t="shared" si="2455"/>
        <v>2011</v>
      </c>
      <c r="I1399" s="64">
        <v>20.879860559742582</v>
      </c>
      <c r="J1399" s="69">
        <f t="shared" si="2456"/>
        <v>7.8353451031396168E-2</v>
      </c>
      <c r="K1399" s="122">
        <f t="shared" si="2457"/>
        <v>124370.21286416714</v>
      </c>
      <c r="L1399" s="69">
        <f t="shared" si="2458"/>
        <v>8.6901034800605265E-2</v>
      </c>
      <c r="M1399" s="69"/>
      <c r="N1399" s="64"/>
      <c r="O1399" s="69"/>
      <c r="P1399" s="69"/>
      <c r="Q1399" s="69">
        <f t="shared" si="2459"/>
        <v>3.0029427885421699E-2</v>
      </c>
      <c r="R1399" s="129">
        <f t="shared" si="2460"/>
        <v>306480.83806832589</v>
      </c>
      <c r="S1399" s="69">
        <f t="shared" si="2461"/>
        <v>6.2080823720610599E-2</v>
      </c>
      <c r="T1399" s="69"/>
      <c r="U1399" s="69"/>
      <c r="V1399" s="69"/>
      <c r="W1399" s="122"/>
      <c r="X1399" s="69"/>
      <c r="Y1399" s="69"/>
      <c r="Z1399" s="90"/>
      <c r="AA1399" s="90"/>
      <c r="AB1399" s="90"/>
      <c r="AC1399" s="90"/>
      <c r="AD1399" s="80"/>
      <c r="AE1399" s="69"/>
      <c r="AF1399" s="69"/>
      <c r="AG1399" s="69"/>
      <c r="AH1399" s="69"/>
      <c r="AI1399" s="69"/>
      <c r="AJ1399" s="96"/>
      <c r="AK1399" s="96"/>
      <c r="AL1399" s="64"/>
      <c r="AM1399" s="69"/>
      <c r="AN1399" s="69"/>
      <c r="AO1399" s="33"/>
      <c r="AP1399" s="33"/>
      <c r="AQ1399" s="33"/>
      <c r="AR1399" s="33"/>
      <c r="AS1399" s="33"/>
      <c r="AT1399" s="33"/>
      <c r="AU1399" s="33"/>
      <c r="AV1399" s="16">
        <v>2018</v>
      </c>
      <c r="AW1399" s="68">
        <v>263633.92342486454</v>
      </c>
      <c r="AX1399" s="33">
        <v>263633.92342486454</v>
      </c>
      <c r="AY1399" s="33"/>
      <c r="AZ1399" s="109">
        <v>2389.6767954248885</v>
      </c>
      <c r="BA1399" s="109"/>
      <c r="BB1399" s="50">
        <v>2893.8706415031797</v>
      </c>
      <c r="BC1399" s="50">
        <v>0.91071156697163991</v>
      </c>
      <c r="BD1399" s="50"/>
      <c r="BE1399" s="50"/>
      <c r="BF1399" s="50"/>
      <c r="BG1399" s="50"/>
      <c r="BH1399" s="50"/>
      <c r="BM1399" s="236"/>
      <c r="CA1399" s="35"/>
      <c r="CH1399" s="39"/>
      <c r="CI1399" s="32"/>
      <c r="CJ1399" s="40"/>
      <c r="CK1399" s="40"/>
      <c r="CL1399" s="33"/>
      <c r="CM1399" s="33"/>
      <c r="CN1399" s="33"/>
      <c r="CO1399" s="33"/>
      <c r="CP1399" s="33"/>
      <c r="CQ1399" s="33"/>
      <c r="CR1399" s="33"/>
    </row>
    <row r="1400" spans="7:96" ht="21">
      <c r="G1400" s="90">
        <f t="shared" si="2455"/>
        <v>2012</v>
      </c>
      <c r="I1400" s="64">
        <v>22.581670465355007</v>
      </c>
      <c r="J1400" s="69">
        <f t="shared" si="2456"/>
        <v>-1.7258773971605385E-2</v>
      </c>
      <c r="K1400" s="122">
        <f t="shared" si="2457"/>
        <v>137494.12223095191</v>
      </c>
      <c r="L1400" s="69">
        <f t="shared" si="2458"/>
        <v>0.10031846357798922</v>
      </c>
      <c r="M1400" s="69"/>
      <c r="N1400" s="64"/>
      <c r="O1400" s="69"/>
      <c r="P1400" s="69"/>
      <c r="Q1400" s="69">
        <f t="shared" si="2459"/>
        <v>2.7451895550040347E-2</v>
      </c>
      <c r="R1400" s="129">
        <f t="shared" si="2460"/>
        <v>293571.4681505718</v>
      </c>
      <c r="S1400" s="69">
        <f t="shared" si="2461"/>
        <v>-4.3034122190149515E-2</v>
      </c>
      <c r="T1400" s="69"/>
      <c r="U1400" s="69"/>
      <c r="V1400" s="69"/>
      <c r="W1400" s="122"/>
      <c r="X1400" s="69"/>
      <c r="Y1400" s="69"/>
      <c r="Z1400" s="90"/>
      <c r="AA1400" s="90"/>
      <c r="AB1400" s="90"/>
      <c r="AC1400" s="90"/>
      <c r="AD1400" s="80"/>
      <c r="AE1400" s="69"/>
      <c r="AF1400" s="69"/>
      <c r="AG1400" s="69"/>
      <c r="AH1400" s="69"/>
      <c r="AI1400" s="69"/>
      <c r="AJ1400" s="96"/>
      <c r="AK1400" s="96"/>
      <c r="AL1400" s="64"/>
      <c r="AM1400" s="69"/>
      <c r="AN1400" s="69"/>
      <c r="AO1400" s="33"/>
      <c r="AP1400" s="33"/>
      <c r="AQ1400" s="33"/>
      <c r="AR1400" s="33"/>
      <c r="AS1400" s="33"/>
      <c r="AT1400" s="33"/>
      <c r="AU1400" s="33"/>
      <c r="AV1400" s="16">
        <v>2019</v>
      </c>
      <c r="AW1400" s="68">
        <v>154919.95358487166</v>
      </c>
      <c r="AX1400" s="33">
        <v>154919.95358487166</v>
      </c>
      <c r="AY1400" s="33"/>
      <c r="AZ1400" s="109">
        <v>1379.2976511767629</v>
      </c>
      <c r="BA1400" s="109"/>
      <c r="BB1400" s="50">
        <v>1627.3198575609074</v>
      </c>
      <c r="BC1400" s="50">
        <v>-0.57566052597580453</v>
      </c>
      <c r="BD1400" s="50"/>
      <c r="BE1400" s="50"/>
      <c r="BF1400" s="50"/>
      <c r="BG1400" s="50"/>
      <c r="BH1400" s="50"/>
      <c r="BM1400" s="236"/>
      <c r="CA1400" s="35"/>
      <c r="CH1400" s="39"/>
      <c r="CI1400" s="32"/>
      <c r="CJ1400" s="40"/>
      <c r="CK1400" s="40"/>
      <c r="CL1400" s="33"/>
      <c r="CM1400" s="33"/>
      <c r="CN1400" s="33"/>
      <c r="CO1400" s="33"/>
      <c r="CP1400" s="33"/>
      <c r="CQ1400" s="33"/>
      <c r="CR1400" s="33"/>
    </row>
    <row r="1401" spans="7:96" ht="21">
      <c r="G1401" s="90">
        <f t="shared" si="2455"/>
        <v>2013</v>
      </c>
      <c r="I1401" s="64">
        <v>22.195282401936183</v>
      </c>
      <c r="J1401" s="69">
        <f t="shared" si="2456"/>
        <v>2.1937428648886603E-2</v>
      </c>
      <c r="K1401" s="122">
        <f t="shared" si="2457"/>
        <v>137816.06414457137</v>
      </c>
      <c r="L1401" s="69">
        <f t="shared" si="2458"/>
        <v>2.3387587986055942E-3</v>
      </c>
      <c r="M1401" s="69"/>
      <c r="N1401" s="64"/>
      <c r="O1401" s="69"/>
      <c r="P1401" s="69"/>
      <c r="Q1401" s="69">
        <f t="shared" si="2459"/>
        <v>2.9750094219580712E-2</v>
      </c>
      <c r="R1401" s="129">
        <f t="shared" si="2460"/>
        <v>329965.24162662355</v>
      </c>
      <c r="S1401" s="69">
        <f t="shared" si="2461"/>
        <v>0.1168662078144504</v>
      </c>
      <c r="T1401" s="69"/>
      <c r="U1401" s="69"/>
      <c r="V1401" s="69"/>
      <c r="W1401" s="70"/>
      <c r="X1401" s="70"/>
      <c r="Y1401" s="70"/>
      <c r="AD1401" s="80"/>
      <c r="AE1401" s="69"/>
      <c r="AF1401" s="69"/>
      <c r="AG1401" s="69"/>
      <c r="AH1401" s="69"/>
      <c r="AI1401" s="69"/>
      <c r="AJ1401" s="69"/>
      <c r="AK1401" s="69"/>
      <c r="AL1401" s="69"/>
      <c r="AM1401" s="33"/>
      <c r="AN1401" s="33"/>
      <c r="AO1401" s="33"/>
      <c r="AP1401" s="33"/>
      <c r="AQ1401" s="33"/>
      <c r="AR1401" s="33"/>
      <c r="AS1401" s="33"/>
      <c r="AT1401" s="33"/>
      <c r="AU1401" s="33"/>
      <c r="AV1401" s="16">
        <v>2020</v>
      </c>
      <c r="AW1401" s="68">
        <v>110798.08406738167</v>
      </c>
      <c r="AX1401" s="33">
        <v>110798.08406738167</v>
      </c>
      <c r="AY1401" s="33"/>
      <c r="AZ1401" s="109">
        <v>975.13781600012032</v>
      </c>
      <c r="BA1401" s="109"/>
      <c r="BB1401" s="50">
        <v>1119.1820203736513</v>
      </c>
      <c r="BC1401" s="50">
        <v>-0.37433632284836338</v>
      </c>
      <c r="BD1401" s="50"/>
      <c r="BE1401" s="50"/>
      <c r="BF1401" s="50"/>
      <c r="BG1401" s="50"/>
      <c r="BH1401" s="50"/>
      <c r="BM1401" s="236"/>
      <c r="CA1401" s="35"/>
      <c r="CH1401" s="39"/>
      <c r="CI1401" s="32"/>
      <c r="CJ1401" s="40"/>
      <c r="CK1401" s="40"/>
      <c r="CL1401" s="33"/>
      <c r="CM1401" s="33"/>
      <c r="CN1401" s="33"/>
      <c r="CO1401" s="33"/>
      <c r="CP1401" s="33"/>
      <c r="CQ1401" s="33"/>
      <c r="CR1401" s="33"/>
    </row>
    <row r="1402" spans="7:96" ht="21">
      <c r="G1402" s="90">
        <f t="shared" si="2455"/>
        <v>2014</v>
      </c>
      <c r="I1402" s="64">
        <v>22.68756984363295</v>
      </c>
      <c r="J1402" s="69">
        <f t="shared" si="2456"/>
        <v>-2.2087936428650076E-2</v>
      </c>
      <c r="K1402" s="122">
        <f t="shared" si="2457"/>
        <v>142404.32961384201</v>
      </c>
      <c r="L1402" s="69">
        <f t="shared" si="2458"/>
        <v>3.2750475526976304E-2</v>
      </c>
      <c r="M1402" s="69"/>
      <c r="N1402" s="64"/>
      <c r="O1402" s="69"/>
      <c r="P1402" s="69"/>
      <c r="Q1402" s="69">
        <f t="shared" si="2459"/>
        <v>2.9734967856331843E-2</v>
      </c>
      <c r="R1402" s="129">
        <f t="shared" si="2460"/>
        <v>338524.91828449769</v>
      </c>
      <c r="S1402" s="69">
        <f t="shared" si="2461"/>
        <v>2.5610382973023701E-2</v>
      </c>
      <c r="T1402" s="69"/>
      <c r="U1402" s="69"/>
      <c r="V1402" s="69"/>
      <c r="W1402" s="70"/>
      <c r="X1402" s="69"/>
      <c r="Y1402" s="69"/>
      <c r="AD1402" s="80"/>
      <c r="AE1402" s="69"/>
      <c r="AF1402" s="69"/>
      <c r="AG1402" s="69"/>
      <c r="AH1402" s="69"/>
      <c r="AI1402" s="69"/>
      <c r="AJ1402" s="69"/>
      <c r="AK1402" s="69"/>
      <c r="AL1402" s="69"/>
      <c r="AM1402" s="69"/>
      <c r="AN1402" s="33"/>
      <c r="AO1402" s="33"/>
      <c r="AP1402" s="33"/>
      <c r="AQ1402" s="33"/>
      <c r="AR1402" s="33"/>
      <c r="AS1402" s="33"/>
      <c r="AT1402" s="33"/>
      <c r="AU1402" s="33"/>
      <c r="AV1402" s="16">
        <v>2021</v>
      </c>
      <c r="AW1402" s="68">
        <v>131514.10333494714</v>
      </c>
      <c r="AX1402" s="33">
        <v>131514.10333494714</v>
      </c>
      <c r="AY1402" s="33"/>
      <c r="AZ1402" s="109">
        <v>1109.9173207439205</v>
      </c>
      <c r="BA1402" s="109"/>
      <c r="BB1402" s="50">
        <v>1109.9173207439205</v>
      </c>
      <c r="BC1402" s="50">
        <v>-8.3125527937406973E-3</v>
      </c>
      <c r="BD1402" s="50"/>
      <c r="BE1402" s="50"/>
      <c r="BF1402" s="50"/>
      <c r="BG1402" s="50"/>
      <c r="BH1402" s="50"/>
      <c r="BM1402" s="236"/>
      <c r="CA1402" s="35"/>
      <c r="CH1402" s="39"/>
      <c r="CI1402" s="32"/>
      <c r="CJ1402" s="40"/>
      <c r="CK1402" s="40"/>
      <c r="CL1402" s="33"/>
      <c r="CM1402" s="33"/>
      <c r="CN1402" s="33"/>
      <c r="CO1402" s="33"/>
      <c r="CP1402" s="33"/>
      <c r="CQ1402" s="33"/>
      <c r="CR1402" s="33"/>
    </row>
    <row r="1403" spans="7:96" ht="21">
      <c r="G1403" s="90">
        <f t="shared" si="2455"/>
        <v>2015</v>
      </c>
      <c r="I1403" s="64">
        <v>22.191942090638371</v>
      </c>
      <c r="J1403" s="69">
        <f t="shared" si="2456"/>
        <v>-1.8356785289269626E-2</v>
      </c>
      <c r="K1403" s="122">
        <f t="shared" si="2457"/>
        <v>141591.81464599445</v>
      </c>
      <c r="L1403" s="69">
        <f t="shared" si="2458"/>
        <v>-5.7220296908297051E-3</v>
      </c>
      <c r="M1403" s="69"/>
      <c r="N1403" s="64"/>
      <c r="O1403" s="69"/>
      <c r="P1403" s="69"/>
      <c r="Q1403" s="69">
        <f t="shared" si="2459"/>
        <v>2.8035194974703186E-2</v>
      </c>
      <c r="R1403" s="129">
        <f t="shared" si="2460"/>
        <v>322329.5303814513</v>
      </c>
      <c r="S1403" s="69">
        <f t="shared" si="2461"/>
        <v>-4.9023294962485336E-2</v>
      </c>
      <c r="T1403" s="69"/>
      <c r="U1403" s="69"/>
      <c r="V1403" s="69"/>
      <c r="W1403" s="70"/>
      <c r="X1403" s="69"/>
      <c r="Y1403" s="69"/>
      <c r="AD1403" s="80"/>
      <c r="AE1403" s="69"/>
      <c r="AF1403" s="69"/>
      <c r="AG1403" s="69"/>
      <c r="AH1403" s="69"/>
      <c r="AI1403" s="69"/>
      <c r="AJ1403" s="69"/>
      <c r="AK1403" s="69"/>
      <c r="AL1403" s="69"/>
      <c r="AM1403" s="69"/>
      <c r="AN1403" s="33"/>
      <c r="AO1403" s="33"/>
      <c r="AP1403" s="33"/>
      <c r="AQ1403" s="33"/>
      <c r="AR1403" s="33"/>
      <c r="AS1403" s="33"/>
      <c r="AT1403" s="33"/>
      <c r="AU1403" s="33"/>
      <c r="AW1403" s="68"/>
      <c r="AX1403" s="33"/>
      <c r="AY1403" s="33"/>
      <c r="AZ1403" s="109"/>
      <c r="BA1403" s="109"/>
      <c r="BB1403" s="50"/>
      <c r="BC1403" s="50"/>
      <c r="BD1403" s="50"/>
      <c r="BE1403" s="50"/>
      <c r="BF1403" s="50"/>
      <c r="BG1403" s="50"/>
      <c r="BH1403" s="50"/>
      <c r="BM1403" s="236"/>
      <c r="CA1403" s="35"/>
      <c r="CH1403" s="39"/>
      <c r="CI1403" s="32"/>
      <c r="CJ1403" s="40"/>
      <c r="CK1403" s="40"/>
      <c r="CL1403" s="33"/>
      <c r="CM1403" s="33"/>
      <c r="CN1403" s="33"/>
      <c r="CO1403" s="33"/>
      <c r="CP1403" s="33"/>
      <c r="CQ1403" s="33"/>
      <c r="CR1403" s="33"/>
    </row>
    <row r="1404" spans="7:96" ht="21">
      <c r="G1404" s="90">
        <f t="shared" si="2455"/>
        <v>2016</v>
      </c>
      <c r="I1404" s="64">
        <v>21.788285627043933</v>
      </c>
      <c r="J1404" s="69">
        <f t="shared" si="2456"/>
        <v>-0.10545836297571233</v>
      </c>
      <c r="K1404" s="122">
        <f t="shared" si="2457"/>
        <v>141027.5174531542</v>
      </c>
      <c r="L1404" s="69">
        <f t="shared" si="2458"/>
        <v>-3.9933428371136193E-3</v>
      </c>
      <c r="M1404" s="69"/>
      <c r="N1404" s="64"/>
      <c r="O1404" s="69"/>
      <c r="P1404" s="69"/>
      <c r="Q1404" s="69">
        <f t="shared" si="2459"/>
        <v>2.9334777223385799E-2</v>
      </c>
      <c r="R1404" s="129">
        <f t="shared" si="2460"/>
        <v>349017.64330224122</v>
      </c>
      <c r="S1404" s="69">
        <f t="shared" si="2461"/>
        <v>7.95480662797724E-2</v>
      </c>
      <c r="T1404" s="69"/>
      <c r="U1404" s="69"/>
      <c r="V1404" s="69"/>
      <c r="W1404" s="70"/>
      <c r="X1404" s="69"/>
      <c r="Y1404" s="69"/>
      <c r="AD1404" s="80"/>
      <c r="AE1404" s="69"/>
      <c r="AF1404" s="69"/>
      <c r="AG1404" s="69"/>
      <c r="AH1404" s="69"/>
      <c r="AI1404" s="69"/>
      <c r="AJ1404" s="69"/>
      <c r="AK1404" s="69"/>
      <c r="AL1404" s="69"/>
      <c r="AM1404" s="69"/>
      <c r="AN1404" s="33"/>
      <c r="AO1404" s="33"/>
      <c r="AP1404" s="33"/>
      <c r="AQ1404" s="33"/>
      <c r="AR1404" s="33"/>
      <c r="AS1404" s="33"/>
      <c r="AT1404" s="33"/>
      <c r="AU1404" s="33"/>
      <c r="AW1404" s="68"/>
      <c r="AX1404" s="33"/>
      <c r="AY1404" s="33"/>
      <c r="AZ1404" s="109"/>
      <c r="BA1404" s="109"/>
      <c r="BB1404" s="50"/>
      <c r="BC1404" s="50"/>
      <c r="BD1404" s="50"/>
      <c r="BE1404" s="50"/>
      <c r="BF1404" s="50"/>
      <c r="BG1404" s="50"/>
      <c r="BH1404" s="50"/>
      <c r="BM1404" s="236"/>
      <c r="CA1404" s="35"/>
      <c r="CH1404" s="39"/>
      <c r="CI1404" s="32"/>
      <c r="CJ1404" s="40"/>
      <c r="CK1404" s="40"/>
      <c r="CL1404" s="33"/>
      <c r="CM1404" s="33"/>
      <c r="CN1404" s="33"/>
      <c r="CO1404" s="33"/>
      <c r="CP1404" s="33"/>
      <c r="CQ1404" s="33"/>
      <c r="CR1404" s="33"/>
    </row>
    <row r="1405" spans="7:96" ht="21">
      <c r="G1405" s="90">
        <f t="shared" si="2455"/>
        <v>2017</v>
      </c>
      <c r="I1405" s="64">
        <v>19.60753842542896</v>
      </c>
      <c r="J1405" s="69">
        <f t="shared" si="2456"/>
        <v>4.3902647646573922E-2</v>
      </c>
      <c r="K1405" s="122">
        <f t="shared" si="2457"/>
        <v>129363.26282224835</v>
      </c>
      <c r="L1405" s="69">
        <f t="shared" si="2458"/>
        <v>-8.6330592822051092E-2</v>
      </c>
      <c r="M1405" s="69"/>
      <c r="N1405" s="64"/>
      <c r="O1405" s="69"/>
      <c r="P1405" s="69"/>
      <c r="Q1405" s="69">
        <f t="shared" si="2459"/>
        <v>2.8832267926184832E-2</v>
      </c>
      <c r="R1405" s="129">
        <f t="shared" si="2460"/>
        <v>341396.22744558239</v>
      </c>
      <c r="S1405" s="69">
        <f t="shared" si="2461"/>
        <v>-2.2078714747222946E-2</v>
      </c>
      <c r="T1405" s="69"/>
      <c r="U1405" s="69"/>
      <c r="V1405" s="69"/>
      <c r="W1405" s="70"/>
      <c r="X1405" s="69"/>
      <c r="Y1405" s="69"/>
      <c r="AD1405" s="80"/>
      <c r="AE1405" s="69"/>
      <c r="AF1405" s="69"/>
      <c r="AG1405" s="69"/>
      <c r="AH1405" s="69"/>
      <c r="AI1405" s="69"/>
      <c r="AJ1405" s="69"/>
      <c r="AK1405" s="69"/>
      <c r="AL1405" s="69"/>
      <c r="AM1405" s="69"/>
      <c r="AN1405" s="33"/>
      <c r="AO1405" s="33"/>
      <c r="AP1405" s="33"/>
      <c r="AQ1405" s="33"/>
      <c r="AR1405" s="33"/>
      <c r="AS1405" s="33"/>
      <c r="AT1405" s="33"/>
      <c r="AU1405" s="33"/>
      <c r="AW1405" s="68"/>
      <c r="AX1405" s="33"/>
      <c r="AY1405" s="33"/>
      <c r="AZ1405" s="109"/>
      <c r="BA1405" s="109"/>
      <c r="BB1405" s="50"/>
      <c r="BC1405" s="50"/>
      <c r="BD1405" s="50"/>
      <c r="BE1405" s="50"/>
      <c r="BF1405" s="50"/>
      <c r="BG1405" s="50"/>
      <c r="BH1405" s="50"/>
      <c r="BM1405" s="236"/>
      <c r="CA1405" s="35"/>
      <c r="CH1405" s="39"/>
      <c r="CI1405" s="32"/>
      <c r="CJ1405" s="40"/>
      <c r="CK1405" s="40"/>
      <c r="CL1405" s="33"/>
      <c r="CM1405" s="33"/>
      <c r="CN1405" s="33"/>
      <c r="CO1405" s="33"/>
      <c r="CP1405" s="33"/>
      <c r="CQ1405" s="33"/>
      <c r="CR1405" s="33"/>
    </row>
    <row r="1406" spans="7:96" ht="21">
      <c r="G1406" s="90">
        <f t="shared" si="2455"/>
        <v>2018</v>
      </c>
      <c r="I1406" s="64">
        <v>20.487537070332433</v>
      </c>
      <c r="J1406" s="69">
        <f t="shared" si="2456"/>
        <v>9.7887734141308327E-3</v>
      </c>
      <c r="K1406" s="122">
        <f t="shared" si="2457"/>
        <v>137391.53881946937</v>
      </c>
      <c r="L1406" s="69">
        <f t="shared" si="2458"/>
        <v>6.0210359490497446E-2</v>
      </c>
      <c r="M1406" s="69"/>
      <c r="N1406" s="64"/>
      <c r="O1406" s="69"/>
      <c r="P1406" s="69"/>
      <c r="Q1406" s="69">
        <f t="shared" si="2459"/>
        <v>5.2608600446395676E-2</v>
      </c>
      <c r="R1406" s="129">
        <f t="shared" si="2460"/>
        <v>677102.46577939414</v>
      </c>
      <c r="S1406" s="69">
        <f t="shared" si="2461"/>
        <v>0.68477885410980044</v>
      </c>
      <c r="T1406" s="69"/>
      <c r="U1406" s="69"/>
      <c r="V1406" s="69"/>
      <c r="W1406" s="70"/>
      <c r="X1406" s="69"/>
      <c r="Y1406" s="69"/>
      <c r="AE1406" s="69"/>
      <c r="AF1406" s="70"/>
      <c r="AG1406" s="70"/>
      <c r="AH1406" s="70"/>
      <c r="AI1406" s="70"/>
      <c r="AJ1406" s="70"/>
      <c r="AK1406" s="69"/>
      <c r="AL1406" s="69"/>
      <c r="AM1406" s="33"/>
      <c r="AN1406" s="33"/>
      <c r="AO1406" s="33"/>
      <c r="AP1406" s="33"/>
      <c r="AQ1406" s="33"/>
      <c r="AR1406" s="33"/>
      <c r="AS1406" s="33"/>
      <c r="AT1406" s="33"/>
      <c r="AU1406" s="33"/>
      <c r="AW1406" s="68"/>
      <c r="AX1406" s="33"/>
      <c r="AY1406" s="33"/>
      <c r="AZ1406" s="109"/>
      <c r="BA1406" s="109"/>
      <c r="BB1406" s="50"/>
      <c r="BC1406" s="50"/>
      <c r="BD1406" s="50"/>
      <c r="BE1406" s="50"/>
      <c r="BF1406" s="50"/>
      <c r="BG1406" s="50"/>
      <c r="BH1406" s="50"/>
      <c r="BM1406" s="236"/>
      <c r="CA1406" s="35"/>
      <c r="CH1406" s="39"/>
      <c r="CI1406" s="32"/>
      <c r="CJ1406" s="40"/>
      <c r="CK1406" s="40"/>
      <c r="CL1406" s="33"/>
      <c r="CM1406" s="33"/>
      <c r="CN1406" s="33"/>
      <c r="CO1406" s="33"/>
      <c r="CP1406" s="33"/>
      <c r="CQ1406" s="33"/>
      <c r="CR1406" s="33"/>
    </row>
    <row r="1407" spans="7:96" ht="21">
      <c r="G1407" s="90">
        <f t="shared" si="2455"/>
        <v>2019</v>
      </c>
      <c r="I1407" s="64">
        <v>20.68906969790406</v>
      </c>
      <c r="J1407" s="69">
        <f t="shared" si="2456"/>
        <v>3.5633580116232244E-2</v>
      </c>
      <c r="K1407" s="122">
        <f t="shared" si="2457"/>
        <v>140738.8449142226</v>
      </c>
      <c r="L1407" s="69">
        <f t="shared" si="2458"/>
        <v>2.4071212025353547E-2</v>
      </c>
      <c r="M1407" s="69"/>
      <c r="N1407" s="64"/>
      <c r="O1407" s="69"/>
      <c r="P1407" s="69"/>
      <c r="Q1407" s="69">
        <f t="shared" si="2459"/>
        <v>3.3892205065953265E-2</v>
      </c>
      <c r="R1407" s="129">
        <f t="shared" si="2460"/>
        <v>449727.302235957</v>
      </c>
      <c r="S1407" s="69">
        <f t="shared" si="2461"/>
        <v>-0.40918121011786102</v>
      </c>
      <c r="T1407" s="69"/>
      <c r="U1407" s="69"/>
      <c r="V1407" s="69"/>
      <c r="W1407" s="70"/>
      <c r="X1407" s="69"/>
      <c r="Y1407" s="69"/>
      <c r="AE1407" s="69"/>
      <c r="AF1407" s="70"/>
      <c r="AG1407" s="70"/>
      <c r="AH1407" s="70"/>
      <c r="AI1407" s="70"/>
      <c r="AJ1407" s="70"/>
      <c r="AK1407" s="69"/>
      <c r="AL1407" s="69"/>
      <c r="AM1407" s="33"/>
      <c r="AN1407" s="33"/>
      <c r="AO1407" s="33"/>
      <c r="AP1407" s="33"/>
      <c r="AQ1407" s="33"/>
      <c r="AR1407" s="33"/>
      <c r="AS1407" s="33"/>
      <c r="AT1407" s="33"/>
      <c r="AU1407" s="33"/>
      <c r="AW1407" s="68" t="s">
        <v>258</v>
      </c>
      <c r="AX1407" s="33" t="s">
        <v>259</v>
      </c>
      <c r="AY1407" s="33"/>
      <c r="AZ1407" s="109" t="s">
        <v>260</v>
      </c>
      <c r="BA1407" s="109"/>
      <c r="BB1407" s="50"/>
      <c r="BC1407" s="50"/>
      <c r="BD1407" s="50"/>
      <c r="BE1407" s="50"/>
      <c r="BF1407" s="50"/>
      <c r="BG1407" s="50"/>
      <c r="BH1407" s="50"/>
      <c r="BM1407" s="236"/>
      <c r="CA1407" s="35"/>
      <c r="CH1407" s="39"/>
      <c r="CI1407" s="32"/>
      <c r="CJ1407" s="40"/>
      <c r="CK1407" s="40"/>
      <c r="CL1407" s="33"/>
      <c r="CM1407" s="33"/>
      <c r="CN1407" s="33"/>
      <c r="CO1407" s="33"/>
      <c r="CP1407" s="33"/>
      <c r="CQ1407" s="33"/>
      <c r="CR1407" s="33"/>
    </row>
    <row r="1408" spans="7:96" ht="21">
      <c r="G1408" s="90">
        <f t="shared" si="2455"/>
        <v>2020</v>
      </c>
      <c r="I1408" s="64">
        <v>21.439587730093177</v>
      </c>
      <c r="J1408" s="69">
        <f t="shared" si="2456"/>
        <v>0.17895048597576343</v>
      </c>
      <c r="K1408" s="122">
        <f t="shared" si="2457"/>
        <v>148540.27248861163</v>
      </c>
      <c r="L1408" s="69">
        <f t="shared" si="2458"/>
        <v>5.3950107412377636E-2</v>
      </c>
      <c r="M1408" s="69"/>
      <c r="N1408" s="64"/>
      <c r="O1408" s="69"/>
      <c r="P1408" s="69"/>
      <c r="Q1408" s="69">
        <f t="shared" si="2459"/>
        <v>2.6578763753846508E-2</v>
      </c>
      <c r="R1408" s="129">
        <f t="shared" si="2460"/>
        <v>363514.77220802818</v>
      </c>
      <c r="S1408" s="69">
        <f t="shared" si="2461"/>
        <v>-0.21282146908448446</v>
      </c>
      <c r="T1408" s="69"/>
      <c r="U1408" s="69"/>
      <c r="V1408" s="69"/>
      <c r="W1408" s="70"/>
      <c r="X1408" s="69"/>
      <c r="Y1408" s="69"/>
      <c r="AE1408" s="69"/>
      <c r="AF1408" s="70"/>
      <c r="AG1408" s="70"/>
      <c r="AH1408" s="70"/>
      <c r="AI1408" s="70"/>
      <c r="AJ1408" s="70"/>
      <c r="AK1408" s="69"/>
      <c r="AL1408" s="69"/>
      <c r="AM1408" s="33"/>
      <c r="AN1408" s="33"/>
      <c r="AO1408" s="33"/>
      <c r="AP1408" s="33"/>
      <c r="AQ1408" s="33"/>
      <c r="AR1408" s="33"/>
      <c r="AS1408" s="33"/>
      <c r="AT1408" s="33"/>
      <c r="AU1408" s="33"/>
      <c r="AW1408" s="68"/>
      <c r="AX1408" s="33"/>
      <c r="AY1408" s="33"/>
      <c r="AZ1408" s="109"/>
      <c r="BA1408" s="109"/>
      <c r="BB1408" s="50"/>
      <c r="BC1408" s="50"/>
      <c r="BD1408" s="50"/>
      <c r="BE1408" s="50"/>
      <c r="BF1408" s="50"/>
      <c r="BG1408" s="50"/>
      <c r="BH1408" s="50"/>
      <c r="BM1408" s="236"/>
      <c r="CA1408" s="35"/>
      <c r="CH1408" s="39"/>
      <c r="CI1408" s="32"/>
      <c r="CJ1408" s="40"/>
      <c r="CK1408" s="40"/>
      <c r="CL1408" s="33"/>
      <c r="CM1408" s="33"/>
      <c r="CN1408" s="33"/>
      <c r="CO1408" s="33"/>
      <c r="CP1408" s="33"/>
      <c r="CQ1408" s="33"/>
      <c r="CR1408" s="33"/>
    </row>
    <row r="1409" spans="7:96" ht="21">
      <c r="G1409" s="90">
        <f t="shared" si="2455"/>
        <v>2021</v>
      </c>
      <c r="I1409" s="64">
        <v>25.640922054930936</v>
      </c>
      <c r="J1409" s="66"/>
      <c r="K1409" s="122">
        <f t="shared" si="2457"/>
        <v>181017.15214713442</v>
      </c>
      <c r="L1409" s="69">
        <f t="shared" si="2458"/>
        <v>0.1977356733344231</v>
      </c>
      <c r="M1409" s="69"/>
      <c r="N1409" s="64"/>
      <c r="O1409" s="69"/>
      <c r="P1409" s="69"/>
      <c r="Q1409" s="69">
        <f t="shared" si="2459"/>
        <v>2.6485976124161967E-2</v>
      </c>
      <c r="R1409" s="129">
        <f t="shared" si="2460"/>
        <v>405827.58519832609</v>
      </c>
      <c r="S1409" s="69">
        <f t="shared" si="2461"/>
        <v>0.11010846744649747</v>
      </c>
      <c r="T1409" s="69"/>
      <c r="U1409" s="69"/>
      <c r="V1409" s="69"/>
      <c r="W1409" s="70"/>
      <c r="X1409" s="69"/>
      <c r="Y1409" s="69"/>
      <c r="AE1409" s="69"/>
      <c r="AF1409" s="70"/>
      <c r="AG1409" s="70"/>
      <c r="AH1409" s="70"/>
      <c r="AI1409" s="70"/>
      <c r="AJ1409" s="70"/>
      <c r="AK1409" s="69"/>
      <c r="AL1409" s="69"/>
      <c r="AM1409" s="33"/>
      <c r="AN1409" s="33"/>
      <c r="AO1409" s="33"/>
      <c r="AP1409" s="33"/>
      <c r="AQ1409" s="33"/>
      <c r="AR1409" s="33"/>
      <c r="AS1409" s="33"/>
      <c r="AT1409" s="33"/>
      <c r="AU1409" s="33"/>
      <c r="AV1409" s="16">
        <v>2005</v>
      </c>
      <c r="AW1409" s="68"/>
      <c r="AX1409" s="33">
        <v>0.3619896550338586</v>
      </c>
      <c r="AY1409" s="33"/>
      <c r="AZ1409" s="109">
        <v>0.38804973113253255</v>
      </c>
      <c r="BA1409" s="109"/>
      <c r="BB1409" s="50"/>
      <c r="BC1409" s="50"/>
      <c r="BD1409" s="50"/>
      <c r="BE1409" s="50"/>
      <c r="BF1409" s="50"/>
      <c r="BG1409" s="50"/>
      <c r="BH1409" s="50"/>
      <c r="BM1409" s="236"/>
      <c r="CA1409" s="35"/>
      <c r="CH1409" s="39"/>
      <c r="CI1409" s="32"/>
      <c r="CJ1409" s="40"/>
      <c r="CK1409" s="40"/>
      <c r="CL1409" s="33"/>
      <c r="CM1409" s="33"/>
      <c r="CN1409" s="33"/>
      <c r="CO1409" s="33"/>
      <c r="CP1409" s="33"/>
      <c r="CQ1409" s="33"/>
      <c r="CR1409" s="33"/>
    </row>
    <row r="1410" spans="7:96" ht="42">
      <c r="G1410" s="11"/>
      <c r="I1410" s="139" t="s">
        <v>249</v>
      </c>
      <c r="K1410" s="126" t="s">
        <v>261</v>
      </c>
      <c r="L1410" s="126"/>
      <c r="M1410" s="126"/>
      <c r="N1410" s="155"/>
      <c r="O1410" s="126"/>
      <c r="P1410" s="126"/>
      <c r="R1410" s="127" t="s">
        <v>250</v>
      </c>
      <c r="W1410" s="70"/>
      <c r="X1410" s="69"/>
      <c r="Y1410" s="69"/>
      <c r="AE1410" s="33"/>
      <c r="AK1410" s="33"/>
      <c r="AL1410" s="33"/>
      <c r="AM1410" s="33"/>
      <c r="AN1410" s="33"/>
      <c r="AO1410" s="33"/>
      <c r="AP1410" s="33"/>
      <c r="AQ1410" s="33"/>
      <c r="AR1410" s="33"/>
      <c r="AS1410" s="33"/>
      <c r="AT1410" s="33"/>
      <c r="AU1410" s="33"/>
      <c r="AV1410" s="16">
        <v>2006</v>
      </c>
      <c r="AW1410" s="68">
        <v>0.26797150998373781</v>
      </c>
      <c r="AX1410" s="33">
        <v>0.3624991375587639</v>
      </c>
      <c r="AY1410" s="33"/>
      <c r="AZ1410" s="109">
        <v>0.387188441413991</v>
      </c>
      <c r="BA1410" s="109"/>
      <c r="BB1410" s="50"/>
      <c r="BC1410" s="50"/>
      <c r="BD1410" s="50"/>
      <c r="BE1410" s="50"/>
      <c r="BF1410" s="50"/>
      <c r="BG1410" s="50"/>
      <c r="BH1410" s="50"/>
      <c r="BM1410" s="236"/>
      <c r="CA1410" s="35"/>
      <c r="CH1410" s="39"/>
      <c r="CI1410" s="32"/>
      <c r="CJ1410" s="40"/>
      <c r="CK1410" s="40"/>
      <c r="CL1410" s="33"/>
      <c r="CM1410" s="33"/>
      <c r="CN1410" s="33"/>
      <c r="CO1410" s="33"/>
      <c r="CP1410" s="33"/>
      <c r="CQ1410" s="33"/>
      <c r="CR1410" s="33"/>
    </row>
    <row r="1411" spans="7:96" ht="21">
      <c r="G1411" s="11"/>
      <c r="I1411" s="128" t="s">
        <v>251</v>
      </c>
      <c r="J1411" s="128" t="s">
        <v>244</v>
      </c>
      <c r="K1411" s="128" t="s">
        <v>251</v>
      </c>
      <c r="L1411" s="128" t="s">
        <v>244</v>
      </c>
      <c r="M1411" s="128"/>
      <c r="N1411" s="156"/>
      <c r="O1411" s="128"/>
      <c r="P1411" s="128"/>
      <c r="Q1411" s="128" t="s">
        <v>251</v>
      </c>
      <c r="R1411" s="128" t="s">
        <v>244</v>
      </c>
      <c r="S1411" s="66"/>
      <c r="W1411" s="70"/>
      <c r="X1411" s="69"/>
      <c r="Y1411" s="69"/>
      <c r="AE1411" s="33"/>
      <c r="AK1411" s="33"/>
      <c r="AL1411" s="33"/>
      <c r="AM1411" s="33"/>
      <c r="AN1411" s="33"/>
      <c r="AO1411" s="33"/>
      <c r="AP1411" s="33"/>
      <c r="AQ1411" s="33"/>
      <c r="AR1411" s="33"/>
      <c r="AS1411" s="33"/>
      <c r="AT1411" s="33"/>
      <c r="AU1411" s="33"/>
      <c r="AV1411" s="16">
        <v>2007</v>
      </c>
      <c r="AW1411" s="68">
        <v>0.29399662010974004</v>
      </c>
      <c r="AX1411" s="33">
        <v>0.35887783775887772</v>
      </c>
      <c r="AY1411" s="33"/>
      <c r="AZ1411" s="109">
        <v>0.39331031632221941</v>
      </c>
      <c r="BA1411" s="109"/>
      <c r="BB1411" s="50"/>
      <c r="BC1411" s="50"/>
      <c r="BD1411" s="50"/>
      <c r="BE1411" s="50"/>
      <c r="BF1411" s="50"/>
      <c r="BG1411" s="50"/>
      <c r="BH1411" s="50"/>
      <c r="BM1411" s="236"/>
      <c r="CA1411" s="35"/>
      <c r="CH1411" s="39"/>
      <c r="CI1411" s="32"/>
      <c r="CJ1411" s="40"/>
      <c r="CK1411" s="40"/>
      <c r="CL1411" s="33"/>
      <c r="CM1411" s="33"/>
      <c r="CN1411" s="33"/>
      <c r="CO1411" s="33"/>
      <c r="CP1411" s="33"/>
      <c r="CQ1411" s="33"/>
      <c r="CR1411" s="33"/>
    </row>
    <row r="1412" spans="7:96" ht="21">
      <c r="G1412" s="121">
        <v>2005</v>
      </c>
      <c r="I1412" s="91">
        <v>48453.794659181673</v>
      </c>
      <c r="J1412" s="91">
        <v>488.69182712235676</v>
      </c>
      <c r="K1412" s="91">
        <v>7994.33991280585</v>
      </c>
      <c r="L1412" s="91">
        <v>80.62874344736106</v>
      </c>
      <c r="M1412" s="91"/>
      <c r="N1412" s="64"/>
      <c r="O1412" s="91"/>
      <c r="P1412" s="91"/>
      <c r="Q1412" s="91">
        <f t="shared" ref="Q1412:Q1428" si="2462">+I1412+K1412</f>
        <v>56448.134571987524</v>
      </c>
      <c r="R1412" s="91">
        <f t="shared" ref="R1412:R1428" si="2463">+J1412+L1412</f>
        <v>569.3205705697178</v>
      </c>
      <c r="S1412" s="80"/>
      <c r="X1412" s="70"/>
      <c r="Y1412" s="70"/>
      <c r="AE1412" s="33"/>
      <c r="AK1412" s="33"/>
      <c r="AL1412" s="33"/>
      <c r="AM1412" s="33"/>
      <c r="AN1412" s="33"/>
      <c r="AO1412" s="33"/>
      <c r="AP1412" s="33"/>
      <c r="AQ1412" s="33"/>
      <c r="AR1412" s="33"/>
      <c r="AS1412" s="33"/>
      <c r="AT1412" s="33"/>
      <c r="AU1412" s="33"/>
      <c r="AV1412" s="16">
        <v>2008</v>
      </c>
      <c r="AW1412" s="68">
        <v>0.26090910643623305</v>
      </c>
      <c r="AX1412" s="33">
        <v>0.36268352999107756</v>
      </c>
      <c r="AY1412" s="33"/>
      <c r="AZ1412" s="109">
        <v>0.38687672256522732</v>
      </c>
      <c r="BA1412" s="109"/>
      <c r="BB1412" s="50"/>
      <c r="BC1412" s="50"/>
      <c r="BD1412" s="50"/>
      <c r="BE1412" s="50"/>
      <c r="BF1412" s="50"/>
      <c r="BG1412" s="50"/>
      <c r="BH1412" s="50"/>
      <c r="BM1412" s="236"/>
      <c r="CA1412" s="35"/>
      <c r="CH1412" s="39"/>
      <c r="CI1412" s="32"/>
      <c r="CJ1412" s="40"/>
      <c r="CK1412" s="40"/>
      <c r="CL1412" s="33"/>
      <c r="CM1412" s="33"/>
      <c r="CN1412" s="33"/>
      <c r="CO1412" s="33"/>
      <c r="CP1412" s="33"/>
      <c r="CQ1412" s="33"/>
      <c r="CR1412" s="33"/>
    </row>
    <row r="1413" spans="7:96" ht="21">
      <c r="G1413" s="121">
        <v>2006</v>
      </c>
      <c r="I1413" s="91">
        <v>47097.487617277686</v>
      </c>
      <c r="J1413" s="91">
        <v>461.51384240350501</v>
      </c>
      <c r="K1413" s="91">
        <v>8812.1784266913746</v>
      </c>
      <c r="L1413" s="90">
        <v>86.351576939650911</v>
      </c>
      <c r="M1413" s="90"/>
      <c r="N1413" s="62"/>
      <c r="O1413" s="90"/>
      <c r="P1413" s="90"/>
      <c r="Q1413" s="91">
        <f t="shared" si="2462"/>
        <v>55909.66604396906</v>
      </c>
      <c r="R1413" s="91">
        <f t="shared" si="2463"/>
        <v>547.86541934315596</v>
      </c>
      <c r="S1413" s="80">
        <f>LN(R1413/R1412)</f>
        <v>-3.8413996750207992E-2</v>
      </c>
      <c r="X1413" s="70"/>
      <c r="Y1413" s="70"/>
      <c r="AE1413" s="33"/>
      <c r="AK1413" s="33"/>
      <c r="AL1413" s="33"/>
      <c r="AM1413" s="33"/>
      <c r="AN1413" s="33"/>
      <c r="AO1413" s="33"/>
      <c r="AP1413" s="33"/>
      <c r="AQ1413" s="33"/>
      <c r="AR1413" s="33"/>
      <c r="AS1413" s="33"/>
      <c r="AT1413" s="33"/>
      <c r="AU1413" s="33"/>
      <c r="AV1413" s="16">
        <v>2009</v>
      </c>
      <c r="AW1413" s="68">
        <v>0.24624664622879683</v>
      </c>
      <c r="AX1413" s="33">
        <v>0.37115398046916398</v>
      </c>
      <c r="AY1413" s="33"/>
      <c r="AZ1413" s="109">
        <v>0.37255726791946209</v>
      </c>
      <c r="BA1413" s="109"/>
      <c r="BB1413" s="50"/>
      <c r="BC1413" s="50"/>
      <c r="BD1413" s="50"/>
      <c r="BE1413" s="50"/>
      <c r="BF1413" s="50"/>
      <c r="BG1413" s="50"/>
      <c r="BH1413" s="50"/>
      <c r="BM1413" s="236"/>
      <c r="CA1413" s="35"/>
      <c r="CH1413" s="39"/>
      <c r="CI1413" s="32"/>
      <c r="CJ1413" s="40"/>
      <c r="CK1413" s="40"/>
      <c r="CL1413" s="33"/>
      <c r="CM1413" s="33"/>
      <c r="CN1413" s="33"/>
      <c r="CO1413" s="33"/>
      <c r="CP1413" s="33"/>
      <c r="CQ1413" s="33"/>
      <c r="CR1413" s="33"/>
    </row>
    <row r="1414" spans="7:96" ht="21">
      <c r="G1414" s="121">
        <v>2007</v>
      </c>
      <c r="I1414" s="91">
        <v>51194.205229452702</v>
      </c>
      <c r="J1414" s="91">
        <v>486.52131365600093</v>
      </c>
      <c r="K1414" s="91">
        <v>8659.7867179072291</v>
      </c>
      <c r="L1414" s="90">
        <v>82.297806775074633</v>
      </c>
      <c r="M1414" s="90"/>
      <c r="N1414" s="62"/>
      <c r="O1414" s="90"/>
      <c r="P1414" s="90"/>
      <c r="Q1414" s="91">
        <f t="shared" si="2462"/>
        <v>59853.991947359929</v>
      </c>
      <c r="R1414" s="91">
        <f t="shared" si="2463"/>
        <v>568.81912043107559</v>
      </c>
      <c r="S1414" s="80">
        <f t="shared" ref="S1414:S1428" si="2464">LN(R1414/R1413)</f>
        <v>3.7532821662380249E-2</v>
      </c>
      <c r="X1414" s="70"/>
      <c r="Y1414" s="70"/>
      <c r="AE1414" s="33"/>
      <c r="AK1414" s="33"/>
      <c r="AL1414" s="33"/>
      <c r="AM1414" s="33"/>
      <c r="AN1414" s="33"/>
      <c r="AO1414" s="33"/>
      <c r="AP1414" s="33"/>
      <c r="AQ1414" s="33"/>
      <c r="AR1414" s="33"/>
      <c r="AS1414" s="33"/>
      <c r="AT1414" s="33"/>
      <c r="AU1414" s="33"/>
      <c r="AV1414" s="16">
        <v>2010</v>
      </c>
      <c r="AW1414" s="68">
        <v>0.25825501904147263</v>
      </c>
      <c r="AX1414" s="33">
        <v>0.35737384460241145</v>
      </c>
      <c r="AY1414" s="33"/>
      <c r="AZ1414" s="109">
        <v>0.39585284482731792</v>
      </c>
      <c r="BA1414" s="109"/>
      <c r="BB1414" s="50"/>
      <c r="BC1414" s="50"/>
      <c r="BD1414" s="50"/>
      <c r="BE1414" s="50"/>
      <c r="BF1414" s="50"/>
      <c r="BG1414" s="50"/>
      <c r="BH1414" s="50"/>
      <c r="BM1414" s="236"/>
      <c r="CA1414" s="35"/>
      <c r="CH1414" s="39"/>
      <c r="CI1414" s="32"/>
      <c r="CJ1414" s="40"/>
      <c r="CK1414" s="40"/>
      <c r="CL1414" s="33"/>
      <c r="CM1414" s="33"/>
      <c r="CN1414" s="33"/>
      <c r="CO1414" s="33"/>
      <c r="CP1414" s="33"/>
      <c r="CQ1414" s="33"/>
      <c r="CR1414" s="33"/>
    </row>
    <row r="1415" spans="7:96" ht="21">
      <c r="G1415" s="121">
        <v>2008</v>
      </c>
      <c r="I1415" s="91">
        <v>61066.144356486991</v>
      </c>
      <c r="J1415" s="91">
        <v>564.25173810567799</v>
      </c>
      <c r="K1415" s="91">
        <v>9942.8555052792763</v>
      </c>
      <c r="L1415" s="90">
        <v>91.872076740857253</v>
      </c>
      <c r="M1415" s="90"/>
      <c r="N1415" s="62"/>
      <c r="O1415" s="90"/>
      <c r="P1415" s="90"/>
      <c r="Q1415" s="91">
        <f t="shared" si="2462"/>
        <v>71008.999861766264</v>
      </c>
      <c r="R1415" s="91">
        <f t="shared" si="2463"/>
        <v>656.1238148465352</v>
      </c>
      <c r="S1415" s="80">
        <f t="shared" si="2464"/>
        <v>0.14278701996943932</v>
      </c>
      <c r="AE1415" s="33"/>
      <c r="AK1415" s="33"/>
      <c r="AL1415" s="33"/>
      <c r="AM1415" s="33"/>
      <c r="AN1415" s="33"/>
      <c r="AO1415" s="33"/>
      <c r="AP1415" s="33"/>
      <c r="AQ1415" s="33"/>
      <c r="AR1415" s="33"/>
      <c r="AS1415" s="33"/>
      <c r="AT1415" s="33"/>
      <c r="AU1415" s="33"/>
      <c r="AV1415" s="16">
        <v>2011</v>
      </c>
      <c r="AW1415" s="68">
        <v>0.20801372794260081</v>
      </c>
      <c r="AX1415" s="33">
        <v>0.35148920244935894</v>
      </c>
      <c r="AY1415" s="33"/>
      <c r="AZ1415" s="109">
        <v>0.40580094223195917</v>
      </c>
      <c r="BA1415" s="109"/>
      <c r="BB1415" s="50"/>
      <c r="BC1415" s="50"/>
      <c r="BD1415" s="50"/>
      <c r="BE1415" s="50"/>
      <c r="BF1415" s="50"/>
      <c r="BG1415" s="50"/>
      <c r="BH1415" s="50"/>
      <c r="BM1415" s="236"/>
      <c r="CA1415" s="35"/>
      <c r="CH1415" s="39"/>
      <c r="CI1415" s="32"/>
      <c r="CJ1415" s="40"/>
      <c r="CK1415" s="40"/>
      <c r="CL1415" s="33"/>
      <c r="CM1415" s="33"/>
      <c r="CN1415" s="33"/>
      <c r="CO1415" s="33"/>
      <c r="CP1415" s="33"/>
      <c r="CQ1415" s="33"/>
      <c r="CR1415" s="33"/>
    </row>
    <row r="1416" spans="7:96" ht="21">
      <c r="G1416" s="121">
        <v>2009</v>
      </c>
      <c r="I1416" s="91">
        <v>62815.012135447134</v>
      </c>
      <c r="J1416" s="91">
        <v>572.21600669958673</v>
      </c>
      <c r="K1416" s="91">
        <v>11162.441092217234</v>
      </c>
      <c r="L1416" s="90">
        <v>101.68472869248221</v>
      </c>
      <c r="M1416" s="90"/>
      <c r="N1416" s="62"/>
      <c r="O1416" s="90"/>
      <c r="P1416" s="90"/>
      <c r="Q1416" s="91">
        <f t="shared" si="2462"/>
        <v>73977.453227664373</v>
      </c>
      <c r="R1416" s="91">
        <f t="shared" si="2463"/>
        <v>673.9007353920689</v>
      </c>
      <c r="S1416" s="80">
        <f t="shared" si="2464"/>
        <v>2.6733309920997872E-2</v>
      </c>
      <c r="AE1416" s="33"/>
      <c r="AK1416" s="33"/>
      <c r="AL1416" s="33"/>
      <c r="AM1416" s="33"/>
      <c r="AN1416" s="33"/>
      <c r="AO1416" s="33"/>
      <c r="AP1416" s="33"/>
      <c r="AQ1416" s="33"/>
      <c r="AR1416" s="33"/>
      <c r="AS1416" s="33"/>
      <c r="AT1416" s="33"/>
      <c r="AU1416" s="33"/>
      <c r="AV1416" s="16">
        <v>2012</v>
      </c>
      <c r="AW1416" s="68">
        <v>0.26734996868966204</v>
      </c>
      <c r="AX1416" s="33">
        <v>0.31448943193178991</v>
      </c>
      <c r="AY1416" s="33"/>
      <c r="AZ1416" s="109">
        <v>0.46834974494330506</v>
      </c>
      <c r="BA1416" s="109"/>
      <c r="BB1416" s="50"/>
      <c r="BC1416" s="50"/>
      <c r="BD1416" s="50"/>
      <c r="BE1416" s="50"/>
      <c r="BF1416" s="50"/>
      <c r="BG1416" s="50"/>
      <c r="BH1416" s="50"/>
      <c r="BM1416" s="236"/>
      <c r="CA1416" s="35"/>
      <c r="CH1416" s="39"/>
      <c r="CI1416" s="32"/>
      <c r="CJ1416" s="40"/>
      <c r="CK1416" s="40"/>
      <c r="CL1416" s="33"/>
      <c r="CM1416" s="33"/>
      <c r="CN1416" s="33"/>
      <c r="CO1416" s="33"/>
      <c r="CP1416" s="33"/>
      <c r="CQ1416" s="33"/>
      <c r="CR1416" s="33"/>
    </row>
    <row r="1417" spans="7:96" ht="21">
      <c r="G1417" s="121">
        <v>2010</v>
      </c>
      <c r="I1417" s="91">
        <v>60317.766891114254</v>
      </c>
      <c r="J1417" s="91">
        <v>539.15322360772518</v>
      </c>
      <c r="K1417" s="91">
        <v>10761.044173848548</v>
      </c>
      <c r="L1417" s="90">
        <v>96.188104347249592</v>
      </c>
      <c r="M1417" s="90"/>
      <c r="N1417" s="62"/>
      <c r="O1417" s="90"/>
      <c r="P1417" s="90"/>
      <c r="Q1417" s="91">
        <f t="shared" si="2462"/>
        <v>71078.811064962807</v>
      </c>
      <c r="R1417" s="91">
        <f t="shared" si="2463"/>
        <v>635.34132795497476</v>
      </c>
      <c r="S1417" s="80">
        <f t="shared" si="2464"/>
        <v>-5.8920444382861904E-2</v>
      </c>
      <c r="AE1417" s="33"/>
      <c r="AK1417" s="33"/>
      <c r="AL1417" s="33"/>
      <c r="AM1417" s="33"/>
      <c r="AN1417" s="33"/>
      <c r="AO1417" s="33"/>
      <c r="AP1417" s="33"/>
      <c r="AQ1417" s="33"/>
      <c r="AR1417" s="33"/>
      <c r="AS1417" s="33"/>
      <c r="AT1417" s="33"/>
      <c r="AU1417" s="33"/>
      <c r="AV1417" s="16">
        <v>2013</v>
      </c>
      <c r="AW1417" s="68">
        <v>0.24277862464578326</v>
      </c>
      <c r="AX1417" s="33">
        <v>0.34446917530918419</v>
      </c>
      <c r="AY1417" s="33"/>
      <c r="AZ1417" s="109">
        <v>0.41766842915084651</v>
      </c>
      <c r="BA1417" s="109"/>
      <c r="BB1417" s="50"/>
      <c r="BC1417" s="50"/>
      <c r="BD1417" s="50"/>
      <c r="BE1417" s="50"/>
      <c r="BF1417" s="50"/>
      <c r="BG1417" s="50"/>
      <c r="BH1417" s="50"/>
      <c r="BM1417" s="236"/>
      <c r="CA1417" s="35"/>
      <c r="CH1417" s="39"/>
      <c r="CI1417" s="32"/>
      <c r="CJ1417" s="40"/>
      <c r="CK1417" s="40"/>
      <c r="CL1417" s="33"/>
      <c r="CM1417" s="33"/>
      <c r="CN1417" s="33"/>
      <c r="CO1417" s="33"/>
      <c r="CP1417" s="33"/>
      <c r="CQ1417" s="33"/>
      <c r="CR1417" s="33"/>
    </row>
    <row r="1418" spans="7:96" ht="21">
      <c r="G1418" s="121">
        <v>2011</v>
      </c>
      <c r="I1418" s="91">
        <v>63731.618385797934</v>
      </c>
      <c r="J1418" s="91">
        <v>557.58196313034068</v>
      </c>
      <c r="K1418" s="91">
        <v>10654.301479713831</v>
      </c>
      <c r="L1418" s="90">
        <v>93.213486261713314</v>
      </c>
      <c r="M1418" s="90"/>
      <c r="N1418" s="62"/>
      <c r="O1418" s="90"/>
      <c r="P1418" s="90"/>
      <c r="Q1418" s="91">
        <f t="shared" si="2462"/>
        <v>74385.919865511765</v>
      </c>
      <c r="R1418" s="91">
        <f t="shared" si="2463"/>
        <v>650.79544939205402</v>
      </c>
      <c r="S1418" s="80">
        <f t="shared" si="2464"/>
        <v>2.4033004174302836E-2</v>
      </c>
      <c r="AE1418" s="33"/>
      <c r="AK1418" s="33"/>
      <c r="AL1418" s="33"/>
      <c r="AM1418" s="33"/>
      <c r="AN1418" s="33"/>
      <c r="AO1418" s="33"/>
      <c r="AP1418" s="33"/>
      <c r="AQ1418" s="33"/>
      <c r="AR1418" s="33"/>
      <c r="AS1418" s="33"/>
      <c r="AT1418" s="33"/>
      <c r="AU1418" s="33"/>
      <c r="AV1418" s="16">
        <v>2014</v>
      </c>
      <c r="AW1418" s="68">
        <v>0.21807887583110427</v>
      </c>
      <c r="AX1418" s="33">
        <v>0.34269879368269568</v>
      </c>
      <c r="AY1418" s="33"/>
      <c r="AZ1418" s="109">
        <v>0.42066129233702332</v>
      </c>
      <c r="BA1418" s="109"/>
      <c r="BB1418" s="50"/>
      <c r="BC1418" s="50"/>
      <c r="BD1418" s="50"/>
      <c r="BE1418" s="50"/>
      <c r="BF1418" s="50"/>
      <c r="BG1418" s="50"/>
      <c r="BH1418" s="50"/>
      <c r="BM1418" s="236"/>
      <c r="CA1418" s="35"/>
      <c r="CH1418" s="39"/>
      <c r="CI1418" s="32"/>
      <c r="CJ1418" s="40"/>
      <c r="CK1418" s="40"/>
      <c r="CL1418" s="33"/>
      <c r="CM1418" s="33"/>
      <c r="CN1418" s="33"/>
      <c r="CO1418" s="33"/>
      <c r="CP1418" s="33"/>
      <c r="CQ1418" s="33"/>
      <c r="CR1418" s="33"/>
    </row>
    <row r="1419" spans="7:96" ht="21">
      <c r="G1419" s="121">
        <v>2012</v>
      </c>
      <c r="I1419" s="91">
        <v>55368.13265334582</v>
      </c>
      <c r="J1419" s="91">
        <v>475.26294123043624</v>
      </c>
      <c r="K1419" s="91">
        <v>8384.0890162192154</v>
      </c>
      <c r="L1419" s="90">
        <v>71.966429323770086</v>
      </c>
      <c r="M1419" s="90"/>
      <c r="N1419" s="62"/>
      <c r="O1419" s="90"/>
      <c r="P1419" s="90"/>
      <c r="Q1419" s="91">
        <f t="shared" si="2462"/>
        <v>63752.221669565035</v>
      </c>
      <c r="R1419" s="91">
        <f t="shared" si="2463"/>
        <v>547.2293705542063</v>
      </c>
      <c r="S1419" s="80">
        <f t="shared" si="2464"/>
        <v>-0.17332734386473136</v>
      </c>
      <c r="AE1419" s="33"/>
      <c r="AK1419" s="33"/>
      <c r="AL1419" s="33"/>
      <c r="AM1419" s="33"/>
      <c r="AN1419" s="33"/>
      <c r="AO1419" s="33"/>
      <c r="AP1419" s="33"/>
      <c r="AQ1419" s="33"/>
      <c r="AR1419" s="33"/>
      <c r="AS1419" s="33"/>
      <c r="AT1419" s="33"/>
      <c r="AU1419" s="33"/>
      <c r="AV1419" s="16">
        <v>2015</v>
      </c>
      <c r="AW1419" s="68">
        <v>0.26357127341583086</v>
      </c>
      <c r="AX1419" s="33">
        <v>0.33168720839395205</v>
      </c>
      <c r="AY1419" s="33"/>
      <c r="AZ1419" s="109">
        <v>0.43927658281396631</v>
      </c>
      <c r="BA1419" s="109"/>
      <c r="BB1419" s="50"/>
      <c r="BC1419" s="50"/>
      <c r="BD1419" s="50"/>
      <c r="BE1419" s="50"/>
      <c r="BF1419" s="50"/>
      <c r="BG1419" s="50"/>
      <c r="BH1419" s="50"/>
      <c r="BM1419" s="236"/>
      <c r="CA1419" s="36"/>
      <c r="CH1419" s="39"/>
      <c r="CI1419" s="32"/>
      <c r="CJ1419" s="40"/>
      <c r="CK1419" s="40"/>
      <c r="CL1419" s="40"/>
      <c r="CM1419" s="40"/>
      <c r="CN1419" s="40"/>
      <c r="CO1419" s="40"/>
      <c r="CP1419" s="40"/>
      <c r="CQ1419" s="40"/>
      <c r="CR1419" s="40"/>
    </row>
    <row r="1420" spans="7:96" ht="21">
      <c r="G1420" s="121">
        <v>2013</v>
      </c>
      <c r="I1420" s="91">
        <v>68025.816273212113</v>
      </c>
      <c r="J1420" s="91">
        <v>572.96960432269623</v>
      </c>
      <c r="K1420" s="91">
        <v>10460.506545021377</v>
      </c>
      <c r="L1420" s="90">
        <v>88.107025015972852</v>
      </c>
      <c r="M1420" s="90"/>
      <c r="N1420" s="62"/>
      <c r="O1420" s="90"/>
      <c r="P1420" s="90"/>
      <c r="Q1420" s="91">
        <f t="shared" si="2462"/>
        <v>78486.322818233486</v>
      </c>
      <c r="R1420" s="91">
        <f t="shared" si="2463"/>
        <v>661.07662933866914</v>
      </c>
      <c r="S1420" s="80">
        <f t="shared" si="2464"/>
        <v>0.18900172341401603</v>
      </c>
      <c r="AE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16">
        <v>2016</v>
      </c>
      <c r="AW1420" s="68">
        <v>0.24814838698930619</v>
      </c>
      <c r="AX1420" s="33">
        <v>0.35251318501505419</v>
      </c>
      <c r="AY1420" s="33"/>
      <c r="AZ1420" s="109">
        <v>0.40406988059061422</v>
      </c>
      <c r="BA1420" s="109"/>
      <c r="BB1420" s="50"/>
      <c r="BC1420" s="50"/>
      <c r="BD1420" s="50"/>
      <c r="BE1420" s="50"/>
      <c r="BF1420" s="50"/>
      <c r="BG1420" s="50"/>
      <c r="BH1420" s="50"/>
      <c r="BM1420" s="236"/>
      <c r="CA1420" s="35"/>
      <c r="CH1420" s="39"/>
      <c r="CI1420" s="32"/>
      <c r="CJ1420" s="40"/>
      <c r="CK1420" s="40"/>
      <c r="CL1420" s="33"/>
      <c r="CM1420" s="33"/>
      <c r="CN1420" s="33"/>
      <c r="CO1420" s="33"/>
      <c r="CP1420" s="33"/>
      <c r="CQ1420" s="33"/>
      <c r="CR1420" s="33"/>
    </row>
    <row r="1421" spans="7:96" ht="21">
      <c r="G1421" s="121">
        <v>2014</v>
      </c>
      <c r="I1421" s="91">
        <v>69294.100166773147</v>
      </c>
      <c r="J1421" s="91">
        <v>571.73349972585106</v>
      </c>
      <c r="K1421" s="91">
        <v>10814.407376252071</v>
      </c>
      <c r="L1421" s="90">
        <v>89.227783632442822</v>
      </c>
      <c r="M1421" s="90"/>
      <c r="N1421" s="62"/>
      <c r="O1421" s="90"/>
      <c r="P1421" s="90"/>
      <c r="Q1421" s="91">
        <f t="shared" si="2462"/>
        <v>80108.507543025218</v>
      </c>
      <c r="R1421" s="91">
        <f t="shared" si="2463"/>
        <v>660.96128335829394</v>
      </c>
      <c r="S1421" s="80">
        <f t="shared" si="2464"/>
        <v>-1.7449723576011542E-4</v>
      </c>
      <c r="AE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16">
        <v>2017</v>
      </c>
      <c r="AW1421" s="68">
        <v>0.64574038119138444</v>
      </c>
      <c r="AX1421" s="33">
        <v>0.36738777210731249</v>
      </c>
      <c r="AY1421" s="33"/>
      <c r="AZ1421" s="109">
        <v>0.37892411345660959</v>
      </c>
      <c r="BA1421" s="109"/>
      <c r="BB1421" s="50"/>
      <c r="BC1421" s="50"/>
      <c r="BD1421" s="50"/>
      <c r="BE1421" s="50"/>
      <c r="BF1421" s="50"/>
      <c r="BG1421" s="50"/>
      <c r="BH1421" s="50"/>
      <c r="BM1421" s="236"/>
      <c r="CA1421" s="35"/>
      <c r="CH1421" s="39"/>
      <c r="CI1421" s="32"/>
      <c r="CJ1421" s="40"/>
      <c r="CK1421" s="40"/>
      <c r="CL1421" s="33"/>
      <c r="CM1421" s="33"/>
      <c r="CN1421" s="33"/>
      <c r="CO1421" s="33"/>
      <c r="CP1421" s="33"/>
      <c r="CQ1421" s="33"/>
      <c r="CR1421" s="33"/>
    </row>
    <row r="1422" spans="7:96" ht="21">
      <c r="G1422" s="121">
        <v>2015</v>
      </c>
      <c r="I1422" s="91">
        <v>63080.933254042786</v>
      </c>
      <c r="J1422" s="91">
        <v>509.74491518418415</v>
      </c>
      <c r="K1422" s="91">
        <v>10744.200366256906</v>
      </c>
      <c r="L1422" s="90">
        <v>86.82182114146994</v>
      </c>
      <c r="M1422" s="90"/>
      <c r="N1422" s="62"/>
      <c r="O1422" s="90"/>
      <c r="P1422" s="90"/>
      <c r="Q1422" s="91">
        <f t="shared" si="2462"/>
        <v>73825.13362029969</v>
      </c>
      <c r="R1422" s="91">
        <f t="shared" si="2463"/>
        <v>596.56673632565412</v>
      </c>
      <c r="S1422" s="80">
        <f t="shared" si="2464"/>
        <v>-0.10250415018288074</v>
      </c>
      <c r="AE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16">
        <v>2018</v>
      </c>
      <c r="AW1422" s="68">
        <v>0.18639888634127214</v>
      </c>
      <c r="AX1422" s="33">
        <v>0.47150558895753697</v>
      </c>
      <c r="AY1422" s="33"/>
      <c r="AZ1422" s="109">
        <v>0.20291100056964306</v>
      </c>
      <c r="BA1422" s="109"/>
      <c r="BB1422" s="50"/>
      <c r="BC1422" s="50"/>
      <c r="BD1422" s="50"/>
      <c r="BE1422" s="50"/>
      <c r="BF1422" s="50"/>
      <c r="BG1422" s="50"/>
      <c r="BH1422" s="50"/>
      <c r="BM1422" s="236"/>
      <c r="CA1422" s="35"/>
      <c r="CH1422" s="39"/>
      <c r="CI1422" s="32"/>
      <c r="CJ1422" s="40"/>
      <c r="CK1422" s="40"/>
      <c r="CL1422" s="33"/>
      <c r="CM1422" s="33"/>
      <c r="CN1422" s="33"/>
      <c r="CO1422" s="33"/>
      <c r="CP1422" s="33"/>
      <c r="CQ1422" s="33"/>
      <c r="CR1422" s="33"/>
    </row>
    <row r="1423" spans="7:96" ht="21">
      <c r="G1423" s="121">
        <v>2016</v>
      </c>
      <c r="I1423" s="91">
        <v>73469.788829246812</v>
      </c>
      <c r="J1423" s="91">
        <v>581.24832934530707</v>
      </c>
      <c r="K1423" s="91">
        <v>11487.015952919062</v>
      </c>
      <c r="L1423" s="90">
        <v>90.878290766764735</v>
      </c>
      <c r="M1423" s="90"/>
      <c r="N1423" s="62"/>
      <c r="O1423" s="90"/>
      <c r="P1423" s="90"/>
      <c r="Q1423" s="91">
        <f t="shared" si="2462"/>
        <v>84956.804782165869</v>
      </c>
      <c r="R1423" s="91">
        <f t="shared" si="2463"/>
        <v>672.12662011207181</v>
      </c>
      <c r="S1423" s="80">
        <f t="shared" si="2464"/>
        <v>0.11925563043790485</v>
      </c>
      <c r="AE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16">
        <v>2019</v>
      </c>
      <c r="AW1423" s="68">
        <v>0.19525094558842318</v>
      </c>
      <c r="AX1423" s="33">
        <v>0.40641809125839728</v>
      </c>
      <c r="AY1423" s="33"/>
      <c r="AZ1423" s="109">
        <v>0.31294263037733383</v>
      </c>
      <c r="BA1423" s="109"/>
      <c r="BB1423" s="50"/>
      <c r="BC1423" s="50"/>
      <c r="BD1423" s="50"/>
      <c r="BE1423" s="50"/>
      <c r="BF1423" s="50"/>
      <c r="BG1423" s="50"/>
      <c r="BH1423" s="50"/>
      <c r="BM1423" s="236"/>
      <c r="CA1423" s="35"/>
      <c r="CH1423" s="39"/>
      <c r="CI1423" s="32"/>
      <c r="CJ1423" s="40"/>
      <c r="CK1423" s="40"/>
      <c r="CL1423" s="33"/>
      <c r="CM1423" s="33"/>
      <c r="CN1423" s="33"/>
      <c r="CO1423" s="33"/>
      <c r="CP1423" s="33"/>
      <c r="CQ1423" s="33"/>
      <c r="CR1423" s="33"/>
    </row>
    <row r="1424" spans="7:96" ht="21">
      <c r="G1424" s="121">
        <v>2017</v>
      </c>
      <c r="I1424" s="91">
        <v>74726.142015534642</v>
      </c>
      <c r="J1424" s="91">
        <v>577.0358456798042</v>
      </c>
      <c r="K1424" s="91">
        <v>11882.023200725536</v>
      </c>
      <c r="L1424" s="90">
        <v>91.753074909077498</v>
      </c>
      <c r="M1424" s="90"/>
      <c r="N1424" s="62"/>
      <c r="O1424" s="90"/>
      <c r="P1424" s="90"/>
      <c r="Q1424" s="91">
        <f t="shared" si="2462"/>
        <v>86608.165216260182</v>
      </c>
      <c r="R1424" s="91">
        <f t="shared" si="2463"/>
        <v>668.78892058888164</v>
      </c>
      <c r="S1424" s="80">
        <f t="shared" si="2464"/>
        <v>-4.9782500314958069E-3</v>
      </c>
      <c r="AE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16">
        <v>2020</v>
      </c>
      <c r="AW1424" s="68">
        <v>0.25665072467221206</v>
      </c>
      <c r="AX1424" s="33">
        <v>0.34982022306412058</v>
      </c>
      <c r="AY1424" s="33"/>
      <c r="AZ1424" s="109">
        <v>0.4086223830364909</v>
      </c>
      <c r="BA1424" s="109"/>
      <c r="BB1424" s="50"/>
      <c r="BC1424" s="50"/>
      <c r="BD1424" s="50"/>
      <c r="BE1424" s="50"/>
      <c r="BF1424" s="50"/>
      <c r="BG1424" s="50"/>
      <c r="BH1424" s="50"/>
      <c r="BM1424" s="236"/>
      <c r="CA1424" s="35"/>
      <c r="CH1424" s="39"/>
      <c r="CI1424" s="32"/>
      <c r="CJ1424" s="40"/>
      <c r="CK1424" s="40"/>
      <c r="CL1424" s="33"/>
      <c r="CM1424" s="33"/>
      <c r="CN1424" s="33"/>
      <c r="CO1424" s="33"/>
      <c r="CP1424" s="33"/>
      <c r="CQ1424" s="33"/>
      <c r="CR1424" s="33"/>
    </row>
    <row r="1425" spans="7:96" ht="21">
      <c r="G1425" s="121">
        <v>2018</v>
      </c>
      <c r="I1425" s="91">
        <v>182044.14521314992</v>
      </c>
      <c r="J1425" s="91">
        <v>1366.184954695309</v>
      </c>
      <c r="K1425" s="91">
        <v>38409.184834861066</v>
      </c>
      <c r="L1425" s="90">
        <v>288.24904191265341</v>
      </c>
      <c r="M1425" s="90"/>
      <c r="N1425" s="62"/>
      <c r="O1425" s="90"/>
      <c r="P1425" s="90"/>
      <c r="Q1425" s="91">
        <f t="shared" si="2462"/>
        <v>220453.33004801098</v>
      </c>
      <c r="R1425" s="91">
        <f t="shared" si="2463"/>
        <v>1654.4339966079624</v>
      </c>
      <c r="S1425" s="80">
        <f t="shared" si="2464"/>
        <v>0.90574573778178713</v>
      </c>
      <c r="AE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16">
        <v>2021</v>
      </c>
      <c r="AW1425" s="68">
        <v>0</v>
      </c>
      <c r="AX1425" s="33">
        <v>0.32406398217281557</v>
      </c>
      <c r="AY1425" s="33"/>
      <c r="AZ1425" s="109">
        <v>0.44604447491826399</v>
      </c>
      <c r="BA1425" s="109"/>
      <c r="BB1425" s="50"/>
      <c r="BC1425" s="50"/>
      <c r="BD1425" s="50"/>
      <c r="BE1425" s="50"/>
      <c r="BF1425" s="50"/>
      <c r="BG1425" s="50"/>
      <c r="BH1425" s="50"/>
      <c r="BM1425" s="236"/>
      <c r="CA1425" s="35"/>
      <c r="CH1425" s="39"/>
      <c r="CI1425" s="32"/>
      <c r="CJ1425" s="40"/>
      <c r="CK1425" s="40"/>
      <c r="CL1425" s="33"/>
      <c r="CM1425" s="33"/>
      <c r="CN1425" s="33"/>
      <c r="CO1425" s="33"/>
      <c r="CP1425" s="33"/>
      <c r="CQ1425" s="33"/>
      <c r="CR1425" s="33"/>
    </row>
    <row r="1426" spans="7:96" ht="21">
      <c r="G1426" s="121">
        <v>2019</v>
      </c>
      <c r="I1426" s="91">
        <v>106975.1197434819</v>
      </c>
      <c r="J1426" s="91">
        <v>781.69616180841729</v>
      </c>
      <c r="K1426" s="91">
        <v>19236.025816726495</v>
      </c>
      <c r="L1426" s="90">
        <v>140.5628484963573</v>
      </c>
      <c r="M1426" s="90"/>
      <c r="N1426" s="62"/>
      <c r="O1426" s="90"/>
      <c r="P1426" s="90"/>
      <c r="Q1426" s="91">
        <f t="shared" si="2462"/>
        <v>126211.1455602084</v>
      </c>
      <c r="R1426" s="91">
        <f t="shared" si="2463"/>
        <v>922.25901030477462</v>
      </c>
      <c r="S1426" s="80">
        <f t="shared" si="2464"/>
        <v>-0.58438812696513687</v>
      </c>
      <c r="AE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W1426" s="68"/>
      <c r="AX1426" s="33"/>
      <c r="AY1426" s="33"/>
      <c r="AZ1426" s="109"/>
      <c r="BA1426" s="109"/>
      <c r="BB1426" s="50"/>
      <c r="BC1426" s="50"/>
      <c r="BD1426" s="50"/>
      <c r="BE1426" s="50"/>
      <c r="BF1426" s="50"/>
      <c r="BG1426" s="50"/>
      <c r="BH1426" s="50"/>
      <c r="BM1426" s="236"/>
      <c r="CA1426" s="35"/>
      <c r="CH1426" s="39"/>
      <c r="CI1426" s="32"/>
      <c r="CJ1426" s="40"/>
      <c r="CK1426" s="40"/>
      <c r="CL1426" s="33"/>
      <c r="CM1426" s="33"/>
      <c r="CN1426" s="33"/>
      <c r="CO1426" s="33"/>
      <c r="CP1426" s="33"/>
      <c r="CQ1426" s="33"/>
      <c r="CR1426" s="33"/>
    </row>
    <row r="1427" spans="7:96" ht="21">
      <c r="G1427" s="121">
        <v>2020</v>
      </c>
      <c r="I1427" s="91">
        <v>76508.145246526648</v>
      </c>
      <c r="J1427" s="91">
        <v>544.7358152120089</v>
      </c>
      <c r="K1427" s="91">
        <v>11301.535771974532</v>
      </c>
      <c r="L1427" s="90">
        <v>80.46661283000735</v>
      </c>
      <c r="M1427" s="90"/>
      <c r="N1427" s="62"/>
      <c r="O1427" s="90"/>
      <c r="P1427" s="90"/>
      <c r="Q1427" s="91">
        <f t="shared" si="2462"/>
        <v>87809.681018501185</v>
      </c>
      <c r="R1427" s="91">
        <f t="shared" si="2463"/>
        <v>625.20242804201621</v>
      </c>
      <c r="S1427" s="80">
        <f t="shared" si="2464"/>
        <v>-0.38875062418053535</v>
      </c>
      <c r="AE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W1427" s="68"/>
      <c r="AX1427" s="33"/>
      <c r="AY1427" s="33"/>
      <c r="AZ1427" s="109"/>
      <c r="BA1427" s="109"/>
      <c r="BB1427" s="50"/>
      <c r="BC1427" s="50"/>
      <c r="BD1427" s="50"/>
      <c r="BE1427" s="50"/>
      <c r="BF1427" s="50"/>
      <c r="BG1427" s="50"/>
      <c r="BH1427" s="50"/>
      <c r="BM1427" s="236"/>
      <c r="CA1427" s="35"/>
      <c r="CH1427" s="39"/>
      <c r="CI1427" s="32"/>
      <c r="CJ1427" s="40"/>
      <c r="CK1427" s="40"/>
      <c r="CL1427" s="33"/>
      <c r="CM1427" s="33"/>
      <c r="CN1427" s="33"/>
      <c r="CO1427" s="33"/>
      <c r="CP1427" s="33"/>
      <c r="CQ1427" s="33"/>
      <c r="CR1427" s="33"/>
    </row>
    <row r="1428" spans="7:96" ht="21">
      <c r="G1428" s="121">
        <v>2021</v>
      </c>
      <c r="I1428" s="91">
        <v>93296.329716244523</v>
      </c>
      <c r="J1428" s="91">
        <v>641.32208088155699</v>
      </c>
      <c r="K1428" s="91">
        <v>0</v>
      </c>
      <c r="L1428" s="90">
        <v>0</v>
      </c>
      <c r="M1428" s="90"/>
      <c r="N1428" s="62"/>
      <c r="O1428" s="90"/>
      <c r="P1428" s="90"/>
      <c r="Q1428" s="91">
        <f t="shared" si="2462"/>
        <v>93296.329716244523</v>
      </c>
      <c r="R1428" s="91">
        <f t="shared" si="2463"/>
        <v>641.32208088155699</v>
      </c>
      <c r="S1428" s="80">
        <f t="shared" si="2464"/>
        <v>2.5456314836395662E-2</v>
      </c>
      <c r="W1428" s="70"/>
      <c r="AE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W1428" s="68"/>
      <c r="AX1428" s="33" t="s">
        <v>34</v>
      </c>
      <c r="AY1428" s="33"/>
      <c r="AZ1428" s="109" t="s">
        <v>262</v>
      </c>
      <c r="BA1428" s="109"/>
      <c r="BB1428" s="50"/>
      <c r="BC1428" s="50"/>
      <c r="BD1428" s="50"/>
      <c r="BE1428" s="50"/>
      <c r="BF1428" s="50"/>
      <c r="BG1428" s="50"/>
      <c r="BH1428" s="50"/>
      <c r="BM1428" s="236"/>
      <c r="CA1428" s="35"/>
      <c r="CH1428" s="39"/>
      <c r="CI1428" s="32"/>
      <c r="CJ1428" s="40"/>
      <c r="CK1428" s="40"/>
      <c r="CL1428" s="33"/>
      <c r="CM1428" s="33"/>
      <c r="CN1428" s="33"/>
      <c r="CO1428" s="33"/>
      <c r="CP1428" s="33"/>
      <c r="CQ1428" s="33"/>
      <c r="CR1428" s="33"/>
    </row>
    <row r="1429" spans="7:96" ht="21">
      <c r="G1429" s="11"/>
      <c r="I1429"/>
      <c r="K1429" s="69"/>
      <c r="N1429" s="38"/>
      <c r="Q1429" s="91"/>
      <c r="R1429" s="91"/>
      <c r="S1429" s="80"/>
      <c r="AE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16">
        <v>2005</v>
      </c>
      <c r="AW1429" s="68"/>
      <c r="AX1429" s="33">
        <v>100</v>
      </c>
      <c r="AY1429" s="33"/>
      <c r="AZ1429" s="109"/>
      <c r="BA1429" s="109"/>
      <c r="BB1429" s="50"/>
      <c r="BC1429" s="50"/>
      <c r="BD1429" s="50"/>
      <c r="BE1429" s="50"/>
      <c r="BF1429" s="50"/>
      <c r="BG1429" s="50"/>
      <c r="BH1429" s="50"/>
      <c r="BM1429" s="236"/>
      <c r="CA1429" s="35"/>
      <c r="CH1429" s="39"/>
      <c r="CI1429" s="32"/>
      <c r="CJ1429" s="40"/>
      <c r="CK1429" s="40"/>
      <c r="CL1429" s="33"/>
      <c r="CM1429" s="33"/>
      <c r="CN1429" s="33"/>
      <c r="CO1429" s="33"/>
      <c r="CP1429" s="33"/>
      <c r="CQ1429" s="33"/>
      <c r="CR1429" s="33"/>
    </row>
    <row r="1430" spans="7:96" ht="21">
      <c r="G1430" s="11"/>
      <c r="I1430"/>
      <c r="K1430" s="69"/>
      <c r="N1430" s="38"/>
      <c r="R1430" s="69"/>
      <c r="S1430" s="80"/>
      <c r="AE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16">
        <v>2006</v>
      </c>
      <c r="AW1430" s="68"/>
      <c r="AX1430" s="33">
        <v>98.505007710089444</v>
      </c>
      <c r="AY1430" s="33"/>
      <c r="AZ1430" s="109">
        <v>-1.5062799406002213E-2</v>
      </c>
      <c r="BA1430" s="109"/>
      <c r="BB1430" s="50"/>
      <c r="BC1430" s="50"/>
      <c r="BD1430" s="50"/>
      <c r="BE1430" s="50"/>
      <c r="BF1430" s="50"/>
      <c r="BG1430" s="50"/>
      <c r="BH1430" s="50"/>
      <c r="BM1430" s="236"/>
      <c r="CA1430" s="35"/>
      <c r="CH1430" s="39"/>
      <c r="CI1430" s="32"/>
      <c r="CJ1430" s="40"/>
      <c r="CK1430" s="40"/>
      <c r="CL1430" s="33"/>
      <c r="CM1430" s="33"/>
      <c r="CN1430" s="33"/>
      <c r="CO1430" s="33"/>
      <c r="CP1430" s="33"/>
      <c r="CQ1430" s="33"/>
      <c r="CR1430" s="33"/>
    </row>
    <row r="1431" spans="7:96" ht="21">
      <c r="N1431" s="38"/>
      <c r="S1431" s="80"/>
      <c r="AE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16">
        <v>2007</v>
      </c>
      <c r="AW1431" s="68"/>
      <c r="AX1431" s="33">
        <v>101.60941426314901</v>
      </c>
      <c r="AY1431" s="33"/>
      <c r="AZ1431" s="109">
        <v>3.1028804339977439E-2</v>
      </c>
      <c r="BA1431" s="109"/>
      <c r="BB1431" s="50"/>
      <c r="BC1431" s="50"/>
      <c r="BD1431" s="50"/>
      <c r="BE1431" s="50"/>
      <c r="BF1431" s="50"/>
      <c r="BG1431" s="50"/>
      <c r="BH1431" s="50"/>
      <c r="BM1431" s="236"/>
      <c r="CA1431" s="35"/>
      <c r="CH1431" s="39"/>
      <c r="CI1431" s="32"/>
      <c r="CJ1431" s="40"/>
      <c r="CK1431" s="40"/>
      <c r="CL1431" s="33"/>
      <c r="CM1431" s="33"/>
      <c r="CN1431" s="33"/>
      <c r="CO1431" s="33"/>
      <c r="CP1431" s="33"/>
      <c r="CQ1431" s="33"/>
      <c r="CR1431" s="33"/>
    </row>
    <row r="1432" spans="7:96" ht="21">
      <c r="G1432" s="11"/>
      <c r="H1432"/>
      <c r="I1432"/>
      <c r="J1432" s="69"/>
      <c r="N1432" s="38"/>
      <c r="Q1432" s="69"/>
      <c r="S1432" s="80"/>
      <c r="AE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16">
        <v>2008</v>
      </c>
      <c r="AW1432" s="68"/>
      <c r="AX1432" s="33">
        <v>112.18608020474647</v>
      </c>
      <c r="AY1432" s="33"/>
      <c r="AZ1432" s="109">
        <v>9.9022732123871804E-2</v>
      </c>
      <c r="BA1432" s="109"/>
      <c r="BB1432" s="50"/>
      <c r="BC1432" s="50"/>
      <c r="BD1432" s="50"/>
      <c r="BE1432" s="50"/>
      <c r="BF1432" s="50"/>
      <c r="BG1432" s="50"/>
      <c r="BH1432" s="50"/>
      <c r="BM1432" s="236"/>
      <c r="CA1432" s="35"/>
      <c r="CH1432" s="39"/>
      <c r="CI1432" s="32"/>
      <c r="CJ1432" s="40"/>
      <c r="CK1432" s="40"/>
      <c r="CL1432" s="33"/>
      <c r="CM1432" s="33"/>
      <c r="CN1432" s="33"/>
      <c r="CO1432" s="33"/>
      <c r="CP1432" s="33"/>
      <c r="CQ1432" s="33"/>
      <c r="CR1432" s="33"/>
    </row>
    <row r="1433" spans="7:96" ht="42">
      <c r="G1433" s="11"/>
      <c r="H1433" s="125"/>
      <c r="I1433" s="139" t="s">
        <v>252</v>
      </c>
      <c r="J1433" s="127"/>
      <c r="K1433" s="139" t="s">
        <v>263</v>
      </c>
      <c r="N1433" s="38"/>
      <c r="Q1433" s="127" t="s">
        <v>264</v>
      </c>
      <c r="S1433" s="80"/>
      <c r="T1433" s="33"/>
      <c r="U1433" s="33"/>
      <c r="V1433" s="33"/>
      <c r="AE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16">
        <v>2009</v>
      </c>
      <c r="AW1433" s="68"/>
      <c r="AX1433" s="33">
        <v>115.78508954211904</v>
      </c>
      <c r="AY1433" s="33"/>
      <c r="AZ1433" s="109">
        <v>3.1576873371869651E-2</v>
      </c>
      <c r="BA1433" s="109"/>
      <c r="BB1433" s="50"/>
      <c r="BC1433" s="50"/>
      <c r="BD1433" s="50"/>
      <c r="BE1433" s="50"/>
      <c r="BF1433" s="50"/>
      <c r="BG1433" s="50"/>
      <c r="BH1433" s="50"/>
      <c r="BM1433" s="236"/>
      <c r="CA1433" s="35"/>
      <c r="CH1433" s="39"/>
      <c r="CI1433" s="32"/>
      <c r="CJ1433" s="40"/>
      <c r="CK1433" s="40"/>
      <c r="CL1433" s="33"/>
      <c r="CM1433" s="33"/>
      <c r="CN1433" s="33"/>
      <c r="CO1433" s="33"/>
      <c r="CP1433" s="33"/>
      <c r="CQ1433" s="33"/>
      <c r="CR1433" s="33"/>
    </row>
    <row r="1434" spans="7:96" ht="21">
      <c r="G1434" s="11"/>
      <c r="H1434" s="128"/>
      <c r="I1434" s="128" t="s">
        <v>251</v>
      </c>
      <c r="J1434" s="128" t="s">
        <v>244</v>
      </c>
      <c r="K1434" s="128" t="s">
        <v>251</v>
      </c>
      <c r="L1434" s="128" t="s">
        <v>244</v>
      </c>
      <c r="M1434" s="128"/>
      <c r="N1434" s="156"/>
      <c r="O1434" s="128"/>
      <c r="P1434" s="128"/>
      <c r="Q1434" s="128" t="s">
        <v>251</v>
      </c>
      <c r="R1434" s="128" t="s">
        <v>244</v>
      </c>
      <c r="S1434" s="80"/>
      <c r="T1434" s="33"/>
      <c r="U1434" s="33"/>
      <c r="V1434" s="33"/>
      <c r="AE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16">
        <v>2010</v>
      </c>
      <c r="AW1434" s="68"/>
      <c r="AX1434" s="33">
        <v>112.87395428333461</v>
      </c>
      <c r="AY1434" s="33"/>
      <c r="AZ1434" s="109">
        <v>-2.5464049101561029E-2</v>
      </c>
      <c r="BA1434" s="109"/>
      <c r="BB1434" s="50"/>
      <c r="BC1434" s="50"/>
      <c r="BD1434" s="50"/>
      <c r="BE1434" s="50"/>
      <c r="BF1434" s="50"/>
      <c r="BG1434" s="50"/>
      <c r="BH1434" s="50"/>
      <c r="BM1434" s="236"/>
      <c r="CA1434" s="35"/>
      <c r="CH1434" s="39"/>
      <c r="CI1434" s="32"/>
      <c r="CJ1434" s="40"/>
      <c r="CK1434" s="40"/>
      <c r="CL1434" s="33"/>
      <c r="CM1434" s="33"/>
      <c r="CN1434" s="33"/>
      <c r="CO1434" s="33"/>
      <c r="CP1434" s="33"/>
      <c r="CQ1434" s="33"/>
      <c r="CR1434" s="33"/>
    </row>
    <row r="1435" spans="7:96" ht="21">
      <c r="G1435" s="121">
        <v>2005</v>
      </c>
      <c r="H1435" s="91">
        <v>70170.144586995928</v>
      </c>
      <c r="I1435" s="60">
        <v>70170.144586995928</v>
      </c>
      <c r="J1435" s="60">
        <v>802.79776890862206</v>
      </c>
      <c r="K1435" s="91">
        <v>11577.297330476054</v>
      </c>
      <c r="L1435" s="91">
        <v>132.45274784028803</v>
      </c>
      <c r="M1435" s="91"/>
      <c r="N1435" s="64"/>
      <c r="O1435" s="91"/>
      <c r="P1435" s="91"/>
      <c r="Q1435" s="91">
        <f t="shared" ref="Q1435:Q1451" si="2465">+K1435+I1435</f>
        <v>81747.441917471981</v>
      </c>
      <c r="R1435" s="91">
        <f t="shared" ref="R1435:R1451" si="2466">+J1435+L1435</f>
        <v>935.25051674891006</v>
      </c>
      <c r="S1435" s="80"/>
      <c r="T1435" s="78"/>
      <c r="U1435" s="78"/>
      <c r="V1435" s="78"/>
      <c r="W1435" s="70"/>
      <c r="AE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16">
        <v>2011</v>
      </c>
      <c r="AW1435" s="68"/>
      <c r="AX1435" s="33">
        <v>115.55720105814311</v>
      </c>
      <c r="AY1435" s="33"/>
      <c r="AZ1435" s="109">
        <v>2.3493907307803673E-2</v>
      </c>
      <c r="BA1435" s="109"/>
      <c r="BB1435" s="50"/>
      <c r="BC1435" s="50"/>
      <c r="BD1435" s="50"/>
      <c r="BE1435" s="50"/>
      <c r="BF1435" s="50"/>
      <c r="BG1435" s="50"/>
      <c r="BH1435" s="50"/>
      <c r="BM1435" s="236"/>
      <c r="CA1435" s="35"/>
      <c r="CH1435" s="39"/>
      <c r="CI1435" s="32"/>
      <c r="CJ1435" s="40"/>
      <c r="CK1435" s="40"/>
      <c r="CL1435" s="33"/>
      <c r="CM1435" s="33"/>
      <c r="CN1435" s="33"/>
      <c r="CO1435" s="33"/>
      <c r="CP1435" s="33"/>
      <c r="CQ1435" s="33"/>
      <c r="CR1435" s="33"/>
    </row>
    <row r="1436" spans="7:96" ht="21">
      <c r="G1436" s="121">
        <v>2006</v>
      </c>
      <c r="H1436" s="91">
        <v>68205.95866710681</v>
      </c>
      <c r="I1436" s="60">
        <v>68205.95866710681</v>
      </c>
      <c r="J1436" s="60">
        <v>757.22138094352215</v>
      </c>
      <c r="K1436" s="91">
        <v>12761.68024974627</v>
      </c>
      <c r="L1436" s="91">
        <v>141.67995481211304</v>
      </c>
      <c r="M1436" s="91"/>
      <c r="N1436" s="64"/>
      <c r="O1436" s="91"/>
      <c r="P1436" s="91"/>
      <c r="Q1436" s="91">
        <f t="shared" si="2465"/>
        <v>80967.638916853088</v>
      </c>
      <c r="R1436" s="91">
        <f t="shared" si="2466"/>
        <v>898.90133575563516</v>
      </c>
      <c r="S1436" s="80">
        <f t="shared" ref="S1436:S1451" si="2467">LN(R1436/R1435)</f>
        <v>-3.9641146185613645E-2</v>
      </c>
      <c r="T1436" s="69"/>
      <c r="U1436" s="69"/>
      <c r="V1436" s="69"/>
      <c r="AE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16">
        <v>2012</v>
      </c>
      <c r="AW1436" s="68"/>
      <c r="AX1436" s="33">
        <v>105.71665149280997</v>
      </c>
      <c r="AY1436" s="33"/>
      <c r="AZ1436" s="109">
        <v>-8.900323874551401E-2</v>
      </c>
      <c r="BA1436" s="109"/>
      <c r="BB1436" s="50"/>
      <c r="BC1436" s="50"/>
      <c r="BD1436" s="50"/>
      <c r="BE1436" s="50"/>
      <c r="BF1436" s="50"/>
      <c r="BG1436" s="50"/>
      <c r="BH1436" s="50"/>
      <c r="BM1436" s="236"/>
      <c r="CA1436" s="35"/>
      <c r="CH1436" s="39"/>
      <c r="CI1436" s="32"/>
      <c r="CJ1436" s="40"/>
      <c r="CK1436" s="40"/>
      <c r="CL1436" s="33"/>
      <c r="CM1436" s="33"/>
      <c r="CN1436" s="33"/>
      <c r="CO1436" s="33"/>
      <c r="CP1436" s="33"/>
      <c r="CQ1436" s="33"/>
      <c r="CR1436" s="33"/>
    </row>
    <row r="1437" spans="7:96" ht="21">
      <c r="G1437" s="121">
        <v>2007</v>
      </c>
      <c r="H1437" s="91">
        <v>74138.770930840226</v>
      </c>
      <c r="I1437" s="60">
        <v>74138.770930840226</v>
      </c>
      <c r="J1437" s="60">
        <v>801.5175563886811</v>
      </c>
      <c r="K1437" s="91">
        <v>12540.988592581778</v>
      </c>
      <c r="L1437" s="91">
        <v>135.5811865400525</v>
      </c>
      <c r="M1437" s="91"/>
      <c r="N1437" s="64"/>
      <c r="O1437" s="91"/>
      <c r="P1437" s="91"/>
      <c r="Q1437" s="91">
        <f t="shared" si="2465"/>
        <v>86679.759523422006</v>
      </c>
      <c r="R1437" s="91">
        <f t="shared" si="2466"/>
        <v>937.0987429287336</v>
      </c>
      <c r="S1437" s="80">
        <f t="shared" si="2467"/>
        <v>4.1615379113122901E-2</v>
      </c>
      <c r="T1437" s="69"/>
      <c r="U1437" s="69"/>
      <c r="V1437" s="69"/>
      <c r="AE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16">
        <v>2013</v>
      </c>
      <c r="AW1437" s="68"/>
      <c r="AX1437" s="33">
        <v>118.06882826946264</v>
      </c>
      <c r="AY1437" s="33"/>
      <c r="AZ1437" s="109">
        <v>0.11050532895856813</v>
      </c>
      <c r="BA1437" s="109"/>
      <c r="BB1437" s="50"/>
      <c r="BC1437" s="50"/>
      <c r="BD1437" s="50"/>
      <c r="BE1437" s="50"/>
      <c r="BF1437" s="50"/>
      <c r="BG1437" s="50"/>
      <c r="BH1437" s="50"/>
      <c r="BM1437" s="236"/>
      <c r="CA1437" s="35"/>
      <c r="CH1437" s="39"/>
      <c r="CI1437" s="32"/>
      <c r="CJ1437" s="40"/>
      <c r="CK1437" s="40"/>
      <c r="CL1437" s="33"/>
      <c r="CM1437" s="33"/>
      <c r="CN1437" s="33"/>
      <c r="CO1437" s="33"/>
      <c r="CP1437" s="33"/>
      <c r="CQ1437" s="33"/>
      <c r="CR1437" s="33"/>
    </row>
    <row r="1438" spans="7:96" ht="21">
      <c r="G1438" s="121">
        <v>2008</v>
      </c>
      <c r="H1438" s="91">
        <v>88435.182610678661</v>
      </c>
      <c r="I1438" s="60">
        <v>88435.182610678661</v>
      </c>
      <c r="J1438" s="60">
        <v>938.16496871211348</v>
      </c>
      <c r="K1438" s="91">
        <v>14399.111840889582</v>
      </c>
      <c r="L1438" s="91">
        <v>152.75303234415665</v>
      </c>
      <c r="M1438" s="91"/>
      <c r="N1438" s="64"/>
      <c r="O1438" s="91"/>
      <c r="P1438" s="91"/>
      <c r="Q1438" s="91">
        <f t="shared" si="2465"/>
        <v>102834.29445156825</v>
      </c>
      <c r="R1438" s="91">
        <f t="shared" si="2466"/>
        <v>1090.9180010562702</v>
      </c>
      <c r="S1438" s="80">
        <f t="shared" si="2467"/>
        <v>0.15198616489281683</v>
      </c>
      <c r="T1438" s="69"/>
      <c r="U1438" s="69"/>
      <c r="V1438" s="69"/>
      <c r="AE1438" s="33"/>
      <c r="AK1438" s="33"/>
      <c r="AL1438" s="33"/>
      <c r="AM1438" s="33"/>
      <c r="AN1438" s="33"/>
      <c r="AO1438" s="33"/>
      <c r="AP1438" s="33"/>
      <c r="AQ1438" s="33"/>
      <c r="AR1438" s="33"/>
      <c r="AS1438" s="33"/>
      <c r="AT1438" s="33"/>
      <c r="AU1438" s="33"/>
      <c r="AV1438" s="16">
        <v>2014</v>
      </c>
      <c r="AW1438" s="68"/>
      <c r="AX1438" s="33">
        <v>118.96701131686267</v>
      </c>
      <c r="AY1438" s="33"/>
      <c r="AZ1438" s="109">
        <v>7.5784940183316971E-3</v>
      </c>
      <c r="BA1438" s="109"/>
      <c r="BB1438" s="50"/>
      <c r="BC1438" s="50"/>
      <c r="BD1438" s="50"/>
      <c r="BE1438" s="50"/>
      <c r="BF1438" s="50"/>
      <c r="BG1438" s="50"/>
      <c r="BH1438" s="50"/>
      <c r="BM1438" s="236"/>
      <c r="CA1438" s="35"/>
      <c r="CH1438" s="39"/>
      <c r="CI1438" s="32"/>
      <c r="CJ1438" s="40"/>
      <c r="CK1438" s="40"/>
      <c r="CL1438" s="33"/>
      <c r="CM1438" s="33"/>
      <c r="CN1438" s="33"/>
      <c r="CO1438" s="33"/>
      <c r="CP1438" s="33"/>
      <c r="CQ1438" s="33"/>
      <c r="CR1438" s="33"/>
    </row>
    <row r="1439" spans="7:96" ht="21">
      <c r="G1439" s="121">
        <v>2009</v>
      </c>
      <c r="H1439" s="91">
        <v>90967.869798057029</v>
      </c>
      <c r="I1439" s="60">
        <v>90967.869798057029</v>
      </c>
      <c r="J1439" s="60">
        <v>957.56660383853546</v>
      </c>
      <c r="K1439" s="91">
        <v>16165.299557942539</v>
      </c>
      <c r="L1439" s="91">
        <v>170.16283916612321</v>
      </c>
      <c r="M1439" s="91"/>
      <c r="N1439" s="64"/>
      <c r="O1439" s="91"/>
      <c r="P1439" s="91"/>
      <c r="Q1439" s="91">
        <f t="shared" si="2465"/>
        <v>107133.16935599956</v>
      </c>
      <c r="R1439" s="91">
        <f t="shared" si="2466"/>
        <v>1127.7294430046586</v>
      </c>
      <c r="S1439" s="80">
        <f t="shared" si="2467"/>
        <v>3.318672422242485E-2</v>
      </c>
      <c r="T1439" s="69"/>
      <c r="U1439" s="69"/>
      <c r="V1439" s="69"/>
      <c r="AE1439" s="33"/>
      <c r="AK1439" s="33"/>
      <c r="AL1439" s="33"/>
      <c r="AM1439" s="33"/>
      <c r="AN1439" s="33"/>
      <c r="AO1439" s="33"/>
      <c r="AP1439" s="33"/>
      <c r="AQ1439" s="33"/>
      <c r="AR1439" s="33"/>
      <c r="AS1439" s="33"/>
      <c r="AT1439" s="33"/>
      <c r="AU1439" s="33"/>
      <c r="AV1439" s="16">
        <v>2015</v>
      </c>
      <c r="AW1439" s="68"/>
      <c r="AX1439" s="33">
        <v>113.34093711836077</v>
      </c>
      <c r="AY1439" s="33"/>
      <c r="AZ1439" s="109">
        <v>-4.8445819943091148E-2</v>
      </c>
      <c r="BA1439" s="109"/>
      <c r="BB1439" s="50"/>
      <c r="BC1439" s="50"/>
      <c r="BD1439" s="50"/>
      <c r="BE1439" s="50"/>
      <c r="BF1439" s="50"/>
      <c r="BG1439" s="50"/>
      <c r="BH1439" s="50"/>
      <c r="BM1439" s="236"/>
      <c r="CA1439" s="35"/>
      <c r="CH1439" s="39"/>
      <c r="CI1439" s="32"/>
      <c r="CJ1439" s="40"/>
      <c r="CK1439" s="40"/>
      <c r="CL1439" s="33"/>
      <c r="CM1439" s="33"/>
      <c r="CN1439" s="33"/>
      <c r="CO1439" s="33"/>
      <c r="CP1439" s="33"/>
      <c r="CQ1439" s="33"/>
      <c r="CR1439" s="33"/>
    </row>
    <row r="1440" spans="7:96" ht="21">
      <c r="G1440" s="121">
        <v>2010</v>
      </c>
      <c r="H1440" s="91">
        <v>87351.392263189264</v>
      </c>
      <c r="I1440" s="60">
        <v>87351.392263189264</v>
      </c>
      <c r="J1440" s="60">
        <v>908.87838041379337</v>
      </c>
      <c r="K1440" s="91">
        <v>15584.001849541737</v>
      </c>
      <c r="L1440" s="91">
        <v>162.14924564340217</v>
      </c>
      <c r="M1440" s="91"/>
      <c r="N1440" s="64"/>
      <c r="O1440" s="91"/>
      <c r="P1440" s="91"/>
      <c r="Q1440" s="91">
        <f t="shared" si="2465"/>
        <v>102935.394112731</v>
      </c>
      <c r="R1440" s="91">
        <f t="shared" si="2466"/>
        <v>1071.0276260571954</v>
      </c>
      <c r="S1440" s="80">
        <f t="shared" si="2467"/>
        <v>-5.1587683042774161E-2</v>
      </c>
      <c r="T1440" s="69"/>
      <c r="U1440" s="69"/>
      <c r="V1440" s="69"/>
      <c r="AE1440" s="33"/>
      <c r="AK1440" s="33"/>
      <c r="AL1440" s="33"/>
      <c r="AM1440" s="33"/>
      <c r="AN1440" s="33"/>
      <c r="AO1440" s="33"/>
      <c r="AP1440" s="33"/>
      <c r="AQ1440" s="33"/>
      <c r="AR1440" s="33"/>
      <c r="AS1440" s="33"/>
      <c r="AT1440" s="33"/>
      <c r="AU1440" s="33"/>
      <c r="AV1440" s="16">
        <v>2016</v>
      </c>
      <c r="AW1440" s="68"/>
      <c r="AX1440" s="33">
        <v>122.86859653788703</v>
      </c>
      <c r="AY1440" s="33"/>
      <c r="AZ1440" s="109">
        <v>8.0715044568433217E-2</v>
      </c>
      <c r="BA1440" s="109"/>
      <c r="BM1440" s="236"/>
      <c r="CA1440" s="35"/>
      <c r="CH1440" s="39"/>
      <c r="CI1440" s="32"/>
      <c r="CJ1440" s="40"/>
      <c r="CK1440" s="40"/>
      <c r="CL1440" s="33"/>
      <c r="CM1440" s="33"/>
      <c r="CN1440" s="33"/>
      <c r="CO1440" s="33"/>
      <c r="CP1440" s="33"/>
      <c r="CQ1440" s="33"/>
      <c r="CR1440" s="33"/>
    </row>
    <row r="1441" spans="7:96" ht="21">
      <c r="G1441" s="121">
        <v>2011</v>
      </c>
      <c r="H1441" s="91">
        <v>92295.286846997522</v>
      </c>
      <c r="I1441" s="60">
        <v>92295.286846997522</v>
      </c>
      <c r="J1441" s="60">
        <v>940.71354010719915</v>
      </c>
      <c r="K1441" s="91">
        <v>15429.418491649474</v>
      </c>
      <c r="L1441" s="91">
        <v>157.26331632878217</v>
      </c>
      <c r="M1441" s="91"/>
      <c r="N1441" s="64"/>
      <c r="O1441" s="91"/>
      <c r="P1441" s="91"/>
      <c r="Q1441" s="91">
        <f t="shared" si="2465"/>
        <v>107724.70533864699</v>
      </c>
      <c r="R1441" s="91">
        <f t="shared" si="2466"/>
        <v>1097.9768564359813</v>
      </c>
      <c r="S1441" s="80">
        <f t="shared" si="2467"/>
        <v>2.4850679167199019E-2</v>
      </c>
      <c r="T1441" s="69"/>
      <c r="U1441" s="69"/>
      <c r="V1441" s="69"/>
      <c r="AE1441" s="33"/>
      <c r="AK1441" s="33"/>
      <c r="AL1441" s="33"/>
      <c r="AM1441" s="33"/>
      <c r="AN1441" s="33"/>
      <c r="AO1441" s="33"/>
      <c r="AP1441" s="33"/>
      <c r="AQ1441" s="33"/>
      <c r="AR1441" s="33"/>
      <c r="AS1441" s="33"/>
      <c r="AT1441" s="33"/>
      <c r="AU1441" s="33"/>
      <c r="AV1441" s="16">
        <v>2017</v>
      </c>
      <c r="AW1441" s="68"/>
      <c r="AX1441" s="33">
        <v>123.51924706489976</v>
      </c>
      <c r="AY1441" s="33"/>
      <c r="AZ1441" s="109">
        <v>5.2815271237715393E-3</v>
      </c>
      <c r="BA1441" s="109"/>
      <c r="BM1441" s="236"/>
      <c r="CA1441" s="35"/>
      <c r="CH1441" s="39"/>
      <c r="CI1441" s="32"/>
      <c r="CJ1441" s="40"/>
      <c r="CK1441" s="40"/>
      <c r="CL1441" s="33"/>
      <c r="CM1441" s="33"/>
      <c r="CN1441" s="33"/>
      <c r="CO1441" s="33"/>
      <c r="CP1441" s="33"/>
      <c r="CQ1441" s="33"/>
      <c r="CR1441" s="33"/>
    </row>
    <row r="1442" spans="7:96" ht="21">
      <c r="G1442" s="121">
        <v>2012</v>
      </c>
      <c r="H1442" s="91">
        <v>80183.397422745067</v>
      </c>
      <c r="I1442" s="60">
        <v>80183.397422745067</v>
      </c>
      <c r="J1442" s="60">
        <v>801.83397422745065</v>
      </c>
      <c r="K1442" s="91">
        <v>12141.726827309809</v>
      </c>
      <c r="L1442" s="91">
        <v>121.41726827309809</v>
      </c>
      <c r="M1442" s="91"/>
      <c r="N1442" s="64"/>
      <c r="O1442" s="91"/>
      <c r="P1442" s="91"/>
      <c r="Q1442" s="91">
        <f t="shared" si="2465"/>
        <v>92325.124250054883</v>
      </c>
      <c r="R1442" s="91">
        <f t="shared" si="2466"/>
        <v>923.25124250054876</v>
      </c>
      <c r="S1442" s="80">
        <f t="shared" si="2467"/>
        <v>-0.17332314439848345</v>
      </c>
      <c r="T1442" s="69"/>
      <c r="U1442" s="69"/>
      <c r="V1442" s="69"/>
      <c r="AE1442" s="33"/>
      <c r="AK1442" s="33"/>
      <c r="AL1442" s="33"/>
      <c r="AM1442" s="33"/>
      <c r="AN1442" s="33"/>
      <c r="AO1442" s="33"/>
      <c r="AP1442" s="33"/>
      <c r="AQ1442" s="33"/>
      <c r="AR1442" s="33"/>
      <c r="AS1442" s="33"/>
      <c r="AT1442" s="33"/>
      <c r="AU1442" s="33"/>
      <c r="AV1442" s="16">
        <v>2018</v>
      </c>
      <c r="AW1442" s="68"/>
      <c r="AX1442" s="33">
        <v>236.24828422187028</v>
      </c>
      <c r="AY1442" s="33"/>
      <c r="AZ1442" s="109">
        <v>0.64848631318999961</v>
      </c>
      <c r="BA1442" s="109"/>
      <c r="BM1442" s="236"/>
      <c r="CA1442" s="35"/>
      <c r="CH1442" s="39"/>
      <c r="CI1442" s="32"/>
      <c r="CJ1442" s="40"/>
      <c r="CK1442" s="40"/>
      <c r="CL1442" s="33"/>
      <c r="CM1442" s="33"/>
      <c r="CN1442" s="33"/>
      <c r="CO1442" s="33"/>
      <c r="CP1442" s="33"/>
      <c r="CQ1442" s="33"/>
      <c r="CR1442" s="33"/>
    </row>
    <row r="1443" spans="7:96" ht="21">
      <c r="G1443" s="121">
        <v>2013</v>
      </c>
      <c r="H1443" s="91">
        <v>98514.087433504872</v>
      </c>
      <c r="I1443" s="60">
        <v>98514.087433504872</v>
      </c>
      <c r="J1443" s="60">
        <v>967.9786135173855</v>
      </c>
      <c r="K1443" s="91">
        <v>15148.767230313842</v>
      </c>
      <c r="L1443" s="91">
        <v>148.84858685814353</v>
      </c>
      <c r="M1443" s="91"/>
      <c r="N1443" s="64"/>
      <c r="O1443" s="91"/>
      <c r="P1443" s="91"/>
      <c r="Q1443" s="91">
        <f t="shared" si="2465"/>
        <v>113662.85466381871</v>
      </c>
      <c r="R1443" s="91">
        <f t="shared" si="2466"/>
        <v>1116.8272003755289</v>
      </c>
      <c r="S1443" s="80">
        <f t="shared" si="2467"/>
        <v>0.19034568782693581</v>
      </c>
      <c r="T1443" s="69"/>
      <c r="U1443" s="69"/>
      <c r="V1443" s="69"/>
      <c r="AE1443" s="33"/>
      <c r="AK1443" s="33"/>
      <c r="AL1443" s="33"/>
      <c r="AM1443" s="33"/>
      <c r="AN1443" s="33"/>
      <c r="AO1443" s="33"/>
      <c r="AP1443" s="33"/>
      <c r="AQ1443" s="33"/>
      <c r="AR1443" s="33"/>
      <c r="AS1443" s="33"/>
      <c r="AT1443" s="33"/>
      <c r="AU1443" s="33"/>
      <c r="AV1443" s="16">
        <v>2019</v>
      </c>
      <c r="AW1443" s="68"/>
      <c r="AX1443" s="33">
        <v>154.43602806555742</v>
      </c>
      <c r="AY1443" s="33"/>
      <c r="AZ1443" s="109">
        <v>-0.42510335103046915</v>
      </c>
      <c r="BA1443" s="109"/>
      <c r="BM1443" s="236"/>
      <c r="CA1443" s="36"/>
      <c r="CH1443" s="39"/>
      <c r="CI1443" s="32"/>
      <c r="CJ1443" s="40"/>
      <c r="CK1443" s="40"/>
      <c r="CL1443" s="40"/>
      <c r="CM1443" s="40"/>
      <c r="CN1443" s="40"/>
      <c r="CO1443" s="40"/>
      <c r="CP1443" s="40"/>
      <c r="CQ1443" s="40"/>
      <c r="CR1443" s="40"/>
    </row>
    <row r="1444" spans="7:96" ht="21">
      <c r="G1444" s="121">
        <v>2014</v>
      </c>
      <c r="H1444" s="91">
        <v>100350.79939413707</v>
      </c>
      <c r="I1444" s="60">
        <v>100350.79939413707</v>
      </c>
      <c r="J1444" s="60">
        <v>968.19781946546505</v>
      </c>
      <c r="K1444" s="91">
        <v>15661.281733493423</v>
      </c>
      <c r="L1444" s="91">
        <v>151.10212291232185</v>
      </c>
      <c r="M1444" s="91"/>
      <c r="N1444" s="64"/>
      <c r="O1444" s="91"/>
      <c r="P1444" s="91"/>
      <c r="Q1444" s="91">
        <f t="shared" si="2465"/>
        <v>116012.08112763049</v>
      </c>
      <c r="R1444" s="91">
        <f t="shared" si="2466"/>
        <v>1119.2999423777869</v>
      </c>
      <c r="S1444" s="80">
        <f t="shared" si="2467"/>
        <v>2.2116300660122443E-3</v>
      </c>
      <c r="T1444" s="69"/>
      <c r="U1444" s="69"/>
      <c r="V1444" s="69"/>
      <c r="AE1444" s="33"/>
      <c r="AK1444" s="33"/>
      <c r="AL1444" s="33"/>
      <c r="AM1444" s="33"/>
      <c r="AN1444" s="33"/>
      <c r="AO1444" s="33"/>
      <c r="AP1444" s="33"/>
      <c r="AQ1444" s="33"/>
      <c r="AR1444" s="33"/>
      <c r="AS1444" s="33"/>
      <c r="AT1444" s="33"/>
      <c r="AU1444" s="33"/>
      <c r="AV1444" s="16">
        <v>2020</v>
      </c>
      <c r="AW1444" s="68"/>
      <c r="AX1444" s="33">
        <v>121.93784451427952</v>
      </c>
      <c r="AY1444" s="33"/>
      <c r="AZ1444" s="109">
        <v>-0.23626850904979946</v>
      </c>
      <c r="BA1444" s="109"/>
      <c r="BM1444" s="236"/>
      <c r="CA1444" s="35"/>
      <c r="CH1444" s="39"/>
      <c r="CI1444" s="32"/>
      <c r="CJ1444" s="40"/>
      <c r="CK1444" s="40"/>
      <c r="CL1444" s="33"/>
      <c r="CM1444" s="33"/>
      <c r="CN1444" s="33"/>
      <c r="CO1444" s="33"/>
      <c r="CP1444" s="33"/>
      <c r="CQ1444" s="33"/>
      <c r="CR1444" s="33"/>
    </row>
    <row r="1445" spans="7:96" ht="21">
      <c r="G1445" s="121">
        <v>2015</v>
      </c>
      <c r="H1445" s="91">
        <v>91352.973244997411</v>
      </c>
      <c r="I1445" s="60">
        <v>91352.973244997411</v>
      </c>
      <c r="J1445" s="60">
        <v>873.02987648006399</v>
      </c>
      <c r="K1445" s="91">
        <v>15559.608870159738</v>
      </c>
      <c r="L1445" s="91">
        <v>148.69798899224705</v>
      </c>
      <c r="M1445" s="91"/>
      <c r="N1445" s="64"/>
      <c r="O1445" s="91"/>
      <c r="P1445" s="91"/>
      <c r="Q1445" s="91">
        <f t="shared" si="2465"/>
        <v>106912.58211515714</v>
      </c>
      <c r="R1445" s="91">
        <f t="shared" si="2466"/>
        <v>1021.727865472311</v>
      </c>
      <c r="S1445" s="80">
        <f t="shared" si="2467"/>
        <v>-9.1208258554737839E-2</v>
      </c>
      <c r="T1445" s="69"/>
      <c r="U1445" s="69"/>
      <c r="V1445" s="69"/>
      <c r="AE1445" s="33"/>
      <c r="AK1445" s="33"/>
      <c r="AL1445" s="33"/>
      <c r="AM1445" s="33"/>
      <c r="AN1445" s="33"/>
      <c r="AO1445" s="33"/>
      <c r="AP1445" s="33"/>
      <c r="AQ1445" s="33"/>
      <c r="AR1445" s="33"/>
      <c r="AS1445" s="33"/>
      <c r="AT1445" s="33"/>
      <c r="AU1445" s="33"/>
      <c r="AV1445" s="16">
        <v>2021</v>
      </c>
      <c r="AW1445" s="68"/>
      <c r="AX1445" s="33">
        <v>123.40677297258466</v>
      </c>
      <c r="AY1445" s="33"/>
      <c r="AZ1445" s="109">
        <v>1.1974552576452809E-2</v>
      </c>
      <c r="BA1445" s="109"/>
      <c r="BM1445" s="236"/>
      <c r="CA1445" s="35"/>
      <c r="CH1445" s="39"/>
      <c r="CI1445" s="32"/>
      <c r="CJ1445" s="40"/>
      <c r="CK1445" s="40"/>
      <c r="CL1445" s="33"/>
      <c r="CM1445" s="33"/>
      <c r="CN1445" s="33"/>
      <c r="CO1445" s="33"/>
      <c r="CP1445" s="33"/>
      <c r="CQ1445" s="33"/>
      <c r="CR1445" s="33"/>
    </row>
    <row r="1446" spans="7:96" ht="21">
      <c r="G1446" s="121">
        <v>2016</v>
      </c>
      <c r="H1446" s="91">
        <v>106397.97648846057</v>
      </c>
      <c r="I1446" s="60">
        <v>106397.97648846057</v>
      </c>
      <c r="J1446" s="60">
        <v>1006.2606537835795</v>
      </c>
      <c r="K1446" s="91">
        <v>16635.344578460565</v>
      </c>
      <c r="L1446" s="91">
        <v>157.32905139650228</v>
      </c>
      <c r="M1446" s="91"/>
      <c r="N1446" s="64"/>
      <c r="O1446" s="91"/>
      <c r="P1446" s="91"/>
      <c r="Q1446" s="91">
        <f t="shared" si="2465"/>
        <v>123033.32106692114</v>
      </c>
      <c r="R1446" s="91">
        <f t="shared" si="2466"/>
        <v>1163.5897051800819</v>
      </c>
      <c r="S1446" s="80">
        <f t="shared" si="2467"/>
        <v>0.13001462033465735</v>
      </c>
      <c r="T1446" s="69"/>
      <c r="U1446" s="69"/>
      <c r="V1446" s="69"/>
      <c r="AE1446" s="33"/>
      <c r="AK1446" s="33"/>
      <c r="AL1446" s="33"/>
      <c r="AM1446" s="33"/>
      <c r="AN1446" s="33"/>
      <c r="AO1446" s="33"/>
      <c r="AP1446" s="33"/>
      <c r="AQ1446" s="33"/>
      <c r="AR1446" s="33"/>
      <c r="AS1446" s="33"/>
      <c r="AT1446" s="33"/>
      <c r="AU1446" s="33"/>
      <c r="AW1446" s="68"/>
      <c r="AX1446" s="33"/>
      <c r="AY1446" s="33"/>
      <c r="AZ1446" s="109"/>
      <c r="BA1446" s="109"/>
      <c r="BM1446" s="236"/>
      <c r="CA1446" s="35"/>
      <c r="CH1446" s="39"/>
      <c r="CI1446" s="32"/>
      <c r="CJ1446" s="40"/>
      <c r="CK1446" s="40"/>
      <c r="CL1446" s="33"/>
      <c r="CM1446" s="33"/>
      <c r="CN1446" s="33"/>
      <c r="CO1446" s="33"/>
      <c r="CP1446" s="33"/>
      <c r="CQ1446" s="33"/>
      <c r="CR1446" s="33"/>
    </row>
    <row r="1447" spans="7:96" ht="21">
      <c r="G1447" s="121">
        <v>2017</v>
      </c>
      <c r="H1447" s="91">
        <v>108217.41055661241</v>
      </c>
      <c r="I1447" s="60">
        <v>108217.41055661241</v>
      </c>
      <c r="J1447" s="60">
        <v>1004.3285960836781</v>
      </c>
      <c r="K1447" s="91">
        <v>17207.388850461444</v>
      </c>
      <c r="L1447" s="91">
        <v>159.69586222365865</v>
      </c>
      <c r="M1447" s="91"/>
      <c r="N1447" s="64"/>
      <c r="O1447" s="91"/>
      <c r="P1447" s="91"/>
      <c r="Q1447" s="91">
        <f t="shared" si="2465"/>
        <v>125424.79940707385</v>
      </c>
      <c r="R1447" s="91">
        <f t="shared" si="2466"/>
        <v>1164.0244583073368</v>
      </c>
      <c r="S1447" s="80">
        <f t="shared" si="2467"/>
        <v>3.7356116759415986E-4</v>
      </c>
      <c r="T1447" s="69"/>
      <c r="U1447" s="69"/>
      <c r="V1447" s="69"/>
      <c r="AE1447" s="33"/>
      <c r="AK1447" s="33"/>
      <c r="AL1447" s="33"/>
      <c r="AM1447" s="33"/>
      <c r="AN1447" s="33"/>
      <c r="AO1447" s="33"/>
      <c r="AP1447" s="33"/>
      <c r="AQ1447" s="33"/>
      <c r="AR1447" s="33"/>
      <c r="AS1447" s="33"/>
      <c r="AT1447" s="33"/>
      <c r="AU1447" s="33"/>
      <c r="AW1447" s="68"/>
      <c r="AX1447" s="33"/>
      <c r="AY1447" s="33"/>
      <c r="AZ1447" s="109"/>
      <c r="BA1447" s="109"/>
      <c r="BM1447" s="236"/>
      <c r="CA1447" s="35"/>
      <c r="CH1447" s="39"/>
      <c r="CI1447" s="32"/>
      <c r="CJ1447" s="40"/>
      <c r="CK1447" s="40"/>
      <c r="CL1447" s="33"/>
      <c r="CM1447" s="33"/>
      <c r="CN1447" s="33"/>
      <c r="CO1447" s="33"/>
      <c r="CP1447" s="33"/>
      <c r="CQ1447" s="33"/>
      <c r="CR1447" s="33"/>
    </row>
    <row r="1448" spans="7:96" ht="21">
      <c r="G1448" s="121">
        <v>2018</v>
      </c>
      <c r="H1448" s="91">
        <v>263633.92342486454</v>
      </c>
      <c r="I1448" s="60">
        <v>263633.92342486454</v>
      </c>
      <c r="J1448" s="60">
        <v>2389.6767954248885</v>
      </c>
      <c r="K1448" s="91">
        <v>55623.673487049251</v>
      </c>
      <c r="L1448" s="91">
        <v>504.19384607829124</v>
      </c>
      <c r="M1448" s="91"/>
      <c r="N1448" s="64"/>
      <c r="O1448" s="91"/>
      <c r="P1448" s="91"/>
      <c r="Q1448" s="91">
        <f t="shared" si="2465"/>
        <v>319257.59691191377</v>
      </c>
      <c r="R1448" s="91">
        <f t="shared" si="2466"/>
        <v>2893.8706415031797</v>
      </c>
      <c r="S1448" s="80">
        <f t="shared" si="2467"/>
        <v>0.91071156697163991</v>
      </c>
      <c r="T1448" s="69"/>
      <c r="U1448" s="69"/>
      <c r="V1448" s="69"/>
      <c r="AE1448" s="33"/>
      <c r="AK1448" s="33"/>
      <c r="AL1448" s="33"/>
      <c r="AM1448" s="33"/>
      <c r="AN1448" s="33"/>
      <c r="AO1448" s="33"/>
      <c r="AP1448" s="33"/>
      <c r="AQ1448" s="33"/>
      <c r="AR1448" s="33"/>
      <c r="AS1448" s="33"/>
      <c r="AT1448" s="33"/>
      <c r="AU1448" s="33"/>
      <c r="AW1448" s="68"/>
      <c r="AX1448" s="33"/>
      <c r="AY1448" s="33"/>
      <c r="AZ1448" s="109"/>
      <c r="BA1448" s="109"/>
      <c r="BM1448" s="236"/>
      <c r="CA1448" s="35"/>
      <c r="CH1448" s="39"/>
      <c r="CI1448" s="32"/>
      <c r="CJ1448" s="40"/>
      <c r="CK1448" s="40"/>
      <c r="CL1448" s="33"/>
      <c r="CM1448" s="33"/>
      <c r="CN1448" s="33"/>
      <c r="CO1448" s="33"/>
      <c r="CP1448" s="33"/>
      <c r="CQ1448" s="33"/>
      <c r="CR1448" s="33"/>
    </row>
    <row r="1449" spans="7:96" ht="21">
      <c r="G1449" s="121">
        <v>2019</v>
      </c>
      <c r="H1449" s="91">
        <v>154919.95358487166</v>
      </c>
      <c r="I1449" s="60">
        <v>154919.95358487166</v>
      </c>
      <c r="J1449" s="60">
        <v>1379.2976511767629</v>
      </c>
      <c r="K1449" s="91">
        <v>27857.358176654332</v>
      </c>
      <c r="L1449" s="91">
        <v>248.02220638414443</v>
      </c>
      <c r="M1449" s="91"/>
      <c r="N1449" s="64"/>
      <c r="O1449" s="91"/>
      <c r="P1449" s="91"/>
      <c r="Q1449" s="91">
        <f t="shared" si="2465"/>
        <v>182777.31176152598</v>
      </c>
      <c r="R1449" s="91">
        <f t="shared" si="2466"/>
        <v>1627.3198575609074</v>
      </c>
      <c r="S1449" s="80">
        <f t="shared" si="2467"/>
        <v>-0.57566052597580453</v>
      </c>
      <c r="T1449" s="69"/>
      <c r="U1449" s="69"/>
      <c r="V1449" s="69"/>
      <c r="AE1449" s="33"/>
      <c r="AK1449" s="33"/>
      <c r="AL1449" s="33"/>
      <c r="AM1449" s="33"/>
      <c r="AN1449" s="33"/>
      <c r="AO1449" s="33"/>
      <c r="AP1449" s="33"/>
      <c r="AQ1449" s="33"/>
      <c r="AR1449" s="33"/>
      <c r="AS1449" s="33"/>
      <c r="AT1449" s="33"/>
      <c r="AU1449" s="33"/>
      <c r="AW1449" s="68"/>
      <c r="AX1449" s="33"/>
      <c r="AY1449" s="33"/>
      <c r="AZ1449" s="109"/>
      <c r="BA1449" s="109"/>
      <c r="BM1449" s="236"/>
      <c r="CA1449" s="35"/>
      <c r="CH1449" s="39"/>
      <c r="CI1449" s="32"/>
      <c r="CJ1449" s="40"/>
      <c r="CK1449" s="40"/>
      <c r="CL1449" s="33"/>
      <c r="CM1449" s="33"/>
      <c r="CN1449" s="33"/>
      <c r="CO1449" s="33"/>
      <c r="CP1449" s="33"/>
      <c r="CQ1449" s="33"/>
      <c r="CR1449" s="33"/>
    </row>
    <row r="1450" spans="7:96" ht="21">
      <c r="G1450" s="121">
        <v>2020</v>
      </c>
      <c r="H1450" s="91">
        <v>110798.08406738167</v>
      </c>
      <c r="I1450" s="60">
        <v>110798.08406738167</v>
      </c>
      <c r="J1450" s="60">
        <v>975.13781600012032</v>
      </c>
      <c r="K1450" s="91">
        <v>16366.734633533715</v>
      </c>
      <c r="L1450" s="91">
        <v>144.04420437353102</v>
      </c>
      <c r="M1450" s="91"/>
      <c r="N1450" s="64"/>
      <c r="O1450" s="91"/>
      <c r="P1450" s="91"/>
      <c r="Q1450" s="91">
        <f t="shared" si="2465"/>
        <v>127164.81870091539</v>
      </c>
      <c r="R1450" s="91">
        <f t="shared" si="2466"/>
        <v>1119.1820203736513</v>
      </c>
      <c r="S1450" s="80">
        <f t="shared" si="2467"/>
        <v>-0.37433632284836338</v>
      </c>
      <c r="T1450" s="69"/>
      <c r="U1450" s="69"/>
      <c r="V1450" s="69"/>
      <c r="AE1450" s="33"/>
      <c r="AK1450" s="33"/>
      <c r="AL1450" s="33"/>
      <c r="AM1450" s="33"/>
      <c r="AN1450" s="33"/>
      <c r="AO1450" s="33"/>
      <c r="AP1450" s="33"/>
      <c r="AQ1450" s="33"/>
      <c r="AR1450" s="33"/>
      <c r="AS1450" s="33"/>
      <c r="AT1450" s="33"/>
      <c r="AU1450" s="33"/>
      <c r="AW1450" s="68"/>
      <c r="AX1450" s="33"/>
      <c r="AY1450" s="33"/>
      <c r="AZ1450" s="109"/>
      <c r="BA1450" s="109"/>
      <c r="BM1450" s="236"/>
      <c r="CA1450" s="35"/>
      <c r="CH1450" s="39"/>
      <c r="CI1450" s="32"/>
      <c r="CJ1450" s="40"/>
      <c r="CK1450" s="40"/>
      <c r="CL1450" s="33"/>
      <c r="CM1450" s="33"/>
      <c r="CN1450" s="33"/>
      <c r="CO1450" s="33"/>
      <c r="CP1450" s="33"/>
      <c r="CQ1450" s="33"/>
      <c r="CR1450" s="33"/>
    </row>
    <row r="1451" spans="7:96" ht="21">
      <c r="G1451" s="121">
        <v>2021</v>
      </c>
      <c r="H1451" s="91">
        <v>131514.10333494714</v>
      </c>
      <c r="I1451" s="92">
        <v>131514.10333494714</v>
      </c>
      <c r="J1451" s="110">
        <v>1109.9173207439205</v>
      </c>
      <c r="K1451" s="91">
        <v>0</v>
      </c>
      <c r="L1451" s="91">
        <v>0</v>
      </c>
      <c r="M1451" s="91"/>
      <c r="N1451" s="64"/>
      <c r="O1451" s="91"/>
      <c r="P1451" s="91"/>
      <c r="Q1451" s="91">
        <f t="shared" si="2465"/>
        <v>131514.10333494714</v>
      </c>
      <c r="R1451" s="91">
        <f t="shared" si="2466"/>
        <v>1109.9173207439205</v>
      </c>
      <c r="S1451" s="80">
        <f t="shared" si="2467"/>
        <v>-8.3125527937406973E-3</v>
      </c>
      <c r="T1451" s="69"/>
      <c r="U1451" s="69"/>
      <c r="V1451" s="69"/>
      <c r="AE1451" s="33"/>
      <c r="AK1451" s="33"/>
      <c r="AL1451" s="33"/>
      <c r="AM1451" s="33"/>
      <c r="AN1451" s="33"/>
      <c r="AO1451" s="33"/>
      <c r="AP1451" s="33"/>
      <c r="AQ1451" s="33"/>
      <c r="AR1451" s="33"/>
      <c r="AS1451" s="33"/>
      <c r="AT1451" s="33"/>
      <c r="AU1451" s="33"/>
      <c r="AW1451" s="68"/>
      <c r="AX1451" s="33"/>
      <c r="AY1451" s="33"/>
      <c r="AZ1451" s="109"/>
      <c r="BA1451" s="109"/>
      <c r="BM1451" s="236"/>
      <c r="CA1451" s="35"/>
      <c r="CH1451" s="39"/>
      <c r="CI1451" s="32"/>
      <c r="CJ1451" s="40"/>
      <c r="CK1451" s="40"/>
      <c r="CL1451" s="33"/>
      <c r="CM1451" s="33"/>
      <c r="CN1451" s="33"/>
      <c r="CO1451" s="33"/>
      <c r="CP1451" s="33"/>
      <c r="CQ1451" s="33"/>
      <c r="CR1451" s="33"/>
    </row>
    <row r="1452" spans="7:96" ht="21">
      <c r="G1452" s="11"/>
      <c r="H1452"/>
      <c r="I1452"/>
      <c r="J1452" s="69"/>
      <c r="K1452" s="109"/>
      <c r="L1452" s="109"/>
      <c r="M1452" s="109"/>
      <c r="N1452" s="38"/>
      <c r="O1452" s="109"/>
      <c r="P1452" s="109"/>
      <c r="S1452" s="80"/>
      <c r="T1452" s="91"/>
      <c r="U1452" s="91"/>
      <c r="V1452" s="91"/>
      <c r="AE1452" s="33"/>
      <c r="AK1452" s="33"/>
      <c r="AL1452" s="33"/>
      <c r="AM1452" s="33"/>
      <c r="AN1452" s="33"/>
      <c r="AO1452" s="33"/>
      <c r="AP1452" s="33"/>
      <c r="AQ1452" s="33"/>
      <c r="AR1452" s="33"/>
      <c r="AS1452" s="33"/>
      <c r="AT1452" s="33"/>
      <c r="AU1452" s="33"/>
      <c r="AW1452" s="68"/>
      <c r="AX1452" s="33"/>
      <c r="AY1452" s="33"/>
      <c r="AZ1452" s="109"/>
      <c r="BA1452" s="109"/>
      <c r="BM1452" s="236"/>
      <c r="CA1452" s="35"/>
      <c r="CH1452" s="39"/>
      <c r="CI1452" s="32"/>
      <c r="CJ1452" s="40"/>
      <c r="CK1452" s="40"/>
      <c r="CL1452" s="33"/>
      <c r="CM1452" s="33"/>
      <c r="CN1452" s="33"/>
      <c r="CO1452" s="33"/>
      <c r="CP1452" s="33"/>
      <c r="CQ1452" s="33"/>
      <c r="CR1452" s="33"/>
    </row>
    <row r="1453" spans="7:96" ht="21">
      <c r="G1453" s="11"/>
      <c r="H1453"/>
      <c r="I1453"/>
      <c r="J1453" s="69"/>
      <c r="N1453" s="38"/>
      <c r="Q1453" s="69"/>
      <c r="S1453" s="80"/>
      <c r="AE1453" s="33"/>
      <c r="AK1453" s="33"/>
      <c r="AL1453" s="33"/>
      <c r="AM1453" s="33"/>
      <c r="AN1453" s="33"/>
      <c r="AO1453" s="33"/>
      <c r="AP1453" s="33"/>
      <c r="AQ1453" s="33"/>
      <c r="AR1453" s="33"/>
      <c r="AS1453" s="33"/>
      <c r="AT1453" s="33"/>
      <c r="AU1453" s="33"/>
      <c r="AW1453" s="68"/>
      <c r="AX1453" s="33"/>
      <c r="AY1453" s="33"/>
      <c r="AZ1453" s="109"/>
      <c r="BA1453" s="109"/>
      <c r="BM1453" s="236"/>
      <c r="CA1453" s="35"/>
      <c r="CH1453" s="39"/>
      <c r="CI1453" s="32"/>
      <c r="CJ1453" s="40"/>
      <c r="CK1453" s="40"/>
      <c r="CL1453" s="33"/>
      <c r="CM1453" s="33"/>
      <c r="CN1453" s="33"/>
      <c r="CO1453" s="33"/>
      <c r="CP1453" s="33"/>
      <c r="CQ1453" s="33"/>
      <c r="CR1453" s="33"/>
    </row>
    <row r="1454" spans="7:96" ht="21">
      <c r="G1454" s="11"/>
      <c r="H1454"/>
      <c r="I1454"/>
      <c r="J1454" s="69"/>
      <c r="N1454" s="38"/>
      <c r="S1454" s="80"/>
      <c r="AE1454" s="33"/>
      <c r="AK1454" s="33"/>
      <c r="AL1454" s="33"/>
      <c r="AM1454" s="33"/>
      <c r="AN1454" s="33"/>
      <c r="AO1454" s="33"/>
      <c r="AP1454" s="33"/>
      <c r="AQ1454" s="33"/>
      <c r="AR1454" s="33"/>
      <c r="AS1454" s="33"/>
      <c r="AT1454" s="33"/>
      <c r="AU1454" s="33"/>
      <c r="AW1454" s="68"/>
      <c r="AX1454" s="33"/>
      <c r="AY1454" s="33"/>
      <c r="AZ1454" s="109"/>
      <c r="BA1454" s="109"/>
      <c r="BM1454" s="236"/>
      <c r="CA1454" s="35"/>
      <c r="CH1454" s="39"/>
      <c r="CI1454" s="32"/>
      <c r="CJ1454" s="40"/>
      <c r="CK1454" s="40"/>
      <c r="CL1454" s="33"/>
      <c r="CM1454" s="33"/>
      <c r="CN1454" s="33"/>
      <c r="CO1454" s="33"/>
      <c r="CP1454" s="33"/>
      <c r="CQ1454" s="33"/>
      <c r="CR1454" s="33"/>
    </row>
    <row r="1455" spans="7:96" ht="21">
      <c r="G1455" s="11"/>
      <c r="H1455"/>
      <c r="I1455"/>
      <c r="K1455" s="158"/>
      <c r="N1455" s="38"/>
      <c r="S1455" s="80"/>
      <c r="W1455" s="80"/>
      <c r="X1455" s="79"/>
      <c r="AE1455" s="33"/>
      <c r="AK1455" s="33"/>
      <c r="AL1455" s="33"/>
      <c r="AM1455" s="33"/>
      <c r="AN1455" s="33"/>
      <c r="AO1455" s="33"/>
      <c r="AP1455" s="33"/>
      <c r="AQ1455" s="33"/>
      <c r="AR1455" s="33"/>
      <c r="AS1455" s="33"/>
      <c r="AT1455" s="33"/>
      <c r="AU1455" s="33"/>
      <c r="AW1455" s="68"/>
      <c r="AX1455" s="33"/>
      <c r="AY1455" s="33"/>
      <c r="AZ1455" s="109"/>
      <c r="BA1455" s="109"/>
      <c r="BM1455" s="236"/>
      <c r="CA1455" s="35"/>
      <c r="CH1455" s="39"/>
      <c r="CI1455" s="32"/>
      <c r="CJ1455" s="40"/>
      <c r="CK1455" s="40"/>
      <c r="CL1455" s="33"/>
      <c r="CM1455" s="33"/>
      <c r="CN1455" s="33"/>
      <c r="CO1455" s="33"/>
      <c r="CP1455" s="33"/>
      <c r="CQ1455" s="33"/>
      <c r="CR1455" s="33"/>
    </row>
    <row r="1456" spans="7:96" ht="42">
      <c r="G1456" s="11"/>
      <c r="H1456" s="70" t="s">
        <v>258</v>
      </c>
      <c r="I1456" s="137" t="s">
        <v>259</v>
      </c>
      <c r="J1456" s="59" t="s">
        <v>260</v>
      </c>
      <c r="K1456" s="80" t="s">
        <v>258</v>
      </c>
      <c r="L1456" s="78" t="s">
        <v>265</v>
      </c>
      <c r="M1456" s="70" t="s">
        <v>266</v>
      </c>
      <c r="N1456" s="70" t="s">
        <v>267</v>
      </c>
      <c r="O1456" s="131" t="s">
        <v>268</v>
      </c>
      <c r="P1456" s="131"/>
      <c r="S1456" s="80"/>
      <c r="AE1456" s="33"/>
      <c r="AK1456" s="33"/>
      <c r="AL1456" s="33"/>
      <c r="AM1456" s="33"/>
      <c r="AN1456" s="33"/>
      <c r="AO1456" s="33"/>
      <c r="AP1456" s="33"/>
      <c r="AQ1456" s="33"/>
      <c r="AR1456" s="33"/>
      <c r="AS1456" s="33"/>
      <c r="AT1456" s="33"/>
      <c r="AU1456" s="33"/>
      <c r="AW1456" s="68"/>
      <c r="AX1456" s="33"/>
      <c r="AY1456" s="33"/>
      <c r="AZ1456" s="109"/>
      <c r="BA1456" s="109"/>
      <c r="BM1456" s="236"/>
      <c r="CA1456" s="35"/>
      <c r="CH1456" s="39"/>
      <c r="CI1456" s="32"/>
      <c r="CJ1456" s="40"/>
      <c r="CK1456" s="40"/>
      <c r="CL1456" s="33"/>
      <c r="CM1456" s="33"/>
      <c r="CN1456" s="33"/>
      <c r="CO1456" s="33"/>
      <c r="CP1456" s="33"/>
      <c r="CQ1456" s="33"/>
      <c r="CR1456" s="33"/>
    </row>
    <row r="1457" spans="7:96" ht="21">
      <c r="G1457" s="11"/>
      <c r="H1457" s="16"/>
      <c r="I1457" s="16"/>
      <c r="J1457" s="16"/>
      <c r="K1457" s="80"/>
      <c r="L1457" s="16"/>
      <c r="M1457" s="16"/>
      <c r="N1457" s="16"/>
      <c r="O1457" s="94"/>
      <c r="P1457" s="94"/>
      <c r="S1457" s="80"/>
      <c r="AE1457" s="33"/>
      <c r="AK1457" s="33"/>
      <c r="AL1457" s="33"/>
      <c r="AM1457" s="33"/>
      <c r="AN1457" s="33"/>
      <c r="AO1457" s="33"/>
      <c r="AP1457" s="33"/>
      <c r="AQ1457" s="33"/>
      <c r="AR1457" s="33"/>
      <c r="AS1457" s="33"/>
      <c r="AT1457" s="33"/>
      <c r="AU1457" s="33"/>
      <c r="AW1457" s="68"/>
      <c r="AX1457" s="33"/>
      <c r="AY1457" s="33"/>
      <c r="AZ1457" s="109"/>
      <c r="BA1457" s="109"/>
      <c r="BM1457" s="236"/>
      <c r="CA1457" s="35"/>
      <c r="CH1457" s="39"/>
      <c r="CI1457" s="32"/>
      <c r="CJ1457" s="40"/>
      <c r="CK1457" s="40"/>
      <c r="CL1457" s="33"/>
      <c r="CM1457" s="33"/>
      <c r="CN1457" s="33"/>
      <c r="CO1457" s="33"/>
      <c r="CP1457" s="33"/>
      <c r="CQ1457" s="33"/>
      <c r="CR1457" s="33"/>
    </row>
    <row r="1458" spans="7:96" ht="21">
      <c r="G1458" s="121">
        <v>2005</v>
      </c>
      <c r="H1458" s="70"/>
      <c r="I1458" s="80">
        <f>+Q1435/R1393</f>
        <v>0.3619896550338586</v>
      </c>
      <c r="J1458" s="80">
        <f t="shared" ref="J1458:J1474" si="2468">+K1393/R1393</f>
        <v>0.38804973113253255</v>
      </c>
      <c r="K1458" s="80">
        <f>1-J1458-I1458</f>
        <v>0.24996061383360879</v>
      </c>
      <c r="L1458" s="69"/>
      <c r="M1458" s="16"/>
      <c r="N1458" s="16"/>
      <c r="O1458" s="94"/>
      <c r="P1458" s="94"/>
      <c r="S1458" s="80"/>
      <c r="AE1458" s="33"/>
      <c r="AK1458" s="33"/>
      <c r="AL1458" s="33"/>
      <c r="AM1458" s="33"/>
      <c r="AN1458" s="33"/>
      <c r="AO1458" s="33"/>
      <c r="AP1458" s="33"/>
      <c r="AQ1458" s="33"/>
      <c r="AR1458" s="33"/>
      <c r="AS1458" s="33"/>
      <c r="AT1458" s="33"/>
      <c r="AU1458" s="33"/>
      <c r="AW1458" s="68"/>
      <c r="AX1458" s="33"/>
      <c r="AY1458" s="33"/>
      <c r="AZ1458" s="109"/>
      <c r="BA1458" s="109"/>
      <c r="BM1458" s="236"/>
      <c r="CA1458" s="35"/>
      <c r="CH1458" s="39"/>
      <c r="CI1458" s="32"/>
      <c r="CJ1458" s="40"/>
      <c r="CK1458" s="40"/>
      <c r="CL1458" s="33"/>
      <c r="CM1458" s="33"/>
      <c r="CN1458" s="33"/>
      <c r="CO1458" s="33"/>
      <c r="CP1458" s="33"/>
      <c r="CQ1458" s="33"/>
      <c r="CR1458" s="33"/>
    </row>
    <row r="1459" spans="7:96" ht="21">
      <c r="G1459" s="121">
        <v>2006</v>
      </c>
      <c r="H1459" s="80">
        <f t="shared" ref="H1459:H1474" si="2469">+Q1414/R1394</f>
        <v>0.26797150998373781</v>
      </c>
      <c r="I1459" s="80">
        <f>+Q1436/R1394</f>
        <v>0.3624991375587639</v>
      </c>
      <c r="J1459" s="80">
        <f t="shared" si="2468"/>
        <v>0.387188441413991</v>
      </c>
      <c r="K1459" s="80">
        <f t="shared" ref="K1459:K1474" si="2470">1-J1459-I1459</f>
        <v>0.2503124210272451</v>
      </c>
      <c r="L1459" s="69">
        <v>-3.8413996750207992E-2</v>
      </c>
      <c r="M1459" s="69">
        <v>-3.9641146185613645E-2</v>
      </c>
      <c r="N1459" s="69">
        <v>2.2975460563109687E-2</v>
      </c>
      <c r="O1459" s="96">
        <f>+(((K1458+K1459)/2)*L1459+((I1458+I1459)/2)*M1459+((J1458+J1459)/2)*N1459)</f>
        <v>-1.5062799406002263E-2</v>
      </c>
      <c r="P1459" s="96"/>
      <c r="S1459" s="69"/>
      <c r="AE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W1459" s="68"/>
      <c r="AX1459" s="33"/>
      <c r="AY1459" s="33"/>
      <c r="AZ1459" s="109"/>
      <c r="BA1459" s="109"/>
      <c r="BM1459" s="236"/>
      <c r="CA1459" s="36"/>
      <c r="CH1459" s="39"/>
      <c r="CI1459" s="32"/>
      <c r="CJ1459" s="40"/>
      <c r="CK1459" s="40"/>
      <c r="CL1459" s="40"/>
      <c r="CM1459" s="40"/>
      <c r="CN1459" s="40"/>
      <c r="CO1459" s="40"/>
      <c r="CP1459" s="40"/>
      <c r="CQ1459" s="40"/>
      <c r="CR1459" s="40"/>
    </row>
    <row r="1460" spans="7:96" ht="21">
      <c r="G1460" s="121">
        <v>2007</v>
      </c>
      <c r="H1460" s="80">
        <f t="shared" si="2469"/>
        <v>0.29399662010974004</v>
      </c>
      <c r="I1460" s="80">
        <f t="shared" ref="I1460:I1474" si="2471">+Q1437/R1395</f>
        <v>0.35887783775887772</v>
      </c>
      <c r="J1460" s="80">
        <f t="shared" si="2468"/>
        <v>0.39331031632221941</v>
      </c>
      <c r="K1460" s="80">
        <f t="shared" si="2470"/>
        <v>0.24781184591890293</v>
      </c>
      <c r="L1460" s="69">
        <v>3.7532821662380249E-2</v>
      </c>
      <c r="M1460" s="69">
        <v>4.1615379113122901E-2</v>
      </c>
      <c r="N1460" s="69">
        <v>1.7093202211282292E-2</v>
      </c>
      <c r="O1460" s="96">
        <f t="shared" ref="O1460:O1474" si="2472">+(((K1459+K1460)/2)*L1460+((I1459+I1460)/2)*M1460+((J1459+J1460)/2)*N1460)</f>
        <v>3.1028804339977446E-2</v>
      </c>
      <c r="P1460" s="96"/>
      <c r="S1460" s="69"/>
      <c r="AE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W1460" s="68"/>
      <c r="AX1460" s="33"/>
      <c r="AY1460" s="33"/>
      <c r="AZ1460" s="109"/>
      <c r="BA1460" s="109"/>
      <c r="BM1460" s="236"/>
      <c r="CA1460" s="35"/>
      <c r="CH1460" s="39"/>
      <c r="CI1460" s="32"/>
      <c r="CJ1460" s="40"/>
      <c r="CK1460" s="40"/>
      <c r="CL1460" s="33"/>
      <c r="CM1460" s="33"/>
      <c r="CN1460" s="33"/>
      <c r="CO1460" s="33"/>
      <c r="CP1460" s="33"/>
      <c r="CQ1460" s="33"/>
      <c r="CR1460" s="33"/>
    </row>
    <row r="1461" spans="7:96" ht="21">
      <c r="G1461" s="121">
        <v>2008</v>
      </c>
      <c r="H1461" s="80">
        <f t="shared" si="2469"/>
        <v>0.26090910643623305</v>
      </c>
      <c r="I1461" s="80">
        <f t="shared" si="2471"/>
        <v>0.36268352999107756</v>
      </c>
      <c r="J1461" s="80">
        <f t="shared" si="2468"/>
        <v>0.38687672256522732</v>
      </c>
      <c r="K1461" s="80">
        <f t="shared" si="2470"/>
        <v>0.25043974744369513</v>
      </c>
      <c r="L1461" s="69">
        <v>0.14278701996943932</v>
      </c>
      <c r="M1461" s="69">
        <v>0.15198616489281683</v>
      </c>
      <c r="N1461" s="69">
        <v>2.2089906853513364E-2</v>
      </c>
      <c r="O1461" s="96">
        <f t="shared" si="2472"/>
        <v>9.9022732123871748E-2</v>
      </c>
      <c r="P1461" s="96"/>
      <c r="S1461" s="69"/>
      <c r="AE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W1461" s="68"/>
      <c r="AX1461" s="33"/>
      <c r="AY1461" s="33"/>
      <c r="AZ1461" s="109"/>
      <c r="BA1461" s="109"/>
      <c r="BM1461" s="236"/>
      <c r="CA1461" s="35"/>
      <c r="CH1461" s="39"/>
      <c r="CI1461" s="32"/>
      <c r="CJ1461" s="40"/>
      <c r="CK1461" s="40"/>
      <c r="CL1461" s="33"/>
      <c r="CM1461" s="33"/>
      <c r="CN1461" s="33"/>
      <c r="CO1461" s="33"/>
      <c r="CP1461" s="33"/>
      <c r="CQ1461" s="33"/>
      <c r="CR1461" s="33"/>
    </row>
    <row r="1462" spans="7:96" ht="21">
      <c r="G1462" s="121">
        <v>2009</v>
      </c>
      <c r="H1462" s="80">
        <f t="shared" si="2469"/>
        <v>0.24624664622879683</v>
      </c>
      <c r="I1462" s="80">
        <f t="shared" si="2471"/>
        <v>0.37115398046916398</v>
      </c>
      <c r="J1462" s="80">
        <f t="shared" si="2468"/>
        <v>0.37255726791946209</v>
      </c>
      <c r="K1462" s="80">
        <f t="shared" si="2470"/>
        <v>0.25628875161137393</v>
      </c>
      <c r="L1462" s="69">
        <v>2.6733309920997872E-2</v>
      </c>
      <c r="M1462" s="69">
        <v>3.318672422242485E-2</v>
      </c>
      <c r="N1462" s="69">
        <v>3.3253125308317928E-2</v>
      </c>
      <c r="O1462" s="96">
        <f t="shared" si="2472"/>
        <v>3.1576873371869693E-2</v>
      </c>
      <c r="P1462" s="96"/>
      <c r="S1462" s="69"/>
      <c r="AE1462" s="33"/>
      <c r="AK1462" s="33"/>
      <c r="AL1462" s="33"/>
      <c r="AM1462" s="33"/>
      <c r="AN1462" s="33"/>
      <c r="AO1462" s="33"/>
      <c r="AP1462" s="33"/>
      <c r="AQ1462" s="33"/>
      <c r="AR1462" s="33"/>
      <c r="AS1462" s="33"/>
      <c r="AT1462" s="33"/>
      <c r="AU1462" s="33"/>
      <c r="AW1462" s="68"/>
      <c r="AX1462" s="33"/>
      <c r="AY1462" s="33"/>
      <c r="AZ1462" s="109"/>
      <c r="BA1462" s="109"/>
      <c r="BM1462" s="236"/>
      <c r="CA1462" s="35"/>
      <c r="CH1462" s="39"/>
      <c r="CI1462" s="32"/>
      <c r="CJ1462" s="40"/>
      <c r="CK1462" s="40"/>
      <c r="CL1462" s="33"/>
      <c r="CM1462" s="33"/>
      <c r="CN1462" s="33"/>
      <c r="CO1462" s="33"/>
      <c r="CP1462" s="33"/>
      <c r="CQ1462" s="33"/>
      <c r="CR1462" s="33"/>
    </row>
    <row r="1463" spans="7:96" ht="21">
      <c r="G1463" s="121">
        <v>2010</v>
      </c>
      <c r="H1463" s="80">
        <f t="shared" si="2469"/>
        <v>0.25825501904147263</v>
      </c>
      <c r="I1463" s="80">
        <f t="shared" si="2471"/>
        <v>0.35737384460241145</v>
      </c>
      <c r="J1463" s="80">
        <f t="shared" si="2468"/>
        <v>0.39585284482731792</v>
      </c>
      <c r="K1463" s="80">
        <f t="shared" si="2470"/>
        <v>0.24677331057027058</v>
      </c>
      <c r="L1463" s="69">
        <v>-5.8920444382861904E-2</v>
      </c>
      <c r="M1463" s="69">
        <v>-5.1587683042774161E-2</v>
      </c>
      <c r="N1463" s="69">
        <v>2.120691061985476E-2</v>
      </c>
      <c r="O1463" s="96">
        <f t="shared" si="2472"/>
        <v>-2.5464049101560984E-2</v>
      </c>
      <c r="P1463" s="96"/>
      <c r="S1463" s="69"/>
      <c r="AE1463" s="33"/>
      <c r="AK1463" s="33"/>
      <c r="AL1463" s="33"/>
      <c r="AM1463" s="33"/>
      <c r="AN1463" s="33"/>
      <c r="AO1463" s="33"/>
      <c r="AP1463" s="33"/>
      <c r="AQ1463" s="33"/>
      <c r="AR1463" s="33"/>
      <c r="AS1463" s="33"/>
      <c r="AT1463" s="33"/>
      <c r="AU1463" s="33"/>
      <c r="AW1463" s="68"/>
      <c r="AX1463" s="33"/>
      <c r="AY1463" s="33"/>
      <c r="AZ1463" s="109"/>
      <c r="BA1463" s="109"/>
      <c r="BM1463" s="236"/>
      <c r="CA1463" s="35"/>
      <c r="CH1463" s="39"/>
      <c r="CI1463" s="32"/>
      <c r="CJ1463" s="40"/>
      <c r="CK1463" s="40"/>
      <c r="CL1463" s="33"/>
      <c r="CM1463" s="33"/>
      <c r="CN1463" s="33"/>
      <c r="CO1463" s="33"/>
      <c r="CP1463" s="33"/>
      <c r="CQ1463" s="33"/>
      <c r="CR1463" s="33"/>
    </row>
    <row r="1464" spans="7:96" ht="21">
      <c r="G1464" s="121">
        <v>2011</v>
      </c>
      <c r="H1464" s="80">
        <f t="shared" si="2469"/>
        <v>0.20801372794260081</v>
      </c>
      <c r="I1464" s="80">
        <f t="shared" si="2471"/>
        <v>0.35148920244935894</v>
      </c>
      <c r="J1464" s="80">
        <f t="shared" si="2468"/>
        <v>0.40580094223195917</v>
      </c>
      <c r="K1464" s="80">
        <f t="shared" si="2470"/>
        <v>0.24270985531868189</v>
      </c>
      <c r="L1464" s="69">
        <v>2.4033004174302836E-2</v>
      </c>
      <c r="M1464" s="69">
        <v>2.4850679167199019E-2</v>
      </c>
      <c r="N1464" s="69">
        <v>2.1965012546592912E-2</v>
      </c>
      <c r="O1464" s="96">
        <f t="shared" si="2472"/>
        <v>2.3493907307803777E-2</v>
      </c>
      <c r="P1464" s="96"/>
      <c r="S1464" s="69"/>
      <c r="AE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W1464" s="68"/>
      <c r="AX1464" s="33"/>
      <c r="AY1464" s="33"/>
      <c r="AZ1464" s="109"/>
      <c r="BA1464" s="109"/>
      <c r="BM1464" s="236"/>
      <c r="CA1464" s="35"/>
      <c r="CH1464" s="39"/>
      <c r="CI1464" s="32"/>
      <c r="CJ1464" s="40"/>
      <c r="CK1464" s="40"/>
      <c r="CL1464" s="33"/>
      <c r="CM1464" s="33"/>
      <c r="CN1464" s="33"/>
      <c r="CO1464" s="33"/>
      <c r="CP1464" s="33"/>
      <c r="CQ1464" s="33"/>
      <c r="CR1464" s="33"/>
    </row>
    <row r="1465" spans="7:96" ht="21">
      <c r="G1465" s="121">
        <v>2012</v>
      </c>
      <c r="H1465" s="80">
        <f t="shared" si="2469"/>
        <v>0.26734996868966204</v>
      </c>
      <c r="I1465" s="80">
        <f t="shared" si="2471"/>
        <v>0.31448943193178991</v>
      </c>
      <c r="J1465" s="80">
        <f t="shared" si="2468"/>
        <v>0.46834974494330506</v>
      </c>
      <c r="K1465" s="80">
        <f t="shared" si="2470"/>
        <v>0.21716082312490503</v>
      </c>
      <c r="L1465" s="69">
        <v>-0.17332734386473136</v>
      </c>
      <c r="M1465" s="69">
        <v>-0.17332314439848345</v>
      </c>
      <c r="N1465" s="69">
        <v>1.9597532770210979E-2</v>
      </c>
      <c r="O1465" s="96">
        <f t="shared" si="2472"/>
        <v>-8.9003238745513955E-2</v>
      </c>
      <c r="P1465" s="96"/>
      <c r="S1465" s="69"/>
      <c r="AE1465" s="33"/>
      <c r="AK1465" s="33"/>
      <c r="AL1465" s="33"/>
      <c r="AM1465" s="33"/>
      <c r="AN1465" s="33"/>
      <c r="AO1465" s="33"/>
      <c r="AP1465" s="33"/>
      <c r="AQ1465" s="33"/>
      <c r="AR1465" s="33"/>
      <c r="AS1465" s="33"/>
      <c r="AT1465" s="33"/>
      <c r="AU1465" s="33"/>
      <c r="AW1465" s="68"/>
      <c r="AX1465" s="33"/>
      <c r="AY1465" s="33"/>
      <c r="AZ1465" s="109"/>
      <c r="BA1465" s="109"/>
      <c r="BM1465" s="236"/>
      <c r="CA1465" s="35"/>
      <c r="CH1465" s="39"/>
      <c r="CI1465" s="32"/>
      <c r="CJ1465" s="40"/>
      <c r="CK1465" s="40"/>
      <c r="CL1465" s="33"/>
      <c r="CM1465" s="33"/>
      <c r="CN1465" s="33"/>
      <c r="CO1465" s="33"/>
      <c r="CP1465" s="33"/>
      <c r="CQ1465" s="33"/>
      <c r="CR1465" s="33"/>
    </row>
    <row r="1466" spans="7:96" ht="21">
      <c r="G1466" s="121">
        <v>2013</v>
      </c>
      <c r="H1466" s="80">
        <f t="shared" si="2469"/>
        <v>0.24277862464578326</v>
      </c>
      <c r="I1466" s="80">
        <f t="shared" si="2471"/>
        <v>0.34446917530918419</v>
      </c>
      <c r="J1466" s="80">
        <f t="shared" si="2468"/>
        <v>0.41766842915084651</v>
      </c>
      <c r="K1466" s="80">
        <f t="shared" si="2470"/>
        <v>0.23786239553996924</v>
      </c>
      <c r="L1466" s="69">
        <v>0.18900172341401603</v>
      </c>
      <c r="M1466" s="69">
        <v>0.19034568782693581</v>
      </c>
      <c r="N1466" s="69">
        <v>1.0813046878089604E-2</v>
      </c>
      <c r="O1466" s="96">
        <f t="shared" si="2472"/>
        <v>0.11050532895856809</v>
      </c>
      <c r="P1466" s="96"/>
      <c r="S1466" s="69"/>
      <c r="AE1466" s="33"/>
      <c r="AK1466" s="33"/>
      <c r="AL1466" s="33"/>
      <c r="AM1466" s="33"/>
      <c r="AN1466" s="33"/>
      <c r="AO1466" s="33"/>
      <c r="AP1466" s="33"/>
      <c r="AQ1466" s="33"/>
      <c r="AR1466" s="33"/>
      <c r="AS1466" s="33"/>
      <c r="AT1466" s="33"/>
      <c r="AU1466" s="33"/>
      <c r="AW1466" s="68"/>
      <c r="AX1466" s="33"/>
      <c r="AY1466" s="33"/>
      <c r="AZ1466" s="109"/>
      <c r="BA1466" s="109"/>
      <c r="CA1466" s="35"/>
      <c r="CH1466" s="39"/>
      <c r="CI1466" s="32"/>
      <c r="CJ1466" s="40"/>
      <c r="CK1466" s="40"/>
      <c r="CL1466" s="33"/>
      <c r="CM1466" s="33"/>
      <c r="CN1466" s="33"/>
      <c r="CO1466" s="33"/>
      <c r="CP1466" s="33"/>
      <c r="CQ1466" s="33"/>
      <c r="CR1466" s="33"/>
    </row>
    <row r="1467" spans="7:96" ht="21">
      <c r="G1467" s="121">
        <v>2014</v>
      </c>
      <c r="H1467" s="80">
        <f t="shared" si="2469"/>
        <v>0.21807887583110427</v>
      </c>
      <c r="I1467" s="80">
        <f t="shared" si="2471"/>
        <v>0.34269879368269568</v>
      </c>
      <c r="J1467" s="80">
        <f t="shared" si="2468"/>
        <v>0.42066129233702332</v>
      </c>
      <c r="K1467" s="80">
        <f t="shared" si="2470"/>
        <v>0.236639913980281</v>
      </c>
      <c r="L1467" s="69">
        <v>-1.7449723576011542E-4</v>
      </c>
      <c r="M1467" s="69">
        <v>2.2116300660122443E-3</v>
      </c>
      <c r="N1467" s="69">
        <v>1.6365906737820471E-2</v>
      </c>
      <c r="O1467" s="96">
        <f t="shared" si="2472"/>
        <v>7.5784940183317119E-3</v>
      </c>
      <c r="P1467" s="96"/>
      <c r="S1467" s="69"/>
      <c r="AE1467" s="33"/>
      <c r="AK1467" s="33"/>
      <c r="AL1467" s="33"/>
      <c r="AM1467" s="33"/>
      <c r="AN1467" s="33"/>
      <c r="AO1467" s="33"/>
      <c r="AP1467" s="33"/>
      <c r="AQ1467" s="33"/>
      <c r="AR1467" s="33"/>
      <c r="AS1467" s="33"/>
      <c r="AT1467" s="33"/>
      <c r="AU1467" s="33"/>
      <c r="AW1467" s="68"/>
      <c r="AX1467" s="33"/>
      <c r="AY1467" s="33"/>
      <c r="AZ1467" s="109"/>
      <c r="BA1467" s="109"/>
      <c r="CA1467" s="35"/>
      <c r="CH1467" s="39"/>
      <c r="CI1467" s="32"/>
      <c r="CJ1467" s="40"/>
      <c r="CK1467" s="40"/>
      <c r="CL1467" s="33"/>
      <c r="CM1467" s="33"/>
      <c r="CN1467" s="33"/>
      <c r="CO1467" s="33"/>
      <c r="CP1467" s="33"/>
      <c r="CQ1467" s="33"/>
      <c r="CR1467" s="33"/>
    </row>
    <row r="1468" spans="7:96" ht="21">
      <c r="G1468" s="121">
        <v>2015</v>
      </c>
      <c r="H1468" s="80">
        <f t="shared" si="2469"/>
        <v>0.26357127341583086</v>
      </c>
      <c r="I1468" s="80">
        <f t="shared" si="2471"/>
        <v>0.33168720839395205</v>
      </c>
      <c r="J1468" s="80">
        <f t="shared" si="2468"/>
        <v>0.43927658281396631</v>
      </c>
      <c r="K1468" s="80">
        <f t="shared" si="2470"/>
        <v>0.22903620879208164</v>
      </c>
      <c r="L1468" s="69">
        <v>-0.10250415018288074</v>
      </c>
      <c r="M1468" s="69">
        <v>-9.1208258554737839E-2</v>
      </c>
      <c r="N1468" s="69">
        <v>1.4363442452155791E-2</v>
      </c>
      <c r="O1468" s="96">
        <f t="shared" si="2472"/>
        <v>-4.8445819943091176E-2</v>
      </c>
      <c r="P1468" s="96"/>
      <c r="S1468" s="69"/>
      <c r="AE1468" s="33"/>
      <c r="AK1468" s="33"/>
      <c r="AL1468" s="33"/>
      <c r="AM1468" s="33"/>
      <c r="AN1468" s="33"/>
      <c r="AO1468" s="33"/>
      <c r="AP1468" s="33"/>
      <c r="AQ1468" s="33"/>
      <c r="AR1468" s="33"/>
      <c r="AS1468" s="33"/>
      <c r="AT1468" s="33"/>
      <c r="AU1468" s="33"/>
      <c r="AW1468" s="68"/>
      <c r="AX1468" s="33"/>
      <c r="AY1468" s="33"/>
      <c r="AZ1468" s="109"/>
      <c r="BA1468" s="109"/>
      <c r="CA1468" s="35"/>
      <c r="CH1468" s="39"/>
      <c r="CI1468" s="32"/>
      <c r="CJ1468" s="40"/>
      <c r="CK1468" s="40"/>
      <c r="CL1468" s="33"/>
      <c r="CM1468" s="33"/>
      <c r="CN1468" s="33"/>
      <c r="CO1468" s="33"/>
      <c r="CP1468" s="33"/>
      <c r="CQ1468" s="33"/>
      <c r="CR1468" s="33"/>
    </row>
    <row r="1469" spans="7:96" ht="21">
      <c r="G1469" s="121">
        <v>2016</v>
      </c>
      <c r="H1469" s="80">
        <f t="shared" si="2469"/>
        <v>0.24814838698930619</v>
      </c>
      <c r="I1469" s="80">
        <f t="shared" si="2471"/>
        <v>0.35251318501505419</v>
      </c>
      <c r="J1469" s="80">
        <f t="shared" si="2468"/>
        <v>0.40406988059061422</v>
      </c>
      <c r="K1469" s="80">
        <f t="shared" si="2470"/>
        <v>0.2434169343943316</v>
      </c>
      <c r="L1469" s="69">
        <v>0.11925563043790485</v>
      </c>
      <c r="M1469" s="69">
        <v>0.13001462033465735</v>
      </c>
      <c r="N1469" s="69">
        <v>1.9127770153661225E-2</v>
      </c>
      <c r="O1469" s="96">
        <f t="shared" si="2472"/>
        <v>8.0715044568433231E-2</v>
      </c>
      <c r="P1469" s="96"/>
      <c r="S1469" s="69"/>
      <c r="AE1469" s="33"/>
      <c r="AK1469" s="33"/>
      <c r="AL1469" s="33"/>
      <c r="AM1469" s="33"/>
      <c r="AN1469" s="33"/>
      <c r="AO1469" s="33"/>
      <c r="AP1469" s="33"/>
      <c r="AQ1469" s="33"/>
      <c r="AR1469" s="33"/>
      <c r="AS1469" s="33"/>
      <c r="AT1469" s="33"/>
      <c r="AU1469" s="33"/>
      <c r="AW1469" s="68"/>
      <c r="AX1469" s="33"/>
      <c r="AY1469" s="33"/>
      <c r="AZ1469" s="109"/>
      <c r="BA1469" s="109"/>
      <c r="CA1469" s="35"/>
      <c r="CH1469" s="39"/>
      <c r="CI1469" s="32"/>
      <c r="CJ1469" s="40"/>
      <c r="CK1469" s="40"/>
      <c r="CL1469" s="33"/>
      <c r="CM1469" s="33"/>
      <c r="CN1469" s="33"/>
      <c r="CO1469" s="33"/>
      <c r="CP1469" s="33"/>
      <c r="CQ1469" s="33"/>
      <c r="CR1469" s="33"/>
    </row>
    <row r="1470" spans="7:96" ht="21">
      <c r="G1470" s="121">
        <v>2017</v>
      </c>
      <c r="H1470" s="80">
        <f t="shared" si="2469"/>
        <v>0.64574038119138444</v>
      </c>
      <c r="I1470" s="80">
        <f t="shared" si="2471"/>
        <v>0.36738777210731249</v>
      </c>
      <c r="J1470" s="80">
        <f t="shared" si="2468"/>
        <v>0.37892411345660959</v>
      </c>
      <c r="K1470" s="80">
        <f t="shared" si="2470"/>
        <v>0.25368811443607792</v>
      </c>
      <c r="L1470" s="69">
        <v>-4.9782500314958069E-3</v>
      </c>
      <c r="M1470" s="69">
        <v>3.7356116759415986E-4</v>
      </c>
      <c r="N1470" s="69">
        <v>1.6307711843923642E-2</v>
      </c>
      <c r="O1470" s="96">
        <f t="shared" si="2472"/>
        <v>5.2815271237715315E-3</v>
      </c>
      <c r="P1470" s="96"/>
      <c r="S1470" s="69"/>
      <c r="AE1470" s="33"/>
      <c r="AK1470" s="33"/>
      <c r="AL1470" s="33"/>
      <c r="AM1470" s="33"/>
      <c r="AN1470" s="33"/>
      <c r="AO1470" s="33"/>
      <c r="AP1470" s="33"/>
      <c r="AQ1470" s="33"/>
      <c r="AR1470" s="33"/>
      <c r="AS1470" s="33"/>
      <c r="AT1470" s="33"/>
      <c r="AU1470" s="33"/>
      <c r="AW1470" s="68"/>
      <c r="AX1470" s="33"/>
      <c r="AY1470" s="33"/>
      <c r="AZ1470" s="109"/>
      <c r="BA1470" s="109"/>
      <c r="CA1470" s="35"/>
      <c r="CH1470" s="39"/>
      <c r="CI1470" s="32"/>
      <c r="CJ1470" s="40"/>
      <c r="CK1470" s="40"/>
      <c r="CL1470" s="33"/>
      <c r="CM1470" s="33"/>
      <c r="CN1470" s="33"/>
      <c r="CO1470" s="33"/>
      <c r="CP1470" s="33"/>
      <c r="CQ1470" s="33"/>
      <c r="CR1470" s="33"/>
    </row>
    <row r="1471" spans="7:96" ht="21">
      <c r="G1471" s="121">
        <v>2018</v>
      </c>
      <c r="H1471" s="80">
        <f t="shared" si="2469"/>
        <v>0.18639888634127214</v>
      </c>
      <c r="I1471" s="80">
        <f t="shared" si="2471"/>
        <v>0.47150558895753697</v>
      </c>
      <c r="J1471" s="80">
        <f t="shared" si="2468"/>
        <v>0.20291100056964306</v>
      </c>
      <c r="K1471" s="80">
        <f t="shared" si="2470"/>
        <v>0.32558341047281997</v>
      </c>
      <c r="L1471" s="69">
        <v>0.90574573778178713</v>
      </c>
      <c r="M1471" s="69">
        <v>0.91071156697163991</v>
      </c>
      <c r="N1471" s="69">
        <v>1.4282438611222777E-2</v>
      </c>
      <c r="O1471" s="96">
        <f t="shared" si="2472"/>
        <v>0.64848631318999961</v>
      </c>
      <c r="P1471" s="96"/>
      <c r="S1471" s="69"/>
      <c r="AE1471" s="33"/>
      <c r="AK1471" s="33"/>
      <c r="AL1471" s="33"/>
      <c r="AM1471" s="33"/>
      <c r="AN1471" s="33"/>
      <c r="AO1471" s="33"/>
      <c r="AP1471" s="33"/>
      <c r="AQ1471" s="33"/>
      <c r="AR1471" s="33"/>
      <c r="AS1471" s="33"/>
      <c r="AT1471" s="33"/>
      <c r="AU1471" s="33"/>
      <c r="AW1471" s="68"/>
      <c r="AX1471" s="33"/>
      <c r="AY1471" s="33"/>
      <c r="AZ1471" s="109"/>
      <c r="BA1471" s="109"/>
      <c r="CA1471" s="35"/>
      <c r="CH1471" s="39"/>
      <c r="CI1471" s="32"/>
      <c r="CJ1471" s="40"/>
      <c r="CK1471" s="40"/>
      <c r="CL1471" s="33"/>
      <c r="CM1471" s="33"/>
      <c r="CN1471" s="33"/>
      <c r="CO1471" s="33"/>
      <c r="CP1471" s="33"/>
      <c r="CQ1471" s="33"/>
      <c r="CR1471" s="33"/>
    </row>
    <row r="1472" spans="7:96" ht="21">
      <c r="G1472" s="121">
        <v>2019</v>
      </c>
      <c r="H1472" s="80">
        <f t="shared" si="2469"/>
        <v>0.19525094558842318</v>
      </c>
      <c r="I1472" s="80">
        <f t="shared" si="2471"/>
        <v>0.40641809125839728</v>
      </c>
      <c r="J1472" s="80">
        <f t="shared" si="2468"/>
        <v>0.31294263037733383</v>
      </c>
      <c r="K1472" s="80">
        <f t="shared" si="2470"/>
        <v>0.28063927836426888</v>
      </c>
      <c r="L1472" s="69">
        <v>-0.58438812696513687</v>
      </c>
      <c r="M1472" s="69">
        <v>-0.57566052597580453</v>
      </c>
      <c r="N1472" s="69">
        <v>1.8316527296145347E-2</v>
      </c>
      <c r="O1472" s="96">
        <f t="shared" si="2472"/>
        <v>-0.42510335103046909</v>
      </c>
      <c r="P1472" s="96"/>
      <c r="S1472" s="69"/>
      <c r="AE1472" s="33"/>
      <c r="AK1472" s="33"/>
      <c r="AL1472" s="33"/>
      <c r="AM1472" s="33"/>
      <c r="AN1472" s="33"/>
      <c r="AO1472" s="33"/>
      <c r="AP1472" s="33"/>
      <c r="AQ1472" s="33"/>
      <c r="AR1472" s="33"/>
      <c r="AS1472" s="33"/>
      <c r="AT1472" s="33"/>
      <c r="AU1472" s="33"/>
      <c r="AW1472" s="68"/>
      <c r="AX1472" s="33"/>
      <c r="AY1472" s="33"/>
      <c r="AZ1472" s="109"/>
      <c r="BA1472" s="109"/>
      <c r="CA1472" s="35"/>
      <c r="CH1472" s="39"/>
      <c r="CI1472" s="32"/>
      <c r="CJ1472" s="40"/>
      <c r="CK1472" s="40"/>
      <c r="CL1472" s="33"/>
      <c r="CM1472" s="33"/>
      <c r="CN1472" s="33"/>
      <c r="CO1472" s="33"/>
      <c r="CP1472" s="33"/>
      <c r="CQ1472" s="33"/>
      <c r="CR1472" s="33"/>
    </row>
    <row r="1473" spans="7:96" ht="21">
      <c r="G1473" s="121">
        <v>2020</v>
      </c>
      <c r="H1473" s="80">
        <f t="shared" si="2469"/>
        <v>0.25665072467221206</v>
      </c>
      <c r="I1473" s="80">
        <f t="shared" si="2471"/>
        <v>0.34982022306412058</v>
      </c>
      <c r="J1473" s="80">
        <f t="shared" si="2468"/>
        <v>0.4086223830364909</v>
      </c>
      <c r="K1473" s="80">
        <f t="shared" si="2470"/>
        <v>0.24155739389938852</v>
      </c>
      <c r="L1473" s="69">
        <v>-0.38875062418053535</v>
      </c>
      <c r="M1473" s="69">
        <v>-0.37433632284836338</v>
      </c>
      <c r="N1473" s="69">
        <v>1.8785187358659729E-2</v>
      </c>
      <c r="O1473" s="96">
        <f t="shared" si="2472"/>
        <v>-0.23626850904979946</v>
      </c>
      <c r="P1473" s="96"/>
      <c r="S1473" s="69"/>
      <c r="AE1473" s="33"/>
      <c r="AK1473" s="33"/>
      <c r="AL1473" s="33"/>
      <c r="AM1473" s="33"/>
      <c r="AN1473" s="33"/>
      <c r="AO1473" s="33"/>
      <c r="AP1473" s="33"/>
      <c r="AQ1473" s="33"/>
      <c r="AR1473" s="33"/>
      <c r="AS1473" s="33"/>
      <c r="AT1473" s="33"/>
      <c r="AU1473" s="33"/>
      <c r="AW1473" s="68"/>
      <c r="AX1473" s="33"/>
      <c r="AY1473" s="33"/>
      <c r="AZ1473" s="109"/>
      <c r="BA1473" s="109"/>
      <c r="CA1473" s="35"/>
      <c r="CH1473" s="39"/>
      <c r="CI1473" s="32"/>
      <c r="CJ1473" s="40"/>
      <c r="CK1473" s="40"/>
      <c r="CL1473" s="33"/>
      <c r="CM1473" s="33"/>
      <c r="CN1473" s="33"/>
      <c r="CO1473" s="33"/>
      <c r="CP1473" s="33"/>
      <c r="CQ1473" s="33"/>
      <c r="CR1473" s="33"/>
    </row>
    <row r="1474" spans="7:96" ht="21">
      <c r="G1474" s="121">
        <v>2021</v>
      </c>
      <c r="H1474" s="80">
        <f t="shared" si="2469"/>
        <v>0</v>
      </c>
      <c r="I1474" s="80">
        <f t="shared" si="2471"/>
        <v>0.32406398217281557</v>
      </c>
      <c r="J1474" s="80">
        <f t="shared" si="2468"/>
        <v>0.44604447491826399</v>
      </c>
      <c r="K1474" s="80">
        <f t="shared" si="2470"/>
        <v>0.2298915429089205</v>
      </c>
      <c r="L1474" s="69">
        <v>2.5456314836395662E-2</v>
      </c>
      <c r="M1474" s="69">
        <v>-8.3125527937406973E-3</v>
      </c>
      <c r="N1474" s="69">
        <v>2.0533673978099149E-2</v>
      </c>
      <c r="O1474" s="96">
        <f t="shared" si="2472"/>
        <v>1.1974552576452803E-2</v>
      </c>
      <c r="P1474" s="96"/>
      <c r="S1474" s="69"/>
      <c r="AE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W1474" s="68"/>
      <c r="AX1474" s="33"/>
      <c r="AY1474" s="33"/>
      <c r="AZ1474" s="109"/>
      <c r="BA1474" s="109"/>
      <c r="CA1474" s="35"/>
      <c r="CH1474" s="39"/>
      <c r="CI1474" s="32"/>
      <c r="CJ1474" s="40"/>
      <c r="CK1474" s="40"/>
      <c r="CL1474" s="33"/>
      <c r="CM1474" s="33"/>
      <c r="CN1474" s="33"/>
      <c r="CO1474" s="33"/>
      <c r="CP1474" s="33"/>
      <c r="CQ1474" s="33"/>
      <c r="CR1474" s="33"/>
    </row>
    <row r="1475" spans="7:96" ht="21">
      <c r="G1475" s="121"/>
      <c r="H1475" s="80"/>
      <c r="I1475" s="80"/>
      <c r="J1475" s="80"/>
      <c r="K1475" s="80"/>
      <c r="L1475" s="69"/>
      <c r="M1475" s="69"/>
      <c r="N1475" s="64"/>
      <c r="O1475" s="69"/>
      <c r="P1475" s="69"/>
      <c r="Q1475" s="69"/>
      <c r="R1475" s="96"/>
      <c r="S1475" s="69"/>
      <c r="AE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W1475" s="68"/>
      <c r="AX1475" s="33"/>
      <c r="AY1475" s="33"/>
      <c r="AZ1475" s="109"/>
      <c r="BA1475" s="109"/>
      <c r="CA1475" s="35"/>
      <c r="CH1475" s="39"/>
      <c r="CI1475" s="32"/>
      <c r="CJ1475" s="40"/>
      <c r="CK1475" s="40"/>
      <c r="CL1475" s="33"/>
      <c r="CM1475" s="33"/>
      <c r="CN1475" s="33"/>
      <c r="CO1475" s="33"/>
      <c r="CP1475" s="33"/>
      <c r="CQ1475" s="33"/>
      <c r="CR1475" s="33"/>
    </row>
    <row r="1476" spans="7:96" ht="21">
      <c r="G1476" s="121"/>
      <c r="H1476" s="80"/>
      <c r="I1476" s="80"/>
      <c r="J1476" s="80"/>
      <c r="K1476" s="69"/>
      <c r="L1476" s="69"/>
      <c r="M1476" s="69"/>
      <c r="N1476" s="64"/>
      <c r="O1476" s="69"/>
      <c r="P1476" s="69"/>
      <c r="Q1476" s="69"/>
      <c r="R1476" s="96"/>
      <c r="S1476" s="69"/>
      <c r="AE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W1476" s="68"/>
      <c r="AX1476" s="33"/>
      <c r="AY1476" s="33"/>
      <c r="AZ1476" s="109"/>
      <c r="BA1476" s="109"/>
      <c r="CA1476" s="35"/>
      <c r="CH1476" s="39"/>
      <c r="CI1476" s="32"/>
      <c r="CJ1476" s="40"/>
      <c r="CK1476" s="40"/>
      <c r="CL1476" s="33"/>
      <c r="CM1476" s="33"/>
      <c r="CN1476" s="33"/>
      <c r="CO1476" s="33"/>
      <c r="CP1476" s="33"/>
      <c r="CQ1476" s="33"/>
      <c r="CR1476" s="33"/>
    </row>
    <row r="1477" spans="7:96" ht="42">
      <c r="I1477" s="131" t="s">
        <v>34</v>
      </c>
      <c r="J1477" s="138" t="s">
        <v>262</v>
      </c>
      <c r="K1477" s="138" t="s">
        <v>269</v>
      </c>
      <c r="L1477" s="80"/>
      <c r="M1477" s="80"/>
      <c r="N1477" s="64"/>
      <c r="O1477" s="80"/>
      <c r="P1477" s="80"/>
      <c r="Q1477" s="80"/>
      <c r="R1477" s="80"/>
      <c r="S1477" s="69"/>
      <c r="T1477" s="69"/>
      <c r="U1477" s="69"/>
      <c r="V1477" s="69"/>
      <c r="W1477" s="69"/>
      <c r="X1477" s="33"/>
      <c r="AE1477" s="33"/>
      <c r="AK1477" s="33"/>
      <c r="AL1477" s="33"/>
      <c r="AM1477" s="33"/>
      <c r="AN1477" s="33"/>
      <c r="AO1477" s="33"/>
      <c r="AP1477" s="33"/>
      <c r="AQ1477" s="33"/>
      <c r="AR1477" s="33"/>
      <c r="AS1477" s="33"/>
      <c r="AT1477" s="33"/>
      <c r="AU1477" s="33"/>
      <c r="AW1477" s="68"/>
      <c r="AX1477" s="33"/>
      <c r="AY1477" s="33"/>
      <c r="AZ1477" s="109"/>
      <c r="BA1477" s="109"/>
      <c r="CA1477" s="35"/>
      <c r="CH1477" s="39"/>
      <c r="CI1477" s="32"/>
      <c r="CJ1477" s="40"/>
      <c r="CK1477" s="40"/>
      <c r="CL1477" s="33"/>
      <c r="CM1477" s="33"/>
      <c r="CN1477" s="33"/>
      <c r="CO1477" s="33"/>
      <c r="CP1477" s="33"/>
      <c r="CQ1477" s="33"/>
      <c r="CR1477" s="33"/>
    </row>
    <row r="1478" spans="7:96" ht="21">
      <c r="G1478" s="121">
        <v>2005</v>
      </c>
      <c r="I1478" s="140">
        <v>100</v>
      </c>
      <c r="J1478" s="80"/>
      <c r="K1478" s="80"/>
      <c r="N1478" s="38"/>
      <c r="S1478" s="69"/>
      <c r="AE1478" s="33"/>
      <c r="AK1478" s="33"/>
      <c r="AL1478" s="33"/>
      <c r="AM1478" s="33"/>
      <c r="AN1478" s="33"/>
      <c r="AO1478" s="33"/>
      <c r="AP1478" s="33"/>
      <c r="AQ1478" s="33"/>
      <c r="AR1478" s="33"/>
      <c r="AS1478" s="33"/>
      <c r="AT1478" s="33"/>
      <c r="AU1478" s="33"/>
      <c r="AW1478" s="68"/>
      <c r="AX1478" s="33"/>
      <c r="AY1478" s="33"/>
      <c r="AZ1478" s="109"/>
      <c r="BA1478" s="109"/>
      <c r="CA1478" s="35"/>
      <c r="CH1478" s="39"/>
      <c r="CI1478" s="32"/>
      <c r="CJ1478" s="40"/>
      <c r="CK1478" s="40"/>
      <c r="CL1478" s="33"/>
      <c r="CM1478" s="33"/>
      <c r="CN1478" s="33"/>
      <c r="CO1478" s="33"/>
      <c r="CP1478" s="33"/>
      <c r="CQ1478" s="33"/>
      <c r="CR1478" s="33"/>
    </row>
    <row r="1479" spans="7:96" ht="21">
      <c r="G1479" s="121">
        <v>2006</v>
      </c>
      <c r="I1479" s="64">
        <f t="shared" ref="I1479:I1494" si="2473">+I1478*EXP(O1459)</f>
        <v>98.505007710089444</v>
      </c>
      <c r="J1479" s="69">
        <f>LN(I1479/I1478)</f>
        <v>-1.5062799406002213E-2</v>
      </c>
      <c r="K1479" s="69">
        <f t="shared" ref="K1479:K1494" si="2474">+J1479*Q1394</f>
        <v>-4.2268567713708871E-4</v>
      </c>
      <c r="N1479" s="38"/>
      <c r="S1479" s="69"/>
      <c r="AE1479" s="33"/>
      <c r="AK1479" s="33"/>
      <c r="AL1479" s="33"/>
      <c r="AM1479" s="33"/>
      <c r="AN1479" s="33"/>
      <c r="AO1479" s="33"/>
      <c r="AP1479" s="33"/>
      <c r="AQ1479" s="33"/>
      <c r="AR1479" s="33"/>
      <c r="AS1479" s="33"/>
      <c r="AT1479" s="33"/>
      <c r="AU1479" s="33"/>
      <c r="AW1479" s="68"/>
      <c r="AX1479" s="33"/>
      <c r="AY1479" s="33"/>
      <c r="AZ1479" s="109"/>
      <c r="BA1479" s="109"/>
      <c r="CA1479" s="35"/>
      <c r="CH1479" s="39"/>
      <c r="CI1479" s="32"/>
      <c r="CJ1479" s="40"/>
      <c r="CK1479" s="40"/>
      <c r="CL1479" s="33"/>
      <c r="CM1479" s="33"/>
      <c r="CN1479" s="33"/>
      <c r="CO1479" s="33"/>
      <c r="CP1479" s="33"/>
      <c r="CQ1479" s="33"/>
      <c r="CR1479" s="33"/>
    </row>
    <row r="1480" spans="7:96" ht="21">
      <c r="G1480" s="121">
        <v>2007</v>
      </c>
      <c r="I1480" s="64">
        <f t="shared" si="2473"/>
        <v>101.60941426314901</v>
      </c>
      <c r="J1480" s="69">
        <f>LN(I1480/I1479)</f>
        <v>3.1028804339977439E-2</v>
      </c>
      <c r="K1480" s="69">
        <f t="shared" si="2474"/>
        <v>8.9136689173113261E-4</v>
      </c>
      <c r="N1480" s="38"/>
      <c r="S1480" s="69"/>
      <c r="AE1480" s="33"/>
      <c r="AK1480" s="33"/>
      <c r="AL1480" s="33"/>
      <c r="AM1480" s="33"/>
      <c r="AN1480" s="33"/>
      <c r="AO1480" s="33"/>
      <c r="AP1480" s="33"/>
      <c r="AQ1480" s="33"/>
      <c r="AR1480" s="33"/>
      <c r="AS1480" s="33"/>
      <c r="AT1480" s="33"/>
      <c r="AU1480" s="33"/>
      <c r="AW1480" s="68"/>
      <c r="AX1480" s="33"/>
      <c r="AY1480" s="33"/>
      <c r="AZ1480" s="109"/>
      <c r="BA1480" s="109"/>
      <c r="CA1480" s="35"/>
      <c r="CH1480" s="39"/>
      <c r="CI1480" s="32"/>
      <c r="CJ1480" s="40"/>
      <c r="CK1480" s="40"/>
      <c r="CL1480" s="33"/>
      <c r="CM1480" s="33"/>
      <c r="CN1480" s="33"/>
      <c r="CO1480" s="33"/>
      <c r="CP1480" s="33"/>
      <c r="CQ1480" s="33"/>
      <c r="CR1480" s="33"/>
    </row>
    <row r="1481" spans="7:96" ht="21">
      <c r="G1481" s="121">
        <v>2008</v>
      </c>
      <c r="I1481" s="64">
        <f t="shared" si="2473"/>
        <v>112.18608020474647</v>
      </c>
      <c r="J1481" s="69">
        <f t="shared" ref="J1481:J1494" si="2475">LN(I1481/I1480)</f>
        <v>9.9022732123871804E-2</v>
      </c>
      <c r="K1481" s="69">
        <f t="shared" si="2474"/>
        <v>3.1234490477439754E-3</v>
      </c>
      <c r="N1481" s="38"/>
      <c r="S1481" s="69"/>
      <c r="AE1481" s="33"/>
      <c r="AK1481" s="33"/>
      <c r="AL1481" s="33"/>
      <c r="AM1481" s="33"/>
      <c r="AN1481" s="33"/>
      <c r="AO1481" s="33"/>
      <c r="AP1481" s="33"/>
      <c r="AQ1481" s="33"/>
      <c r="AR1481" s="33"/>
      <c r="AS1481" s="33"/>
      <c r="AT1481" s="33"/>
      <c r="AU1481" s="33"/>
      <c r="AW1481" s="68"/>
      <c r="AX1481" s="33"/>
      <c r="AY1481" s="33"/>
      <c r="AZ1481" s="109"/>
      <c r="BA1481" s="109"/>
      <c r="CA1481" s="35"/>
      <c r="CH1481" s="39"/>
      <c r="CI1481" s="32"/>
      <c r="CJ1481" s="40"/>
      <c r="CK1481" s="40"/>
      <c r="CL1481" s="33"/>
      <c r="CM1481" s="33"/>
      <c r="CN1481" s="33"/>
      <c r="CO1481" s="33"/>
      <c r="CP1481" s="33"/>
      <c r="CQ1481" s="33"/>
      <c r="CR1481" s="33"/>
    </row>
    <row r="1482" spans="7:96" ht="21">
      <c r="G1482" s="121">
        <v>2009</v>
      </c>
      <c r="I1482" s="64">
        <f t="shared" si="2473"/>
        <v>115.78508954211904</v>
      </c>
      <c r="J1482" s="69">
        <f t="shared" si="2475"/>
        <v>3.1576873371869651E-2</v>
      </c>
      <c r="K1482" s="69">
        <f t="shared" si="2474"/>
        <v>9.7216119339956668E-4</v>
      </c>
      <c r="N1482" s="38"/>
      <c r="S1482" s="69"/>
      <c r="AE1482" s="33"/>
      <c r="AK1482" s="33"/>
      <c r="AL1482" s="33"/>
      <c r="AM1482" s="33"/>
      <c r="AN1482" s="33"/>
      <c r="AO1482" s="33"/>
      <c r="AP1482" s="33"/>
      <c r="AQ1482" s="33"/>
      <c r="AR1482" s="33"/>
      <c r="AS1482" s="33"/>
      <c r="AT1482" s="33"/>
      <c r="AU1482" s="33"/>
      <c r="AW1482" s="68"/>
      <c r="AX1482" s="33"/>
      <c r="AY1482" s="33"/>
      <c r="AZ1482" s="109"/>
      <c r="BA1482" s="109"/>
      <c r="CA1482" s="36"/>
      <c r="CH1482" s="39"/>
      <c r="CI1482" s="32"/>
      <c r="CJ1482" s="40"/>
      <c r="CK1482" s="40"/>
      <c r="CL1482" s="40"/>
      <c r="CM1482" s="40"/>
      <c r="CN1482" s="40"/>
      <c r="CO1482" s="40"/>
      <c r="CP1482" s="40"/>
      <c r="CQ1482" s="40"/>
      <c r="CR1482" s="40"/>
    </row>
    <row r="1483" spans="7:96" ht="21">
      <c r="G1483" s="121">
        <v>2010</v>
      </c>
      <c r="I1483" s="64">
        <f t="shared" si="2473"/>
        <v>112.87395428333461</v>
      </c>
      <c r="J1483" s="69">
        <f t="shared" si="2475"/>
        <v>-2.5464049101561029E-2</v>
      </c>
      <c r="K1483" s="69">
        <f t="shared" si="2474"/>
        <v>-7.5472608340057382E-4</v>
      </c>
      <c r="N1483" s="38"/>
      <c r="S1483" s="69"/>
      <c r="AE1483" s="33"/>
      <c r="AK1483" s="33"/>
      <c r="AL1483" s="33"/>
      <c r="AM1483" s="33"/>
      <c r="AN1483" s="33"/>
      <c r="AO1483" s="33"/>
      <c r="AP1483" s="33"/>
      <c r="AQ1483" s="33"/>
      <c r="AR1483" s="33"/>
      <c r="AS1483" s="33"/>
      <c r="AT1483" s="33"/>
      <c r="AU1483" s="33"/>
      <c r="AW1483" s="68"/>
      <c r="AX1483" s="33"/>
      <c r="AY1483" s="33"/>
      <c r="AZ1483" s="109"/>
      <c r="BA1483" s="109"/>
      <c r="CA1483" s="35"/>
      <c r="CH1483" s="39"/>
      <c r="CI1483" s="32"/>
      <c r="CJ1483" s="40"/>
      <c r="CK1483" s="40"/>
      <c r="CL1483" s="33"/>
      <c r="CM1483" s="33"/>
      <c r="CN1483" s="33"/>
      <c r="CO1483" s="33"/>
      <c r="CP1483" s="33"/>
      <c r="CQ1483" s="33"/>
      <c r="CR1483" s="33"/>
    </row>
    <row r="1484" spans="7:96" ht="21">
      <c r="G1484" s="121">
        <v>2011</v>
      </c>
      <c r="I1484" s="64">
        <f t="shared" si="2473"/>
        <v>115.55720105814311</v>
      </c>
      <c r="J1484" s="69">
        <f t="shared" si="2475"/>
        <v>2.3493907307803673E-2</v>
      </c>
      <c r="K1484" s="69">
        <f t="shared" si="2474"/>
        <v>7.0550859524647221E-4</v>
      </c>
      <c r="N1484" s="38"/>
      <c r="S1484" s="69"/>
      <c r="AE1484" s="33"/>
      <c r="AK1484" s="33"/>
      <c r="AL1484" s="33"/>
      <c r="AM1484" s="33"/>
      <c r="AN1484" s="33"/>
      <c r="AO1484" s="33"/>
      <c r="AP1484" s="33"/>
      <c r="AQ1484" s="33"/>
      <c r="AR1484" s="33"/>
      <c r="AS1484" s="33"/>
      <c r="AT1484" s="33"/>
      <c r="AU1484" s="33"/>
      <c r="AW1484" s="68"/>
      <c r="AX1484" s="33"/>
      <c r="AY1484" s="33"/>
      <c r="AZ1484" s="109"/>
      <c r="BA1484" s="109"/>
      <c r="CA1484" s="35"/>
      <c r="CH1484" s="39"/>
      <c r="CI1484" s="32"/>
      <c r="CJ1484" s="40"/>
      <c r="CK1484" s="40"/>
      <c r="CL1484" s="33"/>
      <c r="CM1484" s="33"/>
      <c r="CN1484" s="33"/>
      <c r="CO1484" s="33"/>
      <c r="CP1484" s="33"/>
      <c r="CQ1484" s="33"/>
      <c r="CR1484" s="33"/>
    </row>
    <row r="1485" spans="7:96" ht="21">
      <c r="G1485" s="121">
        <v>2012</v>
      </c>
      <c r="I1485" s="64">
        <f t="shared" si="2473"/>
        <v>105.71665149280997</v>
      </c>
      <c r="J1485" s="69">
        <f t="shared" si="2475"/>
        <v>-8.900323874551401E-2</v>
      </c>
      <c r="K1485" s="69">
        <f t="shared" si="2474"/>
        <v>-2.4433076136571546E-3</v>
      </c>
      <c r="N1485" s="38"/>
      <c r="S1485" s="69"/>
      <c r="AE1485" s="33"/>
      <c r="AK1485" s="33"/>
      <c r="AL1485" s="33"/>
      <c r="AM1485" s="33"/>
      <c r="AN1485" s="33"/>
      <c r="AO1485" s="33"/>
      <c r="AP1485" s="33"/>
      <c r="AQ1485" s="33"/>
      <c r="AR1485" s="33"/>
      <c r="AS1485" s="33"/>
      <c r="AT1485" s="33"/>
      <c r="AU1485" s="33"/>
      <c r="AW1485" s="68"/>
      <c r="AX1485" s="33"/>
      <c r="AY1485" s="33"/>
      <c r="AZ1485" s="109"/>
      <c r="BA1485" s="109"/>
      <c r="CA1485" s="35"/>
      <c r="CH1485" s="39"/>
      <c r="CI1485" s="32"/>
      <c r="CJ1485" s="40"/>
      <c r="CK1485" s="40"/>
      <c r="CL1485" s="33"/>
      <c r="CM1485" s="33"/>
      <c r="CN1485" s="33"/>
      <c r="CO1485" s="33"/>
      <c r="CP1485" s="33"/>
      <c r="CQ1485" s="33"/>
      <c r="CR1485" s="33"/>
    </row>
    <row r="1486" spans="7:96" ht="21">
      <c r="G1486" s="121">
        <v>2013</v>
      </c>
      <c r="I1486" s="64">
        <f t="shared" si="2473"/>
        <v>118.06882826946264</v>
      </c>
      <c r="J1486" s="69">
        <f t="shared" si="2475"/>
        <v>0.11050532895856813</v>
      </c>
      <c r="K1486" s="69">
        <f t="shared" si="2474"/>
        <v>3.2875439482831629E-3</v>
      </c>
      <c r="N1486" s="38"/>
      <c r="S1486" s="69"/>
      <c r="AE1486" s="33"/>
      <c r="AK1486" s="33"/>
      <c r="AL1486" s="33"/>
      <c r="AM1486" s="33"/>
      <c r="AN1486" s="33"/>
      <c r="AO1486" s="33"/>
      <c r="AP1486" s="33"/>
      <c r="AQ1486" s="33"/>
      <c r="AR1486" s="33"/>
      <c r="AS1486" s="33"/>
      <c r="AT1486" s="33"/>
      <c r="AU1486" s="33"/>
      <c r="AW1486" s="68"/>
      <c r="AX1486" s="33"/>
      <c r="AY1486" s="33"/>
      <c r="AZ1486" s="109"/>
      <c r="BA1486" s="109"/>
      <c r="CA1486" s="35"/>
      <c r="CH1486" s="39"/>
      <c r="CI1486" s="32"/>
      <c r="CJ1486" s="40"/>
      <c r="CK1486" s="40"/>
      <c r="CL1486" s="33"/>
      <c r="CM1486" s="33"/>
      <c r="CN1486" s="33"/>
      <c r="CO1486" s="33"/>
      <c r="CP1486" s="33"/>
      <c r="CQ1486" s="33"/>
      <c r="CR1486" s="33"/>
    </row>
    <row r="1487" spans="7:96" ht="21">
      <c r="G1487" s="121">
        <v>2014</v>
      </c>
      <c r="I1487" s="64">
        <f t="shared" si="2473"/>
        <v>118.96701131686267</v>
      </c>
      <c r="J1487" s="69">
        <f t="shared" si="2475"/>
        <v>7.5784940183316971E-3</v>
      </c>
      <c r="K1487" s="69">
        <f t="shared" si="2474"/>
        <v>2.2534627603449617E-4</v>
      </c>
      <c r="N1487" s="38"/>
      <c r="S1487" s="69"/>
      <c r="AE1487" s="33"/>
      <c r="AK1487" s="33"/>
      <c r="AL1487" s="33"/>
      <c r="AM1487" s="33"/>
      <c r="AN1487" s="33"/>
      <c r="AO1487" s="33"/>
      <c r="AP1487" s="33"/>
      <c r="AQ1487" s="33"/>
      <c r="AR1487" s="33"/>
      <c r="AS1487" s="33"/>
      <c r="AT1487" s="33"/>
      <c r="AU1487" s="33"/>
      <c r="AW1487" s="68"/>
      <c r="AX1487" s="33"/>
      <c r="AY1487" s="33"/>
      <c r="AZ1487" s="109"/>
      <c r="BA1487" s="109"/>
      <c r="CA1487" s="35"/>
      <c r="CH1487" s="39"/>
      <c r="CI1487" s="32"/>
      <c r="CJ1487" s="40"/>
      <c r="CK1487" s="40"/>
      <c r="CL1487" s="33"/>
      <c r="CM1487" s="33"/>
      <c r="CN1487" s="33"/>
      <c r="CO1487" s="33"/>
      <c r="CP1487" s="33"/>
      <c r="CQ1487" s="33"/>
      <c r="CR1487" s="33"/>
    </row>
    <row r="1488" spans="7:96" ht="21">
      <c r="G1488" s="121">
        <v>2015</v>
      </c>
      <c r="I1488" s="64">
        <f t="shared" si="2473"/>
        <v>113.34093711836077</v>
      </c>
      <c r="J1488" s="69">
        <f t="shared" si="2475"/>
        <v>-4.8445819943091148E-2</v>
      </c>
      <c r="K1488" s="69">
        <f t="shared" si="2474"/>
        <v>-1.3581880078139244E-3</v>
      </c>
      <c r="N1488" s="38"/>
      <c r="S1488" s="69"/>
      <c r="AE1488" s="33"/>
      <c r="AK1488" s="33"/>
      <c r="AL1488" s="33"/>
      <c r="AM1488" s="33"/>
      <c r="AN1488" s="33"/>
      <c r="AO1488" s="33"/>
      <c r="AP1488" s="33"/>
      <c r="AQ1488" s="33"/>
      <c r="AR1488" s="33"/>
      <c r="AS1488" s="33"/>
      <c r="AT1488" s="33"/>
      <c r="AU1488" s="33"/>
      <c r="AW1488" s="68"/>
      <c r="AX1488" s="33"/>
      <c r="AY1488" s="33"/>
      <c r="AZ1488" s="109"/>
      <c r="BA1488" s="109"/>
      <c r="CA1488" s="35"/>
      <c r="CH1488" s="39"/>
      <c r="CI1488" s="32"/>
      <c r="CJ1488" s="40"/>
      <c r="CK1488" s="40"/>
      <c r="CL1488" s="33"/>
      <c r="CM1488" s="33"/>
      <c r="CN1488" s="33"/>
      <c r="CO1488" s="33"/>
      <c r="CP1488" s="33"/>
      <c r="CQ1488" s="33"/>
      <c r="CR1488" s="33"/>
    </row>
    <row r="1489" spans="7:96" ht="21">
      <c r="G1489" s="121">
        <v>2016</v>
      </c>
      <c r="I1489" s="64">
        <f t="shared" si="2473"/>
        <v>122.86859653788703</v>
      </c>
      <c r="J1489" s="69">
        <f t="shared" si="2475"/>
        <v>8.0715044568433217E-2</v>
      </c>
      <c r="K1489" s="69">
        <f t="shared" si="2474"/>
        <v>2.3677578509906446E-3</v>
      </c>
      <c r="N1489" s="38"/>
      <c r="S1489" s="69"/>
      <c r="AE1489" s="33"/>
      <c r="AK1489" s="33"/>
      <c r="AL1489" s="33"/>
      <c r="AM1489" s="33"/>
      <c r="AN1489" s="33"/>
      <c r="AO1489" s="33"/>
      <c r="AP1489" s="33"/>
      <c r="AQ1489" s="33"/>
      <c r="AR1489" s="33"/>
      <c r="AS1489" s="33"/>
      <c r="AT1489" s="33"/>
      <c r="AU1489" s="33"/>
      <c r="AW1489" s="68"/>
      <c r="AX1489" s="33"/>
      <c r="AY1489" s="33"/>
      <c r="AZ1489" s="109"/>
      <c r="BA1489" s="109"/>
      <c r="CA1489" s="35"/>
      <c r="CH1489" s="39"/>
      <c r="CI1489" s="32"/>
      <c r="CJ1489" s="40"/>
      <c r="CK1489" s="40"/>
      <c r="CL1489" s="33"/>
      <c r="CM1489" s="33"/>
      <c r="CN1489" s="33"/>
      <c r="CO1489" s="33"/>
      <c r="CP1489" s="33"/>
      <c r="CQ1489" s="33"/>
      <c r="CR1489" s="33"/>
    </row>
    <row r="1490" spans="7:96" ht="21">
      <c r="G1490" s="121">
        <v>2017</v>
      </c>
      <c r="I1490" s="64">
        <f t="shared" si="2473"/>
        <v>123.51924706489976</v>
      </c>
      <c r="J1490" s="69">
        <f t="shared" si="2475"/>
        <v>5.2815271237715393E-3</v>
      </c>
      <c r="K1490" s="69">
        <f t="shared" si="2474"/>
        <v>1.5227840509199339E-4</v>
      </c>
      <c r="N1490" s="38"/>
      <c r="S1490" s="69"/>
      <c r="AE1490" s="33"/>
      <c r="AK1490" s="33"/>
      <c r="AL1490" s="33"/>
      <c r="AM1490" s="33"/>
      <c r="AN1490" s="33"/>
      <c r="AO1490" s="33"/>
      <c r="AP1490" s="33"/>
      <c r="AQ1490" s="33"/>
      <c r="AR1490" s="33"/>
      <c r="AS1490" s="33"/>
      <c r="AT1490" s="33"/>
      <c r="AU1490" s="33"/>
      <c r="AW1490" s="68"/>
      <c r="AX1490" s="33"/>
      <c r="AY1490" s="33"/>
      <c r="AZ1490" s="109"/>
      <c r="BA1490" s="109"/>
      <c r="CA1490" s="35"/>
      <c r="CH1490" s="39"/>
      <c r="CI1490" s="32"/>
      <c r="CJ1490" s="40"/>
      <c r="CK1490" s="40"/>
      <c r="CL1490" s="33"/>
      <c r="CM1490" s="33"/>
      <c r="CN1490" s="33"/>
      <c r="CO1490" s="33"/>
      <c r="CP1490" s="33"/>
      <c r="CQ1490" s="33"/>
      <c r="CR1490" s="33"/>
    </row>
    <row r="1491" spans="7:96" ht="21">
      <c r="G1491" s="121">
        <v>2018</v>
      </c>
      <c r="I1491" s="64">
        <f t="shared" si="2473"/>
        <v>236.24828422187028</v>
      </c>
      <c r="J1491" s="69">
        <f t="shared" si="2475"/>
        <v>0.64848631318999961</v>
      </c>
      <c r="K1491" s="69">
        <f t="shared" si="2474"/>
        <v>3.4115957345568902E-2</v>
      </c>
      <c r="N1491" s="38"/>
      <c r="S1491" s="69"/>
      <c r="AE1491" s="33"/>
      <c r="AK1491" s="33"/>
      <c r="AL1491" s="33"/>
      <c r="AM1491" s="33"/>
      <c r="AN1491" s="33"/>
      <c r="AO1491" s="33"/>
      <c r="AP1491" s="33"/>
      <c r="AQ1491" s="33"/>
      <c r="AR1491" s="33"/>
      <c r="AS1491" s="33"/>
      <c r="AT1491" s="33"/>
      <c r="AU1491" s="33"/>
      <c r="AW1491" s="68"/>
      <c r="AX1491" s="33"/>
      <c r="AY1491" s="33"/>
      <c r="AZ1491" s="109"/>
      <c r="BA1491" s="109"/>
      <c r="CA1491" s="35"/>
      <c r="CH1491" s="39"/>
      <c r="CI1491" s="32"/>
      <c r="CJ1491" s="40"/>
      <c r="CK1491" s="40"/>
      <c r="CL1491" s="33"/>
      <c r="CM1491" s="33"/>
      <c r="CN1491" s="33"/>
      <c r="CO1491" s="33"/>
      <c r="CP1491" s="33"/>
      <c r="CQ1491" s="33"/>
      <c r="CR1491" s="33"/>
    </row>
    <row r="1492" spans="7:96" ht="21">
      <c r="G1492" s="121">
        <v>2019</v>
      </c>
      <c r="I1492" s="64">
        <f t="shared" si="2473"/>
        <v>154.43602806555742</v>
      </c>
      <c r="J1492" s="69">
        <f t="shared" si="2475"/>
        <v>-0.42510335103046915</v>
      </c>
      <c r="K1492" s="69">
        <f t="shared" si="2474"/>
        <v>-1.4407689947348576E-2</v>
      </c>
      <c r="N1492" s="38"/>
      <c r="S1492" s="69"/>
      <c r="AE1492" s="33"/>
      <c r="AK1492" s="33"/>
      <c r="AL1492" s="33"/>
      <c r="AM1492" s="33"/>
      <c r="AN1492" s="33"/>
      <c r="AO1492" s="33"/>
      <c r="AP1492" s="33"/>
      <c r="AQ1492" s="33"/>
      <c r="AR1492" s="33"/>
      <c r="AS1492" s="33"/>
      <c r="AT1492" s="33"/>
      <c r="AU1492" s="33"/>
      <c r="AW1492" s="68"/>
      <c r="AX1492" s="33"/>
      <c r="AY1492" s="33"/>
      <c r="AZ1492" s="109"/>
      <c r="BA1492" s="109"/>
      <c r="CA1492" s="35"/>
      <c r="CH1492" s="39"/>
      <c r="CI1492" s="32"/>
      <c r="CJ1492" s="40"/>
      <c r="CK1492" s="40"/>
      <c r="CL1492" s="33"/>
      <c r="CM1492" s="33"/>
      <c r="CN1492" s="33"/>
      <c r="CO1492" s="33"/>
      <c r="CP1492" s="33"/>
      <c r="CQ1492" s="33"/>
      <c r="CR1492" s="33"/>
    </row>
    <row r="1493" spans="7:96" ht="21">
      <c r="G1493" s="121">
        <v>2020</v>
      </c>
      <c r="I1493" s="64">
        <f t="shared" si="2473"/>
        <v>121.93784451427952</v>
      </c>
      <c r="J1493" s="69">
        <f t="shared" si="2475"/>
        <v>-0.23626850904979946</v>
      </c>
      <c r="K1493" s="69">
        <f t="shared" si="2474"/>
        <v>-6.279724884508165E-3</v>
      </c>
      <c r="N1493" s="38"/>
      <c r="S1493" s="69"/>
      <c r="AE1493" s="33"/>
      <c r="AK1493" s="33"/>
      <c r="AL1493" s="33"/>
      <c r="AM1493" s="33"/>
      <c r="AN1493" s="33"/>
      <c r="AO1493" s="33"/>
      <c r="AP1493" s="33"/>
      <c r="AQ1493" s="33"/>
      <c r="AR1493" s="33"/>
      <c r="AS1493" s="33"/>
      <c r="AT1493" s="33"/>
      <c r="AU1493" s="33"/>
      <c r="AW1493" s="68"/>
      <c r="AX1493" s="33"/>
      <c r="AY1493" s="33"/>
      <c r="AZ1493" s="109"/>
      <c r="BA1493" s="109"/>
      <c r="CA1493" s="35"/>
      <c r="CH1493" s="39"/>
      <c r="CI1493" s="32"/>
      <c r="CJ1493" s="40"/>
      <c r="CK1493" s="40"/>
      <c r="CL1493" s="33"/>
      <c r="CM1493" s="33"/>
      <c r="CN1493" s="33"/>
      <c r="CO1493" s="33"/>
      <c r="CP1493" s="33"/>
      <c r="CQ1493" s="33"/>
      <c r="CR1493" s="33"/>
    </row>
    <row r="1494" spans="7:96" ht="21">
      <c r="G1494" s="121">
        <v>2021</v>
      </c>
      <c r="I1494" s="64">
        <f t="shared" si="2473"/>
        <v>123.40677297258466</v>
      </c>
      <c r="J1494" s="69">
        <f t="shared" si="2475"/>
        <v>1.1974552576452809E-2</v>
      </c>
      <c r="K1494" s="69">
        <f t="shared" si="2474"/>
        <v>3.1715771363745126E-4</v>
      </c>
      <c r="N1494" s="38"/>
      <c r="S1494" s="69"/>
      <c r="AE1494" s="33"/>
      <c r="AK1494" s="33"/>
      <c r="AL1494" s="33"/>
      <c r="AM1494" s="33"/>
      <c r="AN1494" s="33"/>
      <c r="AO1494" s="33"/>
      <c r="AP1494" s="33"/>
      <c r="AQ1494" s="33"/>
      <c r="AR1494" s="33"/>
      <c r="AS1494" s="33"/>
      <c r="AT1494" s="33"/>
      <c r="AU1494" s="33"/>
      <c r="AW1494" s="68"/>
      <c r="AX1494" s="33"/>
      <c r="AY1494" s="33"/>
      <c r="AZ1494" s="109"/>
      <c r="BA1494" s="109"/>
      <c r="CA1494" s="35"/>
      <c r="CH1494" s="39"/>
      <c r="CI1494" s="32"/>
      <c r="CJ1494" s="40"/>
      <c r="CK1494" s="40"/>
      <c r="CL1494" s="33"/>
      <c r="CM1494" s="33"/>
      <c r="CN1494" s="33"/>
      <c r="CO1494" s="33"/>
      <c r="CP1494" s="33"/>
      <c r="CQ1494" s="33"/>
      <c r="CR1494" s="33"/>
    </row>
    <row r="1495" spans="7:96" ht="21">
      <c r="N1495" s="38"/>
      <c r="S1495" s="69"/>
      <c r="AE1495" s="33"/>
      <c r="AK1495" s="33"/>
      <c r="AL1495" s="33"/>
      <c r="AM1495" s="33"/>
      <c r="AN1495" s="33"/>
      <c r="AO1495" s="33"/>
      <c r="AP1495" s="33"/>
      <c r="AQ1495" s="33"/>
      <c r="AR1495" s="33"/>
      <c r="AS1495" s="33"/>
      <c r="AT1495" s="33"/>
      <c r="AU1495" s="33"/>
      <c r="AW1495" s="68"/>
      <c r="AX1495" s="33"/>
      <c r="AY1495" s="33"/>
      <c r="AZ1495" s="109"/>
      <c r="BA1495" s="109"/>
      <c r="CA1495" s="35"/>
      <c r="CH1495" s="39"/>
      <c r="CI1495" s="32"/>
      <c r="CJ1495" s="40"/>
      <c r="CK1495" s="40"/>
      <c r="CL1495" s="33"/>
      <c r="CM1495" s="33"/>
      <c r="CN1495" s="33"/>
      <c r="CO1495" s="33"/>
      <c r="CP1495" s="33"/>
      <c r="CQ1495" s="33"/>
      <c r="CR1495" s="33"/>
    </row>
    <row r="1496" spans="7:96" ht="21">
      <c r="N1496" s="38"/>
      <c r="S1496" s="69"/>
      <c r="AE1496" s="33"/>
      <c r="AK1496" s="33"/>
      <c r="AL1496" s="33"/>
      <c r="AM1496" s="33"/>
      <c r="AN1496" s="33"/>
      <c r="AO1496" s="33"/>
      <c r="AP1496" s="33"/>
      <c r="AQ1496" s="33"/>
      <c r="AR1496" s="33"/>
      <c r="AS1496" s="33"/>
      <c r="AT1496" s="33"/>
      <c r="AU1496" s="33"/>
      <c r="AW1496" s="68"/>
      <c r="AX1496" s="33"/>
      <c r="AY1496" s="33"/>
      <c r="AZ1496" s="109"/>
      <c r="BA1496" s="109"/>
      <c r="CA1496" s="35"/>
      <c r="CH1496" s="39"/>
      <c r="CI1496" s="32"/>
      <c r="CJ1496" s="40"/>
      <c r="CK1496" s="40"/>
      <c r="CL1496" s="33"/>
      <c r="CM1496" s="33"/>
      <c r="CN1496" s="33"/>
      <c r="CO1496" s="33"/>
      <c r="CP1496" s="33"/>
      <c r="CQ1496" s="33"/>
      <c r="CR1496" s="33"/>
    </row>
    <row r="1497" spans="7:96" ht="21">
      <c r="N1497" s="38"/>
      <c r="S1497" s="69"/>
      <c r="AE1497" s="33"/>
      <c r="AK1497" s="33"/>
      <c r="AL1497" s="33"/>
      <c r="AM1497" s="33"/>
      <c r="AN1497" s="33"/>
      <c r="AO1497" s="33"/>
      <c r="AP1497" s="33"/>
      <c r="AQ1497" s="33"/>
      <c r="AR1497" s="33"/>
      <c r="AS1497" s="33"/>
      <c r="AT1497" s="33"/>
      <c r="AU1497" s="33"/>
      <c r="AW1497" s="68"/>
      <c r="AX1497" s="33"/>
      <c r="AY1497" s="33"/>
      <c r="AZ1497" s="109"/>
      <c r="BA1497" s="109"/>
      <c r="CA1497" s="35"/>
      <c r="CH1497" s="39"/>
      <c r="CI1497" s="32"/>
      <c r="CJ1497" s="40"/>
      <c r="CK1497" s="40"/>
      <c r="CL1497" s="33"/>
      <c r="CM1497" s="33"/>
      <c r="CN1497" s="33"/>
      <c r="CO1497" s="33"/>
      <c r="CP1497" s="33"/>
      <c r="CQ1497" s="33"/>
      <c r="CR1497" s="33"/>
    </row>
    <row r="1498" spans="7:96" ht="21">
      <c r="N1498" s="38"/>
      <c r="S1498" s="69"/>
      <c r="AE1498" s="33"/>
      <c r="AK1498" s="33"/>
      <c r="AL1498" s="33"/>
      <c r="AM1498" s="33"/>
      <c r="AN1498" s="33"/>
      <c r="AO1498" s="33"/>
      <c r="AP1498" s="33"/>
      <c r="AQ1498" s="33"/>
      <c r="AR1498" s="33"/>
      <c r="AS1498" s="33"/>
      <c r="AT1498" s="33"/>
      <c r="AU1498" s="33"/>
      <c r="AW1498" s="68"/>
      <c r="AX1498" s="33"/>
      <c r="AY1498" s="33"/>
      <c r="AZ1498" s="109"/>
      <c r="BA1498" s="109"/>
      <c r="CA1498" s="35"/>
      <c r="CH1498" s="39"/>
      <c r="CI1498" s="32"/>
      <c r="CJ1498" s="40"/>
      <c r="CK1498" s="40"/>
      <c r="CL1498" s="33"/>
      <c r="CM1498" s="33"/>
      <c r="CN1498" s="33"/>
      <c r="CO1498" s="33"/>
      <c r="CP1498" s="33"/>
      <c r="CQ1498" s="33"/>
      <c r="CR1498" s="33"/>
    </row>
    <row r="1499" spans="7:96" ht="21">
      <c r="N1499" s="38"/>
      <c r="S1499" s="80"/>
      <c r="AE1499" s="33"/>
      <c r="AK1499" s="33"/>
      <c r="AL1499" s="33"/>
      <c r="AM1499" s="33"/>
      <c r="AN1499" s="33"/>
      <c r="AO1499" s="33"/>
      <c r="AP1499" s="33"/>
      <c r="AQ1499" s="33"/>
      <c r="AR1499" s="33"/>
      <c r="AS1499" s="33"/>
      <c r="AT1499" s="33"/>
      <c r="AU1499" s="33"/>
      <c r="AW1499" s="68"/>
      <c r="AX1499" s="33"/>
      <c r="AY1499" s="33"/>
      <c r="AZ1499" s="109"/>
      <c r="BA1499" s="109"/>
      <c r="CA1499" s="35"/>
      <c r="CH1499" s="39"/>
      <c r="CI1499" s="32"/>
      <c r="CJ1499" s="40"/>
      <c r="CK1499" s="40"/>
      <c r="CL1499" s="33"/>
      <c r="CM1499" s="33"/>
      <c r="CN1499" s="33"/>
      <c r="CO1499" s="33"/>
      <c r="CP1499" s="33"/>
      <c r="CQ1499" s="33"/>
      <c r="CR1499" s="33"/>
    </row>
    <row r="1500" spans="7:96" ht="21">
      <c r="N1500" s="38"/>
      <c r="S1500" s="80"/>
      <c r="AE1500" s="33"/>
      <c r="AK1500" s="33"/>
      <c r="AL1500" s="33"/>
      <c r="AM1500" s="33"/>
      <c r="AN1500" s="33"/>
      <c r="AO1500" s="33"/>
      <c r="AP1500" s="33"/>
      <c r="AQ1500" s="33"/>
      <c r="AR1500" s="33"/>
      <c r="AS1500" s="33"/>
      <c r="AT1500" s="33"/>
      <c r="AU1500" s="33"/>
      <c r="AW1500" s="68"/>
      <c r="AX1500" s="33"/>
      <c r="AY1500" s="33"/>
      <c r="AZ1500" s="109"/>
      <c r="BA1500" s="109"/>
      <c r="CA1500" s="35"/>
      <c r="CH1500" s="39"/>
      <c r="CI1500" s="32"/>
      <c r="CJ1500" s="40"/>
      <c r="CK1500" s="40"/>
      <c r="CL1500" s="33"/>
      <c r="CM1500" s="33"/>
      <c r="CN1500" s="33"/>
      <c r="CO1500" s="33"/>
      <c r="CP1500" s="33"/>
      <c r="CQ1500" s="33"/>
      <c r="CR1500" s="33"/>
    </row>
    <row r="1501" spans="7:96" ht="21">
      <c r="N1501" s="38"/>
      <c r="S1501" s="80"/>
      <c r="AE1501" s="33"/>
      <c r="AK1501" s="33"/>
      <c r="AL1501" s="33"/>
      <c r="AM1501" s="33"/>
      <c r="AN1501" s="33"/>
      <c r="AO1501" s="33"/>
      <c r="AP1501" s="33"/>
      <c r="AQ1501" s="33"/>
      <c r="AR1501" s="33"/>
      <c r="AS1501" s="33"/>
      <c r="AT1501" s="33"/>
      <c r="AU1501" s="33"/>
      <c r="AW1501" s="68"/>
      <c r="AX1501" s="33"/>
      <c r="AY1501" s="33"/>
      <c r="AZ1501" s="109"/>
      <c r="BA1501" s="109"/>
      <c r="CA1501" s="35"/>
      <c r="CH1501" s="39"/>
      <c r="CI1501" s="32"/>
      <c r="CJ1501" s="40"/>
      <c r="CK1501" s="40"/>
      <c r="CL1501" s="33"/>
      <c r="CM1501" s="33"/>
      <c r="CN1501" s="33"/>
      <c r="CO1501" s="33"/>
      <c r="CP1501" s="33"/>
      <c r="CQ1501" s="33"/>
      <c r="CR1501" s="33"/>
    </row>
    <row r="1502" spans="7:96" ht="21">
      <c r="N1502" s="38"/>
      <c r="S1502" s="80"/>
      <c r="AE1502" s="33"/>
      <c r="AK1502" s="33"/>
      <c r="AL1502" s="33"/>
      <c r="AM1502" s="33"/>
      <c r="AN1502" s="33"/>
      <c r="AO1502" s="33"/>
      <c r="AP1502" s="33"/>
      <c r="AQ1502" s="33"/>
      <c r="AR1502" s="33"/>
      <c r="AS1502" s="33"/>
      <c r="AT1502" s="33"/>
      <c r="AU1502" s="33"/>
      <c r="AW1502" s="68"/>
      <c r="AX1502" s="33"/>
      <c r="AY1502" s="33"/>
      <c r="AZ1502" s="109"/>
      <c r="BA1502" s="109"/>
      <c r="CA1502" s="35"/>
      <c r="CH1502" s="39"/>
      <c r="CI1502" s="32"/>
      <c r="CJ1502" s="40"/>
      <c r="CK1502" s="40"/>
      <c r="CL1502" s="33"/>
      <c r="CM1502" s="33"/>
      <c r="CN1502" s="33"/>
      <c r="CO1502" s="33"/>
      <c r="CP1502" s="33"/>
      <c r="CQ1502" s="33"/>
      <c r="CR1502" s="33"/>
    </row>
    <row r="1503" spans="7:96" ht="21">
      <c r="N1503" s="38"/>
      <c r="S1503" s="80"/>
      <c r="AE1503" s="33"/>
      <c r="AK1503" s="33"/>
      <c r="AL1503" s="33"/>
      <c r="AM1503" s="33"/>
      <c r="AN1503" s="33"/>
      <c r="AO1503" s="33"/>
      <c r="AP1503" s="33"/>
      <c r="AQ1503" s="33"/>
      <c r="AR1503" s="33"/>
      <c r="AS1503" s="33"/>
      <c r="AT1503" s="33"/>
      <c r="AU1503" s="33"/>
      <c r="AW1503" s="68"/>
      <c r="AX1503" s="33"/>
      <c r="AY1503" s="33"/>
      <c r="AZ1503" s="109"/>
      <c r="BA1503" s="109"/>
      <c r="CA1503" s="35"/>
      <c r="CH1503" s="39"/>
      <c r="CI1503" s="32"/>
      <c r="CJ1503" s="40"/>
      <c r="CK1503" s="40"/>
      <c r="CL1503" s="33"/>
      <c r="CM1503" s="33"/>
      <c r="CN1503" s="33"/>
      <c r="CO1503" s="33"/>
      <c r="CP1503" s="33"/>
      <c r="CQ1503" s="33"/>
      <c r="CR1503" s="33"/>
    </row>
    <row r="1504" spans="7:96" ht="21">
      <c r="N1504" s="38"/>
      <c r="S1504" s="80"/>
      <c r="AE1504" s="33"/>
      <c r="AK1504" s="33"/>
      <c r="AL1504" s="33"/>
      <c r="AM1504" s="33"/>
      <c r="AN1504" s="33"/>
      <c r="AO1504" s="33"/>
      <c r="AP1504" s="33"/>
      <c r="AQ1504" s="33"/>
      <c r="AR1504" s="33"/>
      <c r="AS1504" s="33"/>
      <c r="AT1504" s="33"/>
      <c r="AU1504" s="33"/>
      <c r="AW1504" s="68"/>
      <c r="AX1504" s="33"/>
      <c r="AY1504" s="33"/>
      <c r="AZ1504" s="109"/>
      <c r="BA1504" s="109"/>
      <c r="CA1504" s="36"/>
      <c r="CH1504" s="39"/>
      <c r="CI1504" s="32"/>
      <c r="CJ1504" s="40"/>
      <c r="CK1504" s="40"/>
      <c r="CL1504" s="40"/>
      <c r="CM1504" s="40"/>
      <c r="CN1504" s="40"/>
      <c r="CO1504" s="40"/>
      <c r="CP1504" s="40"/>
      <c r="CQ1504" s="40"/>
      <c r="CR1504" s="40"/>
    </row>
    <row r="1505" spans="14:96" ht="21">
      <c r="N1505" s="38"/>
      <c r="S1505" s="80"/>
      <c r="AE1505" s="33"/>
      <c r="AK1505" s="33"/>
      <c r="AL1505" s="33"/>
      <c r="AM1505" s="33"/>
      <c r="AN1505" s="33"/>
      <c r="AO1505" s="33"/>
      <c r="AP1505" s="33"/>
      <c r="AQ1505" s="33"/>
      <c r="AR1505" s="33"/>
      <c r="AS1505" s="33"/>
      <c r="AT1505" s="33"/>
      <c r="AU1505" s="33"/>
      <c r="AW1505" s="68"/>
      <c r="AX1505" s="33"/>
      <c r="AY1505" s="33"/>
      <c r="AZ1505" s="109"/>
      <c r="BA1505" s="109"/>
      <c r="CA1505" s="35"/>
      <c r="CH1505" s="39"/>
      <c r="CI1505" s="32"/>
      <c r="CJ1505" s="40"/>
      <c r="CK1505" s="40"/>
      <c r="CL1505" s="33"/>
      <c r="CM1505" s="33"/>
      <c r="CN1505" s="33"/>
      <c r="CO1505" s="33"/>
      <c r="CP1505" s="33"/>
      <c r="CQ1505" s="33"/>
      <c r="CR1505" s="33"/>
    </row>
    <row r="1506" spans="14:96" ht="21">
      <c r="N1506" s="38"/>
      <c r="S1506" s="80"/>
      <c r="AE1506" s="33"/>
      <c r="AK1506" s="33"/>
      <c r="AL1506" s="33"/>
      <c r="AM1506" s="33"/>
      <c r="AN1506" s="33"/>
      <c r="AO1506" s="33"/>
      <c r="AP1506" s="33"/>
      <c r="AQ1506" s="33"/>
      <c r="AR1506" s="33"/>
      <c r="AS1506" s="33"/>
      <c r="AT1506" s="33"/>
      <c r="AU1506" s="33"/>
      <c r="AW1506" s="68"/>
      <c r="AX1506" s="33"/>
      <c r="AY1506" s="33"/>
      <c r="AZ1506" s="109"/>
      <c r="BA1506" s="109"/>
      <c r="CA1506" s="35"/>
      <c r="CH1506" s="39"/>
      <c r="CI1506" s="32"/>
      <c r="CJ1506" s="40"/>
      <c r="CK1506" s="40"/>
      <c r="CL1506" s="33"/>
      <c r="CM1506" s="33"/>
      <c r="CN1506" s="33"/>
      <c r="CO1506" s="33"/>
      <c r="CP1506" s="33"/>
      <c r="CQ1506" s="33"/>
      <c r="CR1506" s="33"/>
    </row>
    <row r="1507" spans="14:96" ht="21">
      <c r="N1507" s="38"/>
      <c r="S1507" s="80"/>
      <c r="AE1507" s="33"/>
      <c r="AK1507" s="33"/>
      <c r="AL1507" s="33"/>
      <c r="AM1507" s="33"/>
      <c r="AN1507" s="33"/>
      <c r="AO1507" s="33"/>
      <c r="AP1507" s="33"/>
      <c r="AQ1507" s="33"/>
      <c r="AR1507" s="33"/>
      <c r="AS1507" s="33"/>
      <c r="AT1507" s="33"/>
      <c r="AU1507" s="33"/>
      <c r="AW1507" s="68"/>
      <c r="AX1507" s="33"/>
      <c r="AY1507" s="33"/>
      <c r="AZ1507" s="109"/>
      <c r="BA1507" s="109"/>
      <c r="CA1507" s="35"/>
      <c r="CH1507" s="39"/>
      <c r="CI1507" s="32"/>
      <c r="CJ1507" s="40"/>
      <c r="CK1507" s="40"/>
      <c r="CL1507" s="33"/>
      <c r="CM1507" s="33"/>
      <c r="CN1507" s="33"/>
      <c r="CO1507" s="33"/>
      <c r="CP1507" s="33"/>
      <c r="CQ1507" s="33"/>
      <c r="CR1507" s="33"/>
    </row>
    <row r="1508" spans="14:96" ht="21">
      <c r="N1508" s="38"/>
      <c r="S1508" s="80"/>
      <c r="AE1508" s="33"/>
      <c r="AK1508" s="33"/>
      <c r="AL1508" s="33"/>
      <c r="AM1508" s="33"/>
      <c r="AN1508" s="33"/>
      <c r="AO1508" s="33"/>
      <c r="AP1508" s="33"/>
      <c r="AQ1508" s="33"/>
      <c r="AR1508" s="33"/>
      <c r="AS1508" s="33"/>
      <c r="AT1508" s="33"/>
      <c r="AU1508" s="33"/>
      <c r="AW1508" s="68"/>
      <c r="AX1508" s="33"/>
      <c r="AY1508" s="33"/>
      <c r="AZ1508" s="109"/>
      <c r="BA1508" s="109"/>
      <c r="CA1508" s="35"/>
      <c r="CH1508" s="39"/>
      <c r="CI1508" s="32"/>
      <c r="CJ1508" s="40"/>
      <c r="CK1508" s="40"/>
      <c r="CL1508" s="33"/>
      <c r="CM1508" s="33"/>
      <c r="CN1508" s="33"/>
      <c r="CO1508" s="33"/>
      <c r="CP1508" s="33"/>
      <c r="CQ1508" s="33"/>
      <c r="CR1508" s="33"/>
    </row>
    <row r="1509" spans="14:96" ht="21">
      <c r="N1509" s="38"/>
      <c r="S1509" s="80"/>
      <c r="AE1509" s="33"/>
      <c r="AK1509" s="33"/>
      <c r="AL1509" s="33"/>
      <c r="AM1509" s="33"/>
      <c r="AN1509" s="33"/>
      <c r="AO1509" s="33"/>
      <c r="AP1509" s="33"/>
      <c r="AQ1509" s="33"/>
      <c r="AR1509" s="33"/>
      <c r="AS1509" s="33"/>
      <c r="AT1509" s="33"/>
      <c r="AU1509" s="33"/>
      <c r="AW1509" s="68"/>
      <c r="AX1509" s="33"/>
      <c r="AY1509" s="33"/>
      <c r="AZ1509" s="109"/>
      <c r="BA1509" s="109"/>
      <c r="CA1509" s="35"/>
      <c r="CH1509" s="39"/>
      <c r="CI1509" s="32"/>
      <c r="CJ1509" s="40"/>
      <c r="CK1509" s="40"/>
      <c r="CL1509" s="33"/>
      <c r="CM1509" s="33"/>
      <c r="CN1509" s="33"/>
      <c r="CO1509" s="33"/>
      <c r="CP1509" s="33"/>
      <c r="CQ1509" s="33"/>
      <c r="CR1509" s="33"/>
    </row>
    <row r="1510" spans="14:96" ht="21">
      <c r="N1510" s="38"/>
      <c r="S1510" s="80"/>
      <c r="AE1510" s="33"/>
      <c r="AK1510" s="33"/>
      <c r="AL1510" s="33"/>
      <c r="AM1510" s="33"/>
      <c r="AN1510" s="33"/>
      <c r="AO1510" s="33"/>
      <c r="AP1510" s="33"/>
      <c r="AQ1510" s="33"/>
      <c r="AR1510" s="33"/>
      <c r="AS1510" s="33"/>
      <c r="AT1510" s="33"/>
      <c r="AU1510" s="33"/>
      <c r="AW1510" s="68"/>
      <c r="AX1510" s="33"/>
      <c r="AY1510" s="33"/>
      <c r="AZ1510" s="109"/>
      <c r="BA1510" s="109"/>
      <c r="CA1510" s="35"/>
      <c r="CH1510" s="39"/>
      <c r="CI1510" s="32"/>
      <c r="CJ1510" s="40"/>
      <c r="CK1510" s="40"/>
      <c r="CL1510" s="33"/>
      <c r="CM1510" s="33"/>
      <c r="CN1510" s="33"/>
      <c r="CO1510" s="33"/>
      <c r="CP1510" s="33"/>
      <c r="CQ1510" s="33"/>
      <c r="CR1510" s="33"/>
    </row>
    <row r="1511" spans="14:96" ht="21">
      <c r="N1511" s="38"/>
      <c r="S1511" s="80"/>
      <c r="AE1511" s="33"/>
      <c r="AK1511" s="33"/>
      <c r="AL1511" s="33"/>
      <c r="AM1511" s="33"/>
      <c r="AN1511" s="33"/>
      <c r="AO1511" s="33"/>
      <c r="AP1511" s="33"/>
      <c r="AQ1511" s="33"/>
      <c r="AR1511" s="33"/>
      <c r="AS1511" s="33"/>
      <c r="AT1511" s="33"/>
      <c r="AU1511" s="33"/>
      <c r="AW1511" s="68"/>
      <c r="AX1511" s="33"/>
      <c r="AY1511" s="33"/>
      <c r="AZ1511" s="109"/>
      <c r="BA1511" s="109"/>
      <c r="CA1511" s="35"/>
      <c r="CH1511" s="39"/>
      <c r="CI1511" s="32"/>
      <c r="CJ1511" s="40"/>
      <c r="CK1511" s="40"/>
      <c r="CL1511" s="33"/>
      <c r="CM1511" s="33"/>
      <c r="CN1511" s="33"/>
      <c r="CO1511" s="33"/>
      <c r="CP1511" s="33"/>
      <c r="CQ1511" s="33"/>
      <c r="CR1511" s="33"/>
    </row>
    <row r="1512" spans="14:96" ht="21">
      <c r="N1512" s="38"/>
      <c r="S1512" s="80"/>
      <c r="AE1512" s="33"/>
      <c r="AK1512" s="33"/>
      <c r="AL1512" s="33"/>
      <c r="AM1512" s="33"/>
      <c r="AN1512" s="33"/>
      <c r="AO1512" s="33"/>
      <c r="AP1512" s="33"/>
      <c r="AQ1512" s="33"/>
      <c r="AR1512" s="33"/>
      <c r="AS1512" s="33"/>
      <c r="AT1512" s="33"/>
      <c r="AU1512" s="33"/>
      <c r="AW1512" s="68"/>
      <c r="AX1512" s="33"/>
      <c r="AY1512" s="33"/>
      <c r="AZ1512" s="109"/>
      <c r="BA1512" s="109"/>
      <c r="CA1512" s="35"/>
      <c r="CH1512" s="39"/>
      <c r="CI1512" s="32"/>
      <c r="CJ1512" s="40"/>
      <c r="CK1512" s="40"/>
      <c r="CL1512" s="33"/>
      <c r="CM1512" s="33"/>
      <c r="CN1512" s="33"/>
      <c r="CO1512" s="33"/>
      <c r="CP1512" s="33"/>
      <c r="CQ1512" s="33"/>
      <c r="CR1512" s="33"/>
    </row>
    <row r="1513" spans="14:96" ht="21">
      <c r="N1513" s="38"/>
      <c r="S1513" s="80"/>
      <c r="AE1513" s="33"/>
      <c r="AK1513" s="33"/>
      <c r="AL1513" s="33"/>
      <c r="AM1513" s="33"/>
      <c r="AN1513" s="33"/>
      <c r="AO1513" s="33"/>
      <c r="AP1513" s="33"/>
      <c r="AQ1513" s="33"/>
      <c r="AR1513" s="33"/>
      <c r="AS1513" s="33"/>
      <c r="AT1513" s="33"/>
      <c r="AU1513" s="33"/>
      <c r="AW1513" s="68"/>
      <c r="AX1513" s="33"/>
      <c r="AY1513" s="33"/>
      <c r="AZ1513" s="109"/>
      <c r="BA1513" s="109"/>
      <c r="CA1513" s="35"/>
      <c r="CH1513" s="39"/>
      <c r="CI1513" s="32"/>
      <c r="CJ1513" s="40"/>
      <c r="CK1513" s="40"/>
      <c r="CL1513" s="33"/>
      <c r="CM1513" s="33"/>
      <c r="CN1513" s="33"/>
      <c r="CO1513" s="33"/>
      <c r="CP1513" s="33"/>
      <c r="CQ1513" s="33"/>
      <c r="CR1513" s="33"/>
    </row>
    <row r="1514" spans="14:96" ht="21">
      <c r="N1514" s="38"/>
      <c r="S1514" s="80"/>
      <c r="AE1514" s="33"/>
      <c r="AK1514" s="33"/>
      <c r="AL1514" s="33"/>
      <c r="AM1514" s="33"/>
      <c r="AN1514" s="33"/>
      <c r="AO1514" s="33"/>
      <c r="AP1514" s="33"/>
      <c r="AQ1514" s="33"/>
      <c r="AR1514" s="33"/>
      <c r="AS1514" s="33"/>
      <c r="AT1514" s="33"/>
      <c r="AU1514" s="33"/>
      <c r="AW1514" s="68"/>
      <c r="AX1514" s="33"/>
      <c r="AY1514" s="33"/>
      <c r="AZ1514" s="109"/>
      <c r="BA1514" s="109"/>
      <c r="CA1514" s="35"/>
      <c r="CH1514" s="39"/>
      <c r="CI1514" s="32"/>
      <c r="CJ1514" s="40"/>
      <c r="CK1514" s="40"/>
      <c r="CL1514" s="33"/>
      <c r="CM1514" s="33"/>
      <c r="CN1514" s="33"/>
      <c r="CO1514" s="33"/>
      <c r="CP1514" s="33"/>
      <c r="CQ1514" s="33"/>
      <c r="CR1514" s="33"/>
    </row>
    <row r="1515" spans="14:96" ht="21">
      <c r="N1515" s="38"/>
      <c r="S1515" s="80"/>
      <c r="AE1515" s="33"/>
      <c r="AK1515" s="33"/>
      <c r="AL1515" s="33"/>
      <c r="AM1515" s="33"/>
      <c r="AN1515" s="33"/>
      <c r="AO1515" s="33"/>
      <c r="AP1515" s="33"/>
      <c r="AQ1515" s="33"/>
      <c r="AR1515" s="33"/>
      <c r="AS1515" s="33"/>
      <c r="AT1515" s="33"/>
      <c r="AU1515" s="33"/>
      <c r="AW1515" s="68"/>
      <c r="AX1515" s="33"/>
      <c r="AY1515" s="33"/>
      <c r="AZ1515" s="109"/>
      <c r="BA1515" s="109"/>
      <c r="CA1515" s="35"/>
      <c r="CH1515" s="39"/>
      <c r="CI1515" s="32"/>
      <c r="CJ1515" s="40"/>
      <c r="CK1515" s="40"/>
      <c r="CL1515" s="33"/>
      <c r="CM1515" s="33"/>
      <c r="CN1515" s="33"/>
      <c r="CO1515" s="33"/>
      <c r="CP1515" s="33"/>
      <c r="CQ1515" s="33"/>
      <c r="CR1515" s="33"/>
    </row>
    <row r="1516" spans="14:96" ht="21">
      <c r="N1516" s="38"/>
      <c r="S1516" s="80"/>
      <c r="AE1516" s="33"/>
      <c r="AK1516" s="33"/>
      <c r="AL1516" s="33"/>
      <c r="AM1516" s="33"/>
      <c r="AN1516" s="33"/>
      <c r="AO1516" s="33"/>
      <c r="AP1516" s="33"/>
      <c r="AQ1516" s="33"/>
      <c r="AR1516" s="33"/>
      <c r="AS1516" s="33"/>
      <c r="AT1516" s="33"/>
      <c r="AU1516" s="33"/>
      <c r="AW1516" s="68"/>
      <c r="AX1516" s="33"/>
      <c r="AY1516" s="33"/>
      <c r="AZ1516" s="109"/>
      <c r="BA1516" s="109"/>
      <c r="CA1516" s="35"/>
      <c r="CH1516" s="39"/>
      <c r="CI1516" s="32"/>
      <c r="CJ1516" s="40"/>
      <c r="CK1516" s="40"/>
      <c r="CL1516" s="33"/>
      <c r="CM1516" s="33"/>
      <c r="CN1516" s="33"/>
      <c r="CO1516" s="33"/>
      <c r="CP1516" s="33"/>
      <c r="CQ1516" s="33"/>
      <c r="CR1516" s="33"/>
    </row>
    <row r="1517" spans="14:96" ht="21">
      <c r="N1517" s="38"/>
      <c r="S1517" s="80"/>
      <c r="AE1517" s="33"/>
      <c r="AK1517" s="33"/>
      <c r="AL1517" s="33"/>
      <c r="AM1517" s="33"/>
      <c r="AN1517" s="33"/>
      <c r="AO1517" s="33"/>
      <c r="AP1517" s="33"/>
      <c r="AQ1517" s="33"/>
      <c r="AR1517" s="33"/>
      <c r="AS1517" s="33"/>
      <c r="AT1517" s="33"/>
      <c r="AU1517" s="33"/>
      <c r="AW1517" s="68"/>
      <c r="AX1517" s="33"/>
      <c r="AY1517" s="33"/>
      <c r="AZ1517" s="109"/>
      <c r="BA1517" s="109"/>
      <c r="CA1517" s="35"/>
      <c r="CH1517" s="39"/>
      <c r="CI1517" s="32"/>
      <c r="CJ1517" s="40"/>
      <c r="CK1517" s="40"/>
      <c r="CL1517" s="33"/>
      <c r="CM1517" s="33"/>
      <c r="CN1517" s="33"/>
      <c r="CO1517" s="33"/>
      <c r="CP1517" s="33"/>
      <c r="CQ1517" s="33"/>
      <c r="CR1517" s="33"/>
    </row>
    <row r="1518" spans="14:96" ht="21">
      <c r="N1518" s="38"/>
      <c r="S1518" s="80"/>
      <c r="AE1518" s="33"/>
      <c r="AK1518" s="33"/>
      <c r="AL1518" s="33"/>
      <c r="AM1518" s="33"/>
      <c r="AN1518" s="33"/>
      <c r="AO1518" s="33"/>
      <c r="AP1518" s="33"/>
      <c r="AQ1518" s="33"/>
      <c r="AR1518" s="33"/>
      <c r="AS1518" s="33"/>
      <c r="AT1518" s="33"/>
      <c r="AU1518" s="33"/>
      <c r="AW1518" s="68"/>
      <c r="AX1518" s="33"/>
      <c r="AY1518" s="33"/>
      <c r="AZ1518" s="109"/>
      <c r="BA1518" s="109"/>
      <c r="CA1518" s="35"/>
      <c r="CH1518" s="39"/>
      <c r="CI1518" s="32"/>
      <c r="CJ1518" s="40"/>
      <c r="CK1518" s="40"/>
      <c r="CL1518" s="33"/>
      <c r="CM1518" s="33"/>
      <c r="CN1518" s="33"/>
      <c r="CO1518" s="33"/>
      <c r="CP1518" s="33"/>
      <c r="CQ1518" s="33"/>
      <c r="CR1518" s="33"/>
    </row>
    <row r="1519" spans="14:96" ht="21">
      <c r="N1519" s="38"/>
      <c r="AE1519" s="33"/>
      <c r="AK1519" s="33"/>
      <c r="AL1519" s="33"/>
      <c r="AM1519" s="33"/>
      <c r="AN1519" s="33"/>
      <c r="AO1519" s="33"/>
      <c r="AP1519" s="33"/>
      <c r="AQ1519" s="33"/>
      <c r="AR1519" s="33"/>
      <c r="AS1519" s="33"/>
      <c r="AT1519" s="33"/>
      <c r="AU1519" s="33"/>
      <c r="AW1519" s="68"/>
      <c r="AX1519" s="33"/>
      <c r="AY1519" s="33"/>
      <c r="AZ1519" s="109"/>
      <c r="BA1519" s="109"/>
      <c r="CA1519" s="35"/>
      <c r="CH1519" s="39"/>
      <c r="CI1519" s="32"/>
      <c r="CJ1519" s="40"/>
      <c r="CK1519" s="40"/>
      <c r="CL1519" s="33"/>
      <c r="CM1519" s="33"/>
      <c r="CN1519" s="33"/>
      <c r="CO1519" s="33"/>
      <c r="CP1519" s="33"/>
      <c r="CQ1519" s="33"/>
      <c r="CR1519" s="33"/>
    </row>
    <row r="1520" spans="14:96" ht="21">
      <c r="N1520" s="38"/>
      <c r="AE1520" s="33"/>
      <c r="AK1520" s="33"/>
      <c r="AL1520" s="33"/>
      <c r="AM1520" s="33"/>
      <c r="AN1520" s="33"/>
      <c r="AO1520" s="33"/>
      <c r="AP1520" s="33"/>
      <c r="AQ1520" s="33"/>
      <c r="AR1520" s="33"/>
      <c r="AS1520" s="33"/>
      <c r="AT1520" s="33"/>
      <c r="AU1520" s="33"/>
      <c r="AW1520" s="68"/>
      <c r="AX1520" s="33"/>
      <c r="AY1520" s="33"/>
      <c r="AZ1520" s="109"/>
      <c r="BA1520" s="109"/>
      <c r="CA1520" s="35"/>
      <c r="CH1520" s="39"/>
      <c r="CI1520" s="32"/>
      <c r="CJ1520" s="40"/>
      <c r="CK1520" s="40"/>
      <c r="CL1520" s="33"/>
      <c r="CM1520" s="33"/>
      <c r="CN1520" s="33"/>
      <c r="CO1520" s="33"/>
      <c r="CP1520" s="33"/>
      <c r="CQ1520" s="33"/>
      <c r="CR1520" s="33"/>
    </row>
    <row r="1521" spans="14:96" ht="21">
      <c r="N1521" s="38"/>
      <c r="AE1521" s="33"/>
      <c r="AK1521" s="33"/>
      <c r="AL1521" s="33"/>
      <c r="AM1521" s="33"/>
      <c r="AN1521" s="33"/>
      <c r="AO1521" s="33"/>
      <c r="AP1521" s="33"/>
      <c r="AQ1521" s="33"/>
      <c r="AR1521" s="33"/>
      <c r="AS1521" s="33"/>
      <c r="AT1521" s="33"/>
      <c r="AU1521" s="33"/>
      <c r="AW1521" s="68"/>
      <c r="AX1521" s="33"/>
      <c r="AY1521" s="33"/>
      <c r="AZ1521" s="109"/>
      <c r="BA1521" s="109"/>
      <c r="CA1521" s="35"/>
      <c r="CH1521" s="39"/>
      <c r="CI1521" s="32"/>
      <c r="CJ1521" s="40"/>
      <c r="CK1521" s="40"/>
      <c r="CL1521" s="33"/>
      <c r="CM1521" s="33"/>
      <c r="CN1521" s="33"/>
      <c r="CO1521" s="33"/>
      <c r="CP1521" s="33"/>
      <c r="CQ1521" s="33"/>
      <c r="CR1521" s="33"/>
    </row>
    <row r="1522" spans="14:96" ht="21">
      <c r="N1522" s="38"/>
      <c r="AE1522" s="33"/>
      <c r="AK1522" s="33"/>
      <c r="AL1522" s="33"/>
      <c r="AM1522" s="33"/>
      <c r="AN1522" s="33"/>
      <c r="AO1522" s="33"/>
      <c r="AP1522" s="33"/>
      <c r="AQ1522" s="33"/>
      <c r="AR1522" s="33"/>
      <c r="AS1522" s="33"/>
      <c r="AT1522" s="33"/>
      <c r="AU1522" s="33"/>
      <c r="AW1522" s="68"/>
      <c r="AX1522" s="33"/>
      <c r="AY1522" s="33"/>
      <c r="AZ1522" s="109"/>
      <c r="BA1522" s="109"/>
      <c r="CA1522" s="35"/>
      <c r="CH1522" s="39"/>
      <c r="CI1522" s="32"/>
      <c r="CJ1522" s="40"/>
      <c r="CK1522" s="40"/>
      <c r="CL1522" s="33"/>
      <c r="CM1522" s="33"/>
      <c r="CN1522" s="33"/>
      <c r="CO1522" s="33"/>
      <c r="CP1522" s="33"/>
      <c r="CQ1522" s="33"/>
      <c r="CR1522" s="33"/>
    </row>
    <row r="1523" spans="14:96" ht="21">
      <c r="N1523" s="38"/>
      <c r="AE1523" s="33"/>
      <c r="AK1523" s="33"/>
      <c r="AL1523" s="33"/>
      <c r="AM1523" s="33"/>
      <c r="AN1523" s="33"/>
      <c r="AO1523" s="33"/>
      <c r="AP1523" s="33"/>
      <c r="AQ1523" s="33"/>
      <c r="AR1523" s="33"/>
      <c r="AS1523" s="33"/>
      <c r="AT1523" s="33"/>
      <c r="AU1523" s="33"/>
      <c r="AW1523" s="68"/>
      <c r="AX1523" s="33"/>
      <c r="AY1523" s="33"/>
      <c r="AZ1523" s="109"/>
      <c r="BA1523" s="109"/>
      <c r="CA1523" s="35"/>
      <c r="CH1523" s="39"/>
      <c r="CI1523" s="32"/>
      <c r="CJ1523" s="40"/>
      <c r="CK1523" s="40"/>
      <c r="CL1523" s="33"/>
      <c r="CM1523" s="33"/>
      <c r="CN1523" s="33"/>
      <c r="CO1523" s="33"/>
      <c r="CP1523" s="33"/>
      <c r="CQ1523" s="33"/>
      <c r="CR1523" s="33"/>
    </row>
    <row r="1524" spans="14:96" ht="21">
      <c r="N1524" s="38"/>
      <c r="AE1524" s="33"/>
      <c r="AK1524" s="33"/>
      <c r="AL1524" s="33"/>
      <c r="AM1524" s="33"/>
      <c r="AN1524" s="33"/>
      <c r="AO1524" s="33"/>
      <c r="AP1524" s="33"/>
      <c r="AQ1524" s="33"/>
      <c r="AR1524" s="33"/>
      <c r="AS1524" s="33"/>
      <c r="AT1524" s="33"/>
      <c r="AU1524" s="33"/>
      <c r="AW1524" s="68"/>
      <c r="AX1524" s="33"/>
      <c r="AY1524" s="33"/>
      <c r="AZ1524" s="109"/>
      <c r="BA1524" s="109"/>
      <c r="CA1524" s="35"/>
      <c r="CH1524" s="39"/>
      <c r="CI1524" s="32"/>
      <c r="CJ1524" s="40"/>
      <c r="CK1524" s="40"/>
      <c r="CL1524" s="33"/>
      <c r="CM1524" s="33"/>
      <c r="CN1524" s="33"/>
      <c r="CO1524" s="33"/>
      <c r="CP1524" s="33"/>
      <c r="CQ1524" s="33"/>
      <c r="CR1524" s="33"/>
    </row>
    <row r="1525" spans="14:96" ht="21">
      <c r="N1525" s="38"/>
      <c r="AE1525" s="33"/>
      <c r="AK1525" s="33"/>
      <c r="AL1525" s="33"/>
      <c r="AM1525" s="33"/>
      <c r="AN1525" s="33"/>
      <c r="AO1525" s="33"/>
      <c r="AP1525" s="33"/>
      <c r="AQ1525" s="33"/>
      <c r="AR1525" s="33"/>
      <c r="AS1525" s="33"/>
      <c r="AT1525" s="33"/>
      <c r="AU1525" s="33"/>
      <c r="AW1525" s="68"/>
      <c r="AX1525" s="33"/>
      <c r="AY1525" s="33"/>
      <c r="AZ1525" s="109"/>
      <c r="BA1525" s="109"/>
      <c r="CA1525" s="35"/>
      <c r="CH1525" s="39"/>
      <c r="CI1525" s="32"/>
      <c r="CJ1525" s="40"/>
      <c r="CK1525" s="40"/>
      <c r="CL1525" s="33"/>
      <c r="CM1525" s="33"/>
      <c r="CN1525" s="33"/>
      <c r="CO1525" s="33"/>
      <c r="CP1525" s="33"/>
      <c r="CQ1525" s="33"/>
      <c r="CR1525" s="33"/>
    </row>
    <row r="1526" spans="14:96" ht="21">
      <c r="N1526" s="38"/>
      <c r="AE1526" s="33"/>
      <c r="AK1526" s="33"/>
      <c r="AL1526" s="33"/>
      <c r="AM1526" s="33"/>
      <c r="AN1526" s="33"/>
      <c r="AO1526" s="33"/>
      <c r="AP1526" s="33"/>
      <c r="AQ1526" s="33"/>
      <c r="AR1526" s="33"/>
      <c r="AS1526" s="33"/>
      <c r="AT1526" s="33"/>
      <c r="AU1526" s="33"/>
      <c r="AW1526" s="68"/>
      <c r="AX1526" s="33"/>
      <c r="AY1526" s="33"/>
      <c r="AZ1526" s="109"/>
      <c r="BA1526" s="109"/>
      <c r="CA1526" s="36"/>
      <c r="CH1526" s="39"/>
      <c r="CI1526" s="32"/>
      <c r="CJ1526" s="40"/>
      <c r="CK1526" s="40"/>
      <c r="CL1526" s="40"/>
      <c r="CM1526" s="40"/>
      <c r="CN1526" s="40"/>
      <c r="CO1526" s="40"/>
      <c r="CP1526" s="40"/>
      <c r="CQ1526" s="40"/>
      <c r="CR1526" s="40"/>
    </row>
    <row r="1527" spans="14:96" ht="21">
      <c r="N1527" s="38"/>
      <c r="AE1527" s="33"/>
      <c r="AK1527" s="33"/>
      <c r="AL1527" s="33"/>
      <c r="AM1527" s="33"/>
      <c r="AN1527" s="33"/>
      <c r="AO1527" s="33"/>
      <c r="AP1527" s="33"/>
      <c r="AQ1527" s="33"/>
      <c r="AR1527" s="33"/>
      <c r="AS1527" s="33"/>
      <c r="AT1527" s="33"/>
      <c r="AU1527" s="33"/>
      <c r="AW1527" s="68"/>
      <c r="AX1527" s="33"/>
      <c r="AY1527" s="33"/>
      <c r="AZ1527" s="109"/>
      <c r="BA1527" s="109"/>
      <c r="CA1527" s="35"/>
      <c r="CH1527" s="39"/>
      <c r="CI1527" s="32"/>
      <c r="CJ1527" s="40"/>
      <c r="CK1527" s="40"/>
      <c r="CL1527" s="33"/>
      <c r="CM1527" s="33"/>
      <c r="CN1527" s="33"/>
      <c r="CO1527" s="33"/>
      <c r="CP1527" s="33"/>
      <c r="CQ1527" s="33"/>
      <c r="CR1527" s="33"/>
    </row>
    <row r="1528" spans="14:96" ht="21">
      <c r="N1528" s="38"/>
      <c r="AE1528" s="33"/>
      <c r="AK1528" s="33"/>
      <c r="AL1528" s="33"/>
      <c r="AM1528" s="33"/>
      <c r="AN1528" s="33"/>
      <c r="AO1528" s="33"/>
      <c r="AP1528" s="33"/>
      <c r="AQ1528" s="33"/>
      <c r="AR1528" s="33"/>
      <c r="AS1528" s="33"/>
      <c r="AT1528" s="33"/>
      <c r="AU1528" s="33"/>
      <c r="AW1528" s="68"/>
      <c r="AX1528" s="33"/>
      <c r="AY1528" s="33"/>
      <c r="AZ1528" s="109"/>
      <c r="BA1528" s="109"/>
      <c r="CA1528" s="35"/>
      <c r="CH1528" s="39"/>
      <c r="CI1528" s="32"/>
      <c r="CJ1528" s="40"/>
      <c r="CK1528" s="40"/>
      <c r="CL1528" s="33"/>
      <c r="CM1528" s="33"/>
      <c r="CN1528" s="33"/>
      <c r="CO1528" s="33"/>
      <c r="CP1528" s="33"/>
      <c r="CQ1528" s="33"/>
      <c r="CR1528" s="33"/>
    </row>
    <row r="1529" spans="14:96" ht="21">
      <c r="N1529" s="38"/>
      <c r="AE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W1529" s="68"/>
      <c r="AX1529" s="33"/>
      <c r="AY1529" s="33"/>
      <c r="AZ1529" s="109"/>
      <c r="BA1529" s="109"/>
      <c r="CA1529" s="35"/>
      <c r="CH1529" s="39"/>
      <c r="CI1529" s="32"/>
      <c r="CJ1529" s="40"/>
      <c r="CK1529" s="40"/>
      <c r="CL1529" s="33"/>
      <c r="CM1529" s="33"/>
      <c r="CN1529" s="33"/>
      <c r="CO1529" s="33"/>
      <c r="CP1529" s="33"/>
      <c r="CQ1529" s="33"/>
      <c r="CR1529" s="33"/>
    </row>
    <row r="1530" spans="14:96" ht="21">
      <c r="N1530" s="38"/>
      <c r="AE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W1530" s="68"/>
      <c r="AX1530" s="33"/>
      <c r="AY1530" s="33"/>
      <c r="AZ1530" s="109"/>
      <c r="BA1530" s="109"/>
      <c r="CA1530" s="35"/>
      <c r="CH1530" s="39"/>
      <c r="CI1530" s="32"/>
      <c r="CJ1530" s="40"/>
      <c r="CK1530" s="40"/>
      <c r="CL1530" s="33"/>
      <c r="CM1530" s="33"/>
      <c r="CN1530" s="33"/>
      <c r="CO1530" s="33"/>
      <c r="CP1530" s="33"/>
      <c r="CQ1530" s="33"/>
      <c r="CR1530" s="33"/>
    </row>
    <row r="1531" spans="14:96" ht="21">
      <c r="N1531" s="38"/>
      <c r="AE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W1531" s="68"/>
      <c r="AX1531" s="33"/>
      <c r="AY1531" s="33"/>
      <c r="AZ1531" s="109"/>
      <c r="BA1531" s="109"/>
      <c r="CA1531" s="35"/>
      <c r="CH1531" s="39"/>
      <c r="CI1531" s="32"/>
      <c r="CJ1531" s="40"/>
      <c r="CK1531" s="40"/>
      <c r="CL1531" s="33"/>
      <c r="CM1531" s="33"/>
      <c r="CN1531" s="33"/>
      <c r="CO1531" s="33"/>
      <c r="CP1531" s="33"/>
      <c r="CQ1531" s="33"/>
      <c r="CR1531" s="33"/>
    </row>
    <row r="1532" spans="14:96" ht="21">
      <c r="N1532" s="38"/>
      <c r="AE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W1532" s="68"/>
      <c r="AX1532" s="33"/>
      <c r="AY1532" s="33"/>
      <c r="AZ1532" s="109"/>
      <c r="BA1532" s="109"/>
      <c r="CA1532" s="35"/>
      <c r="CH1532" s="39"/>
      <c r="CI1532" s="32"/>
      <c r="CJ1532" s="40"/>
      <c r="CK1532" s="40"/>
      <c r="CL1532" s="33"/>
      <c r="CM1532" s="33"/>
      <c r="CN1532" s="33"/>
      <c r="CO1532" s="33"/>
      <c r="CP1532" s="33"/>
      <c r="CQ1532" s="33"/>
      <c r="CR1532" s="33"/>
    </row>
    <row r="1533" spans="14:96" ht="21">
      <c r="N1533" s="38"/>
      <c r="AE1533" s="33"/>
      <c r="AK1533" s="33"/>
      <c r="AL1533" s="33"/>
      <c r="AM1533" s="33"/>
      <c r="AN1533" s="33"/>
      <c r="AO1533" s="33"/>
      <c r="AP1533" s="33"/>
      <c r="AQ1533" s="33"/>
      <c r="AR1533" s="33"/>
      <c r="AS1533" s="33"/>
      <c r="AT1533" s="33"/>
      <c r="AU1533" s="33"/>
      <c r="AW1533" s="68"/>
      <c r="AX1533" s="33"/>
      <c r="AY1533" s="33"/>
      <c r="AZ1533" s="109"/>
      <c r="BA1533" s="109"/>
      <c r="CA1533" s="35"/>
      <c r="CH1533" s="39"/>
      <c r="CI1533" s="32"/>
      <c r="CJ1533" s="40"/>
      <c r="CK1533" s="40"/>
      <c r="CL1533" s="33"/>
      <c r="CM1533" s="33"/>
      <c r="CN1533" s="33"/>
      <c r="CO1533" s="33"/>
      <c r="CP1533" s="33"/>
      <c r="CQ1533" s="33"/>
      <c r="CR1533" s="33"/>
    </row>
    <row r="1534" spans="14:96" ht="21">
      <c r="N1534" s="38"/>
      <c r="AE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W1534" s="68"/>
      <c r="AX1534" s="33"/>
      <c r="AY1534" s="33"/>
      <c r="AZ1534" s="109"/>
      <c r="BA1534" s="109"/>
      <c r="CA1534" s="35"/>
      <c r="CH1534" s="39"/>
      <c r="CI1534" s="32"/>
      <c r="CJ1534" s="40"/>
      <c r="CK1534" s="40"/>
      <c r="CL1534" s="33"/>
      <c r="CM1534" s="33"/>
      <c r="CN1534" s="33"/>
      <c r="CO1534" s="33"/>
      <c r="CP1534" s="33"/>
      <c r="CQ1534" s="33"/>
      <c r="CR1534" s="33"/>
    </row>
    <row r="1535" spans="14:96" ht="21">
      <c r="N1535" s="38"/>
      <c r="AE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W1535" s="68"/>
      <c r="AX1535" s="33"/>
      <c r="AY1535" s="33"/>
      <c r="AZ1535" s="109"/>
      <c r="BA1535" s="109"/>
      <c r="CA1535" s="35"/>
      <c r="CH1535" s="39"/>
      <c r="CI1535" s="32"/>
      <c r="CJ1535" s="40"/>
      <c r="CK1535" s="40"/>
      <c r="CL1535" s="33"/>
      <c r="CM1535" s="33"/>
      <c r="CN1535" s="33"/>
      <c r="CO1535" s="33"/>
      <c r="CP1535" s="33"/>
      <c r="CQ1535" s="33"/>
      <c r="CR1535" s="33"/>
    </row>
    <row r="1536" spans="14:96" ht="21">
      <c r="N1536" s="38"/>
      <c r="AE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W1536" s="68"/>
      <c r="AX1536" s="33"/>
      <c r="AY1536" s="33"/>
      <c r="AZ1536" s="109"/>
      <c r="BA1536" s="109"/>
      <c r="CA1536" s="35"/>
      <c r="CH1536" s="39"/>
      <c r="CI1536" s="32"/>
      <c r="CJ1536" s="40"/>
      <c r="CK1536" s="40"/>
      <c r="CL1536" s="33"/>
      <c r="CM1536" s="33"/>
      <c r="CN1536" s="33"/>
      <c r="CO1536" s="33"/>
      <c r="CP1536" s="33"/>
      <c r="CQ1536" s="33"/>
      <c r="CR1536" s="33"/>
    </row>
    <row r="1537" spans="14:96" ht="21">
      <c r="N1537" s="38"/>
      <c r="AE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W1537" s="68"/>
      <c r="AX1537" s="33"/>
      <c r="AY1537" s="33"/>
      <c r="AZ1537" s="109"/>
      <c r="BA1537" s="109"/>
      <c r="CA1537" s="35"/>
      <c r="CH1537" s="39"/>
      <c r="CI1537" s="32"/>
      <c r="CJ1537" s="40"/>
      <c r="CK1537" s="40"/>
      <c r="CL1537" s="33"/>
      <c r="CM1537" s="33"/>
      <c r="CN1537" s="33"/>
      <c r="CO1537" s="33"/>
      <c r="CP1537" s="33"/>
      <c r="CQ1537" s="33"/>
      <c r="CR1537" s="33"/>
    </row>
    <row r="1538" spans="14:96" ht="21">
      <c r="N1538" s="38"/>
      <c r="AE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W1538" s="68"/>
      <c r="AX1538" s="33"/>
      <c r="AY1538" s="33"/>
      <c r="AZ1538" s="109"/>
      <c r="BA1538" s="109"/>
      <c r="CA1538" s="35"/>
      <c r="CH1538" s="39"/>
      <c r="CI1538" s="32"/>
      <c r="CJ1538" s="40"/>
      <c r="CK1538" s="40"/>
      <c r="CL1538" s="33"/>
      <c r="CM1538" s="33"/>
      <c r="CN1538" s="33"/>
      <c r="CO1538" s="33"/>
      <c r="CP1538" s="33"/>
      <c r="CQ1538" s="33"/>
      <c r="CR1538" s="33"/>
    </row>
    <row r="1539" spans="14:96" ht="21">
      <c r="N1539" s="38"/>
      <c r="AE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W1539" s="68"/>
      <c r="AX1539" s="33"/>
      <c r="AY1539" s="33"/>
      <c r="AZ1539" s="109"/>
      <c r="BA1539" s="109"/>
      <c r="CA1539" s="35"/>
      <c r="CH1539" s="39"/>
      <c r="CI1539" s="32"/>
      <c r="CJ1539" s="40"/>
      <c r="CK1539" s="40"/>
      <c r="CL1539" s="33"/>
      <c r="CM1539" s="33"/>
      <c r="CN1539" s="33"/>
      <c r="CO1539" s="33"/>
      <c r="CP1539" s="33"/>
      <c r="CQ1539" s="33"/>
      <c r="CR1539" s="33"/>
    </row>
    <row r="1540" spans="14:96" ht="21">
      <c r="N1540" s="38"/>
      <c r="AE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W1540" s="68"/>
      <c r="AX1540" s="33"/>
      <c r="AY1540" s="33"/>
      <c r="AZ1540" s="109"/>
      <c r="BA1540" s="109"/>
      <c r="CA1540" s="35"/>
      <c r="CH1540" s="39"/>
      <c r="CI1540" s="32"/>
      <c r="CJ1540" s="40"/>
      <c r="CK1540" s="40"/>
      <c r="CL1540" s="33"/>
      <c r="CM1540" s="33"/>
      <c r="CN1540" s="33"/>
      <c r="CO1540" s="33"/>
      <c r="CP1540" s="33"/>
      <c r="CQ1540" s="33"/>
      <c r="CR1540" s="33"/>
    </row>
    <row r="1541" spans="14:96" ht="21">
      <c r="N1541" s="38"/>
      <c r="AE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W1541" s="68"/>
      <c r="AX1541" s="33"/>
      <c r="AY1541" s="33"/>
      <c r="AZ1541" s="109"/>
      <c r="BA1541" s="109"/>
      <c r="CA1541" s="35"/>
      <c r="CH1541" s="39"/>
      <c r="CI1541" s="32"/>
      <c r="CJ1541" s="40"/>
      <c r="CK1541" s="40"/>
      <c r="CL1541" s="33"/>
      <c r="CM1541" s="33"/>
      <c r="CN1541" s="33"/>
      <c r="CO1541" s="33"/>
      <c r="CP1541" s="33"/>
      <c r="CQ1541" s="33"/>
      <c r="CR1541" s="33"/>
    </row>
    <row r="1542" spans="14:96" ht="21">
      <c r="N1542" s="38"/>
      <c r="AE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W1542" s="68"/>
      <c r="AX1542" s="33"/>
      <c r="AY1542" s="33"/>
      <c r="AZ1542" s="109"/>
      <c r="BA1542" s="109"/>
      <c r="CA1542" s="35"/>
      <c r="CH1542" s="39"/>
      <c r="CI1542" s="32"/>
      <c r="CJ1542" s="40"/>
      <c r="CK1542" s="40"/>
      <c r="CL1542" s="33"/>
      <c r="CM1542" s="33"/>
      <c r="CN1542" s="33"/>
      <c r="CO1542" s="33"/>
      <c r="CP1542" s="33"/>
      <c r="CQ1542" s="33"/>
      <c r="CR1542" s="33"/>
    </row>
    <row r="1543" spans="14:96" ht="21">
      <c r="N1543" s="38"/>
      <c r="AE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W1543" s="68"/>
      <c r="AX1543" s="33"/>
      <c r="AY1543" s="33"/>
      <c r="AZ1543" s="109"/>
      <c r="BA1543" s="109"/>
      <c r="CA1543" s="35"/>
      <c r="CH1543" s="39"/>
      <c r="CI1543" s="32"/>
      <c r="CJ1543" s="40"/>
      <c r="CK1543" s="40"/>
      <c r="CL1543" s="33"/>
      <c r="CM1543" s="33"/>
      <c r="CN1543" s="33"/>
      <c r="CO1543" s="33"/>
      <c r="CP1543" s="33"/>
      <c r="CQ1543" s="33"/>
      <c r="CR1543" s="33"/>
    </row>
    <row r="1544" spans="14:96" ht="21">
      <c r="N1544" s="38"/>
      <c r="AE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W1544" s="68"/>
      <c r="AX1544" s="33"/>
      <c r="AY1544" s="33"/>
      <c r="AZ1544" s="109"/>
      <c r="BA1544" s="109"/>
      <c r="CA1544" s="35"/>
      <c r="CH1544" s="39"/>
      <c r="CI1544" s="32"/>
      <c r="CJ1544" s="40"/>
      <c r="CK1544" s="40"/>
      <c r="CL1544" s="33"/>
      <c r="CM1544" s="33"/>
      <c r="CN1544" s="33"/>
      <c r="CO1544" s="33"/>
      <c r="CP1544" s="33"/>
      <c r="CQ1544" s="33"/>
      <c r="CR1544" s="33"/>
    </row>
    <row r="1545" spans="14:96" ht="21">
      <c r="N1545" s="38"/>
      <c r="AE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W1545" s="68"/>
      <c r="AX1545" s="33"/>
      <c r="AY1545" s="33"/>
      <c r="AZ1545" s="109"/>
      <c r="BA1545" s="109"/>
      <c r="CA1545" s="35"/>
      <c r="CH1545" s="39"/>
      <c r="CI1545" s="32"/>
      <c r="CJ1545" s="40"/>
      <c r="CK1545" s="40"/>
      <c r="CL1545" s="33"/>
      <c r="CM1545" s="33"/>
      <c r="CN1545" s="33"/>
      <c r="CO1545" s="33"/>
      <c r="CP1545" s="33"/>
      <c r="CQ1545" s="33"/>
      <c r="CR1545" s="33"/>
    </row>
    <row r="1546" spans="14:96" ht="21">
      <c r="N1546" s="38"/>
      <c r="AE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W1546" s="68"/>
      <c r="AX1546" s="33"/>
      <c r="AY1546" s="33"/>
      <c r="AZ1546" s="109"/>
      <c r="BA1546" s="109"/>
      <c r="CA1546" s="35"/>
      <c r="CH1546" s="39"/>
      <c r="CI1546" s="32"/>
      <c r="CJ1546" s="40"/>
      <c r="CK1546" s="40"/>
      <c r="CL1546" s="33"/>
      <c r="CM1546" s="33"/>
      <c r="CN1546" s="33"/>
      <c r="CO1546" s="33"/>
      <c r="CP1546" s="33"/>
      <c r="CQ1546" s="33"/>
      <c r="CR1546" s="33"/>
    </row>
    <row r="1547" spans="14:96" ht="21">
      <c r="N1547" s="38"/>
      <c r="AE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W1547" s="68"/>
      <c r="AX1547" s="33"/>
      <c r="AY1547" s="33"/>
      <c r="AZ1547" s="109"/>
      <c r="BA1547" s="109"/>
      <c r="CA1547" s="35"/>
      <c r="CH1547" s="39"/>
      <c r="CI1547" s="32"/>
      <c r="CJ1547" s="40"/>
      <c r="CK1547" s="40"/>
      <c r="CL1547" s="33"/>
      <c r="CM1547" s="33"/>
      <c r="CN1547" s="33"/>
      <c r="CO1547" s="33"/>
      <c r="CP1547" s="33"/>
      <c r="CQ1547" s="33"/>
      <c r="CR1547" s="33"/>
    </row>
    <row r="1548" spans="14:96" ht="21">
      <c r="N1548" s="38"/>
      <c r="AE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W1548" s="68"/>
      <c r="AX1548" s="33"/>
      <c r="AY1548" s="33"/>
      <c r="AZ1548" s="109"/>
      <c r="BA1548" s="109"/>
      <c r="CA1548" s="36"/>
      <c r="CH1548" s="39"/>
      <c r="CI1548" s="32"/>
      <c r="CJ1548" s="40"/>
      <c r="CK1548" s="40"/>
      <c r="CL1548" s="40"/>
      <c r="CM1548" s="40"/>
      <c r="CN1548" s="40"/>
      <c r="CO1548" s="40"/>
      <c r="CP1548" s="40"/>
      <c r="CQ1548" s="40"/>
      <c r="CR1548" s="40"/>
    </row>
    <row r="1549" spans="14:96" ht="21">
      <c r="N1549" s="38"/>
      <c r="AE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W1549" s="68"/>
      <c r="AX1549" s="33"/>
      <c r="AY1549" s="33"/>
      <c r="AZ1549" s="109"/>
      <c r="BA1549" s="109"/>
      <c r="CA1549" s="35"/>
      <c r="CH1549" s="39"/>
      <c r="CI1549" s="32"/>
      <c r="CJ1549" s="40"/>
      <c r="CK1549" s="40"/>
      <c r="CL1549" s="33"/>
      <c r="CM1549" s="33"/>
      <c r="CN1549" s="33"/>
      <c r="CO1549" s="33"/>
      <c r="CP1549" s="33"/>
      <c r="CQ1549" s="33"/>
      <c r="CR1549" s="33"/>
    </row>
    <row r="1550" spans="14:96" ht="21">
      <c r="N1550" s="38"/>
      <c r="AE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W1550" s="68"/>
      <c r="AX1550" s="33"/>
      <c r="AY1550" s="33"/>
      <c r="AZ1550" s="109"/>
      <c r="BA1550" s="109"/>
      <c r="CA1550" s="35"/>
      <c r="CH1550" s="39"/>
      <c r="CI1550" s="32"/>
      <c r="CJ1550" s="40"/>
      <c r="CK1550" s="40"/>
      <c r="CL1550" s="33"/>
      <c r="CM1550" s="33"/>
      <c r="CN1550" s="33"/>
      <c r="CO1550" s="33"/>
      <c r="CP1550" s="33"/>
      <c r="CQ1550" s="33"/>
      <c r="CR1550" s="33"/>
    </row>
    <row r="1551" spans="14:96" ht="21">
      <c r="N1551" s="38"/>
      <c r="AE1551" s="33"/>
      <c r="AK1551" s="33"/>
      <c r="AL1551" s="33"/>
      <c r="AM1551" s="33"/>
      <c r="AN1551" s="33"/>
      <c r="AO1551" s="33"/>
      <c r="AP1551" s="33"/>
      <c r="AQ1551" s="33"/>
      <c r="AR1551" s="33"/>
      <c r="AS1551" s="33"/>
      <c r="AT1551" s="33"/>
      <c r="AU1551" s="33"/>
      <c r="AW1551" s="68"/>
      <c r="AX1551" s="33"/>
      <c r="AY1551" s="33"/>
      <c r="AZ1551" s="109"/>
      <c r="BA1551" s="109"/>
      <c r="CA1551" s="35"/>
      <c r="CH1551" s="39"/>
      <c r="CI1551" s="32"/>
      <c r="CJ1551" s="40"/>
      <c r="CK1551" s="40"/>
      <c r="CL1551" s="33"/>
      <c r="CM1551" s="33"/>
      <c r="CN1551" s="33"/>
      <c r="CO1551" s="33"/>
      <c r="CP1551" s="33"/>
      <c r="CQ1551" s="33"/>
      <c r="CR1551" s="33"/>
    </row>
    <row r="1552" spans="14:96" ht="21">
      <c r="N1552" s="38"/>
      <c r="AE1552" s="33"/>
      <c r="AK1552" s="33"/>
      <c r="AL1552" s="33"/>
      <c r="AM1552" s="33"/>
      <c r="AN1552" s="33"/>
      <c r="AO1552" s="33"/>
      <c r="AP1552" s="33"/>
      <c r="AQ1552" s="33"/>
      <c r="AR1552" s="33"/>
      <c r="AS1552" s="33"/>
      <c r="AT1552" s="33"/>
      <c r="AU1552" s="33"/>
      <c r="AW1552" s="68"/>
      <c r="AX1552" s="33"/>
      <c r="AY1552" s="33"/>
      <c r="AZ1552" s="109"/>
      <c r="BA1552" s="109"/>
      <c r="CA1552" s="35"/>
      <c r="CH1552" s="39"/>
      <c r="CI1552" s="32"/>
      <c r="CJ1552" s="40"/>
      <c r="CK1552" s="40"/>
      <c r="CL1552" s="33"/>
      <c r="CM1552" s="33"/>
      <c r="CN1552" s="33"/>
      <c r="CO1552" s="33"/>
      <c r="CP1552" s="33"/>
      <c r="CQ1552" s="33"/>
      <c r="CR1552" s="33"/>
    </row>
    <row r="1553" spans="14:96" ht="21">
      <c r="N1553" s="38"/>
      <c r="AE1553" s="33"/>
      <c r="AK1553" s="33"/>
      <c r="AL1553" s="33"/>
      <c r="AM1553" s="33"/>
      <c r="AN1553" s="33"/>
      <c r="AO1553" s="33"/>
      <c r="AP1553" s="33"/>
      <c r="AQ1553" s="33"/>
      <c r="AR1553" s="33"/>
      <c r="AS1553" s="33"/>
      <c r="AT1553" s="33"/>
      <c r="AU1553" s="33"/>
      <c r="AW1553" s="68"/>
      <c r="AX1553" s="33"/>
      <c r="AY1553" s="33"/>
      <c r="AZ1553" s="109"/>
      <c r="BA1553" s="109"/>
      <c r="CA1553" s="35"/>
      <c r="CH1553" s="39"/>
      <c r="CI1553" s="32"/>
      <c r="CJ1553" s="40"/>
      <c r="CK1553" s="40"/>
      <c r="CL1553" s="33"/>
      <c r="CM1553" s="33"/>
      <c r="CN1553" s="33"/>
      <c r="CO1553" s="33"/>
      <c r="CP1553" s="33"/>
      <c r="CQ1553" s="33"/>
      <c r="CR1553" s="33"/>
    </row>
    <row r="1554" spans="14:96" ht="21">
      <c r="N1554" s="38"/>
      <c r="AE1554" s="33"/>
      <c r="AK1554" s="33"/>
      <c r="AL1554" s="33"/>
      <c r="AM1554" s="33"/>
      <c r="AN1554" s="33"/>
      <c r="AO1554" s="33"/>
      <c r="AP1554" s="33"/>
      <c r="AQ1554" s="33"/>
      <c r="AR1554" s="33"/>
      <c r="AS1554" s="33"/>
      <c r="AT1554" s="33"/>
      <c r="AU1554" s="33"/>
      <c r="AW1554" s="68"/>
      <c r="AX1554" s="33"/>
      <c r="AY1554" s="33"/>
      <c r="AZ1554" s="109"/>
      <c r="BA1554" s="109"/>
      <c r="CA1554" s="35"/>
      <c r="CH1554" s="39"/>
      <c r="CI1554" s="32"/>
      <c r="CJ1554" s="40"/>
      <c r="CK1554" s="40"/>
      <c r="CL1554" s="33"/>
      <c r="CM1554" s="33"/>
      <c r="CN1554" s="33"/>
      <c r="CO1554" s="33"/>
      <c r="CP1554" s="33"/>
      <c r="CQ1554" s="33"/>
      <c r="CR1554" s="33"/>
    </row>
    <row r="1555" spans="14:96" ht="21">
      <c r="N1555" s="38"/>
      <c r="AE1555" s="33"/>
      <c r="AK1555" s="33"/>
      <c r="AL1555" s="33"/>
      <c r="AM1555" s="33"/>
      <c r="AN1555" s="33"/>
      <c r="AO1555" s="33"/>
      <c r="AP1555" s="33"/>
      <c r="AQ1555" s="33"/>
      <c r="AR1555" s="33"/>
      <c r="AS1555" s="33"/>
      <c r="AT1555" s="33"/>
      <c r="AU1555" s="33"/>
      <c r="AW1555" s="68"/>
      <c r="AX1555" s="33"/>
      <c r="AY1555" s="33"/>
      <c r="AZ1555" s="109"/>
      <c r="BA1555" s="109"/>
      <c r="CA1555" s="35"/>
      <c r="CH1555" s="39"/>
      <c r="CI1555" s="32"/>
      <c r="CJ1555" s="40"/>
      <c r="CK1555" s="40"/>
      <c r="CL1555" s="33"/>
      <c r="CM1555" s="33"/>
      <c r="CN1555" s="33"/>
      <c r="CO1555" s="33"/>
      <c r="CP1555" s="33"/>
      <c r="CQ1555" s="33"/>
      <c r="CR1555" s="33"/>
    </row>
    <row r="1556" spans="14:96" ht="21">
      <c r="N1556" s="38"/>
      <c r="AE1556" s="33"/>
      <c r="AK1556" s="33"/>
      <c r="AL1556" s="33"/>
      <c r="AM1556" s="33"/>
      <c r="AN1556" s="33"/>
      <c r="AO1556" s="33"/>
      <c r="AP1556" s="33"/>
      <c r="AQ1556" s="33"/>
      <c r="AR1556" s="33"/>
      <c r="AS1556" s="33"/>
      <c r="AT1556" s="33"/>
      <c r="AU1556" s="33"/>
      <c r="AW1556" s="68"/>
      <c r="AX1556" s="33"/>
      <c r="AY1556" s="33"/>
      <c r="AZ1556" s="109"/>
      <c r="BA1556" s="109"/>
      <c r="CA1556" s="35"/>
      <c r="CH1556" s="39"/>
      <c r="CI1556" s="32"/>
      <c r="CJ1556" s="40"/>
      <c r="CK1556" s="40"/>
      <c r="CL1556" s="33"/>
      <c r="CM1556" s="33"/>
      <c r="CN1556" s="33"/>
      <c r="CO1556" s="33"/>
      <c r="CP1556" s="33"/>
      <c r="CQ1556" s="33"/>
      <c r="CR1556" s="33"/>
    </row>
    <row r="1557" spans="14:96" ht="21">
      <c r="N1557" s="38"/>
      <c r="AE1557" s="33"/>
      <c r="AK1557" s="33"/>
      <c r="AL1557" s="33"/>
      <c r="AM1557" s="33"/>
      <c r="AN1557" s="33"/>
      <c r="AO1557" s="33"/>
      <c r="AP1557" s="33"/>
      <c r="AQ1557" s="33"/>
      <c r="AR1557" s="33"/>
      <c r="AS1557" s="33"/>
      <c r="AT1557" s="33"/>
      <c r="AU1557" s="33"/>
      <c r="AW1557" s="68"/>
      <c r="AX1557" s="33"/>
      <c r="AY1557" s="33"/>
      <c r="AZ1557" s="109"/>
      <c r="BA1557" s="109"/>
      <c r="CA1557" s="35"/>
      <c r="CH1557" s="39"/>
      <c r="CI1557" s="32"/>
      <c r="CJ1557" s="40"/>
      <c r="CK1557" s="40"/>
      <c r="CL1557" s="33"/>
      <c r="CM1557" s="33"/>
      <c r="CN1557" s="33"/>
      <c r="CO1557" s="33"/>
      <c r="CP1557" s="33"/>
      <c r="CQ1557" s="33"/>
      <c r="CR1557" s="33"/>
    </row>
    <row r="1558" spans="14:96" ht="21">
      <c r="N1558" s="38"/>
      <c r="AE1558" s="33"/>
      <c r="AK1558" s="33"/>
      <c r="AL1558" s="33"/>
      <c r="AM1558" s="33"/>
      <c r="AN1558" s="33"/>
      <c r="AO1558" s="33"/>
      <c r="AP1558" s="33"/>
      <c r="AQ1558" s="33"/>
      <c r="AR1558" s="33"/>
      <c r="AS1558" s="33"/>
      <c r="AT1558" s="33"/>
      <c r="AU1558" s="33"/>
      <c r="AW1558" s="68"/>
      <c r="AX1558" s="33"/>
      <c r="AY1558" s="33"/>
      <c r="AZ1558" s="109"/>
      <c r="BA1558" s="109"/>
      <c r="CA1558" s="35"/>
      <c r="CH1558" s="39"/>
      <c r="CI1558" s="32"/>
      <c r="CJ1558" s="40"/>
      <c r="CK1558" s="40"/>
      <c r="CL1558" s="33"/>
      <c r="CM1558" s="33"/>
      <c r="CN1558" s="33"/>
      <c r="CO1558" s="33"/>
      <c r="CP1558" s="33"/>
      <c r="CQ1558" s="33"/>
      <c r="CR1558" s="33"/>
    </row>
    <row r="1559" spans="14:96" ht="21">
      <c r="N1559" s="38"/>
      <c r="AE1559" s="33"/>
      <c r="AK1559" s="33"/>
      <c r="AL1559" s="33"/>
      <c r="AM1559" s="33"/>
      <c r="AN1559" s="33"/>
      <c r="AO1559" s="33"/>
      <c r="AP1559" s="33"/>
      <c r="AQ1559" s="33"/>
      <c r="AR1559" s="33"/>
      <c r="AS1559" s="33"/>
      <c r="AT1559" s="33"/>
      <c r="AU1559" s="33"/>
      <c r="AW1559" s="68"/>
      <c r="AX1559" s="33"/>
      <c r="AY1559" s="33"/>
      <c r="AZ1559" s="109"/>
      <c r="BA1559" s="109"/>
      <c r="CA1559" s="35"/>
      <c r="CH1559" s="39"/>
      <c r="CI1559" s="32"/>
      <c r="CJ1559" s="40"/>
      <c r="CK1559" s="40"/>
      <c r="CL1559" s="33"/>
      <c r="CM1559" s="33"/>
      <c r="CN1559" s="33"/>
      <c r="CO1559" s="33"/>
      <c r="CP1559" s="33"/>
      <c r="CQ1559" s="33"/>
      <c r="CR1559" s="33"/>
    </row>
    <row r="1560" spans="14:96" ht="21">
      <c r="N1560" s="38"/>
      <c r="AE1560" s="33"/>
      <c r="AK1560" s="33"/>
      <c r="AL1560" s="33"/>
      <c r="AM1560" s="33"/>
      <c r="AN1560" s="33"/>
      <c r="AO1560" s="33"/>
      <c r="AP1560" s="33"/>
      <c r="AQ1560" s="33"/>
      <c r="AR1560" s="33"/>
      <c r="AS1560" s="33"/>
      <c r="AT1560" s="33"/>
      <c r="AU1560" s="33"/>
      <c r="AW1560" s="68"/>
      <c r="AX1560" s="33"/>
      <c r="AY1560" s="33"/>
      <c r="AZ1560" s="109"/>
      <c r="BA1560" s="109"/>
      <c r="CA1560" s="35"/>
      <c r="CH1560" s="39"/>
      <c r="CI1560" s="32"/>
      <c r="CJ1560" s="40"/>
      <c r="CK1560" s="40"/>
      <c r="CL1560" s="33"/>
      <c r="CM1560" s="33"/>
      <c r="CN1560" s="33"/>
      <c r="CO1560" s="33"/>
      <c r="CP1560" s="33"/>
      <c r="CQ1560" s="33"/>
      <c r="CR1560" s="33"/>
    </row>
    <row r="1561" spans="14:96" ht="21">
      <c r="N1561" s="38"/>
      <c r="AE1561" s="33"/>
      <c r="AK1561" s="33"/>
      <c r="AL1561" s="33"/>
      <c r="AM1561" s="33"/>
      <c r="AN1561" s="33"/>
      <c r="AO1561" s="33"/>
      <c r="AP1561" s="33"/>
      <c r="AQ1561" s="33"/>
      <c r="AR1561" s="33"/>
      <c r="AS1561" s="33"/>
      <c r="AT1561" s="33"/>
      <c r="AU1561" s="33"/>
      <c r="AW1561" s="68"/>
      <c r="AX1561" s="33"/>
      <c r="AY1561" s="33"/>
      <c r="AZ1561" s="109"/>
      <c r="BA1561" s="109"/>
      <c r="CA1561" s="35"/>
      <c r="CH1561" s="39"/>
      <c r="CI1561" s="32"/>
      <c r="CJ1561" s="40"/>
      <c r="CK1561" s="40"/>
      <c r="CL1561" s="33"/>
      <c r="CM1561" s="33"/>
      <c r="CN1561" s="33"/>
      <c r="CO1561" s="33"/>
      <c r="CP1561" s="33"/>
      <c r="CQ1561" s="33"/>
      <c r="CR1561" s="33"/>
    </row>
    <row r="1562" spans="14:96" ht="21">
      <c r="N1562" s="38"/>
      <c r="AE1562" s="33"/>
      <c r="AK1562" s="33"/>
      <c r="AL1562" s="33"/>
      <c r="AM1562" s="33"/>
      <c r="AN1562" s="33"/>
      <c r="AO1562" s="33"/>
      <c r="AP1562" s="33"/>
      <c r="AQ1562" s="33"/>
      <c r="AR1562" s="33"/>
      <c r="AS1562" s="33"/>
      <c r="AT1562" s="33"/>
      <c r="AU1562" s="33"/>
      <c r="AW1562" s="68"/>
      <c r="AX1562" s="33"/>
      <c r="AY1562" s="33"/>
      <c r="AZ1562" s="109"/>
      <c r="BA1562" s="109"/>
      <c r="CA1562" s="35"/>
      <c r="CH1562" s="39"/>
      <c r="CI1562" s="32"/>
      <c r="CJ1562" s="40"/>
      <c r="CK1562" s="40"/>
      <c r="CL1562" s="33"/>
      <c r="CM1562" s="33"/>
      <c r="CN1562" s="33"/>
      <c r="CO1562" s="33"/>
      <c r="CP1562" s="33"/>
      <c r="CQ1562" s="33"/>
      <c r="CR1562" s="33"/>
    </row>
    <row r="1563" spans="14:96" ht="21">
      <c r="N1563" s="38"/>
      <c r="AE1563" s="33"/>
      <c r="AK1563" s="33"/>
      <c r="AL1563" s="33"/>
      <c r="AM1563" s="33"/>
      <c r="AN1563" s="33"/>
      <c r="AO1563" s="33"/>
      <c r="AP1563" s="33"/>
      <c r="AQ1563" s="33"/>
      <c r="AR1563" s="33"/>
      <c r="AS1563" s="33"/>
      <c r="AT1563" s="33"/>
      <c r="AU1563" s="33"/>
      <c r="AW1563" s="68"/>
      <c r="AX1563" s="33"/>
      <c r="AY1563" s="33"/>
      <c r="AZ1563" s="109"/>
      <c r="BA1563" s="109"/>
      <c r="CA1563" s="35"/>
      <c r="CH1563" s="39"/>
      <c r="CI1563" s="32"/>
      <c r="CJ1563" s="40"/>
      <c r="CK1563" s="40"/>
      <c r="CL1563" s="33"/>
      <c r="CM1563" s="33"/>
      <c r="CN1563" s="33"/>
      <c r="CO1563" s="33"/>
      <c r="CP1563" s="33"/>
      <c r="CQ1563" s="33"/>
      <c r="CR1563" s="33"/>
    </row>
    <row r="1564" spans="14:96" ht="21">
      <c r="N1564" s="38"/>
      <c r="AE1564" s="33"/>
      <c r="AK1564" s="33"/>
      <c r="AL1564" s="33"/>
      <c r="AM1564" s="33"/>
      <c r="AN1564" s="33"/>
      <c r="AO1564" s="33"/>
      <c r="AP1564" s="33"/>
      <c r="AQ1564" s="33"/>
      <c r="AR1564" s="33"/>
      <c r="AS1564" s="33"/>
      <c r="AT1564" s="33"/>
      <c r="AU1564" s="33"/>
      <c r="AW1564" s="68"/>
      <c r="AX1564" s="33"/>
      <c r="AY1564" s="33"/>
      <c r="AZ1564" s="109"/>
      <c r="BA1564" s="109"/>
      <c r="CA1564" s="35"/>
      <c r="CH1564" s="39"/>
      <c r="CI1564" s="32"/>
      <c r="CJ1564" s="40"/>
      <c r="CK1564" s="40"/>
      <c r="CL1564" s="33"/>
      <c r="CM1564" s="33"/>
      <c r="CN1564" s="33"/>
      <c r="CO1564" s="33"/>
      <c r="CP1564" s="33"/>
      <c r="CQ1564" s="33"/>
      <c r="CR1564" s="33"/>
    </row>
    <row r="1565" spans="14:96" ht="21">
      <c r="N1565" s="38"/>
      <c r="AE1565" s="33"/>
      <c r="AK1565" s="33"/>
      <c r="AL1565" s="33"/>
      <c r="AM1565" s="33"/>
      <c r="AN1565" s="33"/>
      <c r="AO1565" s="33"/>
      <c r="AP1565" s="33"/>
      <c r="AQ1565" s="33"/>
      <c r="AR1565" s="33"/>
      <c r="AS1565" s="33"/>
      <c r="AT1565" s="33"/>
      <c r="AU1565" s="33"/>
      <c r="AW1565" s="68"/>
      <c r="AX1565" s="33"/>
      <c r="AY1565" s="33"/>
      <c r="AZ1565" s="109"/>
      <c r="BA1565" s="109"/>
      <c r="CA1565" s="35"/>
      <c r="CH1565" s="39"/>
      <c r="CI1565" s="32"/>
      <c r="CJ1565" s="40"/>
      <c r="CK1565" s="40"/>
      <c r="CL1565" s="33"/>
      <c r="CM1565" s="33"/>
      <c r="CN1565" s="33"/>
      <c r="CO1565" s="33"/>
      <c r="CP1565" s="33"/>
      <c r="CQ1565" s="33"/>
      <c r="CR1565" s="33"/>
    </row>
    <row r="1566" spans="14:96" ht="21">
      <c r="N1566" s="38"/>
      <c r="AE1566" s="33"/>
      <c r="AK1566" s="33"/>
      <c r="AL1566" s="33"/>
      <c r="AM1566" s="33"/>
      <c r="AN1566" s="33"/>
      <c r="AO1566" s="33"/>
      <c r="AP1566" s="33"/>
      <c r="AQ1566" s="33"/>
      <c r="AR1566" s="33"/>
      <c r="AS1566" s="33"/>
      <c r="AT1566" s="33"/>
      <c r="AU1566" s="33"/>
      <c r="AW1566" s="68"/>
      <c r="AX1566" s="33"/>
      <c r="AY1566" s="33"/>
      <c r="AZ1566" s="109"/>
      <c r="BA1566" s="109"/>
      <c r="CA1566" s="35"/>
      <c r="CH1566" s="39"/>
      <c r="CI1566" s="32"/>
      <c r="CJ1566" s="40"/>
      <c r="CK1566" s="40"/>
      <c r="CL1566" s="33"/>
      <c r="CM1566" s="33"/>
      <c r="CN1566" s="33"/>
      <c r="CO1566" s="33"/>
      <c r="CP1566" s="33"/>
      <c r="CQ1566" s="33"/>
      <c r="CR1566" s="33"/>
    </row>
    <row r="1567" spans="14:96" ht="21">
      <c r="N1567" s="38"/>
      <c r="AE1567" s="33"/>
      <c r="AK1567" s="33"/>
      <c r="AL1567" s="33"/>
      <c r="AM1567" s="33"/>
      <c r="AN1567" s="33"/>
      <c r="AO1567" s="33"/>
      <c r="AP1567" s="33"/>
      <c r="AQ1567" s="33"/>
      <c r="AR1567" s="33"/>
      <c r="AS1567" s="33"/>
      <c r="AT1567" s="33"/>
      <c r="AU1567" s="33"/>
      <c r="AW1567" s="68"/>
      <c r="AX1567" s="33"/>
      <c r="AY1567" s="33"/>
      <c r="AZ1567" s="109"/>
      <c r="BA1567" s="109"/>
      <c r="CA1567" s="35"/>
      <c r="CH1567" s="39"/>
      <c r="CI1567" s="32"/>
      <c r="CJ1567" s="40"/>
      <c r="CK1567" s="40"/>
      <c r="CL1567" s="33"/>
      <c r="CM1567" s="33"/>
      <c r="CN1567" s="33"/>
      <c r="CO1567" s="33"/>
      <c r="CP1567" s="33"/>
      <c r="CQ1567" s="33"/>
      <c r="CR1567" s="33"/>
    </row>
    <row r="1568" spans="14:96" ht="21">
      <c r="N1568" s="38"/>
      <c r="AE1568" s="33"/>
      <c r="AK1568" s="33"/>
      <c r="AL1568" s="33"/>
      <c r="AM1568" s="33"/>
      <c r="AN1568" s="33"/>
      <c r="AO1568" s="33"/>
      <c r="AP1568" s="33"/>
      <c r="AQ1568" s="33"/>
      <c r="AR1568" s="33"/>
      <c r="AS1568" s="33"/>
      <c r="AT1568" s="33"/>
      <c r="AU1568" s="33"/>
      <c r="AW1568" s="68"/>
      <c r="AX1568" s="33"/>
      <c r="AY1568" s="33"/>
      <c r="AZ1568" s="109"/>
      <c r="BA1568" s="109"/>
      <c r="CA1568" s="35"/>
      <c r="CH1568" s="39"/>
      <c r="CI1568" s="32"/>
      <c r="CJ1568" s="40"/>
      <c r="CK1568" s="40"/>
      <c r="CL1568" s="33"/>
      <c r="CM1568" s="33"/>
      <c r="CN1568" s="33"/>
      <c r="CO1568" s="33"/>
      <c r="CP1568" s="33"/>
      <c r="CQ1568" s="33"/>
      <c r="CR1568" s="33"/>
    </row>
    <row r="1569" spans="14:96" ht="21">
      <c r="N1569" s="38"/>
      <c r="AE1569" s="33"/>
      <c r="AK1569" s="33"/>
      <c r="AL1569" s="33"/>
      <c r="AM1569" s="33"/>
      <c r="AN1569" s="33"/>
      <c r="AO1569" s="33"/>
      <c r="AP1569" s="33"/>
      <c r="AQ1569" s="33"/>
      <c r="AR1569" s="33"/>
      <c r="AS1569" s="33"/>
      <c r="AT1569" s="33"/>
      <c r="AU1569" s="33"/>
      <c r="AW1569" s="68"/>
      <c r="AX1569" s="33"/>
      <c r="AY1569" s="33"/>
      <c r="AZ1569" s="109"/>
      <c r="BA1569" s="109"/>
      <c r="CA1569" s="35"/>
      <c r="CH1569" s="39"/>
      <c r="CI1569" s="32"/>
      <c r="CJ1569" s="40"/>
      <c r="CK1569" s="40"/>
      <c r="CL1569" s="33"/>
      <c r="CM1569" s="33"/>
      <c r="CN1569" s="33"/>
      <c r="CO1569" s="33"/>
      <c r="CP1569" s="33"/>
      <c r="CQ1569" s="33"/>
      <c r="CR1569" s="33"/>
    </row>
    <row r="1570" spans="14:96" ht="21">
      <c r="N1570" s="38"/>
      <c r="AE1570" s="33"/>
      <c r="AK1570" s="33"/>
      <c r="AL1570" s="33"/>
      <c r="AM1570" s="33"/>
      <c r="AN1570" s="33"/>
      <c r="AO1570" s="33"/>
      <c r="AP1570" s="33"/>
      <c r="AQ1570" s="33"/>
      <c r="AR1570" s="33"/>
      <c r="AS1570" s="33"/>
      <c r="AT1570" s="33"/>
      <c r="AU1570" s="33"/>
      <c r="AW1570" s="68"/>
      <c r="AX1570" s="33"/>
      <c r="AY1570" s="33"/>
      <c r="AZ1570" s="109"/>
      <c r="BA1570" s="109"/>
      <c r="CA1570" s="36"/>
      <c r="CH1570" s="39"/>
      <c r="CI1570" s="32"/>
      <c r="CJ1570" s="40"/>
      <c r="CK1570" s="40"/>
      <c r="CL1570" s="40"/>
      <c r="CM1570" s="40"/>
      <c r="CN1570" s="40"/>
      <c r="CO1570" s="40"/>
      <c r="CP1570" s="40"/>
      <c r="CQ1570" s="40"/>
      <c r="CR1570" s="40"/>
    </row>
    <row r="1571" spans="14:96" ht="21">
      <c r="N1571" s="38"/>
      <c r="AE1571" s="33"/>
      <c r="AK1571" s="33"/>
      <c r="AL1571" s="33"/>
      <c r="AM1571" s="33"/>
      <c r="AN1571" s="33"/>
      <c r="AO1571" s="33"/>
      <c r="AP1571" s="33"/>
      <c r="AQ1571" s="33"/>
      <c r="AR1571" s="33"/>
      <c r="AS1571" s="33"/>
      <c r="AT1571" s="33"/>
      <c r="AU1571" s="33"/>
      <c r="AW1571" s="68"/>
      <c r="AX1571" s="33"/>
      <c r="AY1571" s="33"/>
      <c r="AZ1571" s="109"/>
      <c r="BA1571" s="109"/>
      <c r="CA1571" s="35"/>
      <c r="CH1571" s="39"/>
      <c r="CI1571" s="32"/>
      <c r="CJ1571" s="40"/>
      <c r="CK1571" s="40"/>
      <c r="CL1571" s="33"/>
      <c r="CM1571" s="33"/>
      <c r="CN1571" s="33"/>
      <c r="CO1571" s="33"/>
      <c r="CP1571" s="33"/>
      <c r="CQ1571" s="33"/>
      <c r="CR1571" s="33"/>
    </row>
    <row r="1572" spans="14:96" ht="21">
      <c r="N1572" s="38"/>
      <c r="AE1572" s="33"/>
      <c r="AK1572" s="33"/>
      <c r="AL1572" s="33"/>
      <c r="AM1572" s="33"/>
      <c r="AN1572" s="33"/>
      <c r="AO1572" s="33"/>
      <c r="AP1572" s="33"/>
      <c r="AQ1572" s="33"/>
      <c r="AR1572" s="33"/>
      <c r="AS1572" s="33"/>
      <c r="AT1572" s="33"/>
      <c r="AU1572" s="33"/>
      <c r="AW1572" s="68"/>
      <c r="AX1572" s="33"/>
      <c r="AY1572" s="33"/>
      <c r="AZ1572" s="109"/>
      <c r="BA1572" s="109"/>
      <c r="CA1572" s="35"/>
      <c r="CH1572" s="39"/>
      <c r="CI1572" s="32"/>
      <c r="CJ1572" s="40"/>
      <c r="CK1572" s="40"/>
      <c r="CL1572" s="33"/>
      <c r="CM1572" s="33"/>
      <c r="CN1572" s="33"/>
      <c r="CO1572" s="33"/>
      <c r="CP1572" s="33"/>
      <c r="CQ1572" s="33"/>
      <c r="CR1572" s="33"/>
    </row>
    <row r="1573" spans="14:96" ht="21">
      <c r="N1573" s="38"/>
      <c r="AE1573" s="33"/>
      <c r="AK1573" s="33"/>
      <c r="AL1573" s="33"/>
      <c r="AM1573" s="33"/>
      <c r="AN1573" s="33"/>
      <c r="AO1573" s="33"/>
      <c r="AP1573" s="33"/>
      <c r="AQ1573" s="33"/>
      <c r="AR1573" s="33"/>
      <c r="AS1573" s="33"/>
      <c r="AT1573" s="33"/>
      <c r="AU1573" s="33"/>
      <c r="AW1573" s="68"/>
      <c r="AX1573" s="33"/>
      <c r="AY1573" s="33"/>
      <c r="AZ1573" s="109"/>
      <c r="BA1573" s="109"/>
      <c r="CA1573" s="35"/>
      <c r="CH1573" s="39"/>
      <c r="CI1573" s="32"/>
      <c r="CJ1573" s="40"/>
      <c r="CK1573" s="40"/>
      <c r="CL1573" s="33"/>
      <c r="CM1573" s="33"/>
      <c r="CN1573" s="33"/>
      <c r="CO1573" s="33"/>
      <c r="CP1573" s="33"/>
      <c r="CQ1573" s="33"/>
      <c r="CR1573" s="33"/>
    </row>
    <row r="1574" spans="14:96" ht="21">
      <c r="N1574" s="38"/>
      <c r="AE1574" s="33"/>
      <c r="AK1574" s="33"/>
      <c r="AL1574" s="33"/>
      <c r="AM1574" s="33"/>
      <c r="AN1574" s="33"/>
      <c r="AO1574" s="33"/>
      <c r="AP1574" s="33"/>
      <c r="AQ1574" s="33"/>
      <c r="AR1574" s="33"/>
      <c r="AS1574" s="33"/>
      <c r="AT1574" s="33"/>
      <c r="AU1574" s="33"/>
      <c r="AW1574" s="68"/>
      <c r="AX1574" s="33"/>
      <c r="AY1574" s="33"/>
      <c r="AZ1574" s="109"/>
      <c r="BA1574" s="109"/>
      <c r="CA1574" s="35"/>
      <c r="CH1574" s="39"/>
      <c r="CI1574" s="32"/>
      <c r="CJ1574" s="40"/>
      <c r="CK1574" s="40"/>
      <c r="CL1574" s="33"/>
      <c r="CM1574" s="33"/>
      <c r="CN1574" s="33"/>
      <c r="CO1574" s="33"/>
      <c r="CP1574" s="33"/>
      <c r="CQ1574" s="33"/>
      <c r="CR1574" s="33"/>
    </row>
    <row r="1575" spans="14:96" ht="21">
      <c r="N1575" s="38"/>
      <c r="AE1575" s="33"/>
      <c r="AK1575" s="33"/>
      <c r="AL1575" s="33"/>
      <c r="AM1575" s="33"/>
      <c r="AN1575" s="33"/>
      <c r="AO1575" s="33"/>
      <c r="AP1575" s="33"/>
      <c r="AQ1575" s="33"/>
      <c r="AR1575" s="33"/>
      <c r="AS1575" s="33"/>
      <c r="AT1575" s="33"/>
      <c r="AU1575" s="33"/>
      <c r="AW1575" s="68"/>
      <c r="AX1575" s="33"/>
      <c r="AY1575" s="33"/>
      <c r="AZ1575" s="109"/>
      <c r="BA1575" s="109"/>
      <c r="CA1575" s="35"/>
      <c r="CH1575" s="39"/>
      <c r="CI1575" s="32"/>
      <c r="CJ1575" s="40"/>
      <c r="CK1575" s="40"/>
      <c r="CL1575" s="33"/>
      <c r="CM1575" s="33"/>
      <c r="CN1575" s="33"/>
      <c r="CO1575" s="33"/>
      <c r="CP1575" s="33"/>
      <c r="CQ1575" s="33"/>
      <c r="CR1575" s="33"/>
    </row>
    <row r="1576" spans="14:96" ht="21">
      <c r="N1576" s="38"/>
      <c r="AE1576" s="33"/>
      <c r="AK1576" s="33"/>
      <c r="AL1576" s="33"/>
      <c r="AM1576" s="33"/>
      <c r="AN1576" s="33"/>
      <c r="AO1576" s="33"/>
      <c r="AP1576" s="33"/>
      <c r="AQ1576" s="33"/>
      <c r="AR1576" s="33"/>
      <c r="AS1576" s="33"/>
      <c r="AT1576" s="33"/>
      <c r="AU1576" s="33"/>
      <c r="AW1576" s="68"/>
      <c r="AX1576" s="33"/>
      <c r="AY1576" s="33"/>
      <c r="AZ1576" s="109"/>
      <c r="BA1576" s="109"/>
      <c r="CA1576" s="35"/>
      <c r="CH1576" s="39"/>
      <c r="CI1576" s="32"/>
      <c r="CJ1576" s="40"/>
      <c r="CK1576" s="40"/>
      <c r="CL1576" s="33"/>
      <c r="CM1576" s="33"/>
      <c r="CN1576" s="33"/>
      <c r="CO1576" s="33"/>
      <c r="CP1576" s="33"/>
      <c r="CQ1576" s="33"/>
      <c r="CR1576" s="33"/>
    </row>
    <row r="1577" spans="14:96" ht="21">
      <c r="N1577" s="38"/>
      <c r="AE1577" s="33"/>
      <c r="AK1577" s="33"/>
      <c r="AL1577" s="33"/>
      <c r="AM1577" s="33"/>
      <c r="AN1577" s="33"/>
      <c r="AO1577" s="33"/>
      <c r="AP1577" s="33"/>
      <c r="AQ1577" s="33"/>
      <c r="AR1577" s="33"/>
      <c r="AS1577" s="33"/>
      <c r="AT1577" s="33"/>
      <c r="AU1577" s="33"/>
      <c r="AW1577" s="68"/>
      <c r="AX1577" s="33"/>
      <c r="AY1577" s="33"/>
      <c r="AZ1577" s="109"/>
      <c r="BA1577" s="109"/>
      <c r="CA1577" s="35"/>
      <c r="CH1577" s="39"/>
      <c r="CI1577" s="32"/>
      <c r="CJ1577" s="40"/>
      <c r="CK1577" s="40"/>
      <c r="CL1577" s="33"/>
      <c r="CM1577" s="33"/>
      <c r="CN1577" s="33"/>
      <c r="CO1577" s="33"/>
      <c r="CP1577" s="33"/>
      <c r="CQ1577" s="33"/>
      <c r="CR1577" s="33"/>
    </row>
    <row r="1578" spans="14:96" ht="21">
      <c r="N1578" s="38"/>
      <c r="AE1578" s="33"/>
      <c r="AK1578" s="33"/>
      <c r="AL1578" s="33"/>
      <c r="AM1578" s="33"/>
      <c r="AN1578" s="33"/>
      <c r="AO1578" s="33"/>
      <c r="AP1578" s="33"/>
      <c r="AQ1578" s="33"/>
      <c r="AR1578" s="33"/>
      <c r="AS1578" s="33"/>
      <c r="AT1578" s="33"/>
      <c r="AU1578" s="33"/>
      <c r="AW1578" s="68"/>
      <c r="AX1578" s="33"/>
      <c r="AY1578" s="33"/>
      <c r="AZ1578" s="109"/>
      <c r="BA1578" s="109"/>
      <c r="CA1578" s="35"/>
      <c r="CH1578" s="39"/>
      <c r="CI1578" s="32"/>
      <c r="CJ1578" s="40"/>
      <c r="CK1578" s="40"/>
      <c r="CL1578" s="33"/>
      <c r="CM1578" s="33"/>
      <c r="CN1578" s="33"/>
      <c r="CO1578" s="33"/>
      <c r="CP1578" s="33"/>
      <c r="CQ1578" s="33"/>
      <c r="CR1578" s="33"/>
    </row>
    <row r="1579" spans="14:96" ht="21">
      <c r="N1579" s="38"/>
      <c r="AE1579" s="33"/>
      <c r="AK1579" s="33"/>
      <c r="AL1579" s="33"/>
      <c r="AM1579" s="33"/>
      <c r="AN1579" s="33"/>
      <c r="AO1579" s="33"/>
      <c r="AP1579" s="33"/>
      <c r="AQ1579" s="33"/>
      <c r="AR1579" s="33"/>
      <c r="AS1579" s="33"/>
      <c r="AT1579" s="33"/>
      <c r="AU1579" s="33"/>
      <c r="AW1579" s="68"/>
      <c r="AX1579" s="33"/>
      <c r="AY1579" s="33"/>
      <c r="AZ1579" s="109"/>
      <c r="BA1579" s="109"/>
      <c r="CA1579" s="35"/>
      <c r="CH1579" s="39"/>
      <c r="CI1579" s="32"/>
      <c r="CJ1579" s="40"/>
      <c r="CK1579" s="40"/>
      <c r="CL1579" s="33"/>
      <c r="CM1579" s="33"/>
      <c r="CN1579" s="33"/>
      <c r="CO1579" s="33"/>
      <c r="CP1579" s="33"/>
      <c r="CQ1579" s="33"/>
      <c r="CR1579" s="33"/>
    </row>
    <row r="1580" spans="14:96" ht="21">
      <c r="N1580" s="38"/>
      <c r="AE1580" s="33"/>
      <c r="AK1580" s="33"/>
      <c r="AL1580" s="33"/>
      <c r="AM1580" s="33"/>
      <c r="AN1580" s="33"/>
      <c r="AO1580" s="33"/>
      <c r="AP1580" s="33"/>
      <c r="AQ1580" s="33"/>
      <c r="AR1580" s="33"/>
      <c r="AS1580" s="33"/>
      <c r="AT1580" s="33"/>
      <c r="AU1580" s="33"/>
      <c r="AW1580" s="68"/>
      <c r="AX1580" s="33"/>
      <c r="AY1580" s="33"/>
      <c r="AZ1580" s="109"/>
      <c r="BA1580" s="109"/>
      <c r="CA1580" s="35"/>
      <c r="CH1580" s="39"/>
      <c r="CI1580" s="32"/>
      <c r="CJ1580" s="40"/>
      <c r="CK1580" s="40"/>
      <c r="CL1580" s="33"/>
      <c r="CM1580" s="33"/>
      <c r="CN1580" s="33"/>
      <c r="CO1580" s="33"/>
      <c r="CP1580" s="33"/>
      <c r="CQ1580" s="33"/>
      <c r="CR1580" s="33"/>
    </row>
    <row r="1581" spans="14:96" ht="21">
      <c r="N1581" s="38"/>
      <c r="AE1581" s="33"/>
      <c r="AK1581" s="33"/>
      <c r="AL1581" s="33"/>
      <c r="AM1581" s="33"/>
      <c r="AN1581" s="33"/>
      <c r="AO1581" s="33"/>
      <c r="AP1581" s="33"/>
      <c r="AQ1581" s="33"/>
      <c r="AR1581" s="33"/>
      <c r="AS1581" s="33"/>
      <c r="AT1581" s="33"/>
      <c r="AU1581" s="33"/>
      <c r="AW1581" s="68"/>
      <c r="AX1581" s="33"/>
      <c r="AY1581" s="33"/>
      <c r="AZ1581" s="109"/>
      <c r="BA1581" s="109"/>
      <c r="CA1581" s="35"/>
      <c r="CH1581" s="39"/>
      <c r="CI1581" s="32"/>
      <c r="CJ1581" s="40"/>
      <c r="CK1581" s="40"/>
      <c r="CL1581" s="33"/>
      <c r="CM1581" s="33"/>
      <c r="CN1581" s="33"/>
      <c r="CO1581" s="33"/>
      <c r="CP1581" s="33"/>
      <c r="CQ1581" s="33"/>
      <c r="CR1581" s="33"/>
    </row>
    <row r="1582" spans="14:96" ht="21">
      <c r="N1582" s="38"/>
      <c r="AE1582" s="33"/>
      <c r="AK1582" s="33"/>
      <c r="AL1582" s="33"/>
      <c r="AM1582" s="33"/>
      <c r="AN1582" s="33"/>
      <c r="AO1582" s="33"/>
      <c r="AP1582" s="33"/>
      <c r="AQ1582" s="33"/>
      <c r="AR1582" s="33"/>
      <c r="AS1582" s="33"/>
      <c r="AT1582" s="33"/>
      <c r="AU1582" s="33"/>
      <c r="AW1582" s="68"/>
      <c r="AX1582" s="33"/>
      <c r="AY1582" s="33"/>
      <c r="AZ1582" s="109"/>
      <c r="BA1582" s="109"/>
      <c r="CA1582" s="35"/>
      <c r="CH1582" s="39"/>
      <c r="CI1582" s="32"/>
      <c r="CJ1582" s="40"/>
      <c r="CK1582" s="40"/>
      <c r="CL1582" s="33"/>
      <c r="CM1582" s="33"/>
      <c r="CN1582" s="33"/>
      <c r="CO1582" s="33"/>
      <c r="CP1582" s="33"/>
      <c r="CQ1582" s="33"/>
      <c r="CR1582" s="33"/>
    </row>
    <row r="1583" spans="14:96" ht="21">
      <c r="N1583" s="38"/>
      <c r="AE1583" s="33"/>
      <c r="AK1583" s="33"/>
      <c r="AL1583" s="33"/>
      <c r="AM1583" s="33"/>
      <c r="AN1583" s="33"/>
      <c r="AO1583" s="33"/>
      <c r="AP1583" s="33"/>
      <c r="AQ1583" s="33"/>
      <c r="AR1583" s="33"/>
      <c r="AS1583" s="33"/>
      <c r="AT1583" s="33"/>
      <c r="AU1583" s="33"/>
      <c r="AW1583" s="68"/>
      <c r="AX1583" s="33"/>
      <c r="AY1583" s="33"/>
      <c r="AZ1583" s="109"/>
      <c r="BA1583" s="109"/>
      <c r="CA1583" s="35"/>
      <c r="CH1583" s="39"/>
      <c r="CI1583" s="32"/>
      <c r="CJ1583" s="40"/>
      <c r="CK1583" s="40"/>
      <c r="CL1583" s="33"/>
      <c r="CM1583" s="33"/>
      <c r="CN1583" s="33"/>
      <c r="CO1583" s="33"/>
      <c r="CP1583" s="33"/>
      <c r="CQ1583" s="33"/>
      <c r="CR1583" s="33"/>
    </row>
    <row r="1584" spans="14:96" ht="21">
      <c r="N1584" s="38"/>
      <c r="AE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W1584" s="68"/>
      <c r="AX1584" s="33"/>
      <c r="AY1584" s="33"/>
      <c r="AZ1584" s="109"/>
      <c r="BA1584" s="109"/>
      <c r="CA1584" s="35"/>
      <c r="CH1584" s="39"/>
      <c r="CI1584" s="32"/>
      <c r="CJ1584" s="40"/>
      <c r="CK1584" s="40"/>
      <c r="CL1584" s="33"/>
      <c r="CM1584" s="33"/>
      <c r="CN1584" s="33"/>
      <c r="CO1584" s="33"/>
      <c r="CP1584" s="33"/>
      <c r="CQ1584" s="33"/>
      <c r="CR1584" s="33"/>
    </row>
    <row r="1585" spans="14:96" ht="21">
      <c r="N1585" s="38"/>
      <c r="AE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W1585" s="68"/>
      <c r="AX1585" s="33"/>
      <c r="AY1585" s="33"/>
      <c r="AZ1585" s="109"/>
      <c r="BA1585" s="109"/>
      <c r="CA1585" s="35"/>
      <c r="CH1585" s="39"/>
      <c r="CI1585" s="32"/>
      <c r="CJ1585" s="40"/>
      <c r="CK1585" s="40"/>
      <c r="CL1585" s="33"/>
      <c r="CM1585" s="33"/>
      <c r="CN1585" s="33"/>
      <c r="CO1585" s="33"/>
      <c r="CP1585" s="33"/>
      <c r="CQ1585" s="33"/>
      <c r="CR1585" s="33"/>
    </row>
    <row r="1586" spans="14:96" ht="21">
      <c r="N1586" s="38"/>
      <c r="AE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W1586" s="68"/>
      <c r="AX1586" s="33"/>
      <c r="AY1586" s="33"/>
      <c r="AZ1586" s="109"/>
      <c r="BA1586" s="109"/>
      <c r="CA1586" s="35"/>
      <c r="CH1586" s="39"/>
      <c r="CI1586" s="32"/>
      <c r="CJ1586" s="40"/>
      <c r="CK1586" s="40"/>
      <c r="CL1586" s="33"/>
      <c r="CM1586" s="33"/>
      <c r="CN1586" s="33"/>
      <c r="CO1586" s="33"/>
      <c r="CP1586" s="33"/>
      <c r="CQ1586" s="33"/>
      <c r="CR1586" s="33"/>
    </row>
    <row r="1587" spans="14:96" ht="21">
      <c r="N1587" s="38"/>
      <c r="AE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W1587" s="68"/>
      <c r="AX1587" s="33"/>
      <c r="AY1587" s="33"/>
      <c r="AZ1587" s="109"/>
      <c r="BA1587" s="109"/>
      <c r="CA1587" s="35"/>
      <c r="CH1587" s="39"/>
      <c r="CI1587" s="32"/>
      <c r="CJ1587" s="40"/>
      <c r="CK1587" s="40"/>
      <c r="CL1587" s="33"/>
      <c r="CM1587" s="33"/>
      <c r="CN1587" s="33"/>
      <c r="CO1587" s="33"/>
      <c r="CP1587" s="33"/>
      <c r="CQ1587" s="33"/>
      <c r="CR1587" s="33"/>
    </row>
    <row r="1588" spans="14:96" ht="21">
      <c r="N1588" s="38"/>
      <c r="AE1588" s="33"/>
      <c r="AK1588" s="33"/>
      <c r="AL1588" s="33"/>
      <c r="AM1588" s="33"/>
      <c r="AN1588" s="33"/>
      <c r="AO1588" s="33"/>
      <c r="AP1588" s="33"/>
      <c r="AQ1588" s="33"/>
      <c r="AR1588" s="33"/>
      <c r="AS1588" s="33"/>
      <c r="AT1588" s="33"/>
      <c r="AU1588" s="33"/>
      <c r="AW1588" s="68"/>
      <c r="AX1588" s="33"/>
      <c r="AY1588" s="33"/>
      <c r="AZ1588" s="109"/>
      <c r="BA1588" s="109"/>
      <c r="CA1588" s="35"/>
      <c r="CH1588" s="39"/>
      <c r="CI1588" s="32"/>
      <c r="CJ1588" s="40"/>
      <c r="CK1588" s="40"/>
      <c r="CL1588" s="33"/>
      <c r="CM1588" s="33"/>
      <c r="CN1588" s="33"/>
      <c r="CO1588" s="33"/>
      <c r="CP1588" s="33"/>
      <c r="CQ1588" s="33"/>
      <c r="CR1588" s="33"/>
    </row>
    <row r="1589" spans="14:96" ht="21">
      <c r="N1589" s="38"/>
      <c r="AE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W1589" s="68"/>
      <c r="AX1589" s="33"/>
      <c r="AY1589" s="33"/>
      <c r="AZ1589" s="109"/>
      <c r="BA1589" s="109"/>
      <c r="CA1589" s="35"/>
      <c r="CH1589" s="39"/>
      <c r="CI1589" s="32"/>
      <c r="CJ1589" s="40"/>
      <c r="CK1589" s="40"/>
      <c r="CL1589" s="33"/>
      <c r="CM1589" s="33"/>
      <c r="CN1589" s="33"/>
      <c r="CO1589" s="33"/>
      <c r="CP1589" s="33"/>
      <c r="CQ1589" s="33"/>
      <c r="CR1589" s="33"/>
    </row>
    <row r="1590" spans="14:96" ht="21">
      <c r="N1590" s="38"/>
      <c r="AE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W1590" s="68"/>
      <c r="AX1590" s="33"/>
      <c r="AY1590" s="33"/>
      <c r="AZ1590" s="109"/>
      <c r="BA1590" s="109"/>
      <c r="CA1590" s="35"/>
      <c r="CH1590" s="39"/>
      <c r="CI1590" s="32"/>
      <c r="CJ1590" s="40"/>
      <c r="CK1590" s="40"/>
      <c r="CL1590" s="33"/>
      <c r="CM1590" s="33"/>
      <c r="CN1590" s="33"/>
      <c r="CO1590" s="33"/>
      <c r="CP1590" s="33"/>
      <c r="CQ1590" s="33"/>
      <c r="CR1590" s="33"/>
    </row>
    <row r="1591" spans="14:96" ht="21">
      <c r="N1591" s="38"/>
      <c r="AE1591" s="33"/>
      <c r="AK1591" s="33"/>
      <c r="AL1591" s="33"/>
      <c r="AM1591" s="33"/>
      <c r="AN1591" s="33"/>
      <c r="AO1591" s="33"/>
      <c r="AP1591" s="33"/>
      <c r="AQ1591" s="33"/>
      <c r="AR1591" s="33"/>
      <c r="AS1591" s="33"/>
      <c r="AT1591" s="33"/>
      <c r="AU1591" s="33"/>
      <c r="AW1591" s="68"/>
      <c r="AX1591" s="33"/>
      <c r="AY1591" s="33"/>
      <c r="AZ1591" s="109"/>
      <c r="BA1591" s="109"/>
      <c r="CA1591" s="35"/>
      <c r="CH1591" s="39"/>
      <c r="CI1591" s="32"/>
      <c r="CJ1591" s="40"/>
      <c r="CK1591" s="40"/>
      <c r="CL1591" s="33"/>
      <c r="CM1591" s="33"/>
      <c r="CN1591" s="33"/>
      <c r="CO1591" s="33"/>
      <c r="CP1591" s="33"/>
      <c r="CQ1591" s="33"/>
      <c r="CR1591" s="33"/>
    </row>
    <row r="1592" spans="14:96" ht="21">
      <c r="N1592" s="38"/>
      <c r="AE1592" s="33"/>
      <c r="AK1592" s="33"/>
      <c r="AL1592" s="33"/>
      <c r="AM1592" s="33"/>
      <c r="AN1592" s="33"/>
      <c r="AO1592" s="33"/>
      <c r="AP1592" s="33"/>
      <c r="AQ1592" s="33"/>
      <c r="AR1592" s="33"/>
      <c r="AS1592" s="33"/>
      <c r="AT1592" s="33"/>
      <c r="AU1592" s="33"/>
      <c r="AW1592" s="68"/>
      <c r="AX1592" s="33"/>
      <c r="AY1592" s="33"/>
      <c r="AZ1592" s="109"/>
      <c r="BA1592" s="109"/>
      <c r="CA1592" s="36"/>
      <c r="CH1592" s="39"/>
      <c r="CI1592" s="32"/>
      <c r="CJ1592" s="40"/>
      <c r="CK1592" s="40"/>
      <c r="CL1592" s="40"/>
      <c r="CM1592" s="40"/>
      <c r="CN1592" s="40"/>
      <c r="CO1592" s="40"/>
      <c r="CP1592" s="40"/>
      <c r="CQ1592" s="40"/>
      <c r="CR1592" s="40"/>
    </row>
    <row r="1593" spans="14:96" ht="21">
      <c r="N1593" s="38"/>
      <c r="AE1593" s="33"/>
      <c r="AK1593" s="33"/>
      <c r="AL1593" s="33"/>
      <c r="AM1593" s="33"/>
      <c r="AN1593" s="33"/>
      <c r="AO1593" s="33"/>
      <c r="AP1593" s="33"/>
      <c r="AQ1593" s="33"/>
      <c r="AR1593" s="33"/>
      <c r="AS1593" s="33"/>
      <c r="AT1593" s="33"/>
      <c r="AU1593" s="33"/>
      <c r="AW1593" s="68"/>
      <c r="AX1593" s="33"/>
      <c r="AY1593" s="33"/>
      <c r="AZ1593" s="109"/>
      <c r="BA1593" s="109"/>
      <c r="CA1593" s="35"/>
      <c r="CH1593" s="39"/>
      <c r="CI1593" s="32"/>
      <c r="CJ1593" s="40"/>
      <c r="CK1593" s="40"/>
      <c r="CL1593" s="33"/>
      <c r="CM1593" s="33"/>
      <c r="CN1593" s="33"/>
      <c r="CO1593" s="33"/>
      <c r="CP1593" s="33"/>
      <c r="CQ1593" s="33"/>
      <c r="CR1593" s="33"/>
    </row>
    <row r="1594" spans="14:96" ht="21">
      <c r="N1594" s="38"/>
      <c r="AE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W1594" s="68"/>
      <c r="AX1594" s="33"/>
      <c r="AY1594" s="33"/>
      <c r="AZ1594" s="109"/>
      <c r="BA1594" s="109"/>
      <c r="CA1594" s="35"/>
      <c r="CH1594" s="39"/>
      <c r="CI1594" s="32"/>
      <c r="CJ1594" s="40"/>
      <c r="CK1594" s="40"/>
      <c r="CL1594" s="33"/>
      <c r="CM1594" s="33"/>
      <c r="CN1594" s="33"/>
      <c r="CO1594" s="33"/>
      <c r="CP1594" s="33"/>
      <c r="CQ1594" s="33"/>
      <c r="CR1594" s="33"/>
    </row>
    <row r="1595" spans="14:96" ht="21">
      <c r="N1595" s="38"/>
      <c r="AE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W1595" s="68"/>
      <c r="AX1595" s="33"/>
      <c r="AY1595" s="33"/>
      <c r="AZ1595" s="109"/>
      <c r="BA1595" s="109"/>
      <c r="CA1595" s="35"/>
      <c r="CH1595" s="39"/>
      <c r="CI1595" s="32"/>
      <c r="CJ1595" s="40"/>
      <c r="CK1595" s="40"/>
      <c r="CL1595" s="33"/>
      <c r="CM1595" s="33"/>
      <c r="CN1595" s="33"/>
      <c r="CO1595" s="33"/>
      <c r="CP1595" s="33"/>
      <c r="CQ1595" s="33"/>
      <c r="CR1595" s="33"/>
    </row>
    <row r="1596" spans="14:96" ht="21">
      <c r="N1596" s="38"/>
      <c r="AE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W1596" s="68"/>
      <c r="AX1596" s="33"/>
      <c r="AY1596" s="33"/>
      <c r="AZ1596" s="109"/>
      <c r="BA1596" s="109"/>
      <c r="CA1596" s="35"/>
      <c r="CH1596" s="39"/>
      <c r="CI1596" s="32"/>
      <c r="CJ1596" s="40"/>
      <c r="CK1596" s="40"/>
      <c r="CL1596" s="33"/>
      <c r="CM1596" s="33"/>
      <c r="CN1596" s="33"/>
      <c r="CO1596" s="33"/>
      <c r="CP1596" s="33"/>
      <c r="CQ1596" s="33"/>
      <c r="CR1596" s="33"/>
    </row>
    <row r="1597" spans="14:96" ht="21">
      <c r="N1597" s="38"/>
      <c r="AE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W1597" s="68"/>
      <c r="AX1597" s="33"/>
      <c r="AY1597" s="33"/>
      <c r="AZ1597" s="109"/>
      <c r="BA1597" s="109"/>
      <c r="CA1597" s="35"/>
      <c r="CH1597" s="39"/>
      <c r="CI1597" s="32"/>
      <c r="CJ1597" s="40"/>
      <c r="CK1597" s="40"/>
      <c r="CL1597" s="33"/>
      <c r="CM1597" s="33"/>
      <c r="CN1597" s="33"/>
      <c r="CO1597" s="33"/>
      <c r="CP1597" s="33"/>
      <c r="CQ1597" s="33"/>
      <c r="CR1597" s="33"/>
    </row>
    <row r="1598" spans="14:96" ht="21">
      <c r="N1598" s="38"/>
      <c r="AE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W1598" s="68"/>
      <c r="AX1598" s="33"/>
      <c r="AY1598" s="33"/>
      <c r="AZ1598" s="109"/>
      <c r="BA1598" s="109"/>
      <c r="CA1598" s="35"/>
      <c r="CH1598" s="39"/>
      <c r="CI1598" s="32"/>
      <c r="CJ1598" s="40"/>
      <c r="CK1598" s="40"/>
      <c r="CL1598" s="33"/>
      <c r="CM1598" s="33"/>
      <c r="CN1598" s="33"/>
      <c r="CO1598" s="33"/>
      <c r="CP1598" s="33"/>
      <c r="CQ1598" s="33"/>
      <c r="CR1598" s="33"/>
    </row>
    <row r="1599" spans="14:96" ht="21">
      <c r="N1599" s="38"/>
      <c r="AE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W1599" s="68"/>
      <c r="AX1599" s="33"/>
      <c r="AY1599" s="33"/>
      <c r="AZ1599" s="109"/>
      <c r="BA1599" s="109"/>
      <c r="CA1599" s="35"/>
      <c r="CH1599" s="39"/>
      <c r="CI1599" s="32"/>
      <c r="CJ1599" s="40"/>
      <c r="CK1599" s="40"/>
      <c r="CL1599" s="33"/>
      <c r="CM1599" s="33"/>
      <c r="CN1599" s="33"/>
      <c r="CO1599" s="33"/>
      <c r="CP1599" s="33"/>
      <c r="CQ1599" s="33"/>
      <c r="CR1599" s="33"/>
    </row>
    <row r="1600" spans="14:96" ht="21">
      <c r="N1600" s="38"/>
      <c r="AE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W1600" s="68"/>
      <c r="AX1600" s="33"/>
      <c r="AY1600" s="33"/>
      <c r="AZ1600" s="109"/>
      <c r="BA1600" s="109"/>
      <c r="CA1600" s="35"/>
      <c r="CH1600" s="39"/>
      <c r="CI1600" s="32"/>
      <c r="CJ1600" s="40"/>
      <c r="CK1600" s="40"/>
      <c r="CL1600" s="33"/>
      <c r="CM1600" s="33"/>
      <c r="CN1600" s="33"/>
      <c r="CO1600" s="33"/>
      <c r="CP1600" s="33"/>
      <c r="CQ1600" s="33"/>
      <c r="CR1600" s="33"/>
    </row>
    <row r="1601" spans="14:96" ht="21">
      <c r="N1601" s="38"/>
      <c r="AE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W1601" s="68"/>
      <c r="AX1601" s="33"/>
      <c r="AY1601" s="33"/>
      <c r="AZ1601" s="109"/>
      <c r="BA1601" s="109"/>
      <c r="CA1601" s="35"/>
      <c r="CH1601" s="39"/>
      <c r="CI1601" s="32"/>
      <c r="CJ1601" s="40"/>
      <c r="CK1601" s="40"/>
      <c r="CL1601" s="33"/>
      <c r="CM1601" s="33"/>
      <c r="CN1601" s="33"/>
      <c r="CO1601" s="33"/>
      <c r="CP1601" s="33"/>
      <c r="CQ1601" s="33"/>
      <c r="CR1601" s="33"/>
    </row>
    <row r="1602" spans="14:96" ht="21">
      <c r="N1602" s="38"/>
      <c r="AE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W1602" s="68"/>
      <c r="AX1602" s="33"/>
      <c r="AY1602" s="33"/>
      <c r="AZ1602" s="109"/>
      <c r="BA1602" s="109"/>
      <c r="CA1602" s="35"/>
      <c r="CH1602" s="39"/>
      <c r="CI1602" s="32"/>
      <c r="CJ1602" s="40"/>
      <c r="CK1602" s="40"/>
      <c r="CL1602" s="33"/>
      <c r="CM1602" s="33"/>
      <c r="CN1602" s="33"/>
      <c r="CO1602" s="33"/>
      <c r="CP1602" s="33"/>
      <c r="CQ1602" s="33"/>
      <c r="CR1602" s="33"/>
    </row>
    <row r="1603" spans="14:96" ht="21">
      <c r="N1603" s="38"/>
      <c r="AE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W1603" s="68"/>
      <c r="AX1603" s="33"/>
      <c r="AY1603" s="33"/>
      <c r="AZ1603" s="109"/>
      <c r="BA1603" s="109"/>
      <c r="CA1603" s="35"/>
      <c r="CH1603" s="39"/>
      <c r="CI1603" s="32"/>
      <c r="CJ1603" s="40"/>
      <c r="CK1603" s="40"/>
      <c r="CL1603" s="33"/>
      <c r="CM1603" s="33"/>
      <c r="CN1603" s="33"/>
      <c r="CO1603" s="33"/>
      <c r="CP1603" s="33"/>
      <c r="CQ1603" s="33"/>
      <c r="CR1603" s="33"/>
    </row>
    <row r="1604" spans="14:96" ht="21">
      <c r="N1604" s="38"/>
      <c r="AE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W1604" s="68"/>
      <c r="AX1604" s="33"/>
      <c r="AY1604" s="33"/>
      <c r="AZ1604" s="109"/>
      <c r="BA1604" s="109"/>
      <c r="CA1604" s="35"/>
      <c r="CH1604" s="39"/>
      <c r="CI1604" s="32"/>
      <c r="CJ1604" s="40"/>
      <c r="CK1604" s="40"/>
      <c r="CL1604" s="33"/>
      <c r="CM1604" s="33"/>
      <c r="CN1604" s="33"/>
      <c r="CO1604" s="33"/>
      <c r="CP1604" s="33"/>
      <c r="CQ1604" s="33"/>
      <c r="CR1604" s="33"/>
    </row>
    <row r="1605" spans="14:96" ht="21">
      <c r="N1605" s="38"/>
      <c r="AE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W1605" s="68"/>
      <c r="AX1605" s="33"/>
      <c r="AY1605" s="33"/>
      <c r="AZ1605" s="109"/>
      <c r="BA1605" s="109"/>
      <c r="CA1605" s="35"/>
      <c r="CH1605" s="39"/>
      <c r="CI1605" s="32"/>
      <c r="CJ1605" s="40"/>
      <c r="CK1605" s="40"/>
      <c r="CL1605" s="33"/>
      <c r="CM1605" s="33"/>
      <c r="CN1605" s="33"/>
      <c r="CO1605" s="33"/>
      <c r="CP1605" s="33"/>
      <c r="CQ1605" s="33"/>
      <c r="CR1605" s="33"/>
    </row>
    <row r="1606" spans="14:96" ht="21">
      <c r="N1606" s="38"/>
      <c r="AE1606" s="33"/>
      <c r="AK1606" s="33"/>
      <c r="AL1606" s="33"/>
      <c r="AM1606" s="33"/>
      <c r="AN1606" s="33"/>
      <c r="AO1606" s="33"/>
      <c r="AP1606" s="33"/>
      <c r="AQ1606" s="33"/>
      <c r="AR1606" s="33"/>
      <c r="AS1606" s="33"/>
      <c r="AT1606" s="33"/>
      <c r="AU1606" s="33"/>
      <c r="AW1606" s="68"/>
      <c r="AX1606" s="33"/>
      <c r="AY1606" s="33"/>
      <c r="AZ1606" s="109"/>
      <c r="BA1606" s="109"/>
      <c r="CA1606" s="35"/>
      <c r="CH1606" s="39"/>
      <c r="CI1606" s="32"/>
      <c r="CJ1606" s="40"/>
      <c r="CK1606" s="40"/>
      <c r="CL1606" s="33"/>
      <c r="CM1606" s="33"/>
      <c r="CN1606" s="33"/>
      <c r="CO1606" s="33"/>
      <c r="CP1606" s="33"/>
      <c r="CQ1606" s="33"/>
      <c r="CR1606" s="33"/>
    </row>
    <row r="1607" spans="14:96" ht="21">
      <c r="N1607" s="38"/>
      <c r="AE1607" s="33"/>
      <c r="AK1607" s="33"/>
      <c r="AL1607" s="33"/>
      <c r="AM1607" s="33"/>
      <c r="AN1607" s="33"/>
      <c r="AO1607" s="33"/>
      <c r="AP1607" s="33"/>
      <c r="AQ1607" s="33"/>
      <c r="AR1607" s="33"/>
      <c r="AS1607" s="33"/>
      <c r="AT1607" s="33"/>
      <c r="AU1607" s="33"/>
      <c r="AW1607" s="68"/>
      <c r="AX1607" s="33"/>
      <c r="AY1607" s="33"/>
      <c r="AZ1607" s="109"/>
      <c r="BA1607" s="109"/>
      <c r="CA1607" s="35"/>
      <c r="CH1607" s="39"/>
      <c r="CI1607" s="32"/>
      <c r="CJ1607" s="40"/>
      <c r="CK1607" s="40"/>
      <c r="CL1607" s="33"/>
      <c r="CM1607" s="33"/>
      <c r="CN1607" s="33"/>
      <c r="CO1607" s="33"/>
      <c r="CP1607" s="33"/>
      <c r="CQ1607" s="33"/>
      <c r="CR1607" s="33"/>
    </row>
    <row r="1608" spans="14:96" ht="21">
      <c r="N1608" s="38"/>
      <c r="AE1608" s="33"/>
      <c r="AK1608" s="33"/>
      <c r="AL1608" s="33"/>
      <c r="AM1608" s="33"/>
      <c r="AN1608" s="33"/>
      <c r="AO1608" s="33"/>
      <c r="AP1608" s="33"/>
      <c r="AQ1608" s="33"/>
      <c r="AR1608" s="33"/>
      <c r="AS1608" s="33"/>
      <c r="AT1608" s="33"/>
      <c r="AU1608" s="33"/>
      <c r="AW1608" s="68"/>
      <c r="AX1608" s="33"/>
      <c r="AY1608" s="33"/>
      <c r="AZ1608" s="109"/>
      <c r="BA1608" s="109"/>
      <c r="CA1608" s="35"/>
      <c r="CH1608" s="39"/>
      <c r="CI1608" s="32"/>
      <c r="CJ1608" s="40"/>
      <c r="CK1608" s="40"/>
      <c r="CL1608" s="33"/>
      <c r="CM1608" s="33"/>
      <c r="CN1608" s="33"/>
      <c r="CO1608" s="33"/>
      <c r="CP1608" s="33"/>
      <c r="CQ1608" s="33"/>
      <c r="CR1608" s="33"/>
    </row>
    <row r="1609" spans="14:96" ht="21">
      <c r="N1609" s="38"/>
      <c r="AE1609" s="33"/>
      <c r="AK1609" s="33"/>
      <c r="AL1609" s="33"/>
      <c r="AM1609" s="33"/>
      <c r="AN1609" s="33"/>
      <c r="AO1609" s="33"/>
      <c r="AP1609" s="33"/>
      <c r="AQ1609" s="33"/>
      <c r="AR1609" s="33"/>
      <c r="AS1609" s="33"/>
      <c r="AT1609" s="33"/>
      <c r="AU1609" s="33"/>
      <c r="AW1609" s="68"/>
      <c r="AX1609" s="33"/>
      <c r="AY1609" s="33"/>
      <c r="AZ1609" s="109"/>
      <c r="BA1609" s="109"/>
      <c r="CA1609" s="35"/>
      <c r="CH1609" s="39"/>
      <c r="CI1609" s="32"/>
      <c r="CJ1609" s="40"/>
      <c r="CK1609" s="40"/>
      <c r="CL1609" s="33"/>
      <c r="CM1609" s="33"/>
      <c r="CN1609" s="33"/>
      <c r="CO1609" s="33"/>
      <c r="CP1609" s="33"/>
      <c r="CQ1609" s="33"/>
      <c r="CR1609" s="33"/>
    </row>
    <row r="1610" spans="14:96" ht="21">
      <c r="N1610" s="38"/>
      <c r="AE1610" s="33"/>
      <c r="AK1610" s="33"/>
      <c r="AL1610" s="33"/>
      <c r="AM1610" s="33"/>
      <c r="AN1610" s="33"/>
      <c r="AO1610" s="33"/>
      <c r="AP1610" s="33"/>
      <c r="AQ1610" s="33"/>
      <c r="AR1610" s="33"/>
      <c r="AS1610" s="33"/>
      <c r="AT1610" s="33"/>
      <c r="AU1610" s="33"/>
      <c r="AW1610" s="68"/>
      <c r="AX1610" s="33"/>
      <c r="AY1610" s="33"/>
      <c r="AZ1610" s="109"/>
      <c r="BA1610" s="109"/>
      <c r="CA1610" s="35"/>
      <c r="CH1610" s="39"/>
      <c r="CI1610" s="32"/>
      <c r="CJ1610" s="40"/>
      <c r="CK1610" s="40"/>
      <c r="CL1610" s="33"/>
      <c r="CM1610" s="33"/>
      <c r="CN1610" s="33"/>
      <c r="CO1610" s="33"/>
      <c r="CP1610" s="33"/>
      <c r="CQ1610" s="33"/>
      <c r="CR1610" s="33"/>
    </row>
    <row r="1611" spans="14:96" ht="21">
      <c r="N1611" s="38"/>
      <c r="AE1611" s="33"/>
      <c r="AK1611" s="33"/>
      <c r="AL1611" s="33"/>
      <c r="AM1611" s="33"/>
      <c r="AN1611" s="33"/>
      <c r="AO1611" s="33"/>
      <c r="AP1611" s="33"/>
      <c r="AQ1611" s="33"/>
      <c r="AR1611" s="33"/>
      <c r="AS1611" s="33"/>
      <c r="AT1611" s="33"/>
      <c r="AU1611" s="33"/>
      <c r="AW1611" s="68"/>
      <c r="AX1611" s="33"/>
      <c r="AY1611" s="33"/>
      <c r="AZ1611" s="109"/>
      <c r="BA1611" s="109"/>
      <c r="CA1611" s="35"/>
      <c r="CH1611" s="39"/>
      <c r="CI1611" s="32"/>
      <c r="CJ1611" s="40"/>
      <c r="CK1611" s="40"/>
      <c r="CL1611" s="33"/>
      <c r="CM1611" s="33"/>
      <c r="CN1611" s="33"/>
      <c r="CO1611" s="33"/>
      <c r="CP1611" s="33"/>
      <c r="CQ1611" s="33"/>
      <c r="CR1611" s="33"/>
    </row>
    <row r="1612" spans="14:96" ht="21">
      <c r="N1612" s="38"/>
      <c r="AE1612" s="33"/>
      <c r="AK1612" s="33"/>
      <c r="AL1612" s="33"/>
      <c r="AM1612" s="33"/>
      <c r="AN1612" s="33"/>
      <c r="AO1612" s="33"/>
      <c r="AP1612" s="33"/>
      <c r="AQ1612" s="33"/>
      <c r="AR1612" s="33"/>
      <c r="AS1612" s="33"/>
      <c r="AT1612" s="33"/>
      <c r="AU1612" s="33"/>
      <c r="AW1612" s="68"/>
      <c r="AX1612" s="33"/>
      <c r="AY1612" s="33"/>
      <c r="AZ1612" s="109"/>
      <c r="BA1612" s="109"/>
      <c r="CA1612" s="35"/>
      <c r="CH1612" s="39"/>
      <c r="CI1612" s="32"/>
      <c r="CJ1612" s="40"/>
      <c r="CK1612" s="40"/>
      <c r="CL1612" s="33"/>
      <c r="CM1612" s="33"/>
      <c r="CN1612" s="33"/>
      <c r="CO1612" s="33"/>
      <c r="CP1612" s="33"/>
      <c r="CQ1612" s="33"/>
      <c r="CR1612" s="33"/>
    </row>
    <row r="1613" spans="14:96" ht="21">
      <c r="N1613" s="38"/>
      <c r="AE1613" s="33"/>
      <c r="AK1613" s="33"/>
      <c r="AL1613" s="33"/>
      <c r="AM1613" s="33"/>
      <c r="AN1613" s="33"/>
      <c r="AO1613" s="33"/>
      <c r="AP1613" s="33"/>
      <c r="AQ1613" s="33"/>
      <c r="AR1613" s="33"/>
      <c r="AS1613" s="33"/>
      <c r="AT1613" s="33"/>
      <c r="AU1613" s="33"/>
      <c r="AW1613" s="68"/>
      <c r="AX1613" s="33"/>
      <c r="AY1613" s="33"/>
      <c r="AZ1613" s="109"/>
      <c r="BA1613" s="109"/>
      <c r="CA1613" s="35"/>
      <c r="CH1613" s="39"/>
      <c r="CI1613" s="32"/>
      <c r="CJ1613" s="40"/>
      <c r="CK1613" s="40"/>
      <c r="CL1613" s="33"/>
      <c r="CM1613" s="33"/>
      <c r="CN1613" s="33"/>
      <c r="CO1613" s="33"/>
      <c r="CP1613" s="33"/>
      <c r="CQ1613" s="33"/>
      <c r="CR1613" s="33"/>
    </row>
    <row r="1614" spans="14:96" ht="21">
      <c r="N1614" s="38"/>
      <c r="AE1614" s="33"/>
      <c r="AK1614" s="33"/>
      <c r="AL1614" s="33"/>
      <c r="AM1614" s="33"/>
      <c r="AN1614" s="33"/>
      <c r="AO1614" s="33"/>
      <c r="AP1614" s="33"/>
      <c r="AQ1614" s="33"/>
      <c r="AR1614" s="33"/>
      <c r="AS1614" s="33"/>
      <c r="AT1614" s="33"/>
      <c r="AU1614" s="33"/>
      <c r="AW1614" s="68"/>
      <c r="AX1614" s="33"/>
      <c r="AY1614" s="33"/>
      <c r="AZ1614" s="109"/>
      <c r="BA1614" s="109"/>
      <c r="CA1614" s="36"/>
      <c r="CH1614" s="39"/>
      <c r="CI1614" s="32"/>
      <c r="CJ1614" s="40"/>
      <c r="CK1614" s="40"/>
      <c r="CL1614" s="40"/>
      <c r="CM1614" s="40"/>
      <c r="CN1614" s="40"/>
      <c r="CO1614" s="40"/>
      <c r="CP1614" s="40"/>
      <c r="CQ1614" s="40"/>
      <c r="CR1614" s="40"/>
    </row>
    <row r="1615" spans="14:96" ht="21">
      <c r="AE1615" s="33"/>
      <c r="AK1615" s="33"/>
      <c r="AL1615" s="33"/>
      <c r="AM1615" s="33"/>
      <c r="AN1615" s="33"/>
      <c r="AO1615" s="33"/>
      <c r="AP1615" s="33"/>
      <c r="AQ1615" s="33"/>
      <c r="AR1615" s="33"/>
      <c r="AS1615" s="33"/>
      <c r="AT1615" s="33"/>
      <c r="AU1615" s="33"/>
      <c r="AW1615" s="68"/>
      <c r="AX1615" s="33"/>
      <c r="AY1615" s="33"/>
      <c r="AZ1615" s="109"/>
      <c r="BA1615" s="109"/>
      <c r="CA1615" s="35"/>
      <c r="CH1615" s="39"/>
      <c r="CI1615" s="32"/>
      <c r="CJ1615" s="40"/>
      <c r="CK1615" s="40"/>
      <c r="CL1615" s="33"/>
      <c r="CM1615" s="33"/>
      <c r="CN1615" s="33"/>
      <c r="CO1615" s="33"/>
      <c r="CP1615" s="33"/>
      <c r="CQ1615" s="33"/>
      <c r="CR1615" s="33"/>
    </row>
    <row r="1616" spans="14:96" ht="21">
      <c r="AE1616" s="33"/>
      <c r="AK1616" s="33"/>
      <c r="AL1616" s="33"/>
      <c r="AM1616" s="33"/>
      <c r="AN1616" s="33"/>
      <c r="AO1616" s="33"/>
      <c r="AP1616" s="33"/>
      <c r="AQ1616" s="33"/>
      <c r="AR1616" s="33"/>
      <c r="AS1616" s="33"/>
      <c r="AT1616" s="33"/>
      <c r="AU1616" s="33"/>
      <c r="AW1616" s="68"/>
      <c r="AX1616" s="33"/>
      <c r="AY1616" s="33"/>
      <c r="AZ1616" s="109"/>
      <c r="BA1616" s="109"/>
      <c r="CA1616" s="35"/>
      <c r="CH1616" s="39"/>
      <c r="CI1616" s="32"/>
      <c r="CJ1616" s="40"/>
      <c r="CK1616" s="40"/>
      <c r="CL1616" s="33"/>
      <c r="CM1616" s="33"/>
      <c r="CN1616" s="33"/>
      <c r="CO1616" s="33"/>
      <c r="CP1616" s="33"/>
      <c r="CQ1616" s="33"/>
      <c r="CR1616" s="33"/>
    </row>
    <row r="1617" spans="31:96" ht="21">
      <c r="AE1617" s="33"/>
      <c r="AK1617" s="33"/>
      <c r="AL1617" s="33"/>
      <c r="AM1617" s="33"/>
      <c r="AN1617" s="33"/>
      <c r="AO1617" s="33"/>
      <c r="AP1617" s="33"/>
      <c r="AQ1617" s="33"/>
      <c r="AR1617" s="33"/>
      <c r="AS1617" s="33"/>
      <c r="AT1617" s="33"/>
      <c r="AU1617" s="33"/>
      <c r="AW1617" s="68"/>
      <c r="AX1617" s="33"/>
      <c r="AY1617" s="33"/>
      <c r="AZ1617" s="109"/>
      <c r="BA1617" s="109"/>
      <c r="CA1617" s="35"/>
      <c r="CH1617" s="39"/>
      <c r="CI1617" s="32"/>
      <c r="CJ1617" s="40"/>
      <c r="CK1617" s="40"/>
      <c r="CL1617" s="33"/>
      <c r="CM1617" s="33"/>
      <c r="CN1617" s="33"/>
      <c r="CO1617" s="33"/>
      <c r="CP1617" s="33"/>
      <c r="CQ1617" s="33"/>
      <c r="CR1617" s="33"/>
    </row>
    <row r="1618" spans="31:96" ht="21">
      <c r="AE1618" s="33"/>
      <c r="AK1618" s="33"/>
      <c r="AL1618" s="33"/>
      <c r="AM1618" s="33"/>
      <c r="AN1618" s="33"/>
      <c r="AO1618" s="33"/>
      <c r="AP1618" s="33"/>
      <c r="AQ1618" s="33"/>
      <c r="AR1618" s="33"/>
      <c r="AS1618" s="33"/>
      <c r="AT1618" s="33"/>
      <c r="AU1618" s="33"/>
      <c r="AW1618" s="68"/>
      <c r="AX1618" s="33"/>
      <c r="AY1618" s="33"/>
      <c r="AZ1618" s="109"/>
      <c r="BA1618" s="109"/>
      <c r="CA1618" s="35"/>
      <c r="CH1618" s="39"/>
      <c r="CI1618" s="32"/>
      <c r="CJ1618" s="40"/>
      <c r="CK1618" s="40"/>
      <c r="CL1618" s="33"/>
      <c r="CM1618" s="33"/>
      <c r="CN1618" s="33"/>
      <c r="CO1618" s="33"/>
      <c r="CP1618" s="33"/>
      <c r="CQ1618" s="33"/>
      <c r="CR1618" s="33"/>
    </row>
    <row r="1619" spans="31:96" ht="21">
      <c r="AE1619" s="33"/>
      <c r="AK1619" s="33"/>
      <c r="AL1619" s="33"/>
      <c r="AM1619" s="33"/>
      <c r="AN1619" s="33"/>
      <c r="AO1619" s="33"/>
      <c r="AP1619" s="91"/>
      <c r="AQ1619" s="91"/>
      <c r="AR1619" s="91"/>
      <c r="AS1619" s="91"/>
      <c r="AT1619" s="91"/>
      <c r="AU1619" s="91"/>
      <c r="AV1619" s="91"/>
      <c r="AW1619" s="65"/>
      <c r="AX1619" s="91"/>
      <c r="AY1619" s="91"/>
      <c r="AZ1619" s="91"/>
      <c r="BA1619" s="91"/>
      <c r="BB1619" s="90"/>
      <c r="BC1619" s="90"/>
      <c r="BD1619" s="90"/>
      <c r="BE1619" s="90"/>
      <c r="BF1619" s="90"/>
      <c r="BG1619" s="90"/>
      <c r="CA1619" s="35"/>
      <c r="CH1619" s="39"/>
      <c r="CI1619" s="32"/>
      <c r="CJ1619" s="40"/>
      <c r="CK1619" s="40"/>
      <c r="CL1619" s="33"/>
      <c r="CM1619" s="33"/>
      <c r="CN1619" s="33"/>
      <c r="CO1619" s="33"/>
      <c r="CP1619" s="33"/>
      <c r="CQ1619" s="33"/>
      <c r="CR1619" s="33"/>
    </row>
    <row r="1620" spans="31:96" ht="21">
      <c r="AE1620" s="33"/>
      <c r="AK1620" s="33"/>
      <c r="AL1620" s="33"/>
      <c r="AM1620" s="33"/>
      <c r="AN1620" s="33"/>
      <c r="AO1620" s="33"/>
      <c r="AP1620" s="91"/>
      <c r="AQ1620" s="91"/>
      <c r="AR1620" s="91"/>
      <c r="AS1620" s="91"/>
      <c r="AT1620" s="91"/>
      <c r="AU1620" s="91"/>
      <c r="AV1620" s="91"/>
      <c r="AW1620" s="65"/>
      <c r="AX1620" s="91"/>
      <c r="AY1620" s="91"/>
      <c r="AZ1620" s="91"/>
      <c r="BA1620" s="91"/>
      <c r="BB1620" s="90"/>
      <c r="BC1620" s="90"/>
      <c r="BD1620" s="90"/>
      <c r="BE1620" s="90"/>
      <c r="BF1620" s="90"/>
      <c r="BG1620" s="90"/>
      <c r="CA1620" s="35"/>
      <c r="CH1620" s="39"/>
      <c r="CI1620" s="32"/>
      <c r="CJ1620" s="40"/>
      <c r="CK1620" s="40"/>
      <c r="CL1620" s="33"/>
      <c r="CM1620" s="33"/>
      <c r="CN1620" s="33"/>
      <c r="CO1620" s="33"/>
      <c r="CP1620" s="33"/>
      <c r="CQ1620" s="33"/>
      <c r="CR1620" s="33"/>
    </row>
    <row r="1621" spans="31:96" ht="21">
      <c r="AE1621" s="33"/>
      <c r="AK1621" s="33"/>
      <c r="AL1621" s="33"/>
      <c r="AM1621" s="33"/>
      <c r="AN1621" s="33"/>
      <c r="AO1621" s="33"/>
      <c r="AP1621" s="91"/>
      <c r="AQ1621" s="91"/>
      <c r="AR1621" s="91"/>
      <c r="AS1621" s="91"/>
      <c r="AT1621" s="91"/>
      <c r="AU1621" s="91"/>
      <c r="AV1621" s="91"/>
      <c r="AW1621" s="65"/>
      <c r="AX1621" s="91"/>
      <c r="AY1621" s="91"/>
      <c r="AZ1621" s="91"/>
      <c r="BA1621" s="91"/>
      <c r="BB1621" s="90"/>
      <c r="BC1621" s="90"/>
      <c r="BD1621" s="90"/>
      <c r="BE1621" s="90"/>
      <c r="BF1621" s="90"/>
      <c r="BG1621" s="90"/>
      <c r="CA1621" s="35"/>
      <c r="CH1621" s="39"/>
      <c r="CI1621" s="32"/>
      <c r="CJ1621" s="40"/>
      <c r="CK1621" s="40"/>
      <c r="CL1621" s="33"/>
      <c r="CM1621" s="33"/>
      <c r="CN1621" s="33"/>
      <c r="CO1621" s="33"/>
      <c r="CP1621" s="33"/>
      <c r="CQ1621" s="33"/>
      <c r="CR1621" s="33"/>
    </row>
    <row r="1622" spans="31:96" ht="21">
      <c r="AE1622" s="33"/>
      <c r="AK1622" s="33"/>
      <c r="AL1622" s="33"/>
      <c r="AM1622" s="33"/>
      <c r="AN1622" s="33"/>
      <c r="AO1622" s="33"/>
      <c r="AP1622" s="91"/>
      <c r="AQ1622" s="91"/>
      <c r="AR1622" s="91"/>
      <c r="AS1622" s="91"/>
      <c r="AT1622" s="91"/>
      <c r="AU1622" s="91"/>
      <c r="AV1622" s="91"/>
      <c r="AW1622" s="65"/>
      <c r="AX1622" s="91"/>
      <c r="AY1622" s="91"/>
      <c r="AZ1622" s="91"/>
      <c r="BA1622" s="91"/>
      <c r="BB1622" s="90"/>
      <c r="BC1622" s="90"/>
      <c r="BD1622" s="90"/>
      <c r="BE1622" s="90"/>
      <c r="BF1622" s="90"/>
      <c r="BG1622" s="90"/>
      <c r="CA1622" s="35"/>
      <c r="CH1622" s="39"/>
      <c r="CI1622" s="32"/>
      <c r="CJ1622" s="40"/>
      <c r="CK1622" s="40"/>
      <c r="CL1622" s="33"/>
      <c r="CM1622" s="33"/>
      <c r="CN1622" s="33"/>
      <c r="CO1622" s="33"/>
      <c r="CP1622" s="33"/>
      <c r="CQ1622" s="33"/>
      <c r="CR1622" s="33"/>
    </row>
    <row r="1623" spans="31:96" ht="21">
      <c r="AE1623" s="33"/>
      <c r="AK1623" s="33"/>
      <c r="AL1623" s="33"/>
      <c r="AM1623" s="33"/>
      <c r="AN1623" s="33"/>
      <c r="AO1623" s="33"/>
      <c r="AP1623" s="91">
        <v>119055</v>
      </c>
      <c r="AQ1623" s="91">
        <v>117457</v>
      </c>
      <c r="AR1623" s="91">
        <v>115997</v>
      </c>
      <c r="AS1623" s="91">
        <v>114858</v>
      </c>
      <c r="AT1623" s="91">
        <v>109183</v>
      </c>
      <c r="AU1623" s="91">
        <v>107344</v>
      </c>
      <c r="AV1623" s="91">
        <v>106100</v>
      </c>
      <c r="AW1623" s="65">
        <v>105051</v>
      </c>
      <c r="AX1623" s="91">
        <v>103837</v>
      </c>
      <c r="AY1623" s="91">
        <v>101381</v>
      </c>
      <c r="AZ1623" s="91">
        <v>100346</v>
      </c>
      <c r="BA1623" s="91"/>
      <c r="BB1623" s="90"/>
      <c r="BC1623" s="90"/>
      <c r="BD1623" s="90"/>
      <c r="BE1623" s="90"/>
      <c r="BF1623" s="90"/>
      <c r="BG1623" s="90"/>
      <c r="CA1623" s="35"/>
      <c r="CH1623" s="39"/>
      <c r="CI1623" s="32"/>
      <c r="CJ1623" s="40"/>
      <c r="CK1623" s="40"/>
      <c r="CL1623" s="33"/>
      <c r="CM1623" s="33"/>
      <c r="CN1623" s="33"/>
      <c r="CO1623" s="33"/>
      <c r="CP1623" s="33"/>
      <c r="CQ1623" s="33"/>
      <c r="CR1623" s="33"/>
    </row>
    <row r="1624" spans="31:96" ht="21">
      <c r="AE1624" s="33"/>
      <c r="AK1624" s="33"/>
      <c r="AL1624" s="33"/>
      <c r="AM1624" s="33"/>
      <c r="AN1624" s="33"/>
      <c r="AO1624" s="33"/>
      <c r="AP1624" s="91"/>
      <c r="AQ1624" s="91"/>
      <c r="AR1624" s="91"/>
      <c r="AS1624" s="91"/>
      <c r="AT1624" s="91"/>
      <c r="AU1624" s="91"/>
      <c r="AV1624" s="91"/>
      <c r="AW1624" s="65"/>
      <c r="AX1624" s="91"/>
      <c r="AY1624" s="91"/>
      <c r="AZ1624" s="91"/>
      <c r="BA1624" s="91"/>
      <c r="BB1624" s="90"/>
      <c r="BC1624" s="90"/>
      <c r="BD1624" s="90"/>
      <c r="BE1624" s="90"/>
      <c r="BF1624" s="90"/>
      <c r="BG1624" s="90"/>
      <c r="CA1624" s="35"/>
      <c r="CH1624" s="39"/>
      <c r="CI1624" s="32"/>
      <c r="CJ1624" s="40"/>
      <c r="CK1624" s="40"/>
      <c r="CL1624" s="33"/>
      <c r="CM1624" s="33"/>
      <c r="CN1624" s="33"/>
      <c r="CO1624" s="33"/>
      <c r="CP1624" s="33"/>
      <c r="CQ1624" s="33"/>
      <c r="CR1624" s="33"/>
    </row>
    <row r="1625" spans="31:96" ht="21">
      <c r="AE1625" s="33"/>
      <c r="AK1625" s="33"/>
      <c r="AL1625" s="33"/>
      <c r="AM1625" s="33"/>
      <c r="AN1625" s="33"/>
      <c r="AO1625" s="33"/>
      <c r="AP1625" s="33"/>
      <c r="AQ1625" s="33"/>
      <c r="AR1625" s="33"/>
      <c r="AS1625" s="33"/>
      <c r="AT1625" s="33"/>
      <c r="AU1625" s="33"/>
      <c r="AW1625" s="68"/>
      <c r="AX1625" s="33"/>
      <c r="AY1625" s="33"/>
      <c r="AZ1625" s="109"/>
      <c r="BA1625" s="109"/>
      <c r="CA1625" s="35"/>
      <c r="CH1625" s="39"/>
      <c r="CI1625" s="32"/>
      <c r="CJ1625" s="40"/>
      <c r="CK1625" s="40"/>
      <c r="CL1625" s="33"/>
      <c r="CM1625" s="33"/>
      <c r="CN1625" s="33"/>
      <c r="CO1625" s="33"/>
      <c r="CP1625" s="33"/>
      <c r="CQ1625" s="33"/>
      <c r="CR1625" s="33"/>
    </row>
    <row r="1626" spans="31:96" ht="21">
      <c r="AE1626" s="33"/>
      <c r="AK1626" s="33"/>
      <c r="AL1626" s="33"/>
      <c r="AM1626" s="33"/>
      <c r="AN1626" s="33"/>
      <c r="AO1626" s="33"/>
      <c r="AP1626" s="33"/>
      <c r="AQ1626" s="33"/>
      <c r="AR1626" s="33"/>
      <c r="AS1626" s="33"/>
      <c r="AT1626" s="33"/>
      <c r="AU1626" s="33"/>
      <c r="AW1626" s="68"/>
      <c r="AX1626" s="33"/>
      <c r="AY1626" s="33"/>
      <c r="AZ1626" s="109"/>
      <c r="BA1626" s="109"/>
      <c r="CA1626" s="35"/>
      <c r="CH1626" s="39"/>
      <c r="CI1626" s="32"/>
      <c r="CJ1626" s="40"/>
      <c r="CK1626" s="40"/>
      <c r="CL1626" s="33"/>
      <c r="CM1626" s="33"/>
      <c r="CN1626" s="33"/>
      <c r="CO1626" s="33"/>
      <c r="CP1626" s="33"/>
      <c r="CQ1626" s="33"/>
      <c r="CR1626" s="33"/>
    </row>
    <row r="1627" spans="31:96" ht="21">
      <c r="AE1627" s="33"/>
      <c r="AK1627" s="33"/>
      <c r="AL1627" s="33"/>
      <c r="AM1627" s="33"/>
      <c r="AN1627" s="33"/>
      <c r="AO1627" s="33"/>
      <c r="AP1627" s="33"/>
      <c r="AQ1627" s="33"/>
      <c r="AR1627" s="33"/>
      <c r="AS1627" s="33"/>
      <c r="AT1627" s="33"/>
      <c r="AU1627" s="33"/>
      <c r="AW1627" s="68"/>
      <c r="AX1627" s="33"/>
      <c r="AY1627" s="33"/>
      <c r="AZ1627" s="109"/>
      <c r="BA1627" s="109"/>
      <c r="CA1627" s="35"/>
      <c r="CH1627" s="39"/>
      <c r="CI1627" s="32"/>
      <c r="CJ1627" s="40"/>
      <c r="CK1627" s="40"/>
      <c r="CL1627" s="33"/>
      <c r="CM1627" s="33"/>
      <c r="CN1627" s="33"/>
      <c r="CO1627" s="33"/>
      <c r="CP1627" s="33"/>
      <c r="CQ1627" s="33"/>
      <c r="CR1627" s="33"/>
    </row>
    <row r="1628" spans="31:96" ht="21">
      <c r="AE1628" s="33"/>
      <c r="AK1628" s="33"/>
      <c r="AL1628" s="33"/>
      <c r="AM1628" s="33"/>
      <c r="AN1628" s="33"/>
      <c r="AO1628" s="33"/>
      <c r="AP1628" s="33"/>
      <c r="AQ1628" s="33"/>
      <c r="AR1628" s="33"/>
      <c r="AS1628" s="33"/>
      <c r="AT1628" s="33"/>
      <c r="AU1628" s="33"/>
      <c r="AW1628" s="68"/>
      <c r="AX1628" s="33"/>
      <c r="AY1628" s="33"/>
      <c r="AZ1628" s="109"/>
      <c r="BA1628" s="109"/>
      <c r="CA1628" s="35"/>
      <c r="CH1628" s="39"/>
      <c r="CI1628" s="32"/>
      <c r="CJ1628" s="40"/>
      <c r="CK1628" s="40"/>
      <c r="CL1628" s="33"/>
      <c r="CM1628" s="33"/>
      <c r="CN1628" s="33"/>
      <c r="CO1628" s="33"/>
      <c r="CP1628" s="33"/>
      <c r="CQ1628" s="33"/>
      <c r="CR1628" s="33"/>
    </row>
    <row r="1629" spans="31:96" ht="21">
      <c r="AE1629" s="33"/>
      <c r="AK1629" s="33"/>
      <c r="AL1629" s="33"/>
      <c r="AM1629" s="33"/>
      <c r="AN1629" s="33"/>
      <c r="AO1629" s="33"/>
      <c r="AP1629" s="33"/>
      <c r="AQ1629" s="33"/>
      <c r="AR1629" s="33"/>
      <c r="AS1629" s="33"/>
      <c r="AT1629" s="33"/>
      <c r="AU1629" s="33"/>
      <c r="AW1629" s="68"/>
      <c r="AX1629" s="33"/>
      <c r="AY1629" s="33"/>
      <c r="AZ1629" s="109"/>
      <c r="BA1629" s="109"/>
      <c r="CA1629" s="35"/>
      <c r="CH1629" s="39"/>
      <c r="CI1629" s="32"/>
      <c r="CJ1629" s="40"/>
      <c r="CK1629" s="40"/>
      <c r="CL1629" s="33"/>
      <c r="CM1629" s="33"/>
      <c r="CN1629" s="33"/>
      <c r="CO1629" s="33"/>
      <c r="CP1629" s="33"/>
      <c r="CQ1629" s="33"/>
      <c r="CR1629" s="33"/>
    </row>
    <row r="1630" spans="31:96" ht="21">
      <c r="AE1630" s="33"/>
      <c r="AK1630" s="33"/>
      <c r="AL1630" s="33"/>
      <c r="AM1630" s="33"/>
      <c r="AN1630" s="33"/>
      <c r="AO1630" s="33"/>
      <c r="AP1630" s="33"/>
      <c r="AQ1630" s="33"/>
      <c r="AR1630" s="33"/>
      <c r="AS1630" s="33"/>
      <c r="AT1630" s="33"/>
      <c r="AU1630" s="33"/>
      <c r="AW1630" s="68"/>
      <c r="AX1630" s="33"/>
      <c r="AY1630" s="33"/>
      <c r="AZ1630" s="109"/>
      <c r="BA1630" s="109"/>
      <c r="CA1630" s="35"/>
      <c r="CH1630" s="39"/>
      <c r="CI1630" s="32"/>
      <c r="CJ1630" s="40"/>
      <c r="CK1630" s="40"/>
      <c r="CL1630" s="33"/>
      <c r="CM1630" s="33"/>
      <c r="CN1630" s="33"/>
      <c r="CO1630" s="33"/>
      <c r="CP1630" s="33"/>
      <c r="CQ1630" s="33"/>
      <c r="CR1630" s="33"/>
    </row>
    <row r="1631" spans="31:96" ht="21">
      <c r="AE1631" s="33"/>
      <c r="AK1631" s="33"/>
      <c r="AL1631" s="33"/>
      <c r="AM1631" s="33"/>
      <c r="AN1631" s="33"/>
      <c r="AO1631" s="33"/>
      <c r="AP1631" s="33"/>
      <c r="AQ1631" s="33"/>
      <c r="AR1631" s="33"/>
      <c r="AS1631" s="33"/>
      <c r="AT1631" s="33"/>
      <c r="AU1631" s="33"/>
      <c r="AW1631" s="68"/>
      <c r="AX1631" s="33"/>
      <c r="AY1631" s="33"/>
      <c r="AZ1631" s="109"/>
      <c r="BA1631" s="109"/>
      <c r="CA1631" s="35"/>
      <c r="CH1631" s="39"/>
      <c r="CI1631" s="32"/>
      <c r="CJ1631" s="40"/>
      <c r="CK1631" s="40"/>
      <c r="CL1631" s="33"/>
      <c r="CM1631" s="33"/>
      <c r="CN1631" s="33"/>
      <c r="CO1631" s="33"/>
      <c r="CP1631" s="33"/>
      <c r="CQ1631" s="33"/>
      <c r="CR1631" s="33"/>
    </row>
    <row r="1632" spans="31:96" ht="21">
      <c r="AE1632" s="33"/>
      <c r="AK1632" s="33"/>
      <c r="AL1632" s="33"/>
      <c r="AM1632" s="33"/>
      <c r="AN1632" s="33"/>
      <c r="AO1632" s="33"/>
      <c r="AP1632" s="33"/>
      <c r="AQ1632" s="33"/>
      <c r="AR1632" s="33"/>
      <c r="AS1632" s="33"/>
      <c r="AT1632" s="33"/>
      <c r="AU1632" s="33"/>
      <c r="AW1632" s="68"/>
      <c r="AX1632" s="33"/>
      <c r="AY1632" s="33"/>
      <c r="AZ1632" s="109"/>
      <c r="BA1632" s="109"/>
      <c r="CA1632" s="35"/>
      <c r="CH1632" s="39"/>
      <c r="CI1632" s="32"/>
      <c r="CJ1632" s="40"/>
      <c r="CK1632" s="40"/>
      <c r="CL1632" s="33"/>
      <c r="CM1632" s="33"/>
      <c r="CN1632" s="33"/>
      <c r="CO1632" s="33"/>
      <c r="CP1632" s="33"/>
      <c r="CQ1632" s="33"/>
      <c r="CR1632" s="33"/>
    </row>
    <row r="1633" spans="31:96" ht="21">
      <c r="AE1633" s="33"/>
      <c r="AK1633" s="33"/>
      <c r="AL1633" s="33"/>
      <c r="AM1633" s="33"/>
      <c r="AN1633" s="33"/>
      <c r="AO1633" s="33"/>
      <c r="AP1633" s="33"/>
      <c r="AQ1633" s="33"/>
      <c r="AR1633" s="33"/>
      <c r="AS1633" s="33"/>
      <c r="AT1633" s="33"/>
      <c r="AU1633" s="33"/>
      <c r="AW1633" s="68"/>
      <c r="AX1633" s="33"/>
      <c r="AY1633" s="33"/>
      <c r="AZ1633" s="109"/>
      <c r="BA1633" s="109"/>
      <c r="CA1633" s="35"/>
      <c r="CH1633" s="39"/>
      <c r="CI1633" s="32"/>
      <c r="CJ1633" s="40"/>
      <c r="CK1633" s="40"/>
      <c r="CL1633" s="33"/>
      <c r="CM1633" s="33"/>
      <c r="CN1633" s="33"/>
      <c r="CO1633" s="33"/>
      <c r="CP1633" s="33"/>
      <c r="CQ1633" s="33"/>
      <c r="CR1633" s="33"/>
    </row>
    <row r="1634" spans="31:96" ht="21">
      <c r="AE1634" s="33"/>
      <c r="AK1634" s="33"/>
      <c r="AL1634" s="33"/>
      <c r="AM1634" s="33"/>
      <c r="AN1634" s="33"/>
      <c r="AO1634" s="33"/>
      <c r="AP1634" s="33"/>
      <c r="AQ1634" s="33"/>
      <c r="AR1634" s="33"/>
      <c r="AS1634" s="33"/>
      <c r="AT1634" s="33"/>
      <c r="AU1634" s="33"/>
      <c r="AW1634" s="68"/>
      <c r="AX1634" s="33"/>
      <c r="AY1634" s="33"/>
      <c r="AZ1634" s="109"/>
      <c r="BA1634" s="109"/>
      <c r="CA1634" s="35"/>
      <c r="CH1634" s="39"/>
      <c r="CI1634" s="32"/>
      <c r="CJ1634" s="40"/>
      <c r="CK1634" s="40"/>
      <c r="CL1634" s="33"/>
      <c r="CM1634" s="33"/>
      <c r="CN1634" s="33"/>
      <c r="CO1634" s="33"/>
      <c r="CP1634" s="33"/>
      <c r="CQ1634" s="33"/>
      <c r="CR1634" s="33"/>
    </row>
    <row r="1635" spans="31:96" ht="21">
      <c r="AE1635" s="33"/>
      <c r="AK1635" s="33"/>
      <c r="AL1635" s="33"/>
      <c r="AM1635" s="33"/>
      <c r="AN1635" s="33"/>
      <c r="AO1635" s="33"/>
      <c r="AP1635" s="33"/>
      <c r="AQ1635" s="33"/>
      <c r="AR1635" s="33"/>
      <c r="AS1635" s="33"/>
      <c r="AT1635" s="33"/>
      <c r="AU1635" s="33"/>
      <c r="AW1635" s="68"/>
      <c r="AX1635" s="33"/>
      <c r="AY1635" s="33"/>
      <c r="AZ1635" s="109"/>
      <c r="BA1635" s="109"/>
      <c r="CA1635" s="35"/>
      <c r="CH1635" s="39"/>
      <c r="CI1635" s="32"/>
      <c r="CJ1635" s="40"/>
      <c r="CK1635" s="40"/>
      <c r="CL1635" s="33"/>
      <c r="CM1635" s="33"/>
      <c r="CN1635" s="33"/>
      <c r="CO1635" s="33"/>
      <c r="CP1635" s="33"/>
      <c r="CQ1635" s="33"/>
      <c r="CR1635" s="33"/>
    </row>
    <row r="1636" spans="31:96" ht="21">
      <c r="AE1636" s="33"/>
      <c r="AK1636" s="33"/>
      <c r="AL1636" s="33"/>
      <c r="AM1636" s="33"/>
      <c r="AN1636" s="33"/>
      <c r="AO1636" s="33"/>
      <c r="AP1636" s="33"/>
      <c r="AQ1636" s="33"/>
      <c r="AR1636" s="33"/>
      <c r="AS1636" s="33"/>
      <c r="AT1636" s="33"/>
      <c r="AU1636" s="33"/>
      <c r="AW1636" s="68"/>
      <c r="AX1636" s="33"/>
      <c r="AY1636" s="33"/>
      <c r="AZ1636" s="109"/>
      <c r="BA1636" s="109"/>
      <c r="CA1636" s="36"/>
      <c r="CH1636" s="39"/>
      <c r="CI1636" s="32"/>
      <c r="CJ1636" s="40"/>
      <c r="CK1636" s="40"/>
      <c r="CL1636" s="40"/>
      <c r="CM1636" s="40"/>
      <c r="CN1636" s="40"/>
      <c r="CO1636" s="40"/>
      <c r="CP1636" s="40"/>
      <c r="CQ1636" s="40"/>
      <c r="CR1636" s="40"/>
    </row>
    <row r="1637" spans="31:96" ht="21">
      <c r="AE1637" s="33"/>
      <c r="AK1637" s="33"/>
      <c r="AL1637" s="33"/>
      <c r="AM1637" s="33"/>
      <c r="AN1637" s="33"/>
      <c r="AO1637" s="33"/>
      <c r="AP1637" s="33"/>
      <c r="AQ1637" s="33"/>
      <c r="AR1637" s="33"/>
      <c r="AS1637" s="33"/>
      <c r="AT1637" s="33"/>
      <c r="AU1637" s="33"/>
      <c r="AW1637" s="68"/>
      <c r="AX1637" s="33"/>
      <c r="AY1637" s="33"/>
      <c r="AZ1637" s="109"/>
      <c r="BA1637" s="109"/>
      <c r="CA1637" s="35"/>
      <c r="CH1637" s="39"/>
      <c r="CI1637" s="32"/>
      <c r="CJ1637" s="40"/>
      <c r="CK1637" s="40"/>
      <c r="CL1637" s="33"/>
      <c r="CM1637" s="33"/>
      <c r="CN1637" s="33"/>
      <c r="CO1637" s="33"/>
      <c r="CP1637" s="33"/>
      <c r="CQ1637" s="33"/>
      <c r="CR1637" s="33"/>
    </row>
    <row r="1638" spans="31:96" ht="21">
      <c r="AE1638" s="33"/>
      <c r="AK1638" s="33"/>
      <c r="AL1638" s="33"/>
      <c r="AM1638" s="33"/>
      <c r="AN1638" s="33"/>
      <c r="AO1638" s="33"/>
      <c r="AP1638" s="33"/>
      <c r="AQ1638" s="33"/>
      <c r="AR1638" s="33"/>
      <c r="AS1638" s="33"/>
      <c r="AT1638" s="33"/>
      <c r="AU1638" s="33"/>
      <c r="AW1638" s="68"/>
      <c r="AX1638" s="33"/>
      <c r="AY1638" s="33"/>
      <c r="AZ1638" s="109"/>
      <c r="BA1638" s="109"/>
      <c r="CA1638" s="35"/>
      <c r="CH1638" s="39"/>
      <c r="CI1638" s="32"/>
      <c r="CJ1638" s="40"/>
      <c r="CK1638" s="40"/>
      <c r="CL1638" s="33"/>
      <c r="CM1638" s="33"/>
      <c r="CN1638" s="33"/>
      <c r="CO1638" s="33"/>
      <c r="CP1638" s="33"/>
      <c r="CQ1638" s="33"/>
      <c r="CR1638" s="33"/>
    </row>
    <row r="1639" spans="31:96" ht="21">
      <c r="AE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W1639" s="68"/>
      <c r="AX1639" s="33"/>
      <c r="AY1639" s="33"/>
      <c r="AZ1639" s="109"/>
      <c r="BA1639" s="109"/>
      <c r="CA1639" s="35"/>
      <c r="CH1639" s="39"/>
      <c r="CI1639" s="32"/>
      <c r="CJ1639" s="40"/>
      <c r="CK1639" s="40"/>
      <c r="CL1639" s="33"/>
      <c r="CM1639" s="33"/>
      <c r="CN1639" s="33"/>
      <c r="CO1639" s="33"/>
      <c r="CP1639" s="33"/>
      <c r="CQ1639" s="33"/>
      <c r="CR1639" s="33"/>
    </row>
    <row r="1640" spans="31:96" ht="21">
      <c r="AE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W1640" s="68"/>
      <c r="AX1640" s="33"/>
      <c r="AY1640" s="33"/>
      <c r="AZ1640" s="109"/>
      <c r="BA1640" s="109"/>
      <c r="CA1640" s="35"/>
      <c r="CH1640" s="39"/>
      <c r="CI1640" s="32"/>
      <c r="CJ1640" s="40"/>
      <c r="CK1640" s="40"/>
      <c r="CL1640" s="33"/>
      <c r="CM1640" s="33"/>
      <c r="CN1640" s="33"/>
      <c r="CO1640" s="33"/>
      <c r="CP1640" s="33"/>
      <c r="CQ1640" s="33"/>
      <c r="CR1640" s="33"/>
    </row>
    <row r="1641" spans="31:96" ht="21">
      <c r="AE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W1641" s="68"/>
      <c r="AX1641" s="33"/>
      <c r="AY1641" s="33"/>
      <c r="AZ1641" s="109"/>
      <c r="BA1641" s="109"/>
      <c r="CA1641" s="35"/>
      <c r="CH1641" s="39"/>
      <c r="CI1641" s="32"/>
      <c r="CJ1641" s="40"/>
      <c r="CK1641" s="40"/>
      <c r="CL1641" s="33"/>
      <c r="CM1641" s="33"/>
      <c r="CN1641" s="33"/>
      <c r="CO1641" s="33"/>
      <c r="CP1641" s="33"/>
      <c r="CQ1641" s="33"/>
      <c r="CR1641" s="33"/>
    </row>
    <row r="1642" spans="31:96" ht="21">
      <c r="AE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W1642" s="68"/>
      <c r="AX1642" s="33"/>
      <c r="AY1642" s="33"/>
      <c r="AZ1642" s="109"/>
      <c r="BA1642" s="109"/>
      <c r="CA1642" s="35"/>
      <c r="CH1642" s="39"/>
      <c r="CI1642" s="32"/>
      <c r="CJ1642" s="40"/>
      <c r="CK1642" s="40"/>
      <c r="CL1642" s="33"/>
      <c r="CM1642" s="33"/>
      <c r="CN1642" s="33"/>
      <c r="CO1642" s="33"/>
      <c r="CP1642" s="33"/>
      <c r="CQ1642" s="33"/>
      <c r="CR1642" s="33"/>
    </row>
    <row r="1643" spans="31:96" ht="21">
      <c r="AE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W1643" s="68"/>
      <c r="AX1643" s="33"/>
      <c r="AY1643" s="33"/>
      <c r="AZ1643" s="109"/>
      <c r="BA1643" s="109"/>
      <c r="CA1643" s="35"/>
      <c r="CH1643" s="39"/>
      <c r="CI1643" s="32"/>
      <c r="CJ1643" s="40"/>
      <c r="CK1643" s="40"/>
      <c r="CL1643" s="33"/>
      <c r="CM1643" s="33"/>
      <c r="CN1643" s="33"/>
      <c r="CO1643" s="33"/>
      <c r="CP1643" s="33"/>
      <c r="CQ1643" s="33"/>
      <c r="CR1643" s="33"/>
    </row>
    <row r="1644" spans="31:96" ht="21">
      <c r="AE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W1644" s="68"/>
      <c r="AX1644" s="33"/>
      <c r="AY1644" s="33"/>
      <c r="AZ1644" s="109"/>
      <c r="BA1644" s="109"/>
      <c r="CA1644" s="35"/>
      <c r="CH1644" s="39"/>
      <c r="CI1644" s="32"/>
      <c r="CJ1644" s="40"/>
      <c r="CK1644" s="40"/>
      <c r="CL1644" s="33"/>
      <c r="CM1644" s="33"/>
      <c r="CN1644" s="33"/>
      <c r="CO1644" s="33"/>
      <c r="CP1644" s="33"/>
      <c r="CQ1644" s="33"/>
      <c r="CR1644" s="33"/>
    </row>
    <row r="1645" spans="31:96" ht="21">
      <c r="AE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W1645" s="68"/>
      <c r="AX1645" s="33"/>
      <c r="AY1645" s="33"/>
      <c r="AZ1645" s="109"/>
      <c r="BA1645" s="109"/>
      <c r="CA1645" s="35"/>
      <c r="CH1645" s="39"/>
      <c r="CI1645" s="32"/>
      <c r="CJ1645" s="40"/>
      <c r="CK1645" s="40"/>
      <c r="CL1645" s="33"/>
      <c r="CM1645" s="33"/>
      <c r="CN1645" s="33"/>
      <c r="CO1645" s="33"/>
      <c r="CP1645" s="33"/>
      <c r="CQ1645" s="33"/>
      <c r="CR1645" s="33"/>
    </row>
    <row r="1646" spans="31:96" ht="21">
      <c r="AE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W1646" s="68"/>
      <c r="AX1646" s="33"/>
      <c r="AY1646" s="33"/>
      <c r="AZ1646" s="109"/>
      <c r="BA1646" s="109"/>
      <c r="CA1646" s="35"/>
      <c r="CH1646" s="39"/>
      <c r="CI1646" s="32"/>
      <c r="CJ1646" s="40"/>
      <c r="CK1646" s="40"/>
      <c r="CL1646" s="33"/>
      <c r="CM1646" s="33"/>
      <c r="CN1646" s="33"/>
      <c r="CO1646" s="33"/>
      <c r="CP1646" s="33"/>
      <c r="CQ1646" s="33"/>
      <c r="CR1646" s="33"/>
    </row>
    <row r="1647" spans="31:96" ht="21">
      <c r="AE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W1647" s="68"/>
      <c r="AX1647" s="33"/>
      <c r="AY1647" s="33"/>
      <c r="AZ1647" s="109"/>
      <c r="BA1647" s="109"/>
      <c r="CA1647" s="35"/>
      <c r="CH1647" s="39"/>
      <c r="CI1647" s="32"/>
      <c r="CJ1647" s="40"/>
      <c r="CK1647" s="40"/>
      <c r="CL1647" s="33"/>
      <c r="CM1647" s="33"/>
      <c r="CN1647" s="33"/>
      <c r="CO1647" s="33"/>
      <c r="CP1647" s="33"/>
      <c r="CQ1647" s="33"/>
      <c r="CR1647" s="33"/>
    </row>
    <row r="1648" spans="31:96" ht="21">
      <c r="AE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W1648" s="68"/>
      <c r="AX1648" s="33"/>
      <c r="AY1648" s="33"/>
      <c r="AZ1648" s="109"/>
      <c r="BA1648" s="109"/>
      <c r="CA1648" s="35"/>
      <c r="CH1648" s="39"/>
      <c r="CI1648" s="32"/>
      <c r="CJ1648" s="40"/>
      <c r="CK1648" s="40"/>
      <c r="CL1648" s="33"/>
      <c r="CM1648" s="33"/>
      <c r="CN1648" s="33"/>
      <c r="CO1648" s="33"/>
      <c r="CP1648" s="33"/>
      <c r="CQ1648" s="33"/>
      <c r="CR1648" s="33"/>
    </row>
    <row r="1649" spans="31:96" ht="21">
      <c r="AE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W1649" s="68"/>
      <c r="AX1649" s="33"/>
      <c r="AY1649" s="33"/>
      <c r="AZ1649" s="109"/>
      <c r="BA1649" s="109"/>
      <c r="CA1649" s="35"/>
      <c r="CH1649" s="39"/>
      <c r="CI1649" s="32"/>
      <c r="CJ1649" s="40"/>
      <c r="CK1649" s="40"/>
      <c r="CL1649" s="33"/>
      <c r="CM1649" s="33"/>
      <c r="CN1649" s="33"/>
      <c r="CO1649" s="33"/>
      <c r="CP1649" s="33"/>
      <c r="CQ1649" s="33"/>
      <c r="CR1649" s="33"/>
    </row>
    <row r="1650" spans="31:96" ht="21">
      <c r="AE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W1650" s="68"/>
      <c r="AX1650" s="33"/>
      <c r="AY1650" s="33"/>
      <c r="AZ1650" s="109"/>
      <c r="BA1650" s="109"/>
      <c r="CA1650" s="35"/>
      <c r="CH1650" s="39"/>
      <c r="CI1650" s="32"/>
      <c r="CJ1650" s="40"/>
      <c r="CK1650" s="40"/>
      <c r="CL1650" s="33"/>
      <c r="CM1650" s="33"/>
      <c r="CN1650" s="33"/>
      <c r="CO1650" s="33"/>
      <c r="CP1650" s="33"/>
      <c r="CQ1650" s="33"/>
      <c r="CR1650" s="33"/>
    </row>
    <row r="1651" spans="31:96" ht="21">
      <c r="AE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W1651" s="68"/>
      <c r="AX1651" s="33"/>
      <c r="AY1651" s="33"/>
      <c r="AZ1651" s="109"/>
      <c r="BA1651" s="109"/>
      <c r="CA1651" s="35"/>
      <c r="CH1651" s="39"/>
      <c r="CI1651" s="32"/>
      <c r="CJ1651" s="40"/>
      <c r="CK1651" s="40"/>
      <c r="CL1651" s="33"/>
      <c r="CM1651" s="33"/>
      <c r="CN1651" s="33"/>
      <c r="CO1651" s="33"/>
      <c r="CP1651" s="33"/>
      <c r="CQ1651" s="33"/>
      <c r="CR1651" s="33"/>
    </row>
    <row r="1652" spans="31:96" ht="21">
      <c r="AE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W1652" s="68"/>
      <c r="AX1652" s="33"/>
      <c r="AY1652" s="33"/>
      <c r="AZ1652" s="109"/>
      <c r="BA1652" s="109"/>
      <c r="CA1652" s="35"/>
      <c r="CH1652" s="39"/>
      <c r="CI1652" s="32"/>
      <c r="CJ1652" s="40"/>
      <c r="CK1652" s="40"/>
      <c r="CL1652" s="33"/>
      <c r="CM1652" s="33"/>
      <c r="CN1652" s="33"/>
      <c r="CO1652" s="33"/>
      <c r="CP1652" s="33"/>
      <c r="CQ1652" s="33"/>
      <c r="CR1652" s="33"/>
    </row>
    <row r="1653" spans="31:96" ht="21">
      <c r="AE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W1653" s="68"/>
      <c r="AX1653" s="33"/>
      <c r="AY1653" s="33"/>
      <c r="AZ1653" s="109"/>
      <c r="BA1653" s="109"/>
      <c r="CA1653" s="35"/>
      <c r="CH1653" s="39"/>
      <c r="CI1653" s="32"/>
      <c r="CJ1653" s="40"/>
      <c r="CK1653" s="40"/>
      <c r="CL1653" s="33"/>
      <c r="CM1653" s="33"/>
      <c r="CN1653" s="33"/>
      <c r="CO1653" s="33"/>
      <c r="CP1653" s="33"/>
      <c r="CQ1653" s="33"/>
      <c r="CR1653" s="33"/>
    </row>
    <row r="1654" spans="31:96" ht="21">
      <c r="AE1654" s="33"/>
      <c r="AK1654" s="33"/>
      <c r="AL1654" s="33"/>
      <c r="AM1654" s="33"/>
      <c r="AN1654" s="33"/>
      <c r="AO1654" s="33"/>
      <c r="AP1654" s="33"/>
      <c r="AQ1654" s="33"/>
      <c r="AR1654" s="33"/>
      <c r="AS1654" s="33"/>
      <c r="AT1654" s="33"/>
      <c r="AU1654" s="33"/>
      <c r="AW1654" s="68"/>
      <c r="AX1654" s="33"/>
      <c r="AY1654" s="33"/>
      <c r="AZ1654" s="109"/>
      <c r="BA1654" s="109"/>
      <c r="CA1654" s="35"/>
      <c r="CH1654" s="39"/>
      <c r="CI1654" s="32"/>
      <c r="CJ1654" s="40"/>
      <c r="CK1654" s="40"/>
      <c r="CL1654" s="33"/>
      <c r="CM1654" s="33"/>
      <c r="CN1654" s="33"/>
      <c r="CO1654" s="33"/>
      <c r="CP1654" s="33"/>
      <c r="CQ1654" s="33"/>
      <c r="CR1654" s="33"/>
    </row>
    <row r="1655" spans="31:96" ht="21">
      <c r="AE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W1655" s="68"/>
      <c r="AX1655" s="33"/>
      <c r="AY1655" s="33"/>
      <c r="AZ1655" s="109"/>
      <c r="BA1655" s="109"/>
      <c r="CA1655" s="35"/>
      <c r="CH1655" s="39"/>
      <c r="CI1655" s="32"/>
      <c r="CJ1655" s="40"/>
      <c r="CK1655" s="40"/>
      <c r="CL1655" s="33"/>
      <c r="CM1655" s="33"/>
      <c r="CN1655" s="33"/>
      <c r="CO1655" s="33"/>
      <c r="CP1655" s="33"/>
      <c r="CQ1655" s="33"/>
      <c r="CR1655" s="33"/>
    </row>
    <row r="1656" spans="31:96" ht="21">
      <c r="AE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W1656" s="68"/>
      <c r="AX1656" s="33"/>
      <c r="AY1656" s="33"/>
      <c r="AZ1656" s="109"/>
      <c r="BA1656" s="109"/>
      <c r="CA1656" s="35"/>
      <c r="CH1656" s="39"/>
      <c r="CI1656" s="32"/>
      <c r="CJ1656" s="40"/>
      <c r="CK1656" s="40"/>
      <c r="CL1656" s="33"/>
      <c r="CM1656" s="33"/>
      <c r="CN1656" s="33"/>
      <c r="CO1656" s="33"/>
      <c r="CP1656" s="33"/>
      <c r="CQ1656" s="33"/>
      <c r="CR1656" s="33"/>
    </row>
    <row r="1657" spans="31:96" ht="21">
      <c r="AE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W1657" s="68"/>
      <c r="AX1657" s="33"/>
      <c r="AY1657" s="33"/>
      <c r="AZ1657" s="109"/>
      <c r="BA1657" s="109"/>
      <c r="CA1657" s="35"/>
      <c r="CH1657" s="39"/>
      <c r="CI1657" s="32"/>
      <c r="CJ1657" s="40"/>
      <c r="CK1657" s="40"/>
      <c r="CL1657" s="33"/>
      <c r="CM1657" s="33"/>
      <c r="CN1657" s="33"/>
      <c r="CO1657" s="33"/>
      <c r="CP1657" s="33"/>
      <c r="CQ1657" s="33"/>
      <c r="CR1657" s="33"/>
    </row>
    <row r="1658" spans="31:96" ht="21">
      <c r="AE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W1658" s="68"/>
      <c r="AX1658" s="33"/>
      <c r="AY1658" s="33"/>
      <c r="AZ1658" s="109"/>
      <c r="BA1658" s="109"/>
      <c r="CA1658" s="36"/>
      <c r="CH1658" s="39"/>
      <c r="CI1658" s="32"/>
      <c r="CJ1658" s="40"/>
      <c r="CK1658" s="40"/>
      <c r="CL1658" s="40"/>
      <c r="CM1658" s="40"/>
      <c r="CN1658" s="40"/>
      <c r="CO1658" s="40"/>
      <c r="CP1658" s="40"/>
      <c r="CQ1658" s="40"/>
      <c r="CR1658" s="40"/>
    </row>
    <row r="1659" spans="31:96" ht="21">
      <c r="AE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W1659" s="68"/>
      <c r="AX1659" s="33"/>
      <c r="AY1659" s="33"/>
      <c r="AZ1659" s="109"/>
      <c r="BA1659" s="109"/>
      <c r="CA1659" s="35"/>
      <c r="CH1659" s="39"/>
      <c r="CI1659" s="32"/>
      <c r="CJ1659" s="40"/>
      <c r="CK1659" s="40"/>
      <c r="CL1659" s="33"/>
      <c r="CM1659" s="33"/>
      <c r="CN1659" s="33"/>
      <c r="CO1659" s="33"/>
      <c r="CP1659" s="33"/>
      <c r="CQ1659" s="33"/>
      <c r="CR1659" s="33"/>
    </row>
    <row r="1660" spans="31:96" ht="21">
      <c r="AE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W1660" s="68"/>
      <c r="AX1660" s="33"/>
      <c r="AY1660" s="33"/>
      <c r="AZ1660" s="109"/>
      <c r="BA1660" s="109"/>
      <c r="CA1660" s="35"/>
      <c r="CH1660" s="39"/>
      <c r="CI1660" s="32"/>
      <c r="CJ1660" s="40"/>
      <c r="CK1660" s="40"/>
      <c r="CL1660" s="33"/>
      <c r="CM1660" s="33"/>
      <c r="CN1660" s="33"/>
      <c r="CO1660" s="33"/>
      <c r="CP1660" s="33"/>
      <c r="CQ1660" s="33"/>
      <c r="CR1660" s="33"/>
    </row>
    <row r="1661" spans="31:96" ht="21">
      <c r="AE1661" s="33"/>
      <c r="AK1661" s="33"/>
      <c r="AL1661" s="33"/>
      <c r="AM1661" s="33"/>
      <c r="AN1661" s="33"/>
      <c r="AO1661" s="33"/>
      <c r="AP1661" s="33"/>
      <c r="AQ1661" s="33"/>
      <c r="AR1661" s="33"/>
      <c r="AS1661" s="33"/>
      <c r="AT1661" s="33"/>
      <c r="AU1661" s="33"/>
      <c r="AW1661" s="68"/>
      <c r="AX1661" s="33"/>
      <c r="AY1661" s="33"/>
      <c r="AZ1661" s="109"/>
      <c r="BA1661" s="109"/>
      <c r="CA1661" s="35"/>
      <c r="CH1661" s="39"/>
      <c r="CI1661" s="32"/>
      <c r="CJ1661" s="40"/>
      <c r="CK1661" s="40"/>
      <c r="CL1661" s="33"/>
      <c r="CM1661" s="33"/>
      <c r="CN1661" s="33"/>
      <c r="CO1661" s="33"/>
      <c r="CP1661" s="33"/>
      <c r="CQ1661" s="33"/>
      <c r="CR1661" s="33"/>
    </row>
    <row r="1662" spans="31:96" ht="21">
      <c r="AE1662" s="33"/>
      <c r="AK1662" s="33"/>
      <c r="AL1662" s="33"/>
      <c r="AM1662" s="33"/>
      <c r="AN1662" s="33"/>
      <c r="AO1662" s="33"/>
      <c r="AP1662" s="33"/>
      <c r="AQ1662" s="33"/>
      <c r="AR1662" s="33"/>
      <c r="AS1662" s="33"/>
      <c r="AT1662" s="33"/>
      <c r="AU1662" s="33"/>
      <c r="AW1662" s="68"/>
      <c r="AX1662" s="33"/>
      <c r="AY1662" s="33"/>
      <c r="AZ1662" s="109"/>
      <c r="BA1662" s="109"/>
      <c r="CA1662" s="35"/>
      <c r="CH1662" s="39"/>
      <c r="CI1662" s="32"/>
      <c r="CJ1662" s="40"/>
      <c r="CK1662" s="40"/>
      <c r="CL1662" s="33"/>
      <c r="CM1662" s="33"/>
      <c r="CN1662" s="33"/>
      <c r="CO1662" s="33"/>
      <c r="CP1662" s="33"/>
      <c r="CQ1662" s="33"/>
      <c r="CR1662" s="33"/>
    </row>
    <row r="1663" spans="31:96" ht="21">
      <c r="AE1663" s="33"/>
      <c r="AK1663" s="33"/>
      <c r="AL1663" s="33"/>
      <c r="AM1663" s="33"/>
      <c r="AN1663" s="33"/>
      <c r="AO1663" s="33"/>
      <c r="AP1663" s="33"/>
      <c r="AQ1663" s="33"/>
      <c r="AR1663" s="33"/>
      <c r="AS1663" s="33"/>
      <c r="AT1663" s="33"/>
      <c r="AU1663" s="33"/>
      <c r="AW1663" s="68"/>
      <c r="AX1663" s="33"/>
      <c r="AY1663" s="33"/>
      <c r="AZ1663" s="109"/>
      <c r="BA1663" s="109"/>
      <c r="CA1663" s="35"/>
      <c r="CH1663" s="39"/>
      <c r="CI1663" s="32"/>
      <c r="CJ1663" s="40"/>
      <c r="CK1663" s="40"/>
      <c r="CL1663" s="33"/>
      <c r="CM1663" s="33"/>
      <c r="CN1663" s="33"/>
      <c r="CO1663" s="33"/>
      <c r="CP1663" s="33"/>
      <c r="CQ1663" s="33"/>
      <c r="CR1663" s="33"/>
    </row>
    <row r="1664" spans="31:96" ht="21">
      <c r="AE1664" s="33"/>
      <c r="AK1664" s="33"/>
      <c r="AL1664" s="33"/>
      <c r="AM1664" s="33"/>
      <c r="AN1664" s="33"/>
      <c r="AO1664" s="33"/>
      <c r="AP1664" s="33"/>
      <c r="AQ1664" s="33"/>
      <c r="AR1664" s="33"/>
      <c r="AS1664" s="33"/>
      <c r="AT1664" s="33"/>
      <c r="AU1664" s="33"/>
      <c r="AW1664" s="68"/>
      <c r="AX1664" s="33"/>
      <c r="AY1664" s="33"/>
      <c r="AZ1664" s="109"/>
      <c r="BA1664" s="109"/>
      <c r="CA1664" s="35"/>
      <c r="CH1664" s="39"/>
      <c r="CI1664" s="32"/>
      <c r="CJ1664" s="40"/>
      <c r="CK1664" s="40"/>
      <c r="CL1664" s="33"/>
      <c r="CM1664" s="33"/>
      <c r="CN1664" s="33"/>
      <c r="CO1664" s="33"/>
      <c r="CP1664" s="33"/>
      <c r="CQ1664" s="33"/>
      <c r="CR1664" s="33"/>
    </row>
    <row r="1665" spans="31:96" ht="21">
      <c r="AE1665" s="33"/>
      <c r="AK1665" s="33"/>
      <c r="AL1665" s="33"/>
      <c r="AM1665" s="33"/>
      <c r="AN1665" s="33"/>
      <c r="AO1665" s="33"/>
      <c r="AP1665" s="33"/>
      <c r="AQ1665" s="33"/>
      <c r="AR1665" s="33"/>
      <c r="AS1665" s="33"/>
      <c r="AT1665" s="33"/>
      <c r="AU1665" s="33"/>
      <c r="AW1665" s="68"/>
      <c r="AX1665" s="33"/>
      <c r="AY1665" s="33"/>
      <c r="AZ1665" s="109"/>
      <c r="BA1665" s="109"/>
      <c r="CA1665" s="35"/>
      <c r="CH1665" s="39"/>
      <c r="CI1665" s="32"/>
      <c r="CJ1665" s="40"/>
      <c r="CK1665" s="40"/>
      <c r="CL1665" s="33"/>
      <c r="CM1665" s="33"/>
      <c r="CN1665" s="33"/>
      <c r="CO1665" s="33"/>
      <c r="CP1665" s="33"/>
      <c r="CQ1665" s="33"/>
      <c r="CR1665" s="33"/>
    </row>
    <row r="1666" spans="31:96" ht="21">
      <c r="AE1666" s="33"/>
      <c r="AK1666" s="33"/>
      <c r="AL1666" s="33"/>
      <c r="AM1666" s="33"/>
      <c r="AN1666" s="33"/>
      <c r="AO1666" s="33"/>
      <c r="AP1666" s="33"/>
      <c r="AQ1666" s="33"/>
      <c r="AR1666" s="33"/>
      <c r="AS1666" s="33"/>
      <c r="AT1666" s="33"/>
      <c r="AU1666" s="33"/>
      <c r="AW1666" s="68"/>
      <c r="AX1666" s="33"/>
      <c r="AY1666" s="33"/>
      <c r="AZ1666" s="109"/>
      <c r="BA1666" s="109"/>
      <c r="CA1666" s="35"/>
      <c r="CH1666" s="39"/>
      <c r="CI1666" s="32"/>
      <c r="CJ1666" s="40"/>
      <c r="CK1666" s="40"/>
      <c r="CL1666" s="33"/>
      <c r="CM1666" s="33"/>
      <c r="CN1666" s="33"/>
      <c r="CO1666" s="33"/>
      <c r="CP1666" s="33"/>
      <c r="CQ1666" s="33"/>
      <c r="CR1666" s="33"/>
    </row>
    <row r="1667" spans="31:96" ht="21">
      <c r="AE1667" s="33"/>
      <c r="AK1667" s="33"/>
      <c r="AL1667" s="33"/>
      <c r="AM1667" s="33"/>
      <c r="AN1667" s="33"/>
      <c r="AO1667" s="33"/>
      <c r="AP1667" s="33"/>
      <c r="AQ1667" s="33"/>
      <c r="AR1667" s="33"/>
      <c r="AS1667" s="33"/>
      <c r="AT1667" s="33"/>
      <c r="AU1667" s="33"/>
      <c r="AW1667" s="68"/>
      <c r="AX1667" s="33"/>
      <c r="AY1667" s="33"/>
      <c r="AZ1667" s="109"/>
      <c r="BA1667" s="109"/>
      <c r="CA1667" s="35"/>
      <c r="CH1667" s="39"/>
      <c r="CI1667" s="32"/>
      <c r="CJ1667" s="40"/>
      <c r="CK1667" s="40"/>
      <c r="CL1667" s="33"/>
      <c r="CM1667" s="33"/>
      <c r="CN1667" s="33"/>
      <c r="CO1667" s="33"/>
      <c r="CP1667" s="33"/>
      <c r="CQ1667" s="33"/>
      <c r="CR1667" s="33"/>
    </row>
    <row r="1668" spans="31:96" ht="21">
      <c r="AE1668" s="33"/>
      <c r="AK1668" s="33"/>
      <c r="AL1668" s="33"/>
      <c r="AM1668" s="33"/>
      <c r="AN1668" s="33"/>
      <c r="AO1668" s="33"/>
      <c r="AP1668" s="33"/>
      <c r="AQ1668" s="33"/>
      <c r="AR1668" s="33"/>
      <c r="AS1668" s="33"/>
      <c r="AT1668" s="33"/>
      <c r="AU1668" s="33"/>
      <c r="AW1668" s="68"/>
      <c r="AX1668" s="33"/>
      <c r="AY1668" s="33"/>
      <c r="AZ1668" s="109"/>
      <c r="BA1668" s="109"/>
      <c r="CA1668" s="35"/>
      <c r="CH1668" s="39"/>
      <c r="CI1668" s="32"/>
      <c r="CJ1668" s="40"/>
      <c r="CK1668" s="40"/>
      <c r="CL1668" s="33"/>
      <c r="CM1668" s="33"/>
      <c r="CN1668" s="33"/>
      <c r="CO1668" s="33"/>
      <c r="CP1668" s="33"/>
      <c r="CQ1668" s="33"/>
      <c r="CR1668" s="33"/>
    </row>
    <row r="1669" spans="31:96" ht="21">
      <c r="AE1669" s="33"/>
      <c r="AK1669" s="33"/>
      <c r="AL1669" s="33"/>
      <c r="AM1669" s="33"/>
      <c r="AN1669" s="33"/>
      <c r="AO1669" s="33"/>
      <c r="AP1669" s="33"/>
      <c r="AQ1669" s="33"/>
      <c r="AR1669" s="33"/>
      <c r="AS1669" s="33"/>
      <c r="AT1669" s="33"/>
      <c r="AU1669" s="33"/>
      <c r="AW1669" s="68"/>
      <c r="AX1669" s="33"/>
      <c r="AY1669" s="33"/>
      <c r="AZ1669" s="109"/>
      <c r="BA1669" s="109"/>
      <c r="CA1669" s="35"/>
      <c r="CH1669" s="39"/>
      <c r="CI1669" s="32"/>
      <c r="CJ1669" s="40"/>
      <c r="CK1669" s="40"/>
      <c r="CL1669" s="33"/>
      <c r="CM1669" s="33"/>
      <c r="CN1669" s="33"/>
      <c r="CO1669" s="33"/>
      <c r="CP1669" s="33"/>
      <c r="CQ1669" s="33"/>
      <c r="CR1669" s="33"/>
    </row>
    <row r="1670" spans="31:96" ht="21">
      <c r="AE1670" s="33"/>
      <c r="AK1670" s="33"/>
      <c r="AL1670" s="33"/>
      <c r="AM1670" s="33"/>
      <c r="AN1670" s="33"/>
      <c r="AO1670" s="33"/>
      <c r="AP1670" s="33"/>
      <c r="AQ1670" s="33"/>
      <c r="AR1670" s="33"/>
      <c r="AS1670" s="33"/>
      <c r="AT1670" s="33"/>
      <c r="AU1670" s="33"/>
      <c r="AW1670" s="68"/>
      <c r="AX1670" s="33"/>
      <c r="AY1670" s="33"/>
      <c r="AZ1670" s="109"/>
      <c r="BA1670" s="109"/>
      <c r="CA1670" s="35"/>
      <c r="CH1670" s="39"/>
      <c r="CI1670" s="32"/>
      <c r="CJ1670" s="40"/>
      <c r="CK1670" s="40"/>
      <c r="CL1670" s="33"/>
      <c r="CM1670" s="33"/>
      <c r="CN1670" s="33"/>
      <c r="CO1670" s="33"/>
      <c r="CP1670" s="33"/>
      <c r="CQ1670" s="33"/>
      <c r="CR1670" s="33"/>
    </row>
    <row r="1671" spans="31:96" ht="21">
      <c r="AE1671" s="33"/>
      <c r="AK1671" s="33"/>
      <c r="AL1671" s="33"/>
      <c r="AM1671" s="33"/>
      <c r="AN1671" s="33"/>
      <c r="AO1671" s="33"/>
      <c r="AP1671" s="33"/>
      <c r="AQ1671" s="33"/>
      <c r="AR1671" s="33"/>
      <c r="AS1671" s="33"/>
      <c r="AT1671" s="33"/>
      <c r="AU1671" s="33"/>
      <c r="AW1671" s="68"/>
      <c r="AX1671" s="33"/>
      <c r="AY1671" s="33"/>
      <c r="AZ1671" s="109"/>
      <c r="BA1671" s="109"/>
      <c r="CA1671" s="35"/>
      <c r="CH1671" s="39"/>
      <c r="CI1671" s="32"/>
      <c r="CJ1671" s="40"/>
      <c r="CK1671" s="40"/>
      <c r="CL1671" s="33"/>
      <c r="CM1671" s="33"/>
      <c r="CN1671" s="33"/>
      <c r="CO1671" s="33"/>
      <c r="CP1671" s="33"/>
      <c r="CQ1671" s="33"/>
      <c r="CR1671" s="33"/>
    </row>
    <row r="1672" spans="31:96" ht="21">
      <c r="AE1672" s="33"/>
      <c r="AK1672" s="33"/>
      <c r="AL1672" s="33"/>
      <c r="AM1672" s="33"/>
      <c r="AN1672" s="33"/>
      <c r="AO1672" s="33"/>
      <c r="AP1672" s="33"/>
      <c r="AQ1672" s="33"/>
      <c r="AR1672" s="33"/>
      <c r="AS1672" s="33"/>
      <c r="AT1672" s="33"/>
      <c r="AU1672" s="33"/>
      <c r="AW1672" s="68"/>
      <c r="AX1672" s="33"/>
      <c r="AY1672" s="33"/>
      <c r="AZ1672" s="109"/>
      <c r="BA1672" s="109"/>
      <c r="CA1672" s="35"/>
      <c r="CH1672" s="39"/>
      <c r="CI1672" s="32"/>
      <c r="CJ1672" s="40"/>
      <c r="CK1672" s="40"/>
      <c r="CL1672" s="33"/>
      <c r="CM1672" s="33"/>
      <c r="CN1672" s="33"/>
      <c r="CO1672" s="33"/>
      <c r="CP1672" s="33"/>
      <c r="CQ1672" s="33"/>
      <c r="CR1672" s="33"/>
    </row>
    <row r="1673" spans="31:96" ht="21">
      <c r="AE1673" s="33"/>
      <c r="AK1673" s="33"/>
      <c r="AL1673" s="33"/>
      <c r="AM1673" s="33"/>
      <c r="AN1673" s="33"/>
      <c r="AO1673" s="33"/>
      <c r="AP1673" s="33"/>
      <c r="AQ1673" s="33"/>
      <c r="AR1673" s="33"/>
      <c r="AS1673" s="33"/>
      <c r="AT1673" s="33"/>
      <c r="AU1673" s="33"/>
      <c r="AW1673" s="68"/>
      <c r="AX1673" s="33"/>
      <c r="AY1673" s="33"/>
      <c r="AZ1673" s="109"/>
      <c r="BA1673" s="109"/>
      <c r="CA1673" s="35"/>
      <c r="CH1673" s="39"/>
      <c r="CI1673" s="32"/>
      <c r="CJ1673" s="40"/>
      <c r="CK1673" s="40"/>
      <c r="CL1673" s="33"/>
      <c r="CM1673" s="33"/>
      <c r="CN1673" s="33"/>
      <c r="CO1673" s="33"/>
      <c r="CP1673" s="33"/>
      <c r="CQ1673" s="33"/>
      <c r="CR1673" s="33"/>
    </row>
    <row r="1674" spans="31:96" ht="21">
      <c r="AE1674" s="33"/>
      <c r="AK1674" s="33"/>
      <c r="AL1674" s="33"/>
      <c r="AM1674" s="33"/>
      <c r="AN1674" s="33"/>
      <c r="AO1674" s="33"/>
      <c r="AP1674" s="33"/>
      <c r="AQ1674" s="33"/>
      <c r="AR1674" s="33"/>
      <c r="AS1674" s="33"/>
      <c r="AT1674" s="33"/>
      <c r="AU1674" s="33"/>
      <c r="AW1674" s="68"/>
      <c r="AX1674" s="33"/>
      <c r="AY1674" s="33"/>
      <c r="AZ1674" s="109"/>
      <c r="BA1674" s="109"/>
      <c r="CA1674" s="35"/>
      <c r="CH1674" s="39"/>
      <c r="CI1674" s="32"/>
      <c r="CJ1674" s="40"/>
      <c r="CK1674" s="40"/>
      <c r="CL1674" s="33"/>
      <c r="CM1674" s="33"/>
      <c r="CN1674" s="33"/>
      <c r="CO1674" s="33"/>
      <c r="CP1674" s="33"/>
      <c r="CQ1674" s="33"/>
      <c r="CR1674" s="33"/>
    </row>
    <row r="1675" spans="31:96" ht="21">
      <c r="AE1675" s="33"/>
      <c r="AK1675" s="33"/>
      <c r="AL1675" s="33"/>
      <c r="AM1675" s="33"/>
      <c r="AN1675" s="33"/>
      <c r="AO1675" s="33"/>
      <c r="AP1675" s="33"/>
      <c r="AQ1675" s="33"/>
      <c r="AR1675" s="33"/>
      <c r="AS1675" s="33"/>
      <c r="AT1675" s="33"/>
      <c r="AU1675" s="33"/>
      <c r="AW1675" s="68"/>
      <c r="AX1675" s="33"/>
      <c r="AY1675" s="33"/>
      <c r="AZ1675" s="109"/>
      <c r="BA1675" s="109"/>
      <c r="CA1675" s="35"/>
      <c r="CH1675" s="39"/>
      <c r="CI1675" s="32"/>
      <c r="CJ1675" s="40"/>
      <c r="CK1675" s="40"/>
      <c r="CL1675" s="33"/>
      <c r="CM1675" s="33"/>
      <c r="CN1675" s="33"/>
      <c r="CO1675" s="33"/>
      <c r="CP1675" s="33"/>
      <c r="CQ1675" s="33"/>
      <c r="CR1675" s="33"/>
    </row>
    <row r="1676" spans="31:96" ht="21">
      <c r="AE1676" s="33"/>
      <c r="AK1676" s="33"/>
      <c r="AL1676" s="33"/>
      <c r="AM1676" s="33"/>
      <c r="AN1676" s="33"/>
      <c r="AO1676" s="33"/>
      <c r="AP1676" s="33"/>
      <c r="AQ1676" s="33"/>
      <c r="AR1676" s="33"/>
      <c r="AS1676" s="33"/>
      <c r="AT1676" s="33"/>
      <c r="AU1676" s="33"/>
      <c r="AW1676" s="68"/>
      <c r="AX1676" s="33"/>
      <c r="AY1676" s="33"/>
      <c r="AZ1676" s="109"/>
      <c r="BA1676" s="109"/>
      <c r="CA1676" s="35"/>
      <c r="CH1676" s="39"/>
      <c r="CI1676" s="32"/>
      <c r="CJ1676" s="40"/>
      <c r="CK1676" s="40"/>
      <c r="CL1676" s="33"/>
      <c r="CM1676" s="33"/>
      <c r="CN1676" s="33"/>
      <c r="CO1676" s="33"/>
      <c r="CP1676" s="33"/>
      <c r="CQ1676" s="33"/>
      <c r="CR1676" s="33"/>
    </row>
    <row r="1677" spans="31:96" ht="21">
      <c r="AE1677" s="33"/>
      <c r="AK1677" s="33"/>
      <c r="AL1677" s="33"/>
      <c r="AM1677" s="33"/>
      <c r="AN1677" s="33"/>
      <c r="AO1677" s="33"/>
      <c r="AP1677" s="33"/>
      <c r="AQ1677" s="33"/>
      <c r="AR1677" s="33"/>
      <c r="AS1677" s="33"/>
      <c r="AT1677" s="33"/>
      <c r="AU1677" s="33"/>
      <c r="AW1677" s="68"/>
      <c r="AX1677" s="33"/>
      <c r="AY1677" s="33"/>
      <c r="AZ1677" s="109"/>
      <c r="BA1677" s="109"/>
      <c r="CA1677" s="35"/>
      <c r="CH1677" s="39"/>
      <c r="CI1677" s="32"/>
      <c r="CJ1677" s="40"/>
      <c r="CK1677" s="40"/>
      <c r="CL1677" s="33"/>
      <c r="CM1677" s="33"/>
      <c r="CN1677" s="33"/>
      <c r="CO1677" s="33"/>
      <c r="CP1677" s="33"/>
      <c r="CQ1677" s="33"/>
      <c r="CR1677" s="33"/>
    </row>
    <row r="1678" spans="31:96" ht="21">
      <c r="AE1678" s="33"/>
      <c r="AK1678" s="33"/>
      <c r="AL1678" s="33"/>
      <c r="AM1678" s="33"/>
      <c r="AN1678" s="33"/>
      <c r="AO1678" s="33"/>
      <c r="AP1678" s="33"/>
      <c r="AQ1678" s="33"/>
      <c r="AR1678" s="33"/>
      <c r="AS1678" s="33"/>
      <c r="AT1678" s="33"/>
      <c r="AU1678" s="33"/>
      <c r="AW1678" s="68"/>
      <c r="AX1678" s="33"/>
      <c r="AY1678" s="33"/>
      <c r="AZ1678" s="109"/>
      <c r="BA1678" s="109"/>
      <c r="CA1678" s="35"/>
      <c r="CH1678" s="39"/>
      <c r="CI1678" s="32"/>
      <c r="CJ1678" s="40"/>
      <c r="CK1678" s="40"/>
      <c r="CL1678" s="33"/>
      <c r="CM1678" s="33"/>
      <c r="CN1678" s="33"/>
      <c r="CO1678" s="33"/>
      <c r="CP1678" s="33"/>
      <c r="CQ1678" s="33"/>
      <c r="CR1678" s="33"/>
    </row>
    <row r="1679" spans="31:96" ht="21">
      <c r="AE1679" s="33"/>
      <c r="AK1679" s="33"/>
      <c r="AL1679" s="33"/>
      <c r="AM1679" s="33"/>
      <c r="AN1679" s="33"/>
      <c r="AO1679" s="33"/>
      <c r="AP1679" s="33"/>
      <c r="AQ1679" s="33"/>
      <c r="AR1679" s="33"/>
      <c r="AS1679" s="33"/>
      <c r="AT1679" s="33"/>
      <c r="AU1679" s="33"/>
      <c r="AW1679" s="68"/>
      <c r="AX1679" s="33"/>
      <c r="AY1679" s="33"/>
      <c r="AZ1679" s="109"/>
      <c r="BA1679" s="109"/>
      <c r="CA1679" s="35"/>
      <c r="CH1679" s="39"/>
      <c r="CI1679" s="32"/>
      <c r="CJ1679" s="40"/>
      <c r="CK1679" s="40"/>
      <c r="CL1679" s="33"/>
      <c r="CM1679" s="33"/>
      <c r="CN1679" s="33"/>
      <c r="CO1679" s="33"/>
      <c r="CP1679" s="33"/>
      <c r="CQ1679" s="33"/>
      <c r="CR1679" s="33"/>
    </row>
    <row r="1680" spans="31:96" ht="21">
      <c r="AE1680" s="33"/>
      <c r="AK1680" s="33"/>
      <c r="AL1680" s="33"/>
      <c r="AM1680" s="33"/>
      <c r="AN1680" s="33"/>
      <c r="AO1680" s="33"/>
      <c r="AP1680" s="33"/>
      <c r="AQ1680" s="33"/>
      <c r="AR1680" s="33"/>
      <c r="AS1680" s="33"/>
      <c r="AT1680" s="33"/>
      <c r="AU1680" s="33"/>
      <c r="AW1680" s="68"/>
      <c r="AX1680" s="33"/>
      <c r="AY1680" s="33"/>
      <c r="AZ1680" s="109"/>
      <c r="BA1680" s="109"/>
      <c r="CA1680" s="36"/>
      <c r="CH1680" s="39"/>
      <c r="CI1680" s="32"/>
      <c r="CJ1680" s="40"/>
      <c r="CK1680" s="40"/>
      <c r="CL1680" s="40"/>
      <c r="CM1680" s="40"/>
      <c r="CN1680" s="40"/>
      <c r="CO1680" s="40"/>
      <c r="CP1680" s="40"/>
      <c r="CQ1680" s="40"/>
      <c r="CR1680" s="40"/>
    </row>
    <row r="1681" spans="31:96" ht="21">
      <c r="AE1681" s="33"/>
      <c r="AK1681" s="33"/>
      <c r="AL1681" s="33"/>
      <c r="AM1681" s="33"/>
      <c r="AN1681" s="33"/>
      <c r="AO1681" s="33"/>
      <c r="AP1681" s="33"/>
      <c r="AQ1681" s="33"/>
      <c r="AR1681" s="33"/>
      <c r="AS1681" s="33"/>
      <c r="AT1681" s="33"/>
      <c r="AU1681" s="33"/>
      <c r="AW1681" s="68"/>
      <c r="AX1681" s="33"/>
      <c r="AY1681" s="33"/>
      <c r="AZ1681" s="109"/>
      <c r="BA1681" s="109"/>
      <c r="CA1681" s="35"/>
      <c r="CH1681" s="39"/>
      <c r="CI1681" s="32"/>
      <c r="CJ1681" s="40"/>
      <c r="CK1681" s="40"/>
      <c r="CL1681" s="33"/>
      <c r="CM1681" s="33"/>
      <c r="CN1681" s="33"/>
      <c r="CO1681" s="33"/>
      <c r="CP1681" s="33"/>
      <c r="CQ1681" s="33"/>
      <c r="CR1681" s="33"/>
    </row>
    <row r="1682" spans="31:96" ht="21">
      <c r="AE1682" s="33"/>
      <c r="AK1682" s="33"/>
      <c r="AL1682" s="33"/>
      <c r="AM1682" s="33"/>
      <c r="AN1682" s="33"/>
      <c r="AO1682" s="33"/>
      <c r="AP1682" s="33"/>
      <c r="AQ1682" s="33"/>
      <c r="AR1682" s="33"/>
      <c r="AS1682" s="33"/>
      <c r="AT1682" s="33"/>
      <c r="AU1682" s="33"/>
      <c r="AW1682" s="68"/>
      <c r="AX1682" s="33"/>
      <c r="AY1682" s="33"/>
      <c r="AZ1682" s="109"/>
      <c r="BA1682" s="109"/>
      <c r="CA1682" s="35"/>
      <c r="CH1682" s="39"/>
      <c r="CI1682" s="32"/>
      <c r="CJ1682" s="40"/>
      <c r="CK1682" s="40"/>
      <c r="CL1682" s="33"/>
      <c r="CM1682" s="33"/>
      <c r="CN1682" s="33"/>
      <c r="CO1682" s="33"/>
      <c r="CP1682" s="33"/>
      <c r="CQ1682" s="33"/>
      <c r="CR1682" s="33"/>
    </row>
    <row r="1683" spans="31:96" ht="21">
      <c r="AE1683" s="33"/>
      <c r="AK1683" s="33"/>
      <c r="AL1683" s="33"/>
      <c r="AM1683" s="33"/>
      <c r="AN1683" s="33"/>
      <c r="AO1683" s="33"/>
      <c r="AP1683" s="33"/>
      <c r="AQ1683" s="33"/>
      <c r="AR1683" s="33"/>
      <c r="AS1683" s="33"/>
      <c r="AT1683" s="33"/>
      <c r="AU1683" s="33"/>
      <c r="AW1683" s="68"/>
      <c r="AX1683" s="33"/>
      <c r="AY1683" s="33"/>
      <c r="AZ1683" s="109"/>
      <c r="BA1683" s="109"/>
      <c r="CA1683" s="35"/>
      <c r="CH1683" s="39"/>
      <c r="CI1683" s="32"/>
      <c r="CJ1683" s="40"/>
      <c r="CK1683" s="40"/>
      <c r="CL1683" s="33"/>
      <c r="CM1683" s="33"/>
      <c r="CN1683" s="33"/>
      <c r="CO1683" s="33"/>
      <c r="CP1683" s="33"/>
      <c r="CQ1683" s="33"/>
      <c r="CR1683" s="33"/>
    </row>
    <row r="1684" spans="31:96" ht="21">
      <c r="AE1684" s="33"/>
      <c r="AK1684" s="33"/>
      <c r="AL1684" s="33"/>
      <c r="AM1684" s="33"/>
      <c r="AN1684" s="33"/>
      <c r="AO1684" s="33"/>
      <c r="AP1684" s="33"/>
      <c r="AQ1684" s="33"/>
      <c r="AR1684" s="33"/>
      <c r="AS1684" s="33"/>
      <c r="AT1684" s="33"/>
      <c r="AU1684" s="33"/>
      <c r="AW1684" s="68"/>
      <c r="AX1684" s="33"/>
      <c r="AY1684" s="33"/>
      <c r="AZ1684" s="109"/>
      <c r="BA1684" s="109"/>
      <c r="CA1684" s="35"/>
      <c r="CH1684" s="39"/>
      <c r="CI1684" s="32"/>
      <c r="CJ1684" s="40"/>
      <c r="CK1684" s="40"/>
      <c r="CL1684" s="33"/>
      <c r="CM1684" s="33"/>
      <c r="CN1684" s="33"/>
      <c r="CO1684" s="33"/>
      <c r="CP1684" s="33"/>
      <c r="CQ1684" s="33"/>
      <c r="CR1684" s="33"/>
    </row>
    <row r="1685" spans="31:96" ht="21">
      <c r="AE1685" s="33"/>
      <c r="AK1685" s="33"/>
      <c r="AL1685" s="33"/>
      <c r="AM1685" s="33"/>
      <c r="AN1685" s="33"/>
      <c r="AO1685" s="33"/>
      <c r="AP1685" s="33"/>
      <c r="AQ1685" s="33"/>
      <c r="AR1685" s="33"/>
      <c r="AS1685" s="33"/>
      <c r="AT1685" s="33"/>
      <c r="AU1685" s="33"/>
      <c r="AW1685" s="68"/>
      <c r="AX1685" s="33"/>
      <c r="AY1685" s="33"/>
      <c r="AZ1685" s="109"/>
      <c r="BA1685" s="109"/>
      <c r="CA1685" s="35"/>
      <c r="CH1685" s="39"/>
      <c r="CI1685" s="32"/>
      <c r="CJ1685" s="40"/>
      <c r="CK1685" s="40"/>
      <c r="CL1685" s="33"/>
      <c r="CM1685" s="33"/>
      <c r="CN1685" s="33"/>
      <c r="CO1685" s="33"/>
      <c r="CP1685" s="33"/>
      <c r="CQ1685" s="33"/>
      <c r="CR1685" s="33"/>
    </row>
    <row r="1686" spans="31:96" ht="21">
      <c r="AE1686" s="33"/>
      <c r="AK1686" s="33"/>
      <c r="AL1686" s="33"/>
      <c r="AM1686" s="33"/>
      <c r="AN1686" s="33"/>
      <c r="AO1686" s="33"/>
      <c r="AP1686" s="33"/>
      <c r="AQ1686" s="33"/>
      <c r="AR1686" s="33"/>
      <c r="AS1686" s="33"/>
      <c r="AT1686" s="33"/>
      <c r="AU1686" s="33"/>
      <c r="AW1686" s="68"/>
      <c r="AX1686" s="33"/>
      <c r="AY1686" s="33"/>
      <c r="AZ1686" s="109"/>
      <c r="BA1686" s="109"/>
      <c r="CA1686" s="35"/>
      <c r="CH1686" s="39"/>
      <c r="CI1686" s="32"/>
      <c r="CJ1686" s="40"/>
      <c r="CK1686" s="40"/>
      <c r="CL1686" s="33"/>
      <c r="CM1686" s="33"/>
      <c r="CN1686" s="33"/>
      <c r="CO1686" s="33"/>
      <c r="CP1686" s="33"/>
      <c r="CQ1686" s="33"/>
      <c r="CR1686" s="33"/>
    </row>
    <row r="1687" spans="31:96" ht="21">
      <c r="AE1687" s="33"/>
      <c r="AK1687" s="33"/>
      <c r="AL1687" s="33"/>
      <c r="AM1687" s="33"/>
      <c r="AN1687" s="33"/>
      <c r="AO1687" s="33"/>
      <c r="AP1687" s="33"/>
      <c r="AQ1687" s="33"/>
      <c r="AR1687" s="33"/>
      <c r="AS1687" s="33"/>
      <c r="AT1687" s="33"/>
      <c r="AU1687" s="33"/>
      <c r="AW1687" s="68"/>
      <c r="AX1687" s="33"/>
      <c r="AY1687" s="33"/>
      <c r="AZ1687" s="109"/>
      <c r="BA1687" s="109"/>
      <c r="CA1687" s="35"/>
      <c r="CH1687" s="39"/>
      <c r="CI1687" s="32"/>
      <c r="CJ1687" s="40"/>
      <c r="CK1687" s="40"/>
      <c r="CL1687" s="33"/>
      <c r="CM1687" s="33"/>
      <c r="CN1687" s="33"/>
      <c r="CO1687" s="33"/>
      <c r="CP1687" s="33"/>
      <c r="CQ1687" s="33"/>
      <c r="CR1687" s="33"/>
    </row>
    <row r="1688" spans="31:96" ht="21">
      <c r="AE1688" s="33"/>
      <c r="AK1688" s="33"/>
      <c r="AL1688" s="33"/>
      <c r="AM1688" s="33"/>
      <c r="AN1688" s="33"/>
      <c r="AO1688" s="33"/>
      <c r="AP1688" s="33"/>
      <c r="AQ1688" s="33"/>
      <c r="AR1688" s="33"/>
      <c r="AS1688" s="33"/>
      <c r="AT1688" s="33"/>
      <c r="AU1688" s="33"/>
      <c r="AW1688" s="68"/>
      <c r="AX1688" s="33"/>
      <c r="AY1688" s="33"/>
      <c r="AZ1688" s="109"/>
      <c r="BA1688" s="109"/>
      <c r="CA1688" s="35"/>
      <c r="CH1688" s="39"/>
      <c r="CI1688" s="32"/>
      <c r="CJ1688" s="40"/>
      <c r="CK1688" s="40"/>
      <c r="CL1688" s="33"/>
      <c r="CM1688" s="33"/>
      <c r="CN1688" s="33"/>
      <c r="CO1688" s="33"/>
      <c r="CP1688" s="33"/>
      <c r="CQ1688" s="33"/>
      <c r="CR1688" s="33"/>
    </row>
    <row r="1689" spans="31:96" ht="21">
      <c r="AE1689" s="33"/>
      <c r="AK1689" s="33"/>
      <c r="AL1689" s="33"/>
      <c r="AM1689" s="33"/>
      <c r="AN1689" s="33"/>
      <c r="AO1689" s="33"/>
      <c r="AP1689" s="33"/>
      <c r="AQ1689" s="33"/>
      <c r="AR1689" s="33"/>
      <c r="AS1689" s="33"/>
      <c r="AT1689" s="33"/>
      <c r="AU1689" s="33"/>
      <c r="AW1689" s="68"/>
      <c r="AX1689" s="33"/>
      <c r="AY1689" s="33"/>
      <c r="AZ1689" s="109"/>
      <c r="BA1689" s="109"/>
      <c r="CA1689" s="35"/>
      <c r="CH1689" s="39"/>
      <c r="CI1689" s="32"/>
      <c r="CJ1689" s="40"/>
      <c r="CK1689" s="40"/>
      <c r="CL1689" s="33"/>
      <c r="CM1689" s="33"/>
      <c r="CN1689" s="33"/>
      <c r="CO1689" s="33"/>
      <c r="CP1689" s="33"/>
      <c r="CQ1689" s="33"/>
      <c r="CR1689" s="33"/>
    </row>
    <row r="1690" spans="31:96" ht="21">
      <c r="AE1690" s="33"/>
      <c r="AK1690" s="33"/>
      <c r="AL1690" s="33"/>
      <c r="AM1690" s="33"/>
      <c r="AN1690" s="33"/>
      <c r="AO1690" s="33"/>
      <c r="AP1690" s="33"/>
      <c r="AQ1690" s="33"/>
      <c r="AR1690" s="33"/>
      <c r="AS1690" s="33"/>
      <c r="AT1690" s="33"/>
      <c r="AU1690" s="33"/>
      <c r="AW1690" s="68"/>
      <c r="AX1690" s="33"/>
      <c r="AY1690" s="33"/>
      <c r="AZ1690" s="109"/>
      <c r="BA1690" s="109"/>
      <c r="CA1690" s="35"/>
      <c r="CH1690" s="39"/>
      <c r="CI1690" s="32"/>
      <c r="CJ1690" s="40"/>
      <c r="CK1690" s="40"/>
      <c r="CL1690" s="33"/>
      <c r="CM1690" s="33"/>
      <c r="CN1690" s="33"/>
      <c r="CO1690" s="33"/>
      <c r="CP1690" s="33"/>
      <c r="CQ1690" s="33"/>
      <c r="CR1690" s="33"/>
    </row>
    <row r="1691" spans="31:96" ht="21">
      <c r="AE1691" s="33"/>
      <c r="AK1691" s="33"/>
      <c r="AL1691" s="33"/>
      <c r="AM1691" s="33"/>
      <c r="AN1691" s="33"/>
      <c r="AO1691" s="33"/>
      <c r="AP1691" s="33"/>
      <c r="AQ1691" s="33"/>
      <c r="AR1691" s="33"/>
      <c r="AS1691" s="33"/>
      <c r="AT1691" s="33"/>
      <c r="AU1691" s="33"/>
      <c r="AW1691" s="68"/>
      <c r="AX1691" s="33"/>
      <c r="AY1691" s="33"/>
      <c r="AZ1691" s="109"/>
      <c r="BA1691" s="109"/>
      <c r="CA1691" s="35"/>
      <c r="CH1691" s="39"/>
      <c r="CI1691" s="32"/>
      <c r="CJ1691" s="40"/>
      <c r="CK1691" s="40"/>
      <c r="CL1691" s="33"/>
      <c r="CM1691" s="33"/>
      <c r="CN1691" s="33"/>
      <c r="CO1691" s="33"/>
      <c r="CP1691" s="33"/>
      <c r="CQ1691" s="33"/>
      <c r="CR1691" s="33"/>
    </row>
    <row r="1692" spans="31:96" ht="21">
      <c r="AE1692" s="33"/>
      <c r="AK1692" s="33"/>
      <c r="AL1692" s="33"/>
      <c r="AM1692" s="33"/>
      <c r="AN1692" s="33"/>
      <c r="AO1692" s="33"/>
      <c r="AP1692" s="33"/>
      <c r="AQ1692" s="33"/>
      <c r="AR1692" s="33"/>
      <c r="AS1692" s="33"/>
      <c r="AT1692" s="33"/>
      <c r="AU1692" s="33"/>
      <c r="AW1692" s="68"/>
      <c r="AX1692" s="33"/>
      <c r="AY1692" s="33"/>
      <c r="AZ1692" s="109"/>
      <c r="BA1692" s="109"/>
      <c r="CA1692" s="35"/>
      <c r="CH1692" s="39"/>
      <c r="CI1692" s="32"/>
      <c r="CJ1692" s="40"/>
      <c r="CK1692" s="40"/>
      <c r="CL1692" s="33"/>
      <c r="CM1692" s="33"/>
      <c r="CN1692" s="33"/>
      <c r="CO1692" s="33"/>
      <c r="CP1692" s="33"/>
      <c r="CQ1692" s="33"/>
      <c r="CR1692" s="33"/>
    </row>
    <row r="1693" spans="31:96" ht="21">
      <c r="AE1693" s="33"/>
      <c r="AK1693" s="33"/>
      <c r="AL1693" s="33"/>
      <c r="AM1693" s="33"/>
      <c r="AN1693" s="33"/>
      <c r="AO1693" s="33"/>
      <c r="AP1693" s="33"/>
      <c r="AQ1693" s="33"/>
      <c r="AR1693" s="33"/>
      <c r="AS1693" s="33"/>
      <c r="AT1693" s="33"/>
      <c r="AU1693" s="33"/>
      <c r="AW1693" s="68"/>
      <c r="AX1693" s="33"/>
      <c r="AY1693" s="33"/>
      <c r="AZ1693" s="109"/>
      <c r="BA1693" s="109"/>
      <c r="CA1693" s="35"/>
      <c r="CH1693" s="39"/>
      <c r="CI1693" s="32"/>
      <c r="CJ1693" s="40"/>
      <c r="CK1693" s="40"/>
      <c r="CL1693" s="33"/>
      <c r="CM1693" s="33"/>
      <c r="CN1693" s="33"/>
      <c r="CO1693" s="33"/>
      <c r="CP1693" s="33"/>
      <c r="CQ1693" s="33"/>
      <c r="CR1693" s="33"/>
    </row>
    <row r="1694" spans="31:96" ht="21">
      <c r="AE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W1694" s="68"/>
      <c r="AX1694" s="33"/>
      <c r="AY1694" s="33"/>
      <c r="AZ1694" s="109"/>
      <c r="BA1694" s="109"/>
      <c r="CA1694" s="35"/>
      <c r="CH1694" s="39"/>
      <c r="CI1694" s="32"/>
      <c r="CJ1694" s="40"/>
      <c r="CK1694" s="40"/>
      <c r="CL1694" s="33"/>
      <c r="CM1694" s="33"/>
      <c r="CN1694" s="33"/>
      <c r="CO1694" s="33"/>
      <c r="CP1694" s="33"/>
      <c r="CQ1694" s="33"/>
      <c r="CR1694" s="33"/>
    </row>
    <row r="1695" spans="31:96" ht="21">
      <c r="AE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W1695" s="68"/>
      <c r="AX1695" s="33"/>
      <c r="AY1695" s="33"/>
      <c r="AZ1695" s="109"/>
      <c r="BA1695" s="109"/>
      <c r="CA1695" s="35"/>
      <c r="CH1695" s="39"/>
      <c r="CI1695" s="32"/>
      <c r="CJ1695" s="40"/>
      <c r="CK1695" s="40"/>
      <c r="CL1695" s="33"/>
      <c r="CM1695" s="33"/>
      <c r="CN1695" s="33"/>
      <c r="CO1695" s="33"/>
      <c r="CP1695" s="33"/>
      <c r="CQ1695" s="33"/>
      <c r="CR1695" s="33"/>
    </row>
    <row r="1696" spans="31:96" ht="21">
      <c r="AE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W1696" s="68"/>
      <c r="AX1696" s="33"/>
      <c r="AY1696" s="33"/>
      <c r="AZ1696" s="109"/>
      <c r="BA1696" s="109"/>
      <c r="CA1696" s="35"/>
      <c r="CH1696" s="39"/>
      <c r="CI1696" s="32"/>
      <c r="CJ1696" s="40"/>
      <c r="CK1696" s="40"/>
      <c r="CL1696" s="33"/>
      <c r="CM1696" s="33"/>
      <c r="CN1696" s="33"/>
      <c r="CO1696" s="33"/>
      <c r="CP1696" s="33"/>
      <c r="CQ1696" s="33"/>
      <c r="CR1696" s="33"/>
    </row>
    <row r="1697" spans="31:96" ht="21">
      <c r="AE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W1697" s="68"/>
      <c r="AX1697" s="33"/>
      <c r="AY1697" s="33"/>
      <c r="AZ1697" s="109"/>
      <c r="BA1697" s="109"/>
      <c r="CA1697" s="35"/>
      <c r="CH1697" s="39"/>
      <c r="CI1697" s="32"/>
      <c r="CJ1697" s="40"/>
      <c r="CK1697" s="40"/>
      <c r="CL1697" s="33"/>
      <c r="CM1697" s="33"/>
      <c r="CN1697" s="33"/>
      <c r="CO1697" s="33"/>
      <c r="CP1697" s="33"/>
      <c r="CQ1697" s="33"/>
      <c r="CR1697" s="33"/>
    </row>
    <row r="1698" spans="31:96" ht="21">
      <c r="AE1698" s="33"/>
      <c r="AK1698" s="33"/>
      <c r="AL1698" s="33"/>
      <c r="AM1698" s="33"/>
      <c r="AN1698" s="33"/>
      <c r="AO1698" s="33"/>
      <c r="AP1698" s="33"/>
      <c r="AQ1698" s="33"/>
      <c r="AR1698" s="33"/>
      <c r="AS1698" s="33"/>
      <c r="AT1698" s="33"/>
      <c r="AU1698" s="33"/>
      <c r="AW1698" s="68"/>
      <c r="AX1698" s="33"/>
      <c r="AY1698" s="33"/>
      <c r="AZ1698" s="109"/>
      <c r="BA1698" s="109"/>
      <c r="CA1698" s="35"/>
      <c r="CH1698" s="39"/>
      <c r="CI1698" s="32"/>
      <c r="CJ1698" s="40"/>
      <c r="CK1698" s="40"/>
      <c r="CL1698" s="33"/>
      <c r="CM1698" s="33"/>
      <c r="CN1698" s="33"/>
      <c r="CO1698" s="33"/>
      <c r="CP1698" s="33"/>
      <c r="CQ1698" s="33"/>
      <c r="CR1698" s="33"/>
    </row>
    <row r="1699" spans="31:96" ht="21">
      <c r="AE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W1699" s="68"/>
      <c r="AX1699" s="33"/>
      <c r="AY1699" s="33"/>
      <c r="AZ1699" s="109"/>
      <c r="BA1699" s="109"/>
      <c r="CA1699" s="35"/>
      <c r="CH1699" s="39"/>
      <c r="CI1699" s="32"/>
      <c r="CJ1699" s="40"/>
      <c r="CK1699" s="40"/>
      <c r="CL1699" s="33"/>
      <c r="CM1699" s="33"/>
      <c r="CN1699" s="33"/>
      <c r="CO1699" s="33"/>
      <c r="CP1699" s="33"/>
      <c r="CQ1699" s="33"/>
      <c r="CR1699" s="33"/>
    </row>
    <row r="1700" spans="31:96" ht="21">
      <c r="AE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W1700" s="68"/>
      <c r="AX1700" s="33"/>
      <c r="AY1700" s="33"/>
      <c r="AZ1700" s="109"/>
      <c r="BA1700" s="109"/>
      <c r="CA1700" s="35"/>
      <c r="CH1700" s="39"/>
      <c r="CI1700" s="32"/>
      <c r="CJ1700" s="40"/>
      <c r="CK1700" s="40"/>
      <c r="CL1700" s="33"/>
      <c r="CM1700" s="33"/>
      <c r="CN1700" s="33"/>
      <c r="CO1700" s="33"/>
      <c r="CP1700" s="33"/>
      <c r="CQ1700" s="33"/>
      <c r="CR1700" s="33"/>
    </row>
    <row r="1701" spans="31:96" ht="21">
      <c r="AE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W1701" s="68"/>
      <c r="AX1701" s="33"/>
      <c r="AY1701" s="33"/>
      <c r="AZ1701" s="109"/>
      <c r="BA1701" s="109"/>
      <c r="CA1701" s="35"/>
      <c r="CH1701" s="39"/>
      <c r="CI1701" s="32"/>
      <c r="CJ1701" s="40"/>
      <c r="CK1701" s="40"/>
      <c r="CL1701" s="33"/>
      <c r="CM1701" s="33"/>
      <c r="CN1701" s="33"/>
      <c r="CO1701" s="33"/>
      <c r="CP1701" s="33"/>
      <c r="CQ1701" s="33"/>
      <c r="CR1701" s="33"/>
    </row>
    <row r="1702" spans="31:96" ht="21">
      <c r="AE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W1702" s="68"/>
      <c r="AX1702" s="33"/>
      <c r="AY1702" s="33"/>
      <c r="AZ1702" s="109"/>
      <c r="BA1702" s="109"/>
      <c r="CA1702" s="36"/>
      <c r="CH1702" s="39"/>
      <c r="CI1702" s="32"/>
      <c r="CJ1702" s="40"/>
      <c r="CK1702" s="40"/>
      <c r="CL1702" s="40"/>
      <c r="CM1702" s="40"/>
      <c r="CN1702" s="40"/>
      <c r="CO1702" s="40"/>
      <c r="CP1702" s="40"/>
      <c r="CQ1702" s="40"/>
      <c r="CR1702" s="40"/>
    </row>
    <row r="1703" spans="31:96" ht="21">
      <c r="AE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W1703" s="68"/>
      <c r="AX1703" s="33"/>
      <c r="AY1703" s="33"/>
      <c r="AZ1703" s="109"/>
      <c r="BA1703" s="109"/>
      <c r="CA1703" s="35"/>
      <c r="CH1703" s="39"/>
      <c r="CI1703" s="32"/>
      <c r="CJ1703" s="40"/>
      <c r="CK1703" s="40"/>
      <c r="CL1703" s="33"/>
      <c r="CM1703" s="33"/>
      <c r="CN1703" s="33"/>
      <c r="CO1703" s="33"/>
      <c r="CP1703" s="33"/>
      <c r="CQ1703" s="33"/>
      <c r="CR1703" s="33"/>
    </row>
    <row r="1704" spans="31:96" ht="21">
      <c r="AE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W1704" s="68"/>
      <c r="AX1704" s="33"/>
      <c r="AY1704" s="33"/>
      <c r="AZ1704" s="109"/>
      <c r="BA1704" s="109"/>
      <c r="CA1704" s="35"/>
      <c r="CH1704" s="39"/>
      <c r="CI1704" s="32"/>
      <c r="CJ1704" s="40"/>
      <c r="CK1704" s="40"/>
      <c r="CL1704" s="33"/>
      <c r="CM1704" s="33"/>
      <c r="CN1704" s="33"/>
      <c r="CO1704" s="33"/>
      <c r="CP1704" s="33"/>
      <c r="CQ1704" s="33"/>
      <c r="CR1704" s="33"/>
    </row>
    <row r="1705" spans="31:96" ht="21">
      <c r="AE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W1705" s="68"/>
      <c r="AX1705" s="33"/>
      <c r="AY1705" s="33"/>
      <c r="AZ1705" s="109"/>
      <c r="BA1705" s="109"/>
      <c r="CA1705" s="35"/>
      <c r="CH1705" s="39"/>
      <c r="CI1705" s="32"/>
      <c r="CJ1705" s="40"/>
      <c r="CK1705" s="40"/>
      <c r="CL1705" s="33"/>
      <c r="CM1705" s="33"/>
      <c r="CN1705" s="33"/>
      <c r="CO1705" s="33"/>
      <c r="CP1705" s="33"/>
      <c r="CQ1705" s="33"/>
      <c r="CR1705" s="33"/>
    </row>
    <row r="1706" spans="31:96" ht="21">
      <c r="AE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W1706" s="68"/>
      <c r="AX1706" s="33"/>
      <c r="AY1706" s="33"/>
      <c r="AZ1706" s="109"/>
      <c r="BA1706" s="109"/>
      <c r="CA1706" s="35"/>
      <c r="CH1706" s="39"/>
      <c r="CI1706" s="32"/>
      <c r="CJ1706" s="40"/>
      <c r="CK1706" s="40"/>
      <c r="CL1706" s="33"/>
      <c r="CM1706" s="33"/>
      <c r="CN1706" s="33"/>
      <c r="CO1706" s="33"/>
      <c r="CP1706" s="33"/>
      <c r="CQ1706" s="33"/>
      <c r="CR1706" s="33"/>
    </row>
    <row r="1707" spans="31:96" ht="21">
      <c r="AE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W1707" s="68"/>
      <c r="AX1707" s="33"/>
      <c r="AY1707" s="33"/>
      <c r="AZ1707" s="109"/>
      <c r="BA1707" s="109"/>
      <c r="CA1707" s="35"/>
      <c r="CH1707" s="39"/>
      <c r="CI1707" s="32"/>
      <c r="CJ1707" s="40"/>
      <c r="CK1707" s="40"/>
      <c r="CL1707" s="33"/>
      <c r="CM1707" s="33"/>
      <c r="CN1707" s="33"/>
      <c r="CO1707" s="33"/>
      <c r="CP1707" s="33"/>
      <c r="CQ1707" s="33"/>
      <c r="CR1707" s="33"/>
    </row>
    <row r="1708" spans="31:96" ht="21">
      <c r="AE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W1708" s="68"/>
      <c r="AX1708" s="33"/>
      <c r="AY1708" s="33"/>
      <c r="AZ1708" s="109"/>
      <c r="BA1708" s="109"/>
      <c r="CA1708" s="35"/>
      <c r="CH1708" s="39"/>
      <c r="CI1708" s="32"/>
      <c r="CJ1708" s="40"/>
      <c r="CK1708" s="40"/>
      <c r="CL1708" s="33"/>
      <c r="CM1708" s="33"/>
      <c r="CN1708" s="33"/>
      <c r="CO1708" s="33"/>
      <c r="CP1708" s="33"/>
      <c r="CQ1708" s="33"/>
      <c r="CR1708" s="33"/>
    </row>
    <row r="1709" spans="31:96" ht="21">
      <c r="AE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W1709" s="68"/>
      <c r="AX1709" s="33"/>
      <c r="AY1709" s="33"/>
      <c r="AZ1709" s="109"/>
      <c r="BA1709" s="109"/>
      <c r="CA1709" s="35"/>
      <c r="CH1709" s="39"/>
      <c r="CI1709" s="32"/>
      <c r="CJ1709" s="40"/>
      <c r="CK1709" s="40"/>
      <c r="CL1709" s="33"/>
      <c r="CM1709" s="33"/>
      <c r="CN1709" s="33"/>
      <c r="CO1709" s="33"/>
      <c r="CP1709" s="33"/>
      <c r="CQ1709" s="33"/>
      <c r="CR1709" s="33"/>
    </row>
    <row r="1710" spans="31:96" ht="21">
      <c r="AE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W1710" s="68"/>
      <c r="AX1710" s="33"/>
      <c r="AY1710" s="33"/>
      <c r="AZ1710" s="109"/>
      <c r="BA1710" s="109"/>
      <c r="CA1710" s="35"/>
      <c r="CH1710" s="39"/>
      <c r="CI1710" s="32"/>
      <c r="CJ1710" s="40"/>
      <c r="CK1710" s="40"/>
      <c r="CL1710" s="33"/>
      <c r="CM1710" s="33"/>
      <c r="CN1710" s="33"/>
      <c r="CO1710" s="33"/>
      <c r="CP1710" s="33"/>
      <c r="CQ1710" s="33"/>
      <c r="CR1710" s="33"/>
    </row>
    <row r="1711" spans="31:96" ht="21">
      <c r="AE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W1711" s="68"/>
      <c r="AX1711" s="33"/>
      <c r="AY1711" s="33"/>
      <c r="AZ1711" s="109"/>
      <c r="BA1711" s="109"/>
      <c r="CA1711" s="35"/>
      <c r="CH1711" s="39"/>
      <c r="CI1711" s="32"/>
      <c r="CJ1711" s="40"/>
      <c r="CK1711" s="40"/>
      <c r="CL1711" s="33"/>
      <c r="CM1711" s="33"/>
      <c r="CN1711" s="33"/>
      <c r="CO1711" s="33"/>
      <c r="CP1711" s="33"/>
      <c r="CQ1711" s="33"/>
      <c r="CR1711" s="33"/>
    </row>
    <row r="1712" spans="31:96" ht="21">
      <c r="AE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W1712" s="68"/>
      <c r="AX1712" s="33"/>
      <c r="AY1712" s="33"/>
      <c r="AZ1712" s="109"/>
      <c r="BA1712" s="109"/>
      <c r="CA1712" s="35"/>
      <c r="CH1712" s="39"/>
      <c r="CI1712" s="32"/>
      <c r="CJ1712" s="40"/>
      <c r="CK1712" s="40"/>
      <c r="CL1712" s="33"/>
      <c r="CM1712" s="33"/>
      <c r="CN1712" s="33"/>
      <c r="CO1712" s="33"/>
      <c r="CP1712" s="33"/>
      <c r="CQ1712" s="33"/>
      <c r="CR1712" s="33"/>
    </row>
    <row r="1713" spans="31:96" ht="21">
      <c r="AE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W1713" s="68"/>
      <c r="AX1713" s="33"/>
      <c r="AY1713" s="33"/>
      <c r="AZ1713" s="33"/>
      <c r="BA1713" s="33"/>
      <c r="CA1713" s="35"/>
      <c r="CH1713" s="39"/>
      <c r="CI1713" s="32"/>
      <c r="CJ1713" s="40"/>
      <c r="CK1713" s="40"/>
      <c r="CL1713" s="33"/>
      <c r="CM1713" s="33"/>
      <c r="CN1713" s="33"/>
      <c r="CO1713" s="33"/>
      <c r="CP1713" s="33"/>
      <c r="CQ1713" s="33"/>
      <c r="CR1713" s="33"/>
    </row>
    <row r="1714" spans="31:96" ht="21">
      <c r="AE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W1714" s="68"/>
      <c r="AX1714" s="33"/>
      <c r="AY1714" s="33"/>
      <c r="AZ1714" s="33"/>
      <c r="BA1714" s="33"/>
      <c r="CA1714" s="35"/>
      <c r="CH1714" s="39"/>
      <c r="CI1714" s="32"/>
      <c r="CJ1714" s="40"/>
      <c r="CK1714" s="40"/>
      <c r="CL1714" s="33"/>
      <c r="CM1714" s="33"/>
      <c r="CN1714" s="33"/>
      <c r="CO1714" s="33"/>
      <c r="CP1714" s="33"/>
      <c r="CQ1714" s="33"/>
      <c r="CR1714" s="33"/>
    </row>
    <row r="1715" spans="31:96" ht="21">
      <c r="AE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W1715" s="68"/>
      <c r="AX1715" s="33"/>
      <c r="AY1715" s="33"/>
      <c r="AZ1715" s="33"/>
      <c r="BA1715" s="33"/>
      <c r="CA1715" s="35"/>
      <c r="CH1715" s="39"/>
      <c r="CI1715" s="32"/>
      <c r="CJ1715" s="40"/>
      <c r="CK1715" s="40"/>
      <c r="CL1715" s="33"/>
      <c r="CM1715" s="33"/>
      <c r="CN1715" s="33"/>
      <c r="CO1715" s="33"/>
      <c r="CP1715" s="33"/>
      <c r="CQ1715" s="33"/>
      <c r="CR1715" s="33"/>
    </row>
    <row r="1716" spans="31:96" ht="21">
      <c r="AE1716" s="33"/>
      <c r="AK1716" s="33"/>
      <c r="AL1716" s="33"/>
      <c r="AM1716" s="33"/>
      <c r="AN1716" s="33"/>
      <c r="AO1716" s="33"/>
      <c r="AP1716" s="33"/>
      <c r="AQ1716" s="33"/>
      <c r="AR1716" s="33"/>
      <c r="AS1716" s="33"/>
      <c r="AT1716" s="33"/>
      <c r="AU1716" s="33"/>
      <c r="AW1716" s="68"/>
      <c r="AX1716" s="33"/>
      <c r="AY1716" s="33"/>
      <c r="AZ1716" s="33"/>
      <c r="BA1716" s="33"/>
      <c r="CA1716" s="35"/>
      <c r="CH1716" s="39"/>
      <c r="CI1716" s="32"/>
      <c r="CJ1716" s="40"/>
      <c r="CK1716" s="40"/>
      <c r="CL1716" s="33"/>
      <c r="CM1716" s="33"/>
      <c r="CN1716" s="33"/>
      <c r="CO1716" s="33"/>
      <c r="CP1716" s="33"/>
      <c r="CQ1716" s="33"/>
      <c r="CR1716" s="33"/>
    </row>
    <row r="1717" spans="31:96" ht="21">
      <c r="AE1717" s="33"/>
      <c r="AK1717" s="33"/>
      <c r="AL1717" s="33"/>
      <c r="AM1717" s="33"/>
      <c r="AN1717" s="33"/>
      <c r="AO1717" s="33"/>
      <c r="AP1717" s="33"/>
      <c r="AQ1717" s="33"/>
      <c r="AR1717" s="33"/>
      <c r="AS1717" s="33"/>
      <c r="AT1717" s="33"/>
      <c r="AU1717" s="33"/>
      <c r="AW1717" s="68"/>
      <c r="AX1717" s="33"/>
      <c r="AY1717" s="33"/>
      <c r="AZ1717" s="33"/>
      <c r="BA1717" s="33"/>
      <c r="CA1717" s="35"/>
      <c r="CH1717" s="39"/>
      <c r="CI1717" s="32"/>
      <c r="CJ1717" s="40"/>
      <c r="CK1717" s="40"/>
      <c r="CL1717" s="33"/>
      <c r="CM1717" s="33"/>
      <c r="CN1717" s="33"/>
      <c r="CO1717" s="33"/>
      <c r="CP1717" s="33"/>
      <c r="CQ1717" s="33"/>
      <c r="CR1717" s="33"/>
    </row>
    <row r="1718" spans="31:96" ht="21">
      <c r="AE1718" s="33"/>
      <c r="AK1718" s="33"/>
      <c r="AL1718" s="33"/>
      <c r="AM1718" s="33"/>
      <c r="AN1718" s="33"/>
      <c r="AO1718" s="33"/>
      <c r="AP1718" s="33"/>
      <c r="AQ1718" s="33"/>
      <c r="AR1718" s="33"/>
      <c r="AS1718" s="33"/>
      <c r="AT1718" s="33"/>
      <c r="AU1718" s="33"/>
      <c r="AW1718" s="68"/>
      <c r="AX1718" s="33"/>
      <c r="AY1718" s="33"/>
      <c r="AZ1718" s="33"/>
      <c r="BA1718" s="33"/>
      <c r="CA1718" s="35"/>
      <c r="CH1718" s="39"/>
      <c r="CI1718" s="32"/>
      <c r="CJ1718" s="40"/>
      <c r="CK1718" s="40"/>
      <c r="CL1718" s="33"/>
      <c r="CM1718" s="33"/>
      <c r="CN1718" s="33"/>
      <c r="CO1718" s="33"/>
      <c r="CP1718" s="33"/>
      <c r="CQ1718" s="33"/>
      <c r="CR1718" s="33"/>
    </row>
    <row r="1719" spans="31:96" ht="21">
      <c r="AE1719" s="33"/>
      <c r="AK1719" s="33"/>
      <c r="AL1719" s="33"/>
      <c r="AM1719" s="33"/>
      <c r="AN1719" s="33"/>
      <c r="AO1719" s="33"/>
      <c r="AP1719" s="33"/>
      <c r="AQ1719" s="33"/>
      <c r="AR1719" s="33"/>
      <c r="AS1719" s="33"/>
      <c r="AT1719" s="33"/>
      <c r="AU1719" s="33"/>
      <c r="AW1719" s="68"/>
      <c r="AX1719" s="33"/>
      <c r="AY1719" s="33"/>
      <c r="AZ1719" s="33"/>
      <c r="BA1719" s="33"/>
      <c r="CA1719" s="35"/>
      <c r="CH1719" s="39"/>
      <c r="CI1719" s="32"/>
      <c r="CJ1719" s="40"/>
      <c r="CK1719" s="40"/>
      <c r="CL1719" s="33"/>
      <c r="CM1719" s="33"/>
      <c r="CN1719" s="33"/>
      <c r="CO1719" s="33"/>
      <c r="CP1719" s="33"/>
      <c r="CQ1719" s="33"/>
      <c r="CR1719" s="33"/>
    </row>
    <row r="1720" spans="31:96" ht="21">
      <c r="AE1720" s="33"/>
      <c r="AK1720" s="33"/>
      <c r="AL1720" s="33"/>
      <c r="AM1720" s="33"/>
      <c r="AN1720" s="33"/>
      <c r="AO1720" s="33"/>
      <c r="AP1720" s="33"/>
      <c r="AQ1720" s="33"/>
      <c r="AR1720" s="33"/>
      <c r="AS1720" s="33"/>
      <c r="AT1720" s="33"/>
      <c r="AU1720" s="33"/>
      <c r="AW1720" s="68"/>
      <c r="AX1720" s="33"/>
      <c r="AY1720" s="33"/>
      <c r="AZ1720" s="33"/>
      <c r="BA1720" s="33"/>
      <c r="CA1720" s="35"/>
      <c r="CH1720" s="39"/>
      <c r="CI1720" s="32"/>
      <c r="CJ1720" s="40"/>
      <c r="CK1720" s="40"/>
      <c r="CL1720" s="33"/>
      <c r="CM1720" s="33"/>
      <c r="CN1720" s="33"/>
      <c r="CO1720" s="33"/>
      <c r="CP1720" s="33"/>
      <c r="CQ1720" s="33"/>
      <c r="CR1720" s="33"/>
    </row>
    <row r="1721" spans="31:96" ht="21">
      <c r="AE1721" s="33"/>
      <c r="AK1721" s="33"/>
      <c r="AL1721" s="33"/>
      <c r="AM1721" s="33"/>
      <c r="AN1721" s="33"/>
      <c r="AO1721" s="33"/>
      <c r="AP1721" s="33"/>
      <c r="AQ1721" s="33"/>
      <c r="AR1721" s="33"/>
      <c r="AS1721" s="33"/>
      <c r="AT1721" s="33"/>
      <c r="AU1721" s="33"/>
      <c r="AW1721" s="68"/>
      <c r="AX1721" s="33"/>
      <c r="AY1721" s="33"/>
      <c r="AZ1721" s="33"/>
      <c r="BA1721" s="33"/>
      <c r="CA1721" s="35"/>
      <c r="CH1721" s="39"/>
      <c r="CI1721" s="32"/>
      <c r="CJ1721" s="40"/>
      <c r="CK1721" s="40"/>
      <c r="CL1721" s="33"/>
      <c r="CM1721" s="33"/>
      <c r="CN1721" s="33"/>
      <c r="CO1721" s="33"/>
      <c r="CP1721" s="33"/>
      <c r="CQ1721" s="33"/>
      <c r="CR1721" s="33"/>
    </row>
    <row r="1722" spans="31:96">
      <c r="AE1722" s="33"/>
      <c r="AK1722" s="33"/>
      <c r="AL1722" s="33"/>
      <c r="AM1722" s="33"/>
      <c r="AN1722" s="33"/>
      <c r="AO1722" s="33"/>
      <c r="AP1722" s="33"/>
      <c r="AQ1722" s="33"/>
      <c r="AR1722" s="33"/>
      <c r="AS1722" s="33"/>
      <c r="AT1722" s="33"/>
      <c r="AU1722" s="33"/>
      <c r="AW1722" s="33"/>
      <c r="AX1722" s="33"/>
      <c r="AY1722" s="33"/>
      <c r="AZ1722" s="33"/>
      <c r="BA1722" s="33"/>
      <c r="CA1722" s="35"/>
      <c r="CH1722" s="39"/>
      <c r="CI1722" s="32"/>
      <c r="CJ1722" s="40"/>
      <c r="CK1722" s="40"/>
      <c r="CL1722" s="33"/>
      <c r="CM1722" s="33"/>
      <c r="CN1722" s="33"/>
      <c r="CO1722" s="33"/>
      <c r="CP1722" s="33"/>
      <c r="CQ1722" s="33"/>
      <c r="CR1722" s="33"/>
    </row>
    <row r="1723" spans="31:96">
      <c r="AE1723" s="33"/>
      <c r="AK1723" s="33"/>
      <c r="AL1723" s="33"/>
      <c r="AM1723" s="33"/>
      <c r="AN1723" s="33"/>
      <c r="AO1723" s="33"/>
      <c r="AP1723" s="33"/>
      <c r="AQ1723" s="33"/>
      <c r="AR1723" s="33"/>
      <c r="AS1723" s="33"/>
      <c r="AT1723" s="33"/>
      <c r="AU1723" s="33"/>
      <c r="AW1723" s="33"/>
      <c r="AX1723" s="33"/>
      <c r="AY1723" s="33"/>
      <c r="AZ1723" s="33"/>
      <c r="BA1723" s="33"/>
      <c r="CA1723" s="35"/>
      <c r="CH1723" s="39"/>
      <c r="CI1723" s="32"/>
      <c r="CJ1723" s="40"/>
      <c r="CK1723" s="40"/>
      <c r="CL1723" s="33"/>
      <c r="CM1723" s="33"/>
      <c r="CN1723" s="33"/>
      <c r="CO1723" s="33"/>
      <c r="CP1723" s="33"/>
      <c r="CQ1723" s="33"/>
      <c r="CR1723" s="33"/>
    </row>
    <row r="1724" spans="31:96">
      <c r="AE1724" s="33"/>
      <c r="AK1724" s="33"/>
      <c r="AL1724" s="33"/>
      <c r="AM1724" s="33"/>
      <c r="AN1724" s="33"/>
      <c r="AO1724" s="33"/>
      <c r="AP1724" s="33"/>
      <c r="AQ1724" s="33"/>
      <c r="AR1724" s="33"/>
      <c r="AS1724" s="33"/>
      <c r="AT1724" s="33"/>
      <c r="AU1724" s="33"/>
      <c r="AW1724" s="33"/>
      <c r="AX1724" s="33"/>
      <c r="AY1724" s="33"/>
      <c r="AZ1724" s="33"/>
      <c r="BA1724" s="33"/>
      <c r="CA1724" s="36"/>
      <c r="CH1724" s="39"/>
      <c r="CI1724" s="32"/>
      <c r="CJ1724" s="40"/>
      <c r="CK1724" s="40"/>
      <c r="CL1724" s="40"/>
      <c r="CM1724" s="40"/>
      <c r="CN1724" s="40"/>
      <c r="CO1724" s="40"/>
      <c r="CP1724" s="40"/>
      <c r="CQ1724" s="40"/>
      <c r="CR1724" s="40"/>
    </row>
    <row r="1725" spans="31:96">
      <c r="AE1725" s="33"/>
      <c r="AK1725" s="33"/>
      <c r="AL1725" s="33"/>
      <c r="AM1725" s="33"/>
      <c r="AN1725" s="33"/>
      <c r="AO1725" s="33"/>
      <c r="AP1725" s="33"/>
      <c r="AQ1725" s="33"/>
      <c r="AR1725" s="33"/>
      <c r="AS1725" s="33"/>
      <c r="AT1725" s="33"/>
      <c r="AU1725" s="33"/>
      <c r="AW1725" s="33"/>
      <c r="AX1725" s="33"/>
      <c r="AY1725" s="33"/>
      <c r="AZ1725" s="33"/>
      <c r="BA1725" s="33"/>
      <c r="CA1725" s="35"/>
      <c r="CH1725" s="39"/>
      <c r="CI1725" s="32"/>
      <c r="CJ1725" s="40"/>
      <c r="CK1725" s="40"/>
      <c r="CL1725" s="33"/>
      <c r="CM1725" s="33"/>
      <c r="CN1725" s="33"/>
      <c r="CO1725" s="33"/>
      <c r="CP1725" s="33"/>
      <c r="CQ1725" s="33"/>
      <c r="CR1725" s="33"/>
    </row>
    <row r="1726" spans="31:96">
      <c r="AE1726" s="33"/>
      <c r="AK1726" s="33"/>
      <c r="AL1726" s="33"/>
      <c r="AM1726" s="33"/>
      <c r="AN1726" s="33"/>
      <c r="AO1726" s="33"/>
      <c r="AP1726" s="33"/>
      <c r="AQ1726" s="33"/>
      <c r="AR1726" s="33"/>
      <c r="AS1726" s="33"/>
      <c r="AT1726" s="33"/>
      <c r="AU1726" s="33"/>
      <c r="AW1726" s="33"/>
      <c r="AX1726" s="33"/>
      <c r="AY1726" s="33"/>
      <c r="AZ1726" s="33"/>
      <c r="BA1726" s="33"/>
      <c r="CA1726" s="35"/>
      <c r="CH1726" s="39"/>
      <c r="CI1726" s="32"/>
      <c r="CJ1726" s="40"/>
      <c r="CK1726" s="40"/>
      <c r="CL1726" s="33"/>
      <c r="CM1726" s="33"/>
      <c r="CN1726" s="33"/>
      <c r="CO1726" s="33"/>
      <c r="CP1726" s="33"/>
      <c r="CQ1726" s="33"/>
      <c r="CR1726" s="33"/>
    </row>
    <row r="1727" spans="31:96">
      <c r="AE1727" s="33"/>
      <c r="AK1727" s="33"/>
      <c r="AL1727" s="33"/>
      <c r="AM1727" s="33"/>
      <c r="AN1727" s="33"/>
      <c r="AO1727" s="33"/>
      <c r="AP1727" s="33"/>
      <c r="AQ1727" s="33"/>
      <c r="AR1727" s="33"/>
      <c r="AS1727" s="33"/>
      <c r="AT1727" s="33"/>
      <c r="AU1727" s="33"/>
      <c r="AW1727" s="33"/>
      <c r="AX1727" s="33"/>
      <c r="AY1727" s="33"/>
      <c r="AZ1727" s="33"/>
      <c r="BA1727" s="33"/>
      <c r="CA1727" s="35"/>
      <c r="CH1727" s="39"/>
      <c r="CI1727" s="32"/>
      <c r="CJ1727" s="40"/>
      <c r="CK1727" s="40"/>
      <c r="CL1727" s="33"/>
      <c r="CM1727" s="33"/>
      <c r="CN1727" s="33"/>
      <c r="CO1727" s="33"/>
      <c r="CP1727" s="33"/>
      <c r="CQ1727" s="33"/>
      <c r="CR1727" s="33"/>
    </row>
    <row r="1728" spans="31:96">
      <c r="AE1728" s="33"/>
      <c r="AK1728" s="33"/>
      <c r="AL1728" s="33"/>
      <c r="AM1728" s="33"/>
      <c r="AN1728" s="33"/>
      <c r="AO1728" s="33"/>
      <c r="AP1728" s="33"/>
      <c r="AQ1728" s="33"/>
      <c r="AR1728" s="33"/>
      <c r="AS1728" s="33"/>
      <c r="AT1728" s="33"/>
      <c r="AU1728" s="33"/>
      <c r="AW1728" s="33"/>
      <c r="AX1728" s="33"/>
      <c r="AY1728" s="33"/>
      <c r="AZ1728" s="33"/>
      <c r="BA1728" s="33"/>
      <c r="CA1728" s="35"/>
      <c r="CH1728" s="39"/>
      <c r="CI1728" s="32"/>
      <c r="CJ1728" s="40"/>
      <c r="CK1728" s="40"/>
      <c r="CL1728" s="33"/>
      <c r="CM1728" s="33"/>
      <c r="CN1728" s="33"/>
      <c r="CO1728" s="33"/>
      <c r="CP1728" s="33"/>
      <c r="CQ1728" s="33"/>
      <c r="CR1728" s="33"/>
    </row>
    <row r="1729" spans="31:96">
      <c r="AE1729" s="33"/>
      <c r="AK1729" s="33"/>
      <c r="AL1729" s="33"/>
      <c r="AM1729" s="33"/>
      <c r="AN1729" s="33"/>
      <c r="AO1729" s="33"/>
      <c r="AP1729" s="33"/>
      <c r="AQ1729" s="33"/>
      <c r="AR1729" s="33"/>
      <c r="AS1729" s="33"/>
      <c r="AT1729" s="33"/>
      <c r="AU1729" s="33"/>
      <c r="AW1729" s="33"/>
      <c r="AX1729" s="33"/>
      <c r="AY1729" s="33"/>
      <c r="AZ1729" s="33"/>
      <c r="BA1729" s="33"/>
      <c r="CA1729" s="35"/>
      <c r="CH1729" s="39"/>
      <c r="CI1729" s="32"/>
      <c r="CJ1729" s="40"/>
      <c r="CK1729" s="40"/>
      <c r="CL1729" s="33"/>
      <c r="CM1729" s="33"/>
      <c r="CN1729" s="33"/>
      <c r="CO1729" s="33"/>
      <c r="CP1729" s="33"/>
      <c r="CQ1729" s="33"/>
      <c r="CR1729" s="33"/>
    </row>
    <row r="1730" spans="31:96">
      <c r="AE1730" s="33"/>
      <c r="AK1730" s="33"/>
      <c r="AL1730" s="33"/>
      <c r="AM1730" s="33"/>
      <c r="AN1730" s="33"/>
      <c r="AO1730" s="33"/>
      <c r="AP1730" s="33"/>
      <c r="AQ1730" s="33"/>
      <c r="AR1730" s="33"/>
      <c r="AS1730" s="33"/>
      <c r="AT1730" s="33"/>
      <c r="AU1730" s="33"/>
      <c r="AW1730" s="33"/>
      <c r="AX1730" s="33"/>
      <c r="AY1730" s="33"/>
      <c r="AZ1730" s="33"/>
      <c r="BA1730" s="33"/>
      <c r="CA1730" s="35"/>
      <c r="CH1730" s="39"/>
      <c r="CI1730" s="32"/>
      <c r="CJ1730" s="40"/>
      <c r="CK1730" s="40"/>
      <c r="CL1730" s="33"/>
      <c r="CM1730" s="33"/>
      <c r="CN1730" s="33"/>
      <c r="CO1730" s="33"/>
      <c r="CP1730" s="33"/>
      <c r="CQ1730" s="33"/>
      <c r="CR1730" s="33"/>
    </row>
    <row r="1731" spans="31:96">
      <c r="AE1731" s="33"/>
      <c r="AK1731" s="33"/>
      <c r="AL1731" s="33"/>
      <c r="AM1731" s="33"/>
      <c r="AN1731" s="33"/>
      <c r="AO1731" s="33"/>
      <c r="AP1731" s="33"/>
      <c r="AQ1731" s="33"/>
      <c r="AR1731" s="33"/>
      <c r="AS1731" s="33"/>
      <c r="AT1731" s="33"/>
      <c r="AU1731" s="33"/>
      <c r="AW1731" s="33"/>
      <c r="AX1731" s="33"/>
      <c r="AY1731" s="33"/>
      <c r="AZ1731" s="33"/>
      <c r="BA1731" s="33"/>
      <c r="CA1731" s="35"/>
      <c r="CH1731" s="39"/>
      <c r="CI1731" s="32"/>
      <c r="CJ1731" s="40"/>
      <c r="CK1731" s="40"/>
      <c r="CL1731" s="33"/>
      <c r="CM1731" s="33"/>
      <c r="CN1731" s="33"/>
      <c r="CO1731" s="33"/>
      <c r="CP1731" s="33"/>
      <c r="CQ1731" s="33"/>
      <c r="CR1731" s="33"/>
    </row>
    <row r="1732" spans="31:96">
      <c r="AE1732" s="33"/>
      <c r="AK1732" s="33"/>
      <c r="AL1732" s="33"/>
      <c r="AM1732" s="33"/>
      <c r="AN1732" s="33"/>
      <c r="AO1732" s="33"/>
      <c r="AP1732" s="33"/>
      <c r="AQ1732" s="33"/>
      <c r="AR1732" s="33"/>
      <c r="AS1732" s="33"/>
      <c r="AT1732" s="33"/>
      <c r="AU1732" s="33"/>
      <c r="AW1732" s="33"/>
      <c r="AX1732" s="33"/>
      <c r="AY1732" s="33"/>
      <c r="AZ1732" s="33"/>
      <c r="BA1732" s="33"/>
      <c r="CA1732" s="35"/>
      <c r="CH1732" s="39"/>
      <c r="CI1732" s="32"/>
      <c r="CJ1732" s="40"/>
      <c r="CK1732" s="40"/>
      <c r="CL1732" s="33"/>
      <c r="CM1732" s="33"/>
      <c r="CN1732" s="33"/>
      <c r="CO1732" s="33"/>
      <c r="CP1732" s="33"/>
      <c r="CQ1732" s="33"/>
      <c r="CR1732" s="33"/>
    </row>
    <row r="1733" spans="31:96">
      <c r="AE1733" s="33"/>
      <c r="AK1733" s="33"/>
      <c r="AL1733" s="33"/>
      <c r="AM1733" s="33"/>
      <c r="AN1733" s="33"/>
      <c r="AO1733" s="33"/>
      <c r="AP1733" s="33"/>
      <c r="AQ1733" s="33"/>
      <c r="AR1733" s="33"/>
      <c r="AS1733" s="33"/>
      <c r="AT1733" s="33"/>
      <c r="AU1733" s="33"/>
      <c r="AW1733" s="33"/>
      <c r="AX1733" s="33"/>
      <c r="AY1733" s="33"/>
      <c r="AZ1733" s="33"/>
      <c r="BA1733" s="33"/>
      <c r="CA1733" s="35"/>
      <c r="CH1733" s="39"/>
      <c r="CI1733" s="32"/>
      <c r="CJ1733" s="40"/>
      <c r="CK1733" s="40"/>
      <c r="CL1733" s="33"/>
      <c r="CM1733" s="33"/>
      <c r="CN1733" s="33"/>
      <c r="CO1733" s="33"/>
      <c r="CP1733" s="33"/>
      <c r="CQ1733" s="33"/>
      <c r="CR1733" s="33"/>
    </row>
    <row r="1734" spans="31:96">
      <c r="AE1734" s="33"/>
      <c r="AK1734" s="33"/>
      <c r="AL1734" s="33"/>
      <c r="AM1734" s="33"/>
      <c r="AN1734" s="33"/>
      <c r="AO1734" s="33"/>
      <c r="AP1734" s="33"/>
      <c r="AQ1734" s="33"/>
      <c r="AR1734" s="33"/>
      <c r="AS1734" s="33"/>
      <c r="AT1734" s="33"/>
      <c r="AU1734" s="33"/>
      <c r="AW1734" s="33"/>
      <c r="AX1734" s="33"/>
      <c r="AY1734" s="33"/>
      <c r="AZ1734" s="33"/>
      <c r="BA1734" s="33"/>
      <c r="CA1734" s="35"/>
      <c r="CH1734" s="39"/>
      <c r="CI1734" s="32"/>
      <c r="CJ1734" s="40"/>
      <c r="CK1734" s="40"/>
      <c r="CL1734" s="33"/>
      <c r="CM1734" s="33"/>
      <c r="CN1734" s="33"/>
      <c r="CO1734" s="33"/>
      <c r="CP1734" s="33"/>
      <c r="CQ1734" s="33"/>
      <c r="CR1734" s="33"/>
    </row>
    <row r="1735" spans="31:96">
      <c r="AE1735" s="33"/>
      <c r="AK1735" s="33"/>
      <c r="AL1735" s="33"/>
      <c r="AM1735" s="33"/>
      <c r="AN1735" s="33"/>
      <c r="AO1735" s="33"/>
      <c r="AP1735" s="33"/>
      <c r="AQ1735" s="33"/>
      <c r="AR1735" s="33"/>
      <c r="AS1735" s="33"/>
      <c r="AT1735" s="33"/>
      <c r="AU1735" s="33"/>
      <c r="AW1735" s="33"/>
      <c r="AX1735" s="33"/>
      <c r="AY1735" s="33"/>
      <c r="AZ1735" s="33"/>
      <c r="BA1735" s="33"/>
      <c r="CA1735" s="35"/>
      <c r="CH1735" s="39"/>
      <c r="CI1735" s="32"/>
      <c r="CJ1735" s="40"/>
      <c r="CK1735" s="40"/>
      <c r="CL1735" s="33"/>
      <c r="CM1735" s="33"/>
      <c r="CN1735" s="33"/>
      <c r="CO1735" s="33"/>
      <c r="CP1735" s="33"/>
      <c r="CQ1735" s="33"/>
      <c r="CR1735" s="33"/>
    </row>
    <row r="1736" spans="31:96">
      <c r="AE1736" s="33"/>
      <c r="AK1736" s="33"/>
      <c r="AL1736" s="33"/>
      <c r="AM1736" s="33"/>
      <c r="AN1736" s="33"/>
      <c r="AO1736" s="33"/>
      <c r="AP1736" s="33"/>
      <c r="AQ1736" s="33"/>
      <c r="AR1736" s="33"/>
      <c r="AS1736" s="33"/>
      <c r="AT1736" s="33"/>
      <c r="AU1736" s="33"/>
      <c r="AW1736" s="33"/>
      <c r="AX1736" s="33"/>
      <c r="AY1736" s="33"/>
      <c r="AZ1736" s="33"/>
      <c r="BA1736" s="33"/>
      <c r="CA1736" s="35"/>
      <c r="CH1736" s="39"/>
      <c r="CI1736" s="32"/>
      <c r="CJ1736" s="40"/>
      <c r="CK1736" s="40"/>
      <c r="CL1736" s="33"/>
      <c r="CM1736" s="33"/>
      <c r="CN1736" s="33"/>
      <c r="CO1736" s="33"/>
      <c r="CP1736" s="33"/>
      <c r="CQ1736" s="33"/>
      <c r="CR1736" s="33"/>
    </row>
    <row r="1737" spans="31:96">
      <c r="AE1737" s="33"/>
      <c r="AK1737" s="33"/>
      <c r="AL1737" s="33"/>
      <c r="AM1737" s="33"/>
      <c r="AN1737" s="33"/>
      <c r="AO1737" s="33"/>
      <c r="AP1737" s="33"/>
      <c r="AQ1737" s="33"/>
      <c r="AR1737" s="33"/>
      <c r="AS1737" s="33"/>
      <c r="AT1737" s="33"/>
      <c r="AU1737" s="33"/>
      <c r="AW1737" s="33"/>
      <c r="AX1737" s="33"/>
      <c r="AY1737" s="33"/>
      <c r="AZ1737" s="33"/>
      <c r="BA1737" s="33"/>
      <c r="CA1737" s="35"/>
      <c r="CH1737" s="39"/>
      <c r="CI1737" s="32"/>
      <c r="CJ1737" s="40"/>
      <c r="CK1737" s="40"/>
      <c r="CL1737" s="33"/>
      <c r="CM1737" s="33"/>
      <c r="CN1737" s="33"/>
      <c r="CO1737" s="33"/>
      <c r="CP1737" s="33"/>
      <c r="CQ1737" s="33"/>
      <c r="CR1737" s="33"/>
    </row>
    <row r="1738" spans="31:96">
      <c r="AE1738" s="33"/>
      <c r="AK1738" s="33"/>
      <c r="AL1738" s="33"/>
      <c r="AM1738" s="33"/>
      <c r="AN1738" s="33"/>
      <c r="AO1738" s="33"/>
      <c r="AP1738" s="33"/>
      <c r="AQ1738" s="33"/>
      <c r="AR1738" s="33"/>
      <c r="AS1738" s="33"/>
      <c r="AT1738" s="33"/>
      <c r="AU1738" s="33"/>
      <c r="AW1738" s="33"/>
      <c r="AX1738" s="33"/>
      <c r="AY1738" s="33"/>
      <c r="AZ1738" s="33"/>
      <c r="BA1738" s="33"/>
      <c r="CA1738" s="35"/>
      <c r="CH1738" s="39"/>
      <c r="CI1738" s="32"/>
      <c r="CJ1738" s="40"/>
      <c r="CK1738" s="40"/>
      <c r="CL1738" s="33"/>
      <c r="CM1738" s="33"/>
      <c r="CN1738" s="33"/>
      <c r="CO1738" s="33"/>
      <c r="CP1738" s="33"/>
      <c r="CQ1738" s="33"/>
      <c r="CR1738" s="33"/>
    </row>
    <row r="1739" spans="31:96">
      <c r="AE1739" s="33"/>
      <c r="AK1739" s="33"/>
      <c r="AL1739" s="33"/>
      <c r="AM1739" s="33"/>
      <c r="AN1739" s="33"/>
      <c r="AO1739" s="33"/>
      <c r="AP1739" s="33"/>
      <c r="AQ1739" s="33"/>
      <c r="AR1739" s="33"/>
      <c r="AS1739" s="33"/>
      <c r="AT1739" s="33"/>
      <c r="AU1739" s="33"/>
      <c r="AW1739" s="33"/>
      <c r="AX1739" s="33"/>
      <c r="AY1739" s="33"/>
      <c r="AZ1739" s="33"/>
      <c r="BA1739" s="33"/>
      <c r="CA1739" s="35"/>
      <c r="CH1739" s="39"/>
      <c r="CI1739" s="32"/>
      <c r="CJ1739" s="40"/>
      <c r="CK1739" s="40"/>
      <c r="CL1739" s="33"/>
      <c r="CM1739" s="33"/>
      <c r="CN1739" s="33"/>
      <c r="CO1739" s="33"/>
      <c r="CP1739" s="33"/>
      <c r="CQ1739" s="33"/>
      <c r="CR1739" s="33"/>
    </row>
    <row r="1740" spans="31:96">
      <c r="AE1740" s="33"/>
      <c r="AK1740" s="33"/>
      <c r="AL1740" s="33"/>
      <c r="AM1740" s="33"/>
      <c r="AN1740" s="33"/>
      <c r="AO1740" s="33"/>
      <c r="AP1740" s="33"/>
      <c r="AQ1740" s="33"/>
      <c r="AR1740" s="33"/>
      <c r="AS1740" s="33"/>
      <c r="AT1740" s="33"/>
      <c r="AU1740" s="33"/>
      <c r="AW1740" s="33"/>
      <c r="AX1740" s="33"/>
      <c r="AY1740" s="33"/>
      <c r="AZ1740" s="33"/>
      <c r="BA1740" s="33"/>
      <c r="CA1740" s="35"/>
      <c r="CH1740" s="39"/>
      <c r="CI1740" s="32"/>
      <c r="CJ1740" s="40"/>
      <c r="CK1740" s="40"/>
      <c r="CL1740" s="33"/>
      <c r="CM1740" s="33"/>
      <c r="CN1740" s="33"/>
      <c r="CO1740" s="33"/>
      <c r="CP1740" s="33"/>
      <c r="CQ1740" s="33"/>
      <c r="CR1740" s="33"/>
    </row>
    <row r="1741" spans="31:96">
      <c r="AE1741" s="33"/>
      <c r="AK1741" s="33"/>
      <c r="AL1741" s="33"/>
      <c r="AM1741" s="33"/>
      <c r="AN1741" s="33"/>
      <c r="AO1741" s="33"/>
      <c r="AP1741" s="33"/>
      <c r="AQ1741" s="33"/>
      <c r="AR1741" s="33"/>
      <c r="AS1741" s="33"/>
      <c r="AT1741" s="33"/>
      <c r="AU1741" s="33"/>
      <c r="AW1741" s="33"/>
      <c r="AX1741" s="33"/>
      <c r="AY1741" s="33"/>
      <c r="AZ1741" s="33"/>
      <c r="BA1741" s="33"/>
      <c r="CA1741" s="35"/>
      <c r="CH1741" s="39"/>
      <c r="CI1741" s="32"/>
      <c r="CJ1741" s="40"/>
      <c r="CK1741" s="40"/>
      <c r="CL1741" s="33"/>
      <c r="CM1741" s="33"/>
      <c r="CN1741" s="33"/>
      <c r="CO1741" s="33"/>
      <c r="CP1741" s="33"/>
      <c r="CQ1741" s="33"/>
      <c r="CR1741" s="33"/>
    </row>
    <row r="1742" spans="31:96">
      <c r="AE1742" s="33"/>
      <c r="AK1742" s="33"/>
      <c r="AL1742" s="33"/>
      <c r="AM1742" s="33"/>
      <c r="AN1742" s="33"/>
      <c r="AO1742" s="33"/>
      <c r="AP1742" s="33"/>
      <c r="AQ1742" s="33"/>
      <c r="AR1742" s="33"/>
      <c r="AS1742" s="33"/>
      <c r="AT1742" s="33"/>
      <c r="AU1742" s="33"/>
      <c r="AW1742" s="33"/>
      <c r="AX1742" s="33"/>
      <c r="AY1742" s="33"/>
      <c r="AZ1742" s="33"/>
      <c r="BA1742" s="33"/>
      <c r="CA1742" s="35"/>
      <c r="CH1742" s="39"/>
      <c r="CI1742" s="32"/>
      <c r="CJ1742" s="40"/>
      <c r="CK1742" s="40"/>
      <c r="CL1742" s="33"/>
      <c r="CM1742" s="33"/>
      <c r="CN1742" s="33"/>
      <c r="CO1742" s="33"/>
      <c r="CP1742" s="33"/>
      <c r="CQ1742" s="33"/>
      <c r="CR1742" s="33"/>
    </row>
    <row r="1743" spans="31:96">
      <c r="AE1743" s="33"/>
      <c r="AK1743" s="33"/>
      <c r="AL1743" s="33"/>
      <c r="AM1743" s="33"/>
      <c r="AN1743" s="33"/>
      <c r="AO1743" s="33"/>
      <c r="AP1743" s="33"/>
      <c r="AQ1743" s="33"/>
      <c r="AR1743" s="33"/>
      <c r="AS1743" s="33"/>
      <c r="AT1743" s="33"/>
      <c r="AU1743" s="33"/>
      <c r="AW1743" s="33"/>
      <c r="AX1743" s="33"/>
      <c r="AY1743" s="33"/>
      <c r="AZ1743" s="33"/>
      <c r="BA1743" s="33"/>
      <c r="CA1743" s="35"/>
      <c r="CH1743" s="39"/>
      <c r="CI1743" s="32"/>
      <c r="CJ1743" s="40"/>
      <c r="CK1743" s="40"/>
      <c r="CL1743" s="33"/>
      <c r="CM1743" s="33"/>
      <c r="CN1743" s="33"/>
      <c r="CO1743" s="33"/>
      <c r="CP1743" s="33"/>
      <c r="CQ1743" s="33"/>
      <c r="CR1743" s="33"/>
    </row>
    <row r="1744" spans="31:96">
      <c r="AE1744" s="33"/>
      <c r="AK1744" s="33"/>
      <c r="AL1744" s="33"/>
      <c r="AM1744" s="33"/>
      <c r="AN1744" s="33"/>
      <c r="AO1744" s="33"/>
      <c r="AP1744" s="33"/>
      <c r="AQ1744" s="33"/>
      <c r="AR1744" s="33"/>
      <c r="AS1744" s="33"/>
      <c r="AT1744" s="33"/>
      <c r="AU1744" s="33"/>
      <c r="AW1744" s="33"/>
      <c r="AX1744" s="33"/>
      <c r="AY1744" s="33"/>
      <c r="AZ1744" s="33"/>
      <c r="BA1744" s="33"/>
      <c r="CA1744" s="35"/>
      <c r="CH1744" s="39"/>
      <c r="CI1744" s="32"/>
      <c r="CJ1744" s="40"/>
      <c r="CK1744" s="40"/>
      <c r="CL1744" s="33"/>
      <c r="CM1744" s="33"/>
      <c r="CN1744" s="33"/>
      <c r="CO1744" s="33"/>
      <c r="CP1744" s="33"/>
      <c r="CQ1744" s="33"/>
      <c r="CR1744" s="33"/>
    </row>
    <row r="1745" spans="31:96">
      <c r="AE1745" s="33"/>
      <c r="AK1745" s="33"/>
      <c r="AL1745" s="33"/>
      <c r="AM1745" s="33"/>
      <c r="AN1745" s="33"/>
      <c r="AO1745" s="33"/>
      <c r="AP1745" s="33"/>
      <c r="AQ1745" s="33"/>
      <c r="AR1745" s="33"/>
      <c r="AS1745" s="33"/>
      <c r="AT1745" s="33"/>
      <c r="AU1745" s="33"/>
      <c r="AW1745" s="33"/>
      <c r="AX1745" s="33"/>
      <c r="AY1745" s="33"/>
      <c r="AZ1745" s="33"/>
      <c r="BA1745" s="33"/>
      <c r="CA1745" s="35"/>
      <c r="CH1745" s="39"/>
      <c r="CI1745" s="32"/>
      <c r="CJ1745" s="40"/>
      <c r="CK1745" s="40"/>
      <c r="CL1745" s="33"/>
      <c r="CM1745" s="33"/>
      <c r="CN1745" s="33"/>
      <c r="CO1745" s="33"/>
      <c r="CP1745" s="33"/>
      <c r="CQ1745" s="33"/>
      <c r="CR1745" s="33"/>
    </row>
    <row r="1746" spans="31:96">
      <c r="AE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W1746" s="33"/>
      <c r="AX1746" s="33"/>
      <c r="AY1746" s="33"/>
      <c r="AZ1746" s="33"/>
      <c r="BA1746" s="33"/>
      <c r="CH1746" s="39"/>
      <c r="CI1746" s="32"/>
      <c r="CJ1746" s="40"/>
      <c r="CK1746" s="40"/>
      <c r="CL1746" s="40"/>
      <c r="CM1746" s="40"/>
      <c r="CN1746" s="40"/>
      <c r="CO1746" s="40"/>
      <c r="CP1746" s="40"/>
      <c r="CQ1746" s="40"/>
      <c r="CR1746" s="40"/>
    </row>
    <row r="1747" spans="31:96">
      <c r="AE1747" s="33"/>
      <c r="AK1747" s="33"/>
      <c r="AL1747" s="33"/>
      <c r="AM1747" s="33"/>
      <c r="AN1747" s="33"/>
      <c r="AO1747" s="33"/>
      <c r="AP1747" s="33"/>
      <c r="AQ1747" s="33"/>
      <c r="AR1747" s="33"/>
      <c r="AS1747" s="33"/>
      <c r="AT1747" s="33"/>
      <c r="AU1747" s="33"/>
      <c r="AW1747" s="33"/>
      <c r="AX1747" s="33"/>
      <c r="AY1747" s="33"/>
      <c r="AZ1747" s="33"/>
      <c r="BA1747" s="33"/>
      <c r="CH1747" s="39"/>
      <c r="CI1747" s="32"/>
    </row>
    <row r="1748" spans="31:96">
      <c r="AE1748" s="33"/>
      <c r="AK1748" s="33"/>
      <c r="AL1748" s="33"/>
      <c r="AM1748" s="33"/>
      <c r="AN1748" s="33"/>
      <c r="AO1748" s="33"/>
      <c r="AP1748" s="33"/>
      <c r="AQ1748" s="33"/>
      <c r="AR1748" s="33"/>
      <c r="AS1748" s="33"/>
      <c r="AT1748" s="33"/>
      <c r="AU1748" s="33"/>
      <c r="AW1748" s="33"/>
      <c r="AX1748" s="33"/>
      <c r="AY1748" s="33"/>
      <c r="AZ1748" s="33"/>
      <c r="BA1748" s="33"/>
      <c r="CH1748" s="39"/>
      <c r="CI1748" s="32"/>
    </row>
    <row r="1749" spans="31:96">
      <c r="AE1749" s="33"/>
      <c r="AK1749" s="33"/>
      <c r="AL1749" s="33"/>
      <c r="AM1749" s="33"/>
      <c r="AN1749" s="33"/>
      <c r="AO1749" s="33"/>
      <c r="AP1749" s="33"/>
      <c r="AQ1749" s="33"/>
      <c r="AR1749" s="33"/>
      <c r="AS1749" s="33"/>
      <c r="AT1749" s="33"/>
      <c r="AU1749" s="33"/>
      <c r="AW1749" s="33"/>
      <c r="AX1749" s="33"/>
      <c r="AY1749" s="33"/>
      <c r="AZ1749" s="33"/>
      <c r="BA1749" s="33"/>
      <c r="CH1749" s="39"/>
      <c r="CI1749" s="32"/>
    </row>
    <row r="1750" spans="31:96">
      <c r="AE1750" s="33"/>
      <c r="AK1750" s="33"/>
      <c r="AL1750" s="33"/>
      <c r="AM1750" s="33"/>
      <c r="AN1750" s="33"/>
      <c r="AO1750" s="33"/>
      <c r="AP1750" s="33"/>
      <c r="AQ1750" s="33"/>
      <c r="AR1750" s="33"/>
      <c r="AS1750" s="33"/>
      <c r="AT1750" s="33"/>
      <c r="AU1750" s="33"/>
      <c r="AW1750" s="33"/>
      <c r="AX1750" s="33"/>
      <c r="AY1750" s="33"/>
      <c r="AZ1750" s="33"/>
      <c r="BA1750" s="33"/>
      <c r="CH1750" s="39"/>
      <c r="CI1750" s="32"/>
    </row>
    <row r="1751" spans="31:96">
      <c r="AE1751" s="33"/>
      <c r="AK1751" s="33"/>
      <c r="AL1751" s="33"/>
      <c r="AM1751" s="33"/>
      <c r="AN1751" s="33"/>
      <c r="AO1751" s="33"/>
      <c r="AP1751" s="33"/>
      <c r="AQ1751" s="33"/>
      <c r="AR1751" s="33"/>
      <c r="AS1751" s="33"/>
      <c r="AT1751" s="33"/>
      <c r="AU1751" s="33"/>
      <c r="AW1751" s="33"/>
      <c r="AX1751" s="33"/>
      <c r="AY1751" s="33"/>
      <c r="AZ1751" s="33"/>
      <c r="BA1751" s="33"/>
      <c r="CH1751" s="39"/>
      <c r="CI1751" s="32"/>
    </row>
    <row r="1752" spans="31:96">
      <c r="AE1752" s="33"/>
      <c r="AK1752" s="33"/>
      <c r="AL1752" s="33"/>
      <c r="AM1752" s="33"/>
      <c r="AN1752" s="33"/>
      <c r="AO1752" s="33"/>
      <c r="AP1752" s="33"/>
      <c r="AQ1752" s="33"/>
      <c r="AR1752" s="33"/>
      <c r="AS1752" s="33"/>
      <c r="AT1752" s="33"/>
      <c r="AU1752" s="33"/>
      <c r="AW1752" s="33"/>
      <c r="AX1752" s="33"/>
      <c r="AY1752" s="33"/>
      <c r="AZ1752" s="33"/>
      <c r="BA1752" s="33"/>
      <c r="CH1752" s="39"/>
      <c r="CI1752" s="32"/>
    </row>
    <row r="1753" spans="31:96">
      <c r="AE1753" s="33"/>
      <c r="AK1753" s="33"/>
      <c r="AL1753" s="33"/>
      <c r="AM1753" s="33"/>
      <c r="AN1753" s="33"/>
      <c r="AO1753" s="33"/>
      <c r="AP1753" s="33"/>
      <c r="AQ1753" s="33"/>
      <c r="AR1753" s="33"/>
      <c r="AS1753" s="33"/>
      <c r="AT1753" s="33"/>
      <c r="AU1753" s="33"/>
      <c r="AW1753" s="33"/>
      <c r="AX1753" s="33"/>
      <c r="AY1753" s="33"/>
      <c r="AZ1753" s="33"/>
      <c r="BA1753" s="33"/>
      <c r="CH1753" s="39"/>
      <c r="CI1753" s="32"/>
    </row>
    <row r="1754" spans="31:96">
      <c r="AE1754" s="33"/>
      <c r="AK1754" s="33"/>
      <c r="AL1754" s="33"/>
      <c r="AM1754" s="33"/>
      <c r="AN1754" s="33"/>
      <c r="AO1754" s="33"/>
      <c r="AP1754" s="33"/>
      <c r="AQ1754" s="33"/>
      <c r="AR1754" s="33"/>
      <c r="AS1754" s="33"/>
      <c r="AT1754" s="33"/>
      <c r="AU1754" s="33"/>
      <c r="AW1754" s="33"/>
      <c r="AX1754" s="33"/>
      <c r="AY1754" s="33"/>
      <c r="AZ1754" s="33"/>
      <c r="BA1754" s="33"/>
      <c r="CH1754" s="39"/>
      <c r="CI1754" s="32"/>
    </row>
    <row r="1755" spans="31:96">
      <c r="AE1755" s="33"/>
      <c r="AK1755" s="33"/>
      <c r="AL1755" s="33"/>
      <c r="AM1755" s="33"/>
      <c r="AN1755" s="33"/>
      <c r="AO1755" s="33"/>
      <c r="AP1755" s="33"/>
      <c r="AQ1755" s="33"/>
      <c r="AR1755" s="33"/>
      <c r="AS1755" s="33"/>
      <c r="AT1755" s="33"/>
      <c r="AU1755" s="33"/>
      <c r="AW1755" s="33"/>
      <c r="AX1755" s="33"/>
      <c r="AY1755" s="33"/>
      <c r="AZ1755" s="33"/>
      <c r="BA1755" s="33"/>
      <c r="CH1755" s="39"/>
      <c r="CI1755" s="32"/>
    </row>
    <row r="1756" spans="31:96">
      <c r="AE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W1756" s="33"/>
      <c r="AX1756" s="33"/>
      <c r="AY1756" s="33"/>
      <c r="AZ1756" s="33"/>
      <c r="BA1756" s="33"/>
      <c r="CH1756" s="39"/>
      <c r="CI1756" s="32"/>
    </row>
    <row r="1757" spans="31:96">
      <c r="AE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W1757" s="33"/>
      <c r="AX1757" s="33"/>
      <c r="AY1757" s="33"/>
      <c r="AZ1757" s="33"/>
      <c r="BA1757" s="33"/>
      <c r="CH1757" s="39"/>
      <c r="CI1757" s="32"/>
    </row>
    <row r="1758" spans="31:96">
      <c r="AE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W1758" s="33"/>
      <c r="AX1758" s="33"/>
      <c r="AY1758" s="33"/>
      <c r="AZ1758" s="33"/>
      <c r="BA1758" s="33"/>
      <c r="CH1758" s="39"/>
      <c r="CI1758" s="32"/>
    </row>
    <row r="1759" spans="31:96">
      <c r="AE1759" s="33"/>
      <c r="AK1759" s="33"/>
      <c r="AL1759" s="33"/>
      <c r="AM1759" s="33"/>
      <c r="AN1759" s="33"/>
      <c r="AO1759" s="33"/>
      <c r="AP1759" s="33"/>
      <c r="AQ1759" s="33"/>
      <c r="AR1759" s="33"/>
      <c r="AS1759" s="33"/>
      <c r="AT1759" s="33"/>
      <c r="AU1759" s="33"/>
      <c r="AW1759" s="33"/>
      <c r="AX1759" s="33"/>
      <c r="AY1759" s="33"/>
      <c r="AZ1759" s="33"/>
      <c r="BA1759" s="33"/>
      <c r="CH1759" s="39"/>
      <c r="CI1759" s="32"/>
    </row>
    <row r="1760" spans="31:96">
      <c r="AE1760" s="33"/>
      <c r="AK1760" s="33"/>
      <c r="AL1760" s="33"/>
      <c r="AM1760" s="33"/>
      <c r="AN1760" s="33"/>
      <c r="AO1760" s="33"/>
      <c r="AP1760" s="33"/>
      <c r="AQ1760" s="33"/>
      <c r="AR1760" s="33"/>
      <c r="AS1760" s="33"/>
      <c r="AT1760" s="33"/>
      <c r="AU1760" s="33"/>
      <c r="AW1760" s="33"/>
      <c r="AX1760" s="33"/>
      <c r="AY1760" s="33"/>
      <c r="AZ1760" s="33"/>
      <c r="BA1760" s="33"/>
      <c r="CH1760" s="39"/>
      <c r="CI1760" s="32"/>
    </row>
    <row r="1761" spans="31:87">
      <c r="AE1761" s="33"/>
      <c r="AK1761" s="33"/>
      <c r="AL1761" s="33"/>
      <c r="AM1761" s="33"/>
      <c r="AN1761" s="33"/>
      <c r="AO1761" s="33"/>
      <c r="AP1761" s="33"/>
      <c r="AQ1761" s="33"/>
      <c r="AR1761" s="33"/>
      <c r="AS1761" s="33"/>
      <c r="AT1761" s="33"/>
      <c r="AU1761" s="33"/>
      <c r="AW1761" s="33"/>
      <c r="AX1761" s="33"/>
      <c r="AY1761" s="33"/>
      <c r="AZ1761" s="33"/>
      <c r="BA1761" s="33"/>
      <c r="CH1761" s="39"/>
      <c r="CI1761" s="32"/>
    </row>
    <row r="1762" spans="31:87">
      <c r="AE1762" s="33"/>
      <c r="AK1762" s="33"/>
      <c r="AL1762" s="33"/>
      <c r="AM1762" s="33"/>
      <c r="AN1762" s="33"/>
      <c r="AO1762" s="33"/>
      <c r="AP1762" s="33"/>
      <c r="AQ1762" s="33"/>
      <c r="AR1762" s="33"/>
      <c r="AS1762" s="33"/>
      <c r="AT1762" s="33"/>
      <c r="AU1762" s="33"/>
      <c r="AW1762" s="33"/>
      <c r="AX1762" s="33"/>
      <c r="AY1762" s="33"/>
      <c r="AZ1762" s="33"/>
      <c r="BA1762" s="33"/>
      <c r="CH1762" s="39"/>
      <c r="CI1762" s="32"/>
    </row>
    <row r="1763" spans="31:87">
      <c r="AE1763" s="33"/>
      <c r="AK1763" s="33"/>
      <c r="AL1763" s="33"/>
      <c r="AM1763" s="33"/>
      <c r="AN1763" s="33"/>
      <c r="AO1763" s="33"/>
      <c r="AP1763" s="33"/>
      <c r="AQ1763" s="33"/>
      <c r="AR1763" s="33"/>
      <c r="AS1763" s="33"/>
      <c r="AT1763" s="33"/>
      <c r="AU1763" s="33"/>
      <c r="AW1763" s="33"/>
      <c r="AX1763" s="33"/>
      <c r="AY1763" s="33"/>
      <c r="AZ1763" s="33"/>
      <c r="BA1763" s="33"/>
      <c r="CH1763" s="39"/>
      <c r="CI1763" s="32"/>
    </row>
    <row r="1764" spans="31:87">
      <c r="AE1764" s="33"/>
      <c r="AK1764" s="33"/>
      <c r="AL1764" s="33"/>
      <c r="AM1764" s="33"/>
      <c r="AN1764" s="33"/>
      <c r="AO1764" s="33"/>
      <c r="AP1764" s="33"/>
      <c r="AQ1764" s="33"/>
      <c r="AR1764" s="33"/>
      <c r="AS1764" s="33"/>
      <c r="AT1764" s="33"/>
      <c r="AU1764" s="33"/>
      <c r="AW1764" s="33"/>
      <c r="AX1764" s="33"/>
      <c r="AY1764" s="33"/>
      <c r="AZ1764" s="33"/>
      <c r="BA1764" s="33"/>
      <c r="CH1764" s="39"/>
      <c r="CI1764" s="32"/>
    </row>
    <row r="1765" spans="31:87">
      <c r="AE1765" s="33"/>
      <c r="AK1765" s="33"/>
      <c r="AL1765" s="33"/>
      <c r="AM1765" s="33"/>
      <c r="AN1765" s="33"/>
      <c r="AO1765" s="33"/>
      <c r="AP1765" s="33"/>
      <c r="AQ1765" s="33"/>
      <c r="AR1765" s="33"/>
      <c r="AS1765" s="33"/>
      <c r="AT1765" s="33"/>
      <c r="AU1765" s="33"/>
      <c r="AW1765" s="33"/>
      <c r="AX1765" s="33"/>
      <c r="AY1765" s="33"/>
      <c r="AZ1765" s="33"/>
      <c r="BA1765" s="33"/>
      <c r="CH1765" s="39"/>
      <c r="CI1765" s="32"/>
    </row>
    <row r="1766" spans="31:87">
      <c r="AE1766" s="33"/>
      <c r="AK1766" s="33"/>
      <c r="AL1766" s="33"/>
      <c r="AM1766" s="33"/>
      <c r="AN1766" s="33"/>
      <c r="AO1766" s="33"/>
      <c r="AP1766" s="33"/>
      <c r="AQ1766" s="33"/>
      <c r="AR1766" s="33"/>
      <c r="AS1766" s="33"/>
      <c r="AT1766" s="33"/>
      <c r="AU1766" s="33"/>
      <c r="AW1766" s="33"/>
      <c r="AX1766" s="33"/>
      <c r="AY1766" s="33"/>
      <c r="AZ1766" s="33"/>
      <c r="BA1766" s="33"/>
      <c r="CH1766" s="39"/>
      <c r="CI1766" s="32"/>
    </row>
    <row r="1767" spans="31:87">
      <c r="AE1767" s="33"/>
      <c r="AK1767" s="33"/>
      <c r="AL1767" s="33"/>
      <c r="AM1767" s="33"/>
      <c r="AN1767" s="33"/>
      <c r="AO1767" s="33"/>
      <c r="AP1767" s="33"/>
      <c r="AQ1767" s="33"/>
      <c r="AR1767" s="33"/>
      <c r="AS1767" s="33"/>
      <c r="AT1767" s="33"/>
      <c r="AU1767" s="33"/>
      <c r="AW1767" s="33"/>
      <c r="AX1767" s="33"/>
      <c r="AY1767" s="33"/>
      <c r="AZ1767" s="33"/>
      <c r="BA1767" s="33"/>
      <c r="CH1767" s="39"/>
      <c r="CI1767" s="32"/>
    </row>
    <row r="1768" spans="31:87">
      <c r="AE1768" s="33"/>
      <c r="AK1768" s="33"/>
      <c r="AL1768" s="33"/>
      <c r="AM1768" s="33"/>
      <c r="AN1768" s="33"/>
      <c r="AO1768" s="33"/>
      <c r="AP1768" s="33"/>
      <c r="AQ1768" s="33"/>
      <c r="AR1768" s="33"/>
      <c r="AS1768" s="33"/>
      <c r="AT1768" s="33"/>
      <c r="AU1768" s="33"/>
      <c r="AW1768" s="33"/>
      <c r="AX1768" s="33"/>
      <c r="AY1768" s="33"/>
      <c r="AZ1768" s="33"/>
      <c r="BA1768" s="33"/>
      <c r="CH1768" s="39"/>
      <c r="CI1768" s="32"/>
    </row>
    <row r="1769" spans="31:87">
      <c r="AE1769" s="33"/>
      <c r="AK1769" s="33"/>
      <c r="AL1769" s="33"/>
      <c r="AM1769" s="33"/>
      <c r="AN1769" s="33"/>
      <c r="AO1769" s="33"/>
      <c r="AP1769" s="33"/>
      <c r="AQ1769" s="33"/>
      <c r="AR1769" s="33"/>
      <c r="AS1769" s="33"/>
      <c r="AT1769" s="33"/>
      <c r="AU1769" s="33"/>
      <c r="AW1769" s="33"/>
      <c r="AX1769" s="33"/>
      <c r="AY1769" s="33"/>
      <c r="AZ1769" s="33"/>
      <c r="BA1769" s="33"/>
      <c r="CH1769" s="39"/>
      <c r="CI1769" s="32"/>
    </row>
    <row r="1770" spans="31:87">
      <c r="AE1770" s="33"/>
      <c r="AK1770" s="33"/>
      <c r="AL1770" s="33"/>
      <c r="AM1770" s="33"/>
      <c r="AN1770" s="33"/>
      <c r="AO1770" s="33"/>
      <c r="AP1770" s="33"/>
      <c r="AQ1770" s="33"/>
      <c r="AR1770" s="33"/>
      <c r="AS1770" s="33"/>
      <c r="AT1770" s="33"/>
      <c r="AU1770" s="33"/>
      <c r="AW1770" s="33"/>
      <c r="AX1770" s="33"/>
      <c r="AY1770" s="33"/>
      <c r="AZ1770" s="33"/>
      <c r="BA1770" s="33"/>
      <c r="CH1770" s="39"/>
      <c r="CI1770" s="32"/>
    </row>
    <row r="1771" spans="31:87">
      <c r="AE1771" s="33"/>
      <c r="AK1771" s="33"/>
      <c r="AL1771" s="33"/>
      <c r="AM1771" s="33"/>
      <c r="AN1771" s="33"/>
      <c r="AO1771" s="33"/>
      <c r="AP1771" s="33"/>
      <c r="AQ1771" s="33"/>
      <c r="AR1771" s="33"/>
      <c r="AS1771" s="33"/>
      <c r="AT1771" s="33"/>
      <c r="AU1771" s="33"/>
      <c r="AW1771" s="33"/>
      <c r="AX1771" s="33"/>
      <c r="AY1771" s="33"/>
      <c r="AZ1771" s="33"/>
      <c r="BA1771" s="33"/>
      <c r="CH1771" s="39"/>
      <c r="CI1771" s="32"/>
    </row>
    <row r="1772" spans="31:87">
      <c r="AE1772" s="33"/>
      <c r="AK1772" s="33"/>
      <c r="AL1772" s="33"/>
      <c r="AM1772" s="33"/>
      <c r="AN1772" s="33"/>
      <c r="AO1772" s="33"/>
      <c r="AP1772" s="33"/>
      <c r="AQ1772" s="33"/>
      <c r="AR1772" s="33"/>
      <c r="AS1772" s="33"/>
      <c r="AT1772" s="33"/>
      <c r="AU1772" s="33"/>
      <c r="AW1772" s="33"/>
      <c r="AX1772" s="33"/>
      <c r="AY1772" s="33"/>
      <c r="AZ1772" s="33"/>
      <c r="BA1772" s="33"/>
      <c r="CH1772" s="39"/>
      <c r="CI1772" s="32"/>
    </row>
    <row r="1773" spans="31:87">
      <c r="AE1773" s="33"/>
      <c r="AK1773" s="33"/>
      <c r="AL1773" s="33"/>
      <c r="AM1773" s="33"/>
      <c r="AN1773" s="33"/>
      <c r="AO1773" s="33"/>
      <c r="AP1773" s="33"/>
      <c r="AQ1773" s="33"/>
      <c r="AR1773" s="33"/>
      <c r="AS1773" s="33"/>
      <c r="AT1773" s="33"/>
      <c r="AU1773" s="33"/>
      <c r="AW1773" s="33"/>
      <c r="AX1773" s="33"/>
      <c r="AY1773" s="33"/>
      <c r="AZ1773" s="33"/>
      <c r="BA1773" s="33"/>
      <c r="CH1773" s="39"/>
      <c r="CI1773" s="32"/>
    </row>
    <row r="1774" spans="31:87">
      <c r="AE1774" s="33"/>
      <c r="AK1774" s="33"/>
      <c r="AL1774" s="33"/>
      <c r="AM1774" s="33"/>
      <c r="AN1774" s="33"/>
      <c r="AO1774" s="33"/>
      <c r="AP1774" s="33"/>
      <c r="AQ1774" s="33"/>
      <c r="AR1774" s="33"/>
      <c r="AS1774" s="33"/>
      <c r="AT1774" s="33"/>
      <c r="AU1774" s="33"/>
      <c r="AW1774" s="33"/>
      <c r="AX1774" s="33"/>
      <c r="AY1774" s="33"/>
      <c r="AZ1774" s="33"/>
      <c r="BA1774" s="33"/>
      <c r="CH1774" s="39"/>
      <c r="CI1774" s="32"/>
    </row>
    <row r="1775" spans="31:87">
      <c r="AE1775" s="33"/>
      <c r="AK1775" s="33"/>
      <c r="AL1775" s="33"/>
      <c r="AM1775" s="33"/>
      <c r="AN1775" s="33"/>
      <c r="AO1775" s="33"/>
      <c r="AP1775" s="33"/>
      <c r="AQ1775" s="33"/>
      <c r="AR1775" s="33"/>
      <c r="AS1775" s="33"/>
      <c r="AT1775" s="33"/>
      <c r="AU1775" s="33"/>
      <c r="AW1775" s="33"/>
      <c r="AX1775" s="33"/>
      <c r="AY1775" s="33"/>
      <c r="AZ1775" s="33"/>
      <c r="BA1775" s="33"/>
      <c r="CH1775" s="39"/>
      <c r="CI1775" s="32"/>
    </row>
    <row r="1776" spans="31:87">
      <c r="AE1776" s="33"/>
      <c r="AK1776" s="33"/>
      <c r="AL1776" s="33"/>
      <c r="AM1776" s="33"/>
      <c r="AN1776" s="33"/>
      <c r="AO1776" s="33"/>
      <c r="AP1776" s="33"/>
      <c r="AQ1776" s="33"/>
      <c r="AR1776" s="33"/>
      <c r="AS1776" s="33"/>
      <c r="AT1776" s="33"/>
      <c r="AU1776" s="33"/>
      <c r="AW1776" s="33"/>
      <c r="AX1776" s="33"/>
      <c r="AY1776" s="33"/>
      <c r="AZ1776" s="33"/>
      <c r="BA1776" s="33"/>
      <c r="CH1776" s="39"/>
      <c r="CI1776" s="32"/>
    </row>
    <row r="1777" spans="31:87">
      <c r="AE1777" s="33"/>
      <c r="AK1777" s="33"/>
      <c r="AL1777" s="33"/>
      <c r="AM1777" s="33"/>
      <c r="AN1777" s="33"/>
      <c r="AO1777" s="33"/>
      <c r="AP1777" s="33"/>
      <c r="AQ1777" s="33"/>
      <c r="AR1777" s="33"/>
      <c r="AS1777" s="33"/>
      <c r="AT1777" s="33"/>
      <c r="AU1777" s="33"/>
      <c r="AW1777" s="33"/>
      <c r="AX1777" s="33"/>
      <c r="AY1777" s="33"/>
      <c r="AZ1777" s="33"/>
      <c r="BA1777" s="33"/>
      <c r="CH1777" s="39"/>
      <c r="CI1777" s="32"/>
    </row>
    <row r="1778" spans="31:87">
      <c r="AE1778" s="33"/>
      <c r="AK1778" s="33"/>
      <c r="AL1778" s="33"/>
      <c r="AM1778" s="33"/>
      <c r="AN1778" s="33"/>
      <c r="AO1778" s="33"/>
      <c r="AP1778" s="33"/>
      <c r="AQ1778" s="33"/>
      <c r="AR1778" s="33"/>
      <c r="AS1778" s="33"/>
      <c r="AT1778" s="33"/>
      <c r="AU1778" s="33"/>
      <c r="AW1778" s="33"/>
      <c r="AX1778" s="33"/>
      <c r="AY1778" s="33"/>
      <c r="AZ1778" s="33"/>
      <c r="BA1778" s="33"/>
      <c r="CH1778" s="39"/>
      <c r="CI1778" s="32"/>
    </row>
    <row r="1779" spans="31:87">
      <c r="AE1779" s="33"/>
      <c r="AK1779" s="33"/>
      <c r="AL1779" s="33"/>
      <c r="AM1779" s="33"/>
      <c r="AN1779" s="33"/>
      <c r="AO1779" s="33"/>
      <c r="AP1779" s="33"/>
      <c r="AQ1779" s="33"/>
      <c r="AR1779" s="33"/>
      <c r="AS1779" s="33"/>
      <c r="AT1779" s="33"/>
      <c r="AU1779" s="33"/>
      <c r="AW1779" s="33"/>
      <c r="AX1779" s="33"/>
      <c r="AY1779" s="33"/>
      <c r="AZ1779" s="33"/>
      <c r="BA1779" s="33"/>
      <c r="CH1779" s="39"/>
      <c r="CI1779" s="32"/>
    </row>
    <row r="1780" spans="31:87">
      <c r="AE1780" s="33"/>
      <c r="AK1780" s="33"/>
      <c r="AL1780" s="33"/>
      <c r="AM1780" s="33"/>
      <c r="AN1780" s="33"/>
      <c r="AO1780" s="33"/>
      <c r="AP1780" s="33"/>
      <c r="AQ1780" s="33"/>
      <c r="AR1780" s="33"/>
      <c r="AS1780" s="33"/>
      <c r="AT1780" s="33"/>
      <c r="AU1780" s="33"/>
      <c r="AW1780" s="33"/>
      <c r="AX1780" s="33"/>
      <c r="AY1780" s="33"/>
      <c r="AZ1780" s="33"/>
      <c r="BA1780" s="33"/>
      <c r="CH1780" s="39"/>
      <c r="CI1780" s="32"/>
    </row>
    <row r="1781" spans="31:87">
      <c r="AE1781" s="33"/>
      <c r="AK1781" s="33"/>
      <c r="AL1781" s="33"/>
      <c r="AM1781" s="33"/>
      <c r="AN1781" s="33"/>
      <c r="AO1781" s="33"/>
      <c r="AP1781" s="33"/>
      <c r="AQ1781" s="33"/>
      <c r="AR1781" s="33"/>
      <c r="AS1781" s="33"/>
      <c r="AT1781" s="33"/>
      <c r="AU1781" s="33"/>
      <c r="AW1781" s="33"/>
      <c r="AX1781" s="33"/>
      <c r="AY1781" s="33"/>
      <c r="AZ1781" s="33"/>
      <c r="BA1781" s="33"/>
      <c r="CH1781" s="39"/>
      <c r="CI1781" s="32"/>
    </row>
    <row r="1782" spans="31:87">
      <c r="AE1782" s="33"/>
      <c r="AK1782" s="33"/>
      <c r="AL1782" s="33"/>
      <c r="AM1782" s="33"/>
      <c r="AN1782" s="33"/>
      <c r="AO1782" s="33"/>
      <c r="AP1782" s="33"/>
      <c r="AQ1782" s="33"/>
      <c r="AR1782" s="33"/>
      <c r="AS1782" s="33"/>
      <c r="AT1782" s="33"/>
      <c r="AU1782" s="33"/>
      <c r="AW1782" s="33"/>
      <c r="AX1782" s="33"/>
      <c r="AY1782" s="33"/>
      <c r="AZ1782" s="33"/>
      <c r="BA1782" s="33"/>
      <c r="CH1782" s="39"/>
      <c r="CI1782" s="32"/>
    </row>
    <row r="1783" spans="31:87">
      <c r="AE1783" s="33"/>
      <c r="AK1783" s="33"/>
      <c r="AL1783" s="33"/>
      <c r="AM1783" s="33"/>
      <c r="AN1783" s="33"/>
      <c r="AO1783" s="33"/>
      <c r="AP1783" s="33"/>
      <c r="AQ1783" s="33"/>
      <c r="AR1783" s="33"/>
      <c r="AS1783" s="33"/>
      <c r="AT1783" s="33"/>
      <c r="AU1783" s="33"/>
      <c r="AW1783" s="33"/>
      <c r="AX1783" s="33"/>
      <c r="AY1783" s="33"/>
      <c r="AZ1783" s="33"/>
      <c r="BA1783" s="33"/>
      <c r="CH1783" s="39"/>
      <c r="CI1783" s="32"/>
    </row>
    <row r="1784" spans="31:87">
      <c r="AE1784" s="33"/>
      <c r="AK1784" s="33"/>
      <c r="AL1784" s="33"/>
      <c r="AM1784" s="33"/>
      <c r="AN1784" s="33"/>
      <c r="AO1784" s="33"/>
      <c r="AP1784" s="33"/>
      <c r="AQ1784" s="33"/>
      <c r="AR1784" s="33"/>
      <c r="AS1784" s="33"/>
      <c r="AT1784" s="33"/>
      <c r="AU1784" s="33"/>
      <c r="AW1784" s="33"/>
      <c r="AX1784" s="33"/>
      <c r="AY1784" s="33"/>
      <c r="AZ1784" s="33"/>
      <c r="BA1784" s="33"/>
      <c r="CH1784" s="39"/>
      <c r="CI1784" s="32"/>
    </row>
    <row r="1785" spans="31:87">
      <c r="AE1785" s="33"/>
      <c r="AK1785" s="33"/>
      <c r="AL1785" s="33"/>
      <c r="AM1785" s="33"/>
      <c r="AN1785" s="33"/>
      <c r="AO1785" s="33"/>
      <c r="AP1785" s="33"/>
      <c r="AQ1785" s="33"/>
      <c r="AR1785" s="33"/>
      <c r="AS1785" s="33"/>
      <c r="AT1785" s="33"/>
      <c r="AU1785" s="33"/>
      <c r="AW1785" s="33"/>
      <c r="AX1785" s="33"/>
      <c r="AY1785" s="33"/>
      <c r="AZ1785" s="33"/>
      <c r="BA1785" s="33"/>
      <c r="CH1785" s="39"/>
      <c r="CI1785" s="32"/>
    </row>
    <row r="1786" spans="31:87">
      <c r="AE1786" s="33"/>
      <c r="AK1786" s="33"/>
      <c r="AL1786" s="33"/>
      <c r="AM1786" s="33"/>
      <c r="AN1786" s="33"/>
      <c r="AO1786" s="33"/>
      <c r="AP1786" s="33"/>
      <c r="AQ1786" s="33"/>
      <c r="AR1786" s="33"/>
      <c r="AS1786" s="33"/>
      <c r="AT1786" s="33"/>
      <c r="AU1786" s="33"/>
      <c r="AW1786" s="33"/>
      <c r="AX1786" s="33"/>
      <c r="AY1786" s="33"/>
      <c r="AZ1786" s="33"/>
      <c r="BA1786" s="33"/>
      <c r="CH1786" s="39"/>
      <c r="CI1786" s="32"/>
    </row>
    <row r="1787" spans="31:87">
      <c r="AE1787" s="33"/>
      <c r="AK1787" s="33"/>
      <c r="AL1787" s="33"/>
      <c r="AM1787" s="33"/>
      <c r="AN1787" s="33"/>
      <c r="AO1787" s="33"/>
      <c r="AP1787" s="33"/>
      <c r="AQ1787" s="33"/>
      <c r="AR1787" s="33"/>
      <c r="AS1787" s="33"/>
      <c r="AT1787" s="33"/>
      <c r="AU1787" s="33"/>
      <c r="AW1787" s="33"/>
      <c r="AX1787" s="33"/>
      <c r="AY1787" s="33"/>
      <c r="AZ1787" s="33"/>
      <c r="BA1787" s="33"/>
      <c r="CH1787" s="39"/>
      <c r="CI1787" s="32"/>
    </row>
    <row r="1788" spans="31:87">
      <c r="AE1788" s="33"/>
      <c r="AK1788" s="33"/>
      <c r="AL1788" s="33"/>
      <c r="AM1788" s="33"/>
      <c r="AN1788" s="33"/>
      <c r="AO1788" s="33"/>
      <c r="AP1788" s="33"/>
      <c r="AQ1788" s="33"/>
      <c r="AR1788" s="33"/>
      <c r="AS1788" s="33"/>
      <c r="AT1788" s="33"/>
      <c r="AU1788" s="33"/>
      <c r="AW1788" s="33"/>
      <c r="AX1788" s="33"/>
      <c r="AY1788" s="33"/>
      <c r="AZ1788" s="33"/>
      <c r="BA1788" s="33"/>
      <c r="CH1788" s="39"/>
      <c r="CI1788" s="32"/>
    </row>
    <row r="1789" spans="31:87">
      <c r="AE1789" s="33"/>
      <c r="AK1789" s="33"/>
      <c r="AL1789" s="33"/>
      <c r="AM1789" s="33"/>
      <c r="AN1789" s="33"/>
      <c r="AO1789" s="33"/>
      <c r="AP1789" s="33"/>
      <c r="AQ1789" s="33"/>
      <c r="AR1789" s="33"/>
      <c r="AS1789" s="33"/>
      <c r="AT1789" s="33"/>
      <c r="AU1789" s="33"/>
      <c r="AW1789" s="33"/>
      <c r="AX1789" s="33"/>
      <c r="AY1789" s="33"/>
      <c r="AZ1789" s="33"/>
      <c r="BA1789" s="33"/>
      <c r="CH1789" s="39"/>
      <c r="CI1789" s="32"/>
    </row>
    <row r="1790" spans="31:87">
      <c r="AE1790" s="33"/>
      <c r="AK1790" s="33"/>
      <c r="AL1790" s="33"/>
      <c r="AM1790" s="33"/>
      <c r="AN1790" s="33"/>
      <c r="AO1790" s="33"/>
      <c r="AP1790" s="33"/>
      <c r="AQ1790" s="33"/>
      <c r="AR1790" s="33"/>
      <c r="AS1790" s="33"/>
      <c r="AT1790" s="33"/>
      <c r="AU1790" s="33"/>
      <c r="AW1790" s="33"/>
      <c r="AX1790" s="33"/>
      <c r="AY1790" s="33"/>
      <c r="AZ1790" s="33"/>
      <c r="BA1790" s="33"/>
      <c r="CH1790" s="39"/>
      <c r="CI1790" s="32"/>
    </row>
    <row r="1791" spans="31:87">
      <c r="AE1791" s="33"/>
      <c r="AK1791" s="33"/>
      <c r="AL1791" s="33"/>
      <c r="AM1791" s="33"/>
      <c r="AN1791" s="33"/>
      <c r="AO1791" s="33"/>
      <c r="AP1791" s="33"/>
      <c r="AQ1791" s="33"/>
      <c r="AR1791" s="33"/>
      <c r="AS1791" s="33"/>
      <c r="AT1791" s="33"/>
      <c r="AU1791" s="33"/>
      <c r="AW1791" s="33"/>
      <c r="AX1791" s="33"/>
      <c r="AY1791" s="33"/>
      <c r="AZ1791" s="33"/>
      <c r="BA1791" s="33"/>
      <c r="CH1791" s="39"/>
      <c r="CI1791" s="32"/>
    </row>
    <row r="1792" spans="31:87">
      <c r="AE1792" s="33"/>
      <c r="AK1792" s="33"/>
      <c r="AL1792" s="33"/>
      <c r="AM1792" s="33"/>
      <c r="AN1792" s="33"/>
      <c r="AO1792" s="33"/>
      <c r="AP1792" s="33"/>
      <c r="AQ1792" s="33"/>
      <c r="AR1792" s="33"/>
      <c r="AS1792" s="33"/>
      <c r="AT1792" s="33"/>
      <c r="AU1792" s="33"/>
      <c r="AW1792" s="33"/>
      <c r="AX1792" s="33"/>
      <c r="AY1792" s="33"/>
      <c r="AZ1792" s="33"/>
      <c r="BA1792" s="33"/>
      <c r="CH1792" s="39"/>
      <c r="CI1792" s="32"/>
    </row>
    <row r="1793" spans="31:87">
      <c r="AE1793" s="33"/>
      <c r="AK1793" s="33"/>
      <c r="AL1793" s="33"/>
      <c r="AM1793" s="33"/>
      <c r="AN1793" s="33"/>
      <c r="AO1793" s="33"/>
      <c r="AP1793" s="33"/>
      <c r="AQ1793" s="33"/>
      <c r="AR1793" s="33"/>
      <c r="AS1793" s="33"/>
      <c r="AT1793" s="33"/>
      <c r="AU1793" s="33"/>
      <c r="AW1793" s="33"/>
      <c r="AX1793" s="33"/>
      <c r="AY1793" s="33"/>
      <c r="AZ1793" s="33"/>
      <c r="BA1793" s="33"/>
      <c r="CH1793" s="39"/>
      <c r="CI1793" s="32"/>
    </row>
    <row r="1794" spans="31:87">
      <c r="AE1794" s="33"/>
      <c r="AK1794" s="33"/>
      <c r="AL1794" s="33"/>
      <c r="AM1794" s="33"/>
      <c r="AN1794" s="33"/>
      <c r="AO1794" s="33"/>
      <c r="AP1794" s="33"/>
      <c r="AQ1794" s="33"/>
      <c r="AR1794" s="33"/>
      <c r="AS1794" s="33"/>
      <c r="AT1794" s="33"/>
      <c r="AU1794" s="33"/>
      <c r="AW1794" s="33"/>
      <c r="AX1794" s="33"/>
      <c r="AY1794" s="33"/>
      <c r="AZ1794" s="33"/>
      <c r="BA1794" s="33"/>
      <c r="CH1794" s="39"/>
      <c r="CI1794" s="32"/>
    </row>
    <row r="1795" spans="31:87">
      <c r="AE1795" s="33"/>
      <c r="AK1795" s="33"/>
      <c r="AL1795" s="33"/>
      <c r="AM1795" s="33"/>
      <c r="AN1795" s="33"/>
      <c r="AO1795" s="33"/>
      <c r="AP1795" s="33"/>
      <c r="AQ1795" s="33"/>
      <c r="AR1795" s="33"/>
      <c r="AS1795" s="33"/>
      <c r="AT1795" s="33"/>
      <c r="AU1795" s="33"/>
      <c r="AW1795" s="33"/>
      <c r="AX1795" s="33"/>
      <c r="AY1795" s="33"/>
      <c r="AZ1795" s="33"/>
      <c r="BA1795" s="33"/>
      <c r="CH1795" s="39"/>
      <c r="CI1795" s="32"/>
    </row>
    <row r="1796" spans="31:87">
      <c r="AE1796" s="33"/>
      <c r="AK1796" s="33"/>
      <c r="AL1796" s="33"/>
      <c r="AM1796" s="33"/>
      <c r="AN1796" s="33"/>
      <c r="AO1796" s="33"/>
      <c r="AP1796" s="33"/>
      <c r="AQ1796" s="33"/>
      <c r="AR1796" s="33"/>
      <c r="AS1796" s="33"/>
      <c r="AT1796" s="33"/>
      <c r="AU1796" s="33"/>
      <c r="AW1796" s="33"/>
      <c r="AX1796" s="33"/>
      <c r="AY1796" s="33"/>
      <c r="AZ1796" s="33"/>
      <c r="BA1796" s="33"/>
      <c r="CH1796" s="39"/>
      <c r="CI1796" s="32"/>
    </row>
    <row r="1797" spans="31:87">
      <c r="AE1797" s="33"/>
      <c r="AK1797" s="33"/>
      <c r="AL1797" s="33"/>
      <c r="AM1797" s="33"/>
      <c r="AN1797" s="33"/>
      <c r="AO1797" s="33"/>
      <c r="AP1797" s="33"/>
      <c r="AQ1797" s="33"/>
      <c r="AR1797" s="33"/>
      <c r="AS1797" s="33"/>
      <c r="AT1797" s="33"/>
      <c r="AU1797" s="33"/>
      <c r="AW1797" s="33"/>
      <c r="AX1797" s="33"/>
      <c r="AY1797" s="33"/>
      <c r="AZ1797" s="33"/>
      <c r="BA1797" s="33"/>
      <c r="CH1797" s="39"/>
      <c r="CI1797" s="32"/>
    </row>
    <row r="1798" spans="31:87">
      <c r="AE1798" s="33"/>
      <c r="AK1798" s="33"/>
      <c r="AL1798" s="33"/>
      <c r="AM1798" s="33"/>
      <c r="AN1798" s="33"/>
      <c r="AO1798" s="33"/>
      <c r="AP1798" s="33"/>
      <c r="AQ1798" s="33"/>
      <c r="AR1798" s="33"/>
      <c r="AS1798" s="33"/>
      <c r="AT1798" s="33"/>
      <c r="AU1798" s="33"/>
      <c r="AW1798" s="33"/>
      <c r="AX1798" s="33"/>
      <c r="AY1798" s="33"/>
      <c r="AZ1798" s="33"/>
      <c r="BA1798" s="33"/>
      <c r="CH1798" s="39"/>
      <c r="CI1798" s="32"/>
    </row>
    <row r="1799" spans="31:87">
      <c r="AE1799" s="33"/>
      <c r="AK1799" s="33"/>
      <c r="AL1799" s="33"/>
      <c r="AM1799" s="33"/>
      <c r="AN1799" s="33"/>
      <c r="AO1799" s="33"/>
      <c r="AP1799" s="33"/>
      <c r="AQ1799" s="33"/>
      <c r="AR1799" s="33"/>
      <c r="AS1799" s="33"/>
      <c r="AT1799" s="33"/>
      <c r="AU1799" s="33"/>
      <c r="AW1799" s="33"/>
      <c r="AX1799" s="33"/>
      <c r="AY1799" s="33"/>
      <c r="AZ1799" s="33"/>
      <c r="BA1799" s="33"/>
      <c r="CH1799" s="39"/>
      <c r="CI1799" s="32"/>
    </row>
    <row r="1800" spans="31:87">
      <c r="AE1800" s="33"/>
      <c r="AK1800" s="33"/>
      <c r="AL1800" s="33"/>
      <c r="AM1800" s="33"/>
      <c r="AN1800" s="33"/>
      <c r="AO1800" s="33"/>
      <c r="AP1800" s="33"/>
      <c r="AQ1800" s="33"/>
      <c r="AR1800" s="33"/>
      <c r="AS1800" s="33"/>
      <c r="AT1800" s="33"/>
      <c r="AU1800" s="33"/>
      <c r="AW1800" s="33"/>
      <c r="AX1800" s="33"/>
      <c r="AY1800" s="33"/>
      <c r="AZ1800" s="33"/>
      <c r="BA1800" s="33"/>
      <c r="CH1800" s="39"/>
      <c r="CI1800" s="32"/>
    </row>
    <row r="1801" spans="31:87">
      <c r="AE1801" s="33"/>
      <c r="AK1801" s="33"/>
      <c r="AL1801" s="33"/>
      <c r="AM1801" s="33"/>
      <c r="AN1801" s="33"/>
      <c r="AO1801" s="33"/>
      <c r="AP1801" s="33"/>
      <c r="AQ1801" s="33"/>
      <c r="AR1801" s="33"/>
      <c r="AS1801" s="33"/>
      <c r="AT1801" s="33"/>
      <c r="AU1801" s="33"/>
      <c r="AW1801" s="33"/>
      <c r="AX1801" s="33"/>
      <c r="AY1801" s="33"/>
      <c r="AZ1801" s="33"/>
      <c r="BA1801" s="33"/>
      <c r="CH1801" s="39"/>
      <c r="CI1801" s="32"/>
    </row>
    <row r="1802" spans="31:87">
      <c r="AE1802" s="33"/>
      <c r="AK1802" s="33"/>
      <c r="AL1802" s="33"/>
      <c r="AM1802" s="33"/>
      <c r="AN1802" s="33"/>
      <c r="AO1802" s="33"/>
      <c r="AP1802" s="33"/>
      <c r="AQ1802" s="33"/>
      <c r="AR1802" s="33"/>
      <c r="AS1802" s="33"/>
      <c r="AT1802" s="33"/>
      <c r="AU1802" s="33"/>
      <c r="AW1802" s="33"/>
      <c r="AX1802" s="33"/>
      <c r="AY1802" s="33"/>
      <c r="AZ1802" s="33"/>
      <c r="BA1802" s="33"/>
      <c r="CH1802" s="39"/>
      <c r="CI1802" s="32"/>
    </row>
    <row r="1803" spans="31:87">
      <c r="AE1803" s="33"/>
      <c r="AK1803" s="33"/>
      <c r="AL1803" s="33"/>
      <c r="AM1803" s="33"/>
      <c r="AN1803" s="33"/>
      <c r="AO1803" s="33"/>
      <c r="AP1803" s="33"/>
      <c r="AQ1803" s="33"/>
      <c r="AR1803" s="33"/>
      <c r="AS1803" s="33"/>
      <c r="AT1803" s="33"/>
      <c r="AU1803" s="33"/>
      <c r="AW1803" s="33"/>
      <c r="AX1803" s="33"/>
      <c r="AY1803" s="33"/>
      <c r="AZ1803" s="33"/>
      <c r="BA1803" s="33"/>
      <c r="CH1803" s="39"/>
      <c r="CI1803" s="32"/>
    </row>
    <row r="1804" spans="31:87">
      <c r="AE1804" s="33"/>
      <c r="AK1804" s="33"/>
      <c r="AL1804" s="33"/>
      <c r="AM1804" s="33"/>
      <c r="AN1804" s="33"/>
      <c r="AO1804" s="33"/>
      <c r="AP1804" s="33"/>
      <c r="AQ1804" s="33"/>
      <c r="AR1804" s="33"/>
      <c r="AS1804" s="33"/>
      <c r="AT1804" s="33"/>
      <c r="AU1804" s="33"/>
      <c r="AW1804" s="33"/>
      <c r="AX1804" s="33"/>
      <c r="AY1804" s="33"/>
      <c r="AZ1804" s="33"/>
      <c r="BA1804" s="33"/>
      <c r="CH1804" s="39"/>
      <c r="CI1804" s="32"/>
    </row>
    <row r="1805" spans="31:87">
      <c r="AE1805" s="33"/>
      <c r="AK1805" s="33"/>
      <c r="AL1805" s="33"/>
      <c r="AM1805" s="33"/>
      <c r="AN1805" s="33"/>
      <c r="AO1805" s="33"/>
      <c r="AP1805" s="33"/>
      <c r="AQ1805" s="33"/>
      <c r="AR1805" s="33"/>
      <c r="AS1805" s="33"/>
      <c r="AT1805" s="33"/>
      <c r="AU1805" s="33"/>
      <c r="AW1805" s="33"/>
      <c r="AX1805" s="33"/>
      <c r="AY1805" s="33"/>
      <c r="AZ1805" s="33"/>
      <c r="BA1805" s="33"/>
      <c r="CH1805" s="39"/>
      <c r="CI1805" s="32"/>
    </row>
    <row r="1806" spans="31:87">
      <c r="AE1806" s="33"/>
      <c r="AK1806" s="33"/>
      <c r="AL1806" s="33"/>
      <c r="AM1806" s="33"/>
      <c r="AN1806" s="33"/>
      <c r="AO1806" s="33"/>
      <c r="AP1806" s="33"/>
      <c r="AQ1806" s="33"/>
      <c r="AR1806" s="33"/>
      <c r="AS1806" s="33"/>
      <c r="AT1806" s="33"/>
      <c r="AU1806" s="33"/>
      <c r="AW1806" s="33"/>
      <c r="AX1806" s="33"/>
      <c r="AY1806" s="33"/>
      <c r="AZ1806" s="33"/>
      <c r="BA1806" s="33"/>
      <c r="CH1806" s="39"/>
      <c r="CI1806" s="32"/>
    </row>
    <row r="1807" spans="31:87">
      <c r="AE1807" s="33"/>
      <c r="AK1807" s="33"/>
      <c r="AL1807" s="33"/>
      <c r="AM1807" s="33"/>
      <c r="AN1807" s="33"/>
      <c r="AO1807" s="33"/>
      <c r="AP1807" s="33"/>
      <c r="AQ1807" s="33"/>
      <c r="AR1807" s="33"/>
      <c r="AS1807" s="33"/>
      <c r="AT1807" s="33"/>
      <c r="AU1807" s="33"/>
      <c r="AW1807" s="33"/>
      <c r="AX1807" s="33"/>
      <c r="AY1807" s="33"/>
      <c r="AZ1807" s="33"/>
      <c r="BA1807" s="33"/>
      <c r="CH1807" s="39"/>
      <c r="CI1807" s="32"/>
    </row>
    <row r="1808" spans="31:87">
      <c r="AE1808" s="33"/>
      <c r="AK1808" s="33"/>
      <c r="AL1808" s="33"/>
      <c r="AM1808" s="33"/>
      <c r="AN1808" s="33"/>
      <c r="AO1808" s="33"/>
      <c r="AP1808" s="33"/>
      <c r="AQ1808" s="33"/>
      <c r="AR1808" s="33"/>
      <c r="AS1808" s="33"/>
      <c r="AT1808" s="33"/>
      <c r="AU1808" s="33"/>
      <c r="AW1808" s="33"/>
      <c r="AX1808" s="33"/>
      <c r="AY1808" s="33"/>
      <c r="AZ1808" s="33"/>
      <c r="BA1808" s="33"/>
      <c r="CH1808" s="39"/>
      <c r="CI1808" s="32"/>
    </row>
    <row r="1809" spans="31:87">
      <c r="AE1809" s="33"/>
      <c r="AK1809" s="33"/>
      <c r="AL1809" s="33"/>
      <c r="AM1809" s="33"/>
      <c r="AN1809" s="33"/>
      <c r="AO1809" s="33"/>
      <c r="AP1809" s="33"/>
      <c r="AQ1809" s="33"/>
      <c r="AR1809" s="33"/>
      <c r="AS1809" s="33"/>
      <c r="AT1809" s="33"/>
      <c r="AU1809" s="33"/>
      <c r="AW1809" s="33"/>
      <c r="AX1809" s="33"/>
      <c r="AY1809" s="33"/>
      <c r="AZ1809" s="33"/>
      <c r="BA1809" s="33"/>
      <c r="CH1809" s="39"/>
      <c r="CI1809" s="32"/>
    </row>
    <row r="1810" spans="31:87">
      <c r="AE1810" s="33"/>
      <c r="AK1810" s="33"/>
      <c r="AL1810" s="33"/>
      <c r="AM1810" s="33"/>
      <c r="AN1810" s="33"/>
      <c r="AO1810" s="33"/>
      <c r="AP1810" s="33"/>
      <c r="AQ1810" s="33"/>
      <c r="AR1810" s="33"/>
      <c r="AS1810" s="33"/>
      <c r="AT1810" s="33"/>
      <c r="AU1810" s="33"/>
      <c r="AW1810" s="33"/>
      <c r="AX1810" s="33"/>
      <c r="AY1810" s="33"/>
      <c r="AZ1810" s="33"/>
      <c r="BA1810" s="33"/>
      <c r="CH1810" s="39"/>
      <c r="CI1810" s="32"/>
    </row>
    <row r="1811" spans="31:87">
      <c r="AE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W1811" s="33"/>
      <c r="AX1811" s="33"/>
      <c r="AY1811" s="33"/>
      <c r="AZ1811" s="33"/>
      <c r="BA1811" s="33"/>
      <c r="CH1811" s="39"/>
      <c r="CI1811" s="32"/>
    </row>
    <row r="1812" spans="31:87">
      <c r="AE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W1812" s="33"/>
      <c r="AX1812" s="33"/>
      <c r="AY1812" s="33"/>
      <c r="AZ1812" s="33"/>
      <c r="BA1812" s="33"/>
      <c r="CH1812" s="39"/>
      <c r="CI1812" s="32"/>
    </row>
    <row r="1813" spans="31:87">
      <c r="AE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W1813" s="33"/>
      <c r="AX1813" s="33"/>
      <c r="AY1813" s="33"/>
      <c r="AZ1813" s="33"/>
      <c r="BA1813" s="33"/>
      <c r="CH1813" s="39"/>
      <c r="CI1813" s="32"/>
    </row>
    <row r="1814" spans="31:87">
      <c r="AE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W1814" s="33"/>
      <c r="AX1814" s="33"/>
      <c r="AY1814" s="33"/>
      <c r="AZ1814" s="33"/>
      <c r="BA1814" s="33"/>
      <c r="CH1814" s="39"/>
      <c r="CI1814" s="32"/>
    </row>
    <row r="1815" spans="31:87">
      <c r="AE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W1815" s="33"/>
      <c r="AX1815" s="33"/>
      <c r="AY1815" s="33"/>
      <c r="AZ1815" s="33"/>
      <c r="BA1815" s="33"/>
      <c r="CH1815" s="39"/>
      <c r="CI1815" s="32"/>
    </row>
    <row r="1816" spans="31:87">
      <c r="AE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W1816" s="33"/>
      <c r="AX1816" s="33"/>
      <c r="AY1816" s="33"/>
      <c r="AZ1816" s="33"/>
      <c r="BA1816" s="33"/>
      <c r="CH1816" s="39"/>
      <c r="CI1816" s="32"/>
    </row>
    <row r="1817" spans="31:87">
      <c r="AE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W1817" s="33"/>
      <c r="AX1817" s="33"/>
      <c r="AY1817" s="33"/>
      <c r="AZ1817" s="33"/>
      <c r="BA1817" s="33"/>
      <c r="CH1817" s="39"/>
      <c r="CI1817" s="32"/>
    </row>
    <row r="1818" spans="31:87">
      <c r="AE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W1818" s="33"/>
      <c r="AX1818" s="33"/>
      <c r="AY1818" s="33"/>
      <c r="AZ1818" s="33"/>
      <c r="BA1818" s="33"/>
      <c r="CH1818" s="39"/>
      <c r="CI1818" s="32"/>
    </row>
    <row r="1819" spans="31:87">
      <c r="AE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W1819" s="33"/>
      <c r="AX1819" s="33"/>
      <c r="AY1819" s="33"/>
      <c r="AZ1819" s="33"/>
      <c r="BA1819" s="33"/>
      <c r="CH1819" s="39"/>
      <c r="CI1819" s="32"/>
    </row>
    <row r="1820" spans="31:87">
      <c r="AE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W1820" s="33"/>
      <c r="AX1820" s="33"/>
      <c r="AY1820" s="33"/>
      <c r="AZ1820" s="33"/>
      <c r="BA1820" s="33"/>
      <c r="CH1820" s="39"/>
      <c r="CI1820" s="32"/>
    </row>
    <row r="1821" spans="31:87">
      <c r="AE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W1821" s="33"/>
      <c r="AX1821" s="33"/>
      <c r="AY1821" s="33"/>
      <c r="AZ1821" s="33"/>
      <c r="BA1821" s="33"/>
      <c r="CH1821" s="39"/>
      <c r="CI1821" s="32"/>
    </row>
    <row r="1822" spans="31:87">
      <c r="AE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W1822" s="33"/>
      <c r="AX1822" s="33"/>
      <c r="AY1822" s="33"/>
      <c r="AZ1822" s="33"/>
      <c r="BA1822" s="33"/>
      <c r="CH1822" s="39"/>
      <c r="CI1822" s="32"/>
    </row>
    <row r="1823" spans="31:87">
      <c r="AE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W1823" s="33"/>
      <c r="AX1823" s="33"/>
      <c r="AY1823" s="33"/>
      <c r="AZ1823" s="33"/>
      <c r="BA1823" s="33"/>
      <c r="CH1823" s="39"/>
      <c r="CI1823" s="32"/>
    </row>
    <row r="1824" spans="31:87">
      <c r="AE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W1824" s="33"/>
      <c r="AX1824" s="33"/>
      <c r="AY1824" s="33"/>
      <c r="AZ1824" s="33"/>
      <c r="BA1824" s="33"/>
      <c r="CH1824" s="39"/>
      <c r="CI1824" s="32"/>
    </row>
    <row r="1825" spans="31:87">
      <c r="AE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W1825" s="33"/>
      <c r="AX1825" s="33"/>
      <c r="AY1825" s="33"/>
      <c r="AZ1825" s="33"/>
      <c r="BA1825" s="33"/>
      <c r="CH1825" s="39"/>
      <c r="CI1825" s="32"/>
    </row>
    <row r="1826" spans="31:87">
      <c r="AE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W1826" s="33"/>
      <c r="AX1826" s="33"/>
      <c r="AY1826" s="33"/>
      <c r="AZ1826" s="33"/>
      <c r="BA1826" s="33"/>
      <c r="CH1826" s="39"/>
      <c r="CI1826" s="32"/>
    </row>
    <row r="1827" spans="31:87">
      <c r="AE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W1827" s="33"/>
      <c r="AX1827" s="33"/>
      <c r="AY1827" s="33"/>
      <c r="AZ1827" s="33"/>
      <c r="BA1827" s="33"/>
      <c r="CH1827" s="39"/>
      <c r="CI1827" s="32"/>
    </row>
    <row r="1828" spans="31:87">
      <c r="AE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W1828" s="33"/>
      <c r="AX1828" s="33"/>
      <c r="AY1828" s="33"/>
      <c r="AZ1828" s="33"/>
      <c r="BA1828" s="33"/>
      <c r="CH1828" s="39"/>
      <c r="CI1828" s="32"/>
    </row>
    <row r="1829" spans="31:87">
      <c r="AE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W1829" s="33"/>
      <c r="AX1829" s="33"/>
      <c r="AY1829" s="33"/>
      <c r="AZ1829" s="33"/>
      <c r="BA1829" s="33"/>
      <c r="CH1829" s="39"/>
      <c r="CI1829" s="32"/>
    </row>
    <row r="1830" spans="31:87">
      <c r="AE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W1830" s="33"/>
      <c r="AX1830" s="33"/>
      <c r="AY1830" s="33"/>
      <c r="AZ1830" s="33"/>
      <c r="BA1830" s="33"/>
      <c r="CH1830" s="39"/>
      <c r="CI1830" s="32"/>
    </row>
    <row r="1831" spans="31:87">
      <c r="AE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W1831" s="33"/>
      <c r="AX1831" s="33"/>
      <c r="AY1831" s="33"/>
      <c r="AZ1831" s="33"/>
      <c r="BA1831" s="33"/>
      <c r="CH1831" s="39"/>
      <c r="CI1831" s="32"/>
    </row>
    <row r="1832" spans="31:87">
      <c r="AE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W1832" s="33"/>
      <c r="AX1832" s="33"/>
      <c r="AY1832" s="33"/>
      <c r="AZ1832" s="33"/>
      <c r="BA1832" s="33"/>
      <c r="CH1832" s="39"/>
      <c r="CI1832" s="32"/>
    </row>
    <row r="1833" spans="31:87">
      <c r="AE1833" s="33"/>
      <c r="AK1833" s="33"/>
      <c r="AL1833" s="33"/>
      <c r="AM1833" s="33"/>
      <c r="AN1833" s="33"/>
      <c r="AO1833" s="33"/>
      <c r="AP1833" s="33"/>
      <c r="AQ1833" s="33"/>
      <c r="AR1833" s="33"/>
      <c r="AS1833" s="33"/>
      <c r="AT1833" s="33"/>
      <c r="AU1833" s="33"/>
      <c r="AW1833" s="33"/>
      <c r="AX1833" s="33"/>
      <c r="AY1833" s="33"/>
      <c r="AZ1833" s="33"/>
      <c r="BA1833" s="33"/>
      <c r="CH1833" s="39"/>
      <c r="CI1833" s="32"/>
    </row>
    <row r="1834" spans="31:87">
      <c r="AE1834" s="33"/>
      <c r="AK1834" s="33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W1834" s="33"/>
      <c r="AX1834" s="33"/>
      <c r="AY1834" s="33"/>
      <c r="AZ1834" s="33"/>
      <c r="BA1834" s="33"/>
      <c r="CH1834" s="39"/>
      <c r="CI1834" s="32"/>
    </row>
    <row r="1835" spans="31:87">
      <c r="AE1835" s="33"/>
      <c r="AK1835" s="33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W1835" s="33"/>
      <c r="AX1835" s="33"/>
      <c r="AY1835" s="33"/>
      <c r="AZ1835" s="33"/>
      <c r="BA1835" s="33"/>
      <c r="CH1835" s="39"/>
      <c r="CI1835" s="32"/>
    </row>
    <row r="1836" spans="31:87">
      <c r="AE1836" s="33"/>
      <c r="AK1836" s="33"/>
      <c r="AL1836" s="33"/>
      <c r="AM1836" s="33"/>
      <c r="AN1836" s="33"/>
      <c r="AO1836" s="33"/>
      <c r="AP1836" s="33"/>
      <c r="AQ1836" s="33"/>
      <c r="AR1836" s="33"/>
      <c r="AS1836" s="33"/>
      <c r="AT1836" s="33"/>
      <c r="AU1836" s="33"/>
      <c r="AW1836" s="33"/>
      <c r="AX1836" s="33"/>
      <c r="AY1836" s="33"/>
      <c r="AZ1836" s="33"/>
      <c r="BA1836" s="33"/>
      <c r="CH1836" s="39"/>
      <c r="CI1836" s="32"/>
    </row>
    <row r="1837" spans="31:87">
      <c r="AE1837" s="33"/>
      <c r="AK1837" s="33"/>
      <c r="AL1837" s="33"/>
      <c r="AM1837" s="33"/>
      <c r="AN1837" s="33"/>
      <c r="AO1837" s="33"/>
      <c r="AP1837" s="33"/>
      <c r="AQ1837" s="33"/>
      <c r="AR1837" s="33"/>
      <c r="AS1837" s="33"/>
      <c r="AT1837" s="33"/>
      <c r="AU1837" s="33"/>
      <c r="AW1837" s="33"/>
      <c r="AX1837" s="33"/>
      <c r="AY1837" s="33"/>
      <c r="AZ1837" s="33"/>
      <c r="BA1837" s="33"/>
      <c r="CH1837" s="39"/>
      <c r="CI1837" s="32"/>
    </row>
    <row r="1838" spans="31:87">
      <c r="AE1838" s="33"/>
      <c r="AK1838" s="33"/>
      <c r="AL1838" s="33"/>
      <c r="AM1838" s="33"/>
      <c r="AN1838" s="33"/>
      <c r="AO1838" s="33"/>
      <c r="AP1838" s="33"/>
      <c r="AQ1838" s="33"/>
      <c r="AR1838" s="33"/>
      <c r="AS1838" s="33"/>
      <c r="AT1838" s="33"/>
      <c r="AU1838" s="33"/>
      <c r="AW1838" s="33"/>
      <c r="AX1838" s="33"/>
      <c r="AY1838" s="33"/>
      <c r="AZ1838" s="33"/>
      <c r="BA1838" s="33"/>
      <c r="CH1838" s="39"/>
      <c r="CI1838" s="32"/>
    </row>
    <row r="1839" spans="31:87">
      <c r="AE1839" s="33"/>
      <c r="AK1839" s="33"/>
      <c r="AL1839" s="33"/>
      <c r="AM1839" s="33"/>
      <c r="AN1839" s="33"/>
      <c r="AO1839" s="33"/>
      <c r="AP1839" s="33"/>
      <c r="AQ1839" s="33"/>
      <c r="AR1839" s="33"/>
      <c r="AS1839" s="33"/>
      <c r="AT1839" s="33"/>
      <c r="AU1839" s="33"/>
      <c r="AW1839" s="33"/>
      <c r="AX1839" s="33"/>
      <c r="AY1839" s="33"/>
      <c r="AZ1839" s="33"/>
      <c r="BA1839" s="33"/>
      <c r="CH1839" s="39"/>
      <c r="CI1839" s="32"/>
    </row>
    <row r="1840" spans="31:87">
      <c r="AE1840" s="33"/>
      <c r="AK1840" s="33"/>
      <c r="AL1840" s="33"/>
      <c r="AM1840" s="33"/>
      <c r="AN1840" s="33"/>
      <c r="AO1840" s="33"/>
      <c r="AP1840" s="33"/>
      <c r="AQ1840" s="33"/>
      <c r="AR1840" s="33"/>
      <c r="AS1840" s="33"/>
      <c r="AT1840" s="33"/>
      <c r="AU1840" s="33"/>
      <c r="AW1840" s="33"/>
      <c r="AX1840" s="33"/>
      <c r="AY1840" s="33"/>
      <c r="AZ1840" s="33"/>
      <c r="BA1840" s="33"/>
      <c r="CH1840" s="39"/>
      <c r="CI1840" s="32"/>
    </row>
    <row r="1841" spans="31:87">
      <c r="AE1841" s="33"/>
      <c r="AK1841" s="33"/>
      <c r="AL1841" s="33"/>
      <c r="AM1841" s="33"/>
      <c r="AN1841" s="33"/>
      <c r="AO1841" s="33"/>
      <c r="AP1841" s="33"/>
      <c r="AQ1841" s="33"/>
      <c r="AR1841" s="33"/>
      <c r="AS1841" s="33"/>
      <c r="AT1841" s="33"/>
      <c r="AU1841" s="33"/>
      <c r="AW1841" s="33"/>
      <c r="AX1841" s="33"/>
      <c r="AY1841" s="33"/>
      <c r="AZ1841" s="33"/>
      <c r="BA1841" s="33"/>
      <c r="CH1841" s="39"/>
      <c r="CI1841" s="32"/>
    </row>
    <row r="1842" spans="31:87">
      <c r="AE1842" s="33"/>
      <c r="AK1842" s="33"/>
      <c r="AL1842" s="33"/>
      <c r="AM1842" s="33"/>
      <c r="AN1842" s="33"/>
      <c r="AO1842" s="33"/>
      <c r="AP1842" s="33"/>
      <c r="AQ1842" s="33"/>
      <c r="AR1842" s="33"/>
      <c r="AS1842" s="33"/>
      <c r="AT1842" s="33"/>
      <c r="AU1842" s="33"/>
      <c r="AW1842" s="33"/>
      <c r="AX1842" s="33"/>
      <c r="AY1842" s="33"/>
      <c r="AZ1842" s="33"/>
      <c r="BA1842" s="33"/>
      <c r="CH1842" s="39"/>
      <c r="CI1842" s="32"/>
    </row>
    <row r="1843" spans="31:87">
      <c r="AE1843" s="33"/>
      <c r="AK1843" s="33"/>
      <c r="AL1843" s="33"/>
      <c r="AM1843" s="33"/>
      <c r="AN1843" s="33"/>
      <c r="AO1843" s="33"/>
      <c r="AP1843" s="33"/>
      <c r="AQ1843" s="33"/>
      <c r="AR1843" s="33"/>
      <c r="AS1843" s="33"/>
      <c r="AT1843" s="33"/>
      <c r="AU1843" s="33"/>
      <c r="AW1843" s="33"/>
      <c r="AX1843" s="33"/>
      <c r="AY1843" s="33"/>
      <c r="AZ1843" s="33"/>
      <c r="BA1843" s="33"/>
      <c r="CH1843" s="39"/>
      <c r="CI1843" s="32"/>
    </row>
    <row r="1844" spans="31:87">
      <c r="AE1844" s="33"/>
      <c r="AK1844" s="33"/>
      <c r="AL1844" s="33"/>
      <c r="AM1844" s="33"/>
      <c r="AN1844" s="33"/>
      <c r="AO1844" s="33"/>
      <c r="AP1844" s="33"/>
      <c r="AQ1844" s="33"/>
      <c r="AR1844" s="33"/>
      <c r="AS1844" s="33"/>
      <c r="AT1844" s="33"/>
      <c r="AU1844" s="33"/>
      <c r="AW1844" s="33"/>
      <c r="AX1844" s="33"/>
      <c r="AY1844" s="33"/>
      <c r="AZ1844" s="33"/>
      <c r="BA1844" s="33"/>
      <c r="CH1844" s="39"/>
      <c r="CI1844" s="32"/>
    </row>
    <row r="1845" spans="31:87">
      <c r="AE1845" s="33"/>
      <c r="AK1845" s="33"/>
      <c r="AL1845" s="33"/>
      <c r="AM1845" s="33"/>
      <c r="AN1845" s="33"/>
      <c r="AO1845" s="33"/>
      <c r="AP1845" s="33"/>
      <c r="AQ1845" s="33"/>
      <c r="AR1845" s="33"/>
      <c r="AS1845" s="33"/>
      <c r="AT1845" s="33"/>
      <c r="AU1845" s="33"/>
      <c r="AW1845" s="33"/>
      <c r="AX1845" s="33"/>
      <c r="AY1845" s="33"/>
      <c r="AZ1845" s="33"/>
      <c r="BA1845" s="33"/>
      <c r="CH1845" s="39"/>
      <c r="CI1845" s="32"/>
    </row>
    <row r="1846" spans="31:87">
      <c r="AE1846" s="33"/>
      <c r="AK1846" s="33"/>
      <c r="AL1846" s="33"/>
      <c r="AM1846" s="33"/>
      <c r="AN1846" s="33"/>
      <c r="AO1846" s="33"/>
      <c r="AP1846" s="33"/>
      <c r="AQ1846" s="33"/>
      <c r="AR1846" s="33"/>
      <c r="AS1846" s="33"/>
      <c r="AT1846" s="33"/>
      <c r="AU1846" s="33"/>
      <c r="AW1846" s="33"/>
      <c r="AX1846" s="33"/>
      <c r="AY1846" s="33"/>
      <c r="AZ1846" s="33"/>
      <c r="BA1846" s="33"/>
      <c r="CH1846" s="39"/>
      <c r="CI1846" s="32"/>
    </row>
    <row r="1847" spans="31:87">
      <c r="AE1847" s="33"/>
      <c r="AK1847" s="33"/>
      <c r="AL1847" s="33"/>
      <c r="AM1847" s="33"/>
      <c r="AN1847" s="33"/>
      <c r="AO1847" s="33"/>
      <c r="AP1847" s="33"/>
      <c r="AQ1847" s="33"/>
      <c r="AR1847" s="33"/>
      <c r="AS1847" s="33"/>
      <c r="AT1847" s="33"/>
      <c r="AU1847" s="33"/>
      <c r="AW1847" s="33"/>
      <c r="AX1847" s="33"/>
      <c r="AY1847" s="33"/>
      <c r="AZ1847" s="33"/>
      <c r="BA1847" s="33"/>
      <c r="CH1847" s="39"/>
      <c r="CI1847" s="32"/>
    </row>
    <row r="1848" spans="31:87">
      <c r="AE1848" s="33"/>
      <c r="AK1848" s="33"/>
      <c r="AL1848" s="33"/>
      <c r="AM1848" s="33"/>
      <c r="AN1848" s="33"/>
      <c r="AO1848" s="33"/>
      <c r="AP1848" s="33"/>
      <c r="AQ1848" s="33"/>
      <c r="AR1848" s="33"/>
      <c r="AS1848" s="33"/>
      <c r="AT1848" s="33"/>
      <c r="AU1848" s="33"/>
      <c r="AW1848" s="33"/>
      <c r="AX1848" s="33"/>
      <c r="AY1848" s="33"/>
      <c r="AZ1848" s="33"/>
      <c r="BA1848" s="33"/>
      <c r="CH1848" s="39"/>
      <c r="CI1848" s="32"/>
    </row>
    <row r="1849" spans="31:87">
      <c r="AE1849" s="33"/>
      <c r="AK1849" s="33"/>
      <c r="AL1849" s="33"/>
      <c r="AM1849" s="33"/>
      <c r="AN1849" s="33"/>
      <c r="AO1849" s="33"/>
      <c r="AP1849" s="33"/>
      <c r="AQ1849" s="33"/>
      <c r="AR1849" s="33"/>
      <c r="AS1849" s="33"/>
      <c r="AT1849" s="33"/>
      <c r="AU1849" s="33"/>
      <c r="AW1849" s="33"/>
      <c r="AX1849" s="33"/>
      <c r="AY1849" s="33"/>
      <c r="AZ1849" s="33"/>
      <c r="BA1849" s="33"/>
      <c r="CH1849" s="39"/>
      <c r="CI1849" s="32"/>
    </row>
    <row r="1850" spans="31:87">
      <c r="AE1850" s="33"/>
      <c r="AK1850" s="33"/>
      <c r="AL1850" s="33"/>
      <c r="AM1850" s="33"/>
      <c r="AN1850" s="33"/>
      <c r="AO1850" s="33"/>
      <c r="AP1850" s="33"/>
      <c r="AQ1850" s="33"/>
      <c r="AR1850" s="33"/>
      <c r="AS1850" s="33"/>
      <c r="AT1850" s="33"/>
      <c r="AU1850" s="33"/>
      <c r="AW1850" s="33"/>
      <c r="AX1850" s="33"/>
      <c r="AY1850" s="33"/>
      <c r="AZ1850" s="33"/>
      <c r="BA1850" s="33"/>
      <c r="CH1850" s="39"/>
      <c r="CI1850" s="32"/>
    </row>
    <row r="1851" spans="31:87">
      <c r="AE1851" s="33"/>
      <c r="AK1851" s="33"/>
      <c r="AL1851" s="33"/>
      <c r="AM1851" s="33"/>
      <c r="AN1851" s="33"/>
      <c r="AO1851" s="33"/>
      <c r="AP1851" s="33"/>
      <c r="AQ1851" s="33"/>
      <c r="AR1851" s="33"/>
      <c r="AS1851" s="33"/>
      <c r="AT1851" s="33"/>
      <c r="AU1851" s="33"/>
      <c r="AW1851" s="33"/>
      <c r="AX1851" s="33"/>
      <c r="AY1851" s="33"/>
      <c r="AZ1851" s="33"/>
      <c r="BA1851" s="33"/>
      <c r="CH1851" s="39"/>
      <c r="CI1851" s="32"/>
    </row>
    <row r="1852" spans="31:87">
      <c r="AE1852" s="33"/>
      <c r="AK1852" s="33"/>
      <c r="AL1852" s="33"/>
      <c r="AM1852" s="33"/>
      <c r="AN1852" s="33"/>
      <c r="AO1852" s="33"/>
      <c r="AP1852" s="33"/>
      <c r="AQ1852" s="33"/>
      <c r="AR1852" s="33"/>
      <c r="AS1852" s="33"/>
      <c r="AT1852" s="33"/>
      <c r="AU1852" s="33"/>
      <c r="AW1852" s="33"/>
      <c r="AX1852" s="33"/>
      <c r="AY1852" s="33"/>
      <c r="AZ1852" s="33"/>
      <c r="BA1852" s="33"/>
      <c r="CH1852" s="39"/>
      <c r="CI1852" s="32"/>
    </row>
    <row r="1853" spans="31:87">
      <c r="AE1853" s="33"/>
      <c r="AK1853" s="33"/>
      <c r="AL1853" s="33"/>
      <c r="AM1853" s="33"/>
      <c r="AN1853" s="33"/>
      <c r="AO1853" s="33"/>
      <c r="AP1853" s="33"/>
      <c r="AQ1853" s="33"/>
      <c r="AR1853" s="33"/>
      <c r="AS1853" s="33"/>
      <c r="AT1853" s="33"/>
      <c r="AU1853" s="33"/>
      <c r="AW1853" s="33"/>
      <c r="AX1853" s="33"/>
      <c r="AY1853" s="33"/>
      <c r="AZ1853" s="33"/>
      <c r="BA1853" s="33"/>
      <c r="CH1853" s="39"/>
      <c r="CI1853" s="32"/>
    </row>
    <row r="1854" spans="31:87">
      <c r="AE1854" s="33"/>
      <c r="AK1854" s="33"/>
      <c r="AL1854" s="33"/>
      <c r="AM1854" s="33"/>
      <c r="AN1854" s="33"/>
      <c r="AO1854" s="33"/>
      <c r="AP1854" s="33"/>
      <c r="AQ1854" s="33"/>
      <c r="AR1854" s="33"/>
      <c r="AS1854" s="33"/>
      <c r="AT1854" s="33"/>
      <c r="AU1854" s="33"/>
      <c r="AW1854" s="33"/>
      <c r="AX1854" s="33"/>
      <c r="AY1854" s="33"/>
      <c r="AZ1854" s="33"/>
      <c r="BA1854" s="33"/>
      <c r="CH1854" s="39"/>
      <c r="CI1854" s="32"/>
    </row>
    <row r="1855" spans="31:87">
      <c r="AE1855" s="33"/>
      <c r="AK1855" s="33"/>
      <c r="AL1855" s="33"/>
      <c r="AM1855" s="33"/>
      <c r="AN1855" s="33"/>
      <c r="AO1855" s="33"/>
      <c r="AP1855" s="33"/>
      <c r="AQ1855" s="33"/>
      <c r="AR1855" s="33"/>
      <c r="AS1855" s="33"/>
      <c r="AT1855" s="33"/>
      <c r="AU1855" s="33"/>
      <c r="AW1855" s="33"/>
      <c r="AX1855" s="33"/>
      <c r="AY1855" s="33"/>
      <c r="AZ1855" s="33"/>
      <c r="BA1855" s="33"/>
      <c r="CH1855" s="39"/>
      <c r="CI1855" s="32"/>
    </row>
    <row r="1856" spans="31:87">
      <c r="AE1856" s="33"/>
      <c r="AK1856" s="33"/>
      <c r="AL1856" s="33"/>
      <c r="AM1856" s="33"/>
      <c r="AN1856" s="33"/>
      <c r="AO1856" s="33"/>
      <c r="AP1856" s="33"/>
      <c r="AQ1856" s="33"/>
      <c r="AR1856" s="33"/>
      <c r="AS1856" s="33"/>
      <c r="AT1856" s="33"/>
      <c r="AU1856" s="33"/>
      <c r="AW1856" s="33"/>
      <c r="AX1856" s="33"/>
      <c r="AY1856" s="33"/>
      <c r="AZ1856" s="33"/>
      <c r="BA1856" s="33"/>
      <c r="CH1856" s="39"/>
      <c r="CI1856" s="32"/>
    </row>
    <row r="1857" spans="31:87">
      <c r="AE1857" s="33"/>
      <c r="AK1857" s="33"/>
      <c r="AL1857" s="33"/>
      <c r="AM1857" s="33"/>
      <c r="AN1857" s="33"/>
      <c r="AO1857" s="33"/>
      <c r="AP1857" s="33"/>
      <c r="AQ1857" s="33"/>
      <c r="AR1857" s="33"/>
      <c r="AS1857" s="33"/>
      <c r="AT1857" s="33"/>
      <c r="AU1857" s="33"/>
      <c r="AW1857" s="33"/>
      <c r="AX1857" s="33"/>
      <c r="AY1857" s="33"/>
      <c r="AZ1857" s="33"/>
      <c r="BA1857" s="33"/>
      <c r="CH1857" s="39"/>
      <c r="CI1857" s="32"/>
    </row>
    <row r="1858" spans="31:87">
      <c r="AE1858" s="33"/>
      <c r="AK1858" s="33"/>
      <c r="AL1858" s="33"/>
      <c r="AM1858" s="33"/>
      <c r="AN1858" s="33"/>
      <c r="AO1858" s="33"/>
      <c r="AP1858" s="33"/>
      <c r="AQ1858" s="33"/>
      <c r="AR1858" s="33"/>
      <c r="AS1858" s="33"/>
      <c r="AT1858" s="33"/>
      <c r="AU1858" s="33"/>
      <c r="AW1858" s="33"/>
      <c r="AX1858" s="33"/>
      <c r="AY1858" s="33"/>
      <c r="AZ1858" s="33"/>
      <c r="BA1858" s="33"/>
      <c r="CH1858" s="39"/>
      <c r="CI1858" s="32"/>
    </row>
    <row r="1859" spans="31:87">
      <c r="AE1859" s="33"/>
      <c r="AK1859" s="33"/>
      <c r="AL1859" s="33"/>
      <c r="AM1859" s="33"/>
      <c r="AN1859" s="33"/>
      <c r="AO1859" s="33"/>
      <c r="AP1859" s="33"/>
      <c r="AQ1859" s="33"/>
      <c r="AR1859" s="33"/>
      <c r="AS1859" s="33"/>
      <c r="AT1859" s="33"/>
      <c r="AU1859" s="33"/>
      <c r="AW1859" s="33"/>
      <c r="AX1859" s="33"/>
      <c r="AY1859" s="33"/>
      <c r="AZ1859" s="33"/>
      <c r="BA1859" s="33"/>
      <c r="CH1859" s="39"/>
      <c r="CI1859" s="32"/>
    </row>
    <row r="1860" spans="31:87">
      <c r="AE1860" s="33"/>
      <c r="AK1860" s="33"/>
      <c r="AL1860" s="33"/>
      <c r="AM1860" s="33"/>
      <c r="AN1860" s="33"/>
      <c r="AO1860" s="33"/>
      <c r="AP1860" s="33"/>
      <c r="AQ1860" s="33"/>
      <c r="AR1860" s="33"/>
      <c r="AS1860" s="33"/>
      <c r="AT1860" s="33"/>
      <c r="AU1860" s="33"/>
      <c r="AW1860" s="33"/>
      <c r="AX1860" s="33"/>
      <c r="AY1860" s="33"/>
      <c r="AZ1860" s="33"/>
      <c r="BA1860" s="33"/>
      <c r="CH1860" s="39"/>
      <c r="CI1860" s="32"/>
    </row>
    <row r="1861" spans="31:87">
      <c r="AE1861" s="33"/>
      <c r="AK1861" s="33"/>
      <c r="AL1861" s="33"/>
      <c r="AM1861" s="33"/>
      <c r="AN1861" s="33"/>
      <c r="AO1861" s="33"/>
      <c r="AP1861" s="33"/>
      <c r="AQ1861" s="33"/>
      <c r="AR1861" s="33"/>
      <c r="AS1861" s="33"/>
      <c r="AT1861" s="33"/>
      <c r="AU1861" s="33"/>
      <c r="AW1861" s="33"/>
      <c r="AX1861" s="33"/>
      <c r="AY1861" s="33"/>
      <c r="AZ1861" s="33"/>
      <c r="BA1861" s="33"/>
      <c r="CH1861" s="39"/>
      <c r="CI1861" s="32"/>
    </row>
    <row r="1862" spans="31:87">
      <c r="AE1862" s="33"/>
      <c r="AK1862" s="33"/>
      <c r="AL1862" s="33"/>
      <c r="AM1862" s="33"/>
      <c r="AN1862" s="33"/>
      <c r="AO1862" s="33"/>
      <c r="AP1862" s="33"/>
      <c r="AQ1862" s="33"/>
      <c r="AR1862" s="33"/>
      <c r="AS1862" s="33"/>
      <c r="AT1862" s="33"/>
      <c r="AU1862" s="33"/>
      <c r="AW1862" s="33"/>
      <c r="AX1862" s="33"/>
      <c r="AY1862" s="33"/>
      <c r="AZ1862" s="33"/>
      <c r="BA1862" s="33"/>
      <c r="CH1862" s="39"/>
      <c r="CI1862" s="32"/>
    </row>
    <row r="1863" spans="31:87">
      <c r="AE1863" s="33"/>
      <c r="AK1863" s="33"/>
      <c r="AL1863" s="33"/>
      <c r="AM1863" s="33"/>
      <c r="AN1863" s="33"/>
      <c r="AO1863" s="33"/>
      <c r="AP1863" s="33"/>
      <c r="AQ1863" s="33"/>
      <c r="AR1863" s="33"/>
      <c r="AS1863" s="33"/>
      <c r="AT1863" s="33"/>
      <c r="AU1863" s="33"/>
      <c r="AW1863" s="33"/>
      <c r="AX1863" s="33"/>
      <c r="AY1863" s="33"/>
      <c r="AZ1863" s="33"/>
      <c r="BA1863" s="33"/>
      <c r="CH1863" s="39"/>
      <c r="CI1863" s="32"/>
    </row>
    <row r="1864" spans="31:87">
      <c r="AE1864" s="33"/>
      <c r="AK1864" s="33"/>
      <c r="AL1864" s="33"/>
      <c r="AM1864" s="33"/>
      <c r="AN1864" s="33"/>
      <c r="AO1864" s="33"/>
      <c r="AP1864" s="33"/>
      <c r="AQ1864" s="33"/>
      <c r="AR1864" s="33"/>
      <c r="AS1864" s="33"/>
      <c r="AT1864" s="33"/>
      <c r="AU1864" s="33"/>
      <c r="AW1864" s="33"/>
      <c r="AX1864" s="33"/>
      <c r="AY1864" s="33"/>
      <c r="AZ1864" s="33"/>
      <c r="BA1864" s="33"/>
      <c r="CH1864" s="39"/>
      <c r="CI1864" s="32"/>
    </row>
    <row r="1865" spans="31:87">
      <c r="AE1865" s="33"/>
      <c r="AK1865" s="33"/>
      <c r="AL1865" s="33"/>
      <c r="AM1865" s="33"/>
      <c r="AN1865" s="33"/>
      <c r="AO1865" s="33"/>
      <c r="AP1865" s="33"/>
      <c r="AQ1865" s="33"/>
      <c r="AR1865" s="33"/>
      <c r="AS1865" s="33"/>
      <c r="AT1865" s="33"/>
      <c r="AU1865" s="33"/>
      <c r="AW1865" s="33"/>
      <c r="AX1865" s="33"/>
      <c r="AY1865" s="33"/>
      <c r="AZ1865" s="33"/>
      <c r="BA1865" s="33"/>
      <c r="CH1865" s="39"/>
      <c r="CI1865" s="32"/>
    </row>
    <row r="1866" spans="31:87">
      <c r="AE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W1866" s="33"/>
      <c r="AX1866" s="33"/>
      <c r="AY1866" s="33"/>
      <c r="AZ1866" s="33"/>
      <c r="BA1866" s="33"/>
      <c r="CH1866" s="39"/>
      <c r="CI1866" s="32"/>
    </row>
    <row r="1867" spans="31:87">
      <c r="AE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W1867" s="33"/>
      <c r="AX1867" s="33"/>
      <c r="AY1867" s="33"/>
      <c r="AZ1867" s="33"/>
      <c r="BA1867" s="33"/>
      <c r="CH1867" s="39"/>
      <c r="CI1867" s="32"/>
    </row>
    <row r="1868" spans="31:87">
      <c r="AE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W1868" s="33"/>
      <c r="AX1868" s="33"/>
      <c r="AY1868" s="33"/>
      <c r="AZ1868" s="33"/>
      <c r="BA1868" s="33"/>
      <c r="CH1868" s="39"/>
      <c r="CI1868" s="32"/>
    </row>
    <row r="1869" spans="31:87">
      <c r="AE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W1869" s="33"/>
      <c r="AX1869" s="33"/>
      <c r="AY1869" s="33"/>
      <c r="AZ1869" s="33"/>
      <c r="BA1869" s="33"/>
      <c r="CH1869" s="39"/>
      <c r="CI1869" s="32"/>
    </row>
    <row r="1870" spans="31:87">
      <c r="AE1870" s="33"/>
      <c r="AK1870" s="33"/>
      <c r="AL1870" s="33"/>
      <c r="AM1870" s="33"/>
      <c r="AN1870" s="33"/>
      <c r="AO1870" s="33"/>
      <c r="AP1870" s="33"/>
      <c r="AQ1870" s="33"/>
      <c r="AR1870" s="33"/>
      <c r="AS1870" s="33"/>
      <c r="AT1870" s="33"/>
      <c r="AU1870" s="33"/>
      <c r="AW1870" s="33"/>
      <c r="AX1870" s="33"/>
      <c r="AY1870" s="33"/>
      <c r="AZ1870" s="33"/>
      <c r="BA1870" s="33"/>
      <c r="CH1870" s="39"/>
      <c r="CI1870" s="32"/>
    </row>
    <row r="1871" spans="31:87">
      <c r="AE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W1871" s="33"/>
      <c r="AX1871" s="33"/>
      <c r="AY1871" s="33"/>
      <c r="AZ1871" s="33"/>
      <c r="BA1871" s="33"/>
      <c r="CH1871" s="39"/>
      <c r="CI1871" s="32"/>
    </row>
    <row r="1872" spans="31:87">
      <c r="AE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W1872" s="33"/>
      <c r="AX1872" s="33"/>
      <c r="AY1872" s="33"/>
      <c r="AZ1872" s="33"/>
      <c r="BA1872" s="33"/>
      <c r="CH1872" s="39"/>
      <c r="CI1872" s="32"/>
    </row>
    <row r="1873" spans="31:87">
      <c r="AE1873" s="33"/>
      <c r="AK1873" s="33"/>
      <c r="AL1873" s="33"/>
      <c r="AM1873" s="33"/>
      <c r="AN1873" s="33"/>
      <c r="AO1873" s="33"/>
      <c r="AP1873" s="33"/>
      <c r="AQ1873" s="33"/>
      <c r="AR1873" s="33"/>
      <c r="AS1873" s="33"/>
      <c r="AT1873" s="33"/>
      <c r="AU1873" s="33"/>
      <c r="AW1873" s="33"/>
      <c r="AX1873" s="33"/>
      <c r="AY1873" s="33"/>
      <c r="AZ1873" s="33"/>
      <c r="BA1873" s="33"/>
      <c r="CH1873" s="39"/>
      <c r="CI1873" s="32"/>
    </row>
    <row r="1874" spans="31:87">
      <c r="AE1874" s="33"/>
      <c r="AK1874" s="33"/>
      <c r="AL1874" s="33"/>
      <c r="AM1874" s="33"/>
      <c r="AN1874" s="33"/>
      <c r="AO1874" s="33"/>
      <c r="AP1874" s="33"/>
      <c r="AQ1874" s="33"/>
      <c r="AR1874" s="33"/>
      <c r="AS1874" s="33"/>
      <c r="AT1874" s="33"/>
      <c r="AU1874" s="33"/>
      <c r="AW1874" s="33"/>
      <c r="AX1874" s="33"/>
      <c r="AY1874" s="33"/>
      <c r="AZ1874" s="33"/>
      <c r="BA1874" s="33"/>
      <c r="CH1874" s="39"/>
      <c r="CI1874" s="32"/>
    </row>
    <row r="1875" spans="31:87">
      <c r="AE1875" s="33"/>
      <c r="AK1875" s="33"/>
      <c r="AL1875" s="33"/>
      <c r="AM1875" s="33"/>
      <c r="AN1875" s="33"/>
      <c r="AO1875" s="33"/>
      <c r="AP1875" s="33"/>
      <c r="AQ1875" s="33"/>
      <c r="AR1875" s="33"/>
      <c r="AS1875" s="33"/>
      <c r="AT1875" s="33"/>
      <c r="AU1875" s="33"/>
      <c r="AW1875" s="33"/>
      <c r="AX1875" s="33"/>
      <c r="AY1875" s="33"/>
      <c r="AZ1875" s="33"/>
      <c r="BA1875" s="33"/>
      <c r="CH1875" s="39"/>
      <c r="CI1875" s="32"/>
    </row>
    <row r="1876" spans="31:87">
      <c r="AE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W1876" s="33"/>
      <c r="AX1876" s="33"/>
      <c r="AY1876" s="33"/>
      <c r="AZ1876" s="33"/>
      <c r="BA1876" s="33"/>
      <c r="CH1876" s="39"/>
      <c r="CI1876" s="32"/>
    </row>
    <row r="1877" spans="31:87">
      <c r="AE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W1877" s="33"/>
      <c r="AX1877" s="33"/>
      <c r="AY1877" s="33"/>
      <c r="AZ1877" s="33"/>
      <c r="BA1877" s="33"/>
      <c r="CH1877" s="39"/>
      <c r="CI1877" s="32"/>
    </row>
    <row r="1878" spans="31:87">
      <c r="AE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W1878" s="33"/>
      <c r="AX1878" s="33"/>
      <c r="AY1878" s="33"/>
      <c r="AZ1878" s="33"/>
      <c r="BA1878" s="33"/>
      <c r="CH1878" s="39"/>
      <c r="CI1878" s="32"/>
    </row>
    <row r="1879" spans="31:87">
      <c r="AE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W1879" s="33"/>
      <c r="AX1879" s="33"/>
      <c r="AY1879" s="33"/>
      <c r="AZ1879" s="33"/>
      <c r="BA1879" s="33"/>
      <c r="CH1879" s="39"/>
      <c r="CI1879" s="32"/>
    </row>
    <row r="1880" spans="31:87">
      <c r="AE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CH1880" s="39"/>
      <c r="CI1880" s="32"/>
    </row>
    <row r="1881" spans="31:87">
      <c r="AE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CH1881" s="39"/>
      <c r="CI1881" s="32"/>
    </row>
    <row r="1882" spans="31:87">
      <c r="AE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CH1882" s="39"/>
      <c r="CI1882" s="32"/>
    </row>
    <row r="1883" spans="31:87">
      <c r="AE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CH1883" s="39"/>
      <c r="CI1883" s="32"/>
    </row>
    <row r="1884" spans="31:87">
      <c r="AE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CH1884" s="39"/>
      <c r="CI1884" s="32"/>
    </row>
    <row r="1885" spans="31:87">
      <c r="AE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CH1885" s="39"/>
      <c r="CI1885" s="32"/>
    </row>
    <row r="1886" spans="31:87">
      <c r="AE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CH1886" s="39"/>
      <c r="CI1886" s="32"/>
    </row>
    <row r="1887" spans="31:87">
      <c r="AE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CH1887" s="39"/>
      <c r="CI1887" s="32"/>
    </row>
    <row r="1888" spans="31:87">
      <c r="AE1888" s="33"/>
      <c r="AK1888" s="33"/>
      <c r="AL1888" s="33"/>
      <c r="AM1888" s="33"/>
      <c r="AN1888" s="33"/>
      <c r="AO1888" s="33"/>
      <c r="AP1888" s="33"/>
      <c r="AQ1888" s="33"/>
      <c r="AR1888" s="33"/>
      <c r="AS1888" s="33"/>
      <c r="AT1888" s="33"/>
      <c r="AU1888" s="33"/>
      <c r="CH1888" s="39"/>
      <c r="CI1888" s="32"/>
    </row>
    <row r="1889" spans="31:87">
      <c r="AE1889" s="33"/>
      <c r="AK1889" s="33"/>
      <c r="AL1889" s="33"/>
      <c r="AM1889" s="33"/>
      <c r="AN1889" s="33"/>
      <c r="AO1889" s="33"/>
      <c r="AP1889" s="33"/>
      <c r="AQ1889" s="33"/>
      <c r="AR1889" s="33"/>
      <c r="AS1889" s="33"/>
      <c r="AT1889" s="33"/>
      <c r="AU1889" s="33"/>
      <c r="CH1889" s="39"/>
      <c r="CI1889" s="32"/>
    </row>
    <row r="1890" spans="31:87">
      <c r="AK1890" s="33"/>
      <c r="AL1890" s="33"/>
      <c r="AM1890" s="33"/>
      <c r="AN1890" s="33"/>
      <c r="AO1890" s="33"/>
      <c r="AP1890" s="33"/>
      <c r="AQ1890" s="33"/>
      <c r="AR1890" s="33"/>
      <c r="AS1890" s="33"/>
      <c r="AT1890" s="33"/>
      <c r="AU1890" s="33"/>
      <c r="CH1890" s="39"/>
      <c r="CI1890" s="32"/>
    </row>
    <row r="1891" spans="31:87">
      <c r="AK1891" s="33"/>
      <c r="AL1891" s="33"/>
      <c r="AM1891" s="33"/>
      <c r="AN1891" s="33"/>
      <c r="AO1891" s="33"/>
      <c r="AP1891" s="33"/>
      <c r="AQ1891" s="33"/>
      <c r="AR1891" s="33"/>
      <c r="AS1891" s="33"/>
      <c r="AT1891" s="33"/>
      <c r="AU1891" s="33"/>
      <c r="CH1891" s="39"/>
      <c r="CI1891" s="32"/>
    </row>
    <row r="1892" spans="31:87">
      <c r="AK1892" s="33"/>
      <c r="AL1892" s="33"/>
      <c r="AM1892" s="33"/>
      <c r="AN1892" s="33"/>
      <c r="AO1892" s="33"/>
      <c r="AP1892" s="33"/>
      <c r="AQ1892" s="33"/>
      <c r="AR1892" s="33"/>
      <c r="AS1892" s="33"/>
      <c r="AT1892" s="33"/>
      <c r="AU1892" s="33"/>
      <c r="CH1892" s="39"/>
      <c r="CI1892" s="32"/>
    </row>
    <row r="1893" spans="31:87">
      <c r="AK1893" s="33"/>
      <c r="AL1893" s="33"/>
      <c r="AM1893" s="33"/>
      <c r="AN1893" s="33"/>
      <c r="AO1893" s="33"/>
      <c r="AP1893" s="33"/>
      <c r="AQ1893" s="33"/>
      <c r="AR1893" s="33"/>
      <c r="AS1893" s="33"/>
      <c r="AT1893" s="33"/>
      <c r="AU1893" s="33"/>
      <c r="CH1893" s="39"/>
      <c r="CI1893" s="32"/>
    </row>
    <row r="1894" spans="31:87">
      <c r="AK1894" s="33"/>
      <c r="AL1894" s="33"/>
      <c r="AM1894" s="33"/>
      <c r="AN1894" s="33"/>
      <c r="AO1894" s="33"/>
      <c r="AP1894" s="33"/>
      <c r="AQ1894" s="33"/>
      <c r="AR1894" s="33"/>
      <c r="AS1894" s="33"/>
      <c r="AT1894" s="33"/>
      <c r="AU1894" s="33"/>
      <c r="CH1894" s="39"/>
      <c r="CI1894" s="32"/>
    </row>
    <row r="1895" spans="31:87">
      <c r="AK1895" s="33"/>
      <c r="AL1895" s="33"/>
      <c r="AM1895" s="33"/>
      <c r="AN1895" s="33"/>
      <c r="AO1895" s="33"/>
      <c r="AP1895" s="33"/>
      <c r="AQ1895" s="33"/>
      <c r="AR1895" s="33"/>
      <c r="AS1895" s="33"/>
      <c r="AT1895" s="33"/>
      <c r="AU1895" s="33"/>
      <c r="CH1895" s="39"/>
      <c r="CI1895" s="32"/>
    </row>
    <row r="1896" spans="31:87">
      <c r="AK1896" s="33"/>
      <c r="CH1896" s="39"/>
      <c r="CI1896" s="32"/>
    </row>
    <row r="1897" spans="31:87">
      <c r="AK1897" s="33"/>
      <c r="CH1897" s="39"/>
      <c r="CI1897" s="32"/>
    </row>
    <row r="1898" spans="31:87">
      <c r="AK1898" s="33"/>
      <c r="CH1898" s="39"/>
      <c r="CI1898" s="32"/>
    </row>
    <row r="1899" spans="31:87">
      <c r="AK1899" s="33"/>
      <c r="CH1899" s="39"/>
      <c r="CI1899" s="32"/>
    </row>
    <row r="1900" spans="31:87">
      <c r="AK1900" s="33"/>
      <c r="CH1900" s="39"/>
      <c r="CI1900" s="32"/>
    </row>
    <row r="1901" spans="31:87">
      <c r="AK1901" s="33"/>
      <c r="CH1901" s="39"/>
      <c r="CI1901" s="32"/>
    </row>
    <row r="1902" spans="31:87">
      <c r="AK1902" s="33"/>
      <c r="CH1902" s="39"/>
      <c r="CI1902" s="32"/>
    </row>
    <row r="1903" spans="31:87">
      <c r="AK1903" s="33"/>
      <c r="CH1903" s="39"/>
      <c r="CI1903" s="32"/>
    </row>
    <row r="1904" spans="31:87">
      <c r="AK1904" s="33"/>
      <c r="CH1904" s="39"/>
      <c r="CI1904" s="32"/>
    </row>
    <row r="1905" spans="37:87">
      <c r="AK1905" s="33"/>
      <c r="CH1905" s="39"/>
      <c r="CI1905" s="32"/>
    </row>
    <row r="1906" spans="37:87">
      <c r="AK1906" s="33"/>
      <c r="CH1906" s="39"/>
      <c r="CI1906" s="32"/>
    </row>
    <row r="1907" spans="37:87">
      <c r="AK1907" s="33"/>
      <c r="CH1907" s="39"/>
      <c r="CI1907" s="32"/>
    </row>
    <row r="1908" spans="37:87">
      <c r="AK1908" s="33"/>
      <c r="CH1908" s="39"/>
      <c r="CI1908" s="32"/>
    </row>
    <row r="1909" spans="37:87">
      <c r="AK1909" s="33"/>
      <c r="CH1909" s="39"/>
      <c r="CI1909" s="32"/>
    </row>
    <row r="1910" spans="37:87">
      <c r="AK1910" s="33"/>
      <c r="CH1910" s="39"/>
      <c r="CI1910" s="32"/>
    </row>
    <row r="1911" spans="37:87">
      <c r="AK1911" s="33"/>
      <c r="CH1911" s="39"/>
      <c r="CI1911" s="32"/>
    </row>
    <row r="1912" spans="37:87">
      <c r="AK1912" s="33"/>
      <c r="CH1912" s="39"/>
      <c r="CI1912" s="32"/>
    </row>
    <row r="1913" spans="37:87">
      <c r="AK1913" s="33"/>
      <c r="CH1913" s="39"/>
      <c r="CI1913" s="32"/>
    </row>
    <row r="1914" spans="37:87">
      <c r="AK1914" s="33"/>
      <c r="CH1914" s="39"/>
      <c r="CI1914" s="32"/>
    </row>
    <row r="1915" spans="37:87">
      <c r="AK1915" s="33"/>
      <c r="CH1915" s="39"/>
      <c r="CI1915" s="32"/>
    </row>
    <row r="1916" spans="37:87">
      <c r="AK1916" s="33"/>
      <c r="CH1916" s="39"/>
      <c r="CI1916" s="32"/>
    </row>
    <row r="1917" spans="37:87">
      <c r="AK1917" s="33"/>
      <c r="CH1917" s="39"/>
      <c r="CI1917" s="32"/>
    </row>
    <row r="1918" spans="37:87">
      <c r="AK1918" s="33"/>
      <c r="CH1918" s="39"/>
      <c r="CI1918" s="32"/>
    </row>
    <row r="1919" spans="37:87">
      <c r="AK1919" s="33"/>
      <c r="CH1919" s="39"/>
      <c r="CI1919" s="32"/>
    </row>
    <row r="1920" spans="37:87">
      <c r="AK1920" s="33"/>
      <c r="CH1920" s="39"/>
      <c r="CI1920" s="32"/>
    </row>
    <row r="1921" spans="37:87">
      <c r="AK1921" s="33"/>
      <c r="CH1921" s="39"/>
      <c r="CI1921" s="32"/>
    </row>
    <row r="1922" spans="37:87">
      <c r="AK1922" s="33"/>
      <c r="CH1922" s="39"/>
      <c r="CI1922" s="32"/>
    </row>
    <row r="1923" spans="37:87">
      <c r="AK1923" s="33"/>
      <c r="CH1923" s="39"/>
      <c r="CI1923" s="32"/>
    </row>
    <row r="1924" spans="37:87">
      <c r="AK1924" s="33"/>
      <c r="CH1924" s="39"/>
      <c r="CI1924" s="32"/>
    </row>
    <row r="1925" spans="37:87">
      <c r="AK1925" s="33"/>
      <c r="CH1925" s="39"/>
      <c r="CI1925" s="32"/>
    </row>
    <row r="1926" spans="37:87">
      <c r="AK1926" s="33"/>
      <c r="CH1926" s="39"/>
      <c r="CI1926" s="32"/>
    </row>
    <row r="1927" spans="37:87">
      <c r="AK1927" s="33"/>
      <c r="CH1927" s="39"/>
      <c r="CI1927" s="32"/>
    </row>
    <row r="1928" spans="37:87">
      <c r="AK1928" s="33"/>
      <c r="CH1928" s="39"/>
      <c r="CI1928" s="32"/>
    </row>
    <row r="1929" spans="37:87">
      <c r="AK1929" s="33"/>
      <c r="CH1929" s="39"/>
      <c r="CI1929" s="32"/>
    </row>
    <row r="1930" spans="37:87">
      <c r="AK1930" s="33"/>
      <c r="CH1930" s="39"/>
      <c r="CI1930" s="32"/>
    </row>
    <row r="1931" spans="37:87">
      <c r="AK1931" s="33"/>
      <c r="CH1931" s="39"/>
      <c r="CI1931" s="32"/>
    </row>
    <row r="1932" spans="37:87">
      <c r="AK1932" s="33"/>
      <c r="CH1932" s="39"/>
      <c r="CI1932" s="32"/>
    </row>
    <row r="1933" spans="37:87">
      <c r="AK1933" s="33"/>
      <c r="CH1933" s="39"/>
      <c r="CI1933" s="32"/>
    </row>
    <row r="1934" spans="37:87">
      <c r="AK1934" s="33"/>
      <c r="CH1934" s="39"/>
      <c r="CI1934" s="32"/>
    </row>
    <row r="1935" spans="37:87">
      <c r="AK1935" s="33"/>
      <c r="CH1935" s="39"/>
      <c r="CI1935" s="32"/>
    </row>
    <row r="1936" spans="37:87">
      <c r="AK1936" s="33"/>
      <c r="CH1936" s="39"/>
      <c r="CI1936" s="32"/>
    </row>
    <row r="1937" spans="37:87">
      <c r="AK1937" s="33"/>
      <c r="CH1937" s="39"/>
      <c r="CI1937" s="32"/>
    </row>
    <row r="1938" spans="37:87">
      <c r="AK1938" s="33"/>
      <c r="CH1938" s="39"/>
      <c r="CI1938" s="32"/>
    </row>
    <row r="1939" spans="37:87">
      <c r="CH1939" s="39"/>
      <c r="CI1939" s="32"/>
    </row>
    <row r="1940" spans="37:87">
      <c r="CH1940" s="39"/>
      <c r="CI1940" s="32"/>
    </row>
    <row r="1941" spans="37:87">
      <c r="CH1941" s="39"/>
      <c r="CI1941" s="32"/>
    </row>
    <row r="1942" spans="37:87">
      <c r="CH1942" s="39"/>
      <c r="CI1942" s="32"/>
    </row>
    <row r="1943" spans="37:87">
      <c r="CH1943" s="39"/>
      <c r="CI1943" s="32"/>
    </row>
    <row r="1944" spans="37:87">
      <c r="CH1944" s="39"/>
      <c r="CI1944" s="32"/>
    </row>
    <row r="1945" spans="37:87">
      <c r="CH1945" s="39"/>
      <c r="CI1945" s="32"/>
    </row>
    <row r="1946" spans="37:87">
      <c r="CH1946" s="39"/>
      <c r="CI1946" s="32"/>
    </row>
    <row r="1947" spans="37:87">
      <c r="CH1947" s="39"/>
      <c r="CI1947" s="32"/>
    </row>
    <row r="1948" spans="37:87">
      <c r="CH1948" s="39"/>
      <c r="CI1948" s="32"/>
    </row>
  </sheetData>
  <autoFilter ref="B1:DZ1351" xr:uid="{ECCC5F23-CDCA-4450-A63C-A611FFB0D307}"/>
  <mergeCells count="1">
    <mergeCell ref="BB12:BG12"/>
  </mergeCells>
  <pageMargins left="0.7" right="0.7" top="0.75" bottom="0.75" header="0.3" footer="0.3"/>
  <pageSetup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3:AE91"/>
  <sheetViews>
    <sheetView topLeftCell="A2" zoomScale="75" zoomScaleNormal="75" workbookViewId="0">
      <selection activeCell="B10" sqref="A1:XFD1048576"/>
    </sheetView>
  </sheetViews>
  <sheetFormatPr defaultColWidth="9.140625" defaultRowHeight="13.15"/>
  <cols>
    <col min="1" max="1" width="14.28515625" style="1" bestFit="1" customWidth="1"/>
    <col min="2" max="3" width="63.7109375" style="1" bestFit="1" customWidth="1"/>
    <col min="4" max="4" width="22" style="1" bestFit="1" customWidth="1"/>
    <col min="5" max="27" width="17.5703125" style="1" customWidth="1"/>
    <col min="28" max="16384" width="9.140625" style="1"/>
  </cols>
  <sheetData>
    <row r="3" spans="1:31" ht="39.6">
      <c r="E3" s="9" t="s">
        <v>354</v>
      </c>
      <c r="F3" s="9" t="s">
        <v>354</v>
      </c>
      <c r="G3" s="9" t="s">
        <v>354</v>
      </c>
      <c r="H3" s="9" t="s">
        <v>354</v>
      </c>
      <c r="I3" s="9" t="s">
        <v>354</v>
      </c>
      <c r="J3" s="9" t="s">
        <v>354</v>
      </c>
      <c r="K3" s="9" t="s">
        <v>354</v>
      </c>
      <c r="L3" s="9" t="s">
        <v>354</v>
      </c>
      <c r="M3" s="9" t="s">
        <v>354</v>
      </c>
      <c r="N3" s="9" t="s">
        <v>354</v>
      </c>
      <c r="O3" s="9" t="s">
        <v>354</v>
      </c>
      <c r="P3" s="9" t="s">
        <v>354</v>
      </c>
      <c r="Q3" s="9" t="s">
        <v>354</v>
      </c>
      <c r="R3" s="9" t="s">
        <v>354</v>
      </c>
      <c r="S3" s="9" t="s">
        <v>354</v>
      </c>
      <c r="T3" s="9" t="s">
        <v>354</v>
      </c>
      <c r="U3" s="9" t="s">
        <v>354</v>
      </c>
      <c r="V3" s="9" t="s">
        <v>354</v>
      </c>
      <c r="W3" s="9" t="s">
        <v>354</v>
      </c>
      <c r="X3" s="9" t="s">
        <v>354</v>
      </c>
      <c r="Y3" s="9" t="s">
        <v>354</v>
      </c>
      <c r="Z3" s="9" t="s">
        <v>354</v>
      </c>
      <c r="AA3" s="9" t="s">
        <v>354</v>
      </c>
      <c r="AB3" s="1" t="s">
        <v>354</v>
      </c>
      <c r="AC3" s="1" t="s">
        <v>354</v>
      </c>
      <c r="AD3" s="1" t="s">
        <v>354</v>
      </c>
      <c r="AE3" s="1" t="s">
        <v>354</v>
      </c>
    </row>
    <row r="4" spans="1:31" ht="26.45">
      <c r="B4" s="2"/>
      <c r="C4" s="2"/>
      <c r="D4" s="2"/>
      <c r="E4" s="9" t="s">
        <v>353</v>
      </c>
      <c r="F4" s="9" t="s">
        <v>353</v>
      </c>
      <c r="G4" s="9" t="s">
        <v>353</v>
      </c>
      <c r="H4" s="9" t="s">
        <v>353</v>
      </c>
      <c r="I4" s="9" t="s">
        <v>353</v>
      </c>
      <c r="J4" s="9" t="s">
        <v>353</v>
      </c>
      <c r="K4" s="9" t="s">
        <v>353</v>
      </c>
      <c r="L4" s="9" t="s">
        <v>353</v>
      </c>
      <c r="M4" s="9" t="s">
        <v>353</v>
      </c>
      <c r="N4" s="9" t="s">
        <v>353</v>
      </c>
      <c r="O4" s="9" t="s">
        <v>353</v>
      </c>
      <c r="P4" s="9" t="s">
        <v>353</v>
      </c>
      <c r="Q4" s="9" t="s">
        <v>353</v>
      </c>
      <c r="R4" s="9" t="s">
        <v>353</v>
      </c>
      <c r="S4" s="9" t="s">
        <v>353</v>
      </c>
      <c r="T4" s="9" t="s">
        <v>353</v>
      </c>
      <c r="U4" s="9" t="s">
        <v>353</v>
      </c>
      <c r="V4" s="9" t="s">
        <v>353</v>
      </c>
      <c r="W4" s="9" t="s">
        <v>353</v>
      </c>
      <c r="X4" s="9" t="s">
        <v>353</v>
      </c>
      <c r="Y4" s="9" t="s">
        <v>353</v>
      </c>
      <c r="Z4" s="9" t="s">
        <v>353</v>
      </c>
      <c r="AA4" s="9" t="s">
        <v>353</v>
      </c>
      <c r="AB4" s="1" t="s">
        <v>353</v>
      </c>
      <c r="AC4" s="1" t="s">
        <v>353</v>
      </c>
      <c r="AD4" s="1" t="s">
        <v>353</v>
      </c>
      <c r="AE4" s="1" t="s">
        <v>353</v>
      </c>
    </row>
    <row r="5" spans="1:31">
      <c r="A5" s="3" t="s">
        <v>271</v>
      </c>
      <c r="B5" s="4" t="s">
        <v>272</v>
      </c>
      <c r="C5" s="4" t="s">
        <v>273</v>
      </c>
      <c r="D5" s="5" t="s">
        <v>1</v>
      </c>
      <c r="E5" s="9" t="s">
        <v>142</v>
      </c>
      <c r="F5" s="9" t="s">
        <v>141</v>
      </c>
      <c r="G5" s="9" t="s">
        <v>140</v>
      </c>
      <c r="H5" s="9" t="s">
        <v>136</v>
      </c>
      <c r="I5" s="9" t="s">
        <v>135</v>
      </c>
      <c r="J5" s="9" t="s">
        <v>133</v>
      </c>
      <c r="K5" s="9" t="s">
        <v>132</v>
      </c>
      <c r="L5" s="9" t="s">
        <v>130</v>
      </c>
      <c r="M5" s="9" t="s">
        <v>129</v>
      </c>
      <c r="N5" s="9" t="s">
        <v>128</v>
      </c>
      <c r="O5" s="9" t="s">
        <v>127</v>
      </c>
      <c r="P5" s="9" t="s">
        <v>126</v>
      </c>
      <c r="Q5" s="9" t="s">
        <v>125</v>
      </c>
      <c r="R5" s="9" t="s">
        <v>120</v>
      </c>
      <c r="S5" s="9" t="s">
        <v>118</v>
      </c>
      <c r="T5" s="9" t="s">
        <v>117</v>
      </c>
      <c r="U5" s="9" t="s">
        <v>116</v>
      </c>
      <c r="V5" s="9" t="s">
        <v>115</v>
      </c>
      <c r="W5" s="9" t="s">
        <v>114</v>
      </c>
      <c r="X5" s="9" t="s">
        <v>113</v>
      </c>
      <c r="Y5" s="9" t="s">
        <v>111</v>
      </c>
      <c r="Z5" s="9" t="s">
        <v>107</v>
      </c>
      <c r="AA5" s="9" t="s">
        <v>106</v>
      </c>
      <c r="AB5" s="1" t="s">
        <v>100</v>
      </c>
      <c r="AC5" s="1" t="s">
        <v>316</v>
      </c>
      <c r="AD5" s="1" t="s">
        <v>317</v>
      </c>
      <c r="AE5" s="1" t="s">
        <v>318</v>
      </c>
    </row>
    <row r="6" spans="1:31">
      <c r="B6" s="2"/>
      <c r="C6" s="2"/>
      <c r="D6" s="2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31">
      <c r="B7" s="6" t="s">
        <v>274</v>
      </c>
      <c r="C7" s="6" t="s">
        <v>274</v>
      </c>
      <c r="D7" s="7">
        <v>4058513</v>
      </c>
      <c r="E7" s="197" t="s">
        <v>175</v>
      </c>
      <c r="F7" s="197" t="s">
        <v>175</v>
      </c>
      <c r="G7" s="197" t="s">
        <v>175</v>
      </c>
      <c r="H7" s="197" t="s">
        <v>175</v>
      </c>
      <c r="I7" s="197">
        <v>1416</v>
      </c>
      <c r="J7" s="197">
        <v>1672</v>
      </c>
      <c r="K7" s="197">
        <v>1330</v>
      </c>
      <c r="L7" s="197">
        <v>3054</v>
      </c>
      <c r="M7" s="197">
        <v>2590</v>
      </c>
      <c r="N7" s="197">
        <v>1431</v>
      </c>
      <c r="O7" s="197">
        <v>1543</v>
      </c>
      <c r="P7" s="197">
        <v>1569</v>
      </c>
      <c r="Q7" s="197">
        <v>798</v>
      </c>
      <c r="R7" s="197">
        <v>779</v>
      </c>
      <c r="S7" s="197">
        <v>1087</v>
      </c>
      <c r="T7" s="197">
        <v>815</v>
      </c>
      <c r="U7" s="197">
        <v>1467</v>
      </c>
      <c r="V7" s="197">
        <v>821</v>
      </c>
      <c r="W7" s="197">
        <v>484</v>
      </c>
      <c r="X7" s="197">
        <v>753</v>
      </c>
      <c r="Y7" s="197" t="s">
        <v>175</v>
      </c>
      <c r="Z7" s="197" t="s">
        <v>175</v>
      </c>
      <c r="AA7" s="197" t="s">
        <v>175</v>
      </c>
      <c r="AB7" s="1" t="s">
        <v>175</v>
      </c>
      <c r="AC7" s="1" t="s">
        <v>175</v>
      </c>
      <c r="AD7" s="1" t="s">
        <v>175</v>
      </c>
      <c r="AE7" s="1" t="s">
        <v>175</v>
      </c>
    </row>
    <row r="8" spans="1:31">
      <c r="B8" s="6" t="s">
        <v>98</v>
      </c>
      <c r="C8" s="6" t="s">
        <v>98</v>
      </c>
      <c r="D8" s="7">
        <v>4054707</v>
      </c>
      <c r="E8" s="197">
        <v>32191</v>
      </c>
      <c r="F8" s="197">
        <v>28483</v>
      </c>
      <c r="G8" s="197">
        <v>29663</v>
      </c>
      <c r="H8" s="197">
        <v>36949</v>
      </c>
      <c r="I8" s="197">
        <v>16543</v>
      </c>
      <c r="J8" s="197">
        <v>28617</v>
      </c>
      <c r="K8" s="197">
        <v>18844</v>
      </c>
      <c r="L8" s="197">
        <v>18160</v>
      </c>
      <c r="M8" s="197">
        <v>27931</v>
      </c>
      <c r="N8" s="197">
        <v>5799</v>
      </c>
      <c r="O8" s="197">
        <v>20972</v>
      </c>
      <c r="P8" s="197">
        <v>7556</v>
      </c>
      <c r="Q8" s="197">
        <v>16166</v>
      </c>
      <c r="R8" s="197">
        <v>11912</v>
      </c>
      <c r="S8" s="197">
        <v>41124</v>
      </c>
      <c r="T8" s="197">
        <v>29029</v>
      </c>
      <c r="U8" s="197">
        <v>5858</v>
      </c>
      <c r="V8" s="197">
        <v>2969</v>
      </c>
      <c r="W8" s="197">
        <v>3554</v>
      </c>
      <c r="X8" s="197">
        <v>-2100</v>
      </c>
      <c r="Y8" s="197">
        <v>2119</v>
      </c>
      <c r="Z8" s="197">
        <v>26207</v>
      </c>
      <c r="AA8" s="197">
        <v>3051</v>
      </c>
      <c r="AB8" s="1">
        <v>5414</v>
      </c>
      <c r="AC8" s="1">
        <v>0</v>
      </c>
      <c r="AD8" s="1">
        <v>0</v>
      </c>
      <c r="AE8" s="1">
        <v>0</v>
      </c>
    </row>
    <row r="9" spans="1:31">
      <c r="B9" s="6" t="s">
        <v>145</v>
      </c>
      <c r="C9" s="6" t="s">
        <v>145</v>
      </c>
      <c r="D9" s="7">
        <v>4057075</v>
      </c>
      <c r="E9" s="197">
        <v>353</v>
      </c>
      <c r="F9" s="197">
        <v>2583</v>
      </c>
      <c r="G9" s="197">
        <v>9150</v>
      </c>
      <c r="H9" s="197">
        <v>19881</v>
      </c>
      <c r="I9" s="197">
        <v>5291</v>
      </c>
      <c r="J9" s="197">
        <v>3621</v>
      </c>
      <c r="K9" s="197">
        <v>3521</v>
      </c>
      <c r="L9" s="197">
        <v>3208</v>
      </c>
      <c r="M9" s="197">
        <v>3616</v>
      </c>
      <c r="N9" s="197">
        <v>2404</v>
      </c>
      <c r="O9" s="197">
        <v>3413</v>
      </c>
      <c r="P9" s="197">
        <v>3717</v>
      </c>
      <c r="Q9" s="197">
        <v>2570</v>
      </c>
      <c r="R9" s="197">
        <v>2422</v>
      </c>
      <c r="S9" s="197">
        <v>1008</v>
      </c>
      <c r="T9" s="197">
        <v>3104</v>
      </c>
      <c r="U9" s="197">
        <v>1475</v>
      </c>
      <c r="V9" s="197">
        <v>2194</v>
      </c>
      <c r="W9" s="197">
        <v>435</v>
      </c>
      <c r="X9" s="197">
        <v>416</v>
      </c>
      <c r="Y9" s="197">
        <v>344</v>
      </c>
      <c r="Z9" s="197">
        <v>1380</v>
      </c>
      <c r="AA9" s="197">
        <v>337</v>
      </c>
      <c r="AB9" s="1">
        <v>415</v>
      </c>
      <c r="AC9" s="1" t="s">
        <v>175</v>
      </c>
      <c r="AD9" s="1">
        <v>0</v>
      </c>
      <c r="AE9" s="1">
        <v>0</v>
      </c>
    </row>
    <row r="10" spans="1:31">
      <c r="A10" s="1" t="s">
        <v>275</v>
      </c>
      <c r="B10" s="6" t="s">
        <v>154</v>
      </c>
      <c r="C10" s="6" t="s">
        <v>154</v>
      </c>
      <c r="D10" s="7">
        <v>4007784</v>
      </c>
      <c r="E10" s="197">
        <v>4808.8159999999998</v>
      </c>
      <c r="F10" s="197">
        <v>7847</v>
      </c>
      <c r="G10" s="197">
        <v>2972</v>
      </c>
      <c r="H10" s="197">
        <v>2811</v>
      </c>
      <c r="I10" s="197">
        <v>2989</v>
      </c>
      <c r="J10" s="197">
        <v>5862</v>
      </c>
      <c r="K10" s="197">
        <v>925</v>
      </c>
      <c r="L10" s="197">
        <v>1852</v>
      </c>
      <c r="M10" s="197">
        <v>2793</v>
      </c>
      <c r="N10" s="197">
        <v>1882</v>
      </c>
      <c r="O10" s="197">
        <v>0</v>
      </c>
      <c r="P10" s="197">
        <v>1671</v>
      </c>
      <c r="Q10" s="197">
        <v>736</v>
      </c>
      <c r="R10" s="197">
        <v>355</v>
      </c>
      <c r="S10" s="197">
        <v>570</v>
      </c>
      <c r="T10" s="197">
        <v>595</v>
      </c>
      <c r="U10" s="197">
        <v>1078</v>
      </c>
      <c r="V10" s="197">
        <v>355</v>
      </c>
      <c r="W10" s="197">
        <v>748</v>
      </c>
      <c r="X10" s="197">
        <v>591</v>
      </c>
      <c r="Y10" s="197">
        <v>0</v>
      </c>
      <c r="Z10" s="197">
        <v>12</v>
      </c>
      <c r="AA10" s="197">
        <v>0</v>
      </c>
      <c r="AB10" s="1">
        <v>597</v>
      </c>
      <c r="AC10" s="1" t="s">
        <v>175</v>
      </c>
      <c r="AD10" s="1" t="s">
        <v>175</v>
      </c>
      <c r="AE10" s="1">
        <v>362</v>
      </c>
    </row>
    <row r="11" spans="1:31">
      <c r="A11" s="1" t="s">
        <v>275</v>
      </c>
      <c r="B11" s="6" t="s">
        <v>276</v>
      </c>
      <c r="C11" s="6" t="s">
        <v>277</v>
      </c>
      <c r="D11" s="7">
        <v>4058656</v>
      </c>
      <c r="E11" s="197" t="s">
        <v>175</v>
      </c>
      <c r="F11" s="197">
        <v>1785</v>
      </c>
      <c r="G11" s="197">
        <v>2071</v>
      </c>
      <c r="H11" s="197">
        <v>3189</v>
      </c>
      <c r="I11" s="197">
        <v>3077</v>
      </c>
      <c r="J11" s="197">
        <v>6241</v>
      </c>
      <c r="K11" s="197">
        <v>2491</v>
      </c>
      <c r="L11" s="197">
        <v>2653</v>
      </c>
      <c r="M11" s="197">
        <v>5818</v>
      </c>
      <c r="N11" s="197">
        <v>5906</v>
      </c>
      <c r="O11" s="197">
        <v>5364</v>
      </c>
      <c r="P11" s="197">
        <v>1875</v>
      </c>
      <c r="Q11" s="197">
        <v>3172</v>
      </c>
      <c r="R11" s="197">
        <v>1847</v>
      </c>
      <c r="S11" s="197">
        <v>1901</v>
      </c>
      <c r="T11" s="197">
        <v>1858</v>
      </c>
      <c r="U11" s="197">
        <v>2532</v>
      </c>
      <c r="V11" s="197">
        <v>5892</v>
      </c>
      <c r="W11" s="197">
        <v>781</v>
      </c>
      <c r="X11" s="197">
        <v>257</v>
      </c>
      <c r="Y11" s="197">
        <v>1406</v>
      </c>
      <c r="Z11" s="197">
        <v>1329</v>
      </c>
      <c r="AA11" s="197">
        <v>6829</v>
      </c>
      <c r="AB11" s="1">
        <v>5007</v>
      </c>
      <c r="AC11" s="1" t="s">
        <v>175</v>
      </c>
      <c r="AD11" s="1" t="s">
        <v>175</v>
      </c>
      <c r="AE11" s="1" t="s">
        <v>175</v>
      </c>
    </row>
    <row r="12" spans="1:31">
      <c r="A12" s="1" t="s">
        <v>275</v>
      </c>
      <c r="B12" s="6" t="s">
        <v>162</v>
      </c>
      <c r="C12" s="6" t="s">
        <v>163</v>
      </c>
      <c r="D12" s="7">
        <v>4057110</v>
      </c>
      <c r="E12" s="197">
        <v>4430</v>
      </c>
      <c r="F12" s="197">
        <v>1640</v>
      </c>
      <c r="G12" s="197">
        <v>2031</v>
      </c>
      <c r="H12" s="197">
        <v>2502</v>
      </c>
      <c r="I12" s="197">
        <v>6691</v>
      </c>
      <c r="J12" s="197">
        <v>7749</v>
      </c>
      <c r="K12" s="197">
        <v>1995</v>
      </c>
      <c r="L12" s="197">
        <v>1560</v>
      </c>
      <c r="M12" s="197">
        <v>3196</v>
      </c>
      <c r="N12" s="197">
        <v>341</v>
      </c>
      <c r="O12" s="197">
        <v>1486</v>
      </c>
      <c r="P12" s="197">
        <v>416</v>
      </c>
      <c r="Q12" s="197">
        <v>770</v>
      </c>
      <c r="R12" s="197">
        <v>890</v>
      </c>
      <c r="S12" s="197">
        <v>929</v>
      </c>
      <c r="T12" s="197">
        <v>860</v>
      </c>
      <c r="U12" s="197">
        <v>749</v>
      </c>
      <c r="V12" s="197">
        <v>693</v>
      </c>
      <c r="W12" s="197">
        <v>829</v>
      </c>
      <c r="X12" s="197">
        <v>442</v>
      </c>
      <c r="Y12" s="197">
        <v>99</v>
      </c>
      <c r="Z12" s="197">
        <v>184</v>
      </c>
      <c r="AA12" s="197">
        <v>149</v>
      </c>
      <c r="AB12" s="1">
        <v>294</v>
      </c>
      <c r="AC12" s="1" t="s">
        <v>175</v>
      </c>
      <c r="AD12" s="1" t="s">
        <v>175</v>
      </c>
      <c r="AE12" s="1" t="s">
        <v>175</v>
      </c>
    </row>
    <row r="13" spans="1:31">
      <c r="B13" s="6" t="s">
        <v>165</v>
      </c>
      <c r="C13" s="6" t="s">
        <v>165</v>
      </c>
      <c r="D13" s="7">
        <v>4058516</v>
      </c>
      <c r="E13" s="197">
        <v>14220</v>
      </c>
      <c r="F13" s="197">
        <v>19625</v>
      </c>
      <c r="G13" s="197">
        <v>10062</v>
      </c>
      <c r="H13" s="197">
        <v>2950</v>
      </c>
      <c r="I13" s="197">
        <v>1815</v>
      </c>
      <c r="J13" s="197">
        <v>9095</v>
      </c>
      <c r="K13" s="197">
        <v>7038</v>
      </c>
      <c r="L13" s="197">
        <v>4057</v>
      </c>
      <c r="M13" s="197">
        <v>3064</v>
      </c>
      <c r="N13" s="197">
        <v>3349</v>
      </c>
      <c r="O13" s="197">
        <v>4052</v>
      </c>
      <c r="P13" s="197">
        <v>4315</v>
      </c>
      <c r="Q13" s="197">
        <v>1878</v>
      </c>
      <c r="R13" s="197">
        <v>1064</v>
      </c>
      <c r="S13" s="197">
        <v>2751</v>
      </c>
      <c r="T13" s="197">
        <v>2936</v>
      </c>
      <c r="U13" s="197">
        <v>1822</v>
      </c>
      <c r="V13" s="197">
        <v>1442</v>
      </c>
      <c r="W13" s="197">
        <v>2096</v>
      </c>
      <c r="X13" s="197">
        <v>1872</v>
      </c>
      <c r="Y13" s="197">
        <v>1673</v>
      </c>
      <c r="Z13" s="197">
        <v>1318</v>
      </c>
      <c r="AA13" s="197">
        <v>2658</v>
      </c>
      <c r="AB13" s="1">
        <v>2288</v>
      </c>
      <c r="AC13" s="1">
        <v>0</v>
      </c>
      <c r="AD13" s="1">
        <v>0</v>
      </c>
      <c r="AE13" s="1">
        <v>0</v>
      </c>
    </row>
    <row r="14" spans="1:31">
      <c r="B14" s="6" t="s">
        <v>167</v>
      </c>
      <c r="C14" s="6" t="s">
        <v>167</v>
      </c>
      <c r="D14" s="7">
        <v>4058793</v>
      </c>
      <c r="E14" s="197">
        <v>69</v>
      </c>
      <c r="F14" s="197">
        <v>70</v>
      </c>
      <c r="G14" s="197">
        <v>0</v>
      </c>
      <c r="H14" s="197">
        <v>75</v>
      </c>
      <c r="I14" s="197">
        <v>45</v>
      </c>
      <c r="J14" s="197">
        <v>169</v>
      </c>
      <c r="K14" s="197">
        <v>61</v>
      </c>
      <c r="L14" s="197">
        <v>47</v>
      </c>
      <c r="M14" s="197">
        <v>114</v>
      </c>
      <c r="N14" s="197">
        <v>45</v>
      </c>
      <c r="O14" s="197">
        <v>27</v>
      </c>
      <c r="P14" s="197">
        <v>18</v>
      </c>
      <c r="Q14" s="197">
        <v>2</v>
      </c>
      <c r="R14" s="197">
        <v>90</v>
      </c>
      <c r="S14" s="197">
        <v>104</v>
      </c>
      <c r="T14" s="197">
        <v>24</v>
      </c>
      <c r="U14" s="197">
        <v>17</v>
      </c>
      <c r="V14" s="197">
        <v>0</v>
      </c>
      <c r="W14" s="197">
        <v>210</v>
      </c>
      <c r="X14" s="197">
        <v>57</v>
      </c>
      <c r="Y14" s="197">
        <v>33</v>
      </c>
      <c r="Z14" s="197">
        <v>122</v>
      </c>
      <c r="AA14" s="197">
        <v>87</v>
      </c>
      <c r="AB14" s="1">
        <v>83</v>
      </c>
      <c r="AC14" s="1" t="s">
        <v>175</v>
      </c>
      <c r="AD14" s="1" t="s">
        <v>175</v>
      </c>
      <c r="AE14" s="1" t="s">
        <v>175</v>
      </c>
    </row>
    <row r="15" spans="1:31">
      <c r="A15" s="1" t="s">
        <v>275</v>
      </c>
      <c r="B15" s="6" t="s">
        <v>169</v>
      </c>
      <c r="C15" s="6" t="s">
        <v>169</v>
      </c>
      <c r="D15" s="7">
        <v>4057111</v>
      </c>
      <c r="E15" s="197">
        <v>5346</v>
      </c>
      <c r="F15" s="197">
        <v>8201</v>
      </c>
      <c r="G15" s="197">
        <v>6101</v>
      </c>
      <c r="H15" s="197">
        <v>8379</v>
      </c>
      <c r="I15" s="197">
        <v>2338</v>
      </c>
      <c r="J15" s="197">
        <v>17246</v>
      </c>
      <c r="K15" s="197">
        <v>3056</v>
      </c>
      <c r="L15" s="197">
        <v>3569</v>
      </c>
      <c r="M15" s="197">
        <v>7330</v>
      </c>
      <c r="N15" s="197">
        <v>2483</v>
      </c>
      <c r="O15" s="197">
        <v>3093</v>
      </c>
      <c r="P15" s="197">
        <v>1581</v>
      </c>
      <c r="Q15" s="197">
        <v>7953</v>
      </c>
      <c r="R15" s="197">
        <v>7056</v>
      </c>
      <c r="S15" s="197">
        <v>2147</v>
      </c>
      <c r="T15" s="197">
        <v>12865</v>
      </c>
      <c r="U15" s="197">
        <v>5230</v>
      </c>
      <c r="V15" s="197">
        <v>5986</v>
      </c>
      <c r="W15" s="197">
        <v>509</v>
      </c>
      <c r="X15" s="197">
        <v>3199</v>
      </c>
      <c r="Y15" s="197">
        <v>7144</v>
      </c>
      <c r="Z15" s="197">
        <v>1115</v>
      </c>
      <c r="AA15" s="197">
        <v>800</v>
      </c>
      <c r="AB15" s="1">
        <v>801</v>
      </c>
      <c r="AC15" s="1">
        <v>0</v>
      </c>
      <c r="AD15" s="1">
        <v>0</v>
      </c>
      <c r="AE15" s="1">
        <v>0</v>
      </c>
    </row>
    <row r="16" spans="1:31">
      <c r="A16" s="1" t="s">
        <v>275</v>
      </c>
      <c r="B16" s="6" t="s">
        <v>170</v>
      </c>
      <c r="C16" s="6" t="s">
        <v>170</v>
      </c>
      <c r="D16" s="7">
        <v>4018679</v>
      </c>
      <c r="E16" s="197">
        <v>13813</v>
      </c>
      <c r="F16" s="197">
        <v>11714</v>
      </c>
      <c r="G16" s="197">
        <v>18309</v>
      </c>
      <c r="H16" s="197">
        <v>15262</v>
      </c>
      <c r="I16" s="197">
        <v>4539</v>
      </c>
      <c r="J16" s="197">
        <v>37492</v>
      </c>
      <c r="K16" s="197">
        <v>15963</v>
      </c>
      <c r="L16" s="197">
        <v>8878</v>
      </c>
      <c r="M16" s="197">
        <v>5733</v>
      </c>
      <c r="N16" s="197">
        <v>2398</v>
      </c>
      <c r="O16" s="197">
        <v>2745</v>
      </c>
      <c r="P16" s="197">
        <v>8281</v>
      </c>
      <c r="Q16" s="197">
        <v>4373</v>
      </c>
      <c r="R16" s="197">
        <v>12484</v>
      </c>
      <c r="S16" s="197">
        <v>3516</v>
      </c>
      <c r="T16" s="197">
        <v>6349</v>
      </c>
      <c r="U16" s="197">
        <v>10969</v>
      </c>
      <c r="V16" s="197">
        <v>1923</v>
      </c>
      <c r="W16" s="197">
        <v>5701</v>
      </c>
      <c r="X16" s="197">
        <v>10566</v>
      </c>
      <c r="Y16" s="197">
        <v>6098</v>
      </c>
      <c r="Z16" s="197">
        <v>14118</v>
      </c>
      <c r="AA16" s="197">
        <v>10543</v>
      </c>
      <c r="AB16" s="1">
        <v>7076</v>
      </c>
      <c r="AC16" s="1">
        <v>0</v>
      </c>
      <c r="AD16" s="1">
        <v>0</v>
      </c>
      <c r="AE16" s="1">
        <v>0</v>
      </c>
    </row>
    <row r="17" spans="1:31">
      <c r="B17" s="6" t="s">
        <v>172</v>
      </c>
      <c r="C17" s="6" t="s">
        <v>172</v>
      </c>
      <c r="D17" s="7">
        <v>4057112</v>
      </c>
      <c r="E17" s="197">
        <v>8105</v>
      </c>
      <c r="F17" s="197">
        <v>6240</v>
      </c>
      <c r="G17" s="197">
        <v>10444</v>
      </c>
      <c r="H17" s="197">
        <v>7966</v>
      </c>
      <c r="I17" s="197">
        <v>4430</v>
      </c>
      <c r="J17" s="197">
        <v>4943</v>
      </c>
      <c r="K17" s="197">
        <v>10492</v>
      </c>
      <c r="L17" s="197">
        <v>5320</v>
      </c>
      <c r="M17" s="197">
        <v>7181</v>
      </c>
      <c r="N17" s="197">
        <v>3913</v>
      </c>
      <c r="O17" s="197">
        <v>3482</v>
      </c>
      <c r="P17" s="197">
        <v>10122</v>
      </c>
      <c r="Q17" s="197">
        <v>3616</v>
      </c>
      <c r="R17" s="197">
        <v>4255</v>
      </c>
      <c r="S17" s="197">
        <v>2700</v>
      </c>
      <c r="T17" s="197">
        <v>2790</v>
      </c>
      <c r="U17" s="197">
        <v>3587</v>
      </c>
      <c r="V17" s="197">
        <v>1891</v>
      </c>
      <c r="W17" s="197">
        <v>3332</v>
      </c>
      <c r="X17" s="197">
        <v>3130</v>
      </c>
      <c r="Y17" s="197">
        <v>5198</v>
      </c>
      <c r="Z17" s="197">
        <v>1263</v>
      </c>
      <c r="AA17" s="197">
        <v>1310</v>
      </c>
      <c r="AB17" s="1">
        <v>3257</v>
      </c>
      <c r="AC17" s="1">
        <v>0</v>
      </c>
      <c r="AD17" s="1">
        <v>0</v>
      </c>
      <c r="AE17" s="1">
        <v>0</v>
      </c>
    </row>
    <row r="18" spans="1:31">
      <c r="A18" s="1" t="s">
        <v>275</v>
      </c>
      <c r="B18" s="6" t="s">
        <v>173</v>
      </c>
      <c r="C18" s="6" t="s">
        <v>173</v>
      </c>
      <c r="D18" s="7">
        <v>4057076</v>
      </c>
      <c r="E18" s="197">
        <v>0</v>
      </c>
      <c r="F18" s="197" t="s">
        <v>175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">
        <v>0</v>
      </c>
      <c r="AC18" s="1">
        <v>0</v>
      </c>
      <c r="AD18" s="1">
        <v>0</v>
      </c>
      <c r="AE18" s="1">
        <v>0</v>
      </c>
    </row>
    <row r="19" spans="1:31">
      <c r="B19" s="6" t="s">
        <v>278</v>
      </c>
      <c r="C19" s="6" t="s">
        <v>278</v>
      </c>
      <c r="D19" s="7">
        <v>4059166</v>
      </c>
      <c r="E19" s="197" t="s">
        <v>175</v>
      </c>
      <c r="F19" s="197">
        <v>1908</v>
      </c>
      <c r="G19" s="197">
        <v>4041</v>
      </c>
      <c r="H19" s="197">
        <v>1328</v>
      </c>
      <c r="I19" s="197">
        <v>4051</v>
      </c>
      <c r="J19" s="197">
        <v>899</v>
      </c>
      <c r="K19" s="197">
        <v>872</v>
      </c>
      <c r="L19" s="197">
        <v>829</v>
      </c>
      <c r="M19" s="197">
        <v>329</v>
      </c>
      <c r="N19" s="197">
        <v>406</v>
      </c>
      <c r="O19" s="197">
        <v>751</v>
      </c>
      <c r="P19" s="197">
        <v>286</v>
      </c>
      <c r="Q19" s="197">
        <v>947</v>
      </c>
      <c r="R19" s="197">
        <v>1777</v>
      </c>
      <c r="S19" s="197">
        <v>733</v>
      </c>
      <c r="T19" s="197">
        <v>1066</v>
      </c>
      <c r="U19" s="197">
        <v>122</v>
      </c>
      <c r="V19" s="197">
        <v>-223</v>
      </c>
      <c r="W19" s="197">
        <v>0</v>
      </c>
      <c r="X19" s="197">
        <v>0</v>
      </c>
      <c r="Y19" s="197">
        <v>9</v>
      </c>
      <c r="Z19" s="197">
        <v>3</v>
      </c>
      <c r="AA19" s="197" t="s">
        <v>175</v>
      </c>
      <c r="AB19" s="1" t="s">
        <v>175</v>
      </c>
      <c r="AC19" s="1">
        <v>0</v>
      </c>
      <c r="AD19" s="1">
        <v>0</v>
      </c>
      <c r="AE19" s="1">
        <v>0</v>
      </c>
    </row>
    <row r="20" spans="1:31">
      <c r="B20" s="6" t="s">
        <v>279</v>
      </c>
      <c r="C20" s="6" t="s">
        <v>279</v>
      </c>
      <c r="D20" s="7">
        <v>4059227</v>
      </c>
      <c r="E20" s="197" t="s">
        <v>175</v>
      </c>
      <c r="F20" s="197">
        <v>199</v>
      </c>
      <c r="G20" s="197">
        <v>252</v>
      </c>
      <c r="H20" s="197">
        <v>869</v>
      </c>
      <c r="I20" s="197">
        <v>392</v>
      </c>
      <c r="J20" s="197">
        <v>244</v>
      </c>
      <c r="K20" s="197">
        <v>180</v>
      </c>
      <c r="L20" s="197">
        <v>203</v>
      </c>
      <c r="M20" s="197">
        <v>73</v>
      </c>
      <c r="N20" s="197">
        <v>56</v>
      </c>
      <c r="O20" s="197">
        <v>181</v>
      </c>
      <c r="P20" s="197">
        <v>23</v>
      </c>
      <c r="Q20" s="197">
        <v>75</v>
      </c>
      <c r="R20" s="197">
        <v>129</v>
      </c>
      <c r="S20" s="197">
        <v>95</v>
      </c>
      <c r="T20" s="197">
        <v>87</v>
      </c>
      <c r="U20" s="197">
        <v>64</v>
      </c>
      <c r="V20" s="197" t="s">
        <v>175</v>
      </c>
      <c r="W20" s="197">
        <v>152</v>
      </c>
      <c r="X20" s="197">
        <v>79</v>
      </c>
      <c r="Y20" s="197" t="s">
        <v>175</v>
      </c>
      <c r="Z20" s="197">
        <v>207</v>
      </c>
      <c r="AA20" s="197" t="s">
        <v>175</v>
      </c>
      <c r="AB20" s="1" t="s">
        <v>175</v>
      </c>
      <c r="AC20" s="1" t="s">
        <v>175</v>
      </c>
      <c r="AD20" s="1">
        <v>0</v>
      </c>
      <c r="AE20" s="1">
        <v>0</v>
      </c>
    </row>
    <row r="21" spans="1:31">
      <c r="A21" s="1" t="s">
        <v>275</v>
      </c>
      <c r="B21" s="6" t="s">
        <v>174</v>
      </c>
      <c r="C21" s="6" t="s">
        <v>174</v>
      </c>
      <c r="D21" s="7">
        <v>4057114</v>
      </c>
      <c r="E21" s="197" t="s">
        <v>175</v>
      </c>
      <c r="F21" s="197">
        <v>1888</v>
      </c>
      <c r="G21" s="197">
        <v>332</v>
      </c>
      <c r="H21" s="197">
        <v>1253</v>
      </c>
      <c r="I21" s="197">
        <v>1221</v>
      </c>
      <c r="J21" s="197">
        <v>2192</v>
      </c>
      <c r="K21" s="197">
        <v>2305</v>
      </c>
      <c r="L21" s="197">
        <v>1618</v>
      </c>
      <c r="M21" s="197">
        <v>989</v>
      </c>
      <c r="N21" s="197">
        <v>311</v>
      </c>
      <c r="O21" s="197">
        <v>309</v>
      </c>
      <c r="P21" s="197">
        <v>350</v>
      </c>
      <c r="Q21" s="197">
        <v>2257</v>
      </c>
      <c r="R21" s="197">
        <v>3156</v>
      </c>
      <c r="S21" s="197">
        <v>1094</v>
      </c>
      <c r="T21" s="197">
        <v>1727</v>
      </c>
      <c r="U21" s="197">
        <v>1144</v>
      </c>
      <c r="V21" s="197">
        <v>1110</v>
      </c>
      <c r="W21" s="197">
        <v>1517</v>
      </c>
      <c r="X21" s="197">
        <v>641</v>
      </c>
      <c r="Y21" s="197">
        <v>965</v>
      </c>
      <c r="Z21" s="197">
        <v>291</v>
      </c>
      <c r="AA21" s="197">
        <v>192</v>
      </c>
      <c r="AB21" s="1">
        <v>3885</v>
      </c>
      <c r="AC21" s="1">
        <v>0</v>
      </c>
      <c r="AD21" s="1">
        <v>0</v>
      </c>
      <c r="AE21" s="1">
        <v>0</v>
      </c>
    </row>
    <row r="22" spans="1:31">
      <c r="B22" s="6" t="s">
        <v>176</v>
      </c>
      <c r="C22" s="6" t="s">
        <v>176</v>
      </c>
      <c r="D22" s="7">
        <v>4059355</v>
      </c>
      <c r="E22" s="197">
        <v>441</v>
      </c>
      <c r="F22" s="197">
        <v>442</v>
      </c>
      <c r="G22" s="197">
        <v>418</v>
      </c>
      <c r="H22" s="197">
        <v>445</v>
      </c>
      <c r="I22" s="197">
        <v>938</v>
      </c>
      <c r="J22" s="197">
        <v>850</v>
      </c>
      <c r="K22" s="197">
        <v>804</v>
      </c>
      <c r="L22" s="197">
        <v>229</v>
      </c>
      <c r="M22" s="197">
        <v>495</v>
      </c>
      <c r="N22" s="197">
        <v>222</v>
      </c>
      <c r="O22" s="197">
        <v>775</v>
      </c>
      <c r="P22" s="197">
        <v>122</v>
      </c>
      <c r="Q22" s="197">
        <v>65</v>
      </c>
      <c r="R22" s="197">
        <v>254</v>
      </c>
      <c r="S22" s="197">
        <v>-176</v>
      </c>
      <c r="T22" s="197">
        <v>52</v>
      </c>
      <c r="U22" s="197">
        <v>149</v>
      </c>
      <c r="V22" s="197">
        <v>281</v>
      </c>
      <c r="W22" s="197">
        <v>32</v>
      </c>
      <c r="X22" s="197">
        <v>447</v>
      </c>
      <c r="Y22" s="197">
        <v>216</v>
      </c>
      <c r="Z22" s="197">
        <v>0</v>
      </c>
      <c r="AA22" s="197">
        <v>186</v>
      </c>
      <c r="AB22" s="1">
        <v>482</v>
      </c>
      <c r="AC22" s="1">
        <v>0</v>
      </c>
      <c r="AD22" s="1">
        <v>0</v>
      </c>
      <c r="AE22" s="1">
        <v>0</v>
      </c>
    </row>
    <row r="23" spans="1:31">
      <c r="B23" s="6" t="s">
        <v>178</v>
      </c>
      <c r="C23" s="6" t="s">
        <v>178</v>
      </c>
      <c r="D23" s="7">
        <v>4088325</v>
      </c>
      <c r="E23" s="197">
        <v>616</v>
      </c>
      <c r="F23" s="197">
        <v>265</v>
      </c>
      <c r="G23" s="197">
        <v>669</v>
      </c>
      <c r="H23" s="197">
        <v>153</v>
      </c>
      <c r="I23" s="197">
        <v>223</v>
      </c>
      <c r="J23" s="197">
        <v>257</v>
      </c>
      <c r="K23" s="197">
        <v>156</v>
      </c>
      <c r="L23" s="197">
        <v>149</v>
      </c>
      <c r="M23" s="197">
        <v>191</v>
      </c>
      <c r="N23" s="197">
        <v>133</v>
      </c>
      <c r="O23" s="197">
        <v>295</v>
      </c>
      <c r="P23" s="197">
        <v>108</v>
      </c>
      <c r="Q23" s="197">
        <v>25</v>
      </c>
      <c r="R23" s="197">
        <v>246</v>
      </c>
      <c r="S23" s="197">
        <v>0</v>
      </c>
      <c r="T23" s="197">
        <v>0</v>
      </c>
      <c r="U23" s="197">
        <v>11</v>
      </c>
      <c r="V23" s="197">
        <v>68</v>
      </c>
      <c r="W23" s="197">
        <v>24</v>
      </c>
      <c r="X23" s="197">
        <v>255</v>
      </c>
      <c r="Y23" s="197">
        <v>19</v>
      </c>
      <c r="Z23" s="197">
        <v>122</v>
      </c>
      <c r="AA23" s="197">
        <v>44</v>
      </c>
      <c r="AB23" s="1">
        <v>69</v>
      </c>
      <c r="AC23" s="1">
        <v>0</v>
      </c>
      <c r="AD23" s="1">
        <v>0</v>
      </c>
      <c r="AE23" s="1">
        <v>0</v>
      </c>
    </row>
    <row r="24" spans="1:31">
      <c r="B24" s="6" t="s">
        <v>280</v>
      </c>
      <c r="C24" s="6" t="s">
        <v>280</v>
      </c>
      <c r="D24" s="7">
        <v>4088326</v>
      </c>
      <c r="E24" s="197" t="s">
        <v>175</v>
      </c>
      <c r="F24" s="197">
        <v>5025</v>
      </c>
      <c r="G24" s="197">
        <v>1831</v>
      </c>
      <c r="H24" s="197">
        <v>3947</v>
      </c>
      <c r="I24" s="197">
        <v>4807</v>
      </c>
      <c r="J24" s="197">
        <v>3514</v>
      </c>
      <c r="K24" s="197">
        <v>4894</v>
      </c>
      <c r="L24" s="197">
        <v>34635</v>
      </c>
      <c r="M24" s="197">
        <v>2499</v>
      </c>
      <c r="N24" s="197">
        <v>2137</v>
      </c>
      <c r="O24" s="197">
        <v>8180</v>
      </c>
      <c r="P24" s="197">
        <v>1112</v>
      </c>
      <c r="Q24" s="197">
        <v>1428</v>
      </c>
      <c r="R24" s="197">
        <v>5812</v>
      </c>
      <c r="S24" s="197">
        <v>19</v>
      </c>
      <c r="T24" s="197">
        <v>120</v>
      </c>
      <c r="U24" s="197">
        <v>263</v>
      </c>
      <c r="V24" s="197">
        <v>1816</v>
      </c>
      <c r="W24" s="197">
        <v>1519</v>
      </c>
      <c r="X24" s="197">
        <v>4866</v>
      </c>
      <c r="Y24" s="197">
        <v>1021</v>
      </c>
      <c r="Z24" s="197" t="s">
        <v>175</v>
      </c>
      <c r="AA24" s="197">
        <v>4252</v>
      </c>
      <c r="AB24" s="1">
        <v>11507</v>
      </c>
      <c r="AC24" s="1">
        <v>0</v>
      </c>
      <c r="AD24" s="1">
        <v>0</v>
      </c>
      <c r="AE24" s="1">
        <v>0</v>
      </c>
    </row>
    <row r="25" spans="1:31">
      <c r="A25" s="1" t="s">
        <v>275</v>
      </c>
      <c r="B25" s="6" t="s">
        <v>281</v>
      </c>
      <c r="C25" s="6" t="s">
        <v>281</v>
      </c>
      <c r="D25" s="7">
        <v>4059358</v>
      </c>
      <c r="E25" s="197" t="s">
        <v>175</v>
      </c>
      <c r="F25" s="197">
        <v>862</v>
      </c>
      <c r="G25" s="197">
        <v>1424</v>
      </c>
      <c r="H25" s="197">
        <v>1309</v>
      </c>
      <c r="I25" s="197">
        <v>3264</v>
      </c>
      <c r="J25" s="197">
        <v>2717</v>
      </c>
      <c r="K25" s="197">
        <v>4837</v>
      </c>
      <c r="L25" s="197">
        <v>1165</v>
      </c>
      <c r="M25" s="197">
        <v>1176</v>
      </c>
      <c r="N25" s="197">
        <v>977</v>
      </c>
      <c r="O25" s="197">
        <v>3235</v>
      </c>
      <c r="P25" s="197">
        <v>1448</v>
      </c>
      <c r="Q25" s="197">
        <v>397</v>
      </c>
      <c r="R25" s="197">
        <v>2484</v>
      </c>
      <c r="S25" s="197">
        <v>0</v>
      </c>
      <c r="T25" s="197">
        <v>147</v>
      </c>
      <c r="U25" s="197">
        <v>262</v>
      </c>
      <c r="V25" s="197">
        <v>2160</v>
      </c>
      <c r="W25" s="197">
        <v>118</v>
      </c>
      <c r="X25" s="197">
        <v>1012</v>
      </c>
      <c r="Y25" s="197">
        <v>1814</v>
      </c>
      <c r="Z25" s="197">
        <v>2866</v>
      </c>
      <c r="AA25" s="197">
        <v>2378</v>
      </c>
      <c r="AB25" s="1">
        <v>3579</v>
      </c>
      <c r="AC25" s="1">
        <v>0</v>
      </c>
      <c r="AD25" s="1">
        <v>0</v>
      </c>
      <c r="AE25" s="1">
        <v>0</v>
      </c>
    </row>
    <row r="26" spans="1:31">
      <c r="B26" s="6" t="s">
        <v>282</v>
      </c>
      <c r="C26" s="6" t="s">
        <v>282</v>
      </c>
      <c r="D26" s="7">
        <v>4059359</v>
      </c>
      <c r="E26" s="197" t="s">
        <v>175</v>
      </c>
      <c r="F26" s="197">
        <v>787</v>
      </c>
      <c r="G26" s="197">
        <v>1045</v>
      </c>
      <c r="H26" s="197">
        <v>1218</v>
      </c>
      <c r="I26" s="197">
        <v>1153</v>
      </c>
      <c r="J26" s="197">
        <v>1044</v>
      </c>
      <c r="K26" s="197">
        <v>1901</v>
      </c>
      <c r="L26" s="197">
        <v>613</v>
      </c>
      <c r="M26" s="197">
        <v>552</v>
      </c>
      <c r="N26" s="197">
        <v>510</v>
      </c>
      <c r="O26" s="197">
        <v>1168</v>
      </c>
      <c r="P26" s="197">
        <v>486</v>
      </c>
      <c r="Q26" s="197">
        <v>356</v>
      </c>
      <c r="R26" s="197">
        <v>420</v>
      </c>
      <c r="S26" s="197">
        <v>210</v>
      </c>
      <c r="T26" s="197">
        <v>139</v>
      </c>
      <c r="U26" s="197">
        <v>202</v>
      </c>
      <c r="V26" s="197">
        <v>954</v>
      </c>
      <c r="W26" s="197">
        <v>116</v>
      </c>
      <c r="X26" s="197">
        <v>253</v>
      </c>
      <c r="Y26" s="197">
        <v>556</v>
      </c>
      <c r="Z26" s="197">
        <v>623</v>
      </c>
      <c r="AA26" s="197" t="s">
        <v>175</v>
      </c>
      <c r="AB26" s="1">
        <v>1423</v>
      </c>
      <c r="AC26" s="1">
        <v>0</v>
      </c>
      <c r="AD26" s="1" t="s">
        <v>175</v>
      </c>
      <c r="AE26" s="1" t="s">
        <v>175</v>
      </c>
    </row>
    <row r="27" spans="1:31">
      <c r="A27" s="1" t="s">
        <v>275</v>
      </c>
      <c r="B27" s="6" t="s">
        <v>180</v>
      </c>
      <c r="C27" s="6" t="s">
        <v>180</v>
      </c>
      <c r="D27" s="7">
        <v>4059402</v>
      </c>
      <c r="E27" s="197">
        <v>10334</v>
      </c>
      <c r="F27" s="197">
        <v>3375</v>
      </c>
      <c r="G27" s="197">
        <v>6384</v>
      </c>
      <c r="H27" s="197">
        <v>2894</v>
      </c>
      <c r="I27" s="197">
        <v>2273</v>
      </c>
      <c r="J27" s="197">
        <v>5888</v>
      </c>
      <c r="K27" s="197">
        <v>7651</v>
      </c>
      <c r="L27" s="197">
        <v>279</v>
      </c>
      <c r="M27" s="197">
        <v>929</v>
      </c>
      <c r="N27" s="197">
        <v>2093</v>
      </c>
      <c r="O27" s="197">
        <v>1166</v>
      </c>
      <c r="P27" s="197">
        <v>170</v>
      </c>
      <c r="Q27" s="197">
        <v>444</v>
      </c>
      <c r="R27" s="197">
        <v>1744</v>
      </c>
      <c r="S27" s="197">
        <v>2787</v>
      </c>
      <c r="T27" s="197">
        <v>1528</v>
      </c>
      <c r="U27" s="197">
        <v>1401</v>
      </c>
      <c r="V27" s="197">
        <v>1237</v>
      </c>
      <c r="W27" s="197">
        <v>268</v>
      </c>
      <c r="X27" s="197">
        <v>714</v>
      </c>
      <c r="Y27" s="197">
        <v>1022</v>
      </c>
      <c r="Z27" s="197">
        <v>1476</v>
      </c>
      <c r="AA27" s="197">
        <v>1207</v>
      </c>
      <c r="AB27" s="1">
        <v>1420</v>
      </c>
      <c r="AC27" s="1">
        <v>0</v>
      </c>
      <c r="AD27" s="1">
        <v>0</v>
      </c>
      <c r="AE27" s="1">
        <v>0</v>
      </c>
    </row>
    <row r="28" spans="1:31">
      <c r="A28" s="1" t="s">
        <v>275</v>
      </c>
      <c r="B28" s="6" t="s">
        <v>182</v>
      </c>
      <c r="C28" s="6" t="s">
        <v>182</v>
      </c>
      <c r="D28" s="7">
        <v>4057080</v>
      </c>
      <c r="E28" s="197">
        <v>22881</v>
      </c>
      <c r="F28" s="197">
        <v>10254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">
        <v>0</v>
      </c>
      <c r="AC28" s="1">
        <v>0</v>
      </c>
      <c r="AD28" s="1">
        <v>0</v>
      </c>
      <c r="AE28" s="1">
        <v>0</v>
      </c>
    </row>
    <row r="29" spans="1:31">
      <c r="B29" s="6" t="s">
        <v>183</v>
      </c>
      <c r="C29" s="6" t="s">
        <v>183</v>
      </c>
      <c r="D29" s="7">
        <v>4057081</v>
      </c>
      <c r="E29" s="197">
        <v>5000</v>
      </c>
      <c r="F29" s="197">
        <v>16555</v>
      </c>
      <c r="G29" s="197">
        <v>14953</v>
      </c>
      <c r="H29" s="197">
        <v>21287</v>
      </c>
      <c r="I29" s="197">
        <v>15732</v>
      </c>
      <c r="J29" s="197">
        <v>35589</v>
      </c>
      <c r="K29" s="197">
        <v>46675</v>
      </c>
      <c r="L29" s="197">
        <v>39866</v>
      </c>
      <c r="M29" s="197">
        <v>26036</v>
      </c>
      <c r="N29" s="197">
        <v>4480</v>
      </c>
      <c r="O29" s="197">
        <v>4689</v>
      </c>
      <c r="P29" s="197">
        <v>1173</v>
      </c>
      <c r="Q29" s="197">
        <v>9477</v>
      </c>
      <c r="R29" s="197">
        <v>1387</v>
      </c>
      <c r="S29" s="197">
        <v>13445</v>
      </c>
      <c r="T29" s="197">
        <v>108</v>
      </c>
      <c r="U29" s="197">
        <v>3160</v>
      </c>
      <c r="V29" s="197">
        <v>1279</v>
      </c>
      <c r="W29" s="197">
        <v>5862</v>
      </c>
      <c r="X29" s="197">
        <v>16211</v>
      </c>
      <c r="Y29" s="197">
        <v>7185</v>
      </c>
      <c r="Z29" s="197">
        <v>4994</v>
      </c>
      <c r="AA29" s="197">
        <v>1849</v>
      </c>
      <c r="AB29" s="1">
        <v>3290</v>
      </c>
      <c r="AC29" s="1">
        <v>0</v>
      </c>
      <c r="AD29" s="1">
        <v>0</v>
      </c>
      <c r="AE29" s="1">
        <v>0</v>
      </c>
    </row>
    <row r="30" spans="1:31">
      <c r="A30" s="1" t="s">
        <v>275</v>
      </c>
      <c r="B30" s="6" t="s">
        <v>185</v>
      </c>
      <c r="C30" s="6" t="s">
        <v>185</v>
      </c>
      <c r="D30" s="7">
        <v>4059459</v>
      </c>
      <c r="E30" s="197">
        <v>509</v>
      </c>
      <c r="F30" s="197">
        <v>1183</v>
      </c>
      <c r="G30" s="197">
        <v>170</v>
      </c>
      <c r="H30" s="197">
        <v>607</v>
      </c>
      <c r="I30" s="197">
        <v>471</v>
      </c>
      <c r="J30" s="197">
        <v>271</v>
      </c>
      <c r="K30" s="197">
        <v>297</v>
      </c>
      <c r="L30" s="197">
        <v>965</v>
      </c>
      <c r="M30" s="197">
        <v>798</v>
      </c>
      <c r="N30" s="197">
        <v>726</v>
      </c>
      <c r="O30" s="197">
        <v>286</v>
      </c>
      <c r="P30" s="197">
        <v>267</v>
      </c>
      <c r="Q30" s="197">
        <v>77</v>
      </c>
      <c r="R30" s="197">
        <v>201</v>
      </c>
      <c r="S30" s="197">
        <v>301</v>
      </c>
      <c r="T30" s="197">
        <v>108</v>
      </c>
      <c r="U30" s="197">
        <v>92</v>
      </c>
      <c r="V30" s="197">
        <v>82</v>
      </c>
      <c r="W30" s="197">
        <v>177</v>
      </c>
      <c r="X30" s="197">
        <v>207</v>
      </c>
      <c r="Y30" s="197">
        <v>352</v>
      </c>
      <c r="Z30" s="197">
        <v>221</v>
      </c>
      <c r="AA30" s="197">
        <v>285</v>
      </c>
      <c r="AB30" s="1">
        <v>236</v>
      </c>
      <c r="AC30" s="1">
        <v>0</v>
      </c>
      <c r="AD30" s="1">
        <v>0</v>
      </c>
      <c r="AE30" s="1">
        <v>0</v>
      </c>
    </row>
    <row r="31" spans="1:31">
      <c r="B31" s="6" t="s">
        <v>186</v>
      </c>
      <c r="C31" s="6" t="s">
        <v>186</v>
      </c>
      <c r="D31" s="7">
        <v>4057118</v>
      </c>
      <c r="E31" s="197">
        <v>4167</v>
      </c>
      <c r="F31" s="197">
        <v>799</v>
      </c>
      <c r="G31" s="197">
        <v>1054</v>
      </c>
      <c r="H31" s="197">
        <v>3790</v>
      </c>
      <c r="I31" s="197">
        <v>1234</v>
      </c>
      <c r="J31" s="197">
        <v>1106</v>
      </c>
      <c r="K31" s="197">
        <v>1642</v>
      </c>
      <c r="L31" s="197">
        <v>1256</v>
      </c>
      <c r="M31" s="197">
        <v>1264</v>
      </c>
      <c r="N31" s="197">
        <v>690</v>
      </c>
      <c r="O31" s="197">
        <v>1588</v>
      </c>
      <c r="P31" s="197">
        <v>1224</v>
      </c>
      <c r="Q31" s="197">
        <v>1371</v>
      </c>
      <c r="R31" s="197">
        <v>1662</v>
      </c>
      <c r="S31" s="197">
        <v>1384</v>
      </c>
      <c r="T31" s="197">
        <v>1759</v>
      </c>
      <c r="U31" s="197">
        <v>763</v>
      </c>
      <c r="V31" s="197">
        <v>1248</v>
      </c>
      <c r="W31" s="197">
        <v>1998</v>
      </c>
      <c r="X31" s="197">
        <v>3076</v>
      </c>
      <c r="Y31" s="197">
        <v>1243</v>
      </c>
      <c r="Z31" s="197">
        <v>741</v>
      </c>
      <c r="AA31" s="197">
        <v>1641</v>
      </c>
      <c r="AB31" s="1">
        <v>1171</v>
      </c>
      <c r="AC31" s="1">
        <v>0</v>
      </c>
      <c r="AD31" s="1">
        <v>0</v>
      </c>
      <c r="AE31" s="1">
        <v>0</v>
      </c>
    </row>
    <row r="32" spans="1:31">
      <c r="B32" s="6" t="s">
        <v>188</v>
      </c>
      <c r="C32" s="6" t="s">
        <v>188</v>
      </c>
      <c r="D32" s="7">
        <v>4057126</v>
      </c>
      <c r="E32" s="197">
        <v>41106</v>
      </c>
      <c r="F32" s="197">
        <v>18238</v>
      </c>
      <c r="G32" s="197">
        <v>53215</v>
      </c>
      <c r="H32" s="197">
        <v>42922</v>
      </c>
      <c r="I32" s="197">
        <v>19442</v>
      </c>
      <c r="J32" s="197">
        <v>19905</v>
      </c>
      <c r="K32" s="197">
        <v>13785</v>
      </c>
      <c r="L32" s="197">
        <v>20436</v>
      </c>
      <c r="M32" s="197">
        <v>21260</v>
      </c>
      <c r="N32" s="197">
        <v>15565</v>
      </c>
      <c r="O32" s="197">
        <v>14644</v>
      </c>
      <c r="P32" s="197">
        <v>3703</v>
      </c>
      <c r="Q32" s="197">
        <v>16281</v>
      </c>
      <c r="R32" s="197">
        <v>32137</v>
      </c>
      <c r="S32" s="197">
        <v>1601</v>
      </c>
      <c r="T32" s="197">
        <v>4114</v>
      </c>
      <c r="U32" s="197">
        <v>4437</v>
      </c>
      <c r="V32" s="197">
        <v>5118</v>
      </c>
      <c r="W32" s="197">
        <v>6623</v>
      </c>
      <c r="X32" s="197">
        <v>12581</v>
      </c>
      <c r="Y32" s="197">
        <v>20357</v>
      </c>
      <c r="Z32" s="197">
        <v>26291</v>
      </c>
      <c r="AA32" s="197">
        <v>27572</v>
      </c>
      <c r="AB32" s="1">
        <v>54246</v>
      </c>
      <c r="AC32" s="1">
        <v>0</v>
      </c>
      <c r="AD32" s="1">
        <v>0</v>
      </c>
      <c r="AE32" s="1">
        <v>0</v>
      </c>
    </row>
    <row r="33" spans="1:31">
      <c r="B33" s="6" t="s">
        <v>283</v>
      </c>
      <c r="C33" s="6" t="s">
        <v>283</v>
      </c>
      <c r="D33" s="7">
        <v>4057103</v>
      </c>
      <c r="E33" s="197" t="s">
        <v>175</v>
      </c>
      <c r="F33" s="197" t="s">
        <v>175</v>
      </c>
      <c r="G33" s="197">
        <v>1462</v>
      </c>
      <c r="H33" s="197">
        <v>1579</v>
      </c>
      <c r="I33" s="197">
        <v>203</v>
      </c>
      <c r="J33" s="197" t="s">
        <v>175</v>
      </c>
      <c r="K33" s="197">
        <v>90</v>
      </c>
      <c r="L33" s="197">
        <v>111</v>
      </c>
      <c r="M33" s="197">
        <v>24</v>
      </c>
      <c r="N33" s="197">
        <v>135</v>
      </c>
      <c r="O33" s="197">
        <v>153</v>
      </c>
      <c r="P33" s="197">
        <v>158</v>
      </c>
      <c r="Q33" s="197">
        <v>899</v>
      </c>
      <c r="R33" s="197">
        <v>122</v>
      </c>
      <c r="S33" s="197">
        <v>7</v>
      </c>
      <c r="T33" s="197">
        <v>34</v>
      </c>
      <c r="U33" s="197">
        <v>21</v>
      </c>
      <c r="V33" s="197">
        <v>170</v>
      </c>
      <c r="W33" s="197">
        <v>31</v>
      </c>
      <c r="X33" s="197">
        <v>36</v>
      </c>
      <c r="Y33" s="197">
        <v>185</v>
      </c>
      <c r="Z33" s="197">
        <v>201</v>
      </c>
      <c r="AA33" s="197">
        <v>116</v>
      </c>
      <c r="AB33" s="1">
        <v>67</v>
      </c>
      <c r="AC33" s="1">
        <v>0</v>
      </c>
      <c r="AD33" s="1">
        <v>0</v>
      </c>
      <c r="AE33" s="1">
        <v>0</v>
      </c>
    </row>
    <row r="34" spans="1:31">
      <c r="B34" s="6" t="s">
        <v>189</v>
      </c>
      <c r="C34" s="6" t="s">
        <v>189</v>
      </c>
      <c r="D34" s="7">
        <v>4057079</v>
      </c>
      <c r="E34" s="197">
        <v>699</v>
      </c>
      <c r="F34" s="197">
        <v>15241</v>
      </c>
      <c r="G34" s="197">
        <v>9456</v>
      </c>
      <c r="H34" s="197">
        <v>10493</v>
      </c>
      <c r="I34" s="197">
        <v>1809</v>
      </c>
      <c r="J34" s="197">
        <v>2589</v>
      </c>
      <c r="K34" s="197">
        <v>1807</v>
      </c>
      <c r="L34" s="197">
        <v>2942</v>
      </c>
      <c r="M34" s="197">
        <v>7194</v>
      </c>
      <c r="N34" s="197">
        <v>22851</v>
      </c>
      <c r="O34" s="197">
        <v>1385</v>
      </c>
      <c r="P34" s="197">
        <v>689</v>
      </c>
      <c r="Q34" s="197">
        <v>1005</v>
      </c>
      <c r="R34" s="197">
        <v>197</v>
      </c>
      <c r="S34" s="197">
        <v>413</v>
      </c>
      <c r="T34" s="197">
        <v>166</v>
      </c>
      <c r="U34" s="197">
        <v>372</v>
      </c>
      <c r="V34" s="197">
        <v>800</v>
      </c>
      <c r="W34" s="197">
        <v>277</v>
      </c>
      <c r="X34" s="197">
        <v>137</v>
      </c>
      <c r="Y34" s="197">
        <v>1058</v>
      </c>
      <c r="Z34" s="197">
        <v>818</v>
      </c>
      <c r="AA34" s="197">
        <v>462</v>
      </c>
      <c r="AB34" s="1">
        <v>489</v>
      </c>
      <c r="AC34" s="1">
        <v>0</v>
      </c>
      <c r="AD34" s="1">
        <v>0</v>
      </c>
      <c r="AE34" s="1">
        <v>0</v>
      </c>
    </row>
    <row r="35" spans="1:31">
      <c r="B35" s="6" t="s">
        <v>284</v>
      </c>
      <c r="C35" s="6" t="s">
        <v>285</v>
      </c>
      <c r="D35" s="7">
        <v>4081251</v>
      </c>
      <c r="E35" s="197" t="s">
        <v>175</v>
      </c>
      <c r="F35" s="197" t="s">
        <v>175</v>
      </c>
      <c r="G35" s="197">
        <v>32</v>
      </c>
      <c r="H35" s="197">
        <v>0</v>
      </c>
      <c r="I35" s="197">
        <v>0</v>
      </c>
      <c r="J35" s="197">
        <v>3</v>
      </c>
      <c r="K35" s="197" t="s">
        <v>175</v>
      </c>
      <c r="L35" s="197">
        <v>86</v>
      </c>
      <c r="M35" s="197">
        <v>0</v>
      </c>
      <c r="N35" s="197">
        <v>0</v>
      </c>
      <c r="O35" s="197">
        <v>2</v>
      </c>
      <c r="P35" s="197">
        <v>0</v>
      </c>
      <c r="Q35" s="197">
        <v>4</v>
      </c>
      <c r="R35" s="197">
        <v>1</v>
      </c>
      <c r="S35" s="197">
        <v>37</v>
      </c>
      <c r="T35" s="197">
        <v>41</v>
      </c>
      <c r="U35" s="197">
        <v>82</v>
      </c>
      <c r="V35" s="197">
        <v>33</v>
      </c>
      <c r="W35" s="197">
        <v>0</v>
      </c>
      <c r="X35" s="197">
        <v>3</v>
      </c>
      <c r="Y35" s="197">
        <v>1</v>
      </c>
      <c r="Z35" s="197">
        <v>9</v>
      </c>
      <c r="AA35" s="197" t="s">
        <v>175</v>
      </c>
      <c r="AB35" s="1" t="s">
        <v>175</v>
      </c>
      <c r="AC35" s="1" t="s">
        <v>175</v>
      </c>
      <c r="AD35" s="1" t="s">
        <v>175</v>
      </c>
      <c r="AE35" s="1" t="s">
        <v>175</v>
      </c>
    </row>
    <row r="36" spans="1:31">
      <c r="B36" s="6" t="s">
        <v>286</v>
      </c>
      <c r="C36" s="6" t="s">
        <v>286</v>
      </c>
      <c r="D36" s="7">
        <v>4060572</v>
      </c>
      <c r="E36" s="197" t="s">
        <v>175</v>
      </c>
      <c r="F36" s="197">
        <v>3267</v>
      </c>
      <c r="G36" s="197">
        <v>782</v>
      </c>
      <c r="H36" s="197">
        <v>986</v>
      </c>
      <c r="I36" s="197">
        <v>3275</v>
      </c>
      <c r="J36" s="197">
        <v>621</v>
      </c>
      <c r="K36" s="197">
        <v>1293</v>
      </c>
      <c r="L36" s="197">
        <v>615</v>
      </c>
      <c r="M36" s="197">
        <v>1092</v>
      </c>
      <c r="N36" s="197">
        <v>2053</v>
      </c>
      <c r="O36" s="197">
        <v>793</v>
      </c>
      <c r="P36" s="197">
        <v>278</v>
      </c>
      <c r="Q36" s="197">
        <v>2193</v>
      </c>
      <c r="R36" s="197">
        <v>742</v>
      </c>
      <c r="S36" s="197">
        <v>25</v>
      </c>
      <c r="T36" s="197">
        <v>93</v>
      </c>
      <c r="U36" s="197">
        <v>133</v>
      </c>
      <c r="V36" s="197">
        <v>1021</v>
      </c>
      <c r="W36" s="197">
        <v>914</v>
      </c>
      <c r="X36" s="197">
        <v>603</v>
      </c>
      <c r="Y36" s="197">
        <v>361</v>
      </c>
      <c r="Z36" s="197">
        <v>808</v>
      </c>
      <c r="AA36" s="197" t="s">
        <v>175</v>
      </c>
      <c r="AB36" s="1" t="s">
        <v>175</v>
      </c>
      <c r="AC36" s="1">
        <v>0</v>
      </c>
      <c r="AD36" s="1">
        <v>0</v>
      </c>
      <c r="AE36" s="1">
        <v>0</v>
      </c>
    </row>
    <row r="37" spans="1:31">
      <c r="B37" s="6" t="s">
        <v>287</v>
      </c>
      <c r="C37" s="6" t="s">
        <v>287</v>
      </c>
      <c r="D37" s="7">
        <v>4083318</v>
      </c>
      <c r="E37" s="197" t="s">
        <v>175</v>
      </c>
      <c r="F37" s="197">
        <v>390</v>
      </c>
      <c r="G37" s="197">
        <v>90</v>
      </c>
      <c r="H37" s="197">
        <v>322</v>
      </c>
      <c r="I37" s="197">
        <v>527</v>
      </c>
      <c r="J37" s="197">
        <v>369</v>
      </c>
      <c r="K37" s="197">
        <v>608</v>
      </c>
      <c r="L37" s="197">
        <v>272</v>
      </c>
      <c r="M37" s="197">
        <v>338</v>
      </c>
      <c r="N37" s="197">
        <v>278</v>
      </c>
      <c r="O37" s="197">
        <v>213</v>
      </c>
      <c r="P37" s="197">
        <v>331</v>
      </c>
      <c r="Q37" s="197">
        <v>162</v>
      </c>
      <c r="R37" s="197">
        <v>262</v>
      </c>
      <c r="S37" s="197">
        <v>174</v>
      </c>
      <c r="T37" s="197">
        <v>197</v>
      </c>
      <c r="U37" s="197">
        <v>123</v>
      </c>
      <c r="V37" s="197">
        <v>145</v>
      </c>
      <c r="W37" s="197">
        <v>281</v>
      </c>
      <c r="X37" s="197">
        <v>333</v>
      </c>
      <c r="Y37" s="197" t="s">
        <v>175</v>
      </c>
      <c r="Z37" s="197" t="s">
        <v>175</v>
      </c>
      <c r="AA37" s="197" t="s">
        <v>175</v>
      </c>
      <c r="AB37" s="1" t="s">
        <v>175</v>
      </c>
      <c r="AC37" s="1" t="s">
        <v>175</v>
      </c>
      <c r="AD37" s="1">
        <v>0</v>
      </c>
      <c r="AE37" s="1">
        <v>0</v>
      </c>
    </row>
    <row r="38" spans="1:31">
      <c r="B38" s="6" t="s">
        <v>288</v>
      </c>
      <c r="C38" s="6" t="s">
        <v>288</v>
      </c>
      <c r="D38" s="7">
        <v>4057125</v>
      </c>
      <c r="E38" s="197" t="s">
        <v>175</v>
      </c>
      <c r="F38" s="197">
        <v>1487</v>
      </c>
      <c r="G38" s="197">
        <v>12531</v>
      </c>
      <c r="H38" s="197">
        <v>22217</v>
      </c>
      <c r="I38" s="197">
        <v>2244</v>
      </c>
      <c r="J38" s="197">
        <v>3047</v>
      </c>
      <c r="K38" s="197">
        <v>7660</v>
      </c>
      <c r="L38" s="197">
        <v>5592</v>
      </c>
      <c r="M38" s="197">
        <v>897</v>
      </c>
      <c r="N38" s="197">
        <v>7386</v>
      </c>
      <c r="O38" s="197">
        <v>326</v>
      </c>
      <c r="P38" s="197">
        <v>73</v>
      </c>
      <c r="Q38" s="197">
        <v>4935</v>
      </c>
      <c r="R38" s="197">
        <v>1311</v>
      </c>
      <c r="S38" s="197">
        <v>4267</v>
      </c>
      <c r="T38" s="197">
        <v>65</v>
      </c>
      <c r="U38" s="197">
        <v>1749</v>
      </c>
      <c r="V38" s="197">
        <v>3624</v>
      </c>
      <c r="W38" s="197">
        <v>776</v>
      </c>
      <c r="X38" s="197">
        <v>0</v>
      </c>
      <c r="Y38" s="197">
        <v>4133</v>
      </c>
      <c r="Z38" s="197">
        <v>1778</v>
      </c>
      <c r="AA38" s="197">
        <v>415</v>
      </c>
      <c r="AB38" s="1">
        <v>1273</v>
      </c>
      <c r="AC38" s="1">
        <v>0</v>
      </c>
      <c r="AD38" s="1">
        <v>0</v>
      </c>
      <c r="AE38" s="1">
        <v>0</v>
      </c>
    </row>
    <row r="39" spans="1:31">
      <c r="B39" s="6" t="s">
        <v>289</v>
      </c>
      <c r="C39" s="6" t="s">
        <v>289</v>
      </c>
      <c r="D39" s="7">
        <v>4087741</v>
      </c>
      <c r="E39" s="197" t="s">
        <v>175</v>
      </c>
      <c r="F39" s="197" t="s">
        <v>175</v>
      </c>
      <c r="G39" s="197" t="s">
        <v>175</v>
      </c>
      <c r="H39" s="197">
        <v>12616</v>
      </c>
      <c r="I39" s="197">
        <v>7121</v>
      </c>
      <c r="J39" s="197">
        <v>5352</v>
      </c>
      <c r="K39" s="197">
        <v>3124</v>
      </c>
      <c r="L39" s="197">
        <v>7226</v>
      </c>
      <c r="M39" s="197">
        <v>8380</v>
      </c>
      <c r="N39" s="197">
        <v>6234</v>
      </c>
      <c r="O39" s="197">
        <v>7648</v>
      </c>
      <c r="P39" s="197">
        <v>7576</v>
      </c>
      <c r="Q39" s="197">
        <v>8828</v>
      </c>
      <c r="R39" s="197">
        <v>4051</v>
      </c>
      <c r="S39" s="197">
        <v>3159</v>
      </c>
      <c r="T39" s="197">
        <v>4991</v>
      </c>
      <c r="U39" s="197">
        <v>4415</v>
      </c>
      <c r="V39" s="197">
        <v>11238</v>
      </c>
      <c r="W39" s="197">
        <v>6973</v>
      </c>
      <c r="X39" s="197">
        <v>6704</v>
      </c>
      <c r="Y39" s="197" t="s">
        <v>175</v>
      </c>
      <c r="Z39" s="197">
        <v>19099</v>
      </c>
      <c r="AA39" s="197" t="s">
        <v>175</v>
      </c>
      <c r="AB39" s="1" t="s">
        <v>175</v>
      </c>
      <c r="AC39" s="1" t="s">
        <v>175</v>
      </c>
      <c r="AD39" s="1" t="s">
        <v>175</v>
      </c>
      <c r="AE39" s="1" t="s">
        <v>175</v>
      </c>
    </row>
    <row r="40" spans="1:31">
      <c r="B40" s="6" t="s">
        <v>290</v>
      </c>
      <c r="C40" s="6" t="s">
        <v>290</v>
      </c>
      <c r="D40" s="7">
        <v>4059875</v>
      </c>
      <c r="E40" s="197" t="s">
        <v>175</v>
      </c>
      <c r="F40" s="197">
        <v>8707</v>
      </c>
      <c r="G40" s="197">
        <v>6553</v>
      </c>
      <c r="H40" s="197">
        <v>4043</v>
      </c>
      <c r="I40" s="197">
        <v>1745</v>
      </c>
      <c r="J40" s="197">
        <v>25265</v>
      </c>
      <c r="K40" s="197">
        <v>43549</v>
      </c>
      <c r="L40" s="197">
        <v>2014</v>
      </c>
      <c r="M40" s="197">
        <v>418</v>
      </c>
      <c r="N40" s="197">
        <v>22</v>
      </c>
      <c r="O40" s="197">
        <v>184</v>
      </c>
      <c r="P40" s="197">
        <v>206</v>
      </c>
      <c r="Q40" s="197">
        <v>1121</v>
      </c>
      <c r="R40" s="197">
        <v>3123</v>
      </c>
      <c r="S40" s="197">
        <v>1363</v>
      </c>
      <c r="T40" s="197">
        <v>1591</v>
      </c>
      <c r="U40" s="197">
        <v>338</v>
      </c>
      <c r="V40" s="197">
        <v>1122</v>
      </c>
      <c r="W40" s="197">
        <v>470</v>
      </c>
      <c r="X40" s="197">
        <v>7451</v>
      </c>
      <c r="Y40" s="197" t="s">
        <v>175</v>
      </c>
      <c r="Z40" s="197">
        <v>261</v>
      </c>
      <c r="AA40" s="197">
        <v>2074</v>
      </c>
      <c r="AB40" s="1">
        <v>579</v>
      </c>
      <c r="AC40" s="1">
        <v>0</v>
      </c>
      <c r="AD40" s="1">
        <v>0</v>
      </c>
      <c r="AE40" s="1">
        <v>0</v>
      </c>
    </row>
    <row r="41" spans="1:31">
      <c r="B41" s="6" t="s">
        <v>190</v>
      </c>
      <c r="C41" s="6" t="s">
        <v>190</v>
      </c>
      <c r="D41" s="7">
        <v>4057090</v>
      </c>
      <c r="E41" s="197">
        <v>1441</v>
      </c>
      <c r="F41" s="197">
        <v>1529</v>
      </c>
      <c r="G41" s="197">
        <v>1301</v>
      </c>
      <c r="H41" s="197">
        <v>1927</v>
      </c>
      <c r="I41" s="197">
        <v>1075</v>
      </c>
      <c r="J41" s="197">
        <v>1455</v>
      </c>
      <c r="K41" s="197">
        <v>539</v>
      </c>
      <c r="L41" s="197">
        <v>1654</v>
      </c>
      <c r="M41" s="197">
        <v>293</v>
      </c>
      <c r="N41" s="197">
        <v>1156</v>
      </c>
      <c r="O41" s="197">
        <v>843</v>
      </c>
      <c r="P41" s="197">
        <v>684</v>
      </c>
      <c r="Q41" s="197">
        <v>394</v>
      </c>
      <c r="R41" s="197">
        <v>5</v>
      </c>
      <c r="S41" s="197">
        <v>299</v>
      </c>
      <c r="T41" s="197">
        <v>649</v>
      </c>
      <c r="U41" s="197">
        <v>474</v>
      </c>
      <c r="V41" s="197">
        <v>720</v>
      </c>
      <c r="W41" s="197">
        <v>176</v>
      </c>
      <c r="X41" s="197">
        <v>507</v>
      </c>
      <c r="Y41" s="197">
        <v>444</v>
      </c>
      <c r="Z41" s="197">
        <v>973</v>
      </c>
      <c r="AA41" s="197">
        <v>1448</v>
      </c>
      <c r="AB41" s="1">
        <v>607</v>
      </c>
      <c r="AC41" s="1">
        <v>0</v>
      </c>
      <c r="AD41" s="1">
        <v>0</v>
      </c>
      <c r="AE41" s="1">
        <v>0</v>
      </c>
    </row>
    <row r="42" spans="1:31">
      <c r="B42" s="6" t="s">
        <v>191</v>
      </c>
      <c r="C42" s="6" t="s">
        <v>191</v>
      </c>
      <c r="D42" s="7">
        <v>4008754</v>
      </c>
      <c r="E42" s="197">
        <v>180</v>
      </c>
      <c r="F42" s="197">
        <v>235</v>
      </c>
      <c r="G42" s="197">
        <v>192</v>
      </c>
      <c r="H42" s="197">
        <v>355</v>
      </c>
      <c r="I42" s="197">
        <v>200</v>
      </c>
      <c r="J42" s="197">
        <v>118</v>
      </c>
      <c r="K42" s="197">
        <v>267</v>
      </c>
      <c r="L42" s="197">
        <v>206</v>
      </c>
      <c r="M42" s="197">
        <v>290</v>
      </c>
      <c r="N42" s="197">
        <v>352</v>
      </c>
      <c r="O42" s="197">
        <v>130</v>
      </c>
      <c r="P42" s="197">
        <v>73</v>
      </c>
      <c r="Q42" s="197">
        <v>239</v>
      </c>
      <c r="R42" s="197">
        <v>258</v>
      </c>
      <c r="S42" s="197">
        <v>215</v>
      </c>
      <c r="T42" s="197">
        <v>103</v>
      </c>
      <c r="U42" s="197">
        <v>55</v>
      </c>
      <c r="V42" s="197">
        <v>120</v>
      </c>
      <c r="W42" s="197">
        <v>291</v>
      </c>
      <c r="X42" s="197">
        <v>106</v>
      </c>
      <c r="Y42" s="197">
        <v>34</v>
      </c>
      <c r="Z42" s="197">
        <v>140</v>
      </c>
      <c r="AA42" s="197">
        <v>100</v>
      </c>
      <c r="AB42" s="1">
        <v>95</v>
      </c>
      <c r="AC42" s="1">
        <v>0</v>
      </c>
      <c r="AD42" s="1">
        <v>0</v>
      </c>
      <c r="AE42" s="1">
        <v>0</v>
      </c>
    </row>
    <row r="43" spans="1:31">
      <c r="B43" s="6" t="s">
        <v>291</v>
      </c>
      <c r="C43" s="6" t="s">
        <v>291</v>
      </c>
      <c r="D43" s="7">
        <v>4061474</v>
      </c>
      <c r="E43" s="197" t="s">
        <v>175</v>
      </c>
      <c r="F43" s="197">
        <v>177</v>
      </c>
      <c r="G43" s="197">
        <v>549</v>
      </c>
      <c r="H43" s="197">
        <v>347</v>
      </c>
      <c r="I43" s="197">
        <v>216</v>
      </c>
      <c r="J43" s="197">
        <v>169</v>
      </c>
      <c r="K43" s="197">
        <v>174</v>
      </c>
      <c r="L43" s="197">
        <v>418</v>
      </c>
      <c r="M43" s="197">
        <v>296</v>
      </c>
      <c r="N43" s="197">
        <v>513</v>
      </c>
      <c r="O43" s="197">
        <v>1452</v>
      </c>
      <c r="P43" s="197">
        <v>714</v>
      </c>
      <c r="Q43" s="197">
        <v>422</v>
      </c>
      <c r="R43" s="197">
        <v>268</v>
      </c>
      <c r="S43" s="197">
        <v>188</v>
      </c>
      <c r="T43" s="197">
        <v>811</v>
      </c>
      <c r="U43" s="197">
        <v>215</v>
      </c>
      <c r="V43" s="197">
        <v>193</v>
      </c>
      <c r="W43" s="197">
        <v>183</v>
      </c>
      <c r="X43" s="197">
        <v>105</v>
      </c>
      <c r="Y43" s="197" t="s">
        <v>175</v>
      </c>
      <c r="Z43" s="197">
        <v>135</v>
      </c>
      <c r="AA43" s="197" t="s">
        <v>175</v>
      </c>
      <c r="AB43" s="1" t="s">
        <v>175</v>
      </c>
      <c r="AC43" s="1">
        <v>0</v>
      </c>
      <c r="AD43" s="1">
        <v>0</v>
      </c>
      <c r="AE43" s="1">
        <v>0</v>
      </c>
    </row>
    <row r="44" spans="1:31">
      <c r="B44" s="6" t="s">
        <v>292</v>
      </c>
      <c r="C44" s="6" t="s">
        <v>292</v>
      </c>
      <c r="D44" s="7">
        <v>4076679</v>
      </c>
      <c r="E44" s="197" t="s">
        <v>175</v>
      </c>
      <c r="F44" s="197">
        <v>934</v>
      </c>
      <c r="G44" s="197">
        <v>201</v>
      </c>
      <c r="H44" s="197">
        <v>127</v>
      </c>
      <c r="I44" s="197">
        <v>426</v>
      </c>
      <c r="J44" s="197">
        <v>227</v>
      </c>
      <c r="K44" s="197">
        <v>239</v>
      </c>
      <c r="L44" s="197">
        <v>162</v>
      </c>
      <c r="M44" s="197">
        <v>148</v>
      </c>
      <c r="N44" s="197">
        <v>181</v>
      </c>
      <c r="O44" s="197">
        <v>365</v>
      </c>
      <c r="P44" s="197">
        <v>144</v>
      </c>
      <c r="Q44" s="197">
        <v>147</v>
      </c>
      <c r="R44" s="197">
        <v>165</v>
      </c>
      <c r="S44" s="197">
        <v>103</v>
      </c>
      <c r="T44" s="197">
        <v>44</v>
      </c>
      <c r="U44" s="197">
        <v>250</v>
      </c>
      <c r="V44" s="197">
        <v>115</v>
      </c>
      <c r="W44" s="197">
        <v>130</v>
      </c>
      <c r="X44" s="197">
        <v>95</v>
      </c>
      <c r="Y44" s="197">
        <v>133</v>
      </c>
      <c r="Z44" s="197">
        <v>221</v>
      </c>
      <c r="AA44" s="197" t="s">
        <v>175</v>
      </c>
      <c r="AB44" s="1" t="s">
        <v>175</v>
      </c>
      <c r="AC44" s="1" t="s">
        <v>175</v>
      </c>
      <c r="AD44" s="1" t="s">
        <v>175</v>
      </c>
      <c r="AE44" s="1" t="s">
        <v>175</v>
      </c>
    </row>
    <row r="45" spans="1:31">
      <c r="B45" s="6" t="s">
        <v>193</v>
      </c>
      <c r="C45" s="6" t="s">
        <v>193</v>
      </c>
      <c r="D45" s="7">
        <v>4061634</v>
      </c>
      <c r="E45" s="197">
        <v>3972</v>
      </c>
      <c r="F45" s="197">
        <v>2178</v>
      </c>
      <c r="G45" s="197">
        <v>1294</v>
      </c>
      <c r="H45" s="197">
        <v>2276</v>
      </c>
      <c r="I45" s="197">
        <v>2330</v>
      </c>
      <c r="J45" s="197">
        <v>1664</v>
      </c>
      <c r="K45" s="197">
        <v>4025</v>
      </c>
      <c r="L45" s="197">
        <v>6755</v>
      </c>
      <c r="M45" s="197">
        <v>4560</v>
      </c>
      <c r="N45" s="197">
        <v>1916</v>
      </c>
      <c r="O45" s="197">
        <v>966</v>
      </c>
      <c r="P45" s="197">
        <v>4225</v>
      </c>
      <c r="Q45" s="197">
        <v>698</v>
      </c>
      <c r="R45" s="197">
        <v>545</v>
      </c>
      <c r="S45" s="197">
        <v>507</v>
      </c>
      <c r="T45" s="197">
        <v>787</v>
      </c>
      <c r="U45" s="197">
        <v>8</v>
      </c>
      <c r="V45" s="197">
        <v>648</v>
      </c>
      <c r="W45" s="197">
        <v>3</v>
      </c>
      <c r="X45" s="197">
        <v>520</v>
      </c>
      <c r="Y45" s="197">
        <v>7349</v>
      </c>
      <c r="Z45" s="197">
        <v>2815</v>
      </c>
      <c r="AA45" s="197">
        <v>4361</v>
      </c>
      <c r="AB45" s="1">
        <v>4018</v>
      </c>
      <c r="AC45" s="1">
        <v>0</v>
      </c>
      <c r="AD45" s="1">
        <v>0</v>
      </c>
      <c r="AE45" s="1">
        <v>0</v>
      </c>
    </row>
    <row r="46" spans="1:31">
      <c r="B46" s="6" t="s">
        <v>194</v>
      </c>
      <c r="C46" s="6" t="s">
        <v>194</v>
      </c>
      <c r="D46" s="7">
        <v>4061687</v>
      </c>
      <c r="E46" s="197">
        <v>5186</v>
      </c>
      <c r="F46" s="197">
        <v>10404</v>
      </c>
      <c r="G46" s="197">
        <v>5936</v>
      </c>
      <c r="H46" s="197">
        <v>4844</v>
      </c>
      <c r="I46" s="197">
        <v>5840</v>
      </c>
      <c r="J46" s="197">
        <v>7481</v>
      </c>
      <c r="K46" s="197">
        <v>7005</v>
      </c>
      <c r="L46" s="197">
        <v>13825</v>
      </c>
      <c r="M46" s="197">
        <v>5120</v>
      </c>
      <c r="N46" s="197">
        <v>7008</v>
      </c>
      <c r="O46" s="197">
        <v>7162</v>
      </c>
      <c r="P46" s="197">
        <v>5088</v>
      </c>
      <c r="Q46" s="197">
        <v>4549</v>
      </c>
      <c r="R46" s="197">
        <v>4484</v>
      </c>
      <c r="S46" s="197">
        <v>5288</v>
      </c>
      <c r="T46" s="197">
        <v>5535</v>
      </c>
      <c r="U46" s="197">
        <v>4127</v>
      </c>
      <c r="V46" s="197">
        <v>7162</v>
      </c>
      <c r="W46" s="197">
        <v>1901</v>
      </c>
      <c r="X46" s="197">
        <v>610</v>
      </c>
      <c r="Y46" s="197">
        <v>798</v>
      </c>
      <c r="Z46" s="197">
        <v>2459</v>
      </c>
      <c r="AA46" s="197">
        <v>1686</v>
      </c>
      <c r="AB46" s="1">
        <v>2718</v>
      </c>
      <c r="AC46" s="1">
        <v>1052</v>
      </c>
      <c r="AD46" s="1">
        <v>2270</v>
      </c>
      <c r="AE46" s="1">
        <v>2636</v>
      </c>
    </row>
    <row r="47" spans="1:31">
      <c r="A47" s="1" t="s">
        <v>275</v>
      </c>
      <c r="B47" s="6" t="s">
        <v>195</v>
      </c>
      <c r="C47" s="6" t="s">
        <v>195</v>
      </c>
      <c r="D47" s="7">
        <v>4061755</v>
      </c>
      <c r="E47" s="197">
        <v>53597.341999999997</v>
      </c>
      <c r="F47" s="197">
        <v>27196</v>
      </c>
      <c r="G47" s="197">
        <v>29245</v>
      </c>
      <c r="H47" s="197">
        <v>5011</v>
      </c>
      <c r="I47" s="197">
        <v>9734</v>
      </c>
      <c r="J47" s="197">
        <v>31197</v>
      </c>
      <c r="K47" s="197">
        <v>9937</v>
      </c>
      <c r="L47" s="197">
        <v>5972</v>
      </c>
      <c r="M47" s="197">
        <v>5474</v>
      </c>
      <c r="N47" s="197">
        <v>5963</v>
      </c>
      <c r="O47" s="197">
        <v>8730</v>
      </c>
      <c r="P47" s="197">
        <v>9385</v>
      </c>
      <c r="Q47" s="197">
        <v>3306</v>
      </c>
      <c r="R47" s="197">
        <v>2179</v>
      </c>
      <c r="S47" s="197">
        <v>3823</v>
      </c>
      <c r="T47" s="197">
        <v>957</v>
      </c>
      <c r="U47" s="197">
        <v>635</v>
      </c>
      <c r="V47" s="197">
        <v>311</v>
      </c>
      <c r="W47" s="197">
        <v>3197</v>
      </c>
      <c r="X47" s="197">
        <v>2418</v>
      </c>
      <c r="Y47" s="197">
        <v>2300</v>
      </c>
      <c r="Z47" s="197">
        <v>8168</v>
      </c>
      <c r="AA47" s="197">
        <v>3215</v>
      </c>
      <c r="AB47" s="1">
        <v>5070</v>
      </c>
      <c r="AC47" s="1">
        <v>0</v>
      </c>
      <c r="AD47" s="1">
        <v>0</v>
      </c>
      <c r="AE47" s="1">
        <v>0</v>
      </c>
    </row>
    <row r="48" spans="1:31">
      <c r="A48" s="1" t="s">
        <v>275</v>
      </c>
      <c r="B48" s="6" t="s">
        <v>197</v>
      </c>
      <c r="C48" s="6" t="s">
        <v>197</v>
      </c>
      <c r="D48" s="7">
        <v>4004389</v>
      </c>
      <c r="E48" s="197">
        <v>1093</v>
      </c>
      <c r="F48" s="197">
        <v>973</v>
      </c>
      <c r="G48" s="197">
        <v>844</v>
      </c>
      <c r="H48" s="197">
        <v>955</v>
      </c>
      <c r="I48" s="197">
        <v>654</v>
      </c>
      <c r="J48" s="197">
        <v>754</v>
      </c>
      <c r="K48" s="197">
        <v>765</v>
      </c>
      <c r="L48" s="197">
        <v>-3646</v>
      </c>
      <c r="M48" s="197">
        <v>1821</v>
      </c>
      <c r="N48" s="197">
        <v>1780</v>
      </c>
      <c r="O48" s="197">
        <v>1610</v>
      </c>
      <c r="P48" s="197">
        <v>8</v>
      </c>
      <c r="Q48" s="197">
        <v>1778</v>
      </c>
      <c r="R48" s="197">
        <v>963</v>
      </c>
      <c r="S48" s="197">
        <v>821</v>
      </c>
      <c r="T48" s="197">
        <v>1595</v>
      </c>
      <c r="U48" s="197">
        <v>1470</v>
      </c>
      <c r="V48" s="197">
        <v>-4487</v>
      </c>
      <c r="W48" s="197">
        <v>894</v>
      </c>
      <c r="X48" s="197">
        <v>1199</v>
      </c>
      <c r="Y48" s="197">
        <v>988</v>
      </c>
      <c r="Z48" s="197">
        <v>817</v>
      </c>
      <c r="AA48" s="197">
        <v>1772</v>
      </c>
      <c r="AB48" s="1">
        <v>1506</v>
      </c>
      <c r="AC48" s="1">
        <v>0</v>
      </c>
      <c r="AD48" s="1">
        <v>0</v>
      </c>
      <c r="AE48" s="1">
        <v>0</v>
      </c>
    </row>
    <row r="49" spans="1:31">
      <c r="A49" s="1" t="s">
        <v>275</v>
      </c>
      <c r="B49" s="6" t="s">
        <v>198</v>
      </c>
      <c r="C49" s="6" t="s">
        <v>198</v>
      </c>
      <c r="D49" s="7">
        <v>4057014</v>
      </c>
      <c r="E49" s="197">
        <v>-3554</v>
      </c>
      <c r="F49" s="197">
        <v>3655</v>
      </c>
      <c r="G49" s="197">
        <v>6301</v>
      </c>
      <c r="H49" s="197">
        <v>3134</v>
      </c>
      <c r="I49" s="197">
        <v>4002</v>
      </c>
      <c r="J49" s="197">
        <v>3235</v>
      </c>
      <c r="K49" s="197">
        <v>3057</v>
      </c>
      <c r="L49" s="197">
        <v>5743</v>
      </c>
      <c r="M49" s="197">
        <v>2465</v>
      </c>
      <c r="N49" s="197">
        <v>1850</v>
      </c>
      <c r="O49" s="197">
        <v>321</v>
      </c>
      <c r="P49" s="197">
        <v>5418</v>
      </c>
      <c r="Q49" s="197">
        <v>6520</v>
      </c>
      <c r="R49" s="197">
        <v>2414</v>
      </c>
      <c r="S49" s="197">
        <v>1749</v>
      </c>
      <c r="T49" s="197">
        <v>104</v>
      </c>
      <c r="U49" s="197">
        <v>1087</v>
      </c>
      <c r="V49" s="197">
        <v>835</v>
      </c>
      <c r="W49" s="197">
        <v>25765</v>
      </c>
      <c r="X49" s="197">
        <v>4140</v>
      </c>
      <c r="Y49" s="197">
        <v>969</v>
      </c>
      <c r="Z49" s="197">
        <v>2166</v>
      </c>
      <c r="AA49" s="197">
        <v>1581</v>
      </c>
      <c r="AB49" s="1">
        <v>7268</v>
      </c>
      <c r="AC49" s="1">
        <v>0</v>
      </c>
      <c r="AD49" s="1">
        <v>0</v>
      </c>
      <c r="AE49" s="1">
        <v>0</v>
      </c>
    </row>
    <row r="50" spans="1:31">
      <c r="B50" s="6" t="s">
        <v>199</v>
      </c>
      <c r="C50" s="6" t="s">
        <v>199</v>
      </c>
      <c r="D50" s="7">
        <v>4057130</v>
      </c>
      <c r="E50" s="197">
        <v>2324</v>
      </c>
      <c r="F50" s="197">
        <v>1491</v>
      </c>
      <c r="G50" s="197">
        <v>3077</v>
      </c>
      <c r="H50" s="197">
        <v>1921</v>
      </c>
      <c r="I50" s="197">
        <v>1053</v>
      </c>
      <c r="J50" s="197">
        <v>2378</v>
      </c>
      <c r="K50" s="197">
        <v>639</v>
      </c>
      <c r="L50" s="197">
        <v>2487</v>
      </c>
      <c r="M50" s="197">
        <v>1812</v>
      </c>
      <c r="N50" s="197">
        <v>2158</v>
      </c>
      <c r="O50" s="197">
        <v>1640</v>
      </c>
      <c r="P50" s="197">
        <v>542</v>
      </c>
      <c r="Q50" s="197">
        <v>1188</v>
      </c>
      <c r="R50" s="197">
        <v>846</v>
      </c>
      <c r="S50" s="197">
        <v>1070</v>
      </c>
      <c r="T50" s="197">
        <v>1086</v>
      </c>
      <c r="U50" s="197">
        <v>1099</v>
      </c>
      <c r="V50" s="197">
        <v>1010</v>
      </c>
      <c r="W50" s="197">
        <v>2686</v>
      </c>
      <c r="X50" s="197">
        <v>528</v>
      </c>
      <c r="Y50" s="197">
        <v>646</v>
      </c>
      <c r="Z50" s="197">
        <v>1828</v>
      </c>
      <c r="AA50" s="197">
        <v>988</v>
      </c>
      <c r="AB50" s="1">
        <v>898</v>
      </c>
      <c r="AC50" s="1">
        <v>0</v>
      </c>
      <c r="AD50" s="1">
        <v>0</v>
      </c>
      <c r="AE50" s="1" t="s">
        <v>175</v>
      </c>
    </row>
    <row r="51" spans="1:31">
      <c r="B51" s="6" t="s">
        <v>201</v>
      </c>
      <c r="C51" s="6" t="s">
        <v>201</v>
      </c>
      <c r="D51" s="7">
        <v>4057131</v>
      </c>
      <c r="E51" s="197">
        <v>51980</v>
      </c>
      <c r="F51" s="197">
        <v>64520</v>
      </c>
      <c r="G51" s="197">
        <v>58647</v>
      </c>
      <c r="H51" s="197">
        <v>57230</v>
      </c>
      <c r="I51" s="197">
        <v>47239</v>
      </c>
      <c r="J51" s="197">
        <v>36902</v>
      </c>
      <c r="K51" s="197">
        <v>48683</v>
      </c>
      <c r="L51" s="197">
        <v>19802</v>
      </c>
      <c r="M51" s="197">
        <v>14823</v>
      </c>
      <c r="N51" s="197">
        <v>30621</v>
      </c>
      <c r="O51" s="197">
        <v>21907</v>
      </c>
      <c r="P51" s="197">
        <v>20668</v>
      </c>
      <c r="Q51" s="197">
        <v>33186</v>
      </c>
      <c r="R51" s="197">
        <v>22592</v>
      </c>
      <c r="S51" s="197">
        <v>15785</v>
      </c>
      <c r="T51" s="197">
        <v>21060</v>
      </c>
      <c r="U51" s="197">
        <v>20992</v>
      </c>
      <c r="V51" s="197">
        <v>17672</v>
      </c>
      <c r="W51" s="197">
        <v>19856</v>
      </c>
      <c r="X51" s="197">
        <v>20270</v>
      </c>
      <c r="Y51" s="197">
        <v>16560</v>
      </c>
      <c r="Z51" s="197">
        <v>24378</v>
      </c>
      <c r="AA51" s="197">
        <v>14866</v>
      </c>
      <c r="AB51" s="1">
        <v>17269</v>
      </c>
      <c r="AC51" s="1">
        <v>0</v>
      </c>
      <c r="AD51" s="1">
        <v>0</v>
      </c>
      <c r="AE51" s="1">
        <v>0</v>
      </c>
    </row>
    <row r="52" spans="1:31">
      <c r="B52" s="6" t="s">
        <v>202</v>
      </c>
      <c r="C52" s="6" t="s">
        <v>202</v>
      </c>
      <c r="D52" s="7">
        <v>4012860</v>
      </c>
      <c r="E52" s="197">
        <v>5136</v>
      </c>
      <c r="F52" s="197">
        <v>2102</v>
      </c>
      <c r="G52" s="197">
        <v>2851</v>
      </c>
      <c r="H52" s="197">
        <v>3252</v>
      </c>
      <c r="I52" s="197">
        <v>3499</v>
      </c>
      <c r="J52" s="197">
        <v>2445</v>
      </c>
      <c r="K52" s="197">
        <v>4562</v>
      </c>
      <c r="L52" s="197">
        <v>1671</v>
      </c>
      <c r="M52" s="197">
        <v>1058</v>
      </c>
      <c r="N52" s="197">
        <v>1603</v>
      </c>
      <c r="O52" s="197">
        <v>5404</v>
      </c>
      <c r="P52" s="197">
        <v>371</v>
      </c>
      <c r="Q52" s="197">
        <v>1325</v>
      </c>
      <c r="R52" s="197">
        <v>2349</v>
      </c>
      <c r="S52" s="197">
        <v>-3205</v>
      </c>
      <c r="T52" s="197">
        <v>2689</v>
      </c>
      <c r="U52" s="197">
        <v>2438</v>
      </c>
      <c r="V52" s="197">
        <v>807</v>
      </c>
      <c r="W52" s="197">
        <v>1676</v>
      </c>
      <c r="X52" s="197">
        <v>2134</v>
      </c>
      <c r="Y52" s="197">
        <v>2180</v>
      </c>
      <c r="Z52" s="197">
        <v>17004</v>
      </c>
      <c r="AA52" s="197">
        <v>1213</v>
      </c>
      <c r="AB52" s="1">
        <v>4375</v>
      </c>
      <c r="AC52" s="1">
        <v>0</v>
      </c>
      <c r="AD52" s="1">
        <v>0</v>
      </c>
      <c r="AE52" s="1">
        <v>0</v>
      </c>
    </row>
    <row r="53" spans="1:31">
      <c r="B53" s="6" t="s">
        <v>204</v>
      </c>
      <c r="C53" s="6" t="s">
        <v>205</v>
      </c>
      <c r="D53" s="7">
        <v>4061925</v>
      </c>
      <c r="E53" s="197">
        <v>2072</v>
      </c>
      <c r="F53" s="197">
        <v>2314</v>
      </c>
      <c r="G53" s="197">
        <v>2315</v>
      </c>
      <c r="H53" s="197">
        <v>1479</v>
      </c>
      <c r="I53" s="197">
        <v>2640</v>
      </c>
      <c r="J53" s="197">
        <v>700</v>
      </c>
      <c r="K53" s="197">
        <v>1810</v>
      </c>
      <c r="L53" s="197">
        <v>1091</v>
      </c>
      <c r="M53" s="197">
        <v>741</v>
      </c>
      <c r="N53" s="197">
        <v>1380</v>
      </c>
      <c r="O53" s="197">
        <v>1687</v>
      </c>
      <c r="P53" s="197">
        <v>1929</v>
      </c>
      <c r="Q53" s="197">
        <v>5409</v>
      </c>
      <c r="R53" s="197">
        <v>902</v>
      </c>
      <c r="S53" s="197">
        <v>381</v>
      </c>
      <c r="T53" s="197">
        <v>642</v>
      </c>
      <c r="U53" s="197">
        <v>233</v>
      </c>
      <c r="V53" s="197">
        <v>372</v>
      </c>
      <c r="W53" s="197">
        <v>653</v>
      </c>
      <c r="X53" s="197">
        <v>36</v>
      </c>
      <c r="Y53" s="197">
        <v>46</v>
      </c>
      <c r="Z53" s="197">
        <v>130</v>
      </c>
      <c r="AA53" s="197">
        <v>84</v>
      </c>
      <c r="AB53" s="1">
        <v>61</v>
      </c>
      <c r="AC53" s="1">
        <v>0</v>
      </c>
      <c r="AD53" s="1">
        <v>0</v>
      </c>
      <c r="AE53" s="1">
        <v>0</v>
      </c>
    </row>
    <row r="54" spans="1:31">
      <c r="B54" s="6" t="s">
        <v>293</v>
      </c>
      <c r="C54" s="6" t="s">
        <v>293</v>
      </c>
      <c r="D54" s="7">
        <v>4057132</v>
      </c>
      <c r="E54" s="197" t="s">
        <v>175</v>
      </c>
      <c r="F54" s="197" t="s">
        <v>175</v>
      </c>
      <c r="G54" s="197" t="s">
        <v>175</v>
      </c>
      <c r="H54" s="197" t="s">
        <v>175</v>
      </c>
      <c r="I54" s="197">
        <v>20775</v>
      </c>
      <c r="J54" s="197">
        <v>15723</v>
      </c>
      <c r="K54" s="197">
        <v>16363</v>
      </c>
      <c r="L54" s="197">
        <v>15706</v>
      </c>
      <c r="M54" s="197">
        <v>46581</v>
      </c>
      <c r="N54" s="197">
        <v>28198</v>
      </c>
      <c r="O54" s="197">
        <v>11852</v>
      </c>
      <c r="P54" s="197">
        <v>7181</v>
      </c>
      <c r="Q54" s="197">
        <v>5990</v>
      </c>
      <c r="R54" s="197">
        <v>5981</v>
      </c>
      <c r="S54" s="197">
        <v>5752</v>
      </c>
      <c r="T54" s="197">
        <v>3938</v>
      </c>
      <c r="U54" s="197">
        <v>8117</v>
      </c>
      <c r="V54" s="197">
        <v>5844</v>
      </c>
      <c r="W54" s="197" t="s">
        <v>175</v>
      </c>
      <c r="X54" s="197">
        <v>4781</v>
      </c>
      <c r="Y54" s="197">
        <v>6345</v>
      </c>
      <c r="Z54" s="197">
        <v>3909</v>
      </c>
      <c r="AA54" s="197">
        <v>6718</v>
      </c>
      <c r="AB54" s="1">
        <v>3933</v>
      </c>
      <c r="AC54" s="1">
        <v>0</v>
      </c>
      <c r="AD54" s="1">
        <v>0</v>
      </c>
      <c r="AE54" s="1">
        <v>0</v>
      </c>
    </row>
    <row r="55" spans="1:31">
      <c r="A55" s="1" t="s">
        <v>275</v>
      </c>
      <c r="B55" s="6" t="s">
        <v>294</v>
      </c>
      <c r="C55" s="6" t="s">
        <v>294</v>
      </c>
      <c r="D55" s="7">
        <v>4057115</v>
      </c>
      <c r="E55" s="197" t="s">
        <v>175</v>
      </c>
      <c r="F55" s="197">
        <v>9927</v>
      </c>
      <c r="G55" s="197">
        <v>7261</v>
      </c>
      <c r="H55" s="197">
        <v>10654</v>
      </c>
      <c r="I55" s="197">
        <v>8738</v>
      </c>
      <c r="J55" s="197">
        <v>16951</v>
      </c>
      <c r="K55" s="197">
        <v>2670</v>
      </c>
      <c r="L55" s="197">
        <v>6006</v>
      </c>
      <c r="M55" s="197">
        <v>2252</v>
      </c>
      <c r="N55" s="197">
        <v>3485</v>
      </c>
      <c r="O55" s="197">
        <v>3903</v>
      </c>
      <c r="P55" s="197">
        <v>3804</v>
      </c>
      <c r="Q55" s="197">
        <v>2141</v>
      </c>
      <c r="R55" s="197">
        <v>3296</v>
      </c>
      <c r="S55" s="197">
        <v>5857</v>
      </c>
      <c r="T55" s="197">
        <v>3200</v>
      </c>
      <c r="U55" s="197">
        <v>990</v>
      </c>
      <c r="V55" s="197">
        <v>2210</v>
      </c>
      <c r="W55" s="197">
        <v>1527</v>
      </c>
      <c r="X55" s="197">
        <v>6726</v>
      </c>
      <c r="Y55" s="197" t="s">
        <v>175</v>
      </c>
      <c r="Z55" s="197">
        <v>0</v>
      </c>
      <c r="AA55" s="197" t="s">
        <v>175</v>
      </c>
      <c r="AB55" s="1">
        <v>375</v>
      </c>
      <c r="AC55" s="1">
        <v>0</v>
      </c>
      <c r="AD55" s="1">
        <v>0</v>
      </c>
      <c r="AE55" s="1">
        <v>0</v>
      </c>
    </row>
    <row r="56" spans="1:31">
      <c r="B56" s="6" t="s">
        <v>206</v>
      </c>
      <c r="C56" s="6" t="s">
        <v>206</v>
      </c>
      <c r="D56" s="7">
        <v>4064479</v>
      </c>
      <c r="E56" s="197">
        <v>1998</v>
      </c>
      <c r="F56" s="197">
        <v>678</v>
      </c>
      <c r="G56" s="197">
        <v>379</v>
      </c>
      <c r="H56" s="197">
        <v>242</v>
      </c>
      <c r="I56" s="197">
        <v>311</v>
      </c>
      <c r="J56" s="197">
        <v>484</v>
      </c>
      <c r="K56" s="197">
        <v>432</v>
      </c>
      <c r="L56" s="197">
        <v>344</v>
      </c>
      <c r="M56" s="197">
        <v>351</v>
      </c>
      <c r="N56" s="197">
        <v>616</v>
      </c>
      <c r="O56" s="197">
        <v>2042</v>
      </c>
      <c r="P56" s="197">
        <v>873</v>
      </c>
      <c r="Q56" s="197">
        <v>582</v>
      </c>
      <c r="R56" s="197">
        <v>710</v>
      </c>
      <c r="S56" s="197">
        <v>686</v>
      </c>
      <c r="T56" s="197">
        <v>380</v>
      </c>
      <c r="U56" s="197">
        <v>340</v>
      </c>
      <c r="V56" s="197">
        <v>422</v>
      </c>
      <c r="W56" s="197">
        <v>427</v>
      </c>
      <c r="X56" s="197">
        <v>227</v>
      </c>
      <c r="Y56" s="197">
        <v>335</v>
      </c>
      <c r="Z56" s="197">
        <v>187</v>
      </c>
      <c r="AA56" s="197">
        <v>418</v>
      </c>
      <c r="AB56" s="1">
        <v>330</v>
      </c>
      <c r="AC56" s="1">
        <v>0</v>
      </c>
      <c r="AD56" s="1">
        <v>485</v>
      </c>
      <c r="AE56" s="1">
        <v>0</v>
      </c>
    </row>
    <row r="57" spans="1:31">
      <c r="B57" s="6" t="s">
        <v>295</v>
      </c>
      <c r="C57" s="6" t="s">
        <v>295</v>
      </c>
      <c r="D57" s="7">
        <v>4062025</v>
      </c>
      <c r="E57" s="197" t="s">
        <v>175</v>
      </c>
      <c r="F57" s="197">
        <v>1548</v>
      </c>
      <c r="G57" s="197">
        <v>1820</v>
      </c>
      <c r="H57" s="197">
        <v>628</v>
      </c>
      <c r="I57" s="197">
        <v>605</v>
      </c>
      <c r="J57" s="197">
        <v>907</v>
      </c>
      <c r="K57" s="197">
        <v>357</v>
      </c>
      <c r="L57" s="197">
        <v>407</v>
      </c>
      <c r="M57" s="197">
        <v>317</v>
      </c>
      <c r="N57" s="197">
        <v>404</v>
      </c>
      <c r="O57" s="197">
        <v>660</v>
      </c>
      <c r="P57" s="197">
        <v>215</v>
      </c>
      <c r="Q57" s="197">
        <v>348</v>
      </c>
      <c r="R57" s="197">
        <v>741</v>
      </c>
      <c r="S57" s="197">
        <v>377</v>
      </c>
      <c r="T57" s="197">
        <v>280</v>
      </c>
      <c r="U57" s="197">
        <v>266</v>
      </c>
      <c r="V57" s="197">
        <v>454</v>
      </c>
      <c r="W57" s="197">
        <v>501</v>
      </c>
      <c r="X57" s="197">
        <v>248</v>
      </c>
      <c r="Y57" s="197">
        <v>417</v>
      </c>
      <c r="Z57" s="197">
        <v>258</v>
      </c>
      <c r="AA57" s="197">
        <v>3546</v>
      </c>
      <c r="AB57" s="1">
        <v>272</v>
      </c>
      <c r="AC57" s="1">
        <v>0</v>
      </c>
      <c r="AD57" s="1">
        <v>0</v>
      </c>
      <c r="AE57" s="1">
        <v>0</v>
      </c>
    </row>
    <row r="58" spans="1:31">
      <c r="B58" s="6" t="s">
        <v>296</v>
      </c>
      <c r="C58" s="6" t="s">
        <v>296</v>
      </c>
      <c r="D58" s="7">
        <v>4064481</v>
      </c>
      <c r="E58" s="197" t="s">
        <v>175</v>
      </c>
      <c r="F58" s="197" t="s">
        <v>175</v>
      </c>
      <c r="G58" s="197" t="s">
        <v>175</v>
      </c>
      <c r="H58" s="197">
        <v>5190</v>
      </c>
      <c r="I58" s="197">
        <v>5478</v>
      </c>
      <c r="J58" s="197">
        <v>10011</v>
      </c>
      <c r="K58" s="197">
        <v>2137</v>
      </c>
      <c r="L58" s="197">
        <v>3206</v>
      </c>
      <c r="M58" s="197">
        <v>10861</v>
      </c>
      <c r="N58" s="197">
        <v>5710</v>
      </c>
      <c r="O58" s="197">
        <v>15977</v>
      </c>
      <c r="P58" s="197">
        <v>5765</v>
      </c>
      <c r="Q58" s="197">
        <v>8994</v>
      </c>
      <c r="R58" s="197">
        <v>5754</v>
      </c>
      <c r="S58" s="197">
        <v>3020</v>
      </c>
      <c r="T58" s="197">
        <v>7803</v>
      </c>
      <c r="U58" s="197">
        <v>2765</v>
      </c>
      <c r="V58" s="197">
        <v>5079</v>
      </c>
      <c r="W58" s="197">
        <v>1659</v>
      </c>
      <c r="X58" s="197">
        <v>1535</v>
      </c>
      <c r="Y58" s="197">
        <v>5648</v>
      </c>
      <c r="Z58" s="197">
        <v>5410</v>
      </c>
      <c r="AA58" s="197">
        <v>7269</v>
      </c>
      <c r="AB58" s="1">
        <v>10472</v>
      </c>
      <c r="AC58" s="1">
        <v>0</v>
      </c>
      <c r="AD58" s="1">
        <v>0</v>
      </c>
      <c r="AE58" s="1" t="s">
        <v>175</v>
      </c>
    </row>
    <row r="59" spans="1:31">
      <c r="A59" s="1" t="s">
        <v>275</v>
      </c>
      <c r="B59" s="6" t="s">
        <v>207</v>
      </c>
      <c r="C59" s="6" t="s">
        <v>207</v>
      </c>
      <c r="D59" s="7">
        <v>4057093</v>
      </c>
      <c r="E59" s="197">
        <v>3968</v>
      </c>
      <c r="F59" s="197">
        <v>3902</v>
      </c>
      <c r="G59" s="197">
        <v>1446</v>
      </c>
      <c r="H59" s="197">
        <v>2164</v>
      </c>
      <c r="I59" s="197">
        <v>1301</v>
      </c>
      <c r="J59" s="197">
        <v>584</v>
      </c>
      <c r="K59" s="197">
        <v>705</v>
      </c>
      <c r="L59" s="197">
        <v>455</v>
      </c>
      <c r="M59" s="197">
        <v>1486</v>
      </c>
      <c r="N59" s="197">
        <v>800</v>
      </c>
      <c r="O59" s="197">
        <v>1073</v>
      </c>
      <c r="P59" s="197">
        <v>923</v>
      </c>
      <c r="Q59" s="197">
        <v>1270</v>
      </c>
      <c r="R59" s="197">
        <v>1004</v>
      </c>
      <c r="S59" s="197">
        <v>1757</v>
      </c>
      <c r="T59" s="197">
        <v>1441</v>
      </c>
      <c r="U59" s="197">
        <v>1022</v>
      </c>
      <c r="V59" s="197">
        <v>846</v>
      </c>
      <c r="W59" s="197">
        <v>937</v>
      </c>
      <c r="X59" s="197">
        <v>186</v>
      </c>
      <c r="Y59" s="197">
        <v>3</v>
      </c>
      <c r="Z59" s="197">
        <v>254</v>
      </c>
      <c r="AA59" s="197">
        <v>59</v>
      </c>
      <c r="AB59" s="1">
        <v>692</v>
      </c>
      <c r="AC59" s="1">
        <v>0</v>
      </c>
      <c r="AD59" s="1">
        <v>0</v>
      </c>
      <c r="AE59" s="1">
        <v>0</v>
      </c>
    </row>
    <row r="60" spans="1:31">
      <c r="B60" s="6" t="s">
        <v>208</v>
      </c>
      <c r="C60" s="6" t="s">
        <v>208</v>
      </c>
      <c r="D60" s="7">
        <v>4004218</v>
      </c>
      <c r="E60" s="197">
        <v>92663.921000000002</v>
      </c>
      <c r="F60" s="197">
        <v>23837</v>
      </c>
      <c r="G60" s="197">
        <v>24821</v>
      </c>
      <c r="H60" s="197">
        <v>61935</v>
      </c>
      <c r="I60" s="197">
        <v>112560</v>
      </c>
      <c r="J60" s="197">
        <v>38772</v>
      </c>
      <c r="K60" s="197">
        <v>33336</v>
      </c>
      <c r="L60" s="197">
        <v>27110</v>
      </c>
      <c r="M60" s="197">
        <v>64622</v>
      </c>
      <c r="N60" s="197">
        <v>25899</v>
      </c>
      <c r="O60" s="197">
        <v>27914</v>
      </c>
      <c r="P60" s="197">
        <v>1845</v>
      </c>
      <c r="Q60" s="197">
        <v>1740</v>
      </c>
      <c r="R60" s="197">
        <v>2280</v>
      </c>
      <c r="S60" s="197">
        <v>1128</v>
      </c>
      <c r="T60" s="197">
        <v>1421</v>
      </c>
      <c r="U60" s="197">
        <v>1464</v>
      </c>
      <c r="V60" s="197">
        <v>1351</v>
      </c>
      <c r="W60" s="197">
        <v>1419</v>
      </c>
      <c r="X60" s="197">
        <v>3134</v>
      </c>
      <c r="Y60" s="197">
        <v>1023</v>
      </c>
      <c r="Z60" s="197">
        <v>-344</v>
      </c>
      <c r="AA60" s="197">
        <v>3007</v>
      </c>
      <c r="AB60" s="1">
        <v>1758</v>
      </c>
      <c r="AC60" s="1">
        <v>0</v>
      </c>
      <c r="AD60" s="1">
        <v>0</v>
      </c>
      <c r="AE60" s="1">
        <v>0</v>
      </c>
    </row>
    <row r="61" spans="1:31">
      <c r="A61" s="1" t="s">
        <v>275</v>
      </c>
      <c r="B61" s="6" t="s">
        <v>297</v>
      </c>
      <c r="C61" s="6" t="s">
        <v>298</v>
      </c>
      <c r="D61" s="7">
        <v>4062222</v>
      </c>
      <c r="E61" s="197" t="s">
        <v>175</v>
      </c>
      <c r="F61" s="197">
        <v>5061</v>
      </c>
      <c r="G61" s="197">
        <v>1337</v>
      </c>
      <c r="H61" s="197">
        <v>6530</v>
      </c>
      <c r="I61" s="197">
        <v>3861</v>
      </c>
      <c r="J61" s="197">
        <v>1601</v>
      </c>
      <c r="K61" s="197">
        <v>785</v>
      </c>
      <c r="L61" s="197">
        <v>803</v>
      </c>
      <c r="M61" s="197">
        <v>869</v>
      </c>
      <c r="N61" s="197">
        <v>2656</v>
      </c>
      <c r="O61" s="197">
        <v>696</v>
      </c>
      <c r="P61" s="197">
        <v>517</v>
      </c>
      <c r="Q61" s="197">
        <v>851</v>
      </c>
      <c r="R61" s="197">
        <v>1220</v>
      </c>
      <c r="S61" s="197">
        <v>1344</v>
      </c>
      <c r="T61" s="197">
        <v>-792</v>
      </c>
      <c r="U61" s="197">
        <v>1152</v>
      </c>
      <c r="V61" s="197">
        <v>1531</v>
      </c>
      <c r="W61" s="197">
        <v>377</v>
      </c>
      <c r="X61" s="197">
        <v>260</v>
      </c>
      <c r="Y61" s="197">
        <v>399</v>
      </c>
      <c r="Z61" s="197" t="s">
        <v>175</v>
      </c>
      <c r="AA61" s="197">
        <v>71</v>
      </c>
      <c r="AB61" s="1">
        <v>-68</v>
      </c>
      <c r="AC61" s="1">
        <v>0</v>
      </c>
      <c r="AD61" s="1">
        <v>0</v>
      </c>
      <c r="AE61" s="1">
        <v>0</v>
      </c>
    </row>
    <row r="62" spans="1:31">
      <c r="B62" s="6" t="s">
        <v>210</v>
      </c>
      <c r="C62" s="6" t="s">
        <v>211</v>
      </c>
      <c r="D62" s="7">
        <v>4057135</v>
      </c>
      <c r="E62" s="197">
        <v>11839</v>
      </c>
      <c r="F62" s="197">
        <v>24669</v>
      </c>
      <c r="G62" s="197">
        <v>15820</v>
      </c>
      <c r="H62" s="197">
        <v>21938</v>
      </c>
      <c r="I62" s="197">
        <v>5681</v>
      </c>
      <c r="J62" s="197">
        <v>9407</v>
      </c>
      <c r="K62" s="197">
        <v>10803</v>
      </c>
      <c r="L62" s="197">
        <v>11827</v>
      </c>
      <c r="M62" s="197">
        <v>11851</v>
      </c>
      <c r="N62" s="197">
        <v>16081</v>
      </c>
      <c r="O62" s="197">
        <v>11561</v>
      </c>
      <c r="P62" s="197">
        <v>3018</v>
      </c>
      <c r="Q62" s="197">
        <v>1944</v>
      </c>
      <c r="R62" s="197">
        <v>2693</v>
      </c>
      <c r="S62" s="197">
        <v>9274</v>
      </c>
      <c r="T62" s="197">
        <v>11709</v>
      </c>
      <c r="U62" s="197">
        <v>9261</v>
      </c>
      <c r="V62" s="197">
        <v>4866</v>
      </c>
      <c r="W62" s="197">
        <v>10164</v>
      </c>
      <c r="X62" s="197">
        <v>7792</v>
      </c>
      <c r="Y62" s="197">
        <v>11419</v>
      </c>
      <c r="Z62" s="197">
        <v>13432</v>
      </c>
      <c r="AA62" s="197">
        <v>12328</v>
      </c>
      <c r="AB62" s="1">
        <v>12300</v>
      </c>
      <c r="AC62" s="1">
        <v>0</v>
      </c>
      <c r="AD62" s="1">
        <v>0</v>
      </c>
      <c r="AE62" s="1">
        <v>0</v>
      </c>
    </row>
    <row r="63" spans="1:31">
      <c r="B63" s="6" t="s">
        <v>212</v>
      </c>
      <c r="C63" s="6" t="s">
        <v>212</v>
      </c>
      <c r="D63" s="7">
        <v>4063341</v>
      </c>
      <c r="E63" s="197">
        <v>3068</v>
      </c>
      <c r="F63" s="197">
        <v>5884</v>
      </c>
      <c r="G63" s="197">
        <v>6989</v>
      </c>
      <c r="H63" s="197">
        <v>4067</v>
      </c>
      <c r="I63" s="197">
        <v>3129</v>
      </c>
      <c r="J63" s="197">
        <v>4565</v>
      </c>
      <c r="K63" s="197">
        <v>4430</v>
      </c>
      <c r="L63" s="197">
        <v>4889</v>
      </c>
      <c r="M63" s="197">
        <v>3921</v>
      </c>
      <c r="N63" s="197">
        <v>955</v>
      </c>
      <c r="O63" s="197">
        <v>4743</v>
      </c>
      <c r="P63" s="197">
        <v>1524</v>
      </c>
      <c r="Q63" s="197">
        <v>2171</v>
      </c>
      <c r="R63" s="197">
        <v>2776</v>
      </c>
      <c r="S63" s="197">
        <v>3765</v>
      </c>
      <c r="T63" s="197">
        <v>3738</v>
      </c>
      <c r="U63" s="197">
        <v>2683</v>
      </c>
      <c r="V63" s="197">
        <v>2815</v>
      </c>
      <c r="W63" s="197">
        <v>7268</v>
      </c>
      <c r="X63" s="197">
        <v>8586</v>
      </c>
      <c r="Y63" s="197">
        <v>12892</v>
      </c>
      <c r="Z63" s="197">
        <v>0</v>
      </c>
      <c r="AA63" s="197">
        <v>7369</v>
      </c>
      <c r="AB63" s="1">
        <v>0</v>
      </c>
      <c r="AC63" s="1">
        <v>0</v>
      </c>
      <c r="AD63" s="1">
        <v>0</v>
      </c>
      <c r="AE63" s="1">
        <v>0</v>
      </c>
    </row>
    <row r="64" spans="1:31">
      <c r="A64" s="1" t="s">
        <v>275</v>
      </c>
      <c r="B64" s="6" t="s">
        <v>299</v>
      </c>
      <c r="C64" s="6" t="s">
        <v>299</v>
      </c>
      <c r="D64" s="7">
        <v>4083575</v>
      </c>
      <c r="E64" s="197" t="s">
        <v>175</v>
      </c>
      <c r="F64" s="197">
        <v>4104</v>
      </c>
      <c r="G64" s="197">
        <v>9055</v>
      </c>
      <c r="H64" s="197">
        <v>9580</v>
      </c>
      <c r="I64" s="197">
        <v>384</v>
      </c>
      <c r="J64" s="197">
        <v>575</v>
      </c>
      <c r="K64" s="197">
        <v>152</v>
      </c>
      <c r="L64" s="197">
        <v>8047</v>
      </c>
      <c r="M64" s="197">
        <v>1937</v>
      </c>
      <c r="N64" s="197">
        <v>0</v>
      </c>
      <c r="O64" s="197">
        <v>1598</v>
      </c>
      <c r="P64" s="197">
        <v>2619</v>
      </c>
      <c r="Q64" s="197">
        <v>12933</v>
      </c>
      <c r="R64" s="197">
        <v>125</v>
      </c>
      <c r="S64" s="197">
        <v>1798</v>
      </c>
      <c r="T64" s="197">
        <v>173</v>
      </c>
      <c r="U64" s="197">
        <v>3267</v>
      </c>
      <c r="V64" s="197">
        <v>4737</v>
      </c>
      <c r="W64" s="197">
        <v>4933</v>
      </c>
      <c r="X64" s="197">
        <v>30904</v>
      </c>
      <c r="Y64" s="197">
        <v>6418</v>
      </c>
      <c r="Z64" s="197" t="s">
        <v>175</v>
      </c>
      <c r="AA64" s="197" t="s">
        <v>175</v>
      </c>
      <c r="AB64" s="1" t="s">
        <v>175</v>
      </c>
      <c r="AC64" s="1" t="s">
        <v>175</v>
      </c>
      <c r="AD64" s="1" t="s">
        <v>175</v>
      </c>
      <c r="AE64" s="1" t="s">
        <v>175</v>
      </c>
    </row>
    <row r="65" spans="1:31">
      <c r="B65" s="6" t="s">
        <v>300</v>
      </c>
      <c r="C65" s="6" t="s">
        <v>300</v>
      </c>
      <c r="D65" s="7">
        <v>4062303</v>
      </c>
      <c r="E65" s="197" t="s">
        <v>175</v>
      </c>
      <c r="F65" s="197">
        <v>22</v>
      </c>
      <c r="G65" s="197">
        <v>20</v>
      </c>
      <c r="H65" s="197">
        <v>56</v>
      </c>
      <c r="I65" s="197" t="s">
        <v>175</v>
      </c>
      <c r="J65" s="197" t="s">
        <v>175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 t="s">
        <v>175</v>
      </c>
      <c r="AB65" s="1" t="s">
        <v>175</v>
      </c>
      <c r="AC65" s="1" t="s">
        <v>175</v>
      </c>
      <c r="AD65" s="1" t="s">
        <v>175</v>
      </c>
      <c r="AE65" s="1" t="s">
        <v>175</v>
      </c>
    </row>
    <row r="66" spans="1:31">
      <c r="B66" s="6" t="s">
        <v>301</v>
      </c>
      <c r="C66" s="6" t="s">
        <v>301</v>
      </c>
      <c r="D66" s="7">
        <v>4083581</v>
      </c>
      <c r="E66" s="197" t="s">
        <v>175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56</v>
      </c>
      <c r="P66" s="197">
        <v>7</v>
      </c>
      <c r="Q66" s="197">
        <v>38</v>
      </c>
      <c r="R66" s="197">
        <v>0</v>
      </c>
      <c r="S66" s="197">
        <v>23</v>
      </c>
      <c r="T66" s="197">
        <v>135</v>
      </c>
      <c r="U66" s="197">
        <v>3</v>
      </c>
      <c r="V66" s="197">
        <v>0</v>
      </c>
      <c r="W66" s="197">
        <v>68</v>
      </c>
      <c r="X66" s="197" t="s">
        <v>175</v>
      </c>
      <c r="Y66" s="197">
        <v>35</v>
      </c>
      <c r="Z66" s="197">
        <v>80</v>
      </c>
      <c r="AA66" s="197" t="s">
        <v>175</v>
      </c>
      <c r="AB66" s="1" t="s">
        <v>175</v>
      </c>
      <c r="AC66" s="1" t="s">
        <v>175</v>
      </c>
      <c r="AD66" s="1" t="s">
        <v>175</v>
      </c>
      <c r="AE66" s="1" t="s">
        <v>175</v>
      </c>
    </row>
    <row r="67" spans="1:31">
      <c r="B67" s="6" t="s">
        <v>214</v>
      </c>
      <c r="C67" s="6" t="s">
        <v>214</v>
      </c>
      <c r="D67" s="7">
        <v>4057139</v>
      </c>
      <c r="E67" s="197">
        <v>5578.5789999999997</v>
      </c>
      <c r="F67" s="197">
        <v>134565</v>
      </c>
      <c r="G67" s="197">
        <v>2551</v>
      </c>
      <c r="H67" s="197">
        <v>6220</v>
      </c>
      <c r="I67" s="197">
        <v>14173</v>
      </c>
      <c r="J67" s="197">
        <v>9041</v>
      </c>
      <c r="K67" s="197">
        <v>12953</v>
      </c>
      <c r="L67" s="197">
        <v>6883</v>
      </c>
      <c r="M67" s="197">
        <v>8581</v>
      </c>
      <c r="N67" s="197">
        <v>10071</v>
      </c>
      <c r="O67" s="197">
        <v>8295</v>
      </c>
      <c r="P67" s="197">
        <v>6850</v>
      </c>
      <c r="Q67" s="197">
        <v>4436</v>
      </c>
      <c r="R67" s="197">
        <v>9691</v>
      </c>
      <c r="S67" s="197">
        <v>7522</v>
      </c>
      <c r="T67" s="197">
        <v>7571</v>
      </c>
      <c r="U67" s="197">
        <v>5783</v>
      </c>
      <c r="V67" s="197">
        <v>4103</v>
      </c>
      <c r="W67" s="197">
        <v>6378</v>
      </c>
      <c r="X67" s="197">
        <v>8663</v>
      </c>
      <c r="Y67" s="197">
        <v>17602</v>
      </c>
      <c r="Z67" s="197">
        <v>7002</v>
      </c>
      <c r="AA67" s="197">
        <v>19236</v>
      </c>
      <c r="AB67" s="1">
        <v>9065</v>
      </c>
      <c r="AC67" s="1">
        <v>0</v>
      </c>
      <c r="AD67" s="1">
        <v>0</v>
      </c>
      <c r="AE67" s="1">
        <v>0</v>
      </c>
    </row>
    <row r="68" spans="1:31">
      <c r="A68" s="1" t="s">
        <v>275</v>
      </c>
      <c r="B68" s="6" t="s">
        <v>216</v>
      </c>
      <c r="C68" s="6" t="s">
        <v>216</v>
      </c>
      <c r="D68" s="7">
        <v>4057095</v>
      </c>
      <c r="E68" s="197">
        <v>23903.339</v>
      </c>
      <c r="F68" s="197" t="s">
        <v>175</v>
      </c>
      <c r="G68" s="197">
        <v>9857</v>
      </c>
      <c r="H68" s="197">
        <v>27632</v>
      </c>
      <c r="I68" s="197">
        <v>13423</v>
      </c>
      <c r="J68" s="197">
        <v>6518</v>
      </c>
      <c r="K68" s="197">
        <v>-4111</v>
      </c>
      <c r="L68" s="197">
        <v>7947</v>
      </c>
      <c r="M68" s="197">
        <v>1022</v>
      </c>
      <c r="N68" s="197">
        <v>5388</v>
      </c>
      <c r="O68" s="197">
        <v>8908</v>
      </c>
      <c r="P68" s="197">
        <v>14641</v>
      </c>
      <c r="Q68" s="197">
        <v>6882</v>
      </c>
      <c r="R68" s="197">
        <v>17735</v>
      </c>
      <c r="S68" s="197">
        <v>18059</v>
      </c>
      <c r="T68" s="197">
        <v>20292</v>
      </c>
      <c r="U68" s="197">
        <v>20545</v>
      </c>
      <c r="V68" s="197">
        <v>13513</v>
      </c>
      <c r="W68" s="197">
        <v>11792</v>
      </c>
      <c r="X68" s="197">
        <v>8700</v>
      </c>
      <c r="Y68" s="197">
        <v>13422</v>
      </c>
      <c r="Z68" s="197">
        <v>12565</v>
      </c>
      <c r="AA68" s="197">
        <v>13304</v>
      </c>
      <c r="AB68" s="1">
        <v>1113</v>
      </c>
      <c r="AC68" s="1">
        <v>0</v>
      </c>
      <c r="AD68" s="1">
        <v>0</v>
      </c>
      <c r="AE68" s="1">
        <v>0</v>
      </c>
    </row>
    <row r="69" spans="1:31">
      <c r="B69" s="6" t="s">
        <v>217</v>
      </c>
      <c r="C69" s="6" t="s">
        <v>217</v>
      </c>
      <c r="D69" s="7">
        <v>4062485</v>
      </c>
      <c r="E69" s="197">
        <v>1275</v>
      </c>
      <c r="F69" s="197">
        <v>1491</v>
      </c>
      <c r="G69" s="197">
        <v>-244</v>
      </c>
      <c r="H69" s="197">
        <v>891</v>
      </c>
      <c r="I69" s="197">
        <v>1704</v>
      </c>
      <c r="J69" s="197">
        <v>1481</v>
      </c>
      <c r="K69" s="197">
        <v>515</v>
      </c>
      <c r="L69" s="197">
        <v>870</v>
      </c>
      <c r="M69" s="197">
        <v>15083</v>
      </c>
      <c r="N69" s="197">
        <v>1835</v>
      </c>
      <c r="O69" s="197">
        <v>1046</v>
      </c>
      <c r="P69" s="197">
        <v>5076</v>
      </c>
      <c r="Q69" s="197">
        <v>2018</v>
      </c>
      <c r="R69" s="197">
        <v>2315</v>
      </c>
      <c r="S69" s="197">
        <v>901</v>
      </c>
      <c r="T69" s="197">
        <v>944</v>
      </c>
      <c r="U69" s="197">
        <v>1112</v>
      </c>
      <c r="V69" s="197">
        <v>171</v>
      </c>
      <c r="W69" s="197">
        <v>758</v>
      </c>
      <c r="X69" s="197">
        <v>359</v>
      </c>
      <c r="Y69" s="197">
        <v>507</v>
      </c>
      <c r="Z69" s="197">
        <v>830</v>
      </c>
      <c r="AA69" s="197">
        <v>634</v>
      </c>
      <c r="AB69" s="1">
        <v>9052</v>
      </c>
      <c r="AC69" s="1" t="s">
        <v>175</v>
      </c>
      <c r="AD69" s="1" t="s">
        <v>175</v>
      </c>
      <c r="AE69" s="1">
        <v>0</v>
      </c>
    </row>
    <row r="70" spans="1:31">
      <c r="B70" s="6" t="s">
        <v>218</v>
      </c>
      <c r="C70" s="6" t="s">
        <v>218</v>
      </c>
      <c r="D70" s="7">
        <v>4057140</v>
      </c>
      <c r="E70" s="197">
        <v>21271</v>
      </c>
      <c r="F70" s="197">
        <v>943</v>
      </c>
      <c r="G70" s="197">
        <v>2759</v>
      </c>
      <c r="H70" s="197">
        <v>5368</v>
      </c>
      <c r="I70" s="197">
        <v>12232</v>
      </c>
      <c r="J70" s="197">
        <v>33476</v>
      </c>
      <c r="K70" s="197">
        <v>24344</v>
      </c>
      <c r="L70" s="197">
        <v>21307</v>
      </c>
      <c r="M70" s="197">
        <v>16203</v>
      </c>
      <c r="N70" s="197">
        <v>26540</v>
      </c>
      <c r="O70" s="197">
        <v>24727</v>
      </c>
      <c r="P70" s="197">
        <v>18030</v>
      </c>
      <c r="Q70" s="197">
        <v>16677</v>
      </c>
      <c r="R70" s="197">
        <v>9329</v>
      </c>
      <c r="S70" s="197">
        <v>10069</v>
      </c>
      <c r="T70" s="197">
        <v>11004</v>
      </c>
      <c r="U70" s="197">
        <v>7386</v>
      </c>
      <c r="V70" s="197">
        <v>24662</v>
      </c>
      <c r="W70" s="197">
        <v>2889</v>
      </c>
      <c r="X70" s="197">
        <v>10272</v>
      </c>
      <c r="Y70" s="197">
        <v>18828</v>
      </c>
      <c r="Z70" s="197">
        <v>14147</v>
      </c>
      <c r="AA70" s="197">
        <v>9472</v>
      </c>
      <c r="AB70" s="1">
        <v>22050</v>
      </c>
      <c r="AC70" s="1">
        <v>0</v>
      </c>
      <c r="AD70" s="1">
        <v>0</v>
      </c>
      <c r="AE70" s="1">
        <v>0</v>
      </c>
    </row>
    <row r="71" spans="1:31">
      <c r="A71" s="1" t="s">
        <v>275</v>
      </c>
      <c r="B71" s="6" t="s">
        <v>220</v>
      </c>
      <c r="C71" s="6" t="s">
        <v>221</v>
      </c>
      <c r="D71" s="7">
        <v>4057096</v>
      </c>
      <c r="E71" s="197">
        <v>319</v>
      </c>
      <c r="F71" s="197">
        <v>521</v>
      </c>
      <c r="G71" s="197">
        <v>524</v>
      </c>
      <c r="H71" s="197">
        <v>367</v>
      </c>
      <c r="I71" s="197">
        <v>313</v>
      </c>
      <c r="J71" s="197">
        <v>310</v>
      </c>
      <c r="K71" s="197">
        <v>255</v>
      </c>
      <c r="L71" s="197">
        <v>702</v>
      </c>
      <c r="M71" s="197">
        <v>1185</v>
      </c>
      <c r="N71" s="197">
        <v>362</v>
      </c>
      <c r="O71" s="197">
        <v>86</v>
      </c>
      <c r="P71" s="197">
        <v>60</v>
      </c>
      <c r="Q71" s="197">
        <v>95</v>
      </c>
      <c r="R71" s="197">
        <v>97</v>
      </c>
      <c r="S71" s="197">
        <v>161</v>
      </c>
      <c r="T71" s="197">
        <v>188</v>
      </c>
      <c r="U71" s="197">
        <v>187</v>
      </c>
      <c r="V71" s="197">
        <v>144</v>
      </c>
      <c r="W71" s="197" t="s">
        <v>175</v>
      </c>
      <c r="X71" s="197" t="s">
        <v>175</v>
      </c>
      <c r="Y71" s="197">
        <v>116</v>
      </c>
      <c r="Z71" s="197">
        <v>178</v>
      </c>
      <c r="AA71" s="197">
        <v>201</v>
      </c>
      <c r="AB71" s="1">
        <v>243</v>
      </c>
      <c r="AC71" s="1">
        <v>0</v>
      </c>
      <c r="AD71" s="1">
        <v>0</v>
      </c>
      <c r="AE71" s="1">
        <v>0</v>
      </c>
    </row>
    <row r="72" spans="1:31">
      <c r="B72" s="6" t="s">
        <v>302</v>
      </c>
      <c r="C72" s="6" t="s">
        <v>302</v>
      </c>
      <c r="D72" s="7">
        <v>4057097</v>
      </c>
      <c r="E72" s="197" t="s">
        <v>175</v>
      </c>
      <c r="F72" s="197" t="s">
        <v>175</v>
      </c>
      <c r="G72" s="197" t="s">
        <v>175</v>
      </c>
      <c r="H72" s="197">
        <v>658</v>
      </c>
      <c r="I72" s="197">
        <v>1732</v>
      </c>
      <c r="J72" s="197">
        <v>2361</v>
      </c>
      <c r="K72" s="197">
        <v>649</v>
      </c>
      <c r="L72" s="197">
        <v>843</v>
      </c>
      <c r="M72" s="197">
        <v>1205</v>
      </c>
      <c r="N72" s="197">
        <v>860</v>
      </c>
      <c r="O72" s="197">
        <v>394</v>
      </c>
      <c r="P72" s="197">
        <v>98</v>
      </c>
      <c r="Q72" s="197">
        <v>443</v>
      </c>
      <c r="R72" s="197">
        <v>90</v>
      </c>
      <c r="S72" s="197">
        <v>357</v>
      </c>
      <c r="T72" s="197">
        <v>516</v>
      </c>
      <c r="U72" s="197">
        <v>426</v>
      </c>
      <c r="V72" s="197">
        <v>325</v>
      </c>
      <c r="W72" s="197">
        <v>577</v>
      </c>
      <c r="X72" s="197">
        <v>543</v>
      </c>
      <c r="Y72" s="197">
        <v>857</v>
      </c>
      <c r="Z72" s="197">
        <v>390</v>
      </c>
      <c r="AA72" s="197">
        <v>496</v>
      </c>
      <c r="AB72" s="1">
        <v>1147</v>
      </c>
      <c r="AC72" s="1">
        <v>0</v>
      </c>
      <c r="AD72" s="1">
        <v>0</v>
      </c>
      <c r="AE72" s="1">
        <v>0</v>
      </c>
    </row>
    <row r="73" spans="1:31">
      <c r="B73" s="6" t="s">
        <v>303</v>
      </c>
      <c r="C73" s="6" t="s">
        <v>303</v>
      </c>
      <c r="D73" s="7">
        <v>4057098</v>
      </c>
      <c r="E73" s="197" t="s">
        <v>175</v>
      </c>
      <c r="F73" s="197" t="s">
        <v>175</v>
      </c>
      <c r="G73" s="197">
        <v>15</v>
      </c>
      <c r="H73" s="197">
        <v>81</v>
      </c>
      <c r="I73" s="197">
        <v>637</v>
      </c>
      <c r="J73" s="197">
        <v>105</v>
      </c>
      <c r="K73" s="197">
        <v>360</v>
      </c>
      <c r="L73" s="197">
        <v>0</v>
      </c>
      <c r="M73" s="197">
        <v>164</v>
      </c>
      <c r="N73" s="197">
        <v>953</v>
      </c>
      <c r="O73" s="197">
        <v>0</v>
      </c>
      <c r="P73" s="197">
        <v>0</v>
      </c>
      <c r="Q73" s="197">
        <v>0</v>
      </c>
      <c r="R73" s="197">
        <v>16</v>
      </c>
      <c r="S73" s="197">
        <v>346</v>
      </c>
      <c r="T73" s="197">
        <v>65</v>
      </c>
      <c r="U73" s="197">
        <v>672</v>
      </c>
      <c r="V73" s="197">
        <v>75</v>
      </c>
      <c r="W73" s="197">
        <v>852</v>
      </c>
      <c r="X73" s="197">
        <v>546</v>
      </c>
      <c r="Y73" s="197" t="s">
        <v>175</v>
      </c>
      <c r="Z73" s="197">
        <v>0</v>
      </c>
      <c r="AA73" s="197">
        <v>0</v>
      </c>
      <c r="AB73" s="1">
        <v>43</v>
      </c>
      <c r="AC73" s="1">
        <v>0</v>
      </c>
      <c r="AD73" s="1">
        <v>0</v>
      </c>
      <c r="AE73" s="1">
        <v>0</v>
      </c>
    </row>
    <row r="74" spans="1:31">
      <c r="A74" s="1" t="s">
        <v>275</v>
      </c>
      <c r="B74" s="6" t="s">
        <v>222</v>
      </c>
      <c r="C74" s="6" t="s">
        <v>222</v>
      </c>
      <c r="D74" s="7">
        <v>4063023</v>
      </c>
      <c r="E74" s="197">
        <v>4295.9070000000002</v>
      </c>
      <c r="F74" s="197" t="s">
        <v>175</v>
      </c>
      <c r="G74" s="197">
        <v>7597</v>
      </c>
      <c r="H74" s="197">
        <v>77791</v>
      </c>
      <c r="I74" s="197">
        <v>9373</v>
      </c>
      <c r="J74" s="197">
        <v>7798</v>
      </c>
      <c r="K74" s="197">
        <v>65119</v>
      </c>
      <c r="L74" s="197">
        <v>197253</v>
      </c>
      <c r="M74" s="197">
        <v>7254</v>
      </c>
      <c r="N74" s="197">
        <v>8035</v>
      </c>
      <c r="O74" s="197">
        <v>4228</v>
      </c>
      <c r="P74" s="197">
        <v>7212</v>
      </c>
      <c r="Q74" s="197">
        <v>5099</v>
      </c>
      <c r="R74" s="197">
        <v>3177</v>
      </c>
      <c r="S74" s="197">
        <v>3177</v>
      </c>
      <c r="T74" s="197">
        <v>3177</v>
      </c>
      <c r="U74" s="197">
        <v>1241</v>
      </c>
      <c r="V74" s="197">
        <v>428</v>
      </c>
      <c r="W74" s="197">
        <v>8640</v>
      </c>
      <c r="X74" s="197">
        <v>6823</v>
      </c>
      <c r="Y74" s="197">
        <v>7179</v>
      </c>
      <c r="Z74" s="197">
        <v>7316</v>
      </c>
      <c r="AA74" s="197">
        <v>6005</v>
      </c>
      <c r="AB74" s="1">
        <v>7220</v>
      </c>
      <c r="AC74" s="1">
        <v>0</v>
      </c>
      <c r="AD74" s="1">
        <v>0</v>
      </c>
      <c r="AE74" s="1">
        <v>0</v>
      </c>
    </row>
    <row r="75" spans="1:31">
      <c r="B75" s="6" t="s">
        <v>223</v>
      </c>
      <c r="C75" s="6" t="s">
        <v>223</v>
      </c>
      <c r="D75" s="7">
        <v>4057146</v>
      </c>
      <c r="E75" s="197">
        <v>246919.97399999999</v>
      </c>
      <c r="F75" s="197" t="s">
        <v>175</v>
      </c>
      <c r="G75" s="197">
        <v>146442</v>
      </c>
      <c r="H75" s="197">
        <v>161255</v>
      </c>
      <c r="I75" s="197">
        <v>212108</v>
      </c>
      <c r="J75" s="197">
        <v>172543</v>
      </c>
      <c r="K75" s="197">
        <v>204924</v>
      </c>
      <c r="L75" s="197">
        <v>117124</v>
      </c>
      <c r="M75" s="197">
        <v>234790</v>
      </c>
      <c r="N75" s="197">
        <v>254673</v>
      </c>
      <c r="O75" s="197">
        <v>159691</v>
      </c>
      <c r="P75" s="197">
        <v>168082</v>
      </c>
      <c r="Q75" s="197">
        <v>69167</v>
      </c>
      <c r="R75" s="197">
        <v>48771</v>
      </c>
      <c r="S75" s="197">
        <v>45950</v>
      </c>
      <c r="T75" s="197">
        <v>37188</v>
      </c>
      <c r="U75" s="197">
        <v>54554</v>
      </c>
      <c r="V75" s="197">
        <v>27995</v>
      </c>
      <c r="W75" s="197">
        <v>56531</v>
      </c>
      <c r="X75" s="197">
        <v>28423</v>
      </c>
      <c r="Y75" s="197">
        <v>21453</v>
      </c>
      <c r="Z75" s="197">
        <v>27360</v>
      </c>
      <c r="AA75" s="197">
        <v>30770</v>
      </c>
      <c r="AB75" s="1">
        <v>33419</v>
      </c>
      <c r="AC75" s="1">
        <v>0</v>
      </c>
      <c r="AD75" s="1">
        <v>0</v>
      </c>
      <c r="AE75" s="1" t="s">
        <v>175</v>
      </c>
    </row>
    <row r="76" spans="1:31">
      <c r="A76" s="1" t="s">
        <v>275</v>
      </c>
      <c r="B76" s="6" t="s">
        <v>224</v>
      </c>
      <c r="C76" s="6" t="s">
        <v>225</v>
      </c>
      <c r="D76" s="7">
        <v>4063060</v>
      </c>
      <c r="E76" s="197">
        <v>6616</v>
      </c>
      <c r="F76" s="197">
        <v>5366</v>
      </c>
      <c r="G76" s="197">
        <v>4212</v>
      </c>
      <c r="H76" s="197">
        <v>1285</v>
      </c>
      <c r="I76" s="197">
        <v>1990</v>
      </c>
      <c r="J76" s="197">
        <v>10258</v>
      </c>
      <c r="K76" s="197">
        <v>17022</v>
      </c>
      <c r="L76" s="197">
        <v>1675</v>
      </c>
      <c r="M76" s="197">
        <v>1823</v>
      </c>
      <c r="N76" s="197">
        <v>4592</v>
      </c>
      <c r="O76" s="197">
        <v>1017</v>
      </c>
      <c r="P76" s="197">
        <v>-227</v>
      </c>
      <c r="Q76" s="197">
        <v>502</v>
      </c>
      <c r="R76" s="197">
        <v>14659</v>
      </c>
      <c r="S76" s="197">
        <v>3056</v>
      </c>
      <c r="T76" s="197">
        <v>1680</v>
      </c>
      <c r="U76" s="197">
        <v>1057</v>
      </c>
      <c r="V76" s="197">
        <v>1389</v>
      </c>
      <c r="W76" s="197">
        <v>478</v>
      </c>
      <c r="X76" s="197">
        <v>3469</v>
      </c>
      <c r="Y76" s="197">
        <v>9131</v>
      </c>
      <c r="Z76" s="197">
        <v>377</v>
      </c>
      <c r="AA76" s="197" t="s">
        <v>175</v>
      </c>
      <c r="AB76" s="1">
        <v>3041</v>
      </c>
      <c r="AC76" s="1">
        <v>0</v>
      </c>
      <c r="AD76" s="1">
        <v>0</v>
      </c>
      <c r="AE76" s="1">
        <v>0</v>
      </c>
    </row>
    <row r="77" spans="1:31">
      <c r="B77" s="6" t="s">
        <v>226</v>
      </c>
      <c r="C77" s="6" t="s">
        <v>226</v>
      </c>
      <c r="D77" s="7">
        <v>4057100</v>
      </c>
      <c r="E77" s="197">
        <v>916</v>
      </c>
      <c r="F77" s="197">
        <v>0</v>
      </c>
      <c r="G77" s="197" t="s">
        <v>175</v>
      </c>
      <c r="H77" s="197">
        <v>2879</v>
      </c>
      <c r="I77" s="197">
        <v>541</v>
      </c>
      <c r="J77" s="197">
        <v>524</v>
      </c>
      <c r="K77" s="197">
        <v>1097</v>
      </c>
      <c r="L77" s="197">
        <v>1053</v>
      </c>
      <c r="M77" s="197">
        <v>453</v>
      </c>
      <c r="N77" s="197">
        <v>136</v>
      </c>
      <c r="O77" s="197">
        <v>574</v>
      </c>
      <c r="P77" s="197">
        <v>539</v>
      </c>
      <c r="Q77" s="197">
        <v>1254</v>
      </c>
      <c r="R77" s="197">
        <v>630</v>
      </c>
      <c r="S77" s="197">
        <v>373</v>
      </c>
      <c r="T77" s="197">
        <v>857</v>
      </c>
      <c r="U77" s="197">
        <v>79</v>
      </c>
      <c r="V77" s="197">
        <v>655</v>
      </c>
      <c r="W77" s="197">
        <v>385</v>
      </c>
      <c r="X77" s="197">
        <v>665</v>
      </c>
      <c r="Y77" s="197">
        <v>274</v>
      </c>
      <c r="Z77" s="197">
        <v>362</v>
      </c>
      <c r="AA77" s="197">
        <v>476</v>
      </c>
      <c r="AB77" s="1">
        <v>279</v>
      </c>
      <c r="AC77" s="1">
        <v>0</v>
      </c>
      <c r="AD77" s="1">
        <v>0</v>
      </c>
      <c r="AE77" s="1">
        <v>0</v>
      </c>
    </row>
    <row r="78" spans="1:31">
      <c r="B78" s="6" t="s">
        <v>304</v>
      </c>
      <c r="C78" s="6" t="s">
        <v>304</v>
      </c>
      <c r="D78" s="7">
        <v>4064035</v>
      </c>
      <c r="E78" s="197" t="s">
        <v>175</v>
      </c>
      <c r="F78" s="197" t="s">
        <v>175</v>
      </c>
      <c r="G78" s="197">
        <v>0</v>
      </c>
      <c r="H78" s="197">
        <v>0</v>
      </c>
      <c r="I78" s="197">
        <v>255</v>
      </c>
      <c r="J78" s="197">
        <v>799</v>
      </c>
      <c r="K78" s="197">
        <v>2286</v>
      </c>
      <c r="L78" s="197">
        <v>525</v>
      </c>
      <c r="M78" s="197">
        <v>2012</v>
      </c>
      <c r="N78" s="197">
        <v>287</v>
      </c>
      <c r="O78" s="197">
        <v>183</v>
      </c>
      <c r="P78" s="197">
        <v>257</v>
      </c>
      <c r="Q78" s="197">
        <v>329</v>
      </c>
      <c r="R78" s="197">
        <v>241</v>
      </c>
      <c r="S78" s="197">
        <v>223</v>
      </c>
      <c r="T78" s="197">
        <v>279</v>
      </c>
      <c r="U78" s="197">
        <v>215</v>
      </c>
      <c r="V78" s="197">
        <v>245</v>
      </c>
      <c r="W78" s="197">
        <v>206</v>
      </c>
      <c r="X78" s="197" t="s">
        <v>175</v>
      </c>
      <c r="Y78" s="197">
        <v>-14</v>
      </c>
      <c r="Z78" s="197">
        <v>367</v>
      </c>
      <c r="AA78" s="197" t="s">
        <v>175</v>
      </c>
      <c r="AB78" s="1">
        <v>0</v>
      </c>
      <c r="AC78" s="1">
        <v>0</v>
      </c>
      <c r="AD78" s="1">
        <v>0</v>
      </c>
      <c r="AE78" s="1">
        <v>0</v>
      </c>
    </row>
    <row r="79" spans="1:31">
      <c r="B79" s="6" t="s">
        <v>305</v>
      </c>
      <c r="C79" s="6" t="s">
        <v>305</v>
      </c>
      <c r="D79" s="7">
        <v>4060957</v>
      </c>
      <c r="E79" s="197" t="s">
        <v>175</v>
      </c>
      <c r="F79" s="197">
        <v>35735</v>
      </c>
      <c r="G79" s="197">
        <v>44952</v>
      </c>
      <c r="H79" s="197">
        <v>27501</v>
      </c>
      <c r="I79" s="197">
        <v>44234</v>
      </c>
      <c r="J79" s="197">
        <v>16350</v>
      </c>
      <c r="K79" s="197">
        <v>48638</v>
      </c>
      <c r="L79" s="197">
        <v>17558</v>
      </c>
      <c r="M79" s="197">
        <v>83881</v>
      </c>
      <c r="N79" s="197">
        <v>7230</v>
      </c>
      <c r="O79" s="197">
        <v>11109</v>
      </c>
      <c r="P79" s="197">
        <v>8479</v>
      </c>
      <c r="Q79" s="197">
        <v>5215</v>
      </c>
      <c r="R79" s="197">
        <v>8595</v>
      </c>
      <c r="S79" s="197">
        <v>6363</v>
      </c>
      <c r="T79" s="197">
        <v>7207</v>
      </c>
      <c r="U79" s="197">
        <v>8197</v>
      </c>
      <c r="V79" s="197">
        <v>5122</v>
      </c>
      <c r="W79" s="197">
        <v>3916</v>
      </c>
      <c r="X79" s="197">
        <v>7835</v>
      </c>
      <c r="Y79" s="197">
        <v>9935</v>
      </c>
      <c r="Z79" s="197">
        <v>8057</v>
      </c>
      <c r="AA79" s="197">
        <v>19870</v>
      </c>
      <c r="AB79" s="1">
        <v>6415</v>
      </c>
      <c r="AC79" s="1">
        <v>0</v>
      </c>
      <c r="AD79" s="1">
        <v>0</v>
      </c>
      <c r="AE79" s="1">
        <v>0</v>
      </c>
    </row>
    <row r="80" spans="1:31">
      <c r="B80" s="6" t="s">
        <v>228</v>
      </c>
      <c r="C80" s="6" t="s">
        <v>228</v>
      </c>
      <c r="D80" s="7">
        <v>4063179</v>
      </c>
      <c r="E80" s="197">
        <v>127</v>
      </c>
      <c r="F80" s="197">
        <v>14</v>
      </c>
      <c r="G80" s="197" t="s">
        <v>175</v>
      </c>
      <c r="H80" s="197">
        <v>108</v>
      </c>
      <c r="I80" s="197">
        <v>20</v>
      </c>
      <c r="J80" s="197">
        <v>168</v>
      </c>
      <c r="K80" s="197">
        <v>62</v>
      </c>
      <c r="L80" s="197">
        <v>69</v>
      </c>
      <c r="M80" s="197">
        <v>31</v>
      </c>
      <c r="N80" s="197">
        <v>14</v>
      </c>
      <c r="O80" s="197">
        <v>37</v>
      </c>
      <c r="P80" s="197">
        <v>7</v>
      </c>
      <c r="Q80" s="197">
        <v>99</v>
      </c>
      <c r="R80" s="197">
        <v>4</v>
      </c>
      <c r="S80" s="197">
        <v>113</v>
      </c>
      <c r="T80" s="197">
        <v>85</v>
      </c>
      <c r="U80" s="197">
        <v>61</v>
      </c>
      <c r="V80" s="197">
        <v>6</v>
      </c>
      <c r="W80" s="197">
        <v>97</v>
      </c>
      <c r="X80" s="197">
        <v>28</v>
      </c>
      <c r="Y80" s="197">
        <v>59</v>
      </c>
      <c r="Z80" s="197">
        <v>4</v>
      </c>
      <c r="AA80" s="197">
        <v>57</v>
      </c>
      <c r="AB80" s="1">
        <v>19</v>
      </c>
      <c r="AC80" s="1">
        <v>0</v>
      </c>
      <c r="AD80" s="1">
        <v>0</v>
      </c>
      <c r="AE80" s="1">
        <v>0</v>
      </c>
    </row>
    <row r="81" spans="1:31">
      <c r="A81" s="1" t="s">
        <v>275</v>
      </c>
      <c r="B81" s="6" t="s">
        <v>229</v>
      </c>
      <c r="C81" s="6" t="s">
        <v>229</v>
      </c>
      <c r="D81" s="7">
        <v>4063183</v>
      </c>
      <c r="E81" s="197">
        <v>586</v>
      </c>
      <c r="F81" s="197">
        <v>2987</v>
      </c>
      <c r="G81" s="197">
        <v>772</v>
      </c>
      <c r="H81" s="197">
        <v>898</v>
      </c>
      <c r="I81" s="197" t="s">
        <v>175</v>
      </c>
      <c r="J81" s="197">
        <v>745</v>
      </c>
      <c r="K81" s="197">
        <v>607</v>
      </c>
      <c r="L81" s="197">
        <v>376</v>
      </c>
      <c r="M81" s="197">
        <v>1223</v>
      </c>
      <c r="N81" s="197">
        <v>722</v>
      </c>
      <c r="O81" s="197">
        <v>614</v>
      </c>
      <c r="P81" s="197">
        <v>597</v>
      </c>
      <c r="Q81" s="197">
        <v>313</v>
      </c>
      <c r="R81" s="197">
        <v>316</v>
      </c>
      <c r="S81" s="197">
        <v>402</v>
      </c>
      <c r="T81" s="197">
        <v>1202</v>
      </c>
      <c r="U81" s="197">
        <v>143</v>
      </c>
      <c r="V81" s="197">
        <v>239</v>
      </c>
      <c r="W81" s="197">
        <v>445</v>
      </c>
      <c r="X81" s="197">
        <v>214</v>
      </c>
      <c r="Y81" s="197">
        <v>190</v>
      </c>
      <c r="Z81" s="197">
        <v>282</v>
      </c>
      <c r="AA81" s="197">
        <v>360</v>
      </c>
      <c r="AB81" s="1">
        <v>287</v>
      </c>
      <c r="AC81" s="1">
        <v>0</v>
      </c>
      <c r="AD81" s="1">
        <v>0</v>
      </c>
      <c r="AE81" s="1">
        <v>0</v>
      </c>
    </row>
    <row r="82" spans="1:31">
      <c r="B82" s="6" t="s">
        <v>230</v>
      </c>
      <c r="C82" s="6" t="s">
        <v>230</v>
      </c>
      <c r="D82" s="7">
        <v>4063281</v>
      </c>
      <c r="E82" s="197">
        <v>-406</v>
      </c>
      <c r="F82" s="197">
        <v>123</v>
      </c>
      <c r="G82" s="197">
        <v>451</v>
      </c>
      <c r="H82" s="197">
        <v>416</v>
      </c>
      <c r="I82" s="197">
        <v>368</v>
      </c>
      <c r="J82" s="197">
        <v>128</v>
      </c>
      <c r="K82" s="197">
        <v>0</v>
      </c>
      <c r="L82" s="197">
        <v>31</v>
      </c>
      <c r="M82" s="197">
        <v>13</v>
      </c>
      <c r="N82" s="197">
        <v>11</v>
      </c>
      <c r="O82" s="197">
        <v>146</v>
      </c>
      <c r="P82" s="197">
        <v>199</v>
      </c>
      <c r="Q82" s="197">
        <v>241</v>
      </c>
      <c r="R82" s="197">
        <v>32</v>
      </c>
      <c r="S82" s="197">
        <v>78</v>
      </c>
      <c r="T82" s="197">
        <v>26</v>
      </c>
      <c r="U82" s="197">
        <v>25</v>
      </c>
      <c r="V82" s="197">
        <v>51</v>
      </c>
      <c r="W82" s="197">
        <v>52</v>
      </c>
      <c r="X82" s="197">
        <v>32</v>
      </c>
      <c r="Y82" s="197">
        <v>0</v>
      </c>
      <c r="Z82" s="197">
        <v>12</v>
      </c>
      <c r="AA82" s="197">
        <v>8</v>
      </c>
      <c r="AB82" s="1">
        <v>3</v>
      </c>
      <c r="AC82" s="1">
        <v>0</v>
      </c>
      <c r="AD82" s="1">
        <v>0</v>
      </c>
      <c r="AE82" s="1">
        <v>0</v>
      </c>
    </row>
    <row r="83" spans="1:31">
      <c r="B83" s="6" t="s">
        <v>231</v>
      </c>
      <c r="C83" s="6" t="s">
        <v>231</v>
      </c>
      <c r="D83" s="7">
        <v>4059746</v>
      </c>
      <c r="E83" s="197">
        <v>32263</v>
      </c>
      <c r="F83" s="197">
        <v>5132</v>
      </c>
      <c r="G83" s="197">
        <v>12171</v>
      </c>
      <c r="H83" s="197">
        <v>7365</v>
      </c>
      <c r="I83" s="197">
        <v>34978</v>
      </c>
      <c r="J83" s="197">
        <v>25738</v>
      </c>
      <c r="K83" s="197">
        <v>31575</v>
      </c>
      <c r="L83" s="197">
        <v>9691</v>
      </c>
      <c r="M83" s="197">
        <v>6276</v>
      </c>
      <c r="N83" s="197">
        <v>7916</v>
      </c>
      <c r="O83" s="197">
        <v>13645</v>
      </c>
      <c r="P83" s="197">
        <v>16766</v>
      </c>
      <c r="Q83" s="197">
        <v>4659</v>
      </c>
      <c r="R83" s="197">
        <v>5332</v>
      </c>
      <c r="S83" s="197">
        <v>2700</v>
      </c>
      <c r="T83" s="197">
        <v>7768</v>
      </c>
      <c r="U83" s="197">
        <v>8175</v>
      </c>
      <c r="V83" s="197">
        <v>4289</v>
      </c>
      <c r="W83" s="197">
        <v>3986</v>
      </c>
      <c r="X83" s="197">
        <v>5700</v>
      </c>
      <c r="Y83" s="197">
        <v>1931</v>
      </c>
      <c r="Z83" s="197">
        <v>5646</v>
      </c>
      <c r="AA83" s="197">
        <v>3607</v>
      </c>
      <c r="AB83" s="1">
        <v>5870</v>
      </c>
      <c r="AC83" s="1">
        <v>0</v>
      </c>
      <c r="AD83" s="1">
        <v>0</v>
      </c>
      <c r="AE83" s="1">
        <v>0</v>
      </c>
    </row>
    <row r="84" spans="1:31">
      <c r="A84" s="1" t="s">
        <v>275</v>
      </c>
      <c r="B84" s="6" t="s">
        <v>306</v>
      </c>
      <c r="C84" s="6" t="s">
        <v>306</v>
      </c>
      <c r="D84" s="7">
        <v>4062279</v>
      </c>
      <c r="E84" s="197" t="s">
        <v>175</v>
      </c>
      <c r="F84" s="197" t="s">
        <v>175</v>
      </c>
      <c r="G84" s="197" t="s">
        <v>175</v>
      </c>
      <c r="H84" s="197" t="s">
        <v>175</v>
      </c>
      <c r="I84" s="197">
        <v>1784</v>
      </c>
      <c r="J84" s="197">
        <v>2602</v>
      </c>
      <c r="K84" s="197">
        <v>1329</v>
      </c>
      <c r="L84" s="197">
        <v>1202</v>
      </c>
      <c r="M84" s="197">
        <v>1026</v>
      </c>
      <c r="N84" s="197">
        <v>395</v>
      </c>
      <c r="O84" s="197">
        <v>1928</v>
      </c>
      <c r="P84" s="197">
        <v>1473</v>
      </c>
      <c r="Q84" s="197">
        <v>1165</v>
      </c>
      <c r="R84" s="197">
        <v>1125</v>
      </c>
      <c r="S84" s="197">
        <v>4746</v>
      </c>
      <c r="T84" s="197">
        <v>2027</v>
      </c>
      <c r="U84" s="197">
        <v>4723</v>
      </c>
      <c r="V84" s="197">
        <v>3956</v>
      </c>
      <c r="W84" s="197">
        <v>2341</v>
      </c>
      <c r="X84" s="197">
        <v>6222</v>
      </c>
      <c r="Y84" s="197">
        <v>967</v>
      </c>
      <c r="Z84" s="197">
        <v>2738</v>
      </c>
      <c r="AA84" s="197" t="s">
        <v>175</v>
      </c>
      <c r="AB84" s="1">
        <v>3525</v>
      </c>
      <c r="AC84" s="1">
        <v>0</v>
      </c>
      <c r="AD84" s="1">
        <v>0</v>
      </c>
      <c r="AE84" s="1">
        <v>0</v>
      </c>
    </row>
    <row r="85" spans="1:31">
      <c r="A85" s="1" t="s">
        <v>275</v>
      </c>
      <c r="B85" s="6" t="s">
        <v>307</v>
      </c>
      <c r="C85" s="6" t="s">
        <v>307</v>
      </c>
      <c r="D85" s="7">
        <v>4063729</v>
      </c>
      <c r="E85" s="197" t="s">
        <v>175</v>
      </c>
      <c r="F85" s="197" t="s">
        <v>175</v>
      </c>
      <c r="G85" s="197" t="s">
        <v>175</v>
      </c>
      <c r="H85" s="197" t="s">
        <v>175</v>
      </c>
      <c r="I85" s="197">
        <v>1405</v>
      </c>
      <c r="J85" s="197">
        <v>1635</v>
      </c>
      <c r="K85" s="197">
        <v>2032</v>
      </c>
      <c r="L85" s="197">
        <v>1422</v>
      </c>
      <c r="M85" s="197">
        <v>1274</v>
      </c>
      <c r="N85" s="197">
        <v>1309</v>
      </c>
      <c r="O85" s="197">
        <v>783</v>
      </c>
      <c r="P85" s="197">
        <v>1324</v>
      </c>
      <c r="Q85" s="197">
        <v>1027</v>
      </c>
      <c r="R85" s="197">
        <v>1076</v>
      </c>
      <c r="S85" s="197">
        <v>1510</v>
      </c>
      <c r="T85" s="197">
        <v>1043</v>
      </c>
      <c r="U85" s="197">
        <v>518</v>
      </c>
      <c r="V85" s="197">
        <v>541</v>
      </c>
      <c r="W85" s="197">
        <v>620</v>
      </c>
      <c r="X85" s="197">
        <v>435</v>
      </c>
      <c r="Y85" s="197">
        <v>411</v>
      </c>
      <c r="Z85" s="197">
        <v>631</v>
      </c>
      <c r="AA85" s="197">
        <v>414</v>
      </c>
      <c r="AB85" s="1" t="s">
        <v>175</v>
      </c>
      <c r="AC85" s="1" t="s">
        <v>175</v>
      </c>
      <c r="AD85" s="1">
        <v>0</v>
      </c>
      <c r="AE85" s="1">
        <v>0</v>
      </c>
    </row>
    <row r="86" spans="1:31">
      <c r="B86" s="6" t="s">
        <v>232</v>
      </c>
      <c r="C86" s="6" t="s">
        <v>232</v>
      </c>
      <c r="D86" s="7">
        <v>4063762</v>
      </c>
      <c r="E86" s="197">
        <v>5003.6030000000001</v>
      </c>
      <c r="F86" s="197">
        <v>3918</v>
      </c>
      <c r="G86" s="197">
        <v>7479</v>
      </c>
      <c r="H86" s="197">
        <v>4497</v>
      </c>
      <c r="I86" s="197">
        <v>3557</v>
      </c>
      <c r="J86" s="197">
        <v>3917</v>
      </c>
      <c r="K86" s="197">
        <v>2324</v>
      </c>
      <c r="L86" s="197">
        <v>2255</v>
      </c>
      <c r="M86" s="197">
        <v>1613</v>
      </c>
      <c r="N86" s="197">
        <v>2475</v>
      </c>
      <c r="O86" s="197">
        <v>1058</v>
      </c>
      <c r="P86" s="197">
        <v>637</v>
      </c>
      <c r="Q86" s="197">
        <v>6993</v>
      </c>
      <c r="R86" s="197">
        <v>2917</v>
      </c>
      <c r="S86" s="197">
        <v>7006</v>
      </c>
      <c r="T86" s="197">
        <v>5020</v>
      </c>
      <c r="U86" s="197">
        <v>1322</v>
      </c>
      <c r="V86" s="197">
        <v>950</v>
      </c>
      <c r="W86" s="197">
        <v>574</v>
      </c>
      <c r="X86" s="197">
        <v>1174</v>
      </c>
      <c r="Y86" s="197">
        <v>6</v>
      </c>
      <c r="Z86" s="197">
        <v>1941</v>
      </c>
      <c r="AA86" s="197">
        <v>1061</v>
      </c>
      <c r="AB86" s="1">
        <v>579</v>
      </c>
      <c r="AC86" s="1">
        <v>0</v>
      </c>
      <c r="AD86" s="1">
        <v>0</v>
      </c>
      <c r="AE86" s="1" t="s">
        <v>175</v>
      </c>
    </row>
    <row r="87" spans="1:31">
      <c r="B87" s="6" t="s">
        <v>234</v>
      </c>
      <c r="C87" s="6" t="s">
        <v>234</v>
      </c>
      <c r="D87" s="7">
        <v>4058284</v>
      </c>
      <c r="E87" s="197">
        <v>7320.7020000000002</v>
      </c>
      <c r="F87" s="197">
        <v>18917</v>
      </c>
      <c r="G87" s="197">
        <v>34697</v>
      </c>
      <c r="H87" s="197">
        <v>30019</v>
      </c>
      <c r="I87" s="197">
        <v>34208</v>
      </c>
      <c r="J87" s="197">
        <v>19738</v>
      </c>
      <c r="K87" s="197">
        <v>13293</v>
      </c>
      <c r="L87" s="197">
        <v>23700</v>
      </c>
      <c r="M87" s="197">
        <v>12418</v>
      </c>
      <c r="N87" s="197">
        <v>118470</v>
      </c>
      <c r="O87" s="197">
        <v>13683</v>
      </c>
      <c r="P87" s="197">
        <v>25944</v>
      </c>
      <c r="Q87" s="197">
        <v>21063</v>
      </c>
      <c r="R87" s="197">
        <v>14261</v>
      </c>
      <c r="S87" s="197">
        <v>121039</v>
      </c>
      <c r="T87" s="197">
        <v>14571</v>
      </c>
      <c r="U87" s="197">
        <v>17310</v>
      </c>
      <c r="V87" s="197">
        <v>11970</v>
      </c>
      <c r="W87" s="197">
        <v>18678</v>
      </c>
      <c r="X87" s="197">
        <v>7224</v>
      </c>
      <c r="Y87" s="197">
        <v>11529</v>
      </c>
      <c r="Z87" s="197">
        <v>14941</v>
      </c>
      <c r="AA87" s="197">
        <v>4581</v>
      </c>
      <c r="AB87" s="1">
        <v>7904</v>
      </c>
      <c r="AC87" s="1">
        <v>0</v>
      </c>
      <c r="AD87" s="1">
        <v>0</v>
      </c>
      <c r="AE87" s="1">
        <v>0</v>
      </c>
    </row>
    <row r="88" spans="1:31">
      <c r="B88" s="6" t="s">
        <v>236</v>
      </c>
      <c r="C88" s="6" t="s">
        <v>236</v>
      </c>
      <c r="D88" s="7">
        <v>4008752</v>
      </c>
      <c r="E88" s="197">
        <v>12412</v>
      </c>
      <c r="F88" s="197">
        <v>18157</v>
      </c>
      <c r="G88" s="197">
        <v>12830</v>
      </c>
      <c r="H88" s="197">
        <v>12771</v>
      </c>
      <c r="I88" s="197">
        <v>12465</v>
      </c>
      <c r="J88" s="197">
        <v>9813</v>
      </c>
      <c r="K88" s="197">
        <v>6002</v>
      </c>
      <c r="L88" s="197">
        <v>12371</v>
      </c>
      <c r="M88" s="197">
        <v>10433</v>
      </c>
      <c r="N88" s="197">
        <v>8025</v>
      </c>
      <c r="O88" s="197">
        <v>4573</v>
      </c>
      <c r="P88" s="197">
        <v>4687</v>
      </c>
      <c r="Q88" s="197">
        <v>6339</v>
      </c>
      <c r="R88" s="197">
        <v>17959</v>
      </c>
      <c r="S88" s="197">
        <v>8111</v>
      </c>
      <c r="T88" s="197">
        <v>20381</v>
      </c>
      <c r="U88" s="197">
        <v>8474</v>
      </c>
      <c r="V88" s="197">
        <v>2025</v>
      </c>
      <c r="W88" s="197">
        <v>6585</v>
      </c>
      <c r="X88" s="197">
        <v>7169</v>
      </c>
      <c r="Y88" s="197">
        <v>6933</v>
      </c>
      <c r="Z88" s="197">
        <v>4365</v>
      </c>
      <c r="AA88" s="197">
        <v>8739</v>
      </c>
      <c r="AB88" s="1">
        <v>4660</v>
      </c>
      <c r="AC88" s="1">
        <v>0</v>
      </c>
      <c r="AD88" s="1">
        <v>0</v>
      </c>
      <c r="AE88" s="1">
        <v>0</v>
      </c>
    </row>
    <row r="89" spans="1:31">
      <c r="B89" s="6" t="s">
        <v>237</v>
      </c>
      <c r="C89" s="6" t="s">
        <v>237</v>
      </c>
      <c r="D89" s="7">
        <v>4008669</v>
      </c>
      <c r="E89" s="197">
        <v>2165</v>
      </c>
      <c r="F89" s="197">
        <v>2244</v>
      </c>
      <c r="G89" s="197">
        <v>3313</v>
      </c>
      <c r="H89" s="197">
        <v>1505</v>
      </c>
      <c r="I89" s="197">
        <v>1526</v>
      </c>
      <c r="J89" s="197">
        <v>3890</v>
      </c>
      <c r="K89" s="197">
        <v>914</v>
      </c>
      <c r="L89" s="197">
        <v>641</v>
      </c>
      <c r="M89" s="197">
        <v>347</v>
      </c>
      <c r="N89" s="197">
        <v>383</v>
      </c>
      <c r="O89" s="197">
        <v>157</v>
      </c>
      <c r="P89" s="197">
        <v>294</v>
      </c>
      <c r="Q89" s="197">
        <v>519</v>
      </c>
      <c r="R89" s="197">
        <v>636</v>
      </c>
      <c r="S89" s="197">
        <v>41</v>
      </c>
      <c r="T89" s="197" t="s">
        <v>175</v>
      </c>
      <c r="U89" s="197">
        <v>604</v>
      </c>
      <c r="V89" s="197">
        <v>738</v>
      </c>
      <c r="W89" s="197">
        <v>314</v>
      </c>
      <c r="X89" s="197">
        <v>278</v>
      </c>
      <c r="Y89" s="197">
        <v>974</v>
      </c>
      <c r="Z89" s="197">
        <v>1691</v>
      </c>
      <c r="AA89" s="197">
        <v>4181</v>
      </c>
      <c r="AB89" s="1">
        <v>199</v>
      </c>
      <c r="AC89" s="1">
        <v>0</v>
      </c>
      <c r="AD89" s="1">
        <v>0</v>
      </c>
      <c r="AE89" s="1">
        <v>0</v>
      </c>
    </row>
    <row r="90" spans="1:31">
      <c r="B90" s="6" t="s">
        <v>308</v>
      </c>
      <c r="C90" s="6" t="s">
        <v>309</v>
      </c>
      <c r="D90" s="7">
        <v>4076892</v>
      </c>
      <c r="E90" s="197" t="s">
        <v>175</v>
      </c>
      <c r="F90" s="197">
        <v>7</v>
      </c>
      <c r="G90" s="197">
        <v>196</v>
      </c>
      <c r="H90" s="197">
        <v>39</v>
      </c>
      <c r="I90" s="197">
        <v>65</v>
      </c>
      <c r="J90" s="197">
        <v>349</v>
      </c>
      <c r="K90" s="197">
        <v>125</v>
      </c>
      <c r="L90" s="197">
        <v>173</v>
      </c>
      <c r="M90" s="197">
        <v>60</v>
      </c>
      <c r="N90" s="197">
        <v>101</v>
      </c>
      <c r="O90" s="197">
        <v>31</v>
      </c>
      <c r="P90" s="197">
        <v>26</v>
      </c>
      <c r="Q90" s="197">
        <v>166</v>
      </c>
      <c r="R90" s="197">
        <v>403</v>
      </c>
      <c r="S90" s="197">
        <v>27</v>
      </c>
      <c r="T90" s="197">
        <v>150</v>
      </c>
      <c r="U90" s="197">
        <v>89</v>
      </c>
      <c r="V90" s="197">
        <v>-17</v>
      </c>
      <c r="W90" s="197">
        <v>56</v>
      </c>
      <c r="X90" s="197">
        <v>39</v>
      </c>
      <c r="Y90" s="197" t="s">
        <v>175</v>
      </c>
      <c r="Z90" s="197" t="s">
        <v>175</v>
      </c>
      <c r="AA90" s="197" t="s">
        <v>175</v>
      </c>
      <c r="AB90" s="1" t="s">
        <v>175</v>
      </c>
      <c r="AC90" s="1" t="s">
        <v>175</v>
      </c>
      <c r="AD90" s="1" t="s">
        <v>175</v>
      </c>
      <c r="AE90" s="1" t="s">
        <v>175</v>
      </c>
    </row>
    <row r="91" spans="1:31">
      <c r="A91" s="1" t="s">
        <v>275</v>
      </c>
      <c r="B91" s="6" t="s">
        <v>238</v>
      </c>
      <c r="C91" s="6" t="s">
        <v>239</v>
      </c>
      <c r="D91" s="7">
        <v>4064141</v>
      </c>
      <c r="E91" s="197">
        <v>8700</v>
      </c>
      <c r="F91" s="197">
        <v>8529</v>
      </c>
      <c r="G91" s="197">
        <v>6239</v>
      </c>
      <c r="H91" s="197">
        <v>6409</v>
      </c>
      <c r="I91" s="197">
        <v>7080</v>
      </c>
      <c r="J91" s="197">
        <v>9030</v>
      </c>
      <c r="K91" s="197">
        <v>1606</v>
      </c>
      <c r="L91" s="197">
        <v>3490</v>
      </c>
      <c r="M91" s="197">
        <v>2368</v>
      </c>
      <c r="N91" s="197">
        <v>4641</v>
      </c>
      <c r="O91" s="197">
        <v>10375</v>
      </c>
      <c r="P91" s="197">
        <v>3552</v>
      </c>
      <c r="Q91" s="197">
        <v>2650</v>
      </c>
      <c r="R91" s="197">
        <v>3677</v>
      </c>
      <c r="S91" s="197">
        <v>1948</v>
      </c>
      <c r="T91" s="197">
        <v>2149</v>
      </c>
      <c r="U91" s="197">
        <v>186</v>
      </c>
      <c r="V91" s="197">
        <v>993</v>
      </c>
      <c r="W91" s="197">
        <v>13854</v>
      </c>
      <c r="X91" s="197">
        <v>6338</v>
      </c>
      <c r="Y91" s="197">
        <v>4715</v>
      </c>
      <c r="Z91" s="197">
        <v>2393</v>
      </c>
      <c r="AA91" s="197">
        <v>28270</v>
      </c>
      <c r="AB91" s="1">
        <v>1807</v>
      </c>
      <c r="AC91" s="1">
        <v>0</v>
      </c>
      <c r="AD91" s="1">
        <v>0</v>
      </c>
      <c r="AE91" s="1">
        <v>0</v>
      </c>
    </row>
  </sheetData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EAAE7-AE93-4CBE-8FD5-9CA204333E75}">
  <dimension ref="A3:AD91"/>
  <sheetViews>
    <sheetView topLeftCell="A5" zoomScale="70" zoomScaleNormal="70" workbookViewId="0">
      <selection activeCell="G53" sqref="G53"/>
    </sheetView>
  </sheetViews>
  <sheetFormatPr defaultColWidth="9.140625" defaultRowHeight="13.15"/>
  <cols>
    <col min="1" max="1" width="14.28515625" style="1" bestFit="1" customWidth="1"/>
    <col min="2" max="3" width="63.7109375" style="1" bestFit="1" customWidth="1"/>
    <col min="4" max="4" width="22" style="1" bestFit="1" customWidth="1"/>
    <col min="5" max="30" width="17.5703125" style="1" customWidth="1"/>
    <col min="31" max="16384" width="9.140625" style="1"/>
  </cols>
  <sheetData>
    <row r="3" spans="1:30" ht="52.9">
      <c r="E3" s="9" t="s">
        <v>355</v>
      </c>
      <c r="F3" s="9" t="s">
        <v>355</v>
      </c>
      <c r="G3" s="9" t="s">
        <v>355</v>
      </c>
      <c r="H3" s="9" t="s">
        <v>355</v>
      </c>
      <c r="I3" s="9" t="s">
        <v>355</v>
      </c>
      <c r="J3" s="9" t="s">
        <v>355</v>
      </c>
      <c r="K3" s="9" t="s">
        <v>355</v>
      </c>
      <c r="L3" s="9" t="s">
        <v>355</v>
      </c>
      <c r="M3" s="9" t="s">
        <v>355</v>
      </c>
      <c r="N3" s="9" t="s">
        <v>355</v>
      </c>
      <c r="O3" s="9" t="s">
        <v>355</v>
      </c>
      <c r="P3" s="9" t="s">
        <v>355</v>
      </c>
      <c r="Q3" s="9" t="s">
        <v>355</v>
      </c>
      <c r="R3" s="9" t="s">
        <v>355</v>
      </c>
      <c r="S3" s="9" t="s">
        <v>355</v>
      </c>
      <c r="T3" s="9" t="s">
        <v>355</v>
      </c>
      <c r="U3" s="9" t="s">
        <v>355</v>
      </c>
      <c r="V3" s="9" t="s">
        <v>355</v>
      </c>
      <c r="W3" s="9" t="s">
        <v>355</v>
      </c>
      <c r="X3" s="9" t="s">
        <v>355</v>
      </c>
      <c r="Y3" s="9" t="s">
        <v>355</v>
      </c>
      <c r="Z3" s="9" t="s">
        <v>355</v>
      </c>
      <c r="AA3" s="9" t="s">
        <v>355</v>
      </c>
      <c r="AB3" s="9" t="s">
        <v>355</v>
      </c>
      <c r="AC3" s="9" t="s">
        <v>355</v>
      </c>
      <c r="AD3" s="9" t="s">
        <v>355</v>
      </c>
    </row>
    <row r="4" spans="1:30" ht="39.6">
      <c r="B4" s="2"/>
      <c r="C4" s="2"/>
      <c r="D4" s="2"/>
      <c r="E4" s="9" t="s">
        <v>356</v>
      </c>
      <c r="F4" s="9" t="s">
        <v>356</v>
      </c>
      <c r="G4" s="9" t="s">
        <v>356</v>
      </c>
      <c r="H4" s="9" t="s">
        <v>356</v>
      </c>
      <c r="I4" s="9" t="s">
        <v>356</v>
      </c>
      <c r="J4" s="9" t="s">
        <v>356</v>
      </c>
      <c r="K4" s="9" t="s">
        <v>356</v>
      </c>
      <c r="L4" s="9" t="s">
        <v>356</v>
      </c>
      <c r="M4" s="9" t="s">
        <v>356</v>
      </c>
      <c r="N4" s="9" t="s">
        <v>356</v>
      </c>
      <c r="O4" s="9" t="s">
        <v>356</v>
      </c>
      <c r="P4" s="9" t="s">
        <v>356</v>
      </c>
      <c r="Q4" s="9" t="s">
        <v>356</v>
      </c>
      <c r="R4" s="9" t="s">
        <v>356</v>
      </c>
      <c r="S4" s="9" t="s">
        <v>356</v>
      </c>
      <c r="T4" s="9" t="s">
        <v>356</v>
      </c>
      <c r="U4" s="9" t="s">
        <v>356</v>
      </c>
      <c r="V4" s="9" t="s">
        <v>356</v>
      </c>
      <c r="W4" s="9" t="s">
        <v>356</v>
      </c>
      <c r="X4" s="9" t="s">
        <v>356</v>
      </c>
      <c r="Y4" s="9" t="s">
        <v>356</v>
      </c>
      <c r="Z4" s="9" t="s">
        <v>356</v>
      </c>
      <c r="AA4" s="9" t="s">
        <v>356</v>
      </c>
      <c r="AB4" s="9" t="s">
        <v>356</v>
      </c>
      <c r="AC4" s="9" t="s">
        <v>356</v>
      </c>
      <c r="AD4" s="9" t="s">
        <v>356</v>
      </c>
    </row>
    <row r="5" spans="1:30">
      <c r="A5" s="3" t="s">
        <v>271</v>
      </c>
      <c r="B5" s="4" t="s">
        <v>272</v>
      </c>
      <c r="C5" s="4" t="s">
        <v>273</v>
      </c>
      <c r="D5" s="5" t="s">
        <v>1</v>
      </c>
      <c r="E5" s="9" t="s">
        <v>141</v>
      </c>
      <c r="F5" s="9" t="s">
        <v>140</v>
      </c>
      <c r="G5" s="9" t="s">
        <v>136</v>
      </c>
      <c r="H5" s="9" t="s">
        <v>135</v>
      </c>
      <c r="I5" s="9" t="s">
        <v>133</v>
      </c>
      <c r="J5" s="9" t="s">
        <v>132</v>
      </c>
      <c r="K5" s="9" t="s">
        <v>130</v>
      </c>
      <c r="L5" s="9" t="s">
        <v>129</v>
      </c>
      <c r="M5" s="9" t="s">
        <v>128</v>
      </c>
      <c r="N5" s="9" t="s">
        <v>127</v>
      </c>
      <c r="O5" s="9" t="s">
        <v>126</v>
      </c>
      <c r="P5" s="9" t="s">
        <v>125</v>
      </c>
      <c r="Q5" s="9" t="s">
        <v>120</v>
      </c>
      <c r="R5" s="9" t="s">
        <v>118</v>
      </c>
      <c r="S5" s="9" t="s">
        <v>117</v>
      </c>
      <c r="T5" s="9" t="s">
        <v>116</v>
      </c>
      <c r="U5" s="9" t="s">
        <v>115</v>
      </c>
      <c r="V5" s="9" t="s">
        <v>114</v>
      </c>
      <c r="W5" s="9" t="s">
        <v>113</v>
      </c>
      <c r="X5" s="9" t="s">
        <v>111</v>
      </c>
      <c r="Y5" s="9" t="s">
        <v>107</v>
      </c>
      <c r="Z5" s="9" t="s">
        <v>106</v>
      </c>
      <c r="AA5" s="9" t="s">
        <v>100</v>
      </c>
      <c r="AB5" s="9" t="s">
        <v>316</v>
      </c>
      <c r="AC5" s="9" t="s">
        <v>317</v>
      </c>
      <c r="AD5" s="9" t="s">
        <v>318</v>
      </c>
    </row>
    <row r="6" spans="1:30">
      <c r="B6" s="2"/>
      <c r="C6" s="2"/>
      <c r="D6" s="2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ht="14.45">
      <c r="B7" s="6" t="s">
        <v>274</v>
      </c>
      <c r="C7" s="6" t="s">
        <v>274</v>
      </c>
      <c r="D7" s="7">
        <v>4058513</v>
      </c>
      <c r="E7" s="199" t="s">
        <v>175</v>
      </c>
      <c r="F7" s="199" t="s">
        <v>175</v>
      </c>
      <c r="G7" s="199" t="s">
        <v>175</v>
      </c>
      <c r="H7" s="199">
        <v>171991</v>
      </c>
      <c r="I7" s="199">
        <v>162938</v>
      </c>
      <c r="J7" s="199">
        <v>158311</v>
      </c>
      <c r="K7" s="199">
        <v>154220</v>
      </c>
      <c r="L7" s="199">
        <v>148665</v>
      </c>
      <c r="M7" s="199">
        <v>144259</v>
      </c>
      <c r="N7" s="199">
        <v>141147</v>
      </c>
      <c r="O7" s="199">
        <v>138795</v>
      </c>
      <c r="P7" s="199">
        <v>134378</v>
      </c>
      <c r="Q7" s="199">
        <v>132882</v>
      </c>
      <c r="R7" s="199">
        <v>130341</v>
      </c>
      <c r="S7" s="199">
        <v>126430</v>
      </c>
      <c r="T7" s="199">
        <v>123874</v>
      </c>
      <c r="U7" s="199">
        <v>121926</v>
      </c>
      <c r="V7" s="199">
        <v>119757</v>
      </c>
      <c r="W7" s="199">
        <v>118322</v>
      </c>
      <c r="X7" s="199">
        <v>116241</v>
      </c>
      <c r="Y7" s="199">
        <v>113224</v>
      </c>
      <c r="Z7" s="199">
        <v>110266</v>
      </c>
      <c r="AA7" s="199">
        <v>105703</v>
      </c>
      <c r="AB7" s="199">
        <v>102269</v>
      </c>
      <c r="AC7" s="199">
        <v>99852</v>
      </c>
      <c r="AD7" s="199">
        <v>96814</v>
      </c>
    </row>
    <row r="8" spans="1:30" ht="14.45">
      <c r="B8" s="6" t="s">
        <v>98</v>
      </c>
      <c r="C8" s="6" t="s">
        <v>98</v>
      </c>
      <c r="D8" s="7">
        <v>4054707</v>
      </c>
      <c r="E8" s="199">
        <v>6085062</v>
      </c>
      <c r="F8" s="199">
        <v>5764448</v>
      </c>
      <c r="G8" s="199">
        <v>5503634</v>
      </c>
      <c r="H8" s="199">
        <v>5115635</v>
      </c>
      <c r="I8" s="199">
        <v>4807217</v>
      </c>
      <c r="J8" s="199">
        <v>4540737</v>
      </c>
      <c r="K8" s="199">
        <v>4317812</v>
      </c>
      <c r="L8" s="199">
        <v>3919337</v>
      </c>
      <c r="M8" s="199">
        <v>3743270</v>
      </c>
      <c r="N8" s="199">
        <v>3528606</v>
      </c>
      <c r="O8" s="199">
        <v>3295139</v>
      </c>
      <c r="P8" s="199">
        <v>3183220</v>
      </c>
      <c r="Q8" s="199">
        <v>2999552</v>
      </c>
      <c r="R8" s="199">
        <v>2891038</v>
      </c>
      <c r="S8" s="199">
        <v>2810072</v>
      </c>
      <c r="T8" s="199">
        <v>2660148</v>
      </c>
      <c r="U8" s="199">
        <v>2498082</v>
      </c>
      <c r="V8" s="199">
        <v>2383275</v>
      </c>
      <c r="W8" s="199">
        <v>2342998</v>
      </c>
      <c r="X8" s="199">
        <v>2225079</v>
      </c>
      <c r="Y8" s="199">
        <v>2151209</v>
      </c>
      <c r="Z8" s="199">
        <v>2075197</v>
      </c>
      <c r="AA8" s="199">
        <v>1945628</v>
      </c>
      <c r="AB8" s="199">
        <v>1885348</v>
      </c>
      <c r="AC8" s="199">
        <v>1796080</v>
      </c>
      <c r="AD8" s="199">
        <v>1761784</v>
      </c>
    </row>
    <row r="9" spans="1:30" ht="14.45">
      <c r="B9" s="6" t="s">
        <v>145</v>
      </c>
      <c r="C9" s="6" t="s">
        <v>145</v>
      </c>
      <c r="D9" s="7">
        <v>4057075</v>
      </c>
      <c r="E9" s="199">
        <v>1410776</v>
      </c>
      <c r="F9" s="199">
        <v>1330407</v>
      </c>
      <c r="G9" s="199">
        <v>1238295</v>
      </c>
      <c r="H9" s="199">
        <v>1125744</v>
      </c>
      <c r="I9" s="199">
        <v>1041400</v>
      </c>
      <c r="J9" s="199">
        <v>963386</v>
      </c>
      <c r="K9" s="199">
        <v>890729</v>
      </c>
      <c r="L9" s="199">
        <v>838783</v>
      </c>
      <c r="M9" s="199">
        <v>777970</v>
      </c>
      <c r="N9" s="199">
        <v>754450</v>
      </c>
      <c r="O9" s="199">
        <v>713747</v>
      </c>
      <c r="P9" s="199">
        <v>690243</v>
      </c>
      <c r="Q9" s="199">
        <v>657628</v>
      </c>
      <c r="R9" s="199">
        <v>586429</v>
      </c>
      <c r="S9" s="199">
        <v>540893</v>
      </c>
      <c r="T9" s="199">
        <v>507311</v>
      </c>
      <c r="U9" s="199">
        <v>505139</v>
      </c>
      <c r="V9" s="199">
        <v>484721</v>
      </c>
      <c r="W9" s="199">
        <v>464916</v>
      </c>
      <c r="X9" s="199">
        <v>449131</v>
      </c>
      <c r="Y9" s="199">
        <v>433708</v>
      </c>
      <c r="Z9" s="199">
        <v>409109</v>
      </c>
      <c r="AA9" s="199">
        <v>389159</v>
      </c>
      <c r="AB9" s="199">
        <v>339342</v>
      </c>
      <c r="AC9" s="199">
        <v>337290</v>
      </c>
      <c r="AD9" s="199">
        <v>307748</v>
      </c>
    </row>
    <row r="10" spans="1:30" ht="14.45">
      <c r="A10" s="1" t="s">
        <v>275</v>
      </c>
      <c r="B10" s="6" t="s">
        <v>154</v>
      </c>
      <c r="C10" s="6" t="s">
        <v>154</v>
      </c>
      <c r="D10" s="7">
        <v>4007784</v>
      </c>
      <c r="E10" s="199">
        <v>3315349</v>
      </c>
      <c r="F10" s="199">
        <v>2999048</v>
      </c>
      <c r="G10" s="199">
        <v>2629899</v>
      </c>
      <c r="H10" s="199">
        <v>2379557</v>
      </c>
      <c r="I10" s="199">
        <v>2180103</v>
      </c>
      <c r="J10" s="199">
        <v>1950770</v>
      </c>
      <c r="K10" s="199">
        <v>1761067</v>
      </c>
      <c r="L10" s="199">
        <v>1659871</v>
      </c>
      <c r="M10" s="199">
        <v>1548272</v>
      </c>
      <c r="N10" s="199">
        <v>1386906</v>
      </c>
      <c r="O10" s="199">
        <v>1322988</v>
      </c>
      <c r="P10" s="199">
        <v>1260575</v>
      </c>
      <c r="Q10" s="199">
        <v>1221125</v>
      </c>
      <c r="R10" s="199">
        <v>1181716</v>
      </c>
      <c r="S10" s="199">
        <v>1148276</v>
      </c>
      <c r="T10" s="199">
        <v>1116646</v>
      </c>
      <c r="U10" s="199">
        <v>1086684</v>
      </c>
      <c r="V10" s="199">
        <v>1064706</v>
      </c>
      <c r="W10" s="199">
        <v>1041004</v>
      </c>
      <c r="X10" s="199">
        <v>1014403</v>
      </c>
      <c r="Y10" s="199">
        <v>988386</v>
      </c>
      <c r="Z10" s="199">
        <v>961983</v>
      </c>
      <c r="AA10" s="199">
        <v>921284</v>
      </c>
      <c r="AB10" s="199">
        <v>846881</v>
      </c>
      <c r="AC10" s="199">
        <v>776973</v>
      </c>
      <c r="AD10" s="199">
        <v>692694</v>
      </c>
    </row>
    <row r="11" spans="1:30" ht="14.45">
      <c r="A11" s="1" t="s">
        <v>275</v>
      </c>
      <c r="B11" s="6" t="s">
        <v>276</v>
      </c>
      <c r="C11" s="6" t="s">
        <v>277</v>
      </c>
      <c r="D11" s="7">
        <v>4058656</v>
      </c>
      <c r="E11" s="199">
        <v>2428164</v>
      </c>
      <c r="F11" s="199">
        <v>2370252</v>
      </c>
      <c r="G11" s="199">
        <v>2044322</v>
      </c>
      <c r="H11" s="199">
        <v>1931657</v>
      </c>
      <c r="I11" s="199">
        <v>1827175</v>
      </c>
      <c r="J11" s="199">
        <v>1714327</v>
      </c>
      <c r="K11" s="199">
        <v>1658954</v>
      </c>
      <c r="L11" s="199">
        <v>1571897</v>
      </c>
      <c r="M11" s="199">
        <v>1553421</v>
      </c>
      <c r="N11" s="199">
        <v>1473540</v>
      </c>
      <c r="O11" s="199">
        <v>1421514</v>
      </c>
      <c r="P11" s="199">
        <v>1409410</v>
      </c>
      <c r="Q11" s="199">
        <v>1366498</v>
      </c>
      <c r="R11" s="199">
        <v>1320872</v>
      </c>
      <c r="S11" s="199">
        <v>1271491</v>
      </c>
      <c r="T11" s="199">
        <v>1228411</v>
      </c>
      <c r="U11" s="199">
        <v>1204671</v>
      </c>
      <c r="V11" s="199">
        <v>1181472</v>
      </c>
      <c r="W11" s="199">
        <v>1152683</v>
      </c>
      <c r="X11" s="199">
        <v>1125030</v>
      </c>
      <c r="Y11" s="199">
        <v>1108201</v>
      </c>
      <c r="Z11" s="199">
        <v>1095128</v>
      </c>
      <c r="AA11" s="199">
        <v>598364</v>
      </c>
      <c r="AB11" s="199">
        <v>566959</v>
      </c>
      <c r="AC11" s="199">
        <v>565303</v>
      </c>
      <c r="AD11" s="199" t="s">
        <v>175</v>
      </c>
    </row>
    <row r="12" spans="1:30" ht="14.45">
      <c r="A12" s="1" t="s">
        <v>275</v>
      </c>
      <c r="B12" s="6" t="s">
        <v>162</v>
      </c>
      <c r="C12" s="6" t="s">
        <v>163</v>
      </c>
      <c r="D12" s="7">
        <v>4057110</v>
      </c>
      <c r="E12" s="199">
        <v>345746</v>
      </c>
      <c r="F12" s="199">
        <v>329128</v>
      </c>
      <c r="G12" s="199">
        <v>314779</v>
      </c>
      <c r="H12" s="199">
        <v>292027</v>
      </c>
      <c r="I12" s="199">
        <v>275012</v>
      </c>
      <c r="J12" s="199">
        <v>256842</v>
      </c>
      <c r="K12" s="199">
        <v>248536</v>
      </c>
      <c r="L12" s="199">
        <v>239032</v>
      </c>
      <c r="M12" s="199">
        <v>225627</v>
      </c>
      <c r="N12" s="199">
        <v>219384</v>
      </c>
      <c r="O12" s="199">
        <v>212292</v>
      </c>
      <c r="P12" s="199">
        <v>218341</v>
      </c>
      <c r="Q12" s="199">
        <v>215556</v>
      </c>
      <c r="R12" s="199">
        <v>212342</v>
      </c>
      <c r="S12" s="199">
        <v>208876</v>
      </c>
      <c r="T12" s="199">
        <v>201694</v>
      </c>
      <c r="U12" s="199">
        <v>198123</v>
      </c>
      <c r="V12" s="199">
        <v>196086</v>
      </c>
      <c r="W12" s="199">
        <v>193918</v>
      </c>
      <c r="X12" s="199">
        <v>190849</v>
      </c>
      <c r="Y12" s="199">
        <v>189319</v>
      </c>
      <c r="Z12" s="199">
        <v>112762</v>
      </c>
      <c r="AA12" s="199">
        <v>109652</v>
      </c>
      <c r="AB12" s="199">
        <v>104913</v>
      </c>
      <c r="AC12" s="199">
        <v>99054</v>
      </c>
      <c r="AD12" s="199">
        <v>94287</v>
      </c>
    </row>
    <row r="13" spans="1:30" ht="14.45">
      <c r="B13" s="6" t="s">
        <v>165</v>
      </c>
      <c r="C13" s="6" t="s">
        <v>165</v>
      </c>
      <c r="D13" s="7">
        <v>4058516</v>
      </c>
      <c r="E13" s="199">
        <v>665683</v>
      </c>
      <c r="F13" s="199">
        <v>593903</v>
      </c>
      <c r="G13" s="199">
        <v>558509</v>
      </c>
      <c r="H13" s="199">
        <v>532620</v>
      </c>
      <c r="I13" s="199">
        <v>474650</v>
      </c>
      <c r="J13" s="199">
        <v>415642</v>
      </c>
      <c r="K13" s="199">
        <v>363263</v>
      </c>
      <c r="L13" s="199">
        <v>319044</v>
      </c>
      <c r="M13" s="199">
        <v>287108</v>
      </c>
      <c r="N13" s="199">
        <v>269752</v>
      </c>
      <c r="O13" s="199">
        <v>257047</v>
      </c>
      <c r="P13" s="199">
        <v>247601</v>
      </c>
      <c r="Q13" s="199">
        <v>241294</v>
      </c>
      <c r="R13" s="199">
        <v>242513</v>
      </c>
      <c r="S13" s="199">
        <v>233057</v>
      </c>
      <c r="T13" s="199">
        <v>223114</v>
      </c>
      <c r="U13" s="199">
        <v>213771</v>
      </c>
      <c r="V13" s="199">
        <v>209920</v>
      </c>
      <c r="W13" s="199">
        <v>202751</v>
      </c>
      <c r="X13" s="199">
        <v>198017</v>
      </c>
      <c r="Y13" s="199">
        <v>195816</v>
      </c>
      <c r="Z13" s="199">
        <v>236101</v>
      </c>
      <c r="AA13" s="199">
        <v>230643</v>
      </c>
      <c r="AB13" s="199">
        <v>222630</v>
      </c>
      <c r="AC13" s="199">
        <v>212664</v>
      </c>
      <c r="AD13" s="199">
        <v>182492</v>
      </c>
    </row>
    <row r="14" spans="1:30" ht="14.45">
      <c r="B14" s="6" t="s">
        <v>167</v>
      </c>
      <c r="C14" s="6" t="s">
        <v>167</v>
      </c>
      <c r="D14" s="7">
        <v>4058793</v>
      </c>
      <c r="E14" s="199">
        <v>18179</v>
      </c>
      <c r="F14" s="199">
        <v>15979</v>
      </c>
      <c r="G14" s="199">
        <v>14507</v>
      </c>
      <c r="H14" s="199">
        <v>12116</v>
      </c>
      <c r="I14" s="199">
        <v>12416</v>
      </c>
      <c r="J14" s="199">
        <v>11783</v>
      </c>
      <c r="K14" s="199">
        <v>11452</v>
      </c>
      <c r="L14" s="199">
        <v>11239</v>
      </c>
      <c r="M14" s="199">
        <v>10952</v>
      </c>
      <c r="N14" s="199">
        <v>10486</v>
      </c>
      <c r="O14" s="199">
        <v>10165</v>
      </c>
      <c r="P14" s="199">
        <v>9962</v>
      </c>
      <c r="Q14" s="199">
        <v>9530</v>
      </c>
      <c r="R14" s="199">
        <v>9152</v>
      </c>
      <c r="S14" s="199">
        <v>8814</v>
      </c>
      <c r="T14" s="199">
        <v>8596</v>
      </c>
      <c r="U14" s="199">
        <v>8197</v>
      </c>
      <c r="V14" s="199">
        <v>7650</v>
      </c>
      <c r="W14" s="199">
        <v>7188</v>
      </c>
      <c r="X14" s="199">
        <v>6742</v>
      </c>
      <c r="Y14" s="199">
        <v>6220</v>
      </c>
      <c r="Z14" s="199">
        <v>5818</v>
      </c>
      <c r="AA14" s="199">
        <v>5383</v>
      </c>
      <c r="AB14" s="199">
        <v>5116</v>
      </c>
      <c r="AC14" s="199">
        <v>4783</v>
      </c>
      <c r="AD14" s="199">
        <v>4435</v>
      </c>
    </row>
    <row r="15" spans="1:30" ht="14.45">
      <c r="A15" s="1" t="s">
        <v>275</v>
      </c>
      <c r="B15" s="6" t="s">
        <v>169</v>
      </c>
      <c r="C15" s="6" t="s">
        <v>169</v>
      </c>
      <c r="D15" s="7">
        <v>4057111</v>
      </c>
      <c r="E15" s="199">
        <v>5738300</v>
      </c>
      <c r="F15" s="199">
        <v>5242556</v>
      </c>
      <c r="G15" s="199">
        <v>4866924</v>
      </c>
      <c r="H15" s="199">
        <v>4531059</v>
      </c>
      <c r="I15" s="199">
        <v>4199682</v>
      </c>
      <c r="J15" s="199">
        <v>3903361</v>
      </c>
      <c r="K15" s="199">
        <v>3611562</v>
      </c>
      <c r="L15" s="199">
        <v>3311259</v>
      </c>
      <c r="M15" s="199">
        <v>3130992</v>
      </c>
      <c r="N15" s="199">
        <v>2932639</v>
      </c>
      <c r="O15" s="199">
        <v>2737909</v>
      </c>
      <c r="P15" s="199">
        <v>2346703</v>
      </c>
      <c r="Q15" s="199">
        <v>2117234</v>
      </c>
      <c r="R15" s="199">
        <v>2458000</v>
      </c>
      <c r="S15" s="199">
        <v>2375017</v>
      </c>
      <c r="T15" s="199">
        <v>2268598</v>
      </c>
      <c r="U15" s="199">
        <v>2193358</v>
      </c>
      <c r="V15" s="199">
        <v>2089930</v>
      </c>
      <c r="W15" s="199">
        <v>1992036</v>
      </c>
      <c r="X15" s="199">
        <v>1867958</v>
      </c>
      <c r="Y15" s="199">
        <v>1722142</v>
      </c>
      <c r="Z15" s="199">
        <v>942047</v>
      </c>
      <c r="AA15" s="199">
        <v>897643</v>
      </c>
      <c r="AB15" s="199">
        <v>866016</v>
      </c>
      <c r="AC15" s="199">
        <v>811374</v>
      </c>
      <c r="AD15" s="199">
        <v>760895</v>
      </c>
    </row>
    <row r="16" spans="1:30" ht="14.45">
      <c r="A16" s="1" t="s">
        <v>275</v>
      </c>
      <c r="B16" s="6" t="s">
        <v>170</v>
      </c>
      <c r="C16" s="6" t="s">
        <v>170</v>
      </c>
      <c r="D16" s="7">
        <v>4018679</v>
      </c>
      <c r="E16" s="199">
        <v>7293675</v>
      </c>
      <c r="F16" s="199">
        <v>6618455</v>
      </c>
      <c r="G16" s="199">
        <v>5693211</v>
      </c>
      <c r="H16" s="199">
        <v>5028774</v>
      </c>
      <c r="I16" s="199">
        <v>4547260</v>
      </c>
      <c r="J16" s="199">
        <v>4279699</v>
      </c>
      <c r="K16" s="199">
        <v>4017268</v>
      </c>
      <c r="L16" s="199">
        <v>3721490</v>
      </c>
      <c r="M16" s="199">
        <v>3628188</v>
      </c>
      <c r="N16" s="199">
        <v>3514853</v>
      </c>
      <c r="O16" s="199">
        <v>3362449</v>
      </c>
      <c r="P16" s="199">
        <v>3192669</v>
      </c>
      <c r="Q16" s="199">
        <v>3067900</v>
      </c>
      <c r="R16" s="199">
        <v>2895700</v>
      </c>
      <c r="S16" s="199">
        <v>2748301</v>
      </c>
      <c r="T16" s="199">
        <v>2635557</v>
      </c>
      <c r="U16" s="199">
        <v>2532573</v>
      </c>
      <c r="V16" s="199">
        <v>2420130</v>
      </c>
      <c r="W16" s="199">
        <v>2296965</v>
      </c>
      <c r="X16" s="199">
        <v>2176458</v>
      </c>
      <c r="Y16" s="199">
        <v>2102522</v>
      </c>
      <c r="Z16" s="199">
        <v>2007565</v>
      </c>
      <c r="AA16" s="199">
        <v>1897219</v>
      </c>
      <c r="AB16" s="199">
        <v>1827438</v>
      </c>
      <c r="AC16" s="199">
        <v>1764092</v>
      </c>
      <c r="AD16" s="199">
        <v>1671498</v>
      </c>
    </row>
    <row r="17" spans="1:30" ht="14.45">
      <c r="B17" s="6" t="s">
        <v>172</v>
      </c>
      <c r="C17" s="6" t="s">
        <v>172</v>
      </c>
      <c r="D17" s="7">
        <v>4057112</v>
      </c>
      <c r="E17" s="199">
        <v>1261133</v>
      </c>
      <c r="F17" s="199">
        <v>1148216</v>
      </c>
      <c r="G17" s="199">
        <v>1077227</v>
      </c>
      <c r="H17" s="199">
        <v>997637</v>
      </c>
      <c r="I17" s="199">
        <v>922695</v>
      </c>
      <c r="J17" s="199">
        <v>870184</v>
      </c>
      <c r="K17" s="199">
        <v>801092</v>
      </c>
      <c r="L17" s="199">
        <v>767958</v>
      </c>
      <c r="M17" s="199">
        <v>737323</v>
      </c>
      <c r="N17" s="199">
        <v>702855</v>
      </c>
      <c r="O17" s="199">
        <v>684284</v>
      </c>
      <c r="P17" s="199">
        <v>672302</v>
      </c>
      <c r="Q17" s="199">
        <v>664684</v>
      </c>
      <c r="R17" s="199">
        <v>639713</v>
      </c>
      <c r="S17" s="199">
        <v>617591</v>
      </c>
      <c r="T17" s="199">
        <v>601888</v>
      </c>
      <c r="U17" s="199">
        <v>577395</v>
      </c>
      <c r="V17" s="199">
        <v>539153</v>
      </c>
      <c r="W17" s="199">
        <v>511875</v>
      </c>
      <c r="X17" s="199">
        <v>491090</v>
      </c>
      <c r="Y17" s="199">
        <v>473206</v>
      </c>
      <c r="Z17" s="199">
        <v>458361</v>
      </c>
      <c r="AA17" s="199">
        <v>441199</v>
      </c>
      <c r="AB17" s="199">
        <v>423141</v>
      </c>
      <c r="AC17" s="199">
        <v>398240</v>
      </c>
      <c r="AD17" s="199">
        <v>362924</v>
      </c>
    </row>
    <row r="18" spans="1:30" ht="14.45">
      <c r="A18" s="1" t="s">
        <v>275</v>
      </c>
      <c r="B18" s="6" t="s">
        <v>173</v>
      </c>
      <c r="C18" s="6" t="s">
        <v>173</v>
      </c>
      <c r="D18" s="7">
        <v>4057076</v>
      </c>
      <c r="E18" s="199" t="s">
        <v>175</v>
      </c>
      <c r="F18" s="199">
        <v>615857</v>
      </c>
      <c r="G18" s="199">
        <v>566197</v>
      </c>
      <c r="H18" s="199">
        <v>502226</v>
      </c>
      <c r="I18" s="199">
        <v>457270</v>
      </c>
      <c r="J18" s="199">
        <v>417455</v>
      </c>
      <c r="K18" s="199">
        <v>380966</v>
      </c>
      <c r="L18" s="199">
        <v>356627</v>
      </c>
      <c r="M18" s="199">
        <v>320121</v>
      </c>
      <c r="N18" s="199">
        <v>305664</v>
      </c>
      <c r="O18" s="199">
        <v>292358</v>
      </c>
      <c r="P18" s="199">
        <v>281139</v>
      </c>
      <c r="Q18" s="199">
        <v>263824</v>
      </c>
      <c r="R18" s="199">
        <v>248843</v>
      </c>
      <c r="S18" s="199">
        <v>239267</v>
      </c>
      <c r="T18" s="199">
        <v>226808</v>
      </c>
      <c r="U18" s="199">
        <v>214866</v>
      </c>
      <c r="V18" s="199">
        <v>199221</v>
      </c>
      <c r="W18" s="199">
        <v>189143</v>
      </c>
      <c r="X18" s="199">
        <v>180673</v>
      </c>
      <c r="Y18" s="199">
        <v>172242</v>
      </c>
      <c r="Z18" s="199">
        <v>164767</v>
      </c>
      <c r="AA18" s="199">
        <v>158165</v>
      </c>
      <c r="AB18" s="199">
        <v>151222</v>
      </c>
      <c r="AC18" s="199">
        <v>145375</v>
      </c>
      <c r="AD18" s="199">
        <v>140341</v>
      </c>
    </row>
    <row r="19" spans="1:30" ht="14.45">
      <c r="B19" s="6" t="s">
        <v>278</v>
      </c>
      <c r="C19" s="6" t="s">
        <v>278</v>
      </c>
      <c r="D19" s="7">
        <v>4059166</v>
      </c>
      <c r="E19" s="199">
        <v>353727</v>
      </c>
      <c r="F19" s="199">
        <v>336876</v>
      </c>
      <c r="G19" s="199">
        <v>283116</v>
      </c>
      <c r="H19" s="199">
        <v>279224</v>
      </c>
      <c r="I19" s="199">
        <v>265838</v>
      </c>
      <c r="J19" s="199">
        <v>250044</v>
      </c>
      <c r="K19" s="199">
        <v>235720</v>
      </c>
      <c r="L19" s="199">
        <v>215884</v>
      </c>
      <c r="M19" s="199">
        <v>209048</v>
      </c>
      <c r="N19" s="199">
        <v>204115</v>
      </c>
      <c r="O19" s="199">
        <v>193513</v>
      </c>
      <c r="P19" s="199">
        <v>191456</v>
      </c>
      <c r="Q19" s="199">
        <v>182801</v>
      </c>
      <c r="R19" s="199">
        <v>177938</v>
      </c>
      <c r="S19" s="199">
        <v>172507</v>
      </c>
      <c r="T19" s="199">
        <v>158748</v>
      </c>
      <c r="U19" s="199">
        <v>157664</v>
      </c>
      <c r="V19" s="199">
        <v>152118</v>
      </c>
      <c r="W19" s="199">
        <v>151295</v>
      </c>
      <c r="X19" s="199">
        <v>146061</v>
      </c>
      <c r="Y19" s="199">
        <v>144768</v>
      </c>
      <c r="Z19" s="199" t="s">
        <v>175</v>
      </c>
      <c r="AA19" s="199" t="s">
        <v>175</v>
      </c>
      <c r="AB19" s="199">
        <v>130029</v>
      </c>
      <c r="AC19" s="199">
        <v>124599</v>
      </c>
      <c r="AD19" s="199">
        <v>118546</v>
      </c>
    </row>
    <row r="20" spans="1:30" ht="14.45">
      <c r="B20" s="6" t="s">
        <v>279</v>
      </c>
      <c r="C20" s="6" t="s">
        <v>279</v>
      </c>
      <c r="D20" s="7">
        <v>4059227</v>
      </c>
      <c r="E20" s="199">
        <v>34644</v>
      </c>
      <c r="F20" s="199">
        <v>33891</v>
      </c>
      <c r="G20" s="199">
        <v>33589</v>
      </c>
      <c r="H20" s="199">
        <v>32395</v>
      </c>
      <c r="I20" s="199">
        <v>31942</v>
      </c>
      <c r="J20" s="199">
        <v>31086</v>
      </c>
      <c r="K20" s="199">
        <v>30540</v>
      </c>
      <c r="L20" s="199">
        <v>30337</v>
      </c>
      <c r="M20" s="199">
        <v>29597</v>
      </c>
      <c r="N20" s="199">
        <v>29386</v>
      </c>
      <c r="O20" s="199">
        <v>28994</v>
      </c>
      <c r="P20" s="199">
        <v>28611</v>
      </c>
      <c r="Q20" s="199">
        <v>28530</v>
      </c>
      <c r="R20" s="199">
        <v>27736</v>
      </c>
      <c r="S20" s="199">
        <v>27854</v>
      </c>
      <c r="T20" s="199">
        <v>27467</v>
      </c>
      <c r="U20" s="199" t="s">
        <v>175</v>
      </c>
      <c r="V20" s="199">
        <v>26602</v>
      </c>
      <c r="W20" s="199">
        <v>26384</v>
      </c>
      <c r="X20" s="199" t="s">
        <v>175</v>
      </c>
      <c r="Y20" s="199">
        <v>25094</v>
      </c>
      <c r="Z20" s="199" t="s">
        <v>175</v>
      </c>
      <c r="AA20" s="199" t="s">
        <v>175</v>
      </c>
      <c r="AB20" s="199" t="s">
        <v>175</v>
      </c>
      <c r="AC20" s="199">
        <v>18918</v>
      </c>
      <c r="AD20" s="199">
        <v>18353</v>
      </c>
    </row>
    <row r="21" spans="1:30" ht="14.45">
      <c r="A21" s="1" t="s">
        <v>275</v>
      </c>
      <c r="B21" s="6" t="s">
        <v>174</v>
      </c>
      <c r="C21" s="6" t="s">
        <v>174</v>
      </c>
      <c r="D21" s="7">
        <v>4057114</v>
      </c>
      <c r="E21" s="199">
        <v>1304807</v>
      </c>
      <c r="F21" s="199">
        <v>1096209</v>
      </c>
      <c r="G21" s="199">
        <v>1041756</v>
      </c>
      <c r="H21" s="199">
        <v>997910</v>
      </c>
      <c r="I21" s="199">
        <v>944259</v>
      </c>
      <c r="J21" s="199">
        <v>865747</v>
      </c>
      <c r="K21" s="199">
        <v>825674</v>
      </c>
      <c r="L21" s="199">
        <v>774416</v>
      </c>
      <c r="M21" s="199">
        <v>723917</v>
      </c>
      <c r="N21" s="199">
        <v>695611</v>
      </c>
      <c r="O21" s="199">
        <v>802983</v>
      </c>
      <c r="P21" s="199">
        <v>784238</v>
      </c>
      <c r="Q21" s="199">
        <v>763402</v>
      </c>
      <c r="R21" s="199">
        <v>911707</v>
      </c>
      <c r="S21" s="199">
        <v>901718</v>
      </c>
      <c r="T21" s="199">
        <v>880830</v>
      </c>
      <c r="U21" s="199">
        <v>866327</v>
      </c>
      <c r="V21" s="199">
        <v>846061</v>
      </c>
      <c r="W21" s="199">
        <v>829426</v>
      </c>
      <c r="X21" s="199">
        <v>804215</v>
      </c>
      <c r="Y21" s="199">
        <v>765090</v>
      </c>
      <c r="Z21" s="199">
        <v>628674</v>
      </c>
      <c r="AA21" s="199">
        <v>387086</v>
      </c>
      <c r="AB21" s="199">
        <v>346991</v>
      </c>
      <c r="AC21" s="199">
        <v>323673</v>
      </c>
      <c r="AD21" s="199">
        <v>300928</v>
      </c>
    </row>
    <row r="22" spans="1:30" ht="14.45">
      <c r="B22" s="6" t="s">
        <v>176</v>
      </c>
      <c r="C22" s="6" t="s">
        <v>176</v>
      </c>
      <c r="D22" s="7">
        <v>4059355</v>
      </c>
      <c r="E22" s="199">
        <v>593326</v>
      </c>
      <c r="F22" s="199">
        <v>539995</v>
      </c>
      <c r="G22" s="199">
        <v>490189</v>
      </c>
      <c r="H22" s="199">
        <v>457110</v>
      </c>
      <c r="I22" s="199">
        <v>425614</v>
      </c>
      <c r="J22" s="199">
        <v>394623</v>
      </c>
      <c r="K22" s="199">
        <v>364022</v>
      </c>
      <c r="L22" s="199">
        <v>336056</v>
      </c>
      <c r="M22" s="199">
        <v>318324</v>
      </c>
      <c r="N22" s="199">
        <v>302595</v>
      </c>
      <c r="O22" s="199">
        <v>289464</v>
      </c>
      <c r="P22" s="199">
        <v>281339</v>
      </c>
      <c r="Q22" s="199">
        <v>271693</v>
      </c>
      <c r="R22" s="199">
        <v>260642</v>
      </c>
      <c r="S22" s="199">
        <v>253767</v>
      </c>
      <c r="T22" s="199">
        <v>244767</v>
      </c>
      <c r="U22" s="199">
        <v>239631</v>
      </c>
      <c r="V22" s="199">
        <v>236269</v>
      </c>
      <c r="W22" s="199">
        <v>230909</v>
      </c>
      <c r="X22" s="199">
        <v>220059</v>
      </c>
      <c r="Y22" s="199">
        <v>212474</v>
      </c>
      <c r="Z22" s="199">
        <v>205378</v>
      </c>
      <c r="AA22" s="199">
        <v>196597</v>
      </c>
      <c r="AB22" s="199">
        <v>188011</v>
      </c>
      <c r="AC22" s="199">
        <v>184536</v>
      </c>
      <c r="AD22" s="199">
        <v>170796</v>
      </c>
    </row>
    <row r="23" spans="1:30" ht="14.45">
      <c r="B23" s="6" t="s">
        <v>178</v>
      </c>
      <c r="C23" s="6" t="s">
        <v>178</v>
      </c>
      <c r="D23" s="7">
        <v>4088325</v>
      </c>
      <c r="E23" s="199">
        <v>250525</v>
      </c>
      <c r="F23" s="199">
        <v>232037</v>
      </c>
      <c r="G23" s="199">
        <v>206165</v>
      </c>
      <c r="H23" s="199">
        <v>186769</v>
      </c>
      <c r="I23" s="199">
        <v>170546</v>
      </c>
      <c r="J23" s="199">
        <v>164449</v>
      </c>
      <c r="K23" s="199">
        <v>149878</v>
      </c>
      <c r="L23" s="199">
        <v>137355</v>
      </c>
      <c r="M23" s="199">
        <v>129543</v>
      </c>
      <c r="N23" s="199">
        <v>121073</v>
      </c>
      <c r="O23" s="199">
        <v>113779</v>
      </c>
      <c r="P23" s="199">
        <v>108425</v>
      </c>
      <c r="Q23" s="199">
        <v>99859</v>
      </c>
      <c r="R23" s="199">
        <v>95736</v>
      </c>
      <c r="S23" s="199">
        <v>92317</v>
      </c>
      <c r="T23" s="199">
        <v>89043</v>
      </c>
      <c r="U23" s="199">
        <v>85629</v>
      </c>
      <c r="V23" s="199">
        <v>83223</v>
      </c>
      <c r="W23" s="199">
        <v>83232</v>
      </c>
      <c r="X23" s="199">
        <v>81539</v>
      </c>
      <c r="Y23" s="199">
        <v>78427</v>
      </c>
      <c r="Z23" s="199">
        <v>75531</v>
      </c>
      <c r="AA23" s="199">
        <v>72716</v>
      </c>
      <c r="AB23" s="199">
        <v>68239</v>
      </c>
      <c r="AC23" s="199">
        <v>64237</v>
      </c>
      <c r="AD23" s="199">
        <v>61368</v>
      </c>
    </row>
    <row r="24" spans="1:30" ht="14.45">
      <c r="B24" s="6" t="s">
        <v>280</v>
      </c>
      <c r="C24" s="6" t="s">
        <v>280</v>
      </c>
      <c r="D24" s="7">
        <v>4088326</v>
      </c>
      <c r="E24" s="199">
        <v>4961933</v>
      </c>
      <c r="F24" s="199">
        <v>4597491</v>
      </c>
      <c r="G24" s="199">
        <v>4264101</v>
      </c>
      <c r="H24" s="199">
        <v>3972580</v>
      </c>
      <c r="I24" s="199">
        <v>3654955</v>
      </c>
      <c r="J24" s="199">
        <v>3314931</v>
      </c>
      <c r="K24" s="199">
        <v>3059356</v>
      </c>
      <c r="L24" s="199">
        <v>2790699</v>
      </c>
      <c r="M24" s="199">
        <v>2581053</v>
      </c>
      <c r="N24" s="199">
        <v>2380719</v>
      </c>
      <c r="O24" s="199">
        <v>2224306</v>
      </c>
      <c r="P24" s="199">
        <v>2070181</v>
      </c>
      <c r="Q24" s="199">
        <v>1932021</v>
      </c>
      <c r="R24" s="199">
        <v>1779893</v>
      </c>
      <c r="S24" s="199">
        <v>1716044</v>
      </c>
      <c r="T24" s="199">
        <v>1636269</v>
      </c>
      <c r="U24" s="199">
        <v>1588774</v>
      </c>
      <c r="V24" s="199">
        <v>1546328</v>
      </c>
      <c r="W24" s="199">
        <v>1519442</v>
      </c>
      <c r="X24" s="199">
        <v>1463234</v>
      </c>
      <c r="Y24" s="199" t="s">
        <v>175</v>
      </c>
      <c r="Z24" s="199">
        <v>1400171</v>
      </c>
      <c r="AA24" s="199">
        <v>1358341</v>
      </c>
      <c r="AB24" s="199">
        <v>1297148</v>
      </c>
      <c r="AC24" s="199">
        <v>1231455</v>
      </c>
      <c r="AD24" s="199">
        <v>1158889</v>
      </c>
    </row>
    <row r="25" spans="1:30" ht="14.45">
      <c r="A25" s="1" t="s">
        <v>275</v>
      </c>
      <c r="B25" s="6" t="s">
        <v>281</v>
      </c>
      <c r="C25" s="6" t="s">
        <v>281</v>
      </c>
      <c r="D25" s="7">
        <v>4059358</v>
      </c>
      <c r="E25" s="199">
        <v>2851060</v>
      </c>
      <c r="F25" s="199">
        <v>2568659</v>
      </c>
      <c r="G25" s="199">
        <v>2330626</v>
      </c>
      <c r="H25" s="199">
        <v>2074070</v>
      </c>
      <c r="I25" s="199">
        <v>1860077</v>
      </c>
      <c r="J25" s="199">
        <v>1660068</v>
      </c>
      <c r="K25" s="199">
        <v>1500491</v>
      </c>
      <c r="L25" s="199">
        <v>1335700</v>
      </c>
      <c r="M25" s="199">
        <v>1198205</v>
      </c>
      <c r="N25" s="199">
        <v>1073635</v>
      </c>
      <c r="O25" s="199">
        <v>981869</v>
      </c>
      <c r="P25" s="199">
        <v>925064</v>
      </c>
      <c r="Q25" s="199">
        <v>851128</v>
      </c>
      <c r="R25" s="199">
        <v>788614</v>
      </c>
      <c r="S25" s="199">
        <v>748601</v>
      </c>
      <c r="T25" s="199">
        <v>710426</v>
      </c>
      <c r="U25" s="199">
        <v>673652</v>
      </c>
      <c r="V25" s="199">
        <v>658081</v>
      </c>
      <c r="W25" s="199">
        <v>641669</v>
      </c>
      <c r="X25" s="199">
        <v>622289</v>
      </c>
      <c r="Y25" s="199">
        <v>600130</v>
      </c>
      <c r="Z25" s="199">
        <v>575540</v>
      </c>
      <c r="AA25" s="199">
        <v>557217</v>
      </c>
      <c r="AB25" s="199">
        <v>531308</v>
      </c>
      <c r="AC25" s="199">
        <v>505065</v>
      </c>
      <c r="AD25" s="199">
        <v>482440</v>
      </c>
    </row>
    <row r="26" spans="1:30" ht="14.45">
      <c r="B26" s="6" t="s">
        <v>282</v>
      </c>
      <c r="C26" s="6" t="s">
        <v>282</v>
      </c>
      <c r="D26" s="7">
        <v>4059359</v>
      </c>
      <c r="E26" s="199">
        <v>1496730</v>
      </c>
      <c r="F26" s="199">
        <v>1399884</v>
      </c>
      <c r="G26" s="199">
        <v>1284626</v>
      </c>
      <c r="H26" s="199">
        <v>1207433</v>
      </c>
      <c r="I26" s="199">
        <v>1115058</v>
      </c>
      <c r="J26" s="199">
        <v>1023079</v>
      </c>
      <c r="K26" s="199">
        <v>950619</v>
      </c>
      <c r="L26" s="199">
        <v>859458</v>
      </c>
      <c r="M26" s="199">
        <v>784230</v>
      </c>
      <c r="N26" s="199">
        <v>737753</v>
      </c>
      <c r="O26" s="199">
        <v>710058</v>
      </c>
      <c r="P26" s="199">
        <v>647125</v>
      </c>
      <c r="Q26" s="199">
        <v>627220</v>
      </c>
      <c r="R26" s="199">
        <v>597438</v>
      </c>
      <c r="S26" s="199">
        <v>574408</v>
      </c>
      <c r="T26" s="199">
        <v>551826</v>
      </c>
      <c r="U26" s="199">
        <v>528357</v>
      </c>
      <c r="V26" s="199">
        <v>513677</v>
      </c>
      <c r="W26" s="199">
        <v>480755</v>
      </c>
      <c r="X26" s="199">
        <v>463365</v>
      </c>
      <c r="Y26" s="199">
        <v>434612</v>
      </c>
      <c r="Z26" s="199" t="s">
        <v>175</v>
      </c>
      <c r="AA26" s="199">
        <v>379107</v>
      </c>
      <c r="AB26" s="199">
        <v>339603</v>
      </c>
      <c r="AC26" s="199" t="s">
        <v>175</v>
      </c>
      <c r="AD26" s="199" t="s">
        <v>175</v>
      </c>
    </row>
    <row r="27" spans="1:30" ht="14.45">
      <c r="A27" s="1" t="s">
        <v>275</v>
      </c>
      <c r="B27" s="6" t="s">
        <v>180</v>
      </c>
      <c r="C27" s="6" t="s">
        <v>180</v>
      </c>
      <c r="D27" s="7">
        <v>4059402</v>
      </c>
      <c r="E27" s="199">
        <v>1083498</v>
      </c>
      <c r="F27" s="199">
        <v>1055</v>
      </c>
      <c r="G27" s="199">
        <v>1005452</v>
      </c>
      <c r="H27" s="199">
        <v>892596</v>
      </c>
      <c r="I27" s="199">
        <v>857533</v>
      </c>
      <c r="J27" s="199">
        <v>794780</v>
      </c>
      <c r="K27" s="199">
        <v>736860</v>
      </c>
      <c r="L27" s="199">
        <v>695010</v>
      </c>
      <c r="M27" s="199">
        <v>665870</v>
      </c>
      <c r="N27" s="199">
        <v>655245</v>
      </c>
      <c r="O27" s="199">
        <v>634481</v>
      </c>
      <c r="P27" s="199">
        <v>629365</v>
      </c>
      <c r="Q27" s="199">
        <v>619460</v>
      </c>
      <c r="R27" s="199">
        <v>603588</v>
      </c>
      <c r="S27" s="199">
        <v>589076</v>
      </c>
      <c r="T27" s="199">
        <v>569827</v>
      </c>
      <c r="U27" s="199">
        <v>548913</v>
      </c>
      <c r="V27" s="199">
        <v>533518</v>
      </c>
      <c r="W27" s="199">
        <v>521327</v>
      </c>
      <c r="X27" s="199">
        <v>507135</v>
      </c>
      <c r="Y27" s="199">
        <v>460164</v>
      </c>
      <c r="Z27" s="199">
        <v>448533</v>
      </c>
      <c r="AA27" s="199">
        <v>429589</v>
      </c>
      <c r="AB27" s="199">
        <v>405693</v>
      </c>
      <c r="AC27" s="199">
        <v>386468</v>
      </c>
      <c r="AD27" s="199">
        <v>370512</v>
      </c>
    </row>
    <row r="28" spans="1:30" ht="14.45">
      <c r="A28" s="1" t="s">
        <v>275</v>
      </c>
      <c r="B28" s="6" t="s">
        <v>182</v>
      </c>
      <c r="C28" s="6" t="s">
        <v>182</v>
      </c>
      <c r="D28" s="7">
        <v>4057080</v>
      </c>
      <c r="E28" s="199">
        <v>9629033</v>
      </c>
      <c r="F28" s="199">
        <v>9021787</v>
      </c>
      <c r="G28" s="199">
        <v>8125976</v>
      </c>
      <c r="H28" s="199">
        <v>7333184</v>
      </c>
      <c r="I28" s="199">
        <v>6704877</v>
      </c>
      <c r="J28" s="199">
        <v>6089528</v>
      </c>
      <c r="K28" s="199">
        <v>5397695</v>
      </c>
      <c r="L28" s="199">
        <v>4857843</v>
      </c>
      <c r="M28" s="199">
        <v>4501201</v>
      </c>
      <c r="N28" s="199">
        <v>4165129</v>
      </c>
      <c r="O28" s="199">
        <v>3836487</v>
      </c>
      <c r="P28" s="199">
        <v>3530660</v>
      </c>
      <c r="Q28" s="199">
        <v>3265800</v>
      </c>
      <c r="R28" s="199">
        <v>2992462</v>
      </c>
      <c r="S28" s="199">
        <v>2843732</v>
      </c>
      <c r="T28" s="199">
        <v>2678427</v>
      </c>
      <c r="U28" s="199">
        <v>2529939</v>
      </c>
      <c r="V28" s="199">
        <v>2379911</v>
      </c>
      <c r="W28" s="199">
        <v>2228655</v>
      </c>
      <c r="X28" s="199">
        <v>2112426</v>
      </c>
      <c r="Y28" s="199">
        <v>2019156</v>
      </c>
      <c r="Z28" s="199">
        <v>1932851</v>
      </c>
      <c r="AA28" s="199">
        <v>1837311</v>
      </c>
      <c r="AB28" s="199">
        <v>1740323</v>
      </c>
      <c r="AC28" s="199">
        <v>1640992</v>
      </c>
      <c r="AD28" s="199">
        <v>1536057</v>
      </c>
    </row>
    <row r="29" spans="1:30" ht="14.45">
      <c r="B29" s="6" t="s">
        <v>183</v>
      </c>
      <c r="C29" s="6" t="s">
        <v>183</v>
      </c>
      <c r="D29" s="7">
        <v>4057081</v>
      </c>
      <c r="E29" s="199">
        <v>9061053</v>
      </c>
      <c r="F29" s="199">
        <v>8269281</v>
      </c>
      <c r="G29" s="199">
        <v>7382516</v>
      </c>
      <c r="H29" s="199">
        <v>6585296</v>
      </c>
      <c r="I29" s="199">
        <v>5806197</v>
      </c>
      <c r="J29" s="199">
        <v>5293350</v>
      </c>
      <c r="K29" s="199">
        <v>4959496</v>
      </c>
      <c r="L29" s="199">
        <v>4501828</v>
      </c>
      <c r="M29" s="199">
        <v>4077224</v>
      </c>
      <c r="N29" s="199">
        <v>3901151</v>
      </c>
      <c r="O29" s="199">
        <v>3777935</v>
      </c>
      <c r="P29" s="199">
        <v>3532530</v>
      </c>
      <c r="Q29" s="199">
        <v>3309848</v>
      </c>
      <c r="R29" s="199">
        <v>3232020</v>
      </c>
      <c r="S29" s="199">
        <v>3046429</v>
      </c>
      <c r="T29" s="199">
        <v>2924238</v>
      </c>
      <c r="U29" s="199">
        <v>2782577</v>
      </c>
      <c r="V29" s="199">
        <v>2656748</v>
      </c>
      <c r="W29" s="199">
        <v>2522390</v>
      </c>
      <c r="X29" s="199">
        <v>2286327</v>
      </c>
      <c r="Y29" s="199">
        <v>2205332</v>
      </c>
      <c r="Z29" s="199">
        <v>2171042</v>
      </c>
      <c r="AA29" s="199">
        <v>2078555</v>
      </c>
      <c r="AB29" s="199">
        <v>1995310</v>
      </c>
      <c r="AC29" s="199">
        <v>1881293</v>
      </c>
      <c r="AD29" s="199">
        <v>1792382</v>
      </c>
    </row>
    <row r="30" spans="1:30" ht="14.45">
      <c r="A30" s="1" t="s">
        <v>275</v>
      </c>
      <c r="B30" s="6" t="s">
        <v>185</v>
      </c>
      <c r="C30" s="6" t="s">
        <v>185</v>
      </c>
      <c r="D30" s="7">
        <v>4059459</v>
      </c>
      <c r="E30" s="199">
        <v>97382</v>
      </c>
      <c r="F30" s="199">
        <v>93121</v>
      </c>
      <c r="G30" s="199">
        <v>89685</v>
      </c>
      <c r="H30" s="199">
        <v>83296</v>
      </c>
      <c r="I30" s="199">
        <v>78781</v>
      </c>
      <c r="J30" s="199">
        <v>72282</v>
      </c>
      <c r="K30" s="199">
        <v>69966</v>
      </c>
      <c r="L30" s="199">
        <v>62551</v>
      </c>
      <c r="M30" s="199">
        <v>55640</v>
      </c>
      <c r="N30" s="199">
        <v>49349</v>
      </c>
      <c r="O30" s="199">
        <v>44783</v>
      </c>
      <c r="P30" s="199">
        <v>39725</v>
      </c>
      <c r="Q30" s="199">
        <v>35550</v>
      </c>
      <c r="R30" s="199">
        <v>30343</v>
      </c>
      <c r="S30" s="199">
        <v>28701</v>
      </c>
      <c r="T30" s="199">
        <v>26849</v>
      </c>
      <c r="U30" s="199">
        <v>25805</v>
      </c>
      <c r="V30" s="199">
        <v>24968</v>
      </c>
      <c r="W30" s="199">
        <v>23990</v>
      </c>
      <c r="X30" s="199">
        <v>23043</v>
      </c>
      <c r="Y30" s="199">
        <v>22269</v>
      </c>
      <c r="Z30" s="199">
        <v>21603</v>
      </c>
      <c r="AA30" s="199">
        <v>21349</v>
      </c>
      <c r="AB30" s="199">
        <v>20350</v>
      </c>
      <c r="AC30" s="199">
        <v>19605</v>
      </c>
      <c r="AD30" s="199">
        <v>19297</v>
      </c>
    </row>
    <row r="31" spans="1:30" ht="14.45">
      <c r="B31" s="6" t="s">
        <v>186</v>
      </c>
      <c r="C31" s="6" t="s">
        <v>186</v>
      </c>
      <c r="D31" s="7">
        <v>4057118</v>
      </c>
      <c r="E31" s="199">
        <v>265024</v>
      </c>
      <c r="F31" s="199">
        <v>259190</v>
      </c>
      <c r="G31" s="199">
        <v>247752</v>
      </c>
      <c r="H31" s="199">
        <v>244639</v>
      </c>
      <c r="I31" s="199">
        <v>237047</v>
      </c>
      <c r="J31" s="199">
        <v>232371</v>
      </c>
      <c r="K31" s="199">
        <v>227623</v>
      </c>
      <c r="L31" s="199">
        <v>219428</v>
      </c>
      <c r="M31" s="199">
        <v>212944</v>
      </c>
      <c r="N31" s="199">
        <v>207015</v>
      </c>
      <c r="O31" s="199">
        <v>197919</v>
      </c>
      <c r="P31" s="199">
        <v>195036</v>
      </c>
      <c r="Q31" s="199">
        <v>189046</v>
      </c>
      <c r="R31" s="199">
        <v>182035</v>
      </c>
      <c r="S31" s="199">
        <v>176713</v>
      </c>
      <c r="T31" s="199">
        <v>169029</v>
      </c>
      <c r="U31" s="199">
        <v>165124</v>
      </c>
      <c r="V31" s="199">
        <v>160635</v>
      </c>
      <c r="W31" s="199">
        <v>149885</v>
      </c>
      <c r="X31" s="199">
        <v>142248</v>
      </c>
      <c r="Y31" s="199">
        <v>137882</v>
      </c>
      <c r="Z31" s="199">
        <v>131511</v>
      </c>
      <c r="AA31" s="199">
        <v>119759</v>
      </c>
      <c r="AB31" s="199">
        <v>106252</v>
      </c>
      <c r="AC31" s="199">
        <v>100214</v>
      </c>
      <c r="AD31" s="199">
        <v>90032</v>
      </c>
    </row>
    <row r="32" spans="1:30" ht="14.45">
      <c r="B32" s="6" t="s">
        <v>188</v>
      </c>
      <c r="C32" s="6" t="s">
        <v>188</v>
      </c>
      <c r="D32" s="7">
        <v>4057126</v>
      </c>
      <c r="E32" s="199">
        <v>6161941</v>
      </c>
      <c r="F32" s="199">
        <v>5750236</v>
      </c>
      <c r="G32" s="199">
        <v>5407853</v>
      </c>
      <c r="H32" s="199">
        <v>4846317</v>
      </c>
      <c r="I32" s="199">
        <v>4585989</v>
      </c>
      <c r="J32" s="199">
        <v>4297361</v>
      </c>
      <c r="K32" s="199">
        <v>4138929</v>
      </c>
      <c r="L32" s="199">
        <v>3973988</v>
      </c>
      <c r="M32" s="199">
        <v>3805080</v>
      </c>
      <c r="N32" s="199">
        <v>3708149</v>
      </c>
      <c r="O32" s="199">
        <v>3553894</v>
      </c>
      <c r="P32" s="199">
        <v>3508588</v>
      </c>
      <c r="Q32" s="199">
        <v>3393376</v>
      </c>
      <c r="R32" s="199">
        <v>3067694</v>
      </c>
      <c r="S32" s="199">
        <v>3042637</v>
      </c>
      <c r="T32" s="199">
        <v>2937928</v>
      </c>
      <c r="U32" s="199">
        <v>2999846</v>
      </c>
      <c r="V32" s="199">
        <v>2931606</v>
      </c>
      <c r="W32" s="199">
        <v>2943817</v>
      </c>
      <c r="X32" s="199">
        <v>2871586</v>
      </c>
      <c r="Y32" s="199">
        <v>2790709</v>
      </c>
      <c r="Z32" s="199">
        <v>2783003</v>
      </c>
      <c r="AA32" s="199">
        <v>2643127</v>
      </c>
      <c r="AB32" s="199">
        <v>2532243</v>
      </c>
      <c r="AC32" s="199">
        <v>2357794</v>
      </c>
      <c r="AD32" s="199">
        <v>2241818</v>
      </c>
    </row>
    <row r="33" spans="1:30" ht="14.45">
      <c r="B33" s="6" t="s">
        <v>283</v>
      </c>
      <c r="C33" s="6" t="s">
        <v>283</v>
      </c>
      <c r="D33" s="7">
        <v>4057103</v>
      </c>
      <c r="E33" s="199" t="s">
        <v>175</v>
      </c>
      <c r="F33" s="199">
        <v>647904</v>
      </c>
      <c r="G33" s="199">
        <v>580454</v>
      </c>
      <c r="H33" s="199">
        <v>503229</v>
      </c>
      <c r="I33" s="199" t="s">
        <v>175</v>
      </c>
      <c r="J33" s="199">
        <v>445878</v>
      </c>
      <c r="K33" s="199">
        <v>435893</v>
      </c>
      <c r="L33" s="199">
        <v>428524</v>
      </c>
      <c r="M33" s="199">
        <v>420262</v>
      </c>
      <c r="N33" s="199">
        <v>405992</v>
      </c>
      <c r="O33" s="199">
        <v>395430</v>
      </c>
      <c r="P33" s="199">
        <v>378134</v>
      </c>
      <c r="Q33" s="199">
        <v>345064</v>
      </c>
      <c r="R33" s="199">
        <v>319464</v>
      </c>
      <c r="S33" s="199">
        <v>297891</v>
      </c>
      <c r="T33" s="199">
        <v>276908</v>
      </c>
      <c r="U33" s="199">
        <v>256667</v>
      </c>
      <c r="V33" s="199">
        <v>239670</v>
      </c>
      <c r="W33" s="199">
        <v>215505</v>
      </c>
      <c r="X33" s="199">
        <v>197301</v>
      </c>
      <c r="Y33" s="199">
        <v>184878</v>
      </c>
      <c r="Z33" s="199">
        <v>173011</v>
      </c>
      <c r="AA33" s="199">
        <v>164040</v>
      </c>
      <c r="AB33" s="199">
        <v>155167</v>
      </c>
      <c r="AC33" s="199">
        <v>148202</v>
      </c>
      <c r="AD33" s="199">
        <v>140604</v>
      </c>
    </row>
    <row r="34" spans="1:30" ht="14.45">
      <c r="B34" s="6" t="s">
        <v>189</v>
      </c>
      <c r="C34" s="6" t="s">
        <v>189</v>
      </c>
      <c r="D34" s="7">
        <v>4057079</v>
      </c>
      <c r="E34" s="199">
        <v>2515227</v>
      </c>
      <c r="F34" s="199">
        <v>2348175</v>
      </c>
      <c r="G34" s="199">
        <v>2196595</v>
      </c>
      <c r="H34" s="199">
        <v>2099425</v>
      </c>
      <c r="I34" s="199">
        <v>2021508</v>
      </c>
      <c r="J34" s="199">
        <v>1935849</v>
      </c>
      <c r="K34" s="199">
        <v>1853582</v>
      </c>
      <c r="L34" s="199">
        <v>1764135</v>
      </c>
      <c r="M34" s="199">
        <v>1663366</v>
      </c>
      <c r="N34" s="199">
        <v>1551922</v>
      </c>
      <c r="O34" s="199">
        <v>1442435</v>
      </c>
      <c r="P34" s="199">
        <v>1330533</v>
      </c>
      <c r="Q34" s="199">
        <v>1233710</v>
      </c>
      <c r="R34" s="199">
        <v>1127375</v>
      </c>
      <c r="S34" s="199">
        <v>1051209</v>
      </c>
      <c r="T34" s="199">
        <v>978225</v>
      </c>
      <c r="U34" s="199">
        <v>908712</v>
      </c>
      <c r="V34" s="199">
        <v>829314</v>
      </c>
      <c r="W34" s="199">
        <v>753616</v>
      </c>
      <c r="X34" s="199">
        <v>696345</v>
      </c>
      <c r="Y34" s="199">
        <v>648891</v>
      </c>
      <c r="Z34" s="199">
        <v>620886</v>
      </c>
      <c r="AA34" s="199">
        <v>592396</v>
      </c>
      <c r="AB34" s="199">
        <v>568730</v>
      </c>
      <c r="AC34" s="199">
        <v>543000</v>
      </c>
      <c r="AD34" s="199">
        <v>525649</v>
      </c>
    </row>
    <row r="35" spans="1:30" ht="14.45">
      <c r="B35" s="6" t="s">
        <v>284</v>
      </c>
      <c r="C35" s="6" t="s">
        <v>285</v>
      </c>
      <c r="D35" s="7">
        <v>4081251</v>
      </c>
      <c r="E35" s="199" t="s">
        <v>175</v>
      </c>
      <c r="F35" s="199">
        <v>2297</v>
      </c>
      <c r="G35" s="199">
        <v>2222</v>
      </c>
      <c r="H35" s="199">
        <v>2123</v>
      </c>
      <c r="I35" s="199">
        <v>2063</v>
      </c>
      <c r="J35" s="199">
        <v>2032</v>
      </c>
      <c r="K35" s="199">
        <v>1917</v>
      </c>
      <c r="L35" s="199">
        <v>1715</v>
      </c>
      <c r="M35" s="199">
        <v>1690</v>
      </c>
      <c r="N35" s="199">
        <v>1634</v>
      </c>
      <c r="O35" s="199">
        <v>1579</v>
      </c>
      <c r="P35" s="199">
        <v>1557</v>
      </c>
      <c r="Q35" s="199">
        <v>1530</v>
      </c>
      <c r="R35" s="199">
        <v>1490</v>
      </c>
      <c r="S35" s="199">
        <v>1420</v>
      </c>
      <c r="T35" s="199">
        <v>1380</v>
      </c>
      <c r="U35" s="199">
        <v>1219</v>
      </c>
      <c r="V35" s="199">
        <v>1163</v>
      </c>
      <c r="W35" s="199">
        <v>1126</v>
      </c>
      <c r="X35" s="199">
        <v>1064</v>
      </c>
      <c r="Y35" s="199">
        <v>1059</v>
      </c>
      <c r="Z35" s="199" t="s">
        <v>175</v>
      </c>
      <c r="AA35" s="199" t="s">
        <v>175</v>
      </c>
      <c r="AB35" s="199" t="s">
        <v>175</v>
      </c>
      <c r="AC35" s="199" t="s">
        <v>175</v>
      </c>
      <c r="AD35" s="199" t="s">
        <v>175</v>
      </c>
    </row>
    <row r="36" spans="1:30" ht="14.45">
      <c r="B36" s="6" t="s">
        <v>286</v>
      </c>
      <c r="C36" s="6" t="s">
        <v>286</v>
      </c>
      <c r="D36" s="7">
        <v>4060572</v>
      </c>
      <c r="E36" s="199">
        <v>517390</v>
      </c>
      <c r="F36" s="199">
        <v>467542</v>
      </c>
      <c r="G36" s="199">
        <v>432033</v>
      </c>
      <c r="H36" s="199">
        <v>401397</v>
      </c>
      <c r="I36" s="199">
        <v>365377</v>
      </c>
      <c r="J36" s="199">
        <v>329151</v>
      </c>
      <c r="K36" s="199">
        <v>313539</v>
      </c>
      <c r="L36" s="199">
        <v>293033</v>
      </c>
      <c r="M36" s="199">
        <v>284322</v>
      </c>
      <c r="N36" s="199">
        <v>274495</v>
      </c>
      <c r="O36" s="199">
        <v>263712</v>
      </c>
      <c r="P36" s="199">
        <v>256804</v>
      </c>
      <c r="Q36" s="199">
        <v>248458</v>
      </c>
      <c r="R36" s="199">
        <v>240641</v>
      </c>
      <c r="S36" s="199">
        <v>240101</v>
      </c>
      <c r="T36" s="199">
        <v>234276</v>
      </c>
      <c r="U36" s="199">
        <v>228342</v>
      </c>
      <c r="V36" s="199">
        <v>223917</v>
      </c>
      <c r="W36" s="199">
        <v>213462</v>
      </c>
      <c r="X36" s="199">
        <v>204902</v>
      </c>
      <c r="Y36" s="199">
        <v>197244</v>
      </c>
      <c r="Z36" s="199" t="s">
        <v>175</v>
      </c>
      <c r="AA36" s="199" t="s">
        <v>175</v>
      </c>
      <c r="AB36" s="199">
        <v>179019</v>
      </c>
      <c r="AC36" s="199">
        <v>165908</v>
      </c>
      <c r="AD36" s="199">
        <v>171932</v>
      </c>
    </row>
    <row r="37" spans="1:30" ht="14.45">
      <c r="B37" s="6" t="s">
        <v>287</v>
      </c>
      <c r="C37" s="6" t="s">
        <v>287</v>
      </c>
      <c r="D37" s="7">
        <v>4083318</v>
      </c>
      <c r="E37" s="199">
        <v>21322</v>
      </c>
      <c r="F37" s="199">
        <v>20689</v>
      </c>
      <c r="G37" s="199">
        <v>20855</v>
      </c>
      <c r="H37" s="199">
        <v>20747</v>
      </c>
      <c r="I37" s="199">
        <v>20289</v>
      </c>
      <c r="J37" s="199">
        <v>19835</v>
      </c>
      <c r="K37" s="199">
        <v>18894</v>
      </c>
      <c r="L37" s="199">
        <v>18417</v>
      </c>
      <c r="M37" s="199">
        <v>17772</v>
      </c>
      <c r="N37" s="199">
        <v>17333</v>
      </c>
      <c r="O37" s="199">
        <v>16964</v>
      </c>
      <c r="P37" s="199">
        <v>16607</v>
      </c>
      <c r="Q37" s="199">
        <v>16354</v>
      </c>
      <c r="R37" s="199">
        <v>16197</v>
      </c>
      <c r="S37" s="199">
        <v>16017</v>
      </c>
      <c r="T37" s="199">
        <v>15662</v>
      </c>
      <c r="U37" s="199">
        <v>15546</v>
      </c>
      <c r="V37" s="199">
        <v>15322</v>
      </c>
      <c r="W37" s="199">
        <v>15161</v>
      </c>
      <c r="X37" s="199" t="s">
        <v>175</v>
      </c>
      <c r="Y37" s="199" t="s">
        <v>175</v>
      </c>
      <c r="Z37" s="199" t="s">
        <v>175</v>
      </c>
      <c r="AA37" s="199" t="s">
        <v>175</v>
      </c>
      <c r="AB37" s="199" t="s">
        <v>175</v>
      </c>
      <c r="AC37" s="199">
        <v>11270</v>
      </c>
      <c r="AD37" s="199">
        <v>10552</v>
      </c>
    </row>
    <row r="38" spans="1:30" ht="14.45">
      <c r="B38" s="6" t="s">
        <v>288</v>
      </c>
      <c r="C38" s="6" t="s">
        <v>288</v>
      </c>
      <c r="D38" s="7">
        <v>4057125</v>
      </c>
      <c r="E38" s="199">
        <v>2647424</v>
      </c>
      <c r="F38" s="199">
        <v>2554078</v>
      </c>
      <c r="G38" s="199">
        <v>2130324</v>
      </c>
      <c r="H38" s="199">
        <v>1811362</v>
      </c>
      <c r="I38" s="199">
        <v>1768937</v>
      </c>
      <c r="J38" s="199">
        <v>1712573</v>
      </c>
      <c r="K38" s="199">
        <v>1619238</v>
      </c>
      <c r="L38" s="199">
        <v>1577072</v>
      </c>
      <c r="M38" s="199">
        <v>1529326</v>
      </c>
      <c r="N38" s="199">
        <v>1443603</v>
      </c>
      <c r="O38" s="199">
        <v>1415509</v>
      </c>
      <c r="P38" s="199">
        <v>1395210</v>
      </c>
      <c r="Q38" s="199">
        <v>1253701</v>
      </c>
      <c r="R38" s="199">
        <v>1237327</v>
      </c>
      <c r="S38" s="199">
        <v>1211905</v>
      </c>
      <c r="T38" s="199">
        <v>1190956</v>
      </c>
      <c r="U38" s="199">
        <v>1084606</v>
      </c>
      <c r="V38" s="199">
        <v>1028734</v>
      </c>
      <c r="W38" s="199">
        <v>1004965</v>
      </c>
      <c r="X38" s="199">
        <v>991271</v>
      </c>
      <c r="Y38" s="199">
        <v>920087</v>
      </c>
      <c r="Z38" s="199">
        <v>896159</v>
      </c>
      <c r="AA38" s="199">
        <v>861686</v>
      </c>
      <c r="AB38" s="199">
        <v>846695</v>
      </c>
      <c r="AC38" s="199">
        <v>856001</v>
      </c>
      <c r="AD38" s="199">
        <v>796039</v>
      </c>
    </row>
    <row r="39" spans="1:30" ht="14.45">
      <c r="B39" s="6" t="s">
        <v>289</v>
      </c>
      <c r="C39" s="6" t="s">
        <v>289</v>
      </c>
      <c r="D39" s="7">
        <v>4087741</v>
      </c>
      <c r="E39" s="199" t="s">
        <v>175</v>
      </c>
      <c r="F39" s="199" t="s">
        <v>175</v>
      </c>
      <c r="G39" s="199">
        <v>1926494</v>
      </c>
      <c r="H39" s="199">
        <v>1834159</v>
      </c>
      <c r="I39" s="199">
        <v>1761874</v>
      </c>
      <c r="J39" s="199">
        <v>1702040</v>
      </c>
      <c r="K39" s="199">
        <v>1648624</v>
      </c>
      <c r="L39" s="199">
        <v>1588595</v>
      </c>
      <c r="M39" s="199">
        <v>1537323</v>
      </c>
      <c r="N39" s="199">
        <v>1574615</v>
      </c>
      <c r="O39" s="199">
        <v>1422126</v>
      </c>
      <c r="P39" s="199">
        <v>1375159</v>
      </c>
      <c r="Q39" s="199">
        <v>1364022</v>
      </c>
      <c r="R39" s="199">
        <v>1313323</v>
      </c>
      <c r="S39" s="199">
        <v>1278475</v>
      </c>
      <c r="T39" s="199">
        <v>1234345</v>
      </c>
      <c r="U39" s="199">
        <v>1191203</v>
      </c>
      <c r="V39" s="199">
        <v>1135548</v>
      </c>
      <c r="W39" s="199">
        <v>1076878</v>
      </c>
      <c r="X39" s="199" t="s">
        <v>175</v>
      </c>
      <c r="Y39" s="199">
        <v>883620</v>
      </c>
      <c r="Z39" s="199" t="s">
        <v>175</v>
      </c>
      <c r="AA39" s="199" t="s">
        <v>175</v>
      </c>
      <c r="AB39" s="199" t="s">
        <v>175</v>
      </c>
      <c r="AC39" s="199" t="s">
        <v>175</v>
      </c>
      <c r="AD39" s="199" t="s">
        <v>175</v>
      </c>
    </row>
    <row r="40" spans="1:30" ht="14.45">
      <c r="B40" s="6" t="s">
        <v>290</v>
      </c>
      <c r="C40" s="6" t="s">
        <v>290</v>
      </c>
      <c r="D40" s="7">
        <v>4059875</v>
      </c>
      <c r="E40" s="199">
        <v>636782</v>
      </c>
      <c r="F40" s="199">
        <v>595313</v>
      </c>
      <c r="G40" s="199">
        <v>537746</v>
      </c>
      <c r="H40" s="199">
        <v>485723</v>
      </c>
      <c r="I40" s="199">
        <v>453429</v>
      </c>
      <c r="J40" s="199">
        <v>426165</v>
      </c>
      <c r="K40" s="199">
        <v>379562</v>
      </c>
      <c r="L40" s="199">
        <v>360914</v>
      </c>
      <c r="M40" s="199">
        <v>339611</v>
      </c>
      <c r="N40" s="199">
        <v>338986</v>
      </c>
      <c r="O40" s="199">
        <v>328222</v>
      </c>
      <c r="P40" s="199">
        <v>318901</v>
      </c>
      <c r="Q40" s="199">
        <v>298932</v>
      </c>
      <c r="R40" s="199">
        <v>289379</v>
      </c>
      <c r="S40" s="199">
        <v>272878</v>
      </c>
      <c r="T40" s="199">
        <v>242115</v>
      </c>
      <c r="U40" s="199">
        <v>243752</v>
      </c>
      <c r="V40" s="199">
        <v>231506</v>
      </c>
      <c r="W40" s="199">
        <v>211467</v>
      </c>
      <c r="X40" s="199" t="s">
        <v>175</v>
      </c>
      <c r="Y40" s="199">
        <v>175987</v>
      </c>
      <c r="Z40" s="199">
        <v>166414</v>
      </c>
      <c r="AA40" s="199">
        <v>156167</v>
      </c>
      <c r="AB40" s="199">
        <v>145612</v>
      </c>
      <c r="AC40" s="199">
        <v>135602</v>
      </c>
      <c r="AD40" s="199">
        <v>129272</v>
      </c>
    </row>
    <row r="41" spans="1:30" ht="14.45">
      <c r="B41" s="6" t="s">
        <v>190</v>
      </c>
      <c r="C41" s="6" t="s">
        <v>190</v>
      </c>
      <c r="D41" s="7">
        <v>4057090</v>
      </c>
      <c r="E41" s="199">
        <v>1432717</v>
      </c>
      <c r="F41" s="199">
        <v>1292072</v>
      </c>
      <c r="G41" s="199">
        <v>1234465</v>
      </c>
      <c r="H41" s="199">
        <v>1179218</v>
      </c>
      <c r="I41" s="199">
        <v>1110112</v>
      </c>
      <c r="J41" s="199">
        <v>1021163</v>
      </c>
      <c r="K41" s="199">
        <v>948188</v>
      </c>
      <c r="L41" s="199">
        <v>842651</v>
      </c>
      <c r="M41" s="199">
        <v>778374</v>
      </c>
      <c r="N41" s="199">
        <v>724381</v>
      </c>
      <c r="O41" s="199">
        <v>679554</v>
      </c>
      <c r="P41" s="199">
        <v>637312</v>
      </c>
      <c r="Q41" s="199">
        <v>597031</v>
      </c>
      <c r="R41" s="199">
        <v>548434</v>
      </c>
      <c r="S41" s="199">
        <v>524411</v>
      </c>
      <c r="T41" s="199">
        <v>509430</v>
      </c>
      <c r="U41" s="199">
        <v>485631</v>
      </c>
      <c r="V41" s="199">
        <v>466364</v>
      </c>
      <c r="W41" s="199">
        <v>433095</v>
      </c>
      <c r="X41" s="199">
        <v>407854</v>
      </c>
      <c r="Y41" s="199">
        <v>387231</v>
      </c>
      <c r="Z41" s="199">
        <v>362988</v>
      </c>
      <c r="AA41" s="199">
        <v>337507</v>
      </c>
      <c r="AB41" s="199">
        <v>335480</v>
      </c>
      <c r="AC41" s="199">
        <v>318651</v>
      </c>
      <c r="AD41" s="199">
        <v>296930</v>
      </c>
    </row>
    <row r="42" spans="1:30" ht="14.45">
      <c r="B42" s="6" t="s">
        <v>191</v>
      </c>
      <c r="C42" s="6" t="s">
        <v>191</v>
      </c>
      <c r="D42" s="7">
        <v>4008754</v>
      </c>
      <c r="E42" s="199">
        <v>413481</v>
      </c>
      <c r="F42" s="199">
        <v>413481</v>
      </c>
      <c r="G42" s="199">
        <v>393153</v>
      </c>
      <c r="H42" s="199">
        <v>372725</v>
      </c>
      <c r="I42" s="199">
        <v>355622</v>
      </c>
      <c r="J42" s="199">
        <v>343273</v>
      </c>
      <c r="K42" s="199">
        <v>332609</v>
      </c>
      <c r="L42" s="199">
        <v>316522</v>
      </c>
      <c r="M42" s="199">
        <v>301194</v>
      </c>
      <c r="N42" s="199">
        <v>289263</v>
      </c>
      <c r="O42" s="199">
        <v>275587</v>
      </c>
      <c r="P42" s="199">
        <v>266693</v>
      </c>
      <c r="Q42" s="199">
        <v>253619</v>
      </c>
      <c r="R42" s="199">
        <v>244501</v>
      </c>
      <c r="S42" s="199">
        <v>237470</v>
      </c>
      <c r="T42" s="199">
        <v>229744</v>
      </c>
      <c r="U42" s="199">
        <v>220856</v>
      </c>
      <c r="V42" s="199">
        <v>214344</v>
      </c>
      <c r="W42" s="199">
        <v>204656</v>
      </c>
      <c r="X42" s="199">
        <v>190557</v>
      </c>
      <c r="Y42" s="199">
        <v>180240</v>
      </c>
      <c r="Z42" s="199">
        <v>173846</v>
      </c>
      <c r="AA42" s="199">
        <v>169560</v>
      </c>
      <c r="AB42" s="199">
        <v>166804</v>
      </c>
      <c r="AC42" s="199">
        <v>163553</v>
      </c>
      <c r="AD42" s="199">
        <v>159305</v>
      </c>
    </row>
    <row r="43" spans="1:30" ht="14.45">
      <c r="B43" s="6" t="s">
        <v>291</v>
      </c>
      <c r="C43" s="6" t="s">
        <v>291</v>
      </c>
      <c r="D43" s="7">
        <v>4061474</v>
      </c>
      <c r="E43" s="199">
        <v>43330</v>
      </c>
      <c r="F43" s="199">
        <v>42326</v>
      </c>
      <c r="G43" s="199">
        <v>40534</v>
      </c>
      <c r="H43" s="199">
        <v>39226</v>
      </c>
      <c r="I43" s="199">
        <v>37566</v>
      </c>
      <c r="J43" s="199">
        <v>35949</v>
      </c>
      <c r="K43" s="199">
        <v>34328</v>
      </c>
      <c r="L43" s="199">
        <v>32870</v>
      </c>
      <c r="M43" s="199">
        <v>31841</v>
      </c>
      <c r="N43" s="199">
        <v>31227</v>
      </c>
      <c r="O43" s="199">
        <v>29616</v>
      </c>
      <c r="P43" s="199">
        <v>28668</v>
      </c>
      <c r="Q43" s="199">
        <v>27914</v>
      </c>
      <c r="R43" s="199">
        <v>26992</v>
      </c>
      <c r="S43" s="199">
        <v>26625</v>
      </c>
      <c r="T43" s="199">
        <v>25541</v>
      </c>
      <c r="U43" s="199">
        <v>25103</v>
      </c>
      <c r="V43" s="199">
        <v>24643</v>
      </c>
      <c r="W43" s="199">
        <v>19164</v>
      </c>
      <c r="X43" s="199" t="s">
        <v>175</v>
      </c>
      <c r="Y43" s="199">
        <v>18074</v>
      </c>
      <c r="Z43" s="199" t="s">
        <v>175</v>
      </c>
      <c r="AA43" s="199" t="s">
        <v>175</v>
      </c>
      <c r="AB43" s="199">
        <v>16419</v>
      </c>
      <c r="AC43" s="199">
        <v>16067</v>
      </c>
      <c r="AD43" s="199">
        <v>15413</v>
      </c>
    </row>
    <row r="44" spans="1:30" ht="14.45">
      <c r="B44" s="6" t="s">
        <v>292</v>
      </c>
      <c r="C44" s="6" t="s">
        <v>292</v>
      </c>
      <c r="D44" s="7">
        <v>4076679</v>
      </c>
      <c r="E44" s="199">
        <v>48780</v>
      </c>
      <c r="F44" s="199">
        <v>46214</v>
      </c>
      <c r="G44" s="199">
        <v>43889</v>
      </c>
      <c r="H44" s="199">
        <v>41863</v>
      </c>
      <c r="I44" s="199">
        <v>39967</v>
      </c>
      <c r="J44" s="199">
        <v>38092</v>
      </c>
      <c r="K44" s="199">
        <v>35468</v>
      </c>
      <c r="L44" s="199">
        <v>33019</v>
      </c>
      <c r="M44" s="199">
        <v>31845</v>
      </c>
      <c r="N44" s="199">
        <v>30729</v>
      </c>
      <c r="O44" s="199">
        <v>29341</v>
      </c>
      <c r="P44" s="199">
        <v>28096</v>
      </c>
      <c r="Q44" s="199">
        <v>27176</v>
      </c>
      <c r="R44" s="199">
        <v>26108</v>
      </c>
      <c r="S44" s="199">
        <v>25197</v>
      </c>
      <c r="T44" s="199">
        <v>23594</v>
      </c>
      <c r="U44" s="199">
        <v>22125</v>
      </c>
      <c r="V44" s="199">
        <v>21281</v>
      </c>
      <c r="W44" s="199">
        <v>19909</v>
      </c>
      <c r="X44" s="199">
        <v>17925</v>
      </c>
      <c r="Y44" s="199">
        <v>16878</v>
      </c>
      <c r="Z44" s="199" t="s">
        <v>175</v>
      </c>
      <c r="AA44" s="199" t="s">
        <v>175</v>
      </c>
      <c r="AB44" s="199" t="s">
        <v>175</v>
      </c>
      <c r="AC44" s="199" t="s">
        <v>175</v>
      </c>
      <c r="AD44" s="199" t="s">
        <v>175</v>
      </c>
    </row>
    <row r="45" spans="1:30" ht="14.45">
      <c r="B45" s="6" t="s">
        <v>193</v>
      </c>
      <c r="C45" s="6" t="s">
        <v>193</v>
      </c>
      <c r="D45" s="7">
        <v>4061634</v>
      </c>
      <c r="E45" s="199">
        <v>682653</v>
      </c>
      <c r="F45" s="199">
        <v>636708</v>
      </c>
      <c r="G45" s="199">
        <v>584911</v>
      </c>
      <c r="H45" s="199">
        <v>528960</v>
      </c>
      <c r="I45" s="199">
        <v>503519</v>
      </c>
      <c r="J45" s="199">
        <v>488702</v>
      </c>
      <c r="K45" s="199">
        <v>470695</v>
      </c>
      <c r="L45" s="199">
        <v>450853</v>
      </c>
      <c r="M45" s="199">
        <v>436775</v>
      </c>
      <c r="N45" s="199">
        <v>427642</v>
      </c>
      <c r="O45" s="199">
        <v>419077</v>
      </c>
      <c r="P45" s="199">
        <v>399775</v>
      </c>
      <c r="Q45" s="199">
        <v>394548</v>
      </c>
      <c r="R45" s="199">
        <v>383983</v>
      </c>
      <c r="S45" s="199">
        <v>389717</v>
      </c>
      <c r="T45" s="199">
        <v>379116</v>
      </c>
      <c r="U45" s="199">
        <v>328914</v>
      </c>
      <c r="V45" s="199">
        <v>316700</v>
      </c>
      <c r="W45" s="199">
        <v>300522</v>
      </c>
      <c r="X45" s="199">
        <v>300522</v>
      </c>
      <c r="Y45" s="199">
        <v>284292</v>
      </c>
      <c r="Z45" s="199">
        <v>254089</v>
      </c>
      <c r="AA45" s="199">
        <v>242403</v>
      </c>
      <c r="AB45" s="199">
        <v>233261</v>
      </c>
      <c r="AC45" s="199">
        <v>223412</v>
      </c>
      <c r="AD45" s="199">
        <v>214995</v>
      </c>
    </row>
    <row r="46" spans="1:30" ht="14.45">
      <c r="B46" s="6" t="s">
        <v>194</v>
      </c>
      <c r="C46" s="6" t="s">
        <v>194</v>
      </c>
      <c r="D46" s="7">
        <v>4061687</v>
      </c>
      <c r="E46" s="199">
        <v>2275101</v>
      </c>
      <c r="F46" s="199">
        <v>2207559</v>
      </c>
      <c r="G46" s="199">
        <v>2135432</v>
      </c>
      <c r="H46" s="199">
        <v>2077721</v>
      </c>
      <c r="I46" s="199">
        <v>2022024</v>
      </c>
      <c r="J46" s="199">
        <v>1904968</v>
      </c>
      <c r="K46" s="199">
        <v>1853806</v>
      </c>
      <c r="L46" s="199">
        <v>1795314</v>
      </c>
      <c r="M46" s="199">
        <v>1762469</v>
      </c>
      <c r="N46" s="199">
        <v>1724749</v>
      </c>
      <c r="O46" s="199">
        <v>1679533</v>
      </c>
      <c r="P46" s="199">
        <v>1633551</v>
      </c>
      <c r="Q46" s="199">
        <v>1600238</v>
      </c>
      <c r="R46" s="199">
        <v>1554436</v>
      </c>
      <c r="S46" s="199">
        <v>1509094</v>
      </c>
      <c r="T46" s="199">
        <v>1476229</v>
      </c>
      <c r="U46" s="199">
        <v>1442101</v>
      </c>
      <c r="V46" s="199">
        <v>1402275</v>
      </c>
      <c r="W46" s="199">
        <v>1322158</v>
      </c>
      <c r="X46" s="199">
        <v>1322158</v>
      </c>
      <c r="Y46" s="199">
        <v>1304569</v>
      </c>
      <c r="Z46" s="199">
        <v>1257739</v>
      </c>
      <c r="AA46" s="199">
        <v>1220317</v>
      </c>
      <c r="AB46" s="199">
        <v>1187351</v>
      </c>
      <c r="AC46" s="199">
        <v>1141603</v>
      </c>
      <c r="AD46" s="199">
        <v>1088575</v>
      </c>
    </row>
    <row r="47" spans="1:30" ht="14.45">
      <c r="A47" s="1" t="s">
        <v>275</v>
      </c>
      <c r="B47" s="6" t="s">
        <v>195</v>
      </c>
      <c r="C47" s="6" t="s">
        <v>195</v>
      </c>
      <c r="D47" s="7">
        <v>4061755</v>
      </c>
      <c r="E47" s="199">
        <v>2720983</v>
      </c>
      <c r="F47" s="199">
        <v>2558361</v>
      </c>
      <c r="G47" s="199">
        <v>2316755</v>
      </c>
      <c r="H47" s="199">
        <v>2185338</v>
      </c>
      <c r="I47" s="199">
        <v>2029788</v>
      </c>
      <c r="J47" s="199">
        <v>1841753</v>
      </c>
      <c r="K47" s="199">
        <v>1701589</v>
      </c>
      <c r="L47" s="199">
        <v>1602301</v>
      </c>
      <c r="M47" s="199">
        <v>1507150</v>
      </c>
      <c r="N47" s="199">
        <v>1419541</v>
      </c>
      <c r="O47" s="199">
        <v>1348195</v>
      </c>
      <c r="P47" s="199">
        <v>1308370</v>
      </c>
      <c r="Q47" s="199">
        <v>1260542</v>
      </c>
      <c r="R47" s="199">
        <v>1193698</v>
      </c>
      <c r="S47" s="199">
        <v>1141744</v>
      </c>
      <c r="T47" s="199">
        <v>1102329</v>
      </c>
      <c r="U47" s="199">
        <v>1060146</v>
      </c>
      <c r="V47" s="199">
        <v>1013545</v>
      </c>
      <c r="W47" s="199">
        <v>981047</v>
      </c>
      <c r="X47" s="199">
        <v>950070</v>
      </c>
      <c r="Y47" s="199">
        <v>931679</v>
      </c>
      <c r="Z47" s="199">
        <v>895665</v>
      </c>
      <c r="AA47" s="199">
        <v>853178</v>
      </c>
      <c r="AB47" s="199">
        <v>810468</v>
      </c>
      <c r="AC47" s="199">
        <v>758254</v>
      </c>
      <c r="AD47" s="199">
        <v>722204</v>
      </c>
    </row>
    <row r="48" spans="1:30" ht="14.45">
      <c r="A48" s="1" t="s">
        <v>275</v>
      </c>
      <c r="B48" s="6" t="s">
        <v>197</v>
      </c>
      <c r="C48" s="6" t="s">
        <v>197</v>
      </c>
      <c r="D48" s="7">
        <v>4004389</v>
      </c>
      <c r="E48" s="199">
        <v>1177418</v>
      </c>
      <c r="F48" s="199">
        <v>1120980</v>
      </c>
      <c r="G48" s="199">
        <v>1044395</v>
      </c>
      <c r="H48" s="199">
        <v>1004653</v>
      </c>
      <c r="I48" s="199">
        <v>948180</v>
      </c>
      <c r="J48" s="199">
        <v>906759</v>
      </c>
      <c r="K48" s="199">
        <v>878737</v>
      </c>
      <c r="L48" s="199">
        <v>846168</v>
      </c>
      <c r="M48" s="199">
        <v>809411</v>
      </c>
      <c r="N48" s="199">
        <v>773463</v>
      </c>
      <c r="O48" s="199">
        <v>808302</v>
      </c>
      <c r="P48" s="199">
        <v>790653</v>
      </c>
      <c r="Q48" s="199">
        <v>776610</v>
      </c>
      <c r="R48" s="199">
        <v>752372</v>
      </c>
      <c r="S48" s="199">
        <v>735145</v>
      </c>
      <c r="T48" s="199">
        <v>715446</v>
      </c>
      <c r="U48" s="199">
        <v>702883</v>
      </c>
      <c r="V48" s="199">
        <v>687422</v>
      </c>
      <c r="W48" s="199">
        <v>670037</v>
      </c>
      <c r="X48" s="199">
        <v>652938</v>
      </c>
      <c r="Y48" s="199">
        <v>634277</v>
      </c>
      <c r="Z48" s="199">
        <v>612127</v>
      </c>
      <c r="AA48" s="199">
        <v>589103</v>
      </c>
      <c r="AB48" s="199">
        <v>562666</v>
      </c>
      <c r="AC48" s="199">
        <v>514371</v>
      </c>
      <c r="AD48" s="199">
        <v>431757</v>
      </c>
    </row>
    <row r="49" spans="1:30" ht="14.45">
      <c r="A49" s="1" t="s">
        <v>275</v>
      </c>
      <c r="B49" s="6" t="s">
        <v>198</v>
      </c>
      <c r="C49" s="6" t="s">
        <v>198</v>
      </c>
      <c r="D49" s="7">
        <v>4057014</v>
      </c>
      <c r="E49" s="199">
        <v>2745319</v>
      </c>
      <c r="F49" s="199">
        <v>2598928</v>
      </c>
      <c r="G49" s="199">
        <v>2482539</v>
      </c>
      <c r="H49" s="199">
        <v>2368515</v>
      </c>
      <c r="I49" s="199">
        <v>2237631</v>
      </c>
      <c r="J49" s="199">
        <v>2186917</v>
      </c>
      <c r="K49" s="199">
        <v>2066124</v>
      </c>
      <c r="L49" s="199">
        <v>1981233</v>
      </c>
      <c r="M49" s="199">
        <v>1929353</v>
      </c>
      <c r="N49" s="199">
        <v>1894560</v>
      </c>
      <c r="O49" s="199">
        <v>1840736</v>
      </c>
      <c r="P49" s="199">
        <v>1786447</v>
      </c>
      <c r="Q49" s="199">
        <v>1727173</v>
      </c>
      <c r="R49" s="199">
        <v>1666465</v>
      </c>
      <c r="S49" s="199">
        <v>1623913</v>
      </c>
      <c r="T49" s="199">
        <v>1565542</v>
      </c>
      <c r="U49" s="199">
        <v>1493274</v>
      </c>
      <c r="V49" s="199">
        <v>1466444</v>
      </c>
      <c r="W49" s="199">
        <v>1379786</v>
      </c>
      <c r="X49" s="199">
        <v>1345785</v>
      </c>
      <c r="Y49" s="199">
        <v>1310649</v>
      </c>
      <c r="Z49" s="199">
        <v>1263168</v>
      </c>
      <c r="AA49" s="199">
        <v>1179716</v>
      </c>
      <c r="AB49" s="199">
        <v>1131541</v>
      </c>
      <c r="AC49" s="199">
        <v>1067638</v>
      </c>
      <c r="AD49" s="199">
        <v>1006759</v>
      </c>
    </row>
    <row r="50" spans="1:30" ht="14.45">
      <c r="B50" s="6" t="s">
        <v>199</v>
      </c>
      <c r="C50" s="6" t="s">
        <v>199</v>
      </c>
      <c r="D50" s="7">
        <v>4057130</v>
      </c>
      <c r="E50" s="199">
        <v>708468</v>
      </c>
      <c r="F50" s="199">
        <v>668882</v>
      </c>
      <c r="G50" s="199">
        <v>640394</v>
      </c>
      <c r="H50" s="199">
        <v>574201</v>
      </c>
      <c r="I50" s="199">
        <v>543369</v>
      </c>
      <c r="J50" s="199">
        <v>520890</v>
      </c>
      <c r="K50" s="199">
        <v>493471</v>
      </c>
      <c r="L50" s="199">
        <v>462027</v>
      </c>
      <c r="M50" s="199">
        <v>437387</v>
      </c>
      <c r="N50" s="199">
        <v>421830</v>
      </c>
      <c r="O50" s="199">
        <v>416409</v>
      </c>
      <c r="P50" s="199">
        <v>410587</v>
      </c>
      <c r="Q50" s="199">
        <v>405356</v>
      </c>
      <c r="R50" s="199">
        <v>396380</v>
      </c>
      <c r="S50" s="199">
        <v>374883</v>
      </c>
      <c r="T50" s="199">
        <v>363747</v>
      </c>
      <c r="U50" s="199">
        <v>353140</v>
      </c>
      <c r="V50" s="199">
        <v>346078</v>
      </c>
      <c r="W50" s="199">
        <v>338992</v>
      </c>
      <c r="X50" s="199">
        <v>331090</v>
      </c>
      <c r="Y50" s="199">
        <v>324850</v>
      </c>
      <c r="Z50" s="199">
        <v>314319</v>
      </c>
      <c r="AA50" s="199">
        <v>303695</v>
      </c>
      <c r="AB50" s="199">
        <v>292533</v>
      </c>
      <c r="AC50" s="199">
        <v>282776</v>
      </c>
      <c r="AD50" s="199" t="s">
        <v>175</v>
      </c>
    </row>
    <row r="51" spans="1:30" ht="14.45">
      <c r="B51" s="6" t="s">
        <v>201</v>
      </c>
      <c r="C51" s="6" t="s">
        <v>201</v>
      </c>
      <c r="D51" s="7">
        <v>4057131</v>
      </c>
      <c r="E51" s="199">
        <v>8539332</v>
      </c>
      <c r="F51" s="199">
        <v>7782789</v>
      </c>
      <c r="G51" s="199">
        <v>7012883</v>
      </c>
      <c r="H51" s="199">
        <v>6442818</v>
      </c>
      <c r="I51" s="199">
        <v>5956573</v>
      </c>
      <c r="J51" s="199">
        <v>5581496</v>
      </c>
      <c r="K51" s="199">
        <v>5227079</v>
      </c>
      <c r="L51" s="199">
        <v>5037598</v>
      </c>
      <c r="M51" s="199">
        <v>4958983</v>
      </c>
      <c r="N51" s="199">
        <v>4802904</v>
      </c>
      <c r="O51" s="199">
        <v>4658031</v>
      </c>
      <c r="P51" s="199">
        <v>4538923</v>
      </c>
      <c r="Q51" s="199">
        <v>4365111</v>
      </c>
      <c r="R51" s="199">
        <v>4219552</v>
      </c>
      <c r="S51" s="199">
        <v>4098659</v>
      </c>
      <c r="T51" s="199">
        <v>3951566</v>
      </c>
      <c r="U51" s="199">
        <v>3755101</v>
      </c>
      <c r="V51" s="199">
        <v>3624331</v>
      </c>
      <c r="W51" s="199">
        <v>3484359</v>
      </c>
      <c r="X51" s="199">
        <v>3357209</v>
      </c>
      <c r="Y51" s="199">
        <v>3234485</v>
      </c>
      <c r="Z51" s="199">
        <v>3136914</v>
      </c>
      <c r="AA51" s="199">
        <v>3040406</v>
      </c>
      <c r="AB51" s="199">
        <v>2955628</v>
      </c>
      <c r="AC51" s="199">
        <v>2884639</v>
      </c>
      <c r="AD51" s="199">
        <v>2789140</v>
      </c>
    </row>
    <row r="52" spans="1:30" ht="14.45">
      <c r="B52" s="6" t="s">
        <v>202</v>
      </c>
      <c r="C52" s="6" t="s">
        <v>202</v>
      </c>
      <c r="D52" s="7">
        <v>4012860</v>
      </c>
      <c r="E52" s="199">
        <v>3188183</v>
      </c>
      <c r="F52" s="199">
        <v>3012778</v>
      </c>
      <c r="G52" s="199">
        <v>2842538</v>
      </c>
      <c r="H52" s="199">
        <v>2521426</v>
      </c>
      <c r="I52" s="199">
        <v>2357517</v>
      </c>
      <c r="J52" s="199">
        <v>2199433</v>
      </c>
      <c r="K52" s="199">
        <v>2074488</v>
      </c>
      <c r="L52" s="199">
        <v>1976988</v>
      </c>
      <c r="M52" s="199">
        <v>1909082</v>
      </c>
      <c r="N52" s="199">
        <v>1834486</v>
      </c>
      <c r="O52" s="199">
        <v>1783075</v>
      </c>
      <c r="P52" s="199">
        <v>1656954</v>
      </c>
      <c r="Q52" s="199">
        <v>1625519</v>
      </c>
      <c r="R52" s="199">
        <v>1585995</v>
      </c>
      <c r="S52" s="199">
        <v>1565424</v>
      </c>
      <c r="T52" s="199">
        <v>1535161</v>
      </c>
      <c r="U52" s="199">
        <v>1500307</v>
      </c>
      <c r="V52" s="199">
        <v>1467990</v>
      </c>
      <c r="W52" s="199">
        <v>1425681</v>
      </c>
      <c r="X52" s="199">
        <v>1390797</v>
      </c>
      <c r="Y52" s="199">
        <v>1337981</v>
      </c>
      <c r="Z52" s="199">
        <v>1268840</v>
      </c>
      <c r="AA52" s="199">
        <v>1231898</v>
      </c>
      <c r="AB52" s="199">
        <v>1183580</v>
      </c>
      <c r="AC52" s="199">
        <v>1140580</v>
      </c>
      <c r="AD52" s="199">
        <v>1105861</v>
      </c>
    </row>
    <row r="53" spans="1:30" ht="14.45">
      <c r="B53" s="6" t="s">
        <v>204</v>
      </c>
      <c r="C53" s="6" t="s">
        <v>205</v>
      </c>
      <c r="D53" s="7">
        <v>4061925</v>
      </c>
      <c r="E53" s="199">
        <v>392050</v>
      </c>
      <c r="F53" s="199">
        <v>366242</v>
      </c>
      <c r="G53" s="199">
        <v>346187</v>
      </c>
      <c r="H53" s="199">
        <v>326723</v>
      </c>
      <c r="I53" s="199">
        <v>294986</v>
      </c>
      <c r="J53" s="199">
        <v>275376</v>
      </c>
      <c r="K53" s="199">
        <v>255465</v>
      </c>
      <c r="L53" s="199">
        <v>236047</v>
      </c>
      <c r="M53" s="199">
        <v>224625</v>
      </c>
      <c r="N53" s="199">
        <v>213665</v>
      </c>
      <c r="O53" s="199">
        <v>199224</v>
      </c>
      <c r="P53" s="199">
        <v>187459</v>
      </c>
      <c r="Q53" s="199">
        <v>172131</v>
      </c>
      <c r="R53" s="199">
        <v>167593</v>
      </c>
      <c r="S53" s="199">
        <v>160675</v>
      </c>
      <c r="T53" s="199">
        <v>155628</v>
      </c>
      <c r="U53" s="199">
        <v>146749</v>
      </c>
      <c r="V53" s="199">
        <v>138764</v>
      </c>
      <c r="W53" s="199">
        <v>131951</v>
      </c>
      <c r="X53" s="199">
        <v>127635</v>
      </c>
      <c r="Y53" s="199">
        <v>123979</v>
      </c>
      <c r="Z53" s="199">
        <v>117201</v>
      </c>
      <c r="AA53" s="199">
        <v>111967</v>
      </c>
      <c r="AB53" s="199">
        <v>103801</v>
      </c>
      <c r="AC53" s="199">
        <v>98248</v>
      </c>
      <c r="AD53" s="199">
        <v>91801</v>
      </c>
    </row>
    <row r="54" spans="1:30" ht="14.45">
      <c r="B54" s="6" t="s">
        <v>293</v>
      </c>
      <c r="C54" s="6" t="s">
        <v>293</v>
      </c>
      <c r="D54" s="7">
        <v>4057132</v>
      </c>
      <c r="E54" s="199" t="s">
        <v>175</v>
      </c>
      <c r="F54" s="199" t="s">
        <v>175</v>
      </c>
      <c r="G54" s="199" t="s">
        <v>175</v>
      </c>
      <c r="H54" s="199">
        <v>2955759</v>
      </c>
      <c r="I54" s="199">
        <v>2828186</v>
      </c>
      <c r="J54" s="199">
        <v>2730414</v>
      </c>
      <c r="K54" s="199">
        <v>2646814</v>
      </c>
      <c r="L54" s="199">
        <v>2571509</v>
      </c>
      <c r="M54" s="199">
        <v>2421489</v>
      </c>
      <c r="N54" s="199">
        <v>2309135</v>
      </c>
      <c r="O54" s="199">
        <v>2233795</v>
      </c>
      <c r="P54" s="199">
        <v>2173914</v>
      </c>
      <c r="Q54" s="199">
        <v>2105270</v>
      </c>
      <c r="R54" s="199">
        <v>2016574</v>
      </c>
      <c r="S54" s="199">
        <v>1929221</v>
      </c>
      <c r="T54" s="199">
        <v>1842587</v>
      </c>
      <c r="U54" s="199">
        <v>1772311</v>
      </c>
      <c r="V54" s="199" t="s">
        <v>175</v>
      </c>
      <c r="W54" s="199">
        <v>1498903</v>
      </c>
      <c r="X54" s="199">
        <v>1434009</v>
      </c>
      <c r="Y54" s="199">
        <v>1376680</v>
      </c>
      <c r="Z54" s="199">
        <v>1311323</v>
      </c>
      <c r="AA54" s="199">
        <v>1221743</v>
      </c>
      <c r="AB54" s="199">
        <v>1129310</v>
      </c>
      <c r="AC54" s="199">
        <v>1018256</v>
      </c>
      <c r="AD54" s="199">
        <v>947840</v>
      </c>
    </row>
    <row r="55" spans="1:30" ht="14.45">
      <c r="A55" s="1" t="s">
        <v>275</v>
      </c>
      <c r="B55" s="6" t="s">
        <v>294</v>
      </c>
      <c r="C55" s="6" t="s">
        <v>294</v>
      </c>
      <c r="D55" s="7">
        <v>4057115</v>
      </c>
      <c r="E55" s="199">
        <v>1822314</v>
      </c>
      <c r="F55" s="199">
        <v>1640465</v>
      </c>
      <c r="G55" s="199">
        <v>1479308</v>
      </c>
      <c r="H55" s="199">
        <v>1330427</v>
      </c>
      <c r="I55" s="199">
        <v>1210609</v>
      </c>
      <c r="J55" s="199">
        <v>1082589</v>
      </c>
      <c r="K55" s="199">
        <v>1005801</v>
      </c>
      <c r="L55" s="199">
        <v>940851</v>
      </c>
      <c r="M55" s="199">
        <v>876905</v>
      </c>
      <c r="N55" s="199">
        <v>808911</v>
      </c>
      <c r="O55" s="199">
        <v>754213</v>
      </c>
      <c r="P55" s="199">
        <v>721802</v>
      </c>
      <c r="Q55" s="199">
        <v>674820</v>
      </c>
      <c r="R55" s="199">
        <v>639965</v>
      </c>
      <c r="S55" s="199">
        <v>601354</v>
      </c>
      <c r="T55" s="199">
        <v>566036</v>
      </c>
      <c r="U55" s="199">
        <v>536537</v>
      </c>
      <c r="V55" s="199">
        <v>505797</v>
      </c>
      <c r="W55" s="199">
        <v>483572</v>
      </c>
      <c r="X55" s="199" t="s">
        <v>175</v>
      </c>
      <c r="Y55" s="199">
        <v>414907</v>
      </c>
      <c r="Z55" s="199" t="s">
        <v>175</v>
      </c>
      <c r="AA55" s="199">
        <v>391069</v>
      </c>
      <c r="AB55" s="199">
        <v>373541</v>
      </c>
      <c r="AC55" s="199">
        <v>357403</v>
      </c>
      <c r="AD55" s="199">
        <v>346990</v>
      </c>
    </row>
    <row r="56" spans="1:30" ht="14.45">
      <c r="B56" s="6" t="s">
        <v>206</v>
      </c>
      <c r="C56" s="6" t="s">
        <v>206</v>
      </c>
      <c r="D56" s="7">
        <v>4064479</v>
      </c>
      <c r="E56" s="199">
        <v>111443</v>
      </c>
      <c r="F56" s="199">
        <v>108457</v>
      </c>
      <c r="G56" s="199">
        <v>105654</v>
      </c>
      <c r="H56" s="199">
        <v>103113</v>
      </c>
      <c r="I56" s="199">
        <v>100493</v>
      </c>
      <c r="J56" s="199">
        <v>97435</v>
      </c>
      <c r="K56" s="199">
        <v>95165</v>
      </c>
      <c r="L56" s="199">
        <v>92664</v>
      </c>
      <c r="M56" s="199">
        <v>89569</v>
      </c>
      <c r="N56" s="199">
        <v>86684</v>
      </c>
      <c r="O56" s="199">
        <v>79615</v>
      </c>
      <c r="P56" s="199">
        <v>76513</v>
      </c>
      <c r="Q56" s="199">
        <v>74763</v>
      </c>
      <c r="R56" s="199">
        <v>72604</v>
      </c>
      <c r="S56" s="199">
        <v>70620</v>
      </c>
      <c r="T56" s="199">
        <v>68842</v>
      </c>
      <c r="U56" s="199">
        <v>67414</v>
      </c>
      <c r="V56" s="199">
        <v>65763</v>
      </c>
      <c r="W56" s="199">
        <v>64368</v>
      </c>
      <c r="X56" s="199">
        <v>63017</v>
      </c>
      <c r="Y56" s="199">
        <v>61314</v>
      </c>
      <c r="Z56" s="199">
        <v>59599</v>
      </c>
      <c r="AA56" s="199">
        <v>57732</v>
      </c>
      <c r="AB56" s="199">
        <v>55990</v>
      </c>
      <c r="AC56" s="199">
        <v>53706</v>
      </c>
      <c r="AD56" s="199">
        <v>50832</v>
      </c>
    </row>
    <row r="57" spans="1:30" ht="14.45">
      <c r="B57" s="6" t="s">
        <v>295</v>
      </c>
      <c r="C57" s="6" t="s">
        <v>295</v>
      </c>
      <c r="D57" s="7">
        <v>4062025</v>
      </c>
      <c r="E57" s="199">
        <v>116288</v>
      </c>
      <c r="F57" s="199">
        <v>105838</v>
      </c>
      <c r="G57" s="199">
        <v>86401</v>
      </c>
      <c r="H57" s="199">
        <v>84245</v>
      </c>
      <c r="I57" s="199">
        <v>81808</v>
      </c>
      <c r="J57" s="199">
        <v>75999</v>
      </c>
      <c r="K57" s="199">
        <v>73428</v>
      </c>
      <c r="L57" s="199">
        <v>67600</v>
      </c>
      <c r="M57" s="199">
        <v>66011</v>
      </c>
      <c r="N57" s="199">
        <v>64051</v>
      </c>
      <c r="O57" s="199">
        <v>61968</v>
      </c>
      <c r="P57" s="199">
        <v>60605</v>
      </c>
      <c r="Q57" s="199">
        <v>59333</v>
      </c>
      <c r="R57" s="199">
        <v>54940</v>
      </c>
      <c r="S57" s="199">
        <v>52830</v>
      </c>
      <c r="T57" s="199">
        <v>51393</v>
      </c>
      <c r="U57" s="199">
        <v>50344</v>
      </c>
      <c r="V57" s="199">
        <v>48355</v>
      </c>
      <c r="W57" s="199">
        <v>46789</v>
      </c>
      <c r="X57" s="199">
        <v>45403</v>
      </c>
      <c r="Y57" s="199">
        <v>40517</v>
      </c>
      <c r="Z57" s="199">
        <v>39140</v>
      </c>
      <c r="AA57" s="199">
        <v>34465</v>
      </c>
      <c r="AB57" s="199">
        <v>32637</v>
      </c>
      <c r="AC57" s="199">
        <v>31166</v>
      </c>
      <c r="AD57" s="199">
        <v>28591</v>
      </c>
    </row>
    <row r="58" spans="1:30" ht="14.45">
      <c r="B58" s="6" t="s">
        <v>296</v>
      </c>
      <c r="C58" s="6" t="s">
        <v>296</v>
      </c>
      <c r="D58" s="7">
        <v>4064481</v>
      </c>
      <c r="E58" s="199" t="s">
        <v>175</v>
      </c>
      <c r="F58" s="199" t="s">
        <v>175</v>
      </c>
      <c r="G58" s="199">
        <v>2452730</v>
      </c>
      <c r="H58" s="199">
        <v>2306804</v>
      </c>
      <c r="I58" s="199">
        <v>2181588</v>
      </c>
      <c r="J58" s="199">
        <v>2064937</v>
      </c>
      <c r="K58" s="199">
        <v>1961863</v>
      </c>
      <c r="L58" s="199">
        <v>1851641</v>
      </c>
      <c r="M58" s="199">
        <v>1743810</v>
      </c>
      <c r="N58" s="199">
        <v>1637745</v>
      </c>
      <c r="O58" s="199">
        <v>1549419</v>
      </c>
      <c r="P58" s="199">
        <v>1427672</v>
      </c>
      <c r="Q58" s="199">
        <v>1368651</v>
      </c>
      <c r="R58" s="199">
        <v>1281070</v>
      </c>
      <c r="S58" s="199">
        <v>1220263</v>
      </c>
      <c r="T58" s="199">
        <v>1166119</v>
      </c>
      <c r="U58" s="199">
        <v>1148277</v>
      </c>
      <c r="V58" s="199">
        <v>1071174</v>
      </c>
      <c r="W58" s="199">
        <v>1010110</v>
      </c>
      <c r="X58" s="199">
        <v>989002</v>
      </c>
      <c r="Y58" s="199">
        <v>940320</v>
      </c>
      <c r="Z58" s="199">
        <v>864347</v>
      </c>
      <c r="AA58" s="199">
        <v>765395</v>
      </c>
      <c r="AB58" s="199">
        <v>825819</v>
      </c>
      <c r="AC58" s="199">
        <v>787173</v>
      </c>
      <c r="AD58" s="199" t="s">
        <v>175</v>
      </c>
    </row>
    <row r="59" spans="1:30" ht="14.45">
      <c r="A59" s="1" t="s">
        <v>275</v>
      </c>
      <c r="B59" s="6" t="s">
        <v>207</v>
      </c>
      <c r="C59" s="6" t="s">
        <v>207</v>
      </c>
      <c r="D59" s="7">
        <v>4057093</v>
      </c>
      <c r="E59" s="199">
        <v>910244</v>
      </c>
      <c r="F59" s="199">
        <v>864104</v>
      </c>
      <c r="G59" s="199">
        <v>804479</v>
      </c>
      <c r="H59" s="199">
        <v>757516</v>
      </c>
      <c r="I59" s="199">
        <v>710451</v>
      </c>
      <c r="J59" s="199">
        <v>666985</v>
      </c>
      <c r="K59" s="199">
        <v>629952</v>
      </c>
      <c r="L59" s="199">
        <v>599849</v>
      </c>
      <c r="M59" s="199">
        <v>570361</v>
      </c>
      <c r="N59" s="199">
        <v>531943</v>
      </c>
      <c r="O59" s="199">
        <v>502079</v>
      </c>
      <c r="P59" s="199">
        <v>447522</v>
      </c>
      <c r="Q59" s="199">
        <v>424054</v>
      </c>
      <c r="R59" s="199">
        <v>401856</v>
      </c>
      <c r="S59" s="199">
        <v>383566</v>
      </c>
      <c r="T59" s="199">
        <v>359504</v>
      </c>
      <c r="U59" s="199">
        <v>334566</v>
      </c>
      <c r="V59" s="199">
        <v>316723</v>
      </c>
      <c r="W59" s="199">
        <v>299221</v>
      </c>
      <c r="X59" s="199">
        <v>291033</v>
      </c>
      <c r="Y59" s="199">
        <v>278727</v>
      </c>
      <c r="Z59" s="199">
        <v>262716</v>
      </c>
      <c r="AA59" s="199">
        <v>245938</v>
      </c>
      <c r="AB59" s="199">
        <v>231266</v>
      </c>
      <c r="AC59" s="199">
        <v>218786</v>
      </c>
      <c r="AD59" s="199">
        <v>210209</v>
      </c>
    </row>
    <row r="60" spans="1:30" ht="14.45">
      <c r="B60" s="6" t="s">
        <v>208</v>
      </c>
      <c r="C60" s="6" t="s">
        <v>208</v>
      </c>
      <c r="D60" s="7">
        <v>4004218</v>
      </c>
      <c r="E60" s="199">
        <v>21629634</v>
      </c>
      <c r="F60" s="199">
        <v>20104953</v>
      </c>
      <c r="G60" s="199">
        <v>19091876</v>
      </c>
      <c r="H60" s="199">
        <v>17234280</v>
      </c>
      <c r="I60" s="199">
        <v>15656633</v>
      </c>
      <c r="J60" s="199">
        <v>14616168</v>
      </c>
      <c r="K60" s="199">
        <v>13573531</v>
      </c>
      <c r="L60" s="199">
        <v>12392946</v>
      </c>
      <c r="M60" s="199">
        <v>10818798</v>
      </c>
      <c r="N60" s="199">
        <v>10177943</v>
      </c>
      <c r="O60" s="199">
        <v>9670660</v>
      </c>
      <c r="P60" s="199">
        <v>9100170</v>
      </c>
      <c r="Q60" s="199">
        <v>8727168</v>
      </c>
      <c r="R60" s="199">
        <v>8330146</v>
      </c>
      <c r="S60" s="199">
        <v>8015097</v>
      </c>
      <c r="T60" s="199">
        <v>7756963</v>
      </c>
      <c r="U60" s="199">
        <v>7432783</v>
      </c>
      <c r="V60" s="199">
        <v>7229782</v>
      </c>
      <c r="W60" s="199">
        <v>7022633</v>
      </c>
      <c r="X60" s="199">
        <v>6746421</v>
      </c>
      <c r="Y60" s="199">
        <v>6523568</v>
      </c>
      <c r="Z60" s="199">
        <v>6375179</v>
      </c>
      <c r="AA60" s="199">
        <v>6217242</v>
      </c>
      <c r="AB60" s="199">
        <v>5985326</v>
      </c>
      <c r="AC60" s="199">
        <v>5761685</v>
      </c>
      <c r="AD60" s="199">
        <v>5554164</v>
      </c>
    </row>
    <row r="61" spans="1:30" ht="14.45">
      <c r="A61" s="1" t="s">
        <v>275</v>
      </c>
      <c r="B61" s="6" t="s">
        <v>297</v>
      </c>
      <c r="C61" s="6" t="s">
        <v>298</v>
      </c>
      <c r="D61" s="7">
        <v>4062222</v>
      </c>
      <c r="E61" s="199">
        <v>3098384</v>
      </c>
      <c r="F61" s="199">
        <v>2899113</v>
      </c>
      <c r="G61" s="199">
        <v>2693986</v>
      </c>
      <c r="H61" s="199">
        <v>2503565</v>
      </c>
      <c r="I61" s="199">
        <v>2348125</v>
      </c>
      <c r="J61" s="199">
        <v>2205404</v>
      </c>
      <c r="K61" s="199">
        <v>2071390</v>
      </c>
      <c r="L61" s="199">
        <v>1932368</v>
      </c>
      <c r="M61" s="199">
        <v>1859524</v>
      </c>
      <c r="N61" s="199">
        <v>1792877</v>
      </c>
      <c r="O61" s="199">
        <v>1731766</v>
      </c>
      <c r="P61" s="199">
        <v>1679020</v>
      </c>
      <c r="Q61" s="199">
        <v>1631395</v>
      </c>
      <c r="R61" s="199">
        <v>1581557</v>
      </c>
      <c r="S61" s="199">
        <v>1536761</v>
      </c>
      <c r="T61" s="199">
        <v>1483555</v>
      </c>
      <c r="U61" s="199">
        <v>1435893</v>
      </c>
      <c r="V61" s="199">
        <v>1381341</v>
      </c>
      <c r="W61" s="199">
        <v>1319024</v>
      </c>
      <c r="X61" s="199">
        <v>1280788</v>
      </c>
      <c r="Y61" s="199" t="s">
        <v>175</v>
      </c>
      <c r="Z61" s="199">
        <v>881393</v>
      </c>
      <c r="AA61" s="199">
        <v>877636</v>
      </c>
      <c r="AB61" s="199">
        <v>877562</v>
      </c>
      <c r="AC61" s="199">
        <v>875354</v>
      </c>
      <c r="AD61" s="199">
        <v>863494</v>
      </c>
    </row>
    <row r="62" spans="1:30" ht="14.45">
      <c r="B62" s="6" t="s">
        <v>210</v>
      </c>
      <c r="C62" s="6" t="s">
        <v>211</v>
      </c>
      <c r="D62" s="7">
        <v>4057135</v>
      </c>
      <c r="E62" s="199">
        <v>6155332</v>
      </c>
      <c r="F62" s="199">
        <v>5425568</v>
      </c>
      <c r="G62" s="199">
        <v>5006846</v>
      </c>
      <c r="H62" s="199">
        <v>4668238</v>
      </c>
      <c r="I62" s="199">
        <v>4248779</v>
      </c>
      <c r="J62" s="199">
        <v>4015916</v>
      </c>
      <c r="K62" s="199">
        <v>3784722</v>
      </c>
      <c r="L62" s="199">
        <v>3516344</v>
      </c>
      <c r="M62" s="199">
        <v>3223184</v>
      </c>
      <c r="N62" s="199">
        <v>2990432</v>
      </c>
      <c r="O62" s="199">
        <v>2793760</v>
      </c>
      <c r="P62" s="199">
        <v>2647415</v>
      </c>
      <c r="Q62" s="199">
        <v>2590622</v>
      </c>
      <c r="R62" s="199">
        <v>2504597</v>
      </c>
      <c r="S62" s="199">
        <v>2347950</v>
      </c>
      <c r="T62" s="199">
        <v>2248692</v>
      </c>
      <c r="U62" s="199">
        <v>2229919</v>
      </c>
      <c r="V62" s="199">
        <v>2182572</v>
      </c>
      <c r="W62" s="199">
        <v>2123311</v>
      </c>
      <c r="X62" s="199">
        <v>2081445</v>
      </c>
      <c r="Y62" s="199">
        <v>2010778</v>
      </c>
      <c r="Z62" s="199">
        <v>1896199</v>
      </c>
      <c r="AA62" s="199">
        <v>1856057</v>
      </c>
      <c r="AB62" s="199">
        <v>1790803</v>
      </c>
      <c r="AC62" s="199">
        <v>1746600</v>
      </c>
      <c r="AD62" s="199">
        <v>1696723</v>
      </c>
    </row>
    <row r="63" spans="1:30" ht="14.45">
      <c r="B63" s="6" t="s">
        <v>212</v>
      </c>
      <c r="C63" s="6" t="s">
        <v>212</v>
      </c>
      <c r="D63" s="7">
        <v>4063341</v>
      </c>
      <c r="E63" s="199">
        <v>2177138</v>
      </c>
      <c r="F63" s="199">
        <v>1927747</v>
      </c>
      <c r="G63" s="199">
        <v>1750033</v>
      </c>
      <c r="H63" s="199">
        <v>1601118</v>
      </c>
      <c r="I63" s="199">
        <v>1495402</v>
      </c>
      <c r="J63" s="199">
        <v>1399219</v>
      </c>
      <c r="K63" s="199">
        <v>1302933</v>
      </c>
      <c r="L63" s="199">
        <v>1243594</v>
      </c>
      <c r="M63" s="199">
        <v>1165833</v>
      </c>
      <c r="N63" s="199">
        <v>1098010</v>
      </c>
      <c r="O63" s="199">
        <v>1045039</v>
      </c>
      <c r="P63" s="199">
        <v>1017413</v>
      </c>
      <c r="Q63" s="199">
        <v>964615</v>
      </c>
      <c r="R63" s="199">
        <v>873761</v>
      </c>
      <c r="S63" s="199">
        <v>845131</v>
      </c>
      <c r="T63" s="199">
        <v>796895</v>
      </c>
      <c r="U63" s="199">
        <v>770864</v>
      </c>
      <c r="V63" s="199">
        <v>741127</v>
      </c>
      <c r="W63" s="199">
        <v>616247</v>
      </c>
      <c r="X63" s="199">
        <v>619356</v>
      </c>
      <c r="Y63" s="199">
        <v>597590</v>
      </c>
      <c r="Z63" s="199">
        <v>572817</v>
      </c>
      <c r="AA63" s="199">
        <v>500629</v>
      </c>
      <c r="AB63" s="199">
        <v>459829</v>
      </c>
      <c r="AC63" s="199">
        <v>399967</v>
      </c>
      <c r="AD63" s="199">
        <v>379385</v>
      </c>
    </row>
    <row r="64" spans="1:30" ht="14.45">
      <c r="A64" s="1" t="s">
        <v>275</v>
      </c>
      <c r="B64" s="6" t="s">
        <v>299</v>
      </c>
      <c r="C64" s="6" t="s">
        <v>299</v>
      </c>
      <c r="D64" s="7">
        <v>4083575</v>
      </c>
      <c r="E64" s="199">
        <v>2172098</v>
      </c>
      <c r="F64" s="199">
        <v>2038514</v>
      </c>
      <c r="G64" s="199">
        <v>1905082</v>
      </c>
      <c r="H64" s="199">
        <v>1793557</v>
      </c>
      <c r="I64" s="199">
        <v>1741522</v>
      </c>
      <c r="J64" s="199">
        <v>1685179</v>
      </c>
      <c r="K64" s="199">
        <v>1646712</v>
      </c>
      <c r="L64" s="199">
        <v>1596623</v>
      </c>
      <c r="M64" s="199">
        <v>1575797</v>
      </c>
      <c r="N64" s="199">
        <v>1555052</v>
      </c>
      <c r="O64" s="199">
        <v>1530513</v>
      </c>
      <c r="P64" s="199">
        <v>1502008</v>
      </c>
      <c r="Q64" s="199">
        <v>1454940</v>
      </c>
      <c r="R64" s="199">
        <v>1421124</v>
      </c>
      <c r="S64" s="199">
        <v>1389788</v>
      </c>
      <c r="T64" s="199">
        <v>1362007</v>
      </c>
      <c r="U64" s="199">
        <v>1315903</v>
      </c>
      <c r="V64" s="199">
        <v>1283894</v>
      </c>
      <c r="W64" s="199">
        <v>1250867</v>
      </c>
      <c r="X64" s="199">
        <v>1148936</v>
      </c>
      <c r="Y64" s="199" t="s">
        <v>175</v>
      </c>
      <c r="Z64" s="199" t="s">
        <v>175</v>
      </c>
      <c r="AA64" s="199" t="s">
        <v>175</v>
      </c>
      <c r="AB64" s="199" t="s">
        <v>175</v>
      </c>
      <c r="AC64" s="199" t="s">
        <v>175</v>
      </c>
      <c r="AD64" s="199" t="s">
        <v>175</v>
      </c>
    </row>
    <row r="65" spans="1:30" ht="14.45">
      <c r="B65" s="6" t="s">
        <v>300</v>
      </c>
      <c r="C65" s="6" t="s">
        <v>300</v>
      </c>
      <c r="D65" s="7">
        <v>4062303</v>
      </c>
      <c r="E65" s="199">
        <v>3610</v>
      </c>
      <c r="F65" s="199">
        <v>3535</v>
      </c>
      <c r="G65" s="199">
        <v>3193</v>
      </c>
      <c r="H65" s="199">
        <v>3023</v>
      </c>
      <c r="I65" s="199" t="s">
        <v>175</v>
      </c>
      <c r="J65" s="199">
        <v>2893</v>
      </c>
      <c r="K65" s="199">
        <v>2764</v>
      </c>
      <c r="L65" s="199">
        <v>2690</v>
      </c>
      <c r="M65" s="199">
        <v>2568</v>
      </c>
      <c r="N65" s="199">
        <v>2077</v>
      </c>
      <c r="O65" s="199">
        <v>2042</v>
      </c>
      <c r="P65" s="199">
        <v>1922</v>
      </c>
      <c r="Q65" s="199">
        <v>1853</v>
      </c>
      <c r="R65" s="199">
        <v>1690</v>
      </c>
      <c r="S65" s="199">
        <v>1557</v>
      </c>
      <c r="T65" s="199">
        <v>1494</v>
      </c>
      <c r="U65" s="199">
        <v>1162</v>
      </c>
      <c r="V65" s="199">
        <v>1109</v>
      </c>
      <c r="W65" s="199">
        <v>1099</v>
      </c>
      <c r="X65" s="199">
        <v>1001</v>
      </c>
      <c r="Y65" s="199">
        <v>902</v>
      </c>
      <c r="Z65" s="199" t="s">
        <v>175</v>
      </c>
      <c r="AA65" s="199" t="s">
        <v>175</v>
      </c>
      <c r="AB65" s="199" t="s">
        <v>175</v>
      </c>
      <c r="AC65" s="199" t="s">
        <v>175</v>
      </c>
      <c r="AD65" s="199" t="s">
        <v>175</v>
      </c>
    </row>
    <row r="66" spans="1:30" ht="14.45">
      <c r="B66" s="6" t="s">
        <v>301</v>
      </c>
      <c r="C66" s="6" t="s">
        <v>301</v>
      </c>
      <c r="D66" s="7">
        <v>4083581</v>
      </c>
      <c r="E66" s="199">
        <v>9048</v>
      </c>
      <c r="F66" s="199">
        <v>8762</v>
      </c>
      <c r="G66" s="199">
        <v>8540</v>
      </c>
      <c r="H66" s="199">
        <v>8260</v>
      </c>
      <c r="I66" s="199">
        <v>7538</v>
      </c>
      <c r="J66" s="199">
        <v>7069</v>
      </c>
      <c r="K66" s="199">
        <v>6517</v>
      </c>
      <c r="L66" s="199">
        <v>6854</v>
      </c>
      <c r="M66" s="199">
        <v>6517</v>
      </c>
      <c r="N66" s="199">
        <v>6512</v>
      </c>
      <c r="O66" s="199">
        <v>6382</v>
      </c>
      <c r="P66" s="199">
        <v>6375</v>
      </c>
      <c r="Q66" s="199">
        <v>6345</v>
      </c>
      <c r="R66" s="199">
        <v>6355</v>
      </c>
      <c r="S66" s="199">
        <v>6213</v>
      </c>
      <c r="T66" s="199">
        <v>6100</v>
      </c>
      <c r="U66" s="199">
        <v>5782</v>
      </c>
      <c r="V66" s="199">
        <v>5466</v>
      </c>
      <c r="W66" s="199" t="s">
        <v>175</v>
      </c>
      <c r="X66" s="199">
        <v>5090</v>
      </c>
      <c r="Y66" s="199">
        <v>4666</v>
      </c>
      <c r="Z66" s="199" t="s">
        <v>175</v>
      </c>
      <c r="AA66" s="199" t="s">
        <v>175</v>
      </c>
      <c r="AB66" s="199" t="s">
        <v>175</v>
      </c>
      <c r="AC66" s="199" t="s">
        <v>175</v>
      </c>
      <c r="AD66" s="199" t="s">
        <v>175</v>
      </c>
    </row>
    <row r="67" spans="1:30" ht="14.45">
      <c r="B67" s="6" t="s">
        <v>214</v>
      </c>
      <c r="C67" s="6" t="s">
        <v>214</v>
      </c>
      <c r="D67" s="7">
        <v>4057139</v>
      </c>
      <c r="E67" s="199">
        <v>2850859</v>
      </c>
      <c r="F67" s="199">
        <v>2726254</v>
      </c>
      <c r="G67" s="199">
        <v>2367788</v>
      </c>
      <c r="H67" s="199">
        <v>2203874</v>
      </c>
      <c r="I67" s="199">
        <v>1932599</v>
      </c>
      <c r="J67" s="199">
        <v>1728159</v>
      </c>
      <c r="K67" s="199">
        <v>1629932</v>
      </c>
      <c r="L67" s="199">
        <v>1481902</v>
      </c>
      <c r="M67" s="199">
        <v>1426106</v>
      </c>
      <c r="N67" s="199">
        <v>1370866</v>
      </c>
      <c r="O67" s="199">
        <v>1297274</v>
      </c>
      <c r="P67" s="199">
        <v>1259200</v>
      </c>
      <c r="Q67" s="199">
        <v>1231059</v>
      </c>
      <c r="R67" s="199">
        <v>1151481</v>
      </c>
      <c r="S67" s="199">
        <v>1077273</v>
      </c>
      <c r="T67" s="199">
        <v>991344</v>
      </c>
      <c r="U67" s="199">
        <v>940817</v>
      </c>
      <c r="V67" s="199">
        <v>915872</v>
      </c>
      <c r="W67" s="199">
        <v>885998</v>
      </c>
      <c r="X67" s="199">
        <v>842772</v>
      </c>
      <c r="Y67" s="199">
        <v>764785</v>
      </c>
      <c r="Z67" s="199">
        <v>754087</v>
      </c>
      <c r="AA67" s="199">
        <v>718213</v>
      </c>
      <c r="AB67" s="199">
        <v>671071</v>
      </c>
      <c r="AC67" s="199">
        <v>617544</v>
      </c>
      <c r="AD67" s="199">
        <v>561929</v>
      </c>
    </row>
    <row r="68" spans="1:30" ht="14.45">
      <c r="A68" s="1" t="s">
        <v>275</v>
      </c>
      <c r="B68" s="6" t="s">
        <v>216</v>
      </c>
      <c r="C68" s="6" t="s">
        <v>216</v>
      </c>
      <c r="D68" s="7">
        <v>4057095</v>
      </c>
      <c r="E68" s="199" t="s">
        <v>175</v>
      </c>
      <c r="F68" s="199">
        <v>8711024</v>
      </c>
      <c r="G68" s="199">
        <v>8126332</v>
      </c>
      <c r="H68" s="199">
        <v>7350276</v>
      </c>
      <c r="I68" s="199">
        <v>6634736</v>
      </c>
      <c r="J68" s="199">
        <v>6119161</v>
      </c>
      <c r="K68" s="199">
        <v>5736847</v>
      </c>
      <c r="L68" s="199">
        <v>5485700</v>
      </c>
      <c r="M68" s="199">
        <v>5322287</v>
      </c>
      <c r="N68" s="199">
        <v>5119132</v>
      </c>
      <c r="O68" s="199">
        <v>4948477</v>
      </c>
      <c r="P68" s="199">
        <v>4703023</v>
      </c>
      <c r="Q68" s="199">
        <v>4525896</v>
      </c>
      <c r="R68" s="199">
        <v>4322406</v>
      </c>
      <c r="S68" s="199">
        <v>4167457</v>
      </c>
      <c r="T68" s="199">
        <v>3976672</v>
      </c>
      <c r="U68" s="199">
        <v>3731368</v>
      </c>
      <c r="V68" s="199">
        <v>3596394</v>
      </c>
      <c r="W68" s="199">
        <v>3436393</v>
      </c>
      <c r="X68" s="199">
        <v>3284628</v>
      </c>
      <c r="Y68" s="199">
        <v>3176805</v>
      </c>
      <c r="Z68" s="199">
        <v>3019300</v>
      </c>
      <c r="AA68" s="199">
        <v>2847093</v>
      </c>
      <c r="AB68" s="199">
        <v>2697343</v>
      </c>
      <c r="AC68" s="199">
        <v>2555901</v>
      </c>
      <c r="AD68" s="199">
        <v>2442572</v>
      </c>
    </row>
    <row r="69" spans="1:30" ht="14.45">
      <c r="B69" s="6" t="s">
        <v>217</v>
      </c>
      <c r="C69" s="6" t="s">
        <v>217</v>
      </c>
      <c r="D69" s="7">
        <v>4062485</v>
      </c>
      <c r="E69" s="199">
        <v>4507642</v>
      </c>
      <c r="F69" s="199">
        <v>4232155</v>
      </c>
      <c r="G69" s="199">
        <v>3975895</v>
      </c>
      <c r="H69" s="199">
        <v>3740526</v>
      </c>
      <c r="I69" s="199">
        <v>3532504</v>
      </c>
      <c r="J69" s="199">
        <v>3345940</v>
      </c>
      <c r="K69" s="199">
        <v>3220615</v>
      </c>
      <c r="L69" s="199">
        <v>3075337</v>
      </c>
      <c r="M69" s="199">
        <v>2946179</v>
      </c>
      <c r="N69" s="199">
        <v>2791268</v>
      </c>
      <c r="O69" s="199">
        <v>2690606</v>
      </c>
      <c r="P69" s="199">
        <v>2580448</v>
      </c>
      <c r="Q69" s="199">
        <v>2446775</v>
      </c>
      <c r="R69" s="199">
        <v>2273292</v>
      </c>
      <c r="S69" s="199">
        <v>2097628</v>
      </c>
      <c r="T69" s="199">
        <v>1959946</v>
      </c>
      <c r="U69" s="199">
        <v>1848843</v>
      </c>
      <c r="V69" s="199">
        <v>1707559</v>
      </c>
      <c r="W69" s="199">
        <v>1618020</v>
      </c>
      <c r="X69" s="199">
        <v>1518251</v>
      </c>
      <c r="Y69" s="199">
        <v>1406306</v>
      </c>
      <c r="Z69" s="199">
        <v>1307207</v>
      </c>
      <c r="AA69" s="199">
        <v>1218354</v>
      </c>
      <c r="AB69" s="199">
        <v>1169466</v>
      </c>
      <c r="AC69" s="199">
        <v>1147927</v>
      </c>
      <c r="AD69" s="199">
        <v>1068545</v>
      </c>
    </row>
    <row r="70" spans="1:30" ht="14.45">
      <c r="B70" s="6" t="s">
        <v>218</v>
      </c>
      <c r="C70" s="6" t="s">
        <v>218</v>
      </c>
      <c r="D70" s="7">
        <v>4057140</v>
      </c>
      <c r="E70" s="199">
        <v>3525652</v>
      </c>
      <c r="F70" s="199">
        <v>3306186</v>
      </c>
      <c r="G70" s="199">
        <v>3166151</v>
      </c>
      <c r="H70" s="199">
        <v>2976386</v>
      </c>
      <c r="I70" s="199">
        <v>2826523</v>
      </c>
      <c r="J70" s="199">
        <v>2518247</v>
      </c>
      <c r="K70" s="199">
        <v>2309700</v>
      </c>
      <c r="L70" s="199">
        <v>2151651</v>
      </c>
      <c r="M70" s="199">
        <v>1971070</v>
      </c>
      <c r="N70" s="199">
        <v>1866456</v>
      </c>
      <c r="O70" s="199">
        <v>1761511</v>
      </c>
      <c r="P70" s="199">
        <v>1680562</v>
      </c>
      <c r="Q70" s="199">
        <v>1621809</v>
      </c>
      <c r="R70" s="199">
        <v>1504723</v>
      </c>
      <c r="S70" s="199">
        <v>1385862</v>
      </c>
      <c r="T70" s="199">
        <v>1363285</v>
      </c>
      <c r="U70" s="199">
        <v>1299645</v>
      </c>
      <c r="V70" s="199">
        <v>1219302</v>
      </c>
      <c r="W70" s="199">
        <v>1176976</v>
      </c>
      <c r="X70" s="199">
        <v>1111006</v>
      </c>
      <c r="Y70" s="199">
        <v>1041063</v>
      </c>
      <c r="Z70" s="199">
        <v>943591</v>
      </c>
      <c r="AA70" s="199">
        <v>897118</v>
      </c>
      <c r="AB70" s="199">
        <v>836491</v>
      </c>
      <c r="AC70" s="199">
        <v>804234</v>
      </c>
      <c r="AD70" s="199">
        <v>763290</v>
      </c>
    </row>
    <row r="71" spans="1:30" ht="14.45">
      <c r="A71" s="1" t="s">
        <v>275</v>
      </c>
      <c r="B71" s="6" t="s">
        <v>220</v>
      </c>
      <c r="C71" s="6" t="s">
        <v>221</v>
      </c>
      <c r="D71" s="7">
        <v>4057096</v>
      </c>
      <c r="E71" s="199">
        <v>1035679</v>
      </c>
      <c r="F71" s="199">
        <v>994193</v>
      </c>
      <c r="G71" s="199">
        <v>911829</v>
      </c>
      <c r="H71" s="199">
        <v>875117</v>
      </c>
      <c r="I71" s="199">
        <v>794212</v>
      </c>
      <c r="J71" s="199">
        <v>761755</v>
      </c>
      <c r="K71" s="199">
        <v>742387</v>
      </c>
      <c r="L71" s="199">
        <v>717183</v>
      </c>
      <c r="M71" s="199">
        <v>691619</v>
      </c>
      <c r="N71" s="199">
        <v>660125</v>
      </c>
      <c r="O71" s="199">
        <v>638630</v>
      </c>
      <c r="P71" s="199">
        <v>620776</v>
      </c>
      <c r="Q71" s="199">
        <v>614221</v>
      </c>
      <c r="R71" s="199">
        <v>599654</v>
      </c>
      <c r="S71" s="199">
        <v>585293</v>
      </c>
      <c r="T71" s="199">
        <v>573380</v>
      </c>
      <c r="U71" s="199">
        <v>557908</v>
      </c>
      <c r="V71" s="199" t="s">
        <v>175</v>
      </c>
      <c r="W71" s="199" t="s">
        <v>175</v>
      </c>
      <c r="X71" s="199">
        <v>496594</v>
      </c>
      <c r="Y71" s="199">
        <v>471051</v>
      </c>
      <c r="Z71" s="199">
        <v>453635</v>
      </c>
      <c r="AA71" s="199">
        <v>435318</v>
      </c>
      <c r="AB71" s="199">
        <v>416989</v>
      </c>
      <c r="AC71" s="199">
        <v>391231</v>
      </c>
      <c r="AD71" s="199">
        <v>382071</v>
      </c>
    </row>
    <row r="72" spans="1:30" ht="14.45">
      <c r="B72" s="6" t="s">
        <v>302</v>
      </c>
      <c r="C72" s="6" t="s">
        <v>302</v>
      </c>
      <c r="D72" s="7">
        <v>4057097</v>
      </c>
      <c r="E72" s="199" t="s">
        <v>175</v>
      </c>
      <c r="F72" s="199" t="s">
        <v>175</v>
      </c>
      <c r="G72" s="199">
        <v>2382699</v>
      </c>
      <c r="H72" s="199">
        <v>2186086</v>
      </c>
      <c r="I72" s="199">
        <v>1896993</v>
      </c>
      <c r="J72" s="199">
        <v>1641760</v>
      </c>
      <c r="K72" s="199">
        <v>1535049</v>
      </c>
      <c r="L72" s="199">
        <v>1454074</v>
      </c>
      <c r="M72" s="199">
        <v>1405856</v>
      </c>
      <c r="N72" s="199">
        <v>1348547</v>
      </c>
      <c r="O72" s="199">
        <v>1280263</v>
      </c>
      <c r="P72" s="199">
        <v>1203600</v>
      </c>
      <c r="Q72" s="199">
        <v>1149828</v>
      </c>
      <c r="R72" s="199">
        <v>1142517</v>
      </c>
      <c r="S72" s="199">
        <v>1118580</v>
      </c>
      <c r="T72" s="199">
        <v>1086765</v>
      </c>
      <c r="U72" s="199">
        <v>1034643</v>
      </c>
      <c r="V72" s="199">
        <v>1011366</v>
      </c>
      <c r="W72" s="199">
        <v>982290</v>
      </c>
      <c r="X72" s="199">
        <v>954909</v>
      </c>
      <c r="Y72" s="199">
        <v>924926</v>
      </c>
      <c r="Z72" s="199">
        <v>902823</v>
      </c>
      <c r="AA72" s="199">
        <v>868564</v>
      </c>
      <c r="AB72" s="199">
        <v>844007</v>
      </c>
      <c r="AC72" s="199">
        <v>809200</v>
      </c>
      <c r="AD72" s="199">
        <v>763101</v>
      </c>
    </row>
    <row r="73" spans="1:30" ht="14.45">
      <c r="B73" s="6" t="s">
        <v>303</v>
      </c>
      <c r="C73" s="6" t="s">
        <v>303</v>
      </c>
      <c r="D73" s="7">
        <v>4057098</v>
      </c>
      <c r="E73" s="199" t="s">
        <v>175</v>
      </c>
      <c r="F73" s="199">
        <v>429421</v>
      </c>
      <c r="G73" s="199">
        <v>415461</v>
      </c>
      <c r="H73" s="199">
        <v>402790</v>
      </c>
      <c r="I73" s="199">
        <v>394618</v>
      </c>
      <c r="J73" s="199">
        <v>385431</v>
      </c>
      <c r="K73" s="199">
        <v>376578</v>
      </c>
      <c r="L73" s="199">
        <v>367578</v>
      </c>
      <c r="M73" s="199">
        <v>351629</v>
      </c>
      <c r="N73" s="199">
        <v>314781</v>
      </c>
      <c r="O73" s="199">
        <v>306068</v>
      </c>
      <c r="P73" s="199">
        <v>297904</v>
      </c>
      <c r="Q73" s="199">
        <v>280238</v>
      </c>
      <c r="R73" s="199">
        <v>268738</v>
      </c>
      <c r="S73" s="199">
        <v>254382</v>
      </c>
      <c r="T73" s="199">
        <v>242891</v>
      </c>
      <c r="U73" s="199">
        <v>228386</v>
      </c>
      <c r="V73" s="199">
        <v>219417</v>
      </c>
      <c r="W73" s="199">
        <v>202670</v>
      </c>
      <c r="X73" s="199" t="s">
        <v>175</v>
      </c>
      <c r="Y73" s="199">
        <v>174647</v>
      </c>
      <c r="Z73" s="199">
        <v>161736</v>
      </c>
      <c r="AA73" s="199">
        <v>154578</v>
      </c>
      <c r="AB73" s="199">
        <v>146634</v>
      </c>
      <c r="AC73" s="199">
        <v>134656</v>
      </c>
      <c r="AD73" s="199">
        <v>125497</v>
      </c>
    </row>
    <row r="74" spans="1:30" ht="14.45">
      <c r="A74" s="1" t="s">
        <v>275</v>
      </c>
      <c r="B74" s="6" t="s">
        <v>222</v>
      </c>
      <c r="C74" s="6" t="s">
        <v>222</v>
      </c>
      <c r="D74" s="7">
        <v>4063023</v>
      </c>
      <c r="E74" s="199" t="s">
        <v>175</v>
      </c>
      <c r="F74" s="199">
        <v>3047369</v>
      </c>
      <c r="G74" s="199">
        <v>2823101</v>
      </c>
      <c r="H74" s="199">
        <v>2541051</v>
      </c>
      <c r="I74" s="199">
        <v>2359522</v>
      </c>
      <c r="J74" s="199">
        <v>2139898</v>
      </c>
      <c r="K74" s="199">
        <v>1923107</v>
      </c>
      <c r="L74" s="199">
        <v>1742237</v>
      </c>
      <c r="M74" s="199">
        <v>1618932</v>
      </c>
      <c r="N74" s="199">
        <v>1482690</v>
      </c>
      <c r="O74" s="199">
        <v>1365232</v>
      </c>
      <c r="P74" s="199">
        <v>1234168</v>
      </c>
      <c r="Q74" s="199">
        <v>1166358</v>
      </c>
      <c r="R74" s="199">
        <v>1119806</v>
      </c>
      <c r="S74" s="199">
        <v>1075194</v>
      </c>
      <c r="T74" s="199">
        <v>1014402</v>
      </c>
      <c r="U74" s="199">
        <v>943313</v>
      </c>
      <c r="V74" s="199">
        <v>889136</v>
      </c>
      <c r="W74" s="199">
        <v>841653</v>
      </c>
      <c r="X74" s="199">
        <v>801063</v>
      </c>
      <c r="Y74" s="199">
        <v>761086</v>
      </c>
      <c r="Z74" s="199">
        <v>718478</v>
      </c>
      <c r="AA74" s="199">
        <v>676480</v>
      </c>
      <c r="AB74" s="199">
        <v>615806</v>
      </c>
      <c r="AC74" s="199">
        <v>573548</v>
      </c>
      <c r="AD74" s="199">
        <v>538139</v>
      </c>
    </row>
    <row r="75" spans="1:30" ht="14.45">
      <c r="B75" s="6" t="s">
        <v>223</v>
      </c>
      <c r="C75" s="6" t="s">
        <v>223</v>
      </c>
      <c r="D75" s="7">
        <v>4057146</v>
      </c>
      <c r="E75" s="199" t="s">
        <v>175</v>
      </c>
      <c r="F75" s="199">
        <v>18281117</v>
      </c>
      <c r="G75" s="199">
        <v>17178926</v>
      </c>
      <c r="H75" s="199">
        <v>15675511</v>
      </c>
      <c r="I75" s="199">
        <v>14346945</v>
      </c>
      <c r="J75" s="199">
        <v>13161515</v>
      </c>
      <c r="K75" s="199">
        <v>12022432</v>
      </c>
      <c r="L75" s="199">
        <v>11321853</v>
      </c>
      <c r="M75" s="199">
        <v>10683957</v>
      </c>
      <c r="N75" s="199">
        <v>9976028</v>
      </c>
      <c r="O75" s="199">
        <v>9286535</v>
      </c>
      <c r="P75" s="199">
        <v>8813382</v>
      </c>
      <c r="Q75" s="199">
        <v>8429380</v>
      </c>
      <c r="R75" s="199">
        <v>8089647</v>
      </c>
      <c r="S75" s="199">
        <v>7827324</v>
      </c>
      <c r="T75" s="199">
        <v>7427607</v>
      </c>
      <c r="U75" s="199">
        <v>7069652</v>
      </c>
      <c r="V75" s="199">
        <v>6797173</v>
      </c>
      <c r="W75" s="199">
        <v>6473455</v>
      </c>
      <c r="X75" s="199">
        <v>6234647</v>
      </c>
      <c r="Y75" s="199">
        <v>6148438</v>
      </c>
      <c r="Z75" s="199">
        <v>6014463</v>
      </c>
      <c r="AA75" s="199">
        <v>5899908</v>
      </c>
      <c r="AB75" s="199">
        <v>5807948</v>
      </c>
      <c r="AC75" s="199">
        <v>5793759</v>
      </c>
      <c r="AD75" s="199" t="s">
        <v>175</v>
      </c>
    </row>
    <row r="76" spans="1:30" ht="14.45">
      <c r="A76" s="1" t="s">
        <v>275</v>
      </c>
      <c r="B76" s="6" t="s">
        <v>224</v>
      </c>
      <c r="C76" s="6" t="s">
        <v>225</v>
      </c>
      <c r="D76" s="7">
        <v>4063060</v>
      </c>
      <c r="E76" s="199">
        <v>1109821</v>
      </c>
      <c r="F76" s="199">
        <v>1051580</v>
      </c>
      <c r="G76" s="199">
        <v>984639</v>
      </c>
      <c r="H76" s="199">
        <v>900742</v>
      </c>
      <c r="I76" s="199">
        <v>863316</v>
      </c>
      <c r="J76" s="199">
        <v>807062</v>
      </c>
      <c r="K76" s="199">
        <v>735931</v>
      </c>
      <c r="L76" s="199">
        <v>688427</v>
      </c>
      <c r="M76" s="199">
        <v>668946</v>
      </c>
      <c r="N76" s="199">
        <v>643633</v>
      </c>
      <c r="O76" s="199">
        <v>625099</v>
      </c>
      <c r="P76" s="199">
        <v>613478</v>
      </c>
      <c r="Q76" s="199">
        <v>597404</v>
      </c>
      <c r="R76" s="199">
        <v>573169</v>
      </c>
      <c r="S76" s="199">
        <v>570197</v>
      </c>
      <c r="T76" s="199">
        <v>549696</v>
      </c>
      <c r="U76" s="199">
        <v>521746</v>
      </c>
      <c r="V76" s="199">
        <v>504283</v>
      </c>
      <c r="W76" s="199">
        <v>485511</v>
      </c>
      <c r="X76" s="199">
        <v>464313</v>
      </c>
      <c r="Y76" s="199">
        <v>437047</v>
      </c>
      <c r="Z76" s="199" t="s">
        <v>175</v>
      </c>
      <c r="AA76" s="199">
        <v>406948</v>
      </c>
      <c r="AB76" s="199">
        <v>396263</v>
      </c>
      <c r="AC76" s="199">
        <v>372776</v>
      </c>
      <c r="AD76" s="199">
        <v>350716</v>
      </c>
    </row>
    <row r="77" spans="1:30" ht="14.45">
      <c r="B77" s="6" t="s">
        <v>226</v>
      </c>
      <c r="C77" s="6" t="s">
        <v>226</v>
      </c>
      <c r="D77" s="7">
        <v>4057100</v>
      </c>
      <c r="E77" s="199">
        <v>573423</v>
      </c>
      <c r="F77" s="199">
        <v>533491</v>
      </c>
      <c r="G77" s="199">
        <v>483339</v>
      </c>
      <c r="H77" s="199">
        <v>427379</v>
      </c>
      <c r="I77" s="199">
        <v>387005</v>
      </c>
      <c r="J77" s="199">
        <v>351007</v>
      </c>
      <c r="K77" s="199">
        <v>314682</v>
      </c>
      <c r="L77" s="199">
        <v>277939</v>
      </c>
      <c r="M77" s="199">
        <v>264799</v>
      </c>
      <c r="N77" s="199">
        <v>255115</v>
      </c>
      <c r="O77" s="199">
        <v>246710</v>
      </c>
      <c r="P77" s="199">
        <v>229187</v>
      </c>
      <c r="Q77" s="199">
        <v>209486</v>
      </c>
      <c r="R77" s="199">
        <v>198221</v>
      </c>
      <c r="S77" s="199">
        <v>192504</v>
      </c>
      <c r="T77" s="199">
        <v>182191</v>
      </c>
      <c r="U77" s="199">
        <v>175353</v>
      </c>
      <c r="V77" s="199">
        <v>170866</v>
      </c>
      <c r="W77" s="199">
        <v>164511</v>
      </c>
      <c r="X77" s="199">
        <v>155051</v>
      </c>
      <c r="Y77" s="199">
        <v>152357</v>
      </c>
      <c r="Z77" s="199">
        <v>147324</v>
      </c>
      <c r="AA77" s="199">
        <v>141256</v>
      </c>
      <c r="AB77" s="199">
        <v>134255</v>
      </c>
      <c r="AC77" s="199">
        <v>124608</v>
      </c>
      <c r="AD77" s="199">
        <v>118130</v>
      </c>
    </row>
    <row r="78" spans="1:30" ht="14.45">
      <c r="B78" s="6" t="s">
        <v>304</v>
      </c>
      <c r="C78" s="6" t="s">
        <v>304</v>
      </c>
      <c r="D78" s="7">
        <v>4064035</v>
      </c>
      <c r="E78" s="199" t="s">
        <v>175</v>
      </c>
      <c r="F78" s="199">
        <v>66197</v>
      </c>
      <c r="G78" s="199">
        <v>58637</v>
      </c>
      <c r="H78" s="199">
        <v>55916</v>
      </c>
      <c r="I78" s="199">
        <v>54062</v>
      </c>
      <c r="J78" s="199">
        <v>51191</v>
      </c>
      <c r="K78" s="199">
        <v>47366</v>
      </c>
      <c r="L78" s="199">
        <v>45155</v>
      </c>
      <c r="M78" s="199">
        <v>42069</v>
      </c>
      <c r="N78" s="199">
        <v>40807</v>
      </c>
      <c r="O78" s="199">
        <v>39617</v>
      </c>
      <c r="P78" s="199">
        <v>38225</v>
      </c>
      <c r="Q78" s="199">
        <v>36894</v>
      </c>
      <c r="R78" s="199">
        <v>35680</v>
      </c>
      <c r="S78" s="199">
        <v>34226</v>
      </c>
      <c r="T78" s="199">
        <v>32946</v>
      </c>
      <c r="U78" s="199">
        <v>31829</v>
      </c>
      <c r="V78" s="199">
        <v>30787</v>
      </c>
      <c r="W78" s="199" t="s">
        <v>175</v>
      </c>
      <c r="X78" s="199">
        <v>28467</v>
      </c>
      <c r="Y78" s="199">
        <v>27667</v>
      </c>
      <c r="Z78" s="199" t="s">
        <v>175</v>
      </c>
      <c r="AA78" s="199">
        <v>24819</v>
      </c>
      <c r="AB78" s="199">
        <v>23657</v>
      </c>
      <c r="AC78" s="199">
        <v>22478</v>
      </c>
      <c r="AD78" s="199">
        <v>20580</v>
      </c>
    </row>
    <row r="79" spans="1:30" ht="14.45">
      <c r="B79" s="6" t="s">
        <v>305</v>
      </c>
      <c r="C79" s="6" t="s">
        <v>305</v>
      </c>
      <c r="D79" s="7">
        <v>4060957</v>
      </c>
      <c r="E79" s="199">
        <v>2456603</v>
      </c>
      <c r="F79" s="199">
        <v>2296306</v>
      </c>
      <c r="G79" s="199">
        <v>2136412</v>
      </c>
      <c r="H79" s="199">
        <v>2037408</v>
      </c>
      <c r="I79" s="199">
        <v>1858737</v>
      </c>
      <c r="J79" s="199">
        <v>1760731</v>
      </c>
      <c r="K79" s="199">
        <v>1638164</v>
      </c>
      <c r="L79" s="199">
        <v>1563570</v>
      </c>
      <c r="M79" s="199">
        <v>1430773</v>
      </c>
      <c r="N79" s="199">
        <v>1358095</v>
      </c>
      <c r="O79" s="199">
        <v>1305657</v>
      </c>
      <c r="P79" s="199">
        <v>1262325</v>
      </c>
      <c r="Q79" s="199">
        <v>1216064</v>
      </c>
      <c r="R79" s="199">
        <v>1173731</v>
      </c>
      <c r="S79" s="199">
        <v>1139113</v>
      </c>
      <c r="T79" s="199">
        <v>1093484</v>
      </c>
      <c r="U79" s="199">
        <v>1056031</v>
      </c>
      <c r="V79" s="199">
        <v>1018403</v>
      </c>
      <c r="W79" s="199">
        <v>942571</v>
      </c>
      <c r="X79" s="199">
        <v>942571</v>
      </c>
      <c r="Y79" s="199">
        <v>866321</v>
      </c>
      <c r="Z79" s="199">
        <v>866321</v>
      </c>
      <c r="AA79" s="199">
        <v>816748</v>
      </c>
      <c r="AB79" s="199">
        <v>781338</v>
      </c>
      <c r="AC79" s="199">
        <v>770725</v>
      </c>
      <c r="AD79" s="199">
        <v>735866</v>
      </c>
    </row>
    <row r="80" spans="1:30" ht="14.45">
      <c r="B80" s="6" t="s">
        <v>228</v>
      </c>
      <c r="C80" s="6" t="s">
        <v>228</v>
      </c>
      <c r="D80" s="7">
        <v>4063179</v>
      </c>
      <c r="E80" s="199">
        <v>8236</v>
      </c>
      <c r="F80" s="199">
        <v>8215</v>
      </c>
      <c r="G80" s="199">
        <v>7739</v>
      </c>
      <c r="H80" s="199">
        <v>7387</v>
      </c>
      <c r="I80" s="199">
        <v>7236</v>
      </c>
      <c r="J80" s="199">
        <v>7060</v>
      </c>
      <c r="K80" s="199">
        <v>6874</v>
      </c>
      <c r="L80" s="199">
        <v>6732</v>
      </c>
      <c r="M80" s="199">
        <v>6650</v>
      </c>
      <c r="N80" s="199">
        <v>6641</v>
      </c>
      <c r="O80" s="199">
        <v>6565</v>
      </c>
      <c r="P80" s="199">
        <v>6326</v>
      </c>
      <c r="Q80" s="199">
        <v>6253</v>
      </c>
      <c r="R80" s="199">
        <v>6217</v>
      </c>
      <c r="S80" s="199">
        <v>6210</v>
      </c>
      <c r="T80" s="199">
        <v>6124</v>
      </c>
      <c r="U80" s="199">
        <v>6131</v>
      </c>
      <c r="V80" s="199">
        <v>6135</v>
      </c>
      <c r="W80" s="199">
        <v>6146</v>
      </c>
      <c r="X80" s="199">
        <v>6076</v>
      </c>
      <c r="Y80" s="199">
        <v>5978</v>
      </c>
      <c r="Z80" s="199">
        <v>6061</v>
      </c>
      <c r="AA80" s="199">
        <v>5972</v>
      </c>
      <c r="AB80" s="199">
        <v>5924</v>
      </c>
      <c r="AC80" s="199">
        <v>5403</v>
      </c>
      <c r="AD80" s="199">
        <v>5229</v>
      </c>
    </row>
    <row r="81" spans="1:30" ht="14.45">
      <c r="A81" s="1" t="s">
        <v>275</v>
      </c>
      <c r="B81" s="6" t="s">
        <v>229</v>
      </c>
      <c r="C81" s="6" t="s">
        <v>229</v>
      </c>
      <c r="D81" s="7">
        <v>4063183</v>
      </c>
      <c r="E81" s="199">
        <v>80338</v>
      </c>
      <c r="F81" s="199">
        <v>77365</v>
      </c>
      <c r="G81" s="199">
        <v>98324</v>
      </c>
      <c r="H81" s="199">
        <v>100324</v>
      </c>
      <c r="I81" s="199">
        <v>100197</v>
      </c>
      <c r="J81" s="199">
        <v>100395</v>
      </c>
      <c r="K81" s="199">
        <v>68241</v>
      </c>
      <c r="L81" s="199">
        <v>65079</v>
      </c>
      <c r="M81" s="199">
        <v>51036</v>
      </c>
      <c r="N81" s="199">
        <v>49105</v>
      </c>
      <c r="O81" s="199">
        <v>48132</v>
      </c>
      <c r="P81" s="199">
        <v>46728</v>
      </c>
      <c r="Q81" s="199">
        <v>45103</v>
      </c>
      <c r="R81" s="199">
        <v>44491</v>
      </c>
      <c r="S81" s="199">
        <v>43244</v>
      </c>
      <c r="T81" s="199">
        <v>41988</v>
      </c>
      <c r="U81" s="199">
        <v>41637</v>
      </c>
      <c r="V81" s="199">
        <v>41260</v>
      </c>
      <c r="W81" s="199">
        <v>40527</v>
      </c>
      <c r="X81" s="199">
        <v>40110</v>
      </c>
      <c r="Y81" s="199">
        <v>39653</v>
      </c>
      <c r="Z81" s="199">
        <v>38770</v>
      </c>
      <c r="AA81" s="199">
        <v>38237</v>
      </c>
      <c r="AB81" s="199">
        <v>35933</v>
      </c>
      <c r="AC81" s="199">
        <v>35081</v>
      </c>
      <c r="AD81" s="199">
        <v>33382</v>
      </c>
    </row>
    <row r="82" spans="1:30" ht="14.45">
      <c r="B82" s="6" t="s">
        <v>230</v>
      </c>
      <c r="C82" s="6" t="s">
        <v>230</v>
      </c>
      <c r="D82" s="7">
        <v>4063281</v>
      </c>
      <c r="E82" s="199">
        <v>38359</v>
      </c>
      <c r="F82" s="199">
        <v>36878</v>
      </c>
      <c r="G82" s="199">
        <v>34270</v>
      </c>
      <c r="H82" s="199">
        <v>31290</v>
      </c>
      <c r="I82" s="199">
        <v>28999</v>
      </c>
      <c r="J82" s="199">
        <v>25998</v>
      </c>
      <c r="K82" s="199">
        <v>25583</v>
      </c>
      <c r="L82" s="199">
        <v>24684</v>
      </c>
      <c r="M82" s="199">
        <v>23379</v>
      </c>
      <c r="N82" s="199">
        <v>22746</v>
      </c>
      <c r="O82" s="199">
        <v>22099</v>
      </c>
      <c r="P82" s="199">
        <v>21543</v>
      </c>
      <c r="Q82" s="199">
        <v>20782</v>
      </c>
      <c r="R82" s="199">
        <v>20162</v>
      </c>
      <c r="S82" s="199">
        <v>19736</v>
      </c>
      <c r="T82" s="199">
        <v>19276</v>
      </c>
      <c r="U82" s="199">
        <v>18816</v>
      </c>
      <c r="V82" s="199">
        <v>17750</v>
      </c>
      <c r="W82" s="199">
        <v>17255</v>
      </c>
      <c r="X82" s="199">
        <v>15588</v>
      </c>
      <c r="Y82" s="199">
        <v>15206</v>
      </c>
      <c r="Z82" s="199">
        <v>14791</v>
      </c>
      <c r="AA82" s="199">
        <v>14543</v>
      </c>
      <c r="AB82" s="199">
        <v>14266</v>
      </c>
      <c r="AC82" s="199">
        <v>12707</v>
      </c>
      <c r="AD82" s="199">
        <v>12215</v>
      </c>
    </row>
    <row r="83" spans="1:30" ht="14.45">
      <c r="B83" s="6" t="s">
        <v>231</v>
      </c>
      <c r="C83" s="6" t="s">
        <v>231</v>
      </c>
      <c r="D83" s="7">
        <v>4059746</v>
      </c>
      <c r="E83" s="199">
        <v>5075401</v>
      </c>
      <c r="F83" s="199">
        <v>4883079</v>
      </c>
      <c r="G83" s="199">
        <v>4572420</v>
      </c>
      <c r="H83" s="199">
        <v>4354387</v>
      </c>
      <c r="I83" s="199">
        <v>4028969</v>
      </c>
      <c r="J83" s="199">
        <v>3666440</v>
      </c>
      <c r="K83" s="199">
        <v>3364254</v>
      </c>
      <c r="L83" s="199">
        <v>3047822</v>
      </c>
      <c r="M83" s="199">
        <v>2854031</v>
      </c>
      <c r="N83" s="199">
        <v>2657210</v>
      </c>
      <c r="O83" s="199">
        <v>2460405</v>
      </c>
      <c r="P83" s="199">
        <v>2255930</v>
      </c>
      <c r="Q83" s="199">
        <v>2100580</v>
      </c>
      <c r="R83" s="199">
        <v>1984273</v>
      </c>
      <c r="S83" s="199">
        <v>1917898</v>
      </c>
      <c r="T83" s="199">
        <v>1842236</v>
      </c>
      <c r="U83" s="199">
        <v>1780039</v>
      </c>
      <c r="V83" s="199">
        <v>1709374</v>
      </c>
      <c r="W83" s="199">
        <v>1656875</v>
      </c>
      <c r="X83" s="199">
        <v>1610351</v>
      </c>
      <c r="Y83" s="199">
        <v>1580189</v>
      </c>
      <c r="Z83" s="199">
        <v>1526114</v>
      </c>
      <c r="AA83" s="199">
        <v>1421979</v>
      </c>
      <c r="AB83" s="199">
        <v>1380618</v>
      </c>
      <c r="AC83" s="199">
        <v>1252097</v>
      </c>
      <c r="AD83" s="199">
        <v>1213110</v>
      </c>
    </row>
    <row r="84" spans="1:30" ht="14.45">
      <c r="A84" s="1" t="s">
        <v>275</v>
      </c>
      <c r="B84" s="6" t="s">
        <v>306</v>
      </c>
      <c r="C84" s="6" t="s">
        <v>306</v>
      </c>
      <c r="D84" s="7">
        <v>4062279</v>
      </c>
      <c r="E84" s="199" t="s">
        <v>175</v>
      </c>
      <c r="F84" s="199" t="s">
        <v>175</v>
      </c>
      <c r="G84" s="199" t="s">
        <v>175</v>
      </c>
      <c r="H84" s="199">
        <v>821301</v>
      </c>
      <c r="I84" s="199">
        <v>780397</v>
      </c>
      <c r="J84" s="199">
        <v>733135</v>
      </c>
      <c r="K84" s="199">
        <v>685597</v>
      </c>
      <c r="L84" s="199">
        <v>650160</v>
      </c>
      <c r="M84" s="199">
        <v>618063</v>
      </c>
      <c r="N84" s="199">
        <v>597826</v>
      </c>
      <c r="O84" s="199">
        <v>575210</v>
      </c>
      <c r="P84" s="199">
        <v>564412</v>
      </c>
      <c r="Q84" s="199">
        <v>552858</v>
      </c>
      <c r="R84" s="199">
        <v>531876</v>
      </c>
      <c r="S84" s="199">
        <v>515190</v>
      </c>
      <c r="T84" s="199">
        <v>503749</v>
      </c>
      <c r="U84" s="199">
        <v>485098</v>
      </c>
      <c r="V84" s="199">
        <v>463973</v>
      </c>
      <c r="W84" s="199">
        <v>445807</v>
      </c>
      <c r="X84" s="199">
        <v>432041</v>
      </c>
      <c r="Y84" s="199">
        <v>409237</v>
      </c>
      <c r="Z84" s="199" t="s">
        <v>175</v>
      </c>
      <c r="AA84" s="199">
        <v>366247</v>
      </c>
      <c r="AB84" s="199">
        <v>345139</v>
      </c>
      <c r="AC84" s="199">
        <v>312142</v>
      </c>
      <c r="AD84" s="199">
        <v>272123</v>
      </c>
    </row>
    <row r="85" spans="1:30" ht="14.45">
      <c r="A85" s="1" t="s">
        <v>275</v>
      </c>
      <c r="B85" s="6" t="s">
        <v>307</v>
      </c>
      <c r="C85" s="6" t="s">
        <v>307</v>
      </c>
      <c r="D85" s="7">
        <v>4063729</v>
      </c>
      <c r="E85" s="199" t="s">
        <v>175</v>
      </c>
      <c r="F85" s="199" t="s">
        <v>175</v>
      </c>
      <c r="G85" s="199" t="s">
        <v>175</v>
      </c>
      <c r="H85" s="199">
        <v>395557</v>
      </c>
      <c r="I85" s="199">
        <v>276527</v>
      </c>
      <c r="J85" s="199">
        <v>225786</v>
      </c>
      <c r="K85" s="199">
        <v>215890</v>
      </c>
      <c r="L85" s="199">
        <v>191592</v>
      </c>
      <c r="M85" s="199">
        <v>181017</v>
      </c>
      <c r="N85" s="199">
        <v>173788</v>
      </c>
      <c r="O85" s="199">
        <v>166827</v>
      </c>
      <c r="P85" s="199">
        <v>157884</v>
      </c>
      <c r="Q85" s="199">
        <v>148218</v>
      </c>
      <c r="R85" s="199">
        <v>138438</v>
      </c>
      <c r="S85" s="199">
        <v>127660</v>
      </c>
      <c r="T85" s="199">
        <v>120138</v>
      </c>
      <c r="U85" s="199">
        <v>106941</v>
      </c>
      <c r="V85" s="199">
        <v>95374</v>
      </c>
      <c r="W85" s="199">
        <v>89494</v>
      </c>
      <c r="X85" s="199">
        <v>80129</v>
      </c>
      <c r="Y85" s="199">
        <v>76531</v>
      </c>
      <c r="Z85" s="199">
        <v>74526</v>
      </c>
      <c r="AA85" s="199" t="s">
        <v>175</v>
      </c>
      <c r="AB85" s="199" t="s">
        <v>175</v>
      </c>
      <c r="AC85" s="199">
        <v>55944</v>
      </c>
      <c r="AD85" s="199">
        <v>52940</v>
      </c>
    </row>
    <row r="86" spans="1:30" ht="14.45">
      <c r="B86" s="6" t="s">
        <v>232</v>
      </c>
      <c r="C86" s="6" t="s">
        <v>232</v>
      </c>
      <c r="D86" s="7">
        <v>4063762</v>
      </c>
      <c r="E86" s="199">
        <v>1673209</v>
      </c>
      <c r="F86" s="199">
        <v>1530415</v>
      </c>
      <c r="G86" s="199">
        <v>1348144</v>
      </c>
      <c r="H86" s="199">
        <v>1303522</v>
      </c>
      <c r="I86" s="199">
        <v>1252269</v>
      </c>
      <c r="J86" s="199">
        <v>1156340</v>
      </c>
      <c r="K86" s="199">
        <v>1107055</v>
      </c>
      <c r="L86" s="199">
        <v>1032842</v>
      </c>
      <c r="M86" s="199">
        <v>1000238</v>
      </c>
      <c r="N86" s="199">
        <v>927212</v>
      </c>
      <c r="O86" s="199">
        <v>853388</v>
      </c>
      <c r="P86" s="199">
        <v>705617</v>
      </c>
      <c r="Q86" s="199">
        <v>637043</v>
      </c>
      <c r="R86" s="199">
        <v>622764</v>
      </c>
      <c r="S86" s="199">
        <v>582774</v>
      </c>
      <c r="T86" s="199">
        <v>564649</v>
      </c>
      <c r="U86" s="199">
        <v>558589</v>
      </c>
      <c r="V86" s="199">
        <v>555597</v>
      </c>
      <c r="W86" s="199">
        <v>528467</v>
      </c>
      <c r="X86" s="199">
        <v>520113</v>
      </c>
      <c r="Y86" s="199">
        <v>516922</v>
      </c>
      <c r="Z86" s="199">
        <v>492204</v>
      </c>
      <c r="AA86" s="199">
        <v>470011</v>
      </c>
      <c r="AB86" s="199">
        <v>447376</v>
      </c>
      <c r="AC86" s="199">
        <v>424855</v>
      </c>
      <c r="AD86" s="199" t="s">
        <v>175</v>
      </c>
    </row>
    <row r="87" spans="1:30" ht="14.45">
      <c r="B87" s="6" t="s">
        <v>234</v>
      </c>
      <c r="C87" s="6" t="s">
        <v>234</v>
      </c>
      <c r="D87" s="7">
        <v>4058284</v>
      </c>
      <c r="E87" s="199">
        <v>6097429</v>
      </c>
      <c r="F87" s="199">
        <v>5739912</v>
      </c>
      <c r="G87" s="199">
        <v>5429089</v>
      </c>
      <c r="H87" s="199">
        <v>5113235</v>
      </c>
      <c r="I87" s="199">
        <v>4715459</v>
      </c>
      <c r="J87" s="199">
        <v>4393464</v>
      </c>
      <c r="K87" s="199">
        <v>4075503</v>
      </c>
      <c r="L87" s="199">
        <v>3766505</v>
      </c>
      <c r="M87" s="199">
        <v>3563966</v>
      </c>
      <c r="N87" s="199">
        <v>3372661</v>
      </c>
      <c r="O87" s="199">
        <v>3279956</v>
      </c>
      <c r="P87" s="199">
        <v>3168786</v>
      </c>
      <c r="Q87" s="199">
        <v>3096519</v>
      </c>
      <c r="R87" s="199">
        <v>2976008</v>
      </c>
      <c r="S87" s="199">
        <v>2890217</v>
      </c>
      <c r="T87" s="199">
        <v>2733187</v>
      </c>
      <c r="U87" s="199">
        <v>2635849</v>
      </c>
      <c r="V87" s="199">
        <v>2529275</v>
      </c>
      <c r="W87" s="199">
        <v>2368635</v>
      </c>
      <c r="X87" s="199">
        <v>2252435</v>
      </c>
      <c r="Y87" s="199">
        <v>2124129</v>
      </c>
      <c r="Z87" s="199">
        <v>2004592</v>
      </c>
      <c r="AA87" s="199">
        <v>1872855</v>
      </c>
      <c r="AB87" s="199">
        <v>1764871</v>
      </c>
      <c r="AC87" s="199">
        <v>1648354</v>
      </c>
      <c r="AD87" s="199">
        <v>1495480</v>
      </c>
    </row>
    <row r="88" spans="1:30" ht="14.45">
      <c r="B88" s="6" t="s">
        <v>236</v>
      </c>
      <c r="C88" s="6" t="s">
        <v>236</v>
      </c>
      <c r="D88" s="7">
        <v>4008752</v>
      </c>
      <c r="E88" s="199">
        <v>2675319</v>
      </c>
      <c r="F88" s="199">
        <v>2534747</v>
      </c>
      <c r="G88" s="199">
        <v>2390462</v>
      </c>
      <c r="H88" s="199">
        <v>2254179</v>
      </c>
      <c r="I88" s="199">
        <v>2112986</v>
      </c>
      <c r="J88" s="199">
        <v>2021393</v>
      </c>
      <c r="K88" s="199">
        <v>1787849</v>
      </c>
      <c r="L88" s="199">
        <v>1660662</v>
      </c>
      <c r="M88" s="199">
        <v>1553309</v>
      </c>
      <c r="N88" s="199">
        <v>1445936</v>
      </c>
      <c r="O88" s="199">
        <v>1379970</v>
      </c>
      <c r="P88" s="199">
        <v>1324073</v>
      </c>
      <c r="Q88" s="199">
        <v>1270222</v>
      </c>
      <c r="R88" s="199">
        <v>1195187</v>
      </c>
      <c r="S88" s="199">
        <v>1151448</v>
      </c>
      <c r="T88" s="199">
        <v>1103455</v>
      </c>
      <c r="U88" s="199">
        <v>1060637</v>
      </c>
      <c r="V88" s="199">
        <v>1021621</v>
      </c>
      <c r="W88" s="199">
        <v>934025</v>
      </c>
      <c r="X88" s="199">
        <v>906023</v>
      </c>
      <c r="Y88" s="199">
        <v>872649</v>
      </c>
      <c r="Z88" s="199">
        <v>842321</v>
      </c>
      <c r="AA88" s="199">
        <v>812281</v>
      </c>
      <c r="AB88" s="199">
        <v>787026</v>
      </c>
      <c r="AC88" s="199">
        <v>773211</v>
      </c>
      <c r="AD88" s="199">
        <v>747637</v>
      </c>
    </row>
    <row r="89" spans="1:30" ht="14.45">
      <c r="B89" s="6" t="s">
        <v>237</v>
      </c>
      <c r="C89" s="6" t="s">
        <v>237</v>
      </c>
      <c r="D89" s="7">
        <v>4008669</v>
      </c>
      <c r="E89" s="199">
        <v>719591</v>
      </c>
      <c r="F89" s="199">
        <v>661903</v>
      </c>
      <c r="G89" s="199">
        <v>624787</v>
      </c>
      <c r="H89" s="199">
        <v>589233</v>
      </c>
      <c r="I89" s="199">
        <v>550935</v>
      </c>
      <c r="J89" s="199">
        <v>504653</v>
      </c>
      <c r="K89" s="199">
        <v>472159</v>
      </c>
      <c r="L89" s="199">
        <v>453166</v>
      </c>
      <c r="M89" s="199">
        <v>437003</v>
      </c>
      <c r="N89" s="199">
        <v>424749</v>
      </c>
      <c r="O89" s="199">
        <v>411391</v>
      </c>
      <c r="P89" s="199">
        <v>393765</v>
      </c>
      <c r="Q89" s="199">
        <v>370143</v>
      </c>
      <c r="R89" s="199">
        <v>286278</v>
      </c>
      <c r="S89" s="199">
        <v>325632</v>
      </c>
      <c r="T89" s="199">
        <v>319366</v>
      </c>
      <c r="U89" s="199">
        <v>304146</v>
      </c>
      <c r="V89" s="199">
        <v>289785</v>
      </c>
      <c r="W89" s="199">
        <v>275623</v>
      </c>
      <c r="X89" s="199">
        <v>270167</v>
      </c>
      <c r="Y89" s="199">
        <v>262892</v>
      </c>
      <c r="Z89" s="199">
        <v>247834</v>
      </c>
      <c r="AA89" s="199">
        <v>234811</v>
      </c>
      <c r="AB89" s="199">
        <v>228601</v>
      </c>
      <c r="AC89" s="199">
        <v>219400</v>
      </c>
      <c r="AD89" s="199">
        <v>210560</v>
      </c>
    </row>
    <row r="90" spans="1:30" ht="14.45">
      <c r="B90" s="6" t="s">
        <v>308</v>
      </c>
      <c r="C90" s="6" t="s">
        <v>309</v>
      </c>
      <c r="D90" s="7">
        <v>4076892</v>
      </c>
      <c r="E90" s="199">
        <v>20924</v>
      </c>
      <c r="F90" s="199">
        <v>20877</v>
      </c>
      <c r="G90" s="199">
        <v>20477</v>
      </c>
      <c r="H90" s="199">
        <v>20348</v>
      </c>
      <c r="I90" s="199">
        <v>15538</v>
      </c>
      <c r="J90" s="199">
        <v>14947</v>
      </c>
      <c r="K90" s="199">
        <v>14653</v>
      </c>
      <c r="L90" s="199">
        <v>14441</v>
      </c>
      <c r="M90" s="199">
        <v>14300</v>
      </c>
      <c r="N90" s="199">
        <v>14042</v>
      </c>
      <c r="O90" s="199">
        <v>13623</v>
      </c>
      <c r="P90" s="199">
        <v>13272</v>
      </c>
      <c r="Q90" s="199">
        <v>12841</v>
      </c>
      <c r="R90" s="199">
        <v>12138</v>
      </c>
      <c r="S90" s="199">
        <v>11613</v>
      </c>
      <c r="T90" s="199">
        <v>11343</v>
      </c>
      <c r="U90" s="199">
        <v>11072</v>
      </c>
      <c r="V90" s="199">
        <v>10971</v>
      </c>
      <c r="W90" s="199">
        <v>10510</v>
      </c>
      <c r="X90" s="199" t="s">
        <v>175</v>
      </c>
      <c r="Y90" s="199" t="s">
        <v>175</v>
      </c>
      <c r="Z90" s="199" t="s">
        <v>175</v>
      </c>
      <c r="AA90" s="199" t="s">
        <v>175</v>
      </c>
      <c r="AB90" s="199" t="s">
        <v>175</v>
      </c>
      <c r="AC90" s="199" t="s">
        <v>175</v>
      </c>
      <c r="AD90" s="199" t="s">
        <v>175</v>
      </c>
    </row>
    <row r="91" spans="1:30" ht="14.45">
      <c r="A91" s="1" t="s">
        <v>275</v>
      </c>
      <c r="B91" s="6" t="s">
        <v>238</v>
      </c>
      <c r="C91" s="6" t="s">
        <v>239</v>
      </c>
      <c r="D91" s="7">
        <v>4064141</v>
      </c>
      <c r="E91" s="199">
        <v>2335175</v>
      </c>
      <c r="F91" s="199">
        <v>2156690</v>
      </c>
      <c r="G91" s="199">
        <v>1962053</v>
      </c>
      <c r="H91" s="199">
        <v>1817713</v>
      </c>
      <c r="I91" s="199">
        <v>1709168</v>
      </c>
      <c r="J91" s="199">
        <v>1572534</v>
      </c>
      <c r="K91" s="199">
        <v>1518635</v>
      </c>
      <c r="L91" s="199">
        <v>1420915</v>
      </c>
      <c r="M91" s="199">
        <v>1334886</v>
      </c>
      <c r="N91" s="199">
        <v>1246799</v>
      </c>
      <c r="O91" s="199">
        <v>1125854</v>
      </c>
      <c r="P91" s="199">
        <v>1070357</v>
      </c>
      <c r="Q91" s="199">
        <v>1043321</v>
      </c>
      <c r="R91" s="199">
        <v>976924</v>
      </c>
      <c r="S91" s="199">
        <v>858595</v>
      </c>
      <c r="T91" s="199">
        <v>825505</v>
      </c>
      <c r="U91" s="199">
        <v>783179</v>
      </c>
      <c r="V91" s="199">
        <v>743624</v>
      </c>
      <c r="W91" s="199">
        <v>678689</v>
      </c>
      <c r="X91" s="199">
        <v>634518</v>
      </c>
      <c r="Y91" s="199">
        <v>607745</v>
      </c>
      <c r="Z91" s="199">
        <v>591516</v>
      </c>
      <c r="AA91" s="199">
        <v>546731</v>
      </c>
      <c r="AB91" s="199">
        <v>523855</v>
      </c>
      <c r="AC91" s="199">
        <v>499079</v>
      </c>
      <c r="AD91" s="199">
        <v>488174</v>
      </c>
    </row>
  </sheetData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D3876-6340-4CF6-BC3C-E837F64331A7}">
  <dimension ref="A1"/>
  <sheetViews>
    <sheetView workbookViewId="0">
      <selection activeCell="X21" sqref="X21"/>
    </sheetView>
  </sheetViews>
  <sheetFormatPr defaultRowHeight="14.4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F75"/>
  <sheetViews>
    <sheetView zoomScale="75" zoomScaleNormal="75" workbookViewId="0"/>
  </sheetViews>
  <sheetFormatPr defaultRowHeight="14.45"/>
  <cols>
    <col min="2" max="2" width="23.5703125" bestFit="1" customWidth="1"/>
    <col min="3" max="3" width="23.5703125" customWidth="1"/>
  </cols>
  <sheetData>
    <row r="1" spans="1:6">
      <c r="A1" s="20" t="s">
        <v>4</v>
      </c>
      <c r="B1" s="20" t="s">
        <v>357</v>
      </c>
      <c r="C1" s="20"/>
      <c r="F1" t="s">
        <v>358</v>
      </c>
    </row>
    <row r="2" spans="1:6">
      <c r="A2">
        <v>1947</v>
      </c>
      <c r="B2" s="21">
        <v>23.516666666666666</v>
      </c>
      <c r="C2" s="21"/>
    </row>
    <row r="3" spans="1:6">
      <c r="A3">
        <v>1948</v>
      </c>
      <c r="B3" s="21">
        <v>26.033333333333335</v>
      </c>
      <c r="C3" s="21"/>
      <c r="D3">
        <v>1</v>
      </c>
      <c r="F3">
        <f>(SUMPRODUCT(B3:B53,D3:D53)/SUM(D3:D53))/100</f>
        <v>0.91349981146304682</v>
      </c>
    </row>
    <row r="4" spans="1:6">
      <c r="A4">
        <v>1949</v>
      </c>
      <c r="B4" s="21">
        <v>25.525000000000002</v>
      </c>
      <c r="C4" s="21"/>
      <c r="D4">
        <f>D3+1</f>
        <v>2</v>
      </c>
    </row>
    <row r="5" spans="1:6">
      <c r="A5">
        <v>1950</v>
      </c>
      <c r="B5" s="21">
        <v>27.391666666666669</v>
      </c>
      <c r="C5" s="21"/>
      <c r="D5">
        <f t="shared" ref="D5:D14" si="0">D4+1</f>
        <v>3</v>
      </c>
    </row>
    <row r="6" spans="1:6">
      <c r="A6">
        <v>1951</v>
      </c>
      <c r="B6" s="21">
        <v>29.916666666666668</v>
      </c>
      <c r="C6" s="21"/>
      <c r="D6">
        <f t="shared" si="0"/>
        <v>4</v>
      </c>
    </row>
    <row r="7" spans="1:6">
      <c r="A7">
        <v>1952</v>
      </c>
      <c r="B7" s="21">
        <v>29.575000000000003</v>
      </c>
      <c r="C7" s="21"/>
      <c r="D7">
        <f t="shared" si="0"/>
        <v>5</v>
      </c>
    </row>
    <row r="8" spans="1:6">
      <c r="A8">
        <v>1953</v>
      </c>
      <c r="B8" s="21">
        <v>29.983333333333331</v>
      </c>
      <c r="C8" s="21"/>
      <c r="D8">
        <f t="shared" si="0"/>
        <v>6</v>
      </c>
    </row>
    <row r="9" spans="1:6">
      <c r="A9">
        <v>1954</v>
      </c>
      <c r="B9" s="21">
        <v>30.041666666666661</v>
      </c>
      <c r="C9" s="21"/>
      <c r="D9">
        <f t="shared" si="0"/>
        <v>7</v>
      </c>
    </row>
    <row r="10" spans="1:6">
      <c r="A10">
        <v>1955</v>
      </c>
      <c r="B10" s="21">
        <v>31.383333333333336</v>
      </c>
      <c r="C10" s="21"/>
      <c r="D10">
        <f t="shared" si="0"/>
        <v>8</v>
      </c>
    </row>
    <row r="11" spans="1:6">
      <c r="A11">
        <v>1956</v>
      </c>
      <c r="B11" s="21">
        <v>32.674999999999997</v>
      </c>
      <c r="C11" s="21"/>
      <c r="D11">
        <f t="shared" si="0"/>
        <v>9</v>
      </c>
    </row>
    <row r="12" spans="1:6">
      <c r="A12">
        <v>1957</v>
      </c>
      <c r="B12" s="21">
        <v>32.658333333333331</v>
      </c>
      <c r="C12" s="21"/>
      <c r="D12">
        <f t="shared" si="0"/>
        <v>10</v>
      </c>
    </row>
    <row r="13" spans="1:6">
      <c r="A13">
        <v>1958</v>
      </c>
      <c r="B13" s="21">
        <v>32.633333333333333</v>
      </c>
      <c r="C13" s="21"/>
      <c r="D13">
        <f t="shared" si="0"/>
        <v>11</v>
      </c>
    </row>
    <row r="14" spans="1:6">
      <c r="A14">
        <v>1959</v>
      </c>
      <c r="B14" s="21">
        <v>33.658333333333331</v>
      </c>
      <c r="C14" s="21"/>
      <c r="D14">
        <f t="shared" si="0"/>
        <v>12</v>
      </c>
    </row>
    <row r="15" spans="1:6">
      <c r="A15">
        <v>1960</v>
      </c>
      <c r="B15" s="21">
        <v>33.158333333333339</v>
      </c>
      <c r="C15" s="21"/>
      <c r="D15">
        <f>D14+1</f>
        <v>13</v>
      </c>
    </row>
    <row r="16" spans="1:6">
      <c r="A16">
        <v>1961</v>
      </c>
      <c r="B16" s="21">
        <v>32.524999999999991</v>
      </c>
      <c r="C16" s="21"/>
      <c r="D16">
        <f>D15+1</f>
        <v>14</v>
      </c>
    </row>
    <row r="17" spans="1:4">
      <c r="A17">
        <v>1962</v>
      </c>
      <c r="B17" s="21">
        <v>32.458333333333329</v>
      </c>
      <c r="C17" s="21"/>
      <c r="D17">
        <f>D16+1</f>
        <v>15</v>
      </c>
    </row>
    <row r="18" spans="1:4">
      <c r="A18">
        <v>1963</v>
      </c>
      <c r="B18" s="21">
        <v>32.508333333333333</v>
      </c>
      <c r="C18" s="21"/>
      <c r="D18">
        <f>D17+1</f>
        <v>16</v>
      </c>
    </row>
    <row r="19" spans="1:4">
      <c r="A19">
        <v>1964</v>
      </c>
      <c r="B19" s="21">
        <v>32.849999999999994</v>
      </c>
      <c r="C19" s="21"/>
      <c r="D19">
        <f t="shared" ref="D19:D53" si="1">D18+1</f>
        <v>17</v>
      </c>
    </row>
    <row r="20" spans="1:4">
      <c r="A20">
        <v>1965</v>
      </c>
      <c r="B20" s="21">
        <v>33.249999999999993</v>
      </c>
      <c r="C20" s="21"/>
      <c r="D20">
        <f t="shared" si="1"/>
        <v>18</v>
      </c>
    </row>
    <row r="21" spans="1:4">
      <c r="A21">
        <v>1966</v>
      </c>
      <c r="B21" s="21">
        <v>34.300000000000004</v>
      </c>
      <c r="C21" s="21"/>
      <c r="D21">
        <f t="shared" si="1"/>
        <v>19</v>
      </c>
    </row>
    <row r="22" spans="1:4">
      <c r="A22">
        <v>1967</v>
      </c>
      <c r="B22" s="21">
        <v>34.708333333333336</v>
      </c>
      <c r="C22" s="21"/>
      <c r="D22">
        <f t="shared" si="1"/>
        <v>20</v>
      </c>
    </row>
    <row r="23" spans="1:4">
      <c r="A23">
        <v>1968</v>
      </c>
      <c r="B23" s="21">
        <v>36.675000000000004</v>
      </c>
      <c r="C23" s="21"/>
      <c r="D23">
        <f t="shared" si="1"/>
        <v>21</v>
      </c>
    </row>
    <row r="24" spans="1:4">
      <c r="A24">
        <v>1969</v>
      </c>
      <c r="B24" s="21">
        <v>38.741666666666667</v>
      </c>
      <c r="C24" s="21"/>
      <c r="D24">
        <f t="shared" si="1"/>
        <v>22</v>
      </c>
    </row>
    <row r="25" spans="1:4">
      <c r="A25">
        <v>1970</v>
      </c>
      <c r="B25" s="21">
        <v>39.033333333333331</v>
      </c>
      <c r="C25" s="21"/>
      <c r="D25">
        <f t="shared" si="1"/>
        <v>23</v>
      </c>
    </row>
    <row r="26" spans="1:4">
      <c r="A26">
        <v>1971</v>
      </c>
      <c r="B26" s="21">
        <v>41.508333333333326</v>
      </c>
      <c r="C26" s="21"/>
      <c r="D26">
        <f t="shared" si="1"/>
        <v>24</v>
      </c>
    </row>
    <row r="27" spans="1:4">
      <c r="A27">
        <v>1972</v>
      </c>
      <c r="B27" s="21">
        <v>43.949999999999996</v>
      </c>
      <c r="C27" s="21"/>
      <c r="D27">
        <f t="shared" si="1"/>
        <v>25</v>
      </c>
    </row>
    <row r="28" spans="1:4">
      <c r="A28">
        <v>1973</v>
      </c>
      <c r="B28" s="21">
        <v>48.05833333333333</v>
      </c>
      <c r="C28" s="21"/>
      <c r="D28">
        <f t="shared" si="1"/>
        <v>26</v>
      </c>
    </row>
    <row r="29" spans="1:4">
      <c r="A29">
        <v>1974</v>
      </c>
      <c r="B29" s="21">
        <v>55.841666666666669</v>
      </c>
      <c r="C29" s="21"/>
      <c r="D29">
        <f t="shared" si="1"/>
        <v>27</v>
      </c>
    </row>
    <row r="30" spans="1:4">
      <c r="A30">
        <v>1975</v>
      </c>
      <c r="B30" s="21">
        <v>60.416666666666679</v>
      </c>
      <c r="C30" s="21"/>
      <c r="D30">
        <f t="shared" si="1"/>
        <v>28</v>
      </c>
    </row>
    <row r="31" spans="1:4">
      <c r="A31">
        <v>1976</v>
      </c>
      <c r="B31" s="21">
        <v>65.208333333333329</v>
      </c>
      <c r="C31" s="21"/>
      <c r="D31">
        <f t="shared" si="1"/>
        <v>29</v>
      </c>
    </row>
    <row r="32" spans="1:4">
      <c r="A32">
        <v>1977</v>
      </c>
      <c r="B32" s="21">
        <v>71.05</v>
      </c>
      <c r="C32" s="21"/>
      <c r="D32">
        <f t="shared" si="1"/>
        <v>30</v>
      </c>
    </row>
    <row r="33" spans="1:4">
      <c r="A33">
        <v>1978</v>
      </c>
      <c r="B33" s="21">
        <v>79.249999999999986</v>
      </c>
      <c r="C33" s="21"/>
      <c r="D33">
        <f t="shared" si="1"/>
        <v>31</v>
      </c>
    </row>
    <row r="34" spans="1:4">
      <c r="A34">
        <v>1979</v>
      </c>
      <c r="B34" s="21">
        <v>87.283333333333346</v>
      </c>
      <c r="C34" s="21"/>
      <c r="D34">
        <f t="shared" si="1"/>
        <v>32</v>
      </c>
    </row>
    <row r="35" spans="1:4">
      <c r="A35">
        <v>1980</v>
      </c>
      <c r="B35" s="21">
        <v>92.5</v>
      </c>
      <c r="C35" s="21"/>
      <c r="D35">
        <f t="shared" si="1"/>
        <v>33</v>
      </c>
    </row>
    <row r="36" spans="1:4">
      <c r="A36">
        <v>1981</v>
      </c>
      <c r="B36" s="21">
        <v>98.241666666666674</v>
      </c>
      <c r="C36" s="21"/>
      <c r="D36">
        <f t="shared" si="1"/>
        <v>34</v>
      </c>
    </row>
    <row r="37" spans="1:4">
      <c r="A37">
        <v>1982</v>
      </c>
      <c r="B37" s="21">
        <v>100.00833333333334</v>
      </c>
      <c r="C37" s="21"/>
      <c r="D37">
        <f t="shared" si="1"/>
        <v>35</v>
      </c>
    </row>
    <row r="38" spans="1:4">
      <c r="A38">
        <v>1983</v>
      </c>
      <c r="B38" s="21">
        <v>103.35833333333333</v>
      </c>
      <c r="C38" s="21"/>
      <c r="D38">
        <f t="shared" si="1"/>
        <v>36</v>
      </c>
    </row>
    <row r="39" spans="1:4">
      <c r="A39">
        <v>1984</v>
      </c>
      <c r="B39" s="21">
        <v>106.38333333333331</v>
      </c>
      <c r="C39" s="21"/>
      <c r="D39">
        <f t="shared" si="1"/>
        <v>37</v>
      </c>
    </row>
    <row r="40" spans="1:4">
      <c r="A40">
        <v>1985</v>
      </c>
      <c r="B40" s="21">
        <v>107.55833333333332</v>
      </c>
      <c r="C40" s="21"/>
      <c r="D40">
        <f t="shared" si="1"/>
        <v>38</v>
      </c>
    </row>
    <row r="41" spans="1:4">
      <c r="A41">
        <v>1986</v>
      </c>
      <c r="B41" s="21">
        <v>107.34166666666665</v>
      </c>
      <c r="C41" s="21"/>
      <c r="D41">
        <f t="shared" si="1"/>
        <v>39</v>
      </c>
    </row>
    <row r="42" spans="1:4">
      <c r="A42">
        <v>1987</v>
      </c>
      <c r="B42" s="21">
        <v>109.54166666666669</v>
      </c>
      <c r="C42" s="21"/>
      <c r="D42">
        <f t="shared" si="1"/>
        <v>40</v>
      </c>
    </row>
    <row r="43" spans="1:4">
      <c r="A43">
        <v>1988</v>
      </c>
      <c r="B43" s="21">
        <v>115.65833333333332</v>
      </c>
      <c r="C43" s="21"/>
      <c r="D43">
        <f t="shared" si="1"/>
        <v>41</v>
      </c>
    </row>
    <row r="44" spans="1:4">
      <c r="A44">
        <v>1989</v>
      </c>
      <c r="B44" s="21">
        <v>119.47500000000001</v>
      </c>
      <c r="C44" s="21"/>
      <c r="D44">
        <f t="shared" si="1"/>
        <v>42</v>
      </c>
    </row>
    <row r="45" spans="1:4">
      <c r="A45">
        <v>1990</v>
      </c>
      <c r="B45" s="21">
        <v>119.61666666666667</v>
      </c>
      <c r="C45" s="21"/>
      <c r="D45">
        <f t="shared" si="1"/>
        <v>43</v>
      </c>
    </row>
    <row r="46" spans="1:4">
      <c r="A46">
        <v>1991</v>
      </c>
      <c r="B46" s="21">
        <v>120.38333333333333</v>
      </c>
      <c r="C46" s="21"/>
      <c r="D46">
        <f t="shared" si="1"/>
        <v>44</v>
      </c>
    </row>
    <row r="47" spans="1:4">
      <c r="A47">
        <v>1992</v>
      </c>
      <c r="B47" s="21">
        <v>122.50833333333333</v>
      </c>
      <c r="C47" s="21"/>
      <c r="D47">
        <f t="shared" si="1"/>
        <v>45</v>
      </c>
    </row>
    <row r="48" spans="1:4">
      <c r="A48">
        <v>1993</v>
      </c>
      <c r="B48" s="21">
        <v>128.6</v>
      </c>
      <c r="C48" s="21"/>
      <c r="D48">
        <f t="shared" si="1"/>
        <v>46</v>
      </c>
    </row>
    <row r="49" spans="1:4">
      <c r="A49">
        <v>1994</v>
      </c>
      <c r="B49" s="21">
        <v>133.85</v>
      </c>
      <c r="C49" s="21"/>
      <c r="D49">
        <f t="shared" si="1"/>
        <v>47</v>
      </c>
    </row>
    <row r="50" spans="1:4">
      <c r="A50">
        <v>1995</v>
      </c>
      <c r="B50" s="21">
        <v>138.84166666666667</v>
      </c>
      <c r="C50" s="21"/>
      <c r="D50">
        <f t="shared" si="1"/>
        <v>48</v>
      </c>
    </row>
    <row r="51" spans="1:4">
      <c r="A51">
        <v>1996</v>
      </c>
      <c r="B51" s="21">
        <v>139.63333333333335</v>
      </c>
      <c r="C51" s="21"/>
      <c r="D51">
        <f t="shared" si="1"/>
        <v>49</v>
      </c>
    </row>
    <row r="52" spans="1:4">
      <c r="A52">
        <v>1997</v>
      </c>
      <c r="B52" s="21">
        <v>142.07499999999999</v>
      </c>
      <c r="C52" s="21"/>
      <c r="D52">
        <f t="shared" si="1"/>
        <v>50</v>
      </c>
    </row>
    <row r="53" spans="1:4">
      <c r="A53">
        <v>1998</v>
      </c>
      <c r="B53" s="21">
        <v>141.38333333333333</v>
      </c>
      <c r="C53" s="21"/>
      <c r="D53">
        <f t="shared" si="1"/>
        <v>51</v>
      </c>
    </row>
    <row r="54" spans="1:4">
      <c r="A54">
        <v>1999</v>
      </c>
      <c r="B54" s="21">
        <v>142.75833333333335</v>
      </c>
      <c r="C54" s="21"/>
    </row>
    <row r="55" spans="1:4">
      <c r="A55">
        <v>2000</v>
      </c>
      <c r="B55" s="21">
        <v>144.14166666666668</v>
      </c>
      <c r="C55" s="21"/>
    </row>
    <row r="56" spans="1:4">
      <c r="A56">
        <v>2001</v>
      </c>
      <c r="B56" s="21">
        <v>142.79999999999998</v>
      </c>
      <c r="C56" s="21"/>
    </row>
    <row r="57" spans="1:4">
      <c r="A57">
        <v>2002</v>
      </c>
      <c r="B57" s="21">
        <v>144.00833333333333</v>
      </c>
      <c r="C57" s="21"/>
    </row>
    <row r="58" spans="1:4">
      <c r="A58">
        <v>2003</v>
      </c>
      <c r="B58" s="21">
        <v>147.10833333333332</v>
      </c>
      <c r="C58" s="21"/>
    </row>
    <row r="59" spans="1:4">
      <c r="A59">
        <v>2004</v>
      </c>
      <c r="B59" s="21">
        <v>161.47500000000002</v>
      </c>
      <c r="C59" s="21"/>
    </row>
    <row r="60" spans="1:4">
      <c r="A60">
        <v>2005</v>
      </c>
      <c r="B60" s="21">
        <v>169.55833333333337</v>
      </c>
      <c r="C60" s="21"/>
    </row>
    <row r="61" spans="1:4">
      <c r="A61">
        <v>2006</v>
      </c>
      <c r="B61" s="21">
        <v>180.24166666666665</v>
      </c>
      <c r="C61" s="21"/>
    </row>
    <row r="62" spans="1:4">
      <c r="A62">
        <v>2007</v>
      </c>
      <c r="B62" s="21">
        <v>183.17500000000004</v>
      </c>
      <c r="C62" s="21"/>
    </row>
    <row r="63" spans="1:4">
      <c r="A63">
        <v>2008</v>
      </c>
      <c r="B63" s="21">
        <v>196.44166666666669</v>
      </c>
      <c r="C63" s="21"/>
    </row>
    <row r="64" spans="1:4">
      <c r="A64">
        <v>2009</v>
      </c>
      <c r="B64" s="21">
        <v>189.17499999999998</v>
      </c>
      <c r="C64" s="21"/>
    </row>
    <row r="65" spans="1:3">
      <c r="A65">
        <v>2010</v>
      </c>
      <c r="B65" s="21">
        <v>194.49999999999997</v>
      </c>
      <c r="C65" s="21"/>
    </row>
    <row r="66" spans="1:3">
      <c r="A66">
        <v>2011</v>
      </c>
      <c r="B66" s="21">
        <v>201.125</v>
      </c>
      <c r="C66" s="21"/>
    </row>
    <row r="67" spans="1:3">
      <c r="A67">
        <v>2012</v>
      </c>
      <c r="B67" s="21">
        <v>205.82499999999996</v>
      </c>
      <c r="C67" s="21"/>
    </row>
    <row r="68" spans="1:3">
      <c r="A68">
        <v>2013</v>
      </c>
      <c r="B68" s="21">
        <v>209.27500000000006</v>
      </c>
      <c r="C68" s="21"/>
    </row>
    <row r="69" spans="1:3">
      <c r="A69">
        <v>2014</v>
      </c>
      <c r="B69" s="21">
        <v>214.45000000000002</v>
      </c>
      <c r="C69" s="21"/>
    </row>
    <row r="70" spans="1:3">
      <c r="A70">
        <v>2015</v>
      </c>
      <c r="B70" s="21">
        <v>213.54166666666666</v>
      </c>
      <c r="C70" s="21"/>
    </row>
    <row r="71" spans="1:3">
      <c r="A71">
        <v>2016</v>
      </c>
      <c r="B71" s="21">
        <v>213.89166666666665</v>
      </c>
      <c r="C71" s="21"/>
    </row>
    <row r="72" spans="1:3">
      <c r="A72">
        <v>2017</v>
      </c>
      <c r="B72" s="21">
        <v>221.64166666666668</v>
      </c>
      <c r="C72" s="21"/>
    </row>
    <row r="73" spans="1:3">
      <c r="A73">
        <v>2018</v>
      </c>
      <c r="B73" s="21">
        <v>235.75</v>
      </c>
      <c r="C73" s="21"/>
    </row>
    <row r="74" spans="1:3">
      <c r="A74">
        <v>2019</v>
      </c>
      <c r="B74" s="21">
        <v>235.72500000000002</v>
      </c>
      <c r="C74" s="21"/>
    </row>
    <row r="75" spans="1:3">
      <c r="A75">
        <v>2020</v>
      </c>
      <c r="B75" s="21">
        <v>234.5</v>
      </c>
      <c r="C75" s="2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CR35"/>
  <sheetViews>
    <sheetView zoomScale="75" zoomScaleNormal="75" workbookViewId="0">
      <selection activeCell="A9" sqref="A9"/>
    </sheetView>
  </sheetViews>
  <sheetFormatPr defaultRowHeight="14.45"/>
  <cols>
    <col min="1" max="1" width="5.7109375" customWidth="1"/>
    <col min="2" max="2" width="50.7109375" customWidth="1"/>
    <col min="3" max="3" width="10.7109375" customWidth="1"/>
  </cols>
  <sheetData>
    <row r="1" spans="1:96">
      <c r="A1" t="s">
        <v>359</v>
      </c>
    </row>
    <row r="2" spans="1:96">
      <c r="A2" t="s">
        <v>360</v>
      </c>
    </row>
    <row r="3" spans="1:96">
      <c r="A3" t="s">
        <v>361</v>
      </c>
    </row>
    <row r="4" spans="1:96">
      <c r="A4" t="s">
        <v>362</v>
      </c>
    </row>
    <row r="5" spans="1:96">
      <c r="A5" t="s">
        <v>363</v>
      </c>
    </row>
    <row r="6" spans="1:96">
      <c r="A6" t="s">
        <v>364</v>
      </c>
    </row>
    <row r="8" spans="1:96">
      <c r="A8" t="s">
        <v>365</v>
      </c>
      <c r="D8">
        <v>1929</v>
      </c>
      <c r="E8">
        <v>1930</v>
      </c>
      <c r="F8">
        <v>1931</v>
      </c>
      <c r="G8">
        <v>1932</v>
      </c>
      <c r="H8">
        <v>1933</v>
      </c>
      <c r="I8">
        <v>1934</v>
      </c>
      <c r="J8">
        <v>1935</v>
      </c>
      <c r="K8">
        <v>1936</v>
      </c>
      <c r="L8">
        <v>1937</v>
      </c>
      <c r="M8">
        <v>1938</v>
      </c>
      <c r="N8">
        <v>1939</v>
      </c>
      <c r="O8">
        <v>1940</v>
      </c>
      <c r="P8">
        <v>1941</v>
      </c>
      <c r="Q8">
        <v>1942</v>
      </c>
      <c r="R8">
        <v>1943</v>
      </c>
      <c r="S8">
        <v>1944</v>
      </c>
      <c r="T8">
        <v>1945</v>
      </c>
      <c r="U8">
        <v>1946</v>
      </c>
      <c r="V8">
        <v>1947</v>
      </c>
      <c r="W8">
        <v>1948</v>
      </c>
      <c r="X8">
        <v>1949</v>
      </c>
      <c r="Y8">
        <v>1950</v>
      </c>
      <c r="Z8">
        <v>1951</v>
      </c>
      <c r="AA8">
        <v>1952</v>
      </c>
      <c r="AB8">
        <v>1953</v>
      </c>
      <c r="AC8">
        <v>1954</v>
      </c>
      <c r="AD8">
        <v>1955</v>
      </c>
      <c r="AE8">
        <v>1956</v>
      </c>
      <c r="AF8">
        <v>1957</v>
      </c>
      <c r="AG8">
        <v>1958</v>
      </c>
      <c r="AH8">
        <v>1959</v>
      </c>
      <c r="AI8">
        <v>1960</v>
      </c>
      <c r="AJ8">
        <v>1961</v>
      </c>
      <c r="AK8">
        <v>1962</v>
      </c>
      <c r="AL8">
        <v>1963</v>
      </c>
      <c r="AM8">
        <v>1964</v>
      </c>
      <c r="AN8">
        <v>1965</v>
      </c>
      <c r="AO8">
        <v>1966</v>
      </c>
      <c r="AP8">
        <v>1967</v>
      </c>
      <c r="AQ8">
        <v>1968</v>
      </c>
      <c r="AR8">
        <v>1969</v>
      </c>
      <c r="AS8">
        <v>1970</v>
      </c>
      <c r="AT8">
        <v>1971</v>
      </c>
      <c r="AU8">
        <v>1972</v>
      </c>
      <c r="AV8">
        <v>1973</v>
      </c>
      <c r="AW8">
        <v>1974</v>
      </c>
      <c r="AX8">
        <v>1975</v>
      </c>
      <c r="AY8">
        <v>1976</v>
      </c>
      <c r="AZ8">
        <v>1977</v>
      </c>
      <c r="BA8">
        <v>1978</v>
      </c>
      <c r="BB8">
        <v>1979</v>
      </c>
      <c r="BC8">
        <v>1980</v>
      </c>
      <c r="BD8">
        <v>1981</v>
      </c>
      <c r="BE8">
        <v>1982</v>
      </c>
      <c r="BF8">
        <v>1983</v>
      </c>
      <c r="BG8">
        <v>1984</v>
      </c>
      <c r="BH8">
        <v>1985</v>
      </c>
      <c r="BI8">
        <v>1986</v>
      </c>
      <c r="BJ8">
        <v>1987</v>
      </c>
      <c r="BK8">
        <v>1988</v>
      </c>
      <c r="BL8">
        <v>1989</v>
      </c>
      <c r="BM8">
        <v>1990</v>
      </c>
      <c r="BN8">
        <v>1991</v>
      </c>
      <c r="BO8">
        <v>1992</v>
      </c>
      <c r="BP8">
        <v>1993</v>
      </c>
      <c r="BQ8">
        <v>1994</v>
      </c>
      <c r="BR8">
        <v>1995</v>
      </c>
      <c r="BS8">
        <v>1996</v>
      </c>
      <c r="BT8">
        <v>1997</v>
      </c>
      <c r="BU8">
        <v>1998</v>
      </c>
      <c r="BV8">
        <v>1999</v>
      </c>
      <c r="BW8">
        <v>2000</v>
      </c>
      <c r="BX8">
        <v>2001</v>
      </c>
      <c r="BY8">
        <v>2002</v>
      </c>
      <c r="BZ8">
        <v>2003</v>
      </c>
      <c r="CA8">
        <v>2004</v>
      </c>
      <c r="CB8">
        <v>2005</v>
      </c>
      <c r="CC8">
        <v>2006</v>
      </c>
      <c r="CD8">
        <v>2007</v>
      </c>
      <c r="CE8">
        <v>2008</v>
      </c>
      <c r="CF8">
        <v>2009</v>
      </c>
      <c r="CG8">
        <v>2010</v>
      </c>
      <c r="CH8">
        <v>2011</v>
      </c>
      <c r="CI8">
        <v>2012</v>
      </c>
      <c r="CJ8">
        <v>2013</v>
      </c>
      <c r="CK8">
        <v>2014</v>
      </c>
      <c r="CL8">
        <v>2015</v>
      </c>
      <c r="CM8">
        <v>2016</v>
      </c>
      <c r="CN8">
        <v>2017</v>
      </c>
      <c r="CO8">
        <v>2018</v>
      </c>
      <c r="CP8">
        <v>2019</v>
      </c>
      <c r="CQ8">
        <v>2020</v>
      </c>
      <c r="CR8">
        <v>2021</v>
      </c>
    </row>
    <row r="9" spans="1:96">
      <c r="A9" t="s">
        <v>366</v>
      </c>
      <c r="B9" t="s">
        <v>367</v>
      </c>
      <c r="C9" t="s">
        <v>368</v>
      </c>
      <c r="D9" s="22">
        <v>9.3970000000000002</v>
      </c>
      <c r="E9" s="22">
        <v>9.0340000000000007</v>
      </c>
      <c r="F9" s="22">
        <v>8.141</v>
      </c>
      <c r="G9" s="22">
        <v>7.2140000000000004</v>
      </c>
      <c r="H9" s="22">
        <v>7.0190000000000001</v>
      </c>
      <c r="I9" s="22">
        <v>7.36</v>
      </c>
      <c r="J9" s="22">
        <v>7.508</v>
      </c>
      <c r="K9" s="22">
        <v>7.6020000000000003</v>
      </c>
      <c r="L9" s="22">
        <v>7.8789999999999996</v>
      </c>
      <c r="M9" s="22">
        <v>7.734</v>
      </c>
      <c r="N9" s="22">
        <v>7.6369999999999996</v>
      </c>
      <c r="O9" s="22">
        <v>7.7060000000000004</v>
      </c>
      <c r="P9" s="22">
        <v>8.2110000000000003</v>
      </c>
      <c r="Q9" s="22">
        <v>8.8949999999999996</v>
      </c>
      <c r="R9" s="22">
        <v>9.32</v>
      </c>
      <c r="S9" s="22">
        <v>9.5429999999999993</v>
      </c>
      <c r="T9" s="22">
        <v>9.7810000000000006</v>
      </c>
      <c r="U9" s="22">
        <v>11.012</v>
      </c>
      <c r="V9" s="22">
        <v>12.25</v>
      </c>
      <c r="W9" s="22">
        <v>12.946</v>
      </c>
      <c r="X9" s="22">
        <v>12.942</v>
      </c>
      <c r="Y9" s="22">
        <v>13.064</v>
      </c>
      <c r="Z9" s="22">
        <v>13.95</v>
      </c>
      <c r="AA9" s="22">
        <v>14.254</v>
      </c>
      <c r="AB9" s="22">
        <v>14.436</v>
      </c>
      <c r="AC9" s="22">
        <v>14.583</v>
      </c>
      <c r="AD9" s="22">
        <v>14.79</v>
      </c>
      <c r="AE9" s="22">
        <v>15.295999999999999</v>
      </c>
      <c r="AF9" s="22">
        <v>15.831</v>
      </c>
      <c r="AG9" s="22">
        <v>16.199000000000002</v>
      </c>
      <c r="AH9" s="22">
        <v>16.411999999999999</v>
      </c>
      <c r="AI9" s="22">
        <v>16.637</v>
      </c>
      <c r="AJ9" s="22">
        <v>16.814</v>
      </c>
      <c r="AK9" s="22">
        <v>17.018999999999998</v>
      </c>
      <c r="AL9" s="22">
        <v>17.213999999999999</v>
      </c>
      <c r="AM9" s="22">
        <v>17.475999999999999</v>
      </c>
      <c r="AN9" s="22">
        <v>17.795999999999999</v>
      </c>
      <c r="AO9" s="22">
        <v>18.295000000000002</v>
      </c>
      <c r="AP9" s="22">
        <v>18.824999999999999</v>
      </c>
      <c r="AQ9" s="22">
        <v>19.626999999999999</v>
      </c>
      <c r="AR9" s="22">
        <v>20.59</v>
      </c>
      <c r="AS9" s="22">
        <v>21.675999999999998</v>
      </c>
      <c r="AT9" s="22">
        <v>22.776</v>
      </c>
      <c r="AU9" s="22">
        <v>23.76</v>
      </c>
      <c r="AV9" s="22">
        <v>25.061</v>
      </c>
      <c r="AW9" s="22">
        <v>27.309000000000001</v>
      </c>
      <c r="AX9" s="22">
        <v>29.846</v>
      </c>
      <c r="AY9" s="22">
        <v>31.49</v>
      </c>
      <c r="AZ9" s="22">
        <v>33.445</v>
      </c>
      <c r="BA9" s="22">
        <v>35.798000000000002</v>
      </c>
      <c r="BB9" s="22">
        <v>38.765999999999998</v>
      </c>
      <c r="BC9" s="22">
        <v>42.277999999999999</v>
      </c>
      <c r="BD9" s="22">
        <v>46.268999999999998</v>
      </c>
      <c r="BE9" s="22">
        <v>49.13</v>
      </c>
      <c r="BF9" s="22">
        <v>51.051000000000002</v>
      </c>
      <c r="BG9" s="22">
        <v>52.893999999999998</v>
      </c>
      <c r="BH9" s="22">
        <v>54.567999999999998</v>
      </c>
      <c r="BI9" s="22">
        <v>55.673000000000002</v>
      </c>
      <c r="BJ9" s="22">
        <v>57.040999999999997</v>
      </c>
      <c r="BK9" s="22">
        <v>59.055</v>
      </c>
      <c r="BL9" s="22">
        <v>61.37</v>
      </c>
      <c r="BM9" s="22">
        <v>63.676000000000002</v>
      </c>
      <c r="BN9" s="22">
        <v>65.819000000000003</v>
      </c>
      <c r="BO9" s="22">
        <v>67.320999999999998</v>
      </c>
      <c r="BP9" s="22">
        <v>68.917000000000002</v>
      </c>
      <c r="BQ9" s="22">
        <v>70.385999999999996</v>
      </c>
      <c r="BR9" s="22">
        <v>71.864000000000004</v>
      </c>
      <c r="BS9" s="22">
        <v>73.177999999999997</v>
      </c>
      <c r="BT9" s="22">
        <v>74.445999999999998</v>
      </c>
      <c r="BU9" s="22">
        <v>75.266999999999996</v>
      </c>
      <c r="BV9" s="22">
        <v>76.346000000000004</v>
      </c>
      <c r="BW9" s="22">
        <v>78.069000000000003</v>
      </c>
      <c r="BX9" s="22">
        <v>79.822000000000003</v>
      </c>
      <c r="BY9" s="22">
        <v>81.039000000000001</v>
      </c>
      <c r="BZ9" s="22">
        <v>82.566999999999993</v>
      </c>
      <c r="CA9" s="22">
        <v>84.778000000000006</v>
      </c>
      <c r="CB9" s="22">
        <v>87.406999999999996</v>
      </c>
      <c r="CC9" s="22">
        <v>90.073999999999998</v>
      </c>
      <c r="CD9" s="22">
        <v>92.498000000000005</v>
      </c>
      <c r="CE9" s="22">
        <v>94.263999999999996</v>
      </c>
      <c r="CF9" s="22">
        <v>94.998999999999995</v>
      </c>
      <c r="CG9" s="22">
        <v>96.108999999999995</v>
      </c>
      <c r="CH9" s="22">
        <v>98.111999999999995</v>
      </c>
      <c r="CI9" s="22">
        <v>100</v>
      </c>
      <c r="CJ9" s="22">
        <v>101.773</v>
      </c>
      <c r="CK9" s="22">
        <v>103.64700000000001</v>
      </c>
      <c r="CL9" s="22">
        <v>104.639</v>
      </c>
      <c r="CM9" s="22">
        <v>105.736</v>
      </c>
      <c r="CN9" s="22">
        <v>107.751</v>
      </c>
      <c r="CO9" s="22">
        <v>110.322</v>
      </c>
      <c r="CP9" s="22">
        <v>112.318</v>
      </c>
      <c r="CQ9" s="22">
        <v>113.623</v>
      </c>
      <c r="CR9" s="22">
        <v>118.49</v>
      </c>
    </row>
    <row r="10" spans="1:96">
      <c r="D10" s="22"/>
      <c r="E10" s="47">
        <f>E9/D9-1</f>
        <v>-3.8629349792486889E-2</v>
      </c>
      <c r="F10" s="47">
        <f t="shared" ref="F10:BQ10" si="0">F9/E9-1</f>
        <v>-9.8848793446978167E-2</v>
      </c>
      <c r="G10" s="47">
        <f t="shared" si="0"/>
        <v>-0.11386807517503983</v>
      </c>
      <c r="H10" s="47">
        <f t="shared" si="0"/>
        <v>-2.7030773495980043E-2</v>
      </c>
      <c r="I10" s="47">
        <f t="shared" si="0"/>
        <v>4.8582419148026856E-2</v>
      </c>
      <c r="J10" s="47">
        <f t="shared" si="0"/>
        <v>2.010869565217388E-2</v>
      </c>
      <c r="K10" s="47">
        <f t="shared" si="0"/>
        <v>1.2519978689397915E-2</v>
      </c>
      <c r="L10" s="47">
        <f t="shared" si="0"/>
        <v>3.643777953170213E-2</v>
      </c>
      <c r="M10" s="47">
        <f t="shared" si="0"/>
        <v>-1.8403350679020103E-2</v>
      </c>
      <c r="N10" s="47">
        <f t="shared" si="0"/>
        <v>-1.2542022239462214E-2</v>
      </c>
      <c r="O10" s="47">
        <f t="shared" si="0"/>
        <v>9.03496137226667E-3</v>
      </c>
      <c r="P10" s="47">
        <f t="shared" si="0"/>
        <v>6.5533350635868182E-2</v>
      </c>
      <c r="Q10" s="47">
        <f t="shared" si="0"/>
        <v>8.3302886371940055E-2</v>
      </c>
      <c r="R10" s="47">
        <f t="shared" si="0"/>
        <v>4.7779651489600949E-2</v>
      </c>
      <c r="S10" s="47">
        <f t="shared" si="0"/>
        <v>2.3927038626609276E-2</v>
      </c>
      <c r="T10" s="47">
        <f t="shared" si="0"/>
        <v>2.4939746410981956E-2</v>
      </c>
      <c r="U10" s="47">
        <f t="shared" si="0"/>
        <v>0.12585625191698191</v>
      </c>
      <c r="V10" s="47">
        <f t="shared" si="0"/>
        <v>0.11242281147838717</v>
      </c>
      <c r="W10" s="47">
        <f t="shared" si="0"/>
        <v>5.6816326530612304E-2</v>
      </c>
      <c r="X10" s="47">
        <f t="shared" si="0"/>
        <v>-3.0897574540400541E-4</v>
      </c>
      <c r="Y10" s="47">
        <f t="shared" si="0"/>
        <v>9.4266728480913997E-3</v>
      </c>
      <c r="Z10" s="47">
        <f t="shared" si="0"/>
        <v>6.7819963257807592E-2</v>
      </c>
      <c r="AA10" s="47">
        <f t="shared" si="0"/>
        <v>2.1792114695340592E-2</v>
      </c>
      <c r="AB10" s="47">
        <f t="shared" si="0"/>
        <v>1.2768345727515173E-2</v>
      </c>
      <c r="AC10" s="47">
        <f t="shared" si="0"/>
        <v>1.0182876142975861E-2</v>
      </c>
      <c r="AD10" s="47">
        <f t="shared" si="0"/>
        <v>1.4194610162517884E-2</v>
      </c>
      <c r="AE10" s="47">
        <f t="shared" si="0"/>
        <v>3.4212305611899918E-2</v>
      </c>
      <c r="AF10" s="47">
        <f t="shared" si="0"/>
        <v>3.4976464435146459E-2</v>
      </c>
      <c r="AG10" s="47">
        <f t="shared" si="0"/>
        <v>2.3245530920346313E-2</v>
      </c>
      <c r="AH10" s="47">
        <f t="shared" si="0"/>
        <v>1.3148959812333993E-2</v>
      </c>
      <c r="AI10" s="47">
        <f t="shared" si="0"/>
        <v>1.3709480867657886E-2</v>
      </c>
      <c r="AJ10" s="47">
        <f t="shared" si="0"/>
        <v>1.0638937308409036E-2</v>
      </c>
      <c r="AK10" s="47">
        <f t="shared" si="0"/>
        <v>1.2192220768407092E-2</v>
      </c>
      <c r="AL10" s="47">
        <f t="shared" si="0"/>
        <v>1.1457782478406564E-2</v>
      </c>
      <c r="AM10" s="47">
        <f t="shared" si="0"/>
        <v>1.5220169629371449E-2</v>
      </c>
      <c r="AN10" s="47">
        <f t="shared" si="0"/>
        <v>1.8310826276035641E-2</v>
      </c>
      <c r="AO10" s="47">
        <f t="shared" si="0"/>
        <v>2.8040008990784626E-2</v>
      </c>
      <c r="AP10" s="47">
        <f t="shared" si="0"/>
        <v>2.8969663842579818E-2</v>
      </c>
      <c r="AQ10" s="47">
        <f t="shared" si="0"/>
        <v>4.2602921646746283E-2</v>
      </c>
      <c r="AR10" s="47">
        <f t="shared" si="0"/>
        <v>4.9065063433026079E-2</v>
      </c>
      <c r="AS10" s="47">
        <f t="shared" si="0"/>
        <v>5.274405050995612E-2</v>
      </c>
      <c r="AT10" s="47">
        <f t="shared" si="0"/>
        <v>5.0747370363535715E-2</v>
      </c>
      <c r="AU10" s="47">
        <f t="shared" si="0"/>
        <v>4.3203371970495397E-2</v>
      </c>
      <c r="AV10" s="47">
        <f t="shared" si="0"/>
        <v>5.4755892255892169E-2</v>
      </c>
      <c r="AW10" s="47">
        <f t="shared" si="0"/>
        <v>8.9701129244643019E-2</v>
      </c>
      <c r="AX10" s="47">
        <f t="shared" si="0"/>
        <v>9.2899776630414932E-2</v>
      </c>
      <c r="AY10" s="47">
        <f t="shared" si="0"/>
        <v>5.5082758158547129E-2</v>
      </c>
      <c r="AZ10" s="47">
        <f t="shared" si="0"/>
        <v>6.2083201016195577E-2</v>
      </c>
      <c r="BA10" s="47">
        <f t="shared" si="0"/>
        <v>7.0354313051278261E-2</v>
      </c>
      <c r="BB10" s="47">
        <f t="shared" si="0"/>
        <v>8.2909659757528287E-2</v>
      </c>
      <c r="BC10" s="47">
        <f t="shared" si="0"/>
        <v>9.0594851158231515E-2</v>
      </c>
      <c r="BD10" s="47">
        <f t="shared" si="0"/>
        <v>9.4398978191967409E-2</v>
      </c>
      <c r="BE10" s="47">
        <f t="shared" si="0"/>
        <v>6.183405736021963E-2</v>
      </c>
      <c r="BF10" s="47">
        <f t="shared" si="0"/>
        <v>3.910034602076129E-2</v>
      </c>
      <c r="BG10" s="47">
        <f t="shared" si="0"/>
        <v>3.6101153748212544E-2</v>
      </c>
      <c r="BH10" s="47">
        <f t="shared" si="0"/>
        <v>3.1648202064506359E-2</v>
      </c>
      <c r="BI10" s="47">
        <f t="shared" si="0"/>
        <v>2.0249963348482725E-2</v>
      </c>
      <c r="BJ10" s="47">
        <f t="shared" si="0"/>
        <v>2.4572054676413879E-2</v>
      </c>
      <c r="BK10" s="47">
        <f t="shared" si="0"/>
        <v>3.5307936396627104E-2</v>
      </c>
      <c r="BL10" s="47">
        <f t="shared" si="0"/>
        <v>3.920074506815685E-2</v>
      </c>
      <c r="BM10" s="47">
        <f t="shared" si="0"/>
        <v>3.7575362554994385E-2</v>
      </c>
      <c r="BN10" s="47">
        <f t="shared" si="0"/>
        <v>3.3654752182926018E-2</v>
      </c>
      <c r="BO10" s="47">
        <f t="shared" si="0"/>
        <v>2.2820158312949035E-2</v>
      </c>
      <c r="BP10" s="47">
        <f t="shared" si="0"/>
        <v>2.3707312725598229E-2</v>
      </c>
      <c r="BQ10" s="47">
        <f t="shared" si="0"/>
        <v>2.1315495451049715E-2</v>
      </c>
      <c r="BR10" s="47">
        <f t="shared" ref="BR10:CR10" si="1">BR9/BQ9-1</f>
        <v>2.0998494018697134E-2</v>
      </c>
      <c r="BS10" s="47">
        <f t="shared" si="1"/>
        <v>1.8284537459645867E-2</v>
      </c>
      <c r="BT10" s="47">
        <f t="shared" si="1"/>
        <v>1.7327612123862357E-2</v>
      </c>
      <c r="BU10" s="47">
        <f t="shared" si="1"/>
        <v>1.1028127770464469E-2</v>
      </c>
      <c r="BV10" s="47">
        <f t="shared" si="1"/>
        <v>1.4335631817396832E-2</v>
      </c>
      <c r="BW10" s="47">
        <f t="shared" si="1"/>
        <v>2.2568307442433211E-2</v>
      </c>
      <c r="BX10" s="47">
        <f t="shared" si="1"/>
        <v>2.2454495382290052E-2</v>
      </c>
      <c r="BY10" s="47">
        <f t="shared" si="1"/>
        <v>1.5246423291824351E-2</v>
      </c>
      <c r="BZ10" s="47">
        <f t="shared" si="1"/>
        <v>1.8855119140166909E-2</v>
      </c>
      <c r="CA10" s="47">
        <f t="shared" si="1"/>
        <v>2.6778252812867276E-2</v>
      </c>
      <c r="CB10" s="47">
        <f t="shared" si="1"/>
        <v>3.1010403642454332E-2</v>
      </c>
      <c r="CC10" s="47">
        <f t="shared" si="1"/>
        <v>3.0512430354548314E-2</v>
      </c>
      <c r="CD10" s="47">
        <f t="shared" si="1"/>
        <v>2.691120634145272E-2</v>
      </c>
      <c r="CE10" s="47">
        <f t="shared" si="1"/>
        <v>1.9092304698479889E-2</v>
      </c>
      <c r="CF10" s="47">
        <f t="shared" si="1"/>
        <v>7.7972502758210105E-3</v>
      </c>
      <c r="CG10" s="47">
        <f t="shared" si="1"/>
        <v>1.1684333519300205E-2</v>
      </c>
      <c r="CH10" s="47">
        <f t="shared" si="1"/>
        <v>2.0840920205183799E-2</v>
      </c>
      <c r="CI10" s="47">
        <f t="shared" si="1"/>
        <v>1.924331376386168E-2</v>
      </c>
      <c r="CJ10" s="47">
        <f t="shared" si="1"/>
        <v>1.7730000000000024E-2</v>
      </c>
      <c r="CK10" s="47">
        <f t="shared" si="1"/>
        <v>1.841352814597208E-2</v>
      </c>
      <c r="CL10" s="47">
        <f t="shared" si="1"/>
        <v>9.5709475431029478E-3</v>
      </c>
      <c r="CM10" s="47">
        <f t="shared" si="1"/>
        <v>1.0483662879041455E-2</v>
      </c>
      <c r="CN10" s="47">
        <f t="shared" si="1"/>
        <v>1.9056896421275615E-2</v>
      </c>
      <c r="CO10" s="47">
        <f t="shared" si="1"/>
        <v>2.386056741932796E-2</v>
      </c>
      <c r="CP10" s="47">
        <f t="shared" si="1"/>
        <v>1.8092492884465461E-2</v>
      </c>
      <c r="CQ10" s="47">
        <f t="shared" si="1"/>
        <v>1.1618796630994188E-2</v>
      </c>
      <c r="CR10" s="47">
        <f t="shared" si="1"/>
        <v>4.2834637353352578E-2</v>
      </c>
    </row>
    <row r="11" spans="1:96">
      <c r="A11" t="s">
        <v>369</v>
      </c>
      <c r="B11" t="s">
        <v>370</v>
      </c>
      <c r="C11" t="s">
        <v>371</v>
      </c>
      <c r="D11" s="22">
        <v>9.3140000000000001</v>
      </c>
      <c r="E11" s="22">
        <v>8.92</v>
      </c>
      <c r="F11" s="22">
        <v>7.9649999999999999</v>
      </c>
      <c r="G11" s="22">
        <v>7.024</v>
      </c>
      <c r="H11" s="22">
        <v>6.774</v>
      </c>
      <c r="I11" s="22">
        <v>7.0810000000000004</v>
      </c>
      <c r="J11" s="22">
        <v>7.2560000000000002</v>
      </c>
      <c r="K11" s="22">
        <v>7.3230000000000004</v>
      </c>
      <c r="L11" s="22">
        <v>7.59</v>
      </c>
      <c r="M11" s="22">
        <v>7.4169999999999998</v>
      </c>
      <c r="N11" s="22">
        <v>7.3449999999999998</v>
      </c>
      <c r="O11" s="22">
        <v>7.407</v>
      </c>
      <c r="P11" s="22">
        <v>7.8680000000000003</v>
      </c>
      <c r="Q11" s="22">
        <v>8.8469999999999995</v>
      </c>
      <c r="R11" s="22">
        <v>9.6609999999999996</v>
      </c>
      <c r="S11" s="22">
        <v>10.215999999999999</v>
      </c>
      <c r="T11" s="22">
        <v>10.625</v>
      </c>
      <c r="U11" s="22">
        <v>11.364000000000001</v>
      </c>
      <c r="V11" s="22">
        <v>12.516999999999999</v>
      </c>
      <c r="W11" s="22">
        <v>13.225</v>
      </c>
      <c r="X11" s="22">
        <v>13.122</v>
      </c>
      <c r="Y11" s="22">
        <v>13.278</v>
      </c>
      <c r="Z11" s="22">
        <v>14.182</v>
      </c>
      <c r="AA11" s="22">
        <v>14.473000000000001</v>
      </c>
      <c r="AB11" s="22">
        <v>14.663</v>
      </c>
      <c r="AC11" s="22">
        <v>14.787000000000001</v>
      </c>
      <c r="AD11" s="22">
        <v>14.845000000000001</v>
      </c>
      <c r="AE11" s="22">
        <v>15.14</v>
      </c>
      <c r="AF11" s="22">
        <v>15.6</v>
      </c>
      <c r="AG11" s="22">
        <v>15.968999999999999</v>
      </c>
      <c r="AH11" s="22">
        <v>16.207000000000001</v>
      </c>
      <c r="AI11" s="22">
        <v>16.472999999999999</v>
      </c>
      <c r="AJ11" s="22">
        <v>16.643999999999998</v>
      </c>
      <c r="AK11" s="22">
        <v>16.838999999999999</v>
      </c>
      <c r="AL11" s="22">
        <v>17.04</v>
      </c>
      <c r="AM11" s="22">
        <v>17.286999999999999</v>
      </c>
      <c r="AN11" s="22">
        <v>17.536000000000001</v>
      </c>
      <c r="AO11" s="22">
        <v>17.978999999999999</v>
      </c>
      <c r="AP11" s="22">
        <v>18.431000000000001</v>
      </c>
      <c r="AQ11" s="22">
        <v>19.152000000000001</v>
      </c>
      <c r="AR11" s="22">
        <v>20.015000000000001</v>
      </c>
      <c r="AS11" s="22">
        <v>20.951000000000001</v>
      </c>
      <c r="AT11" s="22">
        <v>21.841000000000001</v>
      </c>
      <c r="AU11" s="22">
        <v>22.585999999999999</v>
      </c>
      <c r="AV11" s="22">
        <v>23.802</v>
      </c>
      <c r="AW11" s="22">
        <v>26.28</v>
      </c>
      <c r="AX11" s="22">
        <v>28.47</v>
      </c>
      <c r="AY11" s="22">
        <v>30.032</v>
      </c>
      <c r="AZ11" s="22">
        <v>31.986000000000001</v>
      </c>
      <c r="BA11" s="22">
        <v>34.210999999999999</v>
      </c>
      <c r="BB11" s="22">
        <v>37.250999999999998</v>
      </c>
      <c r="BC11" s="22">
        <v>41.262</v>
      </c>
      <c r="BD11" s="22">
        <v>44.957999999999998</v>
      </c>
      <c r="BE11" s="22">
        <v>47.456000000000003</v>
      </c>
      <c r="BF11" s="22">
        <v>49.473999999999997</v>
      </c>
      <c r="BG11" s="22">
        <v>51.343000000000004</v>
      </c>
      <c r="BH11" s="22">
        <v>53.134</v>
      </c>
      <c r="BI11" s="22">
        <v>54.29</v>
      </c>
      <c r="BJ11" s="22">
        <v>55.963999999999999</v>
      </c>
      <c r="BK11" s="22">
        <v>58.151000000000003</v>
      </c>
      <c r="BL11" s="22">
        <v>60.69</v>
      </c>
      <c r="BM11" s="22">
        <v>63.354999999999997</v>
      </c>
      <c r="BN11" s="22">
        <v>65.472999999999999</v>
      </c>
      <c r="BO11" s="22">
        <v>67.218000000000004</v>
      </c>
      <c r="BP11" s="22">
        <v>68.891999999999996</v>
      </c>
      <c r="BQ11" s="22">
        <v>70.33</v>
      </c>
      <c r="BR11" s="22">
        <v>71.811000000000007</v>
      </c>
      <c r="BS11" s="22">
        <v>73.346000000000004</v>
      </c>
      <c r="BT11" s="22">
        <v>74.623000000000005</v>
      </c>
      <c r="BU11" s="22">
        <v>75.215999999999994</v>
      </c>
      <c r="BV11" s="22">
        <v>76.337999999999994</v>
      </c>
      <c r="BW11" s="22">
        <v>78.234999999999999</v>
      </c>
      <c r="BX11" s="22">
        <v>79.738</v>
      </c>
      <c r="BY11" s="22">
        <v>80.789000000000001</v>
      </c>
      <c r="BZ11" s="22">
        <v>82.358000000000004</v>
      </c>
      <c r="CA11" s="22">
        <v>84.411000000000001</v>
      </c>
      <c r="CB11" s="22">
        <v>86.811999999999998</v>
      </c>
      <c r="CC11" s="22">
        <v>89.174000000000007</v>
      </c>
      <c r="CD11" s="22">
        <v>91.438000000000002</v>
      </c>
      <c r="CE11" s="22">
        <v>94.18</v>
      </c>
      <c r="CF11" s="22">
        <v>94.093999999999994</v>
      </c>
      <c r="CG11" s="22">
        <v>95.704999999999998</v>
      </c>
      <c r="CH11" s="22">
        <v>98.131</v>
      </c>
      <c r="CI11" s="22">
        <v>100</v>
      </c>
      <c r="CJ11" s="22">
        <v>101.346</v>
      </c>
      <c r="CK11" s="22">
        <v>102.83</v>
      </c>
      <c r="CL11" s="22">
        <v>103.04300000000001</v>
      </c>
      <c r="CM11" s="22">
        <v>104.121</v>
      </c>
      <c r="CN11" s="22">
        <v>105.98399999999999</v>
      </c>
      <c r="CO11" s="22">
        <v>108.239</v>
      </c>
      <c r="CP11" s="22">
        <v>109.851</v>
      </c>
      <c r="CQ11" s="22">
        <v>111.146</v>
      </c>
      <c r="CR11" s="22">
        <v>115.53</v>
      </c>
    </row>
    <row r="12" spans="1:96">
      <c r="A12" t="s">
        <v>372</v>
      </c>
      <c r="B12" t="s">
        <v>373</v>
      </c>
      <c r="C12" t="s">
        <v>374</v>
      </c>
      <c r="D12" s="22">
        <v>14.884</v>
      </c>
      <c r="E12" s="22">
        <v>14.092000000000001</v>
      </c>
      <c r="F12" s="22">
        <v>12.148999999999999</v>
      </c>
      <c r="G12" s="22">
        <v>10.467000000000001</v>
      </c>
      <c r="H12" s="22">
        <v>10.38</v>
      </c>
      <c r="I12" s="22">
        <v>11.404</v>
      </c>
      <c r="J12" s="22">
        <v>11.71</v>
      </c>
      <c r="K12" s="22">
        <v>11.756</v>
      </c>
      <c r="L12" s="22">
        <v>12.179</v>
      </c>
      <c r="M12" s="22">
        <v>11.685</v>
      </c>
      <c r="N12" s="22">
        <v>11.507999999999999</v>
      </c>
      <c r="O12" s="22">
        <v>11.611000000000001</v>
      </c>
      <c r="P12" s="22">
        <v>12.565</v>
      </c>
      <c r="Q12" s="22">
        <v>14.643000000000001</v>
      </c>
      <c r="R12" s="22">
        <v>16.327000000000002</v>
      </c>
      <c r="S12" s="22">
        <v>17.414000000000001</v>
      </c>
      <c r="T12" s="22">
        <v>18.21</v>
      </c>
      <c r="U12" s="22">
        <v>19.597999999999999</v>
      </c>
      <c r="V12" s="22">
        <v>21.957000000000001</v>
      </c>
      <c r="W12" s="22">
        <v>23.251999999999999</v>
      </c>
      <c r="X12" s="22">
        <v>22.709</v>
      </c>
      <c r="Y12" s="22">
        <v>22.78</v>
      </c>
      <c r="Z12" s="22">
        <v>24.619</v>
      </c>
      <c r="AA12" s="22">
        <v>24.856000000000002</v>
      </c>
      <c r="AB12" s="22">
        <v>24.742000000000001</v>
      </c>
      <c r="AC12" s="22">
        <v>24.648</v>
      </c>
      <c r="AD12" s="22">
        <v>24.503</v>
      </c>
      <c r="AE12" s="22">
        <v>24.919</v>
      </c>
      <c r="AF12" s="22">
        <v>25.699000000000002</v>
      </c>
      <c r="AG12" s="22">
        <v>26.283999999999999</v>
      </c>
      <c r="AH12" s="22">
        <v>26.417999999999999</v>
      </c>
      <c r="AI12" s="22">
        <v>26.625</v>
      </c>
      <c r="AJ12" s="22">
        <v>26.725000000000001</v>
      </c>
      <c r="AK12" s="22">
        <v>26.863</v>
      </c>
      <c r="AL12" s="22">
        <v>27.085999999999999</v>
      </c>
      <c r="AM12" s="22">
        <v>27.381</v>
      </c>
      <c r="AN12" s="22">
        <v>27.669</v>
      </c>
      <c r="AO12" s="22">
        <v>28.277999999999999</v>
      </c>
      <c r="AP12" s="22">
        <v>28.777000000000001</v>
      </c>
      <c r="AQ12" s="22">
        <v>29.78</v>
      </c>
      <c r="AR12" s="22">
        <v>30.934000000000001</v>
      </c>
      <c r="AS12" s="22">
        <v>32.113999999999997</v>
      </c>
      <c r="AT12" s="22">
        <v>33.079000000000001</v>
      </c>
      <c r="AU12" s="22">
        <v>33.926000000000002</v>
      </c>
      <c r="AV12" s="22">
        <v>35.948999999999998</v>
      </c>
      <c r="AW12" s="22">
        <v>40.436</v>
      </c>
      <c r="AX12" s="22">
        <v>43.703000000000003</v>
      </c>
      <c r="AY12" s="22">
        <v>45.412999999999997</v>
      </c>
      <c r="AZ12" s="22">
        <v>47.837000000000003</v>
      </c>
      <c r="BA12" s="22">
        <v>50.773000000000003</v>
      </c>
      <c r="BB12" s="22">
        <v>55.573999999999998</v>
      </c>
      <c r="BC12" s="22">
        <v>61.796999999999997</v>
      </c>
      <c r="BD12" s="22">
        <v>66.388999999999996</v>
      </c>
      <c r="BE12" s="22">
        <v>68.197999999999993</v>
      </c>
      <c r="BF12" s="22">
        <v>69.429000000000002</v>
      </c>
      <c r="BG12" s="22">
        <v>70.742000000000004</v>
      </c>
      <c r="BH12" s="22">
        <v>71.876999999999995</v>
      </c>
      <c r="BI12" s="22">
        <v>71.540999999999997</v>
      </c>
      <c r="BJ12" s="22">
        <v>73.841999999999999</v>
      </c>
      <c r="BK12" s="22">
        <v>75.787999999999997</v>
      </c>
      <c r="BL12" s="22">
        <v>78.703999999999994</v>
      </c>
      <c r="BM12" s="22">
        <v>81.927000000000007</v>
      </c>
      <c r="BN12" s="22">
        <v>83.93</v>
      </c>
      <c r="BO12" s="22">
        <v>84.942999999999998</v>
      </c>
      <c r="BP12" s="22">
        <v>85.680999999999997</v>
      </c>
      <c r="BQ12" s="22">
        <v>86.552000000000007</v>
      </c>
      <c r="BR12" s="22">
        <v>87.361000000000004</v>
      </c>
      <c r="BS12" s="22">
        <v>88.320999999999998</v>
      </c>
      <c r="BT12" s="22">
        <v>88.218999999999994</v>
      </c>
      <c r="BU12" s="22">
        <v>86.893000000000001</v>
      </c>
      <c r="BV12" s="22">
        <v>87.349000000000004</v>
      </c>
      <c r="BW12" s="22">
        <v>89.081999999999994</v>
      </c>
      <c r="BX12" s="22">
        <v>89.015000000000001</v>
      </c>
      <c r="BY12" s="22">
        <v>88.165999999999997</v>
      </c>
      <c r="BZ12" s="22">
        <v>88.054000000000002</v>
      </c>
      <c r="CA12" s="22">
        <v>89.292000000000002</v>
      </c>
      <c r="CB12" s="22">
        <v>91.084000000000003</v>
      </c>
      <c r="CC12" s="22">
        <v>92.305999999999997</v>
      </c>
      <c r="CD12" s="22">
        <v>93.331000000000003</v>
      </c>
      <c r="CE12" s="22">
        <v>96.122</v>
      </c>
      <c r="CF12" s="22">
        <v>93.811999999999998</v>
      </c>
      <c r="CG12" s="22">
        <v>95.183000000000007</v>
      </c>
      <c r="CH12" s="22">
        <v>98.772999999999996</v>
      </c>
      <c r="CI12" s="22">
        <v>100</v>
      </c>
      <c r="CJ12" s="22">
        <v>99.406999999999996</v>
      </c>
      <c r="CK12" s="22">
        <v>98.92</v>
      </c>
      <c r="CL12" s="22">
        <v>95.896000000000001</v>
      </c>
      <c r="CM12" s="22">
        <v>94.325000000000003</v>
      </c>
      <c r="CN12" s="22">
        <v>94.596999999999994</v>
      </c>
      <c r="CO12" s="22">
        <v>95.244</v>
      </c>
      <c r="CP12" s="22">
        <v>94.784999999999997</v>
      </c>
      <c r="CQ12" s="22">
        <v>94.212000000000003</v>
      </c>
      <c r="CR12" s="22">
        <v>98.89</v>
      </c>
    </row>
    <row r="13" spans="1:96">
      <c r="A13" t="s">
        <v>375</v>
      </c>
      <c r="B13" t="s">
        <v>376</v>
      </c>
      <c r="C13" t="s">
        <v>377</v>
      </c>
      <c r="D13" s="22">
        <v>32.067</v>
      </c>
      <c r="E13" s="22">
        <v>30.19</v>
      </c>
      <c r="F13" s="22">
        <v>26.956</v>
      </c>
      <c r="G13" s="22">
        <v>23.751000000000001</v>
      </c>
      <c r="H13" s="22">
        <v>23.173999999999999</v>
      </c>
      <c r="I13" s="22">
        <v>24.565999999999999</v>
      </c>
      <c r="J13" s="22">
        <v>24.427</v>
      </c>
      <c r="K13" s="22">
        <v>24.567</v>
      </c>
      <c r="L13" s="22">
        <v>25.579000000000001</v>
      </c>
      <c r="M13" s="22">
        <v>25.56</v>
      </c>
      <c r="N13" s="22">
        <v>25.251000000000001</v>
      </c>
      <c r="O13" s="22">
        <v>25.506</v>
      </c>
      <c r="P13" s="22">
        <v>27.393000000000001</v>
      </c>
      <c r="Q13" s="22">
        <v>32.067999999999998</v>
      </c>
      <c r="R13" s="22">
        <v>34.978999999999999</v>
      </c>
      <c r="S13" s="22">
        <v>39.322000000000003</v>
      </c>
      <c r="T13" s="22">
        <v>41.593000000000004</v>
      </c>
      <c r="U13" s="22">
        <v>43.31</v>
      </c>
      <c r="V13" s="22">
        <v>47.106000000000002</v>
      </c>
      <c r="W13" s="22">
        <v>49.515999999999998</v>
      </c>
      <c r="X13" s="22">
        <v>49.854999999999997</v>
      </c>
      <c r="Y13" s="22">
        <v>50.107999999999997</v>
      </c>
      <c r="Z13" s="22">
        <v>53.466000000000001</v>
      </c>
      <c r="AA13" s="22">
        <v>53.798999999999999</v>
      </c>
      <c r="AB13" s="22">
        <v>53.377000000000002</v>
      </c>
      <c r="AC13" s="22">
        <v>52.207000000000001</v>
      </c>
      <c r="AD13" s="22">
        <v>52.005000000000003</v>
      </c>
      <c r="AE13" s="22">
        <v>53.259</v>
      </c>
      <c r="AF13" s="22">
        <v>55.219000000000001</v>
      </c>
      <c r="AG13" s="22">
        <v>56.222000000000001</v>
      </c>
      <c r="AH13" s="22">
        <v>57.115000000000002</v>
      </c>
      <c r="AI13" s="22">
        <v>56.899000000000001</v>
      </c>
      <c r="AJ13" s="22">
        <v>57.042999999999999</v>
      </c>
      <c r="AK13" s="22">
        <v>57.287999999999997</v>
      </c>
      <c r="AL13" s="22">
        <v>57.506999999999998</v>
      </c>
      <c r="AM13" s="22">
        <v>57.767000000000003</v>
      </c>
      <c r="AN13" s="22">
        <v>57.292999999999999</v>
      </c>
      <c r="AO13" s="22">
        <v>57.167999999999999</v>
      </c>
      <c r="AP13" s="22">
        <v>58.085999999999999</v>
      </c>
      <c r="AQ13" s="22">
        <v>59.948</v>
      </c>
      <c r="AR13" s="22">
        <v>61.637999999999998</v>
      </c>
      <c r="AS13" s="22">
        <v>62.966999999999999</v>
      </c>
      <c r="AT13" s="22">
        <v>65.141000000000005</v>
      </c>
      <c r="AU13" s="22">
        <v>65.858999999999995</v>
      </c>
      <c r="AV13" s="22">
        <v>66.834000000000003</v>
      </c>
      <c r="AW13" s="22">
        <v>71.221999999999994</v>
      </c>
      <c r="AX13" s="22">
        <v>77.596000000000004</v>
      </c>
      <c r="AY13" s="22">
        <v>81.84</v>
      </c>
      <c r="AZ13" s="22">
        <v>85.504999999999995</v>
      </c>
      <c r="BA13" s="22">
        <v>90.290999999999997</v>
      </c>
      <c r="BB13" s="22">
        <v>96.275000000000006</v>
      </c>
      <c r="BC13" s="22">
        <v>104.63</v>
      </c>
      <c r="BD13" s="22">
        <v>111.627</v>
      </c>
      <c r="BE13" s="22">
        <v>115.98099999999999</v>
      </c>
      <c r="BF13" s="22">
        <v>118.33199999999999</v>
      </c>
      <c r="BG13" s="22">
        <v>120.08199999999999</v>
      </c>
      <c r="BH13" s="22">
        <v>121.352</v>
      </c>
      <c r="BI13" s="22">
        <v>122.687</v>
      </c>
      <c r="BJ13" s="22">
        <v>126.217</v>
      </c>
      <c r="BK13" s="22">
        <v>128.29900000000001</v>
      </c>
      <c r="BL13" s="22">
        <v>130.637</v>
      </c>
      <c r="BM13" s="22">
        <v>131.935</v>
      </c>
      <c r="BN13" s="22">
        <v>133.86799999999999</v>
      </c>
      <c r="BO13" s="22">
        <v>134.79300000000001</v>
      </c>
      <c r="BP13" s="22">
        <v>136.12</v>
      </c>
      <c r="BQ13" s="22">
        <v>138.78399999999999</v>
      </c>
      <c r="BR13" s="22">
        <v>139.797</v>
      </c>
      <c r="BS13" s="22">
        <v>138.386</v>
      </c>
      <c r="BT13" s="22">
        <v>135.364</v>
      </c>
      <c r="BU13" s="22">
        <v>131.53800000000001</v>
      </c>
      <c r="BV13" s="22">
        <v>127.994</v>
      </c>
      <c r="BW13" s="22">
        <v>125.717</v>
      </c>
      <c r="BX13" s="22">
        <v>123.254</v>
      </c>
      <c r="BY13" s="22">
        <v>120.143</v>
      </c>
      <c r="BZ13" s="22">
        <v>115.752</v>
      </c>
      <c r="CA13" s="22">
        <v>113.488</v>
      </c>
      <c r="CB13" s="22">
        <v>112.309</v>
      </c>
      <c r="CC13" s="22">
        <v>110.38800000000001</v>
      </c>
      <c r="CD13" s="22">
        <v>108.038</v>
      </c>
      <c r="CE13" s="22">
        <v>106.012</v>
      </c>
      <c r="CF13" s="22">
        <v>104.02</v>
      </c>
      <c r="CG13" s="22">
        <v>102.107</v>
      </c>
      <c r="CH13" s="22">
        <v>101.28</v>
      </c>
      <c r="CI13" s="22">
        <v>100</v>
      </c>
      <c r="CJ13" s="22">
        <v>97.968000000000004</v>
      </c>
      <c r="CK13" s="22">
        <v>95.429000000000002</v>
      </c>
      <c r="CL13" s="22">
        <v>93.358000000000004</v>
      </c>
      <c r="CM13" s="22">
        <v>91.117000000000004</v>
      </c>
      <c r="CN13" s="22">
        <v>89.025000000000006</v>
      </c>
      <c r="CO13" s="22">
        <v>87.528999999999996</v>
      </c>
      <c r="CP13" s="22">
        <v>86.462999999999994</v>
      </c>
      <c r="CQ13" s="22">
        <v>85.742000000000004</v>
      </c>
      <c r="CR13" s="22">
        <v>91.186999999999998</v>
      </c>
    </row>
    <row r="14" spans="1:96">
      <c r="A14" t="s">
        <v>378</v>
      </c>
      <c r="B14" t="s">
        <v>379</v>
      </c>
      <c r="C14" t="s">
        <v>380</v>
      </c>
      <c r="D14" s="22">
        <v>10.057</v>
      </c>
      <c r="E14" s="22">
        <v>9.5350000000000001</v>
      </c>
      <c r="F14" s="22">
        <v>8.1519999999999992</v>
      </c>
      <c r="G14" s="22">
        <v>6.9889999999999999</v>
      </c>
      <c r="H14" s="22">
        <v>6.9530000000000003</v>
      </c>
      <c r="I14" s="22">
        <v>7.6909999999999998</v>
      </c>
      <c r="J14" s="22">
        <v>7.9480000000000004</v>
      </c>
      <c r="K14" s="22">
        <v>7.976</v>
      </c>
      <c r="L14" s="22">
        <v>8.2530000000000001</v>
      </c>
      <c r="M14" s="22">
        <v>7.8470000000000004</v>
      </c>
      <c r="N14" s="22">
        <v>7.7229999999999999</v>
      </c>
      <c r="O14" s="22">
        <v>7.79</v>
      </c>
      <c r="P14" s="22">
        <v>8.4469999999999992</v>
      </c>
      <c r="Q14" s="22">
        <v>9.8330000000000002</v>
      </c>
      <c r="R14" s="22">
        <v>11.003</v>
      </c>
      <c r="S14" s="22">
        <v>11.644</v>
      </c>
      <c r="T14" s="22">
        <v>12.154999999999999</v>
      </c>
      <c r="U14" s="22">
        <v>13.169</v>
      </c>
      <c r="V14" s="22">
        <v>14.869</v>
      </c>
      <c r="W14" s="22">
        <v>15.78</v>
      </c>
      <c r="X14" s="22">
        <v>15.266</v>
      </c>
      <c r="Y14" s="22">
        <v>15.304</v>
      </c>
      <c r="Z14" s="22">
        <v>16.614999999999998</v>
      </c>
      <c r="AA14" s="22">
        <v>16.794</v>
      </c>
      <c r="AB14" s="22">
        <v>16.734999999999999</v>
      </c>
      <c r="AC14" s="22">
        <v>16.774999999999999</v>
      </c>
      <c r="AD14" s="22">
        <v>16.666</v>
      </c>
      <c r="AE14" s="22">
        <v>16.905000000000001</v>
      </c>
      <c r="AF14" s="22">
        <v>17.399999999999999</v>
      </c>
      <c r="AG14" s="22">
        <v>17.824000000000002</v>
      </c>
      <c r="AH14" s="22">
        <v>17.850000000000001</v>
      </c>
      <c r="AI14" s="22">
        <v>18.062999999999999</v>
      </c>
      <c r="AJ14" s="22">
        <v>18.138999999999999</v>
      </c>
      <c r="AK14" s="22">
        <v>18.238</v>
      </c>
      <c r="AL14" s="22">
        <v>18.419</v>
      </c>
      <c r="AM14" s="22">
        <v>18.664999999999999</v>
      </c>
      <c r="AN14" s="22">
        <v>19.001999999999999</v>
      </c>
      <c r="AO14" s="22">
        <v>19.61</v>
      </c>
      <c r="AP14" s="22">
        <v>19.968</v>
      </c>
      <c r="AQ14" s="22">
        <v>20.687999999999999</v>
      </c>
      <c r="AR14" s="22">
        <v>21.582999999999998</v>
      </c>
      <c r="AS14" s="22">
        <v>22.553000000000001</v>
      </c>
      <c r="AT14" s="22">
        <v>23.19</v>
      </c>
      <c r="AU14" s="22">
        <v>23.933</v>
      </c>
      <c r="AV14" s="22">
        <v>25.863</v>
      </c>
      <c r="AW14" s="22">
        <v>29.774999999999999</v>
      </c>
      <c r="AX14" s="22">
        <v>32.076000000000001</v>
      </c>
      <c r="AY14" s="22">
        <v>33.119999999999997</v>
      </c>
      <c r="AZ14" s="22">
        <v>35.018000000000001</v>
      </c>
      <c r="BA14" s="22">
        <v>37.256</v>
      </c>
      <c r="BB14" s="22">
        <v>41.271000000000001</v>
      </c>
      <c r="BC14" s="22">
        <v>46.335000000000001</v>
      </c>
      <c r="BD14" s="22">
        <v>49.912999999999997</v>
      </c>
      <c r="BE14" s="22">
        <v>51.045999999999999</v>
      </c>
      <c r="BF14" s="22">
        <v>51.921999999999997</v>
      </c>
      <c r="BG14" s="22">
        <v>53.000999999999998</v>
      </c>
      <c r="BH14" s="22">
        <v>53.993000000000002</v>
      </c>
      <c r="BI14" s="22">
        <v>53.304000000000002</v>
      </c>
      <c r="BJ14" s="22">
        <v>55.116999999999997</v>
      </c>
      <c r="BK14" s="22">
        <v>56.869</v>
      </c>
      <c r="BL14" s="22">
        <v>59.69</v>
      </c>
      <c r="BM14" s="22">
        <v>63.112000000000002</v>
      </c>
      <c r="BN14" s="22">
        <v>64.954999999999998</v>
      </c>
      <c r="BO14" s="22">
        <v>65.897999999999996</v>
      </c>
      <c r="BP14" s="22">
        <v>66.433999999999997</v>
      </c>
      <c r="BQ14" s="22">
        <v>66.787999999999997</v>
      </c>
      <c r="BR14" s="22">
        <v>67.486000000000004</v>
      </c>
      <c r="BS14" s="22">
        <v>69.013999999999996</v>
      </c>
      <c r="BT14" s="22">
        <v>69.734999999999999</v>
      </c>
      <c r="BU14" s="22">
        <v>69.222999999999999</v>
      </c>
      <c r="BV14" s="22">
        <v>70.942999999999998</v>
      </c>
      <c r="BW14" s="22">
        <v>73.989999999999995</v>
      </c>
      <c r="BX14" s="22">
        <v>74.775999999999996</v>
      </c>
      <c r="BY14" s="22">
        <v>74.781000000000006</v>
      </c>
      <c r="BZ14" s="22">
        <v>76.326999999999998</v>
      </c>
      <c r="CA14" s="22">
        <v>78.97</v>
      </c>
      <c r="CB14" s="22">
        <v>81.998000000000005</v>
      </c>
      <c r="CC14" s="22">
        <v>84.552999999999997</v>
      </c>
      <c r="CD14" s="22">
        <v>87.040999999999997</v>
      </c>
      <c r="CE14" s="22">
        <v>91.903999999999996</v>
      </c>
      <c r="CF14" s="22">
        <v>89.466999999999999</v>
      </c>
      <c r="CG14" s="22">
        <v>92.182000000000002</v>
      </c>
      <c r="CH14" s="22">
        <v>97.652000000000001</v>
      </c>
      <c r="CI14" s="22">
        <v>100</v>
      </c>
      <c r="CJ14" s="22">
        <v>100.08199999999999</v>
      </c>
      <c r="CK14" s="22">
        <v>100.599</v>
      </c>
      <c r="CL14" s="22">
        <v>97.091999999999999</v>
      </c>
      <c r="CM14" s="22">
        <v>95.878</v>
      </c>
      <c r="CN14" s="22">
        <v>97.444999999999993</v>
      </c>
      <c r="CO14" s="22">
        <v>99.313000000000002</v>
      </c>
      <c r="CP14" s="22">
        <v>99.212000000000003</v>
      </c>
      <c r="CQ14" s="22">
        <v>98.728999999999999</v>
      </c>
      <c r="CR14" s="22">
        <v>102.839</v>
      </c>
    </row>
    <row r="15" spans="1:96">
      <c r="A15" t="s">
        <v>381</v>
      </c>
      <c r="B15" t="s">
        <v>382</v>
      </c>
      <c r="C15" t="s">
        <v>383</v>
      </c>
      <c r="D15" s="22">
        <v>6.7889999999999997</v>
      </c>
      <c r="E15" s="22">
        <v>6.5940000000000003</v>
      </c>
      <c r="F15" s="22">
        <v>6.13</v>
      </c>
      <c r="G15" s="22">
        <v>5.5380000000000003</v>
      </c>
      <c r="H15" s="22">
        <v>5.19</v>
      </c>
      <c r="I15" s="22">
        <v>5.1239999999999997</v>
      </c>
      <c r="J15" s="22">
        <v>5.2359999999999998</v>
      </c>
      <c r="K15" s="22">
        <v>5.3209999999999997</v>
      </c>
      <c r="L15" s="22">
        <v>5.5190000000000001</v>
      </c>
      <c r="M15" s="22">
        <v>5.524</v>
      </c>
      <c r="N15" s="22">
        <v>5.5090000000000003</v>
      </c>
      <c r="O15" s="22">
        <v>5.5529999999999999</v>
      </c>
      <c r="P15" s="22">
        <v>5.7489999999999997</v>
      </c>
      <c r="Q15" s="22">
        <v>6.1550000000000002</v>
      </c>
      <c r="R15" s="22">
        <v>6.5389999999999997</v>
      </c>
      <c r="S15" s="22">
        <v>6.84</v>
      </c>
      <c r="T15" s="22">
        <v>7.0629999999999997</v>
      </c>
      <c r="U15" s="22">
        <v>7.4909999999999997</v>
      </c>
      <c r="V15" s="22">
        <v>8.0370000000000008</v>
      </c>
      <c r="W15" s="22">
        <v>8.4619999999999997</v>
      </c>
      <c r="X15" s="22">
        <v>8.6050000000000004</v>
      </c>
      <c r="Y15" s="22">
        <v>8.8249999999999993</v>
      </c>
      <c r="Z15" s="22">
        <v>9.26</v>
      </c>
      <c r="AA15" s="22">
        <v>9.5980000000000008</v>
      </c>
      <c r="AB15" s="22">
        <v>9.968</v>
      </c>
      <c r="AC15" s="22">
        <v>10.218</v>
      </c>
      <c r="AD15" s="22">
        <v>10.391</v>
      </c>
      <c r="AE15" s="22">
        <v>10.638</v>
      </c>
      <c r="AF15" s="22">
        <v>10.949</v>
      </c>
      <c r="AG15" s="22">
        <v>11.22</v>
      </c>
      <c r="AH15" s="22">
        <v>11.521000000000001</v>
      </c>
      <c r="AI15" s="22">
        <v>11.826000000000001</v>
      </c>
      <c r="AJ15" s="22">
        <v>12.037000000000001</v>
      </c>
      <c r="AK15" s="22">
        <v>12.265000000000001</v>
      </c>
      <c r="AL15" s="22">
        <v>12.461</v>
      </c>
      <c r="AM15" s="22">
        <v>12.689</v>
      </c>
      <c r="AN15" s="22">
        <v>12.926</v>
      </c>
      <c r="AO15" s="22">
        <v>13.298</v>
      </c>
      <c r="AP15" s="22">
        <v>13.739000000000001</v>
      </c>
      <c r="AQ15" s="22">
        <v>14.337999999999999</v>
      </c>
      <c r="AR15" s="22">
        <v>15.077999999999999</v>
      </c>
      <c r="AS15" s="22">
        <v>15.913</v>
      </c>
      <c r="AT15" s="22">
        <v>16.780999999999999</v>
      </c>
      <c r="AU15" s="22">
        <v>17.491</v>
      </c>
      <c r="AV15" s="22">
        <v>18.335999999999999</v>
      </c>
      <c r="AW15" s="22">
        <v>19.89</v>
      </c>
      <c r="AX15" s="22">
        <v>21.594999999999999</v>
      </c>
      <c r="AY15" s="22">
        <v>23.093</v>
      </c>
      <c r="AZ15" s="22">
        <v>24.841000000000001</v>
      </c>
      <c r="BA15" s="22">
        <v>26.75</v>
      </c>
      <c r="BB15" s="22">
        <v>28.994</v>
      </c>
      <c r="BC15" s="22">
        <v>32.009</v>
      </c>
      <c r="BD15" s="22">
        <v>35.287999999999997</v>
      </c>
      <c r="BE15" s="22">
        <v>38.058</v>
      </c>
      <c r="BF15" s="22">
        <v>40.396000000000001</v>
      </c>
      <c r="BG15" s="22">
        <v>42.497999999999998</v>
      </c>
      <c r="BH15" s="22">
        <v>44.576999999999998</v>
      </c>
      <c r="BI15" s="22">
        <v>46.408000000000001</v>
      </c>
      <c r="BJ15" s="22">
        <v>47.795999999999999</v>
      </c>
      <c r="BK15" s="22">
        <v>50.082000000000001</v>
      </c>
      <c r="BL15" s="22">
        <v>52.442999999999998</v>
      </c>
      <c r="BM15" s="22">
        <v>54.845999999999997</v>
      </c>
      <c r="BN15" s="22">
        <v>56.991999999999997</v>
      </c>
      <c r="BO15" s="22">
        <v>59.018000000000001</v>
      </c>
      <c r="BP15" s="22">
        <v>61.058999999999997</v>
      </c>
      <c r="BQ15" s="22">
        <v>62.719000000000001</v>
      </c>
      <c r="BR15" s="22">
        <v>64.471000000000004</v>
      </c>
      <c r="BS15" s="22">
        <v>66.239999999999995</v>
      </c>
      <c r="BT15" s="22">
        <v>68.106999999999999</v>
      </c>
      <c r="BU15" s="22">
        <v>69.549000000000007</v>
      </c>
      <c r="BV15" s="22">
        <v>70.97</v>
      </c>
      <c r="BW15" s="22">
        <v>72.938000000000002</v>
      </c>
      <c r="BX15" s="22">
        <v>75.171000000000006</v>
      </c>
      <c r="BY15" s="22">
        <v>77.123000000000005</v>
      </c>
      <c r="BZ15" s="22">
        <v>79.506</v>
      </c>
      <c r="CA15" s="22">
        <v>81.965000000000003</v>
      </c>
      <c r="CB15" s="22">
        <v>84.673000000000002</v>
      </c>
      <c r="CC15" s="22">
        <v>87.616</v>
      </c>
      <c r="CD15" s="22">
        <v>90.516000000000005</v>
      </c>
      <c r="CE15" s="22">
        <v>93.234999999999999</v>
      </c>
      <c r="CF15" s="22">
        <v>94.230999999999995</v>
      </c>
      <c r="CG15" s="22">
        <v>95.956999999999994</v>
      </c>
      <c r="CH15" s="22">
        <v>97.813999999999993</v>
      </c>
      <c r="CI15" s="22">
        <v>100</v>
      </c>
      <c r="CJ15" s="22">
        <v>102.316</v>
      </c>
      <c r="CK15" s="22">
        <v>104.804</v>
      </c>
      <c r="CL15" s="22">
        <v>106.694</v>
      </c>
      <c r="CM15" s="22">
        <v>109.16</v>
      </c>
      <c r="CN15" s="22">
        <v>111.86799999999999</v>
      </c>
      <c r="CO15" s="22">
        <v>114.991</v>
      </c>
      <c r="CP15" s="22">
        <v>117.744</v>
      </c>
      <c r="CQ15" s="22">
        <v>120.105</v>
      </c>
      <c r="CR15" s="22">
        <v>124.215</v>
      </c>
    </row>
    <row r="16" spans="1:96">
      <c r="A16" t="s">
        <v>384</v>
      </c>
      <c r="B16" t="s">
        <v>385</v>
      </c>
      <c r="C16" t="s">
        <v>386</v>
      </c>
      <c r="D16" s="22">
        <v>14.006</v>
      </c>
      <c r="E16" s="22">
        <v>13.407999999999999</v>
      </c>
      <c r="F16" s="22">
        <v>12.271000000000001</v>
      </c>
      <c r="G16" s="22">
        <v>10.375</v>
      </c>
      <c r="H16" s="22">
        <v>9.5069999999999997</v>
      </c>
      <c r="I16" s="22">
        <v>9.5310000000000006</v>
      </c>
      <c r="J16" s="22">
        <v>9.4149999999999991</v>
      </c>
      <c r="K16" s="22">
        <v>9.5250000000000004</v>
      </c>
      <c r="L16" s="22">
        <v>10.231</v>
      </c>
      <c r="M16" s="22">
        <v>9.93</v>
      </c>
      <c r="N16" s="22">
        <v>9.8640000000000008</v>
      </c>
      <c r="O16" s="22">
        <v>10.103999999999999</v>
      </c>
      <c r="P16" s="22">
        <v>10.836</v>
      </c>
      <c r="Q16" s="22">
        <v>11.994999999999999</v>
      </c>
      <c r="R16" s="22">
        <v>12.579000000000001</v>
      </c>
      <c r="S16" s="22">
        <v>13.073</v>
      </c>
      <c r="T16" s="22">
        <v>13.428000000000001</v>
      </c>
      <c r="U16" s="22">
        <v>14.651</v>
      </c>
      <c r="V16" s="22">
        <v>17.350000000000001</v>
      </c>
      <c r="W16" s="22">
        <v>18.760000000000002</v>
      </c>
      <c r="X16" s="22">
        <v>18.992999999999999</v>
      </c>
      <c r="Y16" s="22">
        <v>19.384</v>
      </c>
      <c r="Z16" s="22">
        <v>21.111000000000001</v>
      </c>
      <c r="AA16" s="22">
        <v>21.49</v>
      </c>
      <c r="AB16" s="22">
        <v>21.556999999999999</v>
      </c>
      <c r="AC16" s="22">
        <v>21.704000000000001</v>
      </c>
      <c r="AD16" s="22">
        <v>22.024000000000001</v>
      </c>
      <c r="AE16" s="22">
        <v>23.283000000000001</v>
      </c>
      <c r="AF16" s="22">
        <v>24.058</v>
      </c>
      <c r="AG16" s="22">
        <v>24.14</v>
      </c>
      <c r="AH16" s="22">
        <v>24.367999999999999</v>
      </c>
      <c r="AI16" s="22">
        <v>24.509</v>
      </c>
      <c r="AJ16" s="22">
        <v>24.462</v>
      </c>
      <c r="AK16" s="22">
        <v>24.488</v>
      </c>
      <c r="AL16" s="22">
        <v>24.420999999999999</v>
      </c>
      <c r="AM16" s="22">
        <v>24.58</v>
      </c>
      <c r="AN16" s="22">
        <v>24.957999999999998</v>
      </c>
      <c r="AO16" s="22">
        <v>25.469000000000001</v>
      </c>
      <c r="AP16" s="22">
        <v>26.120999999999999</v>
      </c>
      <c r="AQ16" s="22">
        <v>27.103000000000002</v>
      </c>
      <c r="AR16" s="22">
        <v>28.402000000000001</v>
      </c>
      <c r="AS16" s="22">
        <v>29.623999999999999</v>
      </c>
      <c r="AT16" s="22">
        <v>31.091999999999999</v>
      </c>
      <c r="AU16" s="22">
        <v>32.387999999999998</v>
      </c>
      <c r="AV16" s="22">
        <v>34.152999999999999</v>
      </c>
      <c r="AW16" s="22">
        <v>37.558999999999997</v>
      </c>
      <c r="AX16" s="22">
        <v>42.058999999999997</v>
      </c>
      <c r="AY16" s="22">
        <v>44.384</v>
      </c>
      <c r="AZ16" s="22">
        <v>47.655000000000001</v>
      </c>
      <c r="BA16" s="22">
        <v>51.517000000000003</v>
      </c>
      <c r="BB16" s="22">
        <v>56.140999999999998</v>
      </c>
      <c r="BC16" s="22">
        <v>61.395000000000003</v>
      </c>
      <c r="BD16" s="22">
        <v>67.123000000000005</v>
      </c>
      <c r="BE16" s="22">
        <v>70.679000000000002</v>
      </c>
      <c r="BF16" s="22">
        <v>70.896000000000001</v>
      </c>
      <c r="BG16" s="22">
        <v>71.661000000000001</v>
      </c>
      <c r="BH16" s="22">
        <v>72.548000000000002</v>
      </c>
      <c r="BI16" s="22">
        <v>74.177999999999997</v>
      </c>
      <c r="BJ16" s="22">
        <v>75.722999999999999</v>
      </c>
      <c r="BK16" s="22">
        <v>77.626999999999995</v>
      </c>
      <c r="BL16" s="22">
        <v>79.605999999999995</v>
      </c>
      <c r="BM16" s="22">
        <v>81.27</v>
      </c>
      <c r="BN16" s="22">
        <v>82.647999999999996</v>
      </c>
      <c r="BO16" s="22">
        <v>82.647000000000006</v>
      </c>
      <c r="BP16" s="22">
        <v>83.626999999999995</v>
      </c>
      <c r="BQ16" s="22">
        <v>84.875</v>
      </c>
      <c r="BR16" s="22">
        <v>86.24</v>
      </c>
      <c r="BS16" s="22">
        <v>86.191000000000003</v>
      </c>
      <c r="BT16" s="22">
        <v>86.241</v>
      </c>
      <c r="BU16" s="22">
        <v>85.608000000000004</v>
      </c>
      <c r="BV16" s="22">
        <v>85.69</v>
      </c>
      <c r="BW16" s="22">
        <v>86.814999999999998</v>
      </c>
      <c r="BX16" s="22">
        <v>87.555000000000007</v>
      </c>
      <c r="BY16" s="22">
        <v>87.840999999999994</v>
      </c>
      <c r="BZ16" s="22">
        <v>88.561000000000007</v>
      </c>
      <c r="CA16" s="22">
        <v>91.147999999999996</v>
      </c>
      <c r="CB16" s="22">
        <v>94.838999999999999</v>
      </c>
      <c r="CC16" s="22">
        <v>98.176000000000002</v>
      </c>
      <c r="CD16" s="22">
        <v>99.656000000000006</v>
      </c>
      <c r="CE16" s="22">
        <v>100.474</v>
      </c>
      <c r="CF16" s="22">
        <v>99.331000000000003</v>
      </c>
      <c r="CG16" s="22">
        <v>97.686999999999998</v>
      </c>
      <c r="CH16" s="22">
        <v>98.703999999999994</v>
      </c>
      <c r="CI16" s="22">
        <v>100</v>
      </c>
      <c r="CJ16" s="22">
        <v>100.979</v>
      </c>
      <c r="CK16" s="22">
        <v>102.922</v>
      </c>
      <c r="CL16" s="22">
        <v>103.535</v>
      </c>
      <c r="CM16" s="22">
        <v>103.52</v>
      </c>
      <c r="CN16" s="22">
        <v>105.246</v>
      </c>
      <c r="CO16" s="22">
        <v>107.217</v>
      </c>
      <c r="CP16" s="22">
        <v>108.998</v>
      </c>
      <c r="CQ16" s="22">
        <v>110.215</v>
      </c>
      <c r="CR16" s="22">
        <v>113.825</v>
      </c>
    </row>
    <row r="17" spans="1:96">
      <c r="A17" t="s">
        <v>387</v>
      </c>
      <c r="B17" t="s">
        <v>388</v>
      </c>
      <c r="C17" t="s">
        <v>389</v>
      </c>
      <c r="D17" s="22">
        <v>10.412000000000001</v>
      </c>
      <c r="E17" s="22">
        <v>9.9870000000000001</v>
      </c>
      <c r="F17" s="22">
        <v>9.2420000000000009</v>
      </c>
      <c r="G17" s="22">
        <v>8.17</v>
      </c>
      <c r="H17" s="22">
        <v>7.9850000000000003</v>
      </c>
      <c r="I17" s="22">
        <v>8.3689999999999998</v>
      </c>
      <c r="J17" s="22">
        <v>8.4149999999999991</v>
      </c>
      <c r="K17" s="22">
        <v>8.5120000000000005</v>
      </c>
      <c r="L17" s="22">
        <v>9.2219999999999995</v>
      </c>
      <c r="M17" s="22">
        <v>9.3379999999999992</v>
      </c>
      <c r="N17" s="22">
        <v>9.2959999999999994</v>
      </c>
      <c r="O17" s="22">
        <v>9.5250000000000004</v>
      </c>
      <c r="P17" s="22">
        <v>10.218999999999999</v>
      </c>
      <c r="Q17" s="22">
        <v>11.218999999999999</v>
      </c>
      <c r="R17" s="22">
        <v>11.802</v>
      </c>
      <c r="S17" s="22">
        <v>12.29</v>
      </c>
      <c r="T17" s="22">
        <v>12.678000000000001</v>
      </c>
      <c r="U17" s="22">
        <v>13.919</v>
      </c>
      <c r="V17" s="22">
        <v>16.283000000000001</v>
      </c>
      <c r="W17" s="22">
        <v>17.646000000000001</v>
      </c>
      <c r="X17" s="22">
        <v>17.983000000000001</v>
      </c>
      <c r="Y17" s="22">
        <v>18.382999999999999</v>
      </c>
      <c r="Z17" s="22">
        <v>19.948</v>
      </c>
      <c r="AA17" s="22">
        <v>20.422999999999998</v>
      </c>
      <c r="AB17" s="22">
        <v>20.617999999999999</v>
      </c>
      <c r="AC17" s="22">
        <v>20.768000000000001</v>
      </c>
      <c r="AD17" s="22">
        <v>21.11</v>
      </c>
      <c r="AE17" s="22">
        <v>22.318000000000001</v>
      </c>
      <c r="AF17" s="22">
        <v>23.082000000000001</v>
      </c>
      <c r="AG17" s="22">
        <v>23.177</v>
      </c>
      <c r="AH17" s="22">
        <v>23.408000000000001</v>
      </c>
      <c r="AI17" s="22">
        <v>23.553999999999998</v>
      </c>
      <c r="AJ17" s="22">
        <v>23.501000000000001</v>
      </c>
      <c r="AK17" s="22">
        <v>23.527000000000001</v>
      </c>
      <c r="AL17" s="22">
        <v>23.47</v>
      </c>
      <c r="AM17" s="22">
        <v>23.632999999999999</v>
      </c>
      <c r="AN17" s="22">
        <v>24.018999999999998</v>
      </c>
      <c r="AO17" s="22">
        <v>24.523</v>
      </c>
      <c r="AP17" s="22">
        <v>25.184999999999999</v>
      </c>
      <c r="AQ17" s="22">
        <v>26.196000000000002</v>
      </c>
      <c r="AR17" s="22">
        <v>27.498000000000001</v>
      </c>
      <c r="AS17" s="22">
        <v>28.699000000000002</v>
      </c>
      <c r="AT17" s="22">
        <v>30.134</v>
      </c>
      <c r="AU17" s="22">
        <v>31.42</v>
      </c>
      <c r="AV17" s="22">
        <v>33.168999999999997</v>
      </c>
      <c r="AW17" s="22">
        <v>36.448999999999998</v>
      </c>
      <c r="AX17" s="22">
        <v>40.874000000000002</v>
      </c>
      <c r="AY17" s="22">
        <v>43.231999999999999</v>
      </c>
      <c r="AZ17" s="22">
        <v>46.55</v>
      </c>
      <c r="BA17" s="22">
        <v>50.444000000000003</v>
      </c>
      <c r="BB17" s="22">
        <v>54.976999999999997</v>
      </c>
      <c r="BC17" s="22">
        <v>60.104999999999997</v>
      </c>
      <c r="BD17" s="22">
        <v>65.623999999999995</v>
      </c>
      <c r="BE17" s="22">
        <v>69.311000000000007</v>
      </c>
      <c r="BF17" s="22">
        <v>69.575000000000003</v>
      </c>
      <c r="BG17" s="22">
        <v>70.253</v>
      </c>
      <c r="BH17" s="22">
        <v>71.277000000000001</v>
      </c>
      <c r="BI17" s="22">
        <v>73.021000000000001</v>
      </c>
      <c r="BJ17" s="22">
        <v>74.506</v>
      </c>
      <c r="BK17" s="22">
        <v>76.585999999999999</v>
      </c>
      <c r="BL17" s="22">
        <v>78.561000000000007</v>
      </c>
      <c r="BM17" s="22">
        <v>80.278000000000006</v>
      </c>
      <c r="BN17" s="22">
        <v>81.683000000000007</v>
      </c>
      <c r="BO17" s="22">
        <v>81.727999999999994</v>
      </c>
      <c r="BP17" s="22">
        <v>82.710999999999999</v>
      </c>
      <c r="BQ17" s="22">
        <v>83.983000000000004</v>
      </c>
      <c r="BR17" s="22">
        <v>85.378</v>
      </c>
      <c r="BS17" s="22">
        <v>85.45</v>
      </c>
      <c r="BT17" s="22">
        <v>85.599000000000004</v>
      </c>
      <c r="BU17" s="22">
        <v>85.132999999999996</v>
      </c>
      <c r="BV17" s="22">
        <v>85.277000000000001</v>
      </c>
      <c r="BW17" s="22">
        <v>86.486000000000004</v>
      </c>
      <c r="BX17" s="22">
        <v>87.241</v>
      </c>
      <c r="BY17" s="22">
        <v>87.5</v>
      </c>
      <c r="BZ17" s="22">
        <v>88.265000000000001</v>
      </c>
      <c r="CA17" s="22">
        <v>90.843000000000004</v>
      </c>
      <c r="CB17" s="22">
        <v>94.596999999999994</v>
      </c>
      <c r="CC17" s="22">
        <v>97.957999999999998</v>
      </c>
      <c r="CD17" s="22">
        <v>99.456000000000003</v>
      </c>
      <c r="CE17" s="22">
        <v>100.29600000000001</v>
      </c>
      <c r="CF17" s="22">
        <v>99.075999999999993</v>
      </c>
      <c r="CG17" s="22">
        <v>97.567999999999998</v>
      </c>
      <c r="CH17" s="22">
        <v>98.641000000000005</v>
      </c>
      <c r="CI17" s="22">
        <v>100</v>
      </c>
      <c r="CJ17" s="22">
        <v>101.09099999999999</v>
      </c>
      <c r="CK17" s="22">
        <v>103.172</v>
      </c>
      <c r="CL17" s="22">
        <v>104.075</v>
      </c>
      <c r="CM17" s="22">
        <v>104.214</v>
      </c>
      <c r="CN17" s="22">
        <v>105.95399999999999</v>
      </c>
      <c r="CO17" s="22">
        <v>107.998</v>
      </c>
      <c r="CP17" s="22">
        <v>109.79900000000001</v>
      </c>
      <c r="CQ17" s="22">
        <v>111.04900000000001</v>
      </c>
      <c r="CR17" s="22">
        <v>115.387</v>
      </c>
    </row>
    <row r="18" spans="1:96">
      <c r="A18" t="s">
        <v>390</v>
      </c>
      <c r="B18" t="s">
        <v>391</v>
      </c>
      <c r="C18" t="s">
        <v>392</v>
      </c>
      <c r="D18" s="22">
        <v>13.457000000000001</v>
      </c>
      <c r="E18" s="22">
        <v>12.829000000000001</v>
      </c>
      <c r="F18" s="22">
        <v>11.949</v>
      </c>
      <c r="G18" s="22">
        <v>10.821</v>
      </c>
      <c r="H18" s="22">
        <v>10.555</v>
      </c>
      <c r="I18" s="22">
        <v>10.898</v>
      </c>
      <c r="J18" s="22">
        <v>11.018000000000001</v>
      </c>
      <c r="K18" s="22">
        <v>11.031000000000001</v>
      </c>
      <c r="L18" s="22">
        <v>11.907999999999999</v>
      </c>
      <c r="M18" s="22">
        <v>11.986000000000001</v>
      </c>
      <c r="N18" s="22">
        <v>11.88</v>
      </c>
      <c r="O18" s="22">
        <v>12.144</v>
      </c>
      <c r="P18" s="22">
        <v>12.933</v>
      </c>
      <c r="Q18" s="22">
        <v>14.311999999999999</v>
      </c>
      <c r="R18" s="22">
        <v>14.941000000000001</v>
      </c>
      <c r="S18" s="22">
        <v>15.394</v>
      </c>
      <c r="T18" s="22">
        <v>15.792</v>
      </c>
      <c r="U18" s="22">
        <v>17.376000000000001</v>
      </c>
      <c r="V18" s="22">
        <v>20.111000000000001</v>
      </c>
      <c r="W18" s="22">
        <v>21.791</v>
      </c>
      <c r="X18" s="22">
        <v>22.276</v>
      </c>
      <c r="Y18" s="22">
        <v>22.739000000000001</v>
      </c>
      <c r="Z18" s="22">
        <v>24.863</v>
      </c>
      <c r="AA18" s="22">
        <v>25.407</v>
      </c>
      <c r="AB18" s="22">
        <v>25.681000000000001</v>
      </c>
      <c r="AC18" s="22">
        <v>25.911000000000001</v>
      </c>
      <c r="AD18" s="22">
        <v>26.273</v>
      </c>
      <c r="AE18" s="22">
        <v>28.231999999999999</v>
      </c>
      <c r="AF18" s="22">
        <v>29.611000000000001</v>
      </c>
      <c r="AG18" s="22">
        <v>29.82</v>
      </c>
      <c r="AH18" s="22">
        <v>30.222999999999999</v>
      </c>
      <c r="AI18" s="22">
        <v>30.404</v>
      </c>
      <c r="AJ18" s="22">
        <v>30.28</v>
      </c>
      <c r="AK18" s="22">
        <v>30.308</v>
      </c>
      <c r="AL18" s="22">
        <v>30.315000000000001</v>
      </c>
      <c r="AM18" s="22">
        <v>30.513000000000002</v>
      </c>
      <c r="AN18" s="22">
        <v>30.852</v>
      </c>
      <c r="AO18" s="22">
        <v>31.327000000000002</v>
      </c>
      <c r="AP18" s="22">
        <v>32.093000000000004</v>
      </c>
      <c r="AQ18" s="22">
        <v>33.237000000000002</v>
      </c>
      <c r="AR18" s="22">
        <v>34.637999999999998</v>
      </c>
      <c r="AS18" s="22">
        <v>36.295000000000002</v>
      </c>
      <c r="AT18" s="22">
        <v>37.997</v>
      </c>
      <c r="AU18" s="22">
        <v>39.296999999999997</v>
      </c>
      <c r="AV18" s="22">
        <v>40.881999999999998</v>
      </c>
      <c r="AW18" s="22">
        <v>44.856999999999999</v>
      </c>
      <c r="AX18" s="22">
        <v>50.765999999999998</v>
      </c>
      <c r="AY18" s="22">
        <v>53.561999999999998</v>
      </c>
      <c r="AZ18" s="22">
        <v>57.110999999999997</v>
      </c>
      <c r="BA18" s="22">
        <v>60.93</v>
      </c>
      <c r="BB18" s="22">
        <v>65.83</v>
      </c>
      <c r="BC18" s="22">
        <v>71.641000000000005</v>
      </c>
      <c r="BD18" s="22">
        <v>78.453000000000003</v>
      </c>
      <c r="BE18" s="22">
        <v>82.911000000000001</v>
      </c>
      <c r="BF18" s="22">
        <v>82.774000000000001</v>
      </c>
      <c r="BG18" s="22">
        <v>83.036000000000001</v>
      </c>
      <c r="BH18" s="22">
        <v>83.893000000000001</v>
      </c>
      <c r="BI18" s="22">
        <v>85.364999999999995</v>
      </c>
      <c r="BJ18" s="22">
        <v>86.338999999999999</v>
      </c>
      <c r="BK18" s="22">
        <v>88.513999999999996</v>
      </c>
      <c r="BL18" s="22">
        <v>90.572000000000003</v>
      </c>
      <c r="BM18" s="22">
        <v>92.516000000000005</v>
      </c>
      <c r="BN18" s="22">
        <v>94.266999999999996</v>
      </c>
      <c r="BO18" s="22">
        <v>93.96</v>
      </c>
      <c r="BP18" s="22">
        <v>94.161000000000001</v>
      </c>
      <c r="BQ18" s="22">
        <v>94.903999999999996</v>
      </c>
      <c r="BR18" s="22">
        <v>95.849000000000004</v>
      </c>
      <c r="BS18" s="22">
        <v>95.266999999999996</v>
      </c>
      <c r="BT18" s="22">
        <v>94.734999999999999</v>
      </c>
      <c r="BU18" s="22">
        <v>93.248000000000005</v>
      </c>
      <c r="BV18" s="22">
        <v>92.313999999999993</v>
      </c>
      <c r="BW18" s="22">
        <v>92.718000000000004</v>
      </c>
      <c r="BX18" s="22">
        <v>92.346000000000004</v>
      </c>
      <c r="BY18" s="22">
        <v>91.863</v>
      </c>
      <c r="BZ18" s="22">
        <v>91.156000000000006</v>
      </c>
      <c r="CA18" s="22">
        <v>92.055000000000007</v>
      </c>
      <c r="CB18" s="22">
        <v>94.442999999999998</v>
      </c>
      <c r="CC18" s="22">
        <v>96.745000000000005</v>
      </c>
      <c r="CD18" s="22">
        <v>98.31</v>
      </c>
      <c r="CE18" s="22">
        <v>99.831999999999994</v>
      </c>
      <c r="CF18" s="22">
        <v>99.183999999999997</v>
      </c>
      <c r="CG18" s="22">
        <v>97.415999999999997</v>
      </c>
      <c r="CH18" s="22">
        <v>98.558999999999997</v>
      </c>
      <c r="CI18" s="22">
        <v>100</v>
      </c>
      <c r="CJ18" s="22">
        <v>100.251</v>
      </c>
      <c r="CK18" s="22">
        <v>101.46899999999999</v>
      </c>
      <c r="CL18" s="22">
        <v>101.90900000000001</v>
      </c>
      <c r="CM18" s="22">
        <v>101.131</v>
      </c>
      <c r="CN18" s="22">
        <v>101.994</v>
      </c>
      <c r="CO18" s="22">
        <v>102.88200000000001</v>
      </c>
      <c r="CP18" s="22">
        <v>104.256</v>
      </c>
      <c r="CQ18" s="22">
        <v>104.77500000000001</v>
      </c>
      <c r="CR18" s="22">
        <v>106.44</v>
      </c>
    </row>
    <row r="19" spans="1:96">
      <c r="A19" t="s">
        <v>393</v>
      </c>
      <c r="B19" t="s">
        <v>394</v>
      </c>
      <c r="C19" t="s">
        <v>395</v>
      </c>
      <c r="D19" s="22">
        <v>3.5590000000000002</v>
      </c>
      <c r="E19" s="22">
        <v>3.3690000000000002</v>
      </c>
      <c r="F19" s="22">
        <v>3.0819999999999999</v>
      </c>
      <c r="G19" s="22">
        <v>2.6749999999999998</v>
      </c>
      <c r="H19" s="22">
        <v>2.7029999999999998</v>
      </c>
      <c r="I19" s="22">
        <v>2.7109999999999999</v>
      </c>
      <c r="J19" s="22">
        <v>2.8380000000000001</v>
      </c>
      <c r="K19" s="22">
        <v>2.8330000000000002</v>
      </c>
      <c r="L19" s="22">
        <v>3.2189999999999999</v>
      </c>
      <c r="M19" s="22">
        <v>3.1579999999999999</v>
      </c>
      <c r="N19" s="22">
        <v>3.1240000000000001</v>
      </c>
      <c r="O19" s="22">
        <v>3.173</v>
      </c>
      <c r="P19" s="22">
        <v>3.3959999999999999</v>
      </c>
      <c r="Q19" s="22">
        <v>3.7890000000000001</v>
      </c>
      <c r="R19" s="22">
        <v>4.1180000000000003</v>
      </c>
      <c r="S19" s="22">
        <v>4.2089999999999996</v>
      </c>
      <c r="T19" s="22">
        <v>4.3959999999999999</v>
      </c>
      <c r="U19" s="22">
        <v>4.9240000000000004</v>
      </c>
      <c r="V19" s="22">
        <v>5.968</v>
      </c>
      <c r="W19" s="22">
        <v>6.6390000000000002</v>
      </c>
      <c r="X19" s="22">
        <v>6.6159999999999997</v>
      </c>
      <c r="Y19" s="22">
        <v>6.6989999999999998</v>
      </c>
      <c r="Z19" s="22">
        <v>7.4710000000000001</v>
      </c>
      <c r="AA19" s="22">
        <v>7.6689999999999996</v>
      </c>
      <c r="AB19" s="22">
        <v>7.819</v>
      </c>
      <c r="AC19" s="22">
        <v>7.7240000000000002</v>
      </c>
      <c r="AD19" s="22">
        <v>7.8789999999999996</v>
      </c>
      <c r="AE19" s="22">
        <v>8.5530000000000008</v>
      </c>
      <c r="AF19" s="22">
        <v>8.92</v>
      </c>
      <c r="AG19" s="22">
        <v>8.7769999999999992</v>
      </c>
      <c r="AH19" s="22">
        <v>8.8249999999999993</v>
      </c>
      <c r="AI19" s="22">
        <v>8.8140000000000001</v>
      </c>
      <c r="AJ19" s="22">
        <v>8.7609999999999992</v>
      </c>
      <c r="AK19" s="22">
        <v>8.83</v>
      </c>
      <c r="AL19" s="22">
        <v>8.9049999999999994</v>
      </c>
      <c r="AM19" s="22">
        <v>9.032</v>
      </c>
      <c r="AN19" s="22">
        <v>9.2940000000000005</v>
      </c>
      <c r="AO19" s="22">
        <v>9.6289999999999996</v>
      </c>
      <c r="AP19" s="22">
        <v>9.9290000000000003</v>
      </c>
      <c r="AQ19" s="22">
        <v>10.427</v>
      </c>
      <c r="AR19" s="22">
        <v>11.114000000000001</v>
      </c>
      <c r="AS19" s="22">
        <v>11.845000000000001</v>
      </c>
      <c r="AT19" s="22">
        <v>12.757</v>
      </c>
      <c r="AU19" s="22">
        <v>13.673999999999999</v>
      </c>
      <c r="AV19" s="22">
        <v>14.734</v>
      </c>
      <c r="AW19" s="22">
        <v>16.77</v>
      </c>
      <c r="AX19" s="22">
        <v>18.773</v>
      </c>
      <c r="AY19" s="22">
        <v>19.692</v>
      </c>
      <c r="AZ19" s="22">
        <v>21.401</v>
      </c>
      <c r="BA19" s="22">
        <v>23.468</v>
      </c>
      <c r="BB19" s="22">
        <v>26.193999999999999</v>
      </c>
      <c r="BC19" s="22">
        <v>28.629000000000001</v>
      </c>
      <c r="BD19" s="22">
        <v>32.566000000000003</v>
      </c>
      <c r="BE19" s="22">
        <v>35.136000000000003</v>
      </c>
      <c r="BF19" s="22">
        <v>34.241</v>
      </c>
      <c r="BG19" s="22">
        <v>34.54</v>
      </c>
      <c r="BH19" s="22">
        <v>35.360999999999997</v>
      </c>
      <c r="BI19" s="22">
        <v>36.039000000000001</v>
      </c>
      <c r="BJ19" s="22">
        <v>36.618000000000002</v>
      </c>
      <c r="BK19" s="22">
        <v>38.170999999999999</v>
      </c>
      <c r="BL19" s="22">
        <v>39.665999999999997</v>
      </c>
      <c r="BM19" s="22">
        <v>40.948</v>
      </c>
      <c r="BN19" s="22">
        <v>41.689</v>
      </c>
      <c r="BO19" s="22">
        <v>41.698999999999998</v>
      </c>
      <c r="BP19" s="22">
        <v>42.921999999999997</v>
      </c>
      <c r="BQ19" s="22">
        <v>44.436999999999998</v>
      </c>
      <c r="BR19" s="22">
        <v>46.362000000000002</v>
      </c>
      <c r="BS19" s="22">
        <v>47.54</v>
      </c>
      <c r="BT19" s="22">
        <v>49.354999999999997</v>
      </c>
      <c r="BU19" s="22">
        <v>51.612000000000002</v>
      </c>
      <c r="BV19" s="22">
        <v>53.198</v>
      </c>
      <c r="BW19" s="22">
        <v>55.283000000000001</v>
      </c>
      <c r="BX19" s="22">
        <v>58.177999999999997</v>
      </c>
      <c r="BY19" s="22">
        <v>60.603000000000002</v>
      </c>
      <c r="BZ19" s="22">
        <v>62.768999999999998</v>
      </c>
      <c r="CA19" s="22">
        <v>67.415999999999997</v>
      </c>
      <c r="CB19" s="22">
        <v>75.733000000000004</v>
      </c>
      <c r="CC19" s="22">
        <v>84.748999999999995</v>
      </c>
      <c r="CD19" s="22">
        <v>89.748000000000005</v>
      </c>
      <c r="CE19" s="22">
        <v>94.334999999999994</v>
      </c>
      <c r="CF19" s="22">
        <v>92.613</v>
      </c>
      <c r="CG19" s="22">
        <v>92.006</v>
      </c>
      <c r="CH19" s="22">
        <v>95.361999999999995</v>
      </c>
      <c r="CI19" s="22">
        <v>100</v>
      </c>
      <c r="CJ19" s="22">
        <v>101.455</v>
      </c>
      <c r="CK19" s="22">
        <v>107.19799999999999</v>
      </c>
      <c r="CL19" s="22">
        <v>109.40300000000001</v>
      </c>
      <c r="CM19" s="22">
        <v>109.76300000000001</v>
      </c>
      <c r="CN19" s="22">
        <v>112.66800000000001</v>
      </c>
      <c r="CO19" s="22">
        <v>114.563</v>
      </c>
      <c r="CP19" s="22">
        <v>118.709</v>
      </c>
      <c r="CQ19" s="22">
        <v>119.97199999999999</v>
      </c>
      <c r="CR19" s="22">
        <v>127.67400000000001</v>
      </c>
    </row>
    <row r="20" spans="1:96">
      <c r="A20" t="s">
        <v>396</v>
      </c>
      <c r="B20" t="s">
        <v>397</v>
      </c>
      <c r="C20" t="s">
        <v>398</v>
      </c>
      <c r="D20" s="22">
        <v>25.023</v>
      </c>
      <c r="E20" s="22">
        <v>24.021000000000001</v>
      </c>
      <c r="F20" s="22">
        <v>22.768000000000001</v>
      </c>
      <c r="G20" s="22">
        <v>21.474</v>
      </c>
      <c r="H20" s="22">
        <v>20.631</v>
      </c>
      <c r="I20" s="22">
        <v>21.795000000000002</v>
      </c>
      <c r="J20" s="22">
        <v>21.602</v>
      </c>
      <c r="K20" s="22">
        <v>21.568999999999999</v>
      </c>
      <c r="L20" s="22">
        <v>22.803000000000001</v>
      </c>
      <c r="M20" s="22">
        <v>23.352</v>
      </c>
      <c r="N20" s="22">
        <v>23.106000000000002</v>
      </c>
      <c r="O20" s="22">
        <v>23.725000000000001</v>
      </c>
      <c r="P20" s="22">
        <v>25.233000000000001</v>
      </c>
      <c r="Q20" s="22">
        <v>27.751999999999999</v>
      </c>
      <c r="R20" s="22">
        <v>27.896999999999998</v>
      </c>
      <c r="S20" s="22">
        <v>28.433</v>
      </c>
      <c r="T20" s="22">
        <v>28.913</v>
      </c>
      <c r="U20" s="22">
        <v>31.651</v>
      </c>
      <c r="V20" s="22">
        <v>35.856000000000002</v>
      </c>
      <c r="W20" s="22">
        <v>38.442</v>
      </c>
      <c r="X20" s="22">
        <v>39.972000000000001</v>
      </c>
      <c r="Y20" s="22">
        <v>40.978999999999999</v>
      </c>
      <c r="Z20" s="22">
        <v>44.46</v>
      </c>
      <c r="AA20" s="22">
        <v>45.356999999999999</v>
      </c>
      <c r="AB20" s="22">
        <v>45.552</v>
      </c>
      <c r="AC20" s="22">
        <v>46.612000000000002</v>
      </c>
      <c r="AD20" s="22">
        <v>46.997999999999998</v>
      </c>
      <c r="AE20" s="22">
        <v>50.493000000000002</v>
      </c>
      <c r="AF20" s="22">
        <v>53.335999999999999</v>
      </c>
      <c r="AG20" s="22">
        <v>54.375</v>
      </c>
      <c r="AH20" s="22">
        <v>55.371000000000002</v>
      </c>
      <c r="AI20" s="22">
        <v>55.838000000000001</v>
      </c>
      <c r="AJ20" s="22">
        <v>55.534999999999997</v>
      </c>
      <c r="AK20" s="22">
        <v>55.271999999999998</v>
      </c>
      <c r="AL20" s="22">
        <v>54.984999999999999</v>
      </c>
      <c r="AM20" s="22">
        <v>54.954999999999998</v>
      </c>
      <c r="AN20" s="22">
        <v>55.026000000000003</v>
      </c>
      <c r="AO20" s="22">
        <v>55.204000000000001</v>
      </c>
      <c r="AP20" s="22">
        <v>56.466999999999999</v>
      </c>
      <c r="AQ20" s="22">
        <v>58.017000000000003</v>
      </c>
      <c r="AR20" s="22">
        <v>59.656999999999996</v>
      </c>
      <c r="AS20" s="22">
        <v>61.890999999999998</v>
      </c>
      <c r="AT20" s="22">
        <v>63.847999999999999</v>
      </c>
      <c r="AU20" s="22">
        <v>64.686000000000007</v>
      </c>
      <c r="AV20" s="22">
        <v>65.78</v>
      </c>
      <c r="AW20" s="22">
        <v>70.712999999999994</v>
      </c>
      <c r="AX20" s="22">
        <v>81.483999999999995</v>
      </c>
      <c r="AY20" s="22">
        <v>86.486000000000004</v>
      </c>
      <c r="AZ20" s="22">
        <v>91.8</v>
      </c>
      <c r="BA20" s="22">
        <v>96.9</v>
      </c>
      <c r="BB20" s="22">
        <v>103.167</v>
      </c>
      <c r="BC20" s="22">
        <v>112.249</v>
      </c>
      <c r="BD20" s="22">
        <v>120.46299999999999</v>
      </c>
      <c r="BE20" s="22">
        <v>125.41500000000001</v>
      </c>
      <c r="BF20" s="22">
        <v>125.776</v>
      </c>
      <c r="BG20" s="22">
        <v>124.748</v>
      </c>
      <c r="BH20" s="22">
        <v>124.748</v>
      </c>
      <c r="BI20" s="22">
        <v>127.254</v>
      </c>
      <c r="BJ20" s="22">
        <v>128.083</v>
      </c>
      <c r="BK20" s="22">
        <v>129.85400000000001</v>
      </c>
      <c r="BL20" s="22">
        <v>132.33699999999999</v>
      </c>
      <c r="BM20" s="22">
        <v>135.042</v>
      </c>
      <c r="BN20" s="22">
        <v>137.33000000000001</v>
      </c>
      <c r="BO20" s="22">
        <v>137.12100000000001</v>
      </c>
      <c r="BP20" s="22">
        <v>135.518</v>
      </c>
      <c r="BQ20" s="22">
        <v>135.27699999999999</v>
      </c>
      <c r="BR20" s="22">
        <v>133.79599999999999</v>
      </c>
      <c r="BS20" s="22">
        <v>130.762</v>
      </c>
      <c r="BT20" s="22">
        <v>127.15600000000001</v>
      </c>
      <c r="BU20" s="22">
        <v>121.45099999999999</v>
      </c>
      <c r="BV20" s="22">
        <v>116.76300000000001</v>
      </c>
      <c r="BW20" s="22">
        <v>114.224</v>
      </c>
      <c r="BX20" s="22">
        <v>110.858</v>
      </c>
      <c r="BY20" s="22">
        <v>108.53100000000001</v>
      </c>
      <c r="BZ20" s="22">
        <v>105.72499999999999</v>
      </c>
      <c r="CA20" s="22">
        <v>104.84099999999999</v>
      </c>
      <c r="CB20" s="22">
        <v>104.598</v>
      </c>
      <c r="CC20" s="22">
        <v>103.56</v>
      </c>
      <c r="CD20" s="22">
        <v>103.191</v>
      </c>
      <c r="CE20" s="22">
        <v>102.542</v>
      </c>
      <c r="CF20" s="22">
        <v>103.169</v>
      </c>
      <c r="CG20" s="22">
        <v>99.471000000000004</v>
      </c>
      <c r="CH20" s="22">
        <v>99.447000000000003</v>
      </c>
      <c r="CI20" s="22">
        <v>100</v>
      </c>
      <c r="CJ20" s="22">
        <v>99.787000000000006</v>
      </c>
      <c r="CK20" s="22">
        <v>99.168999999999997</v>
      </c>
      <c r="CL20" s="22">
        <v>98.671000000000006</v>
      </c>
      <c r="CM20" s="22">
        <v>97.620999999999995</v>
      </c>
      <c r="CN20" s="22">
        <v>97.564999999999998</v>
      </c>
      <c r="CO20" s="22">
        <v>97.685000000000002</v>
      </c>
      <c r="CP20" s="22">
        <v>97.888000000000005</v>
      </c>
      <c r="CQ20" s="22">
        <v>97.688000000000002</v>
      </c>
      <c r="CR20" s="22">
        <v>97.686999999999998</v>
      </c>
    </row>
    <row r="21" spans="1:96">
      <c r="A21" t="s">
        <v>399</v>
      </c>
      <c r="B21" t="s">
        <v>400</v>
      </c>
      <c r="C21" t="s">
        <v>401</v>
      </c>
      <c r="D21" s="22">
        <v>16.064</v>
      </c>
      <c r="E21" s="22">
        <v>15.378</v>
      </c>
      <c r="F21" s="22">
        <v>14.409000000000001</v>
      </c>
      <c r="G21" s="22">
        <v>13.092000000000001</v>
      </c>
      <c r="H21" s="22">
        <v>12.18</v>
      </c>
      <c r="I21" s="22">
        <v>12.397</v>
      </c>
      <c r="J21" s="22">
        <v>12.598000000000001</v>
      </c>
      <c r="K21" s="22">
        <v>12.9</v>
      </c>
      <c r="L21" s="22">
        <v>13.403</v>
      </c>
      <c r="M21" s="22">
        <v>13.339</v>
      </c>
      <c r="N21" s="22">
        <v>13.411</v>
      </c>
      <c r="O21" s="22">
        <v>13.622</v>
      </c>
      <c r="P21" s="22">
        <v>14.4</v>
      </c>
      <c r="Q21" s="22">
        <v>15.999000000000001</v>
      </c>
      <c r="R21" s="22">
        <v>17.670999999999999</v>
      </c>
      <c r="S21" s="22">
        <v>19.195</v>
      </c>
      <c r="T21" s="22">
        <v>19.722999999999999</v>
      </c>
      <c r="U21" s="22">
        <v>20.773</v>
      </c>
      <c r="V21" s="22">
        <v>22.81</v>
      </c>
      <c r="W21" s="22">
        <v>23.992999999999999</v>
      </c>
      <c r="X21" s="22">
        <v>24.033999999999999</v>
      </c>
      <c r="Y21" s="22">
        <v>24.597000000000001</v>
      </c>
      <c r="Z21" s="22">
        <v>26.109000000000002</v>
      </c>
      <c r="AA21" s="22">
        <v>26.44</v>
      </c>
      <c r="AB21" s="22">
        <v>26.901</v>
      </c>
      <c r="AC21" s="22">
        <v>27.093</v>
      </c>
      <c r="AD21" s="22">
        <v>27.736999999999998</v>
      </c>
      <c r="AE21" s="22">
        <v>28.792000000000002</v>
      </c>
      <c r="AF21" s="22">
        <v>29.706</v>
      </c>
      <c r="AG21" s="22">
        <v>30.425999999999998</v>
      </c>
      <c r="AH21" s="22">
        <v>30.922000000000001</v>
      </c>
      <c r="AI21" s="22">
        <v>31.393000000000001</v>
      </c>
      <c r="AJ21" s="22">
        <v>31.596</v>
      </c>
      <c r="AK21" s="22">
        <v>31.751000000000001</v>
      </c>
      <c r="AL21" s="22">
        <v>31.791</v>
      </c>
      <c r="AM21" s="22">
        <v>32.281999999999996</v>
      </c>
      <c r="AN21" s="22">
        <v>32.509</v>
      </c>
      <c r="AO21" s="22">
        <v>33.002000000000002</v>
      </c>
      <c r="AP21" s="22">
        <v>33.505000000000003</v>
      </c>
      <c r="AQ21" s="22">
        <v>34.676000000000002</v>
      </c>
      <c r="AR21" s="22">
        <v>36.204000000000001</v>
      </c>
      <c r="AS21" s="22">
        <v>37.929000000000002</v>
      </c>
      <c r="AT21" s="22">
        <v>39.317999999999998</v>
      </c>
      <c r="AU21" s="22">
        <v>40.49</v>
      </c>
      <c r="AV21" s="22">
        <v>42.494</v>
      </c>
      <c r="AW21" s="22">
        <v>46.460999999999999</v>
      </c>
      <c r="AX21" s="22">
        <v>50.19</v>
      </c>
      <c r="AY21" s="22">
        <v>52.408000000000001</v>
      </c>
      <c r="AZ21" s="22">
        <v>54.709000000000003</v>
      </c>
      <c r="BA21" s="22">
        <v>57.557000000000002</v>
      </c>
      <c r="BB21" s="22">
        <v>61.381999999999998</v>
      </c>
      <c r="BC21" s="22">
        <v>66.123000000000005</v>
      </c>
      <c r="BD21" s="22">
        <v>71.058000000000007</v>
      </c>
      <c r="BE21" s="22">
        <v>75.093000000000004</v>
      </c>
      <c r="BF21" s="22">
        <v>77.897999999999996</v>
      </c>
      <c r="BG21" s="22">
        <v>80.081000000000003</v>
      </c>
      <c r="BH21" s="22">
        <v>81.412999999999997</v>
      </c>
      <c r="BI21" s="22">
        <v>82.046999999999997</v>
      </c>
      <c r="BJ21" s="22">
        <v>83.518000000000001</v>
      </c>
      <c r="BK21" s="22">
        <v>86.129000000000005</v>
      </c>
      <c r="BL21" s="22">
        <v>87.24</v>
      </c>
      <c r="BM21" s="22">
        <v>88.147000000000006</v>
      </c>
      <c r="BN21" s="22">
        <v>90.271000000000001</v>
      </c>
      <c r="BO21" s="22">
        <v>89.373000000000005</v>
      </c>
      <c r="BP21" s="22">
        <v>89.998000000000005</v>
      </c>
      <c r="BQ21" s="22">
        <v>90.468000000000004</v>
      </c>
      <c r="BR21" s="22">
        <v>93.134</v>
      </c>
      <c r="BS21" s="22">
        <v>93.543999999999997</v>
      </c>
      <c r="BT21" s="22">
        <v>94.052000000000007</v>
      </c>
      <c r="BU21" s="22">
        <v>93.594999999999999</v>
      </c>
      <c r="BV21" s="22">
        <v>95.105000000000004</v>
      </c>
      <c r="BW21" s="22">
        <v>97.813999999999993</v>
      </c>
      <c r="BX21" s="22">
        <v>97.683999999999997</v>
      </c>
      <c r="BY21" s="22">
        <v>96.376000000000005</v>
      </c>
      <c r="BZ21" s="22">
        <v>95.647000000000006</v>
      </c>
      <c r="CA21" s="22">
        <v>95.334999999999994</v>
      </c>
      <c r="CB21" s="22">
        <v>95.951999999999998</v>
      </c>
      <c r="CC21" s="22">
        <v>97.087999999999994</v>
      </c>
      <c r="CD21" s="22">
        <v>98.284000000000006</v>
      </c>
      <c r="CE21" s="22">
        <v>99.834000000000003</v>
      </c>
      <c r="CF21" s="22">
        <v>98.588999999999999</v>
      </c>
      <c r="CG21" s="22">
        <v>98.305999999999997</v>
      </c>
      <c r="CH21" s="22">
        <v>99.516999999999996</v>
      </c>
      <c r="CI21" s="22">
        <v>100</v>
      </c>
      <c r="CJ21" s="22">
        <v>100.081</v>
      </c>
      <c r="CK21" s="22">
        <v>100.791</v>
      </c>
      <c r="CL21" s="22">
        <v>101.374</v>
      </c>
      <c r="CM21" s="22">
        <v>100.232</v>
      </c>
      <c r="CN21" s="22">
        <v>101.065</v>
      </c>
      <c r="CO21" s="22">
        <v>102.372</v>
      </c>
      <c r="CP21" s="22">
        <v>103.68300000000001</v>
      </c>
      <c r="CQ21" s="22">
        <v>104.672</v>
      </c>
      <c r="CR21" s="22">
        <v>105.595</v>
      </c>
    </row>
    <row r="22" spans="1:96">
      <c r="A22" t="s">
        <v>402</v>
      </c>
      <c r="B22" t="s">
        <v>403</v>
      </c>
      <c r="C22" t="s">
        <v>404</v>
      </c>
      <c r="D22" s="22">
        <v>5.0709999999999997</v>
      </c>
      <c r="E22" s="22">
        <v>4.9619999999999997</v>
      </c>
      <c r="F22" s="22">
        <v>4.4930000000000003</v>
      </c>
      <c r="G22" s="22">
        <v>3.6629999999999998</v>
      </c>
      <c r="H22" s="22">
        <v>3.6070000000000002</v>
      </c>
      <c r="I22" s="22">
        <v>4.0060000000000002</v>
      </c>
      <c r="J22" s="22">
        <v>3.95</v>
      </c>
      <c r="K22" s="22">
        <v>4.1420000000000003</v>
      </c>
      <c r="L22" s="22">
        <v>4.5469999999999997</v>
      </c>
      <c r="M22" s="22">
        <v>4.6920000000000002</v>
      </c>
      <c r="N22" s="22">
        <v>4.7220000000000004</v>
      </c>
      <c r="O22" s="22">
        <v>4.8639999999999999</v>
      </c>
      <c r="P22" s="22">
        <v>5.3140000000000001</v>
      </c>
      <c r="Q22" s="22">
        <v>5.7080000000000002</v>
      </c>
      <c r="R22" s="22">
        <v>6.1760000000000002</v>
      </c>
      <c r="S22" s="22">
        <v>6.7750000000000004</v>
      </c>
      <c r="T22" s="22">
        <v>7.2320000000000002</v>
      </c>
      <c r="U22" s="22">
        <v>7.8490000000000002</v>
      </c>
      <c r="V22" s="22">
        <v>9.4019999999999992</v>
      </c>
      <c r="W22" s="22">
        <v>10.192</v>
      </c>
      <c r="X22" s="22">
        <v>10.327</v>
      </c>
      <c r="Y22" s="22">
        <v>10.582000000000001</v>
      </c>
      <c r="Z22" s="22">
        <v>11.34</v>
      </c>
      <c r="AA22" s="22">
        <v>11.651999999999999</v>
      </c>
      <c r="AB22" s="22">
        <v>11.736000000000001</v>
      </c>
      <c r="AC22" s="22">
        <v>11.782999999999999</v>
      </c>
      <c r="AD22" s="22">
        <v>12.028</v>
      </c>
      <c r="AE22" s="22">
        <v>12.335000000000001</v>
      </c>
      <c r="AF22" s="22">
        <v>12.368</v>
      </c>
      <c r="AG22" s="22">
        <v>12.337999999999999</v>
      </c>
      <c r="AH22" s="22">
        <v>12.374000000000001</v>
      </c>
      <c r="AI22" s="22">
        <v>12.458</v>
      </c>
      <c r="AJ22" s="22">
        <v>12.477</v>
      </c>
      <c r="AK22" s="22">
        <v>12.497</v>
      </c>
      <c r="AL22" s="22">
        <v>12.398999999999999</v>
      </c>
      <c r="AM22" s="22">
        <v>12.496</v>
      </c>
      <c r="AN22" s="22">
        <v>12.846</v>
      </c>
      <c r="AO22" s="22">
        <v>13.311999999999999</v>
      </c>
      <c r="AP22" s="22">
        <v>13.77</v>
      </c>
      <c r="AQ22" s="22">
        <v>14.497999999999999</v>
      </c>
      <c r="AR22" s="22">
        <v>15.518000000000001</v>
      </c>
      <c r="AS22" s="22">
        <v>16.015999999999998</v>
      </c>
      <c r="AT22" s="22">
        <v>16.943000000000001</v>
      </c>
      <c r="AU22" s="22">
        <v>17.975000000000001</v>
      </c>
      <c r="AV22" s="22">
        <v>19.571000000000002</v>
      </c>
      <c r="AW22" s="22">
        <v>21.593</v>
      </c>
      <c r="AX22" s="22">
        <v>23.59</v>
      </c>
      <c r="AY22" s="22">
        <v>25.117000000000001</v>
      </c>
      <c r="AZ22" s="22">
        <v>27.683</v>
      </c>
      <c r="BA22" s="22">
        <v>31.082000000000001</v>
      </c>
      <c r="BB22" s="22">
        <v>34.593000000000004</v>
      </c>
      <c r="BC22" s="22">
        <v>38.325000000000003</v>
      </c>
      <c r="BD22" s="22">
        <v>41.424999999999997</v>
      </c>
      <c r="BE22" s="22">
        <v>43.646000000000001</v>
      </c>
      <c r="BF22" s="22">
        <v>44.68</v>
      </c>
      <c r="BG22" s="22">
        <v>46.003</v>
      </c>
      <c r="BH22" s="22">
        <v>47.267000000000003</v>
      </c>
      <c r="BI22" s="22">
        <v>49.350999999999999</v>
      </c>
      <c r="BJ22" s="22">
        <v>51.485999999999997</v>
      </c>
      <c r="BK22" s="22">
        <v>53.277999999999999</v>
      </c>
      <c r="BL22" s="22">
        <v>55.02</v>
      </c>
      <c r="BM22" s="22">
        <v>56.287999999999997</v>
      </c>
      <c r="BN22" s="22">
        <v>57.021000000000001</v>
      </c>
      <c r="BO22" s="22">
        <v>57.722999999999999</v>
      </c>
      <c r="BP22" s="22">
        <v>60.073999999999998</v>
      </c>
      <c r="BQ22" s="22">
        <v>62.247</v>
      </c>
      <c r="BR22" s="22">
        <v>64.472999999999999</v>
      </c>
      <c r="BS22" s="22">
        <v>65.855999999999995</v>
      </c>
      <c r="BT22" s="22">
        <v>67.444000000000003</v>
      </c>
      <c r="BU22" s="22">
        <v>69.222999999999999</v>
      </c>
      <c r="BV22" s="22">
        <v>71.816000000000003</v>
      </c>
      <c r="BW22" s="22">
        <v>75.004000000000005</v>
      </c>
      <c r="BX22" s="22">
        <v>78.563999999999993</v>
      </c>
      <c r="BY22" s="22">
        <v>80.510000000000005</v>
      </c>
      <c r="BZ22" s="22">
        <v>84.325000000000003</v>
      </c>
      <c r="CA22" s="22">
        <v>90.242999999999995</v>
      </c>
      <c r="CB22" s="22">
        <v>96.706000000000003</v>
      </c>
      <c r="CC22" s="22">
        <v>102.355</v>
      </c>
      <c r="CD22" s="22">
        <v>103.708</v>
      </c>
      <c r="CE22" s="22">
        <v>102.249</v>
      </c>
      <c r="CF22" s="22">
        <v>98.671000000000006</v>
      </c>
      <c r="CG22" s="22">
        <v>98.316999999999993</v>
      </c>
      <c r="CH22" s="22">
        <v>99.049000000000007</v>
      </c>
      <c r="CI22" s="22">
        <v>100</v>
      </c>
      <c r="CJ22" s="22">
        <v>105.054</v>
      </c>
      <c r="CK22" s="22">
        <v>111.11799999999999</v>
      </c>
      <c r="CL22" s="22">
        <v>114.114</v>
      </c>
      <c r="CM22" s="22">
        <v>118.134</v>
      </c>
      <c r="CN22" s="22">
        <v>123.497</v>
      </c>
      <c r="CO22" s="22">
        <v>130.47</v>
      </c>
      <c r="CP22" s="22">
        <v>134.18199999999999</v>
      </c>
      <c r="CQ22" s="22">
        <v>138.61799999999999</v>
      </c>
      <c r="CR22" s="22">
        <v>153.74799999999999</v>
      </c>
    </row>
    <row r="23" spans="1:96">
      <c r="A23" t="s">
        <v>405</v>
      </c>
      <c r="B23" t="s">
        <v>406</v>
      </c>
      <c r="C23" t="s">
        <v>407</v>
      </c>
      <c r="D23" s="23" t="s">
        <v>408</v>
      </c>
      <c r="E23" s="23" t="s">
        <v>408</v>
      </c>
      <c r="F23" s="23" t="s">
        <v>408</v>
      </c>
      <c r="G23" s="23" t="s">
        <v>408</v>
      </c>
      <c r="H23" s="23" t="s">
        <v>408</v>
      </c>
      <c r="I23" s="23" t="s">
        <v>408</v>
      </c>
      <c r="J23" s="23" t="s">
        <v>408</v>
      </c>
      <c r="K23" s="23" t="s">
        <v>408</v>
      </c>
      <c r="L23" s="23" t="s">
        <v>408</v>
      </c>
      <c r="M23" s="23" t="s">
        <v>408</v>
      </c>
      <c r="N23" s="23" t="s">
        <v>408</v>
      </c>
      <c r="O23" s="23" t="s">
        <v>408</v>
      </c>
      <c r="P23" s="23" t="s">
        <v>408</v>
      </c>
      <c r="Q23" s="23" t="s">
        <v>408</v>
      </c>
      <c r="R23" s="23" t="s">
        <v>408</v>
      </c>
      <c r="S23" s="23" t="s">
        <v>408</v>
      </c>
      <c r="T23" s="23" t="s">
        <v>408</v>
      </c>
      <c r="U23" s="23" t="s">
        <v>408</v>
      </c>
      <c r="V23" s="23" t="s">
        <v>408</v>
      </c>
      <c r="W23" s="23" t="s">
        <v>408</v>
      </c>
      <c r="X23" s="23" t="s">
        <v>408</v>
      </c>
      <c r="Y23" s="23" t="s">
        <v>408</v>
      </c>
      <c r="Z23" s="23" t="s">
        <v>408</v>
      </c>
      <c r="AA23" s="23" t="s">
        <v>408</v>
      </c>
      <c r="AB23" s="23" t="s">
        <v>408</v>
      </c>
      <c r="AC23" s="23" t="s">
        <v>408</v>
      </c>
      <c r="AD23" s="23" t="s">
        <v>408</v>
      </c>
      <c r="AE23" s="23" t="s">
        <v>408</v>
      </c>
      <c r="AF23" s="23" t="s">
        <v>408</v>
      </c>
      <c r="AG23" s="23" t="s">
        <v>408</v>
      </c>
      <c r="AH23" s="23" t="s">
        <v>408</v>
      </c>
      <c r="AI23" s="23" t="s">
        <v>408</v>
      </c>
      <c r="AJ23" s="23" t="s">
        <v>408</v>
      </c>
      <c r="AK23" s="23" t="s">
        <v>408</v>
      </c>
      <c r="AL23" s="23" t="s">
        <v>408</v>
      </c>
      <c r="AM23" s="23" t="s">
        <v>408</v>
      </c>
      <c r="AN23" s="23" t="s">
        <v>408</v>
      </c>
      <c r="AO23" s="23" t="s">
        <v>408</v>
      </c>
      <c r="AP23" s="23" t="s">
        <v>408</v>
      </c>
      <c r="AQ23" s="23" t="s">
        <v>408</v>
      </c>
      <c r="AR23" s="23" t="s">
        <v>408</v>
      </c>
      <c r="AS23" s="23" t="s">
        <v>408</v>
      </c>
      <c r="AT23" s="23" t="s">
        <v>408</v>
      </c>
      <c r="AU23" s="23" t="s">
        <v>408</v>
      </c>
      <c r="AV23" s="23" t="s">
        <v>408</v>
      </c>
      <c r="AW23" s="23" t="s">
        <v>408</v>
      </c>
      <c r="AX23" s="23" t="s">
        <v>408</v>
      </c>
      <c r="AY23" s="23" t="s">
        <v>408</v>
      </c>
      <c r="AZ23" s="23" t="s">
        <v>408</v>
      </c>
      <c r="BA23" s="23" t="s">
        <v>408</v>
      </c>
      <c r="BB23" s="23" t="s">
        <v>408</v>
      </c>
      <c r="BC23" s="23" t="s">
        <v>408</v>
      </c>
      <c r="BD23" s="23" t="s">
        <v>408</v>
      </c>
      <c r="BE23" s="23" t="s">
        <v>408</v>
      </c>
      <c r="BF23" s="23" t="s">
        <v>408</v>
      </c>
      <c r="BG23" s="23" t="s">
        <v>408</v>
      </c>
      <c r="BH23" s="23" t="s">
        <v>408</v>
      </c>
      <c r="BI23" s="23" t="s">
        <v>408</v>
      </c>
      <c r="BJ23" s="23" t="s">
        <v>408</v>
      </c>
      <c r="BK23" s="23" t="s">
        <v>408</v>
      </c>
      <c r="BL23" s="23" t="s">
        <v>408</v>
      </c>
      <c r="BM23" s="23" t="s">
        <v>408</v>
      </c>
      <c r="BN23" s="23" t="s">
        <v>408</v>
      </c>
      <c r="BO23" s="23" t="s">
        <v>408</v>
      </c>
      <c r="BP23" s="23" t="s">
        <v>408</v>
      </c>
      <c r="BQ23" s="23" t="s">
        <v>408</v>
      </c>
      <c r="BR23" s="23" t="s">
        <v>408</v>
      </c>
      <c r="BS23" s="23" t="s">
        <v>408</v>
      </c>
      <c r="BT23" s="23" t="s">
        <v>408</v>
      </c>
      <c r="BU23" s="23" t="s">
        <v>408</v>
      </c>
      <c r="BV23" s="23" t="s">
        <v>408</v>
      </c>
      <c r="BW23" s="23" t="s">
        <v>408</v>
      </c>
      <c r="BX23" s="23" t="s">
        <v>408</v>
      </c>
      <c r="BY23" s="23" t="s">
        <v>408</v>
      </c>
      <c r="BZ23" s="23" t="s">
        <v>408</v>
      </c>
      <c r="CA23" s="23" t="s">
        <v>408</v>
      </c>
      <c r="CB23" s="23" t="s">
        <v>408</v>
      </c>
      <c r="CC23" s="23" t="s">
        <v>408</v>
      </c>
      <c r="CD23" s="23" t="s">
        <v>408</v>
      </c>
      <c r="CE23" s="23" t="s">
        <v>408</v>
      </c>
      <c r="CF23" s="23" t="s">
        <v>408</v>
      </c>
      <c r="CG23" s="23" t="s">
        <v>408</v>
      </c>
      <c r="CH23" s="23" t="s">
        <v>408</v>
      </c>
      <c r="CI23" s="23" t="s">
        <v>408</v>
      </c>
      <c r="CJ23" s="23" t="s">
        <v>408</v>
      </c>
      <c r="CK23" s="23" t="s">
        <v>408</v>
      </c>
      <c r="CL23" s="23" t="s">
        <v>408</v>
      </c>
      <c r="CM23" s="23" t="s">
        <v>408</v>
      </c>
      <c r="CN23" s="23" t="s">
        <v>408</v>
      </c>
      <c r="CO23" s="23" t="s">
        <v>408</v>
      </c>
      <c r="CP23" s="23" t="s">
        <v>408</v>
      </c>
      <c r="CQ23" s="23" t="s">
        <v>408</v>
      </c>
      <c r="CR23" s="23" t="s">
        <v>408</v>
      </c>
    </row>
    <row r="24" spans="1:96">
      <c r="A24" t="s">
        <v>409</v>
      </c>
      <c r="B24" t="s">
        <v>410</v>
      </c>
      <c r="C24" t="s">
        <v>407</v>
      </c>
      <c r="D24" s="23" t="s">
        <v>408</v>
      </c>
      <c r="E24" s="23" t="s">
        <v>408</v>
      </c>
      <c r="F24" s="23" t="s">
        <v>408</v>
      </c>
      <c r="G24" s="23" t="s">
        <v>408</v>
      </c>
      <c r="H24" s="23" t="s">
        <v>408</v>
      </c>
      <c r="I24" s="23" t="s">
        <v>408</v>
      </c>
      <c r="J24" s="23" t="s">
        <v>408</v>
      </c>
      <c r="K24" s="23" t="s">
        <v>408</v>
      </c>
      <c r="L24" s="23" t="s">
        <v>408</v>
      </c>
      <c r="M24" s="23" t="s">
        <v>408</v>
      </c>
      <c r="N24" s="23" t="s">
        <v>408</v>
      </c>
      <c r="O24" s="23" t="s">
        <v>408</v>
      </c>
      <c r="P24" s="23" t="s">
        <v>408</v>
      </c>
      <c r="Q24" s="23" t="s">
        <v>408</v>
      </c>
      <c r="R24" s="23" t="s">
        <v>408</v>
      </c>
      <c r="S24" s="23" t="s">
        <v>408</v>
      </c>
      <c r="T24" s="23" t="s">
        <v>408</v>
      </c>
      <c r="U24" s="23" t="s">
        <v>408</v>
      </c>
      <c r="V24" s="23" t="s">
        <v>408</v>
      </c>
      <c r="W24" s="23" t="s">
        <v>408</v>
      </c>
      <c r="X24" s="23" t="s">
        <v>408</v>
      </c>
      <c r="Y24" s="23" t="s">
        <v>408</v>
      </c>
      <c r="Z24" s="23" t="s">
        <v>408</v>
      </c>
      <c r="AA24" s="23" t="s">
        <v>408</v>
      </c>
      <c r="AB24" s="23" t="s">
        <v>408</v>
      </c>
      <c r="AC24" s="23" t="s">
        <v>408</v>
      </c>
      <c r="AD24" s="23" t="s">
        <v>408</v>
      </c>
      <c r="AE24" s="23" t="s">
        <v>408</v>
      </c>
      <c r="AF24" s="23" t="s">
        <v>408</v>
      </c>
      <c r="AG24" s="23" t="s">
        <v>408</v>
      </c>
      <c r="AH24" s="23" t="s">
        <v>408</v>
      </c>
      <c r="AI24" s="23" t="s">
        <v>408</v>
      </c>
      <c r="AJ24" s="23" t="s">
        <v>408</v>
      </c>
      <c r="AK24" s="23" t="s">
        <v>408</v>
      </c>
      <c r="AL24" s="23" t="s">
        <v>408</v>
      </c>
      <c r="AM24" s="23" t="s">
        <v>408</v>
      </c>
      <c r="AN24" s="23" t="s">
        <v>408</v>
      </c>
      <c r="AO24" s="23" t="s">
        <v>408</v>
      </c>
      <c r="AP24" s="23" t="s">
        <v>408</v>
      </c>
      <c r="AQ24" s="23" t="s">
        <v>408</v>
      </c>
      <c r="AR24" s="23" t="s">
        <v>408</v>
      </c>
      <c r="AS24" s="23" t="s">
        <v>408</v>
      </c>
      <c r="AT24" s="23" t="s">
        <v>408</v>
      </c>
      <c r="AU24" s="23" t="s">
        <v>408</v>
      </c>
      <c r="AV24" s="23" t="s">
        <v>408</v>
      </c>
      <c r="AW24" s="23" t="s">
        <v>408</v>
      </c>
      <c r="AX24" s="23" t="s">
        <v>408</v>
      </c>
      <c r="AY24" s="23" t="s">
        <v>408</v>
      </c>
      <c r="AZ24" s="23" t="s">
        <v>408</v>
      </c>
      <c r="BA24" s="23" t="s">
        <v>408</v>
      </c>
      <c r="BB24" s="23" t="s">
        <v>408</v>
      </c>
      <c r="BC24" s="23" t="s">
        <v>408</v>
      </c>
      <c r="BD24" s="23" t="s">
        <v>408</v>
      </c>
      <c r="BE24" s="23" t="s">
        <v>408</v>
      </c>
      <c r="BF24" s="23" t="s">
        <v>408</v>
      </c>
      <c r="BG24" s="23" t="s">
        <v>408</v>
      </c>
      <c r="BH24" s="23" t="s">
        <v>408</v>
      </c>
      <c r="BI24" s="23" t="s">
        <v>408</v>
      </c>
      <c r="BJ24" s="23" t="s">
        <v>408</v>
      </c>
      <c r="BK24" s="23" t="s">
        <v>408</v>
      </c>
      <c r="BL24" s="23" t="s">
        <v>408</v>
      </c>
      <c r="BM24" s="23" t="s">
        <v>408</v>
      </c>
      <c r="BN24" s="23" t="s">
        <v>408</v>
      </c>
      <c r="BO24" s="23" t="s">
        <v>408</v>
      </c>
      <c r="BP24" s="23" t="s">
        <v>408</v>
      </c>
      <c r="BQ24" s="23" t="s">
        <v>408</v>
      </c>
      <c r="BR24" s="23" t="s">
        <v>408</v>
      </c>
      <c r="BS24" s="23" t="s">
        <v>408</v>
      </c>
      <c r="BT24" s="23" t="s">
        <v>408</v>
      </c>
      <c r="BU24" s="23" t="s">
        <v>408</v>
      </c>
      <c r="BV24" s="23" t="s">
        <v>408</v>
      </c>
      <c r="BW24" s="23" t="s">
        <v>408</v>
      </c>
      <c r="BX24" s="23" t="s">
        <v>408</v>
      </c>
      <c r="BY24" s="23" t="s">
        <v>408</v>
      </c>
      <c r="BZ24" s="23" t="s">
        <v>408</v>
      </c>
      <c r="CA24" s="23" t="s">
        <v>408</v>
      </c>
      <c r="CB24" s="23" t="s">
        <v>408</v>
      </c>
      <c r="CC24" s="23" t="s">
        <v>408</v>
      </c>
      <c r="CD24" s="23" t="s">
        <v>408</v>
      </c>
      <c r="CE24" s="23" t="s">
        <v>408</v>
      </c>
      <c r="CF24" s="23" t="s">
        <v>408</v>
      </c>
      <c r="CG24" s="23" t="s">
        <v>408</v>
      </c>
      <c r="CH24" s="23" t="s">
        <v>408</v>
      </c>
      <c r="CI24" s="23" t="s">
        <v>408</v>
      </c>
      <c r="CJ24" s="23" t="s">
        <v>408</v>
      </c>
      <c r="CK24" s="23" t="s">
        <v>408</v>
      </c>
      <c r="CL24" s="23" t="s">
        <v>408</v>
      </c>
      <c r="CM24" s="23" t="s">
        <v>408</v>
      </c>
      <c r="CN24" s="23" t="s">
        <v>408</v>
      </c>
      <c r="CO24" s="23" t="s">
        <v>408</v>
      </c>
      <c r="CP24" s="23" t="s">
        <v>408</v>
      </c>
      <c r="CQ24" s="23" t="s">
        <v>408</v>
      </c>
      <c r="CR24" s="23" t="s">
        <v>408</v>
      </c>
    </row>
    <row r="25" spans="1:96">
      <c r="A25" t="s">
        <v>411</v>
      </c>
      <c r="B25" t="s">
        <v>412</v>
      </c>
      <c r="C25" t="s">
        <v>413</v>
      </c>
      <c r="D25" s="22">
        <v>13.651999999999999</v>
      </c>
      <c r="E25" s="22">
        <v>12.36</v>
      </c>
      <c r="F25" s="22">
        <v>9.7260000000000009</v>
      </c>
      <c r="G25" s="22">
        <v>8.4350000000000005</v>
      </c>
      <c r="H25" s="22">
        <v>8.4339999999999993</v>
      </c>
      <c r="I25" s="22">
        <v>9.7799999999999994</v>
      </c>
      <c r="J25" s="22">
        <v>10.028</v>
      </c>
      <c r="K25" s="22">
        <v>10.366</v>
      </c>
      <c r="L25" s="22">
        <v>11.055</v>
      </c>
      <c r="M25" s="22">
        <v>10.547000000000001</v>
      </c>
      <c r="N25" s="22">
        <v>10.404999999999999</v>
      </c>
      <c r="O25" s="22">
        <v>11.285</v>
      </c>
      <c r="P25" s="22">
        <v>12.321999999999999</v>
      </c>
      <c r="Q25" s="22">
        <v>14.894</v>
      </c>
      <c r="R25" s="22">
        <v>16.292999999999999</v>
      </c>
      <c r="S25" s="22">
        <v>18.350000000000001</v>
      </c>
      <c r="T25" s="22">
        <v>18.196000000000002</v>
      </c>
      <c r="U25" s="22">
        <v>17.585000000000001</v>
      </c>
      <c r="V25" s="22">
        <v>20.416</v>
      </c>
      <c r="W25" s="22">
        <v>21.504999999999999</v>
      </c>
      <c r="X25" s="22">
        <v>20.222000000000001</v>
      </c>
      <c r="Y25" s="22">
        <v>19.690999999999999</v>
      </c>
      <c r="Z25" s="22">
        <v>22.248000000000001</v>
      </c>
      <c r="AA25" s="22">
        <v>22.384</v>
      </c>
      <c r="AB25" s="22">
        <v>22.321000000000002</v>
      </c>
      <c r="AC25" s="22">
        <v>22.018000000000001</v>
      </c>
      <c r="AD25" s="22">
        <v>22.206</v>
      </c>
      <c r="AE25" s="22">
        <v>22.948</v>
      </c>
      <c r="AF25" s="22">
        <v>23.818999999999999</v>
      </c>
      <c r="AG25" s="22">
        <v>23.577999999999999</v>
      </c>
      <c r="AH25" s="22">
        <v>23.63</v>
      </c>
      <c r="AI25" s="22">
        <v>23.962</v>
      </c>
      <c r="AJ25" s="22">
        <v>24.324999999999999</v>
      </c>
      <c r="AK25" s="22">
        <v>24.384</v>
      </c>
      <c r="AL25" s="22">
        <v>24.335999999999999</v>
      </c>
      <c r="AM25" s="22">
        <v>24.530999999999999</v>
      </c>
      <c r="AN25" s="22">
        <v>25.312000000000001</v>
      </c>
      <c r="AO25" s="22">
        <v>26.079000000000001</v>
      </c>
      <c r="AP25" s="22">
        <v>27.084</v>
      </c>
      <c r="AQ25" s="22">
        <v>27.664000000000001</v>
      </c>
      <c r="AR25" s="22">
        <v>28.588999999999999</v>
      </c>
      <c r="AS25" s="22">
        <v>29.710999999999999</v>
      </c>
      <c r="AT25" s="22">
        <v>30.795999999999999</v>
      </c>
      <c r="AU25" s="22">
        <v>32.145000000000003</v>
      </c>
      <c r="AV25" s="22">
        <v>36.381999999999998</v>
      </c>
      <c r="AW25" s="22">
        <v>44.807000000000002</v>
      </c>
      <c r="AX25" s="22">
        <v>49.387999999999998</v>
      </c>
      <c r="AY25" s="22">
        <v>51.009</v>
      </c>
      <c r="AZ25" s="22">
        <v>53.088000000000001</v>
      </c>
      <c r="BA25" s="22">
        <v>56.317</v>
      </c>
      <c r="BB25" s="22">
        <v>63.100999999999999</v>
      </c>
      <c r="BC25" s="22">
        <v>69.503</v>
      </c>
      <c r="BD25" s="22">
        <v>74.650000000000006</v>
      </c>
      <c r="BE25" s="22">
        <v>75.006</v>
      </c>
      <c r="BF25" s="22">
        <v>75.311000000000007</v>
      </c>
      <c r="BG25" s="22">
        <v>76.016000000000005</v>
      </c>
      <c r="BH25" s="22">
        <v>73.753</v>
      </c>
      <c r="BI25" s="22">
        <v>72.522999999999996</v>
      </c>
      <c r="BJ25" s="22">
        <v>74.123999999999995</v>
      </c>
      <c r="BK25" s="22">
        <v>77.92</v>
      </c>
      <c r="BL25" s="22">
        <v>79.209999999999994</v>
      </c>
      <c r="BM25" s="22">
        <v>79.656999999999996</v>
      </c>
      <c r="BN25" s="22">
        <v>80.545000000000002</v>
      </c>
      <c r="BO25" s="22">
        <v>80.153000000000006</v>
      </c>
      <c r="BP25" s="22">
        <v>80.277000000000001</v>
      </c>
      <c r="BQ25" s="22">
        <v>81.209999999999994</v>
      </c>
      <c r="BR25" s="22">
        <v>83.025000000000006</v>
      </c>
      <c r="BS25" s="22">
        <v>81.923000000000002</v>
      </c>
      <c r="BT25" s="22">
        <v>80.478999999999999</v>
      </c>
      <c r="BU25" s="22">
        <v>78.573999999999998</v>
      </c>
      <c r="BV25" s="22">
        <v>77.971000000000004</v>
      </c>
      <c r="BW25" s="22">
        <v>79.466999999999999</v>
      </c>
      <c r="BX25" s="22">
        <v>78.835999999999999</v>
      </c>
      <c r="BY25" s="22">
        <v>78.200999999999993</v>
      </c>
      <c r="BZ25" s="22">
        <v>79.400000000000006</v>
      </c>
      <c r="CA25" s="22">
        <v>82.284000000000006</v>
      </c>
      <c r="CB25" s="22">
        <v>85.131</v>
      </c>
      <c r="CC25" s="22">
        <v>87.841999999999999</v>
      </c>
      <c r="CD25" s="22">
        <v>91.138999999999996</v>
      </c>
      <c r="CE25" s="22">
        <v>95.41</v>
      </c>
      <c r="CF25" s="22">
        <v>89.694000000000003</v>
      </c>
      <c r="CG25" s="22">
        <v>93.347999999999999</v>
      </c>
      <c r="CH25" s="22">
        <v>99.242000000000004</v>
      </c>
      <c r="CI25" s="22">
        <v>100</v>
      </c>
      <c r="CJ25" s="22">
        <v>100.16800000000001</v>
      </c>
      <c r="CK25" s="22">
        <v>100.27200000000001</v>
      </c>
      <c r="CL25" s="22">
        <v>95.394999999999996</v>
      </c>
      <c r="CM25" s="22">
        <v>93.49</v>
      </c>
      <c r="CN25" s="22">
        <v>95.921000000000006</v>
      </c>
      <c r="CO25" s="22">
        <v>99.183000000000007</v>
      </c>
      <c r="CP25" s="22">
        <v>98.751000000000005</v>
      </c>
      <c r="CQ25" s="22">
        <v>95.781000000000006</v>
      </c>
      <c r="CR25" s="22">
        <v>107.54900000000001</v>
      </c>
    </row>
    <row r="26" spans="1:96">
      <c r="A26" t="s">
        <v>414</v>
      </c>
      <c r="B26" t="s">
        <v>415</v>
      </c>
      <c r="C26" t="s">
        <v>416</v>
      </c>
      <c r="D26" s="22">
        <v>16.346</v>
      </c>
      <c r="E26" s="22">
        <v>14.622999999999999</v>
      </c>
      <c r="F26" s="22">
        <v>11.224</v>
      </c>
      <c r="G26" s="22">
        <v>9.6760000000000002</v>
      </c>
      <c r="H26" s="22">
        <v>10.122999999999999</v>
      </c>
      <c r="I26" s="22">
        <v>11.843</v>
      </c>
      <c r="J26" s="22">
        <v>12.132999999999999</v>
      </c>
      <c r="K26" s="22">
        <v>12.425000000000001</v>
      </c>
      <c r="L26" s="22">
        <v>13.167999999999999</v>
      </c>
      <c r="M26" s="22">
        <v>12.185</v>
      </c>
      <c r="N26" s="22">
        <v>11.917999999999999</v>
      </c>
      <c r="O26" s="22">
        <v>12.78</v>
      </c>
      <c r="P26" s="22">
        <v>13.698</v>
      </c>
      <c r="Q26" s="22">
        <v>16.681000000000001</v>
      </c>
      <c r="R26" s="22">
        <v>18.390999999999998</v>
      </c>
      <c r="S26" s="22">
        <v>21.06</v>
      </c>
      <c r="T26" s="22">
        <v>20.974</v>
      </c>
      <c r="U26" s="22">
        <v>19.907</v>
      </c>
      <c r="V26" s="22">
        <v>23.684000000000001</v>
      </c>
      <c r="W26" s="22">
        <v>25.21</v>
      </c>
      <c r="X26" s="22">
        <v>23.356000000000002</v>
      </c>
      <c r="Y26" s="22">
        <v>22.579000000000001</v>
      </c>
      <c r="Z26" s="22">
        <v>25.885999999999999</v>
      </c>
      <c r="AA26" s="22">
        <v>25.771999999999998</v>
      </c>
      <c r="AB26" s="22">
        <v>25.510999999999999</v>
      </c>
      <c r="AC26" s="22">
        <v>25.148</v>
      </c>
      <c r="AD26" s="22">
        <v>25.385000000000002</v>
      </c>
      <c r="AE26" s="22">
        <v>26.347999999999999</v>
      </c>
      <c r="AF26" s="22">
        <v>27.206</v>
      </c>
      <c r="AG26" s="22">
        <v>26.908999999999999</v>
      </c>
      <c r="AH26" s="22">
        <v>27.17</v>
      </c>
      <c r="AI26" s="22">
        <v>27.352</v>
      </c>
      <c r="AJ26" s="22">
        <v>27.872</v>
      </c>
      <c r="AK26" s="22">
        <v>27.655000000000001</v>
      </c>
      <c r="AL26" s="22">
        <v>27.565999999999999</v>
      </c>
      <c r="AM26" s="22">
        <v>27.751999999999999</v>
      </c>
      <c r="AN26" s="22">
        <v>28.718</v>
      </c>
      <c r="AO26" s="22">
        <v>29.699000000000002</v>
      </c>
      <c r="AP26" s="22">
        <v>30.943999999999999</v>
      </c>
      <c r="AQ26" s="22">
        <v>31.42</v>
      </c>
      <c r="AR26" s="22">
        <v>32.393999999999998</v>
      </c>
      <c r="AS26" s="22">
        <v>33.86</v>
      </c>
      <c r="AT26" s="22">
        <v>34.765999999999998</v>
      </c>
      <c r="AU26" s="22">
        <v>35.69</v>
      </c>
      <c r="AV26" s="22">
        <v>41.316000000000003</v>
      </c>
      <c r="AW26" s="22">
        <v>51.982999999999997</v>
      </c>
      <c r="AX26" s="22">
        <v>57.701000000000001</v>
      </c>
      <c r="AY26" s="22">
        <v>59.265000000000001</v>
      </c>
      <c r="AZ26" s="22">
        <v>61.468000000000004</v>
      </c>
      <c r="BA26" s="22">
        <v>64.998999999999995</v>
      </c>
      <c r="BB26" s="22">
        <v>73.430999999999997</v>
      </c>
      <c r="BC26" s="22">
        <v>80.463999999999999</v>
      </c>
      <c r="BD26" s="22">
        <v>86.18</v>
      </c>
      <c r="BE26" s="22">
        <v>85.471999999999994</v>
      </c>
      <c r="BF26" s="22">
        <v>84.974999999999994</v>
      </c>
      <c r="BG26" s="22">
        <v>85.741</v>
      </c>
      <c r="BH26" s="22">
        <v>81.463999999999999</v>
      </c>
      <c r="BI26" s="22">
        <v>78.668000000000006</v>
      </c>
      <c r="BJ26" s="22">
        <v>80.426000000000002</v>
      </c>
      <c r="BK26" s="22">
        <v>85.384</v>
      </c>
      <c r="BL26" s="22">
        <v>86.475999999999999</v>
      </c>
      <c r="BM26" s="22">
        <v>85.712999999999994</v>
      </c>
      <c r="BN26" s="22">
        <v>85.674000000000007</v>
      </c>
      <c r="BO26" s="22">
        <v>84.337999999999994</v>
      </c>
      <c r="BP26" s="22">
        <v>83.914000000000001</v>
      </c>
      <c r="BQ26" s="22">
        <v>84.873000000000005</v>
      </c>
      <c r="BR26" s="22">
        <v>86.887</v>
      </c>
      <c r="BS26" s="22">
        <v>84.683999999999997</v>
      </c>
      <c r="BT26" s="22">
        <v>82.335999999999999</v>
      </c>
      <c r="BU26" s="22">
        <v>79.739999999999995</v>
      </c>
      <c r="BV26" s="22">
        <v>78.661000000000001</v>
      </c>
      <c r="BW26" s="22">
        <v>80.024000000000001</v>
      </c>
      <c r="BX26" s="22">
        <v>79.557000000000002</v>
      </c>
      <c r="BY26" s="22">
        <v>78.728999999999999</v>
      </c>
      <c r="BZ26" s="22">
        <v>79.506</v>
      </c>
      <c r="CA26" s="22">
        <v>82.314999999999998</v>
      </c>
      <c r="CB26" s="22">
        <v>84.933999999999997</v>
      </c>
      <c r="CC26" s="22">
        <v>87.585999999999999</v>
      </c>
      <c r="CD26" s="22">
        <v>91.001999999999995</v>
      </c>
      <c r="CE26" s="22">
        <v>95.712999999999994</v>
      </c>
      <c r="CF26" s="22">
        <v>88.921000000000006</v>
      </c>
      <c r="CG26" s="22">
        <v>92.966999999999999</v>
      </c>
      <c r="CH26" s="22">
        <v>99.793000000000006</v>
      </c>
      <c r="CI26" s="22">
        <v>100</v>
      </c>
      <c r="CJ26" s="22">
        <v>99.311999999999998</v>
      </c>
      <c r="CK26" s="22">
        <v>98.308000000000007</v>
      </c>
      <c r="CL26" s="22">
        <v>91.305999999999997</v>
      </c>
      <c r="CM26" s="22">
        <v>87.741</v>
      </c>
      <c r="CN26" s="22">
        <v>90.028000000000006</v>
      </c>
      <c r="CO26" s="22">
        <v>93.251000000000005</v>
      </c>
      <c r="CP26" s="22">
        <v>91.820999999999998</v>
      </c>
      <c r="CQ26" s="22">
        <v>87.638999999999996</v>
      </c>
      <c r="CR26" s="22">
        <v>100.913</v>
      </c>
    </row>
    <row r="27" spans="1:96">
      <c r="A27" t="s">
        <v>417</v>
      </c>
      <c r="B27" t="s">
        <v>418</v>
      </c>
      <c r="C27" t="s">
        <v>419</v>
      </c>
      <c r="D27" s="22">
        <v>6.8090000000000002</v>
      </c>
      <c r="E27" s="22">
        <v>6.81</v>
      </c>
      <c r="F27" s="22">
        <v>6.3419999999999996</v>
      </c>
      <c r="G27" s="22">
        <v>5.6920000000000002</v>
      </c>
      <c r="H27" s="22">
        <v>4.3159999999999998</v>
      </c>
      <c r="I27" s="22">
        <v>4.7069999999999999</v>
      </c>
      <c r="J27" s="22">
        <v>4.8570000000000002</v>
      </c>
      <c r="K27" s="22">
        <v>5.3310000000000004</v>
      </c>
      <c r="L27" s="22">
        <v>5.9020000000000001</v>
      </c>
      <c r="M27" s="22">
        <v>6.7050000000000001</v>
      </c>
      <c r="N27" s="22">
        <v>6.9409999999999998</v>
      </c>
      <c r="O27" s="22">
        <v>7.9989999999999997</v>
      </c>
      <c r="P27" s="22">
        <v>9.5909999999999993</v>
      </c>
      <c r="Q27" s="22">
        <v>11.273</v>
      </c>
      <c r="R27" s="22">
        <v>12.055999999999999</v>
      </c>
      <c r="S27" s="22">
        <v>12.984999999999999</v>
      </c>
      <c r="T27" s="22">
        <v>12.683</v>
      </c>
      <c r="U27" s="22">
        <v>13.19</v>
      </c>
      <c r="V27" s="22">
        <v>13.404</v>
      </c>
      <c r="W27" s="22">
        <v>13.259</v>
      </c>
      <c r="X27" s="22">
        <v>13.551</v>
      </c>
      <c r="Y27" s="22">
        <v>13.685</v>
      </c>
      <c r="Z27" s="22">
        <v>14.404</v>
      </c>
      <c r="AA27" s="22">
        <v>15.227</v>
      </c>
      <c r="AB27" s="22">
        <v>15.680999999999999</v>
      </c>
      <c r="AC27" s="22">
        <v>15.512</v>
      </c>
      <c r="AD27" s="22">
        <v>15.583</v>
      </c>
      <c r="AE27" s="22">
        <v>15.787000000000001</v>
      </c>
      <c r="AF27" s="22">
        <v>16.777999999999999</v>
      </c>
      <c r="AG27" s="22">
        <v>16.664000000000001</v>
      </c>
      <c r="AH27" s="22">
        <v>16.286999999999999</v>
      </c>
      <c r="AI27" s="22">
        <v>16.856999999999999</v>
      </c>
      <c r="AJ27" s="22">
        <v>16.91</v>
      </c>
      <c r="AK27" s="22">
        <v>17.489000000000001</v>
      </c>
      <c r="AL27" s="22">
        <v>17.521000000000001</v>
      </c>
      <c r="AM27" s="22">
        <v>17.727</v>
      </c>
      <c r="AN27" s="22">
        <v>18.128</v>
      </c>
      <c r="AO27" s="22">
        <v>18.463000000000001</v>
      </c>
      <c r="AP27" s="22">
        <v>18.986999999999998</v>
      </c>
      <c r="AQ27" s="22">
        <v>19.734000000000002</v>
      </c>
      <c r="AR27" s="22">
        <v>20.536000000000001</v>
      </c>
      <c r="AS27" s="22">
        <v>20.975000000000001</v>
      </c>
      <c r="AT27" s="22">
        <v>22.347999999999999</v>
      </c>
      <c r="AU27" s="22">
        <v>24.431999999999999</v>
      </c>
      <c r="AV27" s="22">
        <v>25.645</v>
      </c>
      <c r="AW27" s="22">
        <v>28.882999999999999</v>
      </c>
      <c r="AX27" s="22">
        <v>30.878</v>
      </c>
      <c r="AY27" s="22">
        <v>32.664999999999999</v>
      </c>
      <c r="AZ27" s="22">
        <v>34.497999999999998</v>
      </c>
      <c r="BA27" s="22">
        <v>37.076000000000001</v>
      </c>
      <c r="BB27" s="22">
        <v>40.127000000000002</v>
      </c>
      <c r="BC27" s="22">
        <v>45.237000000000002</v>
      </c>
      <c r="BD27" s="22">
        <v>49.182000000000002</v>
      </c>
      <c r="BE27" s="22">
        <v>51.966000000000001</v>
      </c>
      <c r="BF27" s="22">
        <v>54.034999999999997</v>
      </c>
      <c r="BG27" s="22">
        <v>54.6</v>
      </c>
      <c r="BH27" s="22">
        <v>56.564999999999998</v>
      </c>
      <c r="BI27" s="22">
        <v>58.497</v>
      </c>
      <c r="BJ27" s="22">
        <v>59.75</v>
      </c>
      <c r="BK27" s="22">
        <v>61.082000000000001</v>
      </c>
      <c r="BL27" s="22">
        <v>62.774000000000001</v>
      </c>
      <c r="BM27" s="22">
        <v>65.748000000000005</v>
      </c>
      <c r="BN27" s="22">
        <v>68.555000000000007</v>
      </c>
      <c r="BO27" s="22">
        <v>70.165000000000006</v>
      </c>
      <c r="BP27" s="22">
        <v>71.456000000000003</v>
      </c>
      <c r="BQ27" s="22">
        <v>72.322999999999993</v>
      </c>
      <c r="BR27" s="22">
        <v>73.683000000000007</v>
      </c>
      <c r="BS27" s="22">
        <v>75.137</v>
      </c>
      <c r="BT27" s="22">
        <v>75.897999999999996</v>
      </c>
      <c r="BU27" s="22">
        <v>75.739999999999995</v>
      </c>
      <c r="BV27" s="22">
        <v>76.325000000000003</v>
      </c>
      <c r="BW27" s="22">
        <v>78.16</v>
      </c>
      <c r="BX27" s="22">
        <v>77.106999999999999</v>
      </c>
      <c r="BY27" s="22">
        <v>76.951999999999998</v>
      </c>
      <c r="BZ27" s="22">
        <v>79.171999999999997</v>
      </c>
      <c r="CA27" s="22">
        <v>82.236000000000004</v>
      </c>
      <c r="CB27" s="22">
        <v>85.634</v>
      </c>
      <c r="CC27" s="22">
        <v>88.49</v>
      </c>
      <c r="CD27" s="22">
        <v>91.504000000000005</v>
      </c>
      <c r="CE27" s="22">
        <v>94.745999999999995</v>
      </c>
      <c r="CF27" s="22">
        <v>91.385999999999996</v>
      </c>
      <c r="CG27" s="22">
        <v>94.197000000000003</v>
      </c>
      <c r="CH27" s="22">
        <v>97.998999999999995</v>
      </c>
      <c r="CI27" s="22">
        <v>100</v>
      </c>
      <c r="CJ27" s="22">
        <v>102.099</v>
      </c>
      <c r="CK27" s="22">
        <v>104.708</v>
      </c>
      <c r="CL27" s="22">
        <v>104.60599999999999</v>
      </c>
      <c r="CM27" s="22">
        <v>106.4</v>
      </c>
      <c r="CN27" s="22">
        <v>109.155</v>
      </c>
      <c r="CO27" s="22">
        <v>112.495</v>
      </c>
      <c r="CP27" s="22">
        <v>114.38500000000001</v>
      </c>
      <c r="CQ27" s="22">
        <v>114.239</v>
      </c>
      <c r="CR27" s="22">
        <v>121.42</v>
      </c>
    </row>
    <row r="28" spans="1:96">
      <c r="A28" t="s">
        <v>420</v>
      </c>
      <c r="B28" t="s">
        <v>421</v>
      </c>
      <c r="C28" t="s">
        <v>422</v>
      </c>
      <c r="D28" s="22">
        <v>9.5749999999999993</v>
      </c>
      <c r="E28" s="22">
        <v>8.1639999999999997</v>
      </c>
      <c r="F28" s="22">
        <v>6.5979999999999999</v>
      </c>
      <c r="G28" s="22">
        <v>5.2880000000000003</v>
      </c>
      <c r="H28" s="22">
        <v>5.0679999999999996</v>
      </c>
      <c r="I28" s="22">
        <v>5.758</v>
      </c>
      <c r="J28" s="22">
        <v>5.8529999999999998</v>
      </c>
      <c r="K28" s="22">
        <v>6.2629999999999999</v>
      </c>
      <c r="L28" s="22">
        <v>6.99</v>
      </c>
      <c r="M28" s="22">
        <v>6.4589999999999996</v>
      </c>
      <c r="N28" s="22">
        <v>6.78</v>
      </c>
      <c r="O28" s="22">
        <v>7.2320000000000002</v>
      </c>
      <c r="P28" s="22">
        <v>7.6379999999999999</v>
      </c>
      <c r="Q28" s="22">
        <v>8.7479999999999993</v>
      </c>
      <c r="R28" s="22">
        <v>9.4169999999999998</v>
      </c>
      <c r="S28" s="22">
        <v>9.8919999999999995</v>
      </c>
      <c r="T28" s="22">
        <v>10.169</v>
      </c>
      <c r="U28" s="22">
        <v>11.337999999999999</v>
      </c>
      <c r="V28" s="22">
        <v>13.584</v>
      </c>
      <c r="W28" s="22">
        <v>14.763</v>
      </c>
      <c r="X28" s="22">
        <v>14.07</v>
      </c>
      <c r="Y28" s="22">
        <v>14.945</v>
      </c>
      <c r="Z28" s="22">
        <v>18.062999999999999</v>
      </c>
      <c r="AA28" s="22">
        <v>17.408999999999999</v>
      </c>
      <c r="AB28" s="22">
        <v>16.661999999999999</v>
      </c>
      <c r="AC28" s="22">
        <v>16.888999999999999</v>
      </c>
      <c r="AD28" s="22">
        <v>16.797999999999998</v>
      </c>
      <c r="AE28" s="22">
        <v>17.094000000000001</v>
      </c>
      <c r="AF28" s="22">
        <v>17.289000000000001</v>
      </c>
      <c r="AG28" s="22">
        <v>16.571000000000002</v>
      </c>
      <c r="AH28" s="22">
        <v>16.72</v>
      </c>
      <c r="AI28" s="22">
        <v>16.881</v>
      </c>
      <c r="AJ28" s="22">
        <v>16.881</v>
      </c>
      <c r="AK28" s="22">
        <v>16.681999999999999</v>
      </c>
      <c r="AL28" s="22">
        <v>17.006</v>
      </c>
      <c r="AM28" s="22">
        <v>17.364000000000001</v>
      </c>
      <c r="AN28" s="22">
        <v>17.606000000000002</v>
      </c>
      <c r="AO28" s="22">
        <v>18.015999999999998</v>
      </c>
      <c r="AP28" s="22">
        <v>18.085999999999999</v>
      </c>
      <c r="AQ28" s="22">
        <v>18.361000000000001</v>
      </c>
      <c r="AR28" s="22">
        <v>18.838999999999999</v>
      </c>
      <c r="AS28" s="22">
        <v>19.954000000000001</v>
      </c>
      <c r="AT28" s="22">
        <v>21.178999999999998</v>
      </c>
      <c r="AU28" s="22">
        <v>22.661999999999999</v>
      </c>
      <c r="AV28" s="22">
        <v>26.600999999999999</v>
      </c>
      <c r="AW28" s="22">
        <v>38.058</v>
      </c>
      <c r="AX28" s="22">
        <v>41.225999999999999</v>
      </c>
      <c r="AY28" s="22">
        <v>42.466999999999999</v>
      </c>
      <c r="AZ28" s="22">
        <v>46.209000000000003</v>
      </c>
      <c r="BA28" s="22">
        <v>49.466000000000001</v>
      </c>
      <c r="BB28" s="22">
        <v>57.93</v>
      </c>
      <c r="BC28" s="22">
        <v>72.165999999999997</v>
      </c>
      <c r="BD28" s="22">
        <v>76.066000000000003</v>
      </c>
      <c r="BE28" s="22">
        <v>73.506</v>
      </c>
      <c r="BF28" s="22">
        <v>70.751000000000005</v>
      </c>
      <c r="BG28" s="22">
        <v>70.138999999999996</v>
      </c>
      <c r="BH28" s="22">
        <v>67.835999999999999</v>
      </c>
      <c r="BI28" s="22">
        <v>67.834000000000003</v>
      </c>
      <c r="BJ28" s="22">
        <v>71.935000000000002</v>
      </c>
      <c r="BK28" s="22">
        <v>75.376999999999995</v>
      </c>
      <c r="BL28" s="22">
        <v>77.024000000000001</v>
      </c>
      <c r="BM28" s="22">
        <v>79.233000000000004</v>
      </c>
      <c r="BN28" s="22">
        <v>78.572999999999993</v>
      </c>
      <c r="BO28" s="22">
        <v>78.635999999999996</v>
      </c>
      <c r="BP28" s="22">
        <v>78.033000000000001</v>
      </c>
      <c r="BQ28" s="22">
        <v>78.766000000000005</v>
      </c>
      <c r="BR28" s="22">
        <v>80.924000000000007</v>
      </c>
      <c r="BS28" s="22">
        <v>79.513999999999996</v>
      </c>
      <c r="BT28" s="22">
        <v>76.75</v>
      </c>
      <c r="BU28" s="22">
        <v>72.617999999999995</v>
      </c>
      <c r="BV28" s="22">
        <v>73.019000000000005</v>
      </c>
      <c r="BW28" s="22">
        <v>76.221000000000004</v>
      </c>
      <c r="BX28" s="22">
        <v>74.222999999999999</v>
      </c>
      <c r="BY28" s="22">
        <v>73.242000000000004</v>
      </c>
      <c r="BZ28" s="22">
        <v>75.453999999999994</v>
      </c>
      <c r="CA28" s="22">
        <v>79.06</v>
      </c>
      <c r="CB28" s="22">
        <v>83.703000000000003</v>
      </c>
      <c r="CC28" s="22">
        <v>86.909000000000006</v>
      </c>
      <c r="CD28" s="22">
        <v>89.921000000000006</v>
      </c>
      <c r="CE28" s="22">
        <v>98.96</v>
      </c>
      <c r="CF28" s="22">
        <v>87.986999999999995</v>
      </c>
      <c r="CG28" s="22">
        <v>92.783000000000001</v>
      </c>
      <c r="CH28" s="22">
        <v>99.825999999999993</v>
      </c>
      <c r="CI28" s="22">
        <v>100</v>
      </c>
      <c r="CJ28" s="22">
        <v>98.635999999999996</v>
      </c>
      <c r="CK28" s="22">
        <v>97.853999999999999</v>
      </c>
      <c r="CL28" s="22">
        <v>90.001000000000005</v>
      </c>
      <c r="CM28" s="22">
        <v>86.867000000000004</v>
      </c>
      <c r="CN28" s="22">
        <v>88.771000000000001</v>
      </c>
      <c r="CO28" s="22">
        <v>91.334000000000003</v>
      </c>
      <c r="CP28" s="22">
        <v>89.986000000000004</v>
      </c>
      <c r="CQ28" s="22">
        <v>87.891000000000005</v>
      </c>
      <c r="CR28" s="22">
        <v>94.613</v>
      </c>
    </row>
    <row r="29" spans="1:96">
      <c r="A29" t="s">
        <v>423</v>
      </c>
      <c r="B29" t="s">
        <v>415</v>
      </c>
      <c r="C29" t="s">
        <v>424</v>
      </c>
      <c r="D29" s="22">
        <v>9.673</v>
      </c>
      <c r="E29" s="22">
        <v>7.9820000000000002</v>
      </c>
      <c r="F29" s="22">
        <v>6.242</v>
      </c>
      <c r="G29" s="22">
        <v>4.8920000000000003</v>
      </c>
      <c r="H29" s="22">
        <v>4.8949999999999996</v>
      </c>
      <c r="I29" s="22">
        <v>5.5890000000000004</v>
      </c>
      <c r="J29" s="22">
        <v>5.68</v>
      </c>
      <c r="K29" s="22">
        <v>6.0970000000000004</v>
      </c>
      <c r="L29" s="22">
        <v>6.8129999999999997</v>
      </c>
      <c r="M29" s="22">
        <v>6.1070000000000002</v>
      </c>
      <c r="N29" s="22">
        <v>6.218</v>
      </c>
      <c r="O29" s="22">
        <v>6.6369999999999996</v>
      </c>
      <c r="P29" s="22">
        <v>7.1180000000000003</v>
      </c>
      <c r="Q29" s="22">
        <v>8.2460000000000004</v>
      </c>
      <c r="R29" s="22">
        <v>8.9410000000000007</v>
      </c>
      <c r="S29" s="22">
        <v>9.5489999999999995</v>
      </c>
      <c r="T29" s="22">
        <v>9.782</v>
      </c>
      <c r="U29" s="22">
        <v>11.02</v>
      </c>
      <c r="V29" s="22">
        <v>13.532</v>
      </c>
      <c r="W29" s="22">
        <v>14.943</v>
      </c>
      <c r="X29" s="22">
        <v>14.146000000000001</v>
      </c>
      <c r="Y29" s="22">
        <v>15.302</v>
      </c>
      <c r="Z29" s="22">
        <v>19.21</v>
      </c>
      <c r="AA29" s="22">
        <v>18.263000000000002</v>
      </c>
      <c r="AB29" s="22">
        <v>17.48</v>
      </c>
      <c r="AC29" s="22">
        <v>17.856000000000002</v>
      </c>
      <c r="AD29" s="22">
        <v>17.808</v>
      </c>
      <c r="AE29" s="22">
        <v>18.157</v>
      </c>
      <c r="AF29" s="22">
        <v>18.318999999999999</v>
      </c>
      <c r="AG29" s="22">
        <v>17.361999999999998</v>
      </c>
      <c r="AH29" s="22">
        <v>17.488</v>
      </c>
      <c r="AI29" s="22">
        <v>17.675000000000001</v>
      </c>
      <c r="AJ29" s="22">
        <v>17.506</v>
      </c>
      <c r="AK29" s="22">
        <v>17.088000000000001</v>
      </c>
      <c r="AL29" s="22">
        <v>17.245000000000001</v>
      </c>
      <c r="AM29" s="22">
        <v>17.71</v>
      </c>
      <c r="AN29" s="22">
        <v>17.797999999999998</v>
      </c>
      <c r="AO29" s="22">
        <v>18.199000000000002</v>
      </c>
      <c r="AP29" s="22">
        <v>18.225000000000001</v>
      </c>
      <c r="AQ29" s="22">
        <v>18.47</v>
      </c>
      <c r="AR29" s="22">
        <v>18.989999999999998</v>
      </c>
      <c r="AS29" s="22">
        <v>20.280999999999999</v>
      </c>
      <c r="AT29" s="22">
        <v>21.32</v>
      </c>
      <c r="AU29" s="22">
        <v>22.954000000000001</v>
      </c>
      <c r="AV29" s="22">
        <v>27.055</v>
      </c>
      <c r="AW29" s="22">
        <v>40.485999999999997</v>
      </c>
      <c r="AX29" s="22">
        <v>43.878</v>
      </c>
      <c r="AY29" s="22">
        <v>45.051000000000002</v>
      </c>
      <c r="AZ29" s="22">
        <v>49.177999999999997</v>
      </c>
      <c r="BA29" s="22">
        <v>52.45</v>
      </c>
      <c r="BB29" s="22">
        <v>61.853999999999999</v>
      </c>
      <c r="BC29" s="22">
        <v>78.061000000000007</v>
      </c>
      <c r="BD29" s="22">
        <v>82.433000000000007</v>
      </c>
      <c r="BE29" s="22">
        <v>79.108999999999995</v>
      </c>
      <c r="BF29" s="22">
        <v>75.802000000000007</v>
      </c>
      <c r="BG29" s="22">
        <v>75.28</v>
      </c>
      <c r="BH29" s="22">
        <v>72.317999999999998</v>
      </c>
      <c r="BI29" s="22">
        <v>70.697999999999993</v>
      </c>
      <c r="BJ29" s="22">
        <v>75.73</v>
      </c>
      <c r="BK29" s="22">
        <v>79.337999999999994</v>
      </c>
      <c r="BL29" s="22">
        <v>81.558000000000007</v>
      </c>
      <c r="BM29" s="22">
        <v>83.055999999999997</v>
      </c>
      <c r="BN29" s="22">
        <v>81.486000000000004</v>
      </c>
      <c r="BO29" s="22">
        <v>81.040000000000006</v>
      </c>
      <c r="BP29" s="22">
        <v>80.134</v>
      </c>
      <c r="BQ29" s="22">
        <v>80.718000000000004</v>
      </c>
      <c r="BR29" s="22">
        <v>82.87</v>
      </c>
      <c r="BS29" s="22">
        <v>80.77</v>
      </c>
      <c r="BT29" s="22">
        <v>77.433999999999997</v>
      </c>
      <c r="BU29" s="22">
        <v>72.757000000000005</v>
      </c>
      <c r="BV29" s="22">
        <v>72.8</v>
      </c>
      <c r="BW29" s="22">
        <v>76.641000000000005</v>
      </c>
      <c r="BX29" s="22">
        <v>74.463999999999999</v>
      </c>
      <c r="BY29" s="22">
        <v>73.096999999999994</v>
      </c>
      <c r="BZ29" s="22">
        <v>74.686999999999998</v>
      </c>
      <c r="CA29" s="22">
        <v>78.231999999999999</v>
      </c>
      <c r="CB29" s="22">
        <v>83.183000000000007</v>
      </c>
      <c r="CC29" s="22">
        <v>86.528000000000006</v>
      </c>
      <c r="CD29" s="22">
        <v>89.429000000000002</v>
      </c>
      <c r="CE29" s="22">
        <v>99.233999999999995</v>
      </c>
      <c r="CF29" s="22">
        <v>86.628</v>
      </c>
      <c r="CG29" s="22">
        <v>92.052000000000007</v>
      </c>
      <c r="CH29" s="22">
        <v>99.912999999999997</v>
      </c>
      <c r="CI29" s="22">
        <v>100</v>
      </c>
      <c r="CJ29" s="22">
        <v>98.054000000000002</v>
      </c>
      <c r="CK29" s="22">
        <v>96.738</v>
      </c>
      <c r="CL29" s="22">
        <v>87.596999999999994</v>
      </c>
      <c r="CM29" s="22">
        <v>83.888000000000005</v>
      </c>
      <c r="CN29" s="22">
        <v>85.742000000000004</v>
      </c>
      <c r="CO29" s="22">
        <v>88.183000000000007</v>
      </c>
      <c r="CP29" s="22">
        <v>86.393000000000001</v>
      </c>
      <c r="CQ29" s="22">
        <v>83.972999999999999</v>
      </c>
      <c r="CR29" s="22">
        <v>90.536000000000001</v>
      </c>
    </row>
    <row r="30" spans="1:96">
      <c r="A30" t="s">
        <v>425</v>
      </c>
      <c r="B30" t="s">
        <v>418</v>
      </c>
      <c r="C30" t="s">
        <v>426</v>
      </c>
      <c r="D30" s="22">
        <v>8.8559999999999999</v>
      </c>
      <c r="E30" s="22">
        <v>8.4789999999999992</v>
      </c>
      <c r="F30" s="22">
        <v>7.5289999999999999</v>
      </c>
      <c r="G30" s="22">
        <v>6.3810000000000002</v>
      </c>
      <c r="H30" s="22">
        <v>5.4</v>
      </c>
      <c r="I30" s="22">
        <v>6.0250000000000004</v>
      </c>
      <c r="J30" s="22">
        <v>6.1319999999999997</v>
      </c>
      <c r="K30" s="22">
        <v>6.4669999999999996</v>
      </c>
      <c r="L30" s="22">
        <v>7.18</v>
      </c>
      <c r="M30" s="22">
        <v>7.4109999999999996</v>
      </c>
      <c r="N30" s="22">
        <v>8.5939999999999994</v>
      </c>
      <c r="O30" s="22">
        <v>9.1440000000000001</v>
      </c>
      <c r="P30" s="22">
        <v>9.1419999999999995</v>
      </c>
      <c r="Q30" s="22">
        <v>10.220000000000001</v>
      </c>
      <c r="R30" s="22">
        <v>10.896000000000001</v>
      </c>
      <c r="S30" s="22">
        <v>11.215999999999999</v>
      </c>
      <c r="T30" s="22">
        <v>11.577999999999999</v>
      </c>
      <c r="U30" s="22">
        <v>12.646000000000001</v>
      </c>
      <c r="V30" s="22">
        <v>14.128</v>
      </c>
      <c r="W30" s="22">
        <v>14.627000000000001</v>
      </c>
      <c r="X30" s="22">
        <v>14.222</v>
      </c>
      <c r="Y30" s="22">
        <v>14.25</v>
      </c>
      <c r="Z30" s="22">
        <v>15.092000000000001</v>
      </c>
      <c r="AA30" s="22">
        <v>15.124000000000001</v>
      </c>
      <c r="AB30" s="22">
        <v>14.472</v>
      </c>
      <c r="AC30" s="22">
        <v>14.432</v>
      </c>
      <c r="AD30" s="22">
        <v>14.278</v>
      </c>
      <c r="AE30" s="22">
        <v>14.471</v>
      </c>
      <c r="AF30" s="22">
        <v>14.71</v>
      </c>
      <c r="AG30" s="22">
        <v>14.404999999999999</v>
      </c>
      <c r="AH30" s="22">
        <v>14.583</v>
      </c>
      <c r="AI30" s="22">
        <v>14.691000000000001</v>
      </c>
      <c r="AJ30" s="22">
        <v>14.974</v>
      </c>
      <c r="AK30" s="22">
        <v>15.17</v>
      </c>
      <c r="AL30" s="22">
        <v>15.792999999999999</v>
      </c>
      <c r="AM30" s="22">
        <v>15.927</v>
      </c>
      <c r="AN30" s="22">
        <v>16.483000000000001</v>
      </c>
      <c r="AO30" s="22">
        <v>16.896000000000001</v>
      </c>
      <c r="AP30" s="22">
        <v>17.059999999999999</v>
      </c>
      <c r="AQ30" s="22">
        <v>17.393000000000001</v>
      </c>
      <c r="AR30" s="22">
        <v>17.747</v>
      </c>
      <c r="AS30" s="22">
        <v>18.38</v>
      </c>
      <c r="AT30" s="22">
        <v>20.045000000000002</v>
      </c>
      <c r="AU30" s="22">
        <v>21.042999999999999</v>
      </c>
      <c r="AV30" s="22">
        <v>24.341000000000001</v>
      </c>
      <c r="AW30" s="22">
        <v>28.946999999999999</v>
      </c>
      <c r="AX30" s="22">
        <v>31.294</v>
      </c>
      <c r="AY30" s="22">
        <v>32.707999999999998</v>
      </c>
      <c r="AZ30" s="22">
        <v>35.033000000000001</v>
      </c>
      <c r="BA30" s="22">
        <v>38.215000000000003</v>
      </c>
      <c r="BB30" s="22">
        <v>43.156999999999996</v>
      </c>
      <c r="BC30" s="22">
        <v>50.085999999999999</v>
      </c>
      <c r="BD30" s="22">
        <v>52.264000000000003</v>
      </c>
      <c r="BE30" s="22">
        <v>52.302999999999997</v>
      </c>
      <c r="BF30" s="22">
        <v>51.444000000000003</v>
      </c>
      <c r="BG30" s="22">
        <v>50.56</v>
      </c>
      <c r="BH30" s="22">
        <v>50.497999999999998</v>
      </c>
      <c r="BI30" s="22">
        <v>55.969000000000001</v>
      </c>
      <c r="BJ30" s="22">
        <v>56.762999999999998</v>
      </c>
      <c r="BK30" s="22">
        <v>59.533000000000001</v>
      </c>
      <c r="BL30" s="22">
        <v>59.218000000000004</v>
      </c>
      <c r="BM30" s="22">
        <v>63.655000000000001</v>
      </c>
      <c r="BN30" s="22">
        <v>65.983000000000004</v>
      </c>
      <c r="BO30" s="22">
        <v>67.835999999999999</v>
      </c>
      <c r="BP30" s="22">
        <v>68.411000000000001</v>
      </c>
      <c r="BQ30" s="22">
        <v>69.753</v>
      </c>
      <c r="BR30" s="22">
        <v>71.930999999999997</v>
      </c>
      <c r="BS30" s="22">
        <v>73.725999999999999</v>
      </c>
      <c r="BT30" s="22">
        <v>73.724000000000004</v>
      </c>
      <c r="BU30" s="22">
        <v>72.281999999999996</v>
      </c>
      <c r="BV30" s="22">
        <v>74.537000000000006</v>
      </c>
      <c r="BW30" s="22">
        <v>74.259</v>
      </c>
      <c r="BX30" s="22">
        <v>73.213999999999999</v>
      </c>
      <c r="BY30" s="22">
        <v>74.271000000000001</v>
      </c>
      <c r="BZ30" s="22">
        <v>79.866</v>
      </c>
      <c r="CA30" s="22">
        <v>83.817999999999998</v>
      </c>
      <c r="CB30" s="22">
        <v>86.721000000000004</v>
      </c>
      <c r="CC30" s="22">
        <v>89.134</v>
      </c>
      <c r="CD30" s="22">
        <v>92.77</v>
      </c>
      <c r="CE30" s="22">
        <v>97.798000000000002</v>
      </c>
      <c r="CF30" s="22">
        <v>94.510999999999996</v>
      </c>
      <c r="CG30" s="22">
        <v>96.415999999999997</v>
      </c>
      <c r="CH30" s="22">
        <v>99.391999999999996</v>
      </c>
      <c r="CI30" s="22">
        <v>100</v>
      </c>
      <c r="CJ30" s="22">
        <v>101.575</v>
      </c>
      <c r="CK30" s="22">
        <v>103.55800000000001</v>
      </c>
      <c r="CL30" s="22">
        <v>102.45699999999999</v>
      </c>
      <c r="CM30" s="22">
        <v>102.357</v>
      </c>
      <c r="CN30" s="22">
        <v>104.521</v>
      </c>
      <c r="CO30" s="22">
        <v>107.72499999999999</v>
      </c>
      <c r="CP30" s="22">
        <v>108.77</v>
      </c>
      <c r="CQ30" s="22">
        <v>108.47499999999999</v>
      </c>
      <c r="CR30" s="22">
        <v>115.53400000000001</v>
      </c>
    </row>
    <row r="31" spans="1:96">
      <c r="A31" t="s">
        <v>427</v>
      </c>
      <c r="B31" t="s">
        <v>428</v>
      </c>
      <c r="C31" t="s">
        <v>429</v>
      </c>
      <c r="D31" s="22">
        <v>5.3339999999999996</v>
      </c>
      <c r="E31" s="22">
        <v>5.1710000000000003</v>
      </c>
      <c r="F31" s="22">
        <v>4.9160000000000004</v>
      </c>
      <c r="G31" s="22">
        <v>4.468</v>
      </c>
      <c r="H31" s="22">
        <v>4.5789999999999997</v>
      </c>
      <c r="I31" s="22">
        <v>4.923</v>
      </c>
      <c r="J31" s="22">
        <v>4.9660000000000002</v>
      </c>
      <c r="K31" s="22">
        <v>5.1559999999999997</v>
      </c>
      <c r="L31" s="22">
        <v>5.2539999999999996</v>
      </c>
      <c r="M31" s="22">
        <v>5.274</v>
      </c>
      <c r="N31" s="22">
        <v>5.1870000000000003</v>
      </c>
      <c r="O31" s="22">
        <v>5.1379999999999999</v>
      </c>
      <c r="P31" s="22">
        <v>5.4610000000000003</v>
      </c>
      <c r="Q31" s="22">
        <v>5.5270000000000001</v>
      </c>
      <c r="R31" s="22">
        <v>5.5229999999999997</v>
      </c>
      <c r="S31" s="22">
        <v>5.4530000000000003</v>
      </c>
      <c r="T31" s="22">
        <v>5.51</v>
      </c>
      <c r="U31" s="22">
        <v>6.9859999999999998</v>
      </c>
      <c r="V31" s="22">
        <v>7.6210000000000004</v>
      </c>
      <c r="W31" s="22">
        <v>7.93</v>
      </c>
      <c r="X31" s="22">
        <v>8.1509999999999998</v>
      </c>
      <c r="Y31" s="22">
        <v>8.234</v>
      </c>
      <c r="Z31" s="22">
        <v>8.7379999999999995</v>
      </c>
      <c r="AA31" s="22">
        <v>8.9179999999999993</v>
      </c>
      <c r="AB31" s="22">
        <v>9.0169999999999995</v>
      </c>
      <c r="AC31" s="22">
        <v>9.2089999999999996</v>
      </c>
      <c r="AD31" s="22">
        <v>9.5679999999999996</v>
      </c>
      <c r="AE31" s="22">
        <v>10.082000000000001</v>
      </c>
      <c r="AF31" s="22">
        <v>10.52</v>
      </c>
      <c r="AG31" s="22">
        <v>10.840999999999999</v>
      </c>
      <c r="AH31" s="22">
        <v>10.973000000000001</v>
      </c>
      <c r="AI31" s="22">
        <v>11.093999999999999</v>
      </c>
      <c r="AJ31" s="22">
        <v>11.286</v>
      </c>
      <c r="AK31" s="22">
        <v>11.497999999999999</v>
      </c>
      <c r="AL31" s="22">
        <v>11.779</v>
      </c>
      <c r="AM31" s="22">
        <v>12.087999999999999</v>
      </c>
      <c r="AN31" s="22">
        <v>12.417</v>
      </c>
      <c r="AO31" s="22">
        <v>12.911</v>
      </c>
      <c r="AP31" s="22">
        <v>13.353</v>
      </c>
      <c r="AQ31" s="22">
        <v>14.068</v>
      </c>
      <c r="AR31" s="22">
        <v>14.891999999999999</v>
      </c>
      <c r="AS31" s="22">
        <v>16.077999999999999</v>
      </c>
      <c r="AT31" s="22">
        <v>17.352</v>
      </c>
      <c r="AU31" s="22">
        <v>18.661999999999999</v>
      </c>
      <c r="AV31" s="22">
        <v>19.936</v>
      </c>
      <c r="AW31" s="22">
        <v>21.852</v>
      </c>
      <c r="AX31" s="22">
        <v>23.87</v>
      </c>
      <c r="AY31" s="22">
        <v>25.181000000000001</v>
      </c>
      <c r="AZ31" s="22">
        <v>26.739000000000001</v>
      </c>
      <c r="BA31" s="22">
        <v>28.507000000000001</v>
      </c>
      <c r="BB31" s="22">
        <v>30.853000000000002</v>
      </c>
      <c r="BC31" s="22">
        <v>34.045000000000002</v>
      </c>
      <c r="BD31" s="22">
        <v>37.423999999999999</v>
      </c>
      <c r="BE31" s="22">
        <v>39.969000000000001</v>
      </c>
      <c r="BF31" s="22">
        <v>41.515999999999998</v>
      </c>
      <c r="BG31" s="22">
        <v>43.317</v>
      </c>
      <c r="BH31" s="22">
        <v>44.658999999999999</v>
      </c>
      <c r="BI31" s="22">
        <v>45.408999999999999</v>
      </c>
      <c r="BJ31" s="22">
        <v>46.634999999999998</v>
      </c>
      <c r="BK31" s="22">
        <v>48.177</v>
      </c>
      <c r="BL31" s="22">
        <v>50.015999999999998</v>
      </c>
      <c r="BM31" s="22">
        <v>52.113</v>
      </c>
      <c r="BN31" s="22">
        <v>54.005000000000003</v>
      </c>
      <c r="BO31" s="22">
        <v>55.642000000000003</v>
      </c>
      <c r="BP31" s="22">
        <v>56.953000000000003</v>
      </c>
      <c r="BQ31" s="22">
        <v>58.463000000000001</v>
      </c>
      <c r="BR31" s="22">
        <v>60.122999999999998</v>
      </c>
      <c r="BS31" s="22">
        <v>61.354999999999997</v>
      </c>
      <c r="BT31" s="22">
        <v>62.56</v>
      </c>
      <c r="BU31" s="22">
        <v>63.624000000000002</v>
      </c>
      <c r="BV31" s="22">
        <v>65.778000000000006</v>
      </c>
      <c r="BW31" s="22">
        <v>68.600999999999999</v>
      </c>
      <c r="BX31" s="22">
        <v>70.566999999999993</v>
      </c>
      <c r="BY31" s="22">
        <v>72.393000000000001</v>
      </c>
      <c r="BZ31" s="22">
        <v>75.028000000000006</v>
      </c>
      <c r="CA31" s="22">
        <v>78.153000000000006</v>
      </c>
      <c r="CB31" s="22">
        <v>82.11</v>
      </c>
      <c r="CC31" s="22">
        <v>85.661000000000001</v>
      </c>
      <c r="CD31" s="22">
        <v>89.491</v>
      </c>
      <c r="CE31" s="22">
        <v>93.308000000000007</v>
      </c>
      <c r="CF31" s="22">
        <v>92.930999999999997</v>
      </c>
      <c r="CG31" s="22">
        <v>95.385999999999996</v>
      </c>
      <c r="CH31" s="22">
        <v>98.284999999999997</v>
      </c>
      <c r="CI31" s="22">
        <v>100</v>
      </c>
      <c r="CJ31" s="22">
        <v>102.33199999999999</v>
      </c>
      <c r="CK31" s="22">
        <v>104.435</v>
      </c>
      <c r="CL31" s="22">
        <v>104.598</v>
      </c>
      <c r="CM31" s="22">
        <v>104.926</v>
      </c>
      <c r="CN31" s="22">
        <v>107.398</v>
      </c>
      <c r="CO31" s="22">
        <v>111.312</v>
      </c>
      <c r="CP31" s="22">
        <v>113.43899999999999</v>
      </c>
      <c r="CQ31" s="22">
        <v>114.68</v>
      </c>
      <c r="CR31" s="22">
        <v>120.039</v>
      </c>
    </row>
    <row r="32" spans="1:96">
      <c r="A32" t="s">
        <v>430</v>
      </c>
      <c r="B32" t="s">
        <v>431</v>
      </c>
      <c r="C32" t="s">
        <v>432</v>
      </c>
      <c r="D32" s="22">
        <v>6.5620000000000003</v>
      </c>
      <c r="E32" s="22">
        <v>6.27</v>
      </c>
      <c r="F32" s="22">
        <v>6.2290000000000001</v>
      </c>
      <c r="G32" s="22">
        <v>5.9189999999999996</v>
      </c>
      <c r="H32" s="22">
        <v>5.9630000000000001</v>
      </c>
      <c r="I32" s="22">
        <v>6.3620000000000001</v>
      </c>
      <c r="J32" s="22">
        <v>6.4059999999999997</v>
      </c>
      <c r="K32" s="22">
        <v>6.9669999999999996</v>
      </c>
      <c r="L32" s="22">
        <v>7.06</v>
      </c>
      <c r="M32" s="22">
        <v>7.1470000000000002</v>
      </c>
      <c r="N32" s="22">
        <v>7.0250000000000004</v>
      </c>
      <c r="O32" s="22">
        <v>6.8019999999999996</v>
      </c>
      <c r="P32" s="22">
        <v>7.1950000000000003</v>
      </c>
      <c r="Q32" s="22">
        <v>7.1539999999999999</v>
      </c>
      <c r="R32" s="22">
        <v>7.0910000000000002</v>
      </c>
      <c r="S32" s="22">
        <v>6.968</v>
      </c>
      <c r="T32" s="22">
        <v>7.0229999999999997</v>
      </c>
      <c r="U32" s="22">
        <v>9.1950000000000003</v>
      </c>
      <c r="V32" s="22">
        <v>9.8940000000000001</v>
      </c>
      <c r="W32" s="22">
        <v>9.8719999999999999</v>
      </c>
      <c r="X32" s="22">
        <v>10.266</v>
      </c>
      <c r="Y32" s="22">
        <v>10.393000000000001</v>
      </c>
      <c r="Z32" s="22">
        <v>10.811</v>
      </c>
      <c r="AA32" s="22">
        <v>10.93</v>
      </c>
      <c r="AB32" s="22">
        <v>11.016</v>
      </c>
      <c r="AC32" s="22">
        <v>11.279</v>
      </c>
      <c r="AD32" s="22">
        <v>11.823</v>
      </c>
      <c r="AE32" s="22">
        <v>12.396000000000001</v>
      </c>
      <c r="AF32" s="22">
        <v>12.938000000000001</v>
      </c>
      <c r="AG32" s="22">
        <v>13.446</v>
      </c>
      <c r="AH32" s="22">
        <v>13.561</v>
      </c>
      <c r="AI32" s="22">
        <v>13.656000000000001</v>
      </c>
      <c r="AJ32" s="22">
        <v>13.818</v>
      </c>
      <c r="AK32" s="22">
        <v>14.013</v>
      </c>
      <c r="AL32" s="22">
        <v>14.365</v>
      </c>
      <c r="AM32" s="22">
        <v>14.811</v>
      </c>
      <c r="AN32" s="22">
        <v>15.18</v>
      </c>
      <c r="AO32" s="22">
        <v>15.692</v>
      </c>
      <c r="AP32" s="22">
        <v>16.042000000000002</v>
      </c>
      <c r="AQ32" s="22">
        <v>16.849</v>
      </c>
      <c r="AR32" s="22">
        <v>17.715</v>
      </c>
      <c r="AS32" s="22">
        <v>19.109000000000002</v>
      </c>
      <c r="AT32" s="22">
        <v>20.67</v>
      </c>
      <c r="AU32" s="22">
        <v>22.484999999999999</v>
      </c>
      <c r="AV32" s="22">
        <v>24.050999999999998</v>
      </c>
      <c r="AW32" s="22">
        <v>25.971</v>
      </c>
      <c r="AX32" s="22">
        <v>28.254000000000001</v>
      </c>
      <c r="AY32" s="22">
        <v>30.012</v>
      </c>
      <c r="AZ32" s="22">
        <v>31.858000000000001</v>
      </c>
      <c r="BA32" s="22">
        <v>34.008000000000003</v>
      </c>
      <c r="BB32" s="22">
        <v>36.566000000000003</v>
      </c>
      <c r="BC32" s="22">
        <v>40.098999999999997</v>
      </c>
      <c r="BD32" s="22">
        <v>43.843000000000004</v>
      </c>
      <c r="BE32" s="22">
        <v>46.942999999999998</v>
      </c>
      <c r="BF32" s="22">
        <v>48.499000000000002</v>
      </c>
      <c r="BG32" s="22">
        <v>50.637</v>
      </c>
      <c r="BH32" s="22">
        <v>51.712000000000003</v>
      </c>
      <c r="BI32" s="22">
        <v>51.957000000000001</v>
      </c>
      <c r="BJ32" s="22">
        <v>52.317999999999998</v>
      </c>
      <c r="BK32" s="22">
        <v>54.024999999999999</v>
      </c>
      <c r="BL32" s="22">
        <v>55.533999999999999</v>
      </c>
      <c r="BM32" s="22">
        <v>57.25</v>
      </c>
      <c r="BN32" s="22">
        <v>59.308999999999997</v>
      </c>
      <c r="BO32" s="22">
        <v>60.823999999999998</v>
      </c>
      <c r="BP32" s="22">
        <v>62.151000000000003</v>
      </c>
      <c r="BQ32" s="22">
        <v>63.860999999999997</v>
      </c>
      <c r="BR32" s="22">
        <v>65.837999999999994</v>
      </c>
      <c r="BS32" s="22">
        <v>66.936999999999998</v>
      </c>
      <c r="BT32" s="22">
        <v>67.971999999999994</v>
      </c>
      <c r="BU32" s="22">
        <v>68.840999999999994</v>
      </c>
      <c r="BV32" s="22">
        <v>70.519000000000005</v>
      </c>
      <c r="BW32" s="22">
        <v>72.885999999999996</v>
      </c>
      <c r="BX32" s="22">
        <v>74.236000000000004</v>
      </c>
      <c r="BY32" s="22">
        <v>76.631</v>
      </c>
      <c r="BZ32" s="22">
        <v>80.007999999999996</v>
      </c>
      <c r="CA32" s="22">
        <v>82.76</v>
      </c>
      <c r="CB32" s="22">
        <v>86.203999999999994</v>
      </c>
      <c r="CC32" s="22">
        <v>88.948999999999998</v>
      </c>
      <c r="CD32" s="22">
        <v>91.588999999999999</v>
      </c>
      <c r="CE32" s="22">
        <v>94.381</v>
      </c>
      <c r="CF32" s="22">
        <v>94.213999999999999</v>
      </c>
      <c r="CG32" s="22">
        <v>96.421000000000006</v>
      </c>
      <c r="CH32" s="22">
        <v>99.07</v>
      </c>
      <c r="CI32" s="22">
        <v>100</v>
      </c>
      <c r="CJ32" s="22">
        <v>100.931</v>
      </c>
      <c r="CK32" s="22">
        <v>102.63200000000001</v>
      </c>
      <c r="CL32" s="22">
        <v>103.128</v>
      </c>
      <c r="CM32" s="22">
        <v>103.711</v>
      </c>
      <c r="CN32" s="22">
        <v>105.843</v>
      </c>
      <c r="CO32" s="22">
        <v>109.089</v>
      </c>
      <c r="CP32" s="22">
        <v>111.11</v>
      </c>
      <c r="CQ32" s="22">
        <v>111.396</v>
      </c>
      <c r="CR32" s="22">
        <v>116.04900000000001</v>
      </c>
    </row>
    <row r="33" spans="1:96">
      <c r="A33" t="s">
        <v>433</v>
      </c>
      <c r="B33" t="s">
        <v>434</v>
      </c>
      <c r="C33" t="s">
        <v>435</v>
      </c>
      <c r="D33" s="22">
        <v>6.3769999999999998</v>
      </c>
      <c r="E33" s="22">
        <v>6.1790000000000003</v>
      </c>
      <c r="F33" s="22">
        <v>6.1</v>
      </c>
      <c r="G33" s="22">
        <v>5.9489999999999998</v>
      </c>
      <c r="H33" s="22">
        <v>5.91</v>
      </c>
      <c r="I33" s="22">
        <v>6.1760000000000002</v>
      </c>
      <c r="J33" s="22">
        <v>6.383</v>
      </c>
      <c r="K33" s="22">
        <v>6.5309999999999997</v>
      </c>
      <c r="L33" s="22">
        <v>6.6849999999999996</v>
      </c>
      <c r="M33" s="22">
        <v>6.6989999999999998</v>
      </c>
      <c r="N33" s="22">
        <v>6.6959999999999997</v>
      </c>
      <c r="O33" s="22">
        <v>6.4859999999999998</v>
      </c>
      <c r="P33" s="22">
        <v>6.8879999999999999</v>
      </c>
      <c r="Q33" s="22">
        <v>6.7350000000000003</v>
      </c>
      <c r="R33" s="22">
        <v>6.6539999999999999</v>
      </c>
      <c r="S33" s="22">
        <v>6.524</v>
      </c>
      <c r="T33" s="22">
        <v>6.5720000000000001</v>
      </c>
      <c r="U33" s="22">
        <v>8.7449999999999992</v>
      </c>
      <c r="V33" s="22">
        <v>9.5739999999999998</v>
      </c>
      <c r="W33" s="22">
        <v>9.6050000000000004</v>
      </c>
      <c r="X33" s="22">
        <v>9.9250000000000007</v>
      </c>
      <c r="Y33" s="22">
        <v>10.138</v>
      </c>
      <c r="Z33" s="22">
        <v>10.45</v>
      </c>
      <c r="AA33" s="22">
        <v>10.507</v>
      </c>
      <c r="AB33" s="22">
        <v>10.545999999999999</v>
      </c>
      <c r="AC33" s="22">
        <v>10.82</v>
      </c>
      <c r="AD33" s="22">
        <v>11.366</v>
      </c>
      <c r="AE33" s="22">
        <v>11.986000000000001</v>
      </c>
      <c r="AF33" s="22">
        <v>12.512</v>
      </c>
      <c r="AG33" s="22">
        <v>12.981999999999999</v>
      </c>
      <c r="AH33" s="22">
        <v>13.071999999999999</v>
      </c>
      <c r="AI33" s="22">
        <v>13.163</v>
      </c>
      <c r="AJ33" s="22">
        <v>13.276</v>
      </c>
      <c r="AK33" s="22">
        <v>13.438000000000001</v>
      </c>
      <c r="AL33" s="22">
        <v>13.795</v>
      </c>
      <c r="AM33" s="22">
        <v>14.186</v>
      </c>
      <c r="AN33" s="22">
        <v>14.557</v>
      </c>
      <c r="AO33" s="22">
        <v>15.066000000000001</v>
      </c>
      <c r="AP33" s="22">
        <v>15.426</v>
      </c>
      <c r="AQ33" s="22">
        <v>16.196000000000002</v>
      </c>
      <c r="AR33" s="22">
        <v>17.018999999999998</v>
      </c>
      <c r="AS33" s="22">
        <v>18.294</v>
      </c>
      <c r="AT33" s="22">
        <v>19.817</v>
      </c>
      <c r="AU33" s="22">
        <v>21.882999999999999</v>
      </c>
      <c r="AV33" s="22">
        <v>23.484000000000002</v>
      </c>
      <c r="AW33" s="22">
        <v>25.404</v>
      </c>
      <c r="AX33" s="22">
        <v>27.545000000000002</v>
      </c>
      <c r="AY33" s="22">
        <v>29.344999999999999</v>
      </c>
      <c r="AZ33" s="22">
        <v>31.268000000000001</v>
      </c>
      <c r="BA33" s="22">
        <v>33.561</v>
      </c>
      <c r="BB33" s="22">
        <v>36.216000000000001</v>
      </c>
      <c r="BC33" s="22">
        <v>39.918999999999997</v>
      </c>
      <c r="BD33" s="22">
        <v>43.747</v>
      </c>
      <c r="BE33" s="22">
        <v>47.039000000000001</v>
      </c>
      <c r="BF33" s="22">
        <v>48.777999999999999</v>
      </c>
      <c r="BG33" s="22">
        <v>51.012999999999998</v>
      </c>
      <c r="BH33" s="22">
        <v>51.872</v>
      </c>
      <c r="BI33" s="22">
        <v>51.893999999999998</v>
      </c>
      <c r="BJ33" s="22">
        <v>52.267000000000003</v>
      </c>
      <c r="BK33" s="22">
        <v>53.904000000000003</v>
      </c>
      <c r="BL33" s="22">
        <v>55.365000000000002</v>
      </c>
      <c r="BM33" s="22">
        <v>57.161999999999999</v>
      </c>
      <c r="BN33" s="22">
        <v>58.963999999999999</v>
      </c>
      <c r="BO33" s="22">
        <v>60.677999999999997</v>
      </c>
      <c r="BP33" s="22">
        <v>61.615000000000002</v>
      </c>
      <c r="BQ33" s="22">
        <v>63.228999999999999</v>
      </c>
      <c r="BR33" s="22">
        <v>65.027000000000001</v>
      </c>
      <c r="BS33" s="22">
        <v>66.114000000000004</v>
      </c>
      <c r="BT33" s="22">
        <v>67.034999999999997</v>
      </c>
      <c r="BU33" s="22">
        <v>67.870999999999995</v>
      </c>
      <c r="BV33" s="22">
        <v>69.558999999999997</v>
      </c>
      <c r="BW33" s="22">
        <v>71.908000000000001</v>
      </c>
      <c r="BX33" s="22">
        <v>73.27</v>
      </c>
      <c r="BY33" s="22">
        <v>75.713999999999999</v>
      </c>
      <c r="BZ33" s="22">
        <v>79.504999999999995</v>
      </c>
      <c r="CA33" s="22">
        <v>82.263000000000005</v>
      </c>
      <c r="CB33" s="22">
        <v>86.010999999999996</v>
      </c>
      <c r="CC33" s="22">
        <v>89.022000000000006</v>
      </c>
      <c r="CD33" s="22">
        <v>91.75</v>
      </c>
      <c r="CE33" s="22">
        <v>94.801000000000002</v>
      </c>
      <c r="CF33" s="22">
        <v>94.126000000000005</v>
      </c>
      <c r="CG33" s="22">
        <v>96.128</v>
      </c>
      <c r="CH33" s="22">
        <v>98.945999999999998</v>
      </c>
      <c r="CI33" s="22">
        <v>100</v>
      </c>
      <c r="CJ33" s="22">
        <v>100.60899999999999</v>
      </c>
      <c r="CK33" s="22">
        <v>102.056</v>
      </c>
      <c r="CL33" s="22">
        <v>102.334</v>
      </c>
      <c r="CM33" s="22">
        <v>102.696</v>
      </c>
      <c r="CN33" s="22">
        <v>104.449</v>
      </c>
      <c r="CO33" s="22">
        <v>107.477</v>
      </c>
      <c r="CP33" s="22">
        <v>109.256</v>
      </c>
      <c r="CQ33" s="22">
        <v>109.64700000000001</v>
      </c>
      <c r="CR33" s="22">
        <v>114.104</v>
      </c>
    </row>
    <row r="34" spans="1:96">
      <c r="A34" t="s">
        <v>436</v>
      </c>
      <c r="B34" t="s">
        <v>437</v>
      </c>
      <c r="C34" t="s">
        <v>438</v>
      </c>
      <c r="D34" s="22">
        <v>6.4660000000000002</v>
      </c>
      <c r="E34" s="22">
        <v>6.0750000000000002</v>
      </c>
      <c r="F34" s="22">
        <v>6.0789999999999997</v>
      </c>
      <c r="G34" s="22">
        <v>5.6150000000000002</v>
      </c>
      <c r="H34" s="22">
        <v>5.726</v>
      </c>
      <c r="I34" s="22">
        <v>6.1749999999999998</v>
      </c>
      <c r="J34" s="22">
        <v>6.1470000000000002</v>
      </c>
      <c r="K34" s="22">
        <v>6.8449999999999998</v>
      </c>
      <c r="L34" s="22">
        <v>6.9130000000000003</v>
      </c>
      <c r="M34" s="22">
        <v>7.024</v>
      </c>
      <c r="N34" s="22">
        <v>6.8630000000000004</v>
      </c>
      <c r="O34" s="22">
        <v>6.6379999999999999</v>
      </c>
      <c r="P34" s="22">
        <v>6.9429999999999996</v>
      </c>
      <c r="Q34" s="22">
        <v>7.8739999999999997</v>
      </c>
      <c r="R34" s="22">
        <v>8.2360000000000007</v>
      </c>
      <c r="S34" s="22">
        <v>8.6229999999999993</v>
      </c>
      <c r="T34" s="22">
        <v>8.8849999999999998</v>
      </c>
      <c r="U34" s="22">
        <v>10.09</v>
      </c>
      <c r="V34" s="22">
        <v>10.079000000000001</v>
      </c>
      <c r="W34" s="22">
        <v>9.8390000000000004</v>
      </c>
      <c r="X34" s="22">
        <v>10.43</v>
      </c>
      <c r="Y34" s="22">
        <v>10.266999999999999</v>
      </c>
      <c r="Z34" s="22">
        <v>11.129</v>
      </c>
      <c r="AA34" s="22">
        <v>11.718</v>
      </c>
      <c r="AB34" s="22">
        <v>12.164999999999999</v>
      </c>
      <c r="AC34" s="22">
        <v>12.286</v>
      </c>
      <c r="AD34" s="22">
        <v>12.707000000000001</v>
      </c>
      <c r="AE34" s="22">
        <v>12.843999999999999</v>
      </c>
      <c r="AF34" s="22">
        <v>13.391999999999999</v>
      </c>
      <c r="AG34" s="22">
        <v>14.083</v>
      </c>
      <c r="AH34" s="22">
        <v>14.384</v>
      </c>
      <c r="AI34" s="22">
        <v>14.49</v>
      </c>
      <c r="AJ34" s="22">
        <v>14.909000000000001</v>
      </c>
      <c r="AK34" s="22">
        <v>15.247999999999999</v>
      </c>
      <c r="AL34" s="22">
        <v>15.542</v>
      </c>
      <c r="AM34" s="22">
        <v>16.175000000000001</v>
      </c>
      <c r="AN34" s="22">
        <v>16.513999999999999</v>
      </c>
      <c r="AO34" s="22">
        <v>17.004999999999999</v>
      </c>
      <c r="AP34" s="22">
        <v>17.289000000000001</v>
      </c>
      <c r="AQ34" s="22">
        <v>18.18</v>
      </c>
      <c r="AR34" s="22">
        <v>19.154</v>
      </c>
      <c r="AS34" s="22">
        <v>20.905999999999999</v>
      </c>
      <c r="AT34" s="22">
        <v>22.521000000000001</v>
      </c>
      <c r="AU34" s="22">
        <v>23.579000000000001</v>
      </c>
      <c r="AV34" s="22">
        <v>25.018000000000001</v>
      </c>
      <c r="AW34" s="22">
        <v>26.904</v>
      </c>
      <c r="AX34" s="22">
        <v>29.484000000000002</v>
      </c>
      <c r="AY34" s="22">
        <v>31.123999999999999</v>
      </c>
      <c r="AZ34" s="22">
        <v>32.781999999999996</v>
      </c>
      <c r="BA34" s="22">
        <v>34.612000000000002</v>
      </c>
      <c r="BB34" s="22">
        <v>36.951999999999998</v>
      </c>
      <c r="BC34" s="22">
        <v>40.106000000000002</v>
      </c>
      <c r="BD34" s="22">
        <v>43.643000000000001</v>
      </c>
      <c r="BE34" s="22">
        <v>46.289000000000001</v>
      </c>
      <c r="BF34" s="22">
        <v>47.396999999999998</v>
      </c>
      <c r="BG34" s="22">
        <v>49.279000000000003</v>
      </c>
      <c r="BH34" s="22">
        <v>50.906999999999996</v>
      </c>
      <c r="BI34" s="22">
        <v>51.747999999999998</v>
      </c>
      <c r="BJ34" s="22">
        <v>52.076000000000001</v>
      </c>
      <c r="BK34" s="22">
        <v>53.973999999999997</v>
      </c>
      <c r="BL34" s="22">
        <v>55.604999999999997</v>
      </c>
      <c r="BM34" s="22">
        <v>57.093000000000004</v>
      </c>
      <c r="BN34" s="22">
        <v>59.786999999999999</v>
      </c>
      <c r="BO34" s="22">
        <v>60.825000000000003</v>
      </c>
      <c r="BP34" s="22">
        <v>62.994</v>
      </c>
      <c r="BQ34" s="22">
        <v>64.897999999999996</v>
      </c>
      <c r="BR34" s="22">
        <v>67.222999999999999</v>
      </c>
      <c r="BS34" s="22">
        <v>68.343999999999994</v>
      </c>
      <c r="BT34" s="22">
        <v>69.590999999999994</v>
      </c>
      <c r="BU34" s="22">
        <v>70.518000000000001</v>
      </c>
      <c r="BV34" s="22">
        <v>72.177999999999997</v>
      </c>
      <c r="BW34" s="22">
        <v>74.578000000000003</v>
      </c>
      <c r="BX34" s="22">
        <v>75.906000000000006</v>
      </c>
      <c r="BY34" s="22">
        <v>78.221999999999994</v>
      </c>
      <c r="BZ34" s="22">
        <v>80.894999999999996</v>
      </c>
      <c r="CA34" s="22">
        <v>83.637</v>
      </c>
      <c r="CB34" s="22">
        <v>86.531000000000006</v>
      </c>
      <c r="CC34" s="22">
        <v>88.799000000000007</v>
      </c>
      <c r="CD34" s="22">
        <v>91.278999999999996</v>
      </c>
      <c r="CE34" s="22">
        <v>93.596999999999994</v>
      </c>
      <c r="CF34" s="22">
        <v>94.364000000000004</v>
      </c>
      <c r="CG34" s="22">
        <v>96.941999999999993</v>
      </c>
      <c r="CH34" s="22">
        <v>99.289000000000001</v>
      </c>
      <c r="CI34" s="22">
        <v>100</v>
      </c>
      <c r="CJ34" s="22">
        <v>101.47799999999999</v>
      </c>
      <c r="CK34" s="22">
        <v>103.593</v>
      </c>
      <c r="CL34" s="22">
        <v>104.428</v>
      </c>
      <c r="CM34" s="22">
        <v>105.342</v>
      </c>
      <c r="CN34" s="22">
        <v>108.04</v>
      </c>
      <c r="CO34" s="22">
        <v>111.619</v>
      </c>
      <c r="CP34" s="22">
        <v>114.014</v>
      </c>
      <c r="CQ34" s="22">
        <v>114.119</v>
      </c>
      <c r="CR34" s="22">
        <v>119.10599999999999</v>
      </c>
    </row>
    <row r="35" spans="1:96">
      <c r="A35" t="s">
        <v>439</v>
      </c>
      <c r="B35" t="s">
        <v>440</v>
      </c>
      <c r="C35" t="s">
        <v>441</v>
      </c>
      <c r="D35" s="22">
        <v>3.6949999999999998</v>
      </c>
      <c r="E35" s="22">
        <v>3.5939999999999999</v>
      </c>
      <c r="F35" s="22">
        <v>3.38</v>
      </c>
      <c r="G35" s="22">
        <v>3.0350000000000001</v>
      </c>
      <c r="H35" s="22">
        <v>3.129</v>
      </c>
      <c r="I35" s="22">
        <v>3.375</v>
      </c>
      <c r="J35" s="22">
        <v>3.4079999999999999</v>
      </c>
      <c r="K35" s="22">
        <v>3.44</v>
      </c>
      <c r="L35" s="22">
        <v>3.52</v>
      </c>
      <c r="M35" s="22">
        <v>3.5129999999999999</v>
      </c>
      <c r="N35" s="22">
        <v>3.456</v>
      </c>
      <c r="O35" s="22">
        <v>3.4809999999999999</v>
      </c>
      <c r="P35" s="22">
        <v>3.7050000000000001</v>
      </c>
      <c r="Q35" s="22">
        <v>4.069</v>
      </c>
      <c r="R35" s="22">
        <v>4.3499999999999996</v>
      </c>
      <c r="S35" s="22">
        <v>4.5309999999999997</v>
      </c>
      <c r="T35" s="22">
        <v>4.6950000000000003</v>
      </c>
      <c r="U35" s="22">
        <v>5.1429999999999998</v>
      </c>
      <c r="V35" s="22">
        <v>5.7839999999999998</v>
      </c>
      <c r="W35" s="22">
        <v>6.4690000000000003</v>
      </c>
      <c r="X35" s="22">
        <v>6.5279999999999996</v>
      </c>
      <c r="Y35" s="22">
        <v>6.5709999999999997</v>
      </c>
      <c r="Z35" s="22">
        <v>7.2190000000000003</v>
      </c>
      <c r="AA35" s="22">
        <v>7.5339999999999998</v>
      </c>
      <c r="AB35" s="22">
        <v>7.6829999999999998</v>
      </c>
      <c r="AC35" s="22">
        <v>7.798</v>
      </c>
      <c r="AD35" s="22">
        <v>7.9580000000000002</v>
      </c>
      <c r="AE35" s="22">
        <v>8.4629999999999992</v>
      </c>
      <c r="AF35" s="22">
        <v>8.8260000000000005</v>
      </c>
      <c r="AG35" s="22">
        <v>8.9640000000000004</v>
      </c>
      <c r="AH35" s="22">
        <v>9.1270000000000007</v>
      </c>
      <c r="AI35" s="22">
        <v>9.2859999999999996</v>
      </c>
      <c r="AJ35" s="22">
        <v>9.5229999999999997</v>
      </c>
      <c r="AK35" s="22">
        <v>9.7710000000000008</v>
      </c>
      <c r="AL35" s="22">
        <v>9.9990000000000006</v>
      </c>
      <c r="AM35" s="22">
        <v>10.194000000000001</v>
      </c>
      <c r="AN35" s="22">
        <v>10.502000000000001</v>
      </c>
      <c r="AO35" s="22">
        <v>11.006</v>
      </c>
      <c r="AP35" s="22">
        <v>11.564</v>
      </c>
      <c r="AQ35" s="22">
        <v>12.234</v>
      </c>
      <c r="AR35" s="22">
        <v>13.063000000000001</v>
      </c>
      <c r="AS35" s="22">
        <v>14.117000000000001</v>
      </c>
      <c r="AT35" s="22">
        <v>15.198</v>
      </c>
      <c r="AU35" s="22">
        <v>16.163</v>
      </c>
      <c r="AV35" s="22">
        <v>17.245999999999999</v>
      </c>
      <c r="AW35" s="22">
        <v>19.157</v>
      </c>
      <c r="AX35" s="22">
        <v>20.998999999999999</v>
      </c>
      <c r="AY35" s="22">
        <v>22.024000000000001</v>
      </c>
      <c r="AZ35" s="22">
        <v>23.393999999999998</v>
      </c>
      <c r="BA35" s="22">
        <v>24.914000000000001</v>
      </c>
      <c r="BB35" s="22">
        <v>27.114000000000001</v>
      </c>
      <c r="BC35" s="22">
        <v>30.081</v>
      </c>
      <c r="BD35" s="22">
        <v>33.225999999999999</v>
      </c>
      <c r="BE35" s="22">
        <v>35.401000000000003</v>
      </c>
      <c r="BF35" s="22">
        <v>36.963999999999999</v>
      </c>
      <c r="BG35" s="22">
        <v>38.543999999999997</v>
      </c>
      <c r="BH35" s="22">
        <v>40.113</v>
      </c>
      <c r="BI35" s="22">
        <v>41.268999999999998</v>
      </c>
      <c r="BJ35" s="22">
        <v>43.195999999999998</v>
      </c>
      <c r="BK35" s="22">
        <v>44.64</v>
      </c>
      <c r="BL35" s="22">
        <v>46.752000000000002</v>
      </c>
      <c r="BM35" s="22">
        <v>49.152999999999999</v>
      </c>
      <c r="BN35" s="22">
        <v>50.953000000000003</v>
      </c>
      <c r="BO35" s="22">
        <v>52.69</v>
      </c>
      <c r="BP35" s="22">
        <v>54.002000000000002</v>
      </c>
      <c r="BQ35" s="22">
        <v>55.393999999999998</v>
      </c>
      <c r="BR35" s="22">
        <v>56.871000000000002</v>
      </c>
      <c r="BS35" s="22">
        <v>58.177</v>
      </c>
      <c r="BT35" s="22">
        <v>59.470999999999997</v>
      </c>
      <c r="BU35" s="22">
        <v>60.63</v>
      </c>
      <c r="BV35" s="22">
        <v>63.008000000000003</v>
      </c>
      <c r="BW35" s="22">
        <v>66.031999999999996</v>
      </c>
      <c r="BX35" s="22">
        <v>68.281000000000006</v>
      </c>
      <c r="BY35" s="22">
        <v>69.814999999999998</v>
      </c>
      <c r="BZ35" s="22">
        <v>72.05</v>
      </c>
      <c r="CA35" s="22">
        <v>75.369</v>
      </c>
      <c r="CB35" s="22">
        <v>79.608999999999995</v>
      </c>
      <c r="CC35" s="22">
        <v>83.617000000000004</v>
      </c>
      <c r="CD35" s="22">
        <v>88.132999999999996</v>
      </c>
      <c r="CE35" s="22">
        <v>92.558000000000007</v>
      </c>
      <c r="CF35" s="22">
        <v>92.048000000000002</v>
      </c>
      <c r="CG35" s="22">
        <v>94.668999999999997</v>
      </c>
      <c r="CH35" s="22">
        <v>97.739000000000004</v>
      </c>
      <c r="CI35" s="22">
        <v>100</v>
      </c>
      <c r="CJ35" s="22">
        <v>103.279</v>
      </c>
      <c r="CK35" s="22">
        <v>105.645</v>
      </c>
      <c r="CL35" s="22">
        <v>105.598</v>
      </c>
      <c r="CM35" s="22">
        <v>105.77</v>
      </c>
      <c r="CN35" s="22">
        <v>108.45</v>
      </c>
      <c r="CO35" s="22">
        <v>112.77500000000001</v>
      </c>
      <c r="CP35" s="22">
        <v>114.96899999999999</v>
      </c>
      <c r="CQ35" s="22">
        <v>116.818</v>
      </c>
      <c r="CR35" s="22">
        <v>122.672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I103"/>
  <sheetViews>
    <sheetView zoomScale="75" zoomScaleNormal="75" workbookViewId="0">
      <pane ySplit="16" topLeftCell="A17" activePane="bottomLeft" state="frozen"/>
      <selection pane="bottomLeft" activeCell="B15" sqref="B15"/>
      <selection activeCell="E8" sqref="E8"/>
    </sheetView>
  </sheetViews>
  <sheetFormatPr defaultColWidth="9.140625" defaultRowHeight="14.45"/>
  <cols>
    <col min="1" max="1" width="25" style="24" customWidth="1"/>
    <col min="2" max="2" width="9" style="24" customWidth="1"/>
    <col min="3" max="4" width="17" style="24" customWidth="1"/>
    <col min="5" max="16384" width="9.140625" style="24"/>
  </cols>
  <sheetData>
    <row r="1" spans="1:8" ht="15.6">
      <c r="A1" s="246" t="s">
        <v>442</v>
      </c>
      <c r="B1" s="249"/>
      <c r="C1" s="249"/>
      <c r="D1" s="249"/>
      <c r="E1" s="249"/>
      <c r="F1" s="249"/>
    </row>
    <row r="2" spans="1:8" ht="15.6">
      <c r="A2" s="246" t="s">
        <v>443</v>
      </c>
      <c r="B2" s="249"/>
      <c r="C2" s="249"/>
      <c r="D2" s="249"/>
      <c r="E2" s="249"/>
      <c r="F2" s="249"/>
    </row>
    <row r="3" spans="1:8">
      <c r="A3" s="249"/>
      <c r="B3" s="249"/>
      <c r="C3" s="249"/>
      <c r="D3" s="249"/>
      <c r="E3" s="249"/>
      <c r="F3" s="249"/>
    </row>
    <row r="4" spans="1:8">
      <c r="A4" s="25" t="s">
        <v>444</v>
      </c>
      <c r="B4" s="245" t="s">
        <v>445</v>
      </c>
      <c r="C4" s="249"/>
      <c r="D4" s="249"/>
      <c r="E4" s="249"/>
      <c r="F4" s="249"/>
    </row>
    <row r="5" spans="1:8">
      <c r="A5" s="247" t="s">
        <v>446</v>
      </c>
      <c r="B5" s="249"/>
      <c r="C5" s="249"/>
      <c r="D5" s="249"/>
      <c r="E5" s="249"/>
      <c r="F5" s="249"/>
    </row>
    <row r="6" spans="1:8">
      <c r="A6" s="25" t="s">
        <v>447</v>
      </c>
      <c r="B6" s="245" t="s">
        <v>448</v>
      </c>
      <c r="C6" s="249"/>
      <c r="D6" s="249"/>
      <c r="E6" s="249"/>
      <c r="F6" s="249"/>
    </row>
    <row r="7" spans="1:8">
      <c r="A7" s="25" t="s">
        <v>449</v>
      </c>
      <c r="B7" s="245" t="s">
        <v>450</v>
      </c>
      <c r="C7" s="249"/>
      <c r="D7" s="249"/>
      <c r="E7" s="249"/>
      <c r="F7" s="249"/>
    </row>
    <row r="8" spans="1:8">
      <c r="A8" s="25" t="s">
        <v>451</v>
      </c>
      <c r="B8" s="245" t="s">
        <v>452</v>
      </c>
      <c r="C8" s="249"/>
      <c r="D8" s="249"/>
      <c r="E8" s="249"/>
      <c r="F8" s="249"/>
    </row>
    <row r="9" spans="1:8">
      <c r="A9" s="25" t="s">
        <v>453</v>
      </c>
      <c r="B9" s="245" t="s">
        <v>454</v>
      </c>
      <c r="C9" s="249"/>
      <c r="D9" s="249"/>
      <c r="E9" s="249"/>
      <c r="F9" s="249"/>
    </row>
    <row r="10" spans="1:8">
      <c r="A10" s="25" t="s">
        <v>455</v>
      </c>
      <c r="B10" s="245" t="s">
        <v>454</v>
      </c>
      <c r="C10" s="249"/>
      <c r="D10" s="249"/>
      <c r="E10" s="249"/>
      <c r="F10" s="249"/>
    </row>
    <row r="11" spans="1:8">
      <c r="A11" s="25" t="s">
        <v>456</v>
      </c>
      <c r="B11" s="245" t="s">
        <v>454</v>
      </c>
      <c r="C11" s="249"/>
      <c r="D11" s="249"/>
      <c r="E11" s="249"/>
      <c r="F11" s="249"/>
    </row>
    <row r="12" spans="1:8">
      <c r="A12" s="25" t="s">
        <v>457</v>
      </c>
      <c r="B12" s="245" t="s">
        <v>458</v>
      </c>
      <c r="C12" s="249"/>
      <c r="D12" s="249"/>
      <c r="E12" s="249"/>
      <c r="F12" s="249"/>
    </row>
    <row r="13" spans="1:8">
      <c r="A13" s="25" t="s">
        <v>459</v>
      </c>
      <c r="B13" s="245" t="s">
        <v>460</v>
      </c>
      <c r="C13" s="249"/>
      <c r="D13" s="249"/>
      <c r="E13" s="249"/>
      <c r="F13" s="249"/>
    </row>
    <row r="14" spans="1:8">
      <c r="A14" s="25" t="s">
        <v>461</v>
      </c>
      <c r="B14" s="248" t="s">
        <v>462</v>
      </c>
      <c r="C14" s="249"/>
      <c r="D14" s="249"/>
      <c r="E14" s="249"/>
      <c r="F14" s="249"/>
    </row>
    <row r="16" spans="1:8" s="28" customFormat="1" ht="15" thickBot="1">
      <c r="A16" s="26" t="s">
        <v>4</v>
      </c>
      <c r="B16" s="26" t="s">
        <v>463</v>
      </c>
      <c r="C16" s="27" t="s">
        <v>464</v>
      </c>
      <c r="D16" s="27" t="s">
        <v>465</v>
      </c>
      <c r="F16" s="28" t="s">
        <v>4</v>
      </c>
      <c r="G16" s="28" t="s">
        <v>4</v>
      </c>
      <c r="H16" s="28" t="s">
        <v>466</v>
      </c>
    </row>
    <row r="17" spans="1:9" ht="15" thickTop="1">
      <c r="A17" s="29">
        <v>2001</v>
      </c>
      <c r="B17" s="29" t="s">
        <v>467</v>
      </c>
      <c r="C17" s="30">
        <v>85</v>
      </c>
      <c r="D17" s="24" t="s">
        <v>468</v>
      </c>
      <c r="F17" s="9" t="s">
        <v>142</v>
      </c>
      <c r="G17" s="9">
        <v>2021</v>
      </c>
      <c r="H17" s="24">
        <f t="shared" ref="H17:H37" si="0">AVERAGEIF($A$17:$A$102,G17,$C$17:$C$102)</f>
        <v>145.47500000000002</v>
      </c>
      <c r="I17" s="24">
        <f t="shared" ref="I17:I34" si="1">H17/$H$34</f>
        <v>1.51260722641019</v>
      </c>
    </row>
    <row r="18" spans="1:9">
      <c r="A18" s="29">
        <v>2001</v>
      </c>
      <c r="B18" s="29" t="s">
        <v>469</v>
      </c>
      <c r="C18" s="30">
        <v>85.8</v>
      </c>
      <c r="D18" s="24" t="s">
        <v>468</v>
      </c>
      <c r="F18" s="9" t="s">
        <v>141</v>
      </c>
      <c r="G18" s="9">
        <v>2020</v>
      </c>
      <c r="H18" s="24">
        <f t="shared" si="0"/>
        <v>140.44999999999999</v>
      </c>
      <c r="I18" s="24">
        <f t="shared" si="1"/>
        <v>1.460358721081362</v>
      </c>
    </row>
    <row r="19" spans="1:9">
      <c r="A19" s="29">
        <v>2001</v>
      </c>
      <c r="B19" s="29" t="s">
        <v>470</v>
      </c>
      <c r="C19" s="30">
        <v>86.7</v>
      </c>
      <c r="D19" s="24" t="s">
        <v>468</v>
      </c>
      <c r="F19" s="9" t="s">
        <v>140</v>
      </c>
      <c r="G19" s="9">
        <v>2019</v>
      </c>
      <c r="H19" s="24">
        <f t="shared" si="0"/>
        <v>136.85</v>
      </c>
      <c r="I19" s="24">
        <f t="shared" si="1"/>
        <v>1.4229269560696647</v>
      </c>
    </row>
    <row r="20" spans="1:9">
      <c r="A20" s="29">
        <v>2001</v>
      </c>
      <c r="B20" s="29" t="s">
        <v>471</v>
      </c>
      <c r="C20" s="30">
        <v>87.3</v>
      </c>
      <c r="D20" s="24" t="s">
        <v>468</v>
      </c>
      <c r="F20" s="9" t="s">
        <v>136</v>
      </c>
      <c r="G20" s="9">
        <v>2018</v>
      </c>
      <c r="H20" s="24">
        <f t="shared" si="0"/>
        <v>133.25</v>
      </c>
      <c r="I20" s="24">
        <f t="shared" si="1"/>
        <v>1.3854951910579674</v>
      </c>
    </row>
    <row r="21" spans="1:9">
      <c r="A21" s="29">
        <v>2002</v>
      </c>
      <c r="B21" s="29" t="s">
        <v>467</v>
      </c>
      <c r="C21" s="30">
        <v>88.2</v>
      </c>
      <c r="D21" s="24" t="s">
        <v>468</v>
      </c>
      <c r="F21" s="9" t="s">
        <v>135</v>
      </c>
      <c r="G21" s="9">
        <v>2017</v>
      </c>
      <c r="H21" s="24">
        <f t="shared" si="0"/>
        <v>129.5</v>
      </c>
      <c r="I21" s="24">
        <f t="shared" si="1"/>
        <v>1.3465037691707824</v>
      </c>
    </row>
    <row r="22" spans="1:9">
      <c r="A22" s="29">
        <v>2002</v>
      </c>
      <c r="B22" s="29" t="s">
        <v>469</v>
      </c>
      <c r="C22" s="30">
        <v>89.2</v>
      </c>
      <c r="D22" s="24" t="s">
        <v>468</v>
      </c>
      <c r="F22" s="9" t="s">
        <v>133</v>
      </c>
      <c r="G22" s="9">
        <v>2016</v>
      </c>
      <c r="H22" s="24">
        <f t="shared" si="0"/>
        <v>126.4</v>
      </c>
      <c r="I22" s="24">
        <f t="shared" si="1"/>
        <v>1.3142708604107098</v>
      </c>
    </row>
    <row r="23" spans="1:9">
      <c r="A23" s="29">
        <v>2002</v>
      </c>
      <c r="B23" s="29" t="s">
        <v>470</v>
      </c>
      <c r="C23" s="30">
        <v>89.7</v>
      </c>
      <c r="D23" s="24" t="s">
        <v>468</v>
      </c>
      <c r="F23" s="9" t="s">
        <v>132</v>
      </c>
      <c r="G23" s="9">
        <v>2015</v>
      </c>
      <c r="H23" s="24">
        <f t="shared" si="0"/>
        <v>123.75</v>
      </c>
      <c r="I23" s="24">
        <f t="shared" si="1"/>
        <v>1.2867169222770991</v>
      </c>
    </row>
    <row r="24" spans="1:9">
      <c r="A24" s="29">
        <v>2002</v>
      </c>
      <c r="B24" s="29" t="s">
        <v>471</v>
      </c>
      <c r="C24" s="30">
        <v>90</v>
      </c>
      <c r="D24" s="24" t="s">
        <v>468</v>
      </c>
      <c r="F24" s="9" t="s">
        <v>130</v>
      </c>
      <c r="G24" s="9">
        <v>2014</v>
      </c>
      <c r="H24" s="24">
        <f t="shared" si="0"/>
        <v>121.2</v>
      </c>
      <c r="I24" s="24">
        <f t="shared" si="1"/>
        <v>1.2602027553938133</v>
      </c>
    </row>
    <row r="25" spans="1:9">
      <c r="A25" s="29">
        <v>2003</v>
      </c>
      <c r="B25" s="29" t="s">
        <v>467</v>
      </c>
      <c r="C25" s="30">
        <v>91.4</v>
      </c>
      <c r="D25" s="24" t="s">
        <v>468</v>
      </c>
      <c r="F25" s="9" t="s">
        <v>129</v>
      </c>
      <c r="G25" s="9">
        <v>2013</v>
      </c>
      <c r="H25" s="24">
        <f t="shared" si="0"/>
        <v>118.72499999999999</v>
      </c>
      <c r="I25" s="24">
        <f t="shared" si="1"/>
        <v>1.2344684169482714</v>
      </c>
    </row>
    <row r="26" spans="1:9">
      <c r="A26" s="29">
        <v>2003</v>
      </c>
      <c r="B26" s="29" t="s">
        <v>469</v>
      </c>
      <c r="C26" s="30">
        <v>92.3</v>
      </c>
      <c r="D26" s="24" t="s">
        <v>468</v>
      </c>
      <c r="F26" s="9" t="s">
        <v>128</v>
      </c>
      <c r="G26" s="9">
        <v>2012</v>
      </c>
      <c r="H26" s="24">
        <f t="shared" si="0"/>
        <v>116.5</v>
      </c>
      <c r="I26" s="24">
        <f t="shared" si="1"/>
        <v>1.2113335066285418</v>
      </c>
    </row>
    <row r="27" spans="1:9">
      <c r="A27" s="29">
        <v>2003</v>
      </c>
      <c r="B27" s="29" t="s">
        <v>470</v>
      </c>
      <c r="C27" s="30">
        <v>93.2</v>
      </c>
      <c r="D27" s="24" t="s">
        <v>468</v>
      </c>
      <c r="F27" s="9" t="s">
        <v>127</v>
      </c>
      <c r="G27" s="9">
        <v>2011</v>
      </c>
      <c r="H27" s="24">
        <f t="shared" si="0"/>
        <v>114.3</v>
      </c>
      <c r="I27" s="24">
        <f t="shared" si="1"/>
        <v>1.1884585391213933</v>
      </c>
    </row>
    <row r="28" spans="1:9">
      <c r="A28" s="29">
        <v>2003</v>
      </c>
      <c r="B28" s="29" t="s">
        <v>471</v>
      </c>
      <c r="C28" s="30">
        <v>93.6</v>
      </c>
      <c r="D28" s="24" t="s">
        <v>468</v>
      </c>
      <c r="F28" s="9" t="s">
        <v>126</v>
      </c>
      <c r="G28" s="9">
        <v>2010</v>
      </c>
      <c r="H28" s="24">
        <f t="shared" si="0"/>
        <v>111.875</v>
      </c>
      <c r="I28" s="24">
        <f t="shared" si="1"/>
        <v>1.1632440863010138</v>
      </c>
    </row>
    <row r="29" spans="1:9">
      <c r="A29" s="29">
        <v>2004</v>
      </c>
      <c r="B29" s="29" t="s">
        <v>467</v>
      </c>
      <c r="C29" s="30">
        <v>94.9</v>
      </c>
      <c r="D29" s="24" t="s">
        <v>468</v>
      </c>
      <c r="F29" s="9" t="s">
        <v>125</v>
      </c>
      <c r="G29" s="9">
        <v>2009</v>
      </c>
      <c r="H29" s="24">
        <f t="shared" si="0"/>
        <v>109.77499999999999</v>
      </c>
      <c r="I29" s="24">
        <f t="shared" si="1"/>
        <v>1.1414088900441903</v>
      </c>
    </row>
    <row r="30" spans="1:9">
      <c r="A30" s="29">
        <v>2004</v>
      </c>
      <c r="B30" s="29" t="s">
        <v>469</v>
      </c>
      <c r="C30" s="30">
        <v>95.9</v>
      </c>
      <c r="D30" s="24" t="s">
        <v>468</v>
      </c>
      <c r="F30" s="9" t="s">
        <v>120</v>
      </c>
      <c r="G30" s="9">
        <v>2008</v>
      </c>
      <c r="H30" s="24">
        <f t="shared" si="0"/>
        <v>108.22499999999999</v>
      </c>
      <c r="I30" s="24">
        <f t="shared" si="1"/>
        <v>1.1252924356641538</v>
      </c>
    </row>
    <row r="31" spans="1:9">
      <c r="A31" s="29">
        <v>2004</v>
      </c>
      <c r="B31" s="29" t="s">
        <v>470</v>
      </c>
      <c r="C31" s="30">
        <v>96.7</v>
      </c>
      <c r="D31" s="24" t="s">
        <v>468</v>
      </c>
      <c r="F31" s="9" t="s">
        <v>118</v>
      </c>
      <c r="G31" s="9">
        <v>2007</v>
      </c>
      <c r="H31" s="24">
        <f t="shared" si="0"/>
        <v>105.22500000000001</v>
      </c>
      <c r="I31" s="24">
        <f t="shared" si="1"/>
        <v>1.0940992981544062</v>
      </c>
    </row>
    <row r="32" spans="1:9">
      <c r="A32" s="29">
        <v>2004</v>
      </c>
      <c r="B32" s="29" t="s">
        <v>471</v>
      </c>
      <c r="C32" s="30">
        <v>97.2</v>
      </c>
      <c r="D32" s="24" t="s">
        <v>468</v>
      </c>
      <c r="F32" s="9" t="s">
        <v>117</v>
      </c>
      <c r="G32" s="9">
        <v>2006</v>
      </c>
      <c r="H32" s="24">
        <f t="shared" si="0"/>
        <v>102.05</v>
      </c>
      <c r="I32" s="24">
        <f t="shared" si="1"/>
        <v>1.0610865609565896</v>
      </c>
    </row>
    <row r="33" spans="1:9">
      <c r="A33" s="29">
        <v>2005</v>
      </c>
      <c r="B33" s="29" t="s">
        <v>467</v>
      </c>
      <c r="C33" s="30">
        <v>98.2</v>
      </c>
      <c r="D33" s="24" t="s">
        <v>468</v>
      </c>
      <c r="F33" s="9" t="s">
        <v>116</v>
      </c>
      <c r="G33" s="9">
        <v>2005</v>
      </c>
      <c r="H33" s="24">
        <f t="shared" si="0"/>
        <v>99.15</v>
      </c>
      <c r="I33" s="24">
        <f t="shared" si="1"/>
        <v>1.0309331946971667</v>
      </c>
    </row>
    <row r="34" spans="1:9">
      <c r="A34" s="29">
        <v>2005</v>
      </c>
      <c r="B34" s="29" t="s">
        <v>469</v>
      </c>
      <c r="C34" s="30">
        <v>98.9</v>
      </c>
      <c r="D34" s="24" t="s">
        <v>468</v>
      </c>
      <c r="F34" s="9" t="s">
        <v>115</v>
      </c>
      <c r="G34" s="9">
        <v>2004</v>
      </c>
      <c r="H34" s="24">
        <f t="shared" si="0"/>
        <v>96.174999999999997</v>
      </c>
      <c r="I34" s="24">
        <f t="shared" si="1"/>
        <v>1</v>
      </c>
    </row>
    <row r="35" spans="1:9">
      <c r="A35" s="29">
        <v>2005</v>
      </c>
      <c r="B35" s="29" t="s">
        <v>470</v>
      </c>
      <c r="C35" s="30">
        <v>99.5</v>
      </c>
      <c r="D35" s="24" t="s">
        <v>468</v>
      </c>
      <c r="G35" s="24">
        <f>G34-1</f>
        <v>2003</v>
      </c>
      <c r="H35" s="24">
        <f t="shared" si="0"/>
        <v>92.625</v>
      </c>
    </row>
    <row r="36" spans="1:9">
      <c r="A36" s="29">
        <v>2005</v>
      </c>
      <c r="B36" s="29" t="s">
        <v>471</v>
      </c>
      <c r="C36" s="30">
        <v>100</v>
      </c>
      <c r="D36" s="24" t="s">
        <v>468</v>
      </c>
      <c r="G36" s="24">
        <f t="shared" ref="G36:G37" si="2">G35-1</f>
        <v>2002</v>
      </c>
      <c r="H36" s="24">
        <f t="shared" si="0"/>
        <v>89.275000000000006</v>
      </c>
    </row>
    <row r="37" spans="1:9">
      <c r="A37" s="29">
        <v>2006</v>
      </c>
      <c r="B37" s="29" t="s">
        <v>467</v>
      </c>
      <c r="C37" s="30">
        <v>100.8</v>
      </c>
      <c r="D37" s="24" t="s">
        <v>468</v>
      </c>
      <c r="G37" s="24">
        <f t="shared" si="2"/>
        <v>2001</v>
      </c>
      <c r="H37" s="24">
        <f t="shared" si="0"/>
        <v>86.2</v>
      </c>
    </row>
    <row r="38" spans="1:9">
      <c r="A38" s="29">
        <v>2006</v>
      </c>
      <c r="B38" s="29" t="s">
        <v>469</v>
      </c>
      <c r="C38" s="30">
        <v>101.7</v>
      </c>
      <c r="D38" s="24" t="s">
        <v>468</v>
      </c>
    </row>
    <row r="39" spans="1:9">
      <c r="A39" s="29">
        <v>2006</v>
      </c>
      <c r="B39" s="29" t="s">
        <v>470</v>
      </c>
      <c r="C39" s="30">
        <v>102.5</v>
      </c>
      <c r="D39" s="24" t="s">
        <v>468</v>
      </c>
    </row>
    <row r="40" spans="1:9">
      <c r="A40" s="29">
        <v>2006</v>
      </c>
      <c r="B40" s="29" t="s">
        <v>471</v>
      </c>
      <c r="C40" s="30">
        <v>103.2</v>
      </c>
      <c r="D40" s="24" t="s">
        <v>468</v>
      </c>
    </row>
    <row r="41" spans="1:9">
      <c r="A41" s="29">
        <v>2007</v>
      </c>
      <c r="B41" s="29" t="s">
        <v>467</v>
      </c>
      <c r="C41" s="30">
        <v>104</v>
      </c>
      <c r="D41" s="24" t="s">
        <v>468</v>
      </c>
    </row>
    <row r="42" spans="1:9">
      <c r="A42" s="29">
        <v>2007</v>
      </c>
      <c r="B42" s="29" t="s">
        <v>469</v>
      </c>
      <c r="C42" s="30">
        <v>104.9</v>
      </c>
      <c r="D42" s="24" t="s">
        <v>468</v>
      </c>
    </row>
    <row r="43" spans="1:9">
      <c r="A43" s="29">
        <v>2007</v>
      </c>
      <c r="B43" s="29" t="s">
        <v>470</v>
      </c>
      <c r="C43" s="30">
        <v>105.7</v>
      </c>
      <c r="D43" s="24" t="s">
        <v>468</v>
      </c>
    </row>
    <row r="44" spans="1:9">
      <c r="A44" s="29">
        <v>2007</v>
      </c>
      <c r="B44" s="29" t="s">
        <v>471</v>
      </c>
      <c r="C44" s="30">
        <v>106.3</v>
      </c>
      <c r="D44" s="24" t="s">
        <v>468</v>
      </c>
    </row>
    <row r="45" spans="1:9">
      <c r="A45" s="29">
        <v>2008</v>
      </c>
      <c r="B45" s="29" t="s">
        <v>467</v>
      </c>
      <c r="C45" s="30">
        <v>107.3</v>
      </c>
      <c r="D45" s="24" t="s">
        <v>468</v>
      </c>
    </row>
    <row r="46" spans="1:9">
      <c r="A46" s="29">
        <v>2008</v>
      </c>
      <c r="B46" s="29" t="s">
        <v>469</v>
      </c>
      <c r="C46" s="30">
        <v>108</v>
      </c>
      <c r="D46" s="24" t="s">
        <v>468</v>
      </c>
    </row>
    <row r="47" spans="1:9">
      <c r="A47" s="29">
        <v>2008</v>
      </c>
      <c r="B47" s="29" t="s">
        <v>470</v>
      </c>
      <c r="C47" s="30">
        <v>108.7</v>
      </c>
      <c r="D47" s="24" t="s">
        <v>468</v>
      </c>
    </row>
    <row r="48" spans="1:9">
      <c r="A48" s="29">
        <v>2008</v>
      </c>
      <c r="B48" s="29" t="s">
        <v>471</v>
      </c>
      <c r="C48" s="30">
        <v>108.9</v>
      </c>
      <c r="D48" s="24" t="s">
        <v>468</v>
      </c>
    </row>
    <row r="49" spans="1:4">
      <c r="A49" s="29">
        <v>2009</v>
      </c>
      <c r="B49" s="29" t="s">
        <v>467</v>
      </c>
      <c r="C49" s="30">
        <v>109.3</v>
      </c>
      <c r="D49" s="24" t="s">
        <v>468</v>
      </c>
    </row>
    <row r="50" spans="1:4">
      <c r="A50" s="29">
        <v>2009</v>
      </c>
      <c r="B50" s="29" t="s">
        <v>469</v>
      </c>
      <c r="C50" s="30">
        <v>109.6</v>
      </c>
      <c r="D50" s="24" t="s">
        <v>468</v>
      </c>
    </row>
    <row r="51" spans="1:4">
      <c r="A51" s="29">
        <v>2009</v>
      </c>
      <c r="B51" s="29" t="s">
        <v>470</v>
      </c>
      <c r="C51" s="30">
        <v>110</v>
      </c>
      <c r="D51" s="24" t="s">
        <v>468</v>
      </c>
    </row>
    <row r="52" spans="1:4">
      <c r="A52" s="29">
        <v>2009</v>
      </c>
      <c r="B52" s="29" t="s">
        <v>471</v>
      </c>
      <c r="C52" s="30">
        <v>110.2</v>
      </c>
      <c r="D52" s="24" t="s">
        <v>468</v>
      </c>
    </row>
    <row r="53" spans="1:4">
      <c r="A53" s="29">
        <v>2010</v>
      </c>
      <c r="B53" s="29" t="s">
        <v>467</v>
      </c>
      <c r="C53" s="30">
        <v>111.1</v>
      </c>
      <c r="D53" s="24" t="s">
        <v>468</v>
      </c>
    </row>
    <row r="54" spans="1:4">
      <c r="A54" s="29">
        <v>2010</v>
      </c>
      <c r="B54" s="29" t="s">
        <v>469</v>
      </c>
      <c r="C54" s="30">
        <v>111.7</v>
      </c>
      <c r="D54" s="24" t="s">
        <v>468</v>
      </c>
    </row>
    <row r="55" spans="1:4">
      <c r="A55" s="29">
        <v>2010</v>
      </c>
      <c r="B55" s="29" t="s">
        <v>470</v>
      </c>
      <c r="C55" s="30">
        <v>112.2</v>
      </c>
      <c r="D55" s="24" t="s">
        <v>468</v>
      </c>
    </row>
    <row r="56" spans="1:4">
      <c r="A56" s="29">
        <v>2010</v>
      </c>
      <c r="B56" s="29" t="s">
        <v>471</v>
      </c>
      <c r="C56" s="30">
        <v>112.5</v>
      </c>
      <c r="D56" s="24" t="s">
        <v>468</v>
      </c>
    </row>
    <row r="57" spans="1:4">
      <c r="A57" s="29">
        <v>2011</v>
      </c>
      <c r="B57" s="29" t="s">
        <v>467</v>
      </c>
      <c r="C57" s="30">
        <v>113.3</v>
      </c>
      <c r="D57" s="24" t="s">
        <v>468</v>
      </c>
    </row>
    <row r="58" spans="1:4">
      <c r="A58" s="29">
        <v>2011</v>
      </c>
      <c r="B58" s="29" t="s">
        <v>469</v>
      </c>
      <c r="C58" s="30">
        <v>114.3</v>
      </c>
      <c r="D58" s="24" t="s">
        <v>468</v>
      </c>
    </row>
    <row r="59" spans="1:4">
      <c r="A59" s="29">
        <v>2011</v>
      </c>
      <c r="B59" s="29" t="s">
        <v>470</v>
      </c>
      <c r="C59" s="30">
        <v>114.6</v>
      </c>
      <c r="D59" s="24" t="s">
        <v>468</v>
      </c>
    </row>
    <row r="60" spans="1:4">
      <c r="A60" s="29">
        <v>2011</v>
      </c>
      <c r="B60" s="29" t="s">
        <v>471</v>
      </c>
      <c r="C60" s="30">
        <v>115</v>
      </c>
      <c r="D60" s="24" t="s">
        <v>468</v>
      </c>
    </row>
    <row r="61" spans="1:4">
      <c r="A61" s="29">
        <v>2012</v>
      </c>
      <c r="B61" s="29" t="s">
        <v>467</v>
      </c>
      <c r="C61" s="30">
        <v>115.7</v>
      </c>
      <c r="D61" s="24" t="s">
        <v>468</v>
      </c>
    </row>
    <row r="62" spans="1:4">
      <c r="A62" s="29">
        <v>2012</v>
      </c>
      <c r="B62" s="29" t="s">
        <v>469</v>
      </c>
      <c r="C62" s="30">
        <v>116.4</v>
      </c>
      <c r="D62" s="24" t="s">
        <v>468</v>
      </c>
    </row>
    <row r="63" spans="1:4">
      <c r="A63" s="29">
        <v>2012</v>
      </c>
      <c r="B63" s="29" t="s">
        <v>470</v>
      </c>
      <c r="C63" s="30">
        <v>116.8</v>
      </c>
      <c r="D63" s="24" t="s">
        <v>468</v>
      </c>
    </row>
    <row r="64" spans="1:4">
      <c r="A64" s="29">
        <v>2012</v>
      </c>
      <c r="B64" s="29" t="s">
        <v>471</v>
      </c>
      <c r="C64" s="30">
        <v>117.1</v>
      </c>
      <c r="D64" s="24" t="s">
        <v>468</v>
      </c>
    </row>
    <row r="65" spans="1:4">
      <c r="A65" s="29">
        <v>2013</v>
      </c>
      <c r="B65" s="29" t="s">
        <v>467</v>
      </c>
      <c r="C65" s="30">
        <v>117.9</v>
      </c>
      <c r="D65" s="24" t="s">
        <v>468</v>
      </c>
    </row>
    <row r="66" spans="1:4">
      <c r="A66" s="29">
        <v>2013</v>
      </c>
      <c r="B66" s="29" t="s">
        <v>469</v>
      </c>
      <c r="C66" s="30">
        <v>118.6</v>
      </c>
      <c r="D66" s="24" t="s">
        <v>468</v>
      </c>
    </row>
    <row r="67" spans="1:4">
      <c r="A67" s="29">
        <v>2013</v>
      </c>
      <c r="B67" s="29" t="s">
        <v>470</v>
      </c>
      <c r="C67" s="30">
        <v>119</v>
      </c>
      <c r="D67" s="24" t="s">
        <v>468</v>
      </c>
    </row>
    <row r="68" spans="1:4">
      <c r="A68" s="29">
        <v>2013</v>
      </c>
      <c r="B68" s="29" t="s">
        <v>471</v>
      </c>
      <c r="C68" s="30">
        <v>119.4</v>
      </c>
      <c r="D68" s="24" t="s">
        <v>468</v>
      </c>
    </row>
    <row r="69" spans="1:4">
      <c r="A69" s="29">
        <v>2014</v>
      </c>
      <c r="B69" s="29" t="s">
        <v>467</v>
      </c>
      <c r="C69" s="30">
        <v>119.9</v>
      </c>
      <c r="D69" s="24" t="s">
        <v>468</v>
      </c>
    </row>
    <row r="70" spans="1:4">
      <c r="A70" s="29">
        <v>2014</v>
      </c>
      <c r="B70" s="29" t="s">
        <v>469</v>
      </c>
      <c r="C70" s="30">
        <v>121</v>
      </c>
      <c r="D70" s="24" t="s">
        <v>468</v>
      </c>
    </row>
    <row r="71" spans="1:4">
      <c r="A71" s="29">
        <v>2014</v>
      </c>
      <c r="B71" s="29" t="s">
        <v>470</v>
      </c>
      <c r="C71" s="30">
        <v>121.7</v>
      </c>
      <c r="D71" s="24" t="s">
        <v>468</v>
      </c>
    </row>
    <row r="72" spans="1:4">
      <c r="A72" s="29">
        <v>2014</v>
      </c>
      <c r="B72" s="29" t="s">
        <v>471</v>
      </c>
      <c r="C72" s="30">
        <v>122.2</v>
      </c>
      <c r="D72" s="24" t="s">
        <v>468</v>
      </c>
    </row>
    <row r="73" spans="1:4">
      <c r="A73" s="29">
        <v>2015</v>
      </c>
      <c r="B73" s="29" t="s">
        <v>467</v>
      </c>
      <c r="C73" s="30">
        <v>123.2</v>
      </c>
      <c r="D73" s="24" t="s">
        <v>468</v>
      </c>
    </row>
    <row r="74" spans="1:4">
      <c r="A74" s="29">
        <v>2015</v>
      </c>
      <c r="B74" s="29" t="s">
        <v>469</v>
      </c>
      <c r="C74" s="30">
        <v>123.3</v>
      </c>
      <c r="D74" s="24" t="s">
        <v>468</v>
      </c>
    </row>
    <row r="75" spans="1:4">
      <c r="A75" s="29">
        <v>2015</v>
      </c>
      <c r="B75" s="29" t="s">
        <v>470</v>
      </c>
      <c r="C75" s="30">
        <v>124</v>
      </c>
      <c r="D75" s="24" t="s">
        <v>468</v>
      </c>
    </row>
    <row r="76" spans="1:4">
      <c r="A76" s="29">
        <v>2015</v>
      </c>
      <c r="B76" s="29" t="s">
        <v>471</v>
      </c>
      <c r="C76" s="30">
        <v>124.5</v>
      </c>
      <c r="D76" s="24" t="s">
        <v>468</v>
      </c>
    </row>
    <row r="77" spans="1:4">
      <c r="A77" s="29">
        <v>2016</v>
      </c>
      <c r="B77" s="29" t="s">
        <v>467</v>
      </c>
      <c r="C77" s="30">
        <v>125.4</v>
      </c>
      <c r="D77" s="24" t="s">
        <v>468</v>
      </c>
    </row>
    <row r="78" spans="1:4">
      <c r="A78" s="29">
        <v>2016</v>
      </c>
      <c r="B78" s="29" t="s">
        <v>469</v>
      </c>
      <c r="C78" s="30">
        <v>126.2</v>
      </c>
      <c r="D78" s="24" t="s">
        <v>468</v>
      </c>
    </row>
    <row r="79" spans="1:4">
      <c r="A79" s="29">
        <v>2016</v>
      </c>
      <c r="B79" s="29" t="s">
        <v>470</v>
      </c>
      <c r="C79" s="30">
        <v>126.8</v>
      </c>
      <c r="D79" s="24" t="s">
        <v>468</v>
      </c>
    </row>
    <row r="80" spans="1:4">
      <c r="A80" s="29">
        <v>2016</v>
      </c>
      <c r="B80" s="29" t="s">
        <v>471</v>
      </c>
      <c r="C80" s="30">
        <v>127.2</v>
      </c>
      <c r="D80" s="24" t="s">
        <v>468</v>
      </c>
    </row>
    <row r="81" spans="1:4">
      <c r="A81" s="29">
        <v>2017</v>
      </c>
      <c r="B81" s="29" t="s">
        <v>467</v>
      </c>
      <c r="C81" s="30">
        <v>128.30000000000001</v>
      </c>
      <c r="D81" s="24" t="s">
        <v>468</v>
      </c>
    </row>
    <row r="82" spans="1:4">
      <c r="A82" s="29">
        <v>2017</v>
      </c>
      <c r="B82" s="29" t="s">
        <v>469</v>
      </c>
      <c r="C82" s="30">
        <v>129.19999999999999</v>
      </c>
      <c r="D82" s="24" t="s">
        <v>468</v>
      </c>
    </row>
    <row r="83" spans="1:4">
      <c r="A83" s="29">
        <v>2017</v>
      </c>
      <c r="B83" s="29" t="s">
        <v>470</v>
      </c>
      <c r="C83" s="30">
        <v>130</v>
      </c>
      <c r="D83" s="24" t="s">
        <v>468</v>
      </c>
    </row>
    <row r="84" spans="1:4">
      <c r="A84" s="29">
        <v>2017</v>
      </c>
      <c r="B84" s="29" t="s">
        <v>471</v>
      </c>
      <c r="C84" s="30">
        <v>130.5</v>
      </c>
      <c r="D84" s="24" t="s">
        <v>468</v>
      </c>
    </row>
    <row r="85" spans="1:4">
      <c r="A85" s="29">
        <v>2018</v>
      </c>
      <c r="B85" s="29" t="s">
        <v>467</v>
      </c>
      <c r="C85" s="30">
        <v>131.9</v>
      </c>
      <c r="D85" s="24" t="s">
        <v>468</v>
      </c>
    </row>
    <row r="86" spans="1:4">
      <c r="A86" s="29">
        <v>2018</v>
      </c>
      <c r="B86" s="29" t="s">
        <v>469</v>
      </c>
      <c r="C86" s="30">
        <v>132.9</v>
      </c>
      <c r="D86" s="24" t="s">
        <v>468</v>
      </c>
    </row>
    <row r="87" spans="1:4">
      <c r="A87" s="29">
        <v>2018</v>
      </c>
      <c r="B87" s="29" t="s">
        <v>470</v>
      </c>
      <c r="C87" s="30">
        <v>133.80000000000001</v>
      </c>
      <c r="D87" s="24" t="s">
        <v>468</v>
      </c>
    </row>
    <row r="88" spans="1:4">
      <c r="A88" s="29">
        <v>2018</v>
      </c>
      <c r="B88" s="29" t="s">
        <v>471</v>
      </c>
      <c r="C88" s="30">
        <v>134.4</v>
      </c>
      <c r="D88" s="24" t="s">
        <v>468</v>
      </c>
    </row>
    <row r="89" spans="1:4">
      <c r="A89" s="29">
        <v>2019</v>
      </c>
      <c r="B89" s="29" t="s">
        <v>467</v>
      </c>
      <c r="C89" s="30">
        <v>135.6</v>
      </c>
      <c r="D89" s="24" t="s">
        <v>468</v>
      </c>
    </row>
    <row r="90" spans="1:4">
      <c r="A90" s="29">
        <v>2019</v>
      </c>
      <c r="B90" s="29" t="s">
        <v>469</v>
      </c>
      <c r="C90" s="30">
        <v>136.4</v>
      </c>
      <c r="D90" s="24" t="s">
        <v>468</v>
      </c>
    </row>
    <row r="91" spans="1:4">
      <c r="A91" s="29">
        <v>2019</v>
      </c>
      <c r="B91" s="29" t="s">
        <v>470</v>
      </c>
      <c r="C91" s="30">
        <v>137.4</v>
      </c>
      <c r="D91" s="24" t="s">
        <v>468</v>
      </c>
    </row>
    <row r="92" spans="1:4">
      <c r="A92" s="29">
        <v>2019</v>
      </c>
      <c r="B92" s="29" t="s">
        <v>471</v>
      </c>
      <c r="C92" s="30">
        <v>138</v>
      </c>
      <c r="D92" s="24" t="s">
        <v>468</v>
      </c>
    </row>
    <row r="93" spans="1:4">
      <c r="A93" s="29">
        <v>2020</v>
      </c>
      <c r="B93" s="29" t="s">
        <v>467</v>
      </c>
      <c r="C93" s="30">
        <v>139.4</v>
      </c>
      <c r="D93" s="24" t="s">
        <v>468</v>
      </c>
    </row>
    <row r="94" spans="1:4">
      <c r="A94" s="29">
        <v>2020</v>
      </c>
      <c r="B94" s="29" t="s">
        <v>469</v>
      </c>
      <c r="C94" s="30">
        <v>140.1</v>
      </c>
      <c r="D94" s="24" t="s">
        <v>468</v>
      </c>
    </row>
    <row r="95" spans="1:4">
      <c r="A95" s="29">
        <v>2020</v>
      </c>
      <c r="B95" s="29" t="s">
        <v>470</v>
      </c>
      <c r="C95" s="30">
        <v>140.69999999999999</v>
      </c>
      <c r="D95" s="24" t="s">
        <v>468</v>
      </c>
    </row>
    <row r="96" spans="1:4">
      <c r="A96" s="29">
        <v>2020</v>
      </c>
      <c r="B96" s="29" t="s">
        <v>471</v>
      </c>
      <c r="C96" s="30">
        <v>141.6</v>
      </c>
      <c r="D96" s="24" t="s">
        <v>468</v>
      </c>
    </row>
    <row r="97" spans="1:4">
      <c r="A97" s="29">
        <v>2021</v>
      </c>
      <c r="B97" s="29" t="s">
        <v>467</v>
      </c>
      <c r="C97" s="30">
        <v>143.30000000000001</v>
      </c>
      <c r="D97" s="24" t="s">
        <v>468</v>
      </c>
    </row>
    <row r="98" spans="1:4">
      <c r="A98" s="29">
        <v>2021</v>
      </c>
      <c r="B98" s="29" t="s">
        <v>469</v>
      </c>
      <c r="C98" s="30">
        <v>144.4</v>
      </c>
    </row>
    <row r="99" spans="1:4">
      <c r="A99" s="29">
        <v>2021</v>
      </c>
      <c r="B99" s="29" t="s">
        <v>470</v>
      </c>
      <c r="C99" s="30">
        <v>146.4</v>
      </c>
    </row>
    <row r="100" spans="1:4">
      <c r="A100" s="29">
        <v>2021</v>
      </c>
      <c r="B100" s="29" t="s">
        <v>471</v>
      </c>
      <c r="C100" s="30">
        <v>147.80000000000001</v>
      </c>
    </row>
    <row r="101" spans="1:4">
      <c r="A101" s="29">
        <v>2022</v>
      </c>
      <c r="B101" s="29" t="s">
        <v>467</v>
      </c>
      <c r="C101" s="30">
        <v>150.19999999999999</v>
      </c>
    </row>
    <row r="102" spans="1:4">
      <c r="A102" s="29">
        <v>2022</v>
      </c>
      <c r="B102" s="29" t="s">
        <v>469</v>
      </c>
      <c r="C102" s="30">
        <v>152.4</v>
      </c>
    </row>
    <row r="103" spans="1:4">
      <c r="A103" s="29"/>
      <c r="B103" s="29"/>
      <c r="C103" s="30"/>
    </row>
  </sheetData>
  <mergeCells count="14">
    <mergeCell ref="B13:F13"/>
    <mergeCell ref="B14:F14"/>
    <mergeCell ref="B7:F7"/>
    <mergeCell ref="B8:F8"/>
    <mergeCell ref="B9:F9"/>
    <mergeCell ref="B10:F10"/>
    <mergeCell ref="B11:F11"/>
    <mergeCell ref="B12:F12"/>
    <mergeCell ref="B6:F6"/>
    <mergeCell ref="A1:F1"/>
    <mergeCell ref="A2:F2"/>
    <mergeCell ref="A3:F3"/>
    <mergeCell ref="B4:F4"/>
    <mergeCell ref="A5:F5"/>
  </mergeCells>
  <pageMargins left="0.7" right="0.7" top="0.75" bottom="0.75" header="0.3" footer="0.3"/>
  <pageSetup orientation="landscape"/>
  <headerFooter>
    <oddHeader>&amp;CBureau of Labor Statistics</oddHeader>
    <oddFooter>&amp;LSource: Bureau of Labor Statistics&amp;RGenerated on: July 28, 2021 (12:35:54 PM)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3D5ED-9F2E-47F0-BFBC-3A0569582E87}">
  <dimension ref="A1:J306"/>
  <sheetViews>
    <sheetView topLeftCell="A5" workbookViewId="0">
      <selection activeCell="F38" sqref="F38"/>
    </sheetView>
  </sheetViews>
  <sheetFormatPr defaultRowHeight="14.45"/>
  <cols>
    <col min="1" max="5" width="18.140625" customWidth="1"/>
    <col min="6" max="6" width="10.28515625" customWidth="1"/>
    <col min="7" max="255" width="18.140625" customWidth="1"/>
  </cols>
  <sheetData>
    <row r="1" spans="1:10">
      <c r="A1" t="s">
        <v>472</v>
      </c>
    </row>
    <row r="2" spans="1:10">
      <c r="A2" t="s">
        <v>473</v>
      </c>
    </row>
    <row r="3" spans="1:10">
      <c r="A3" t="s">
        <v>474</v>
      </c>
    </row>
    <row r="4" spans="1:10">
      <c r="A4" t="s">
        <v>475</v>
      </c>
    </row>
    <row r="5" spans="1:10">
      <c r="A5" t="s">
        <v>476</v>
      </c>
    </row>
    <row r="6" spans="1:10">
      <c r="A6" t="s">
        <v>477</v>
      </c>
    </row>
    <row r="8" spans="1:10">
      <c r="A8" t="s">
        <v>478</v>
      </c>
      <c r="B8" t="s">
        <v>479</v>
      </c>
    </row>
    <row r="9" spans="1:10">
      <c r="A9" t="s">
        <v>480</v>
      </c>
      <c r="B9" t="s">
        <v>481</v>
      </c>
    </row>
    <row r="11" spans="1:10">
      <c r="A11" t="s">
        <v>482</v>
      </c>
    </row>
    <row r="12" spans="1:10">
      <c r="A12" t="s">
        <v>483</v>
      </c>
      <c r="B12" t="s">
        <v>484</v>
      </c>
      <c r="I12" s="43"/>
      <c r="J12" s="38"/>
    </row>
    <row r="13" spans="1:10">
      <c r="A13" s="43">
        <v>35796</v>
      </c>
      <c r="B13" s="38">
        <v>6.61</v>
      </c>
      <c r="C13">
        <f t="shared" ref="C13" si="0">YEAR(A13)</f>
        <v>1998</v>
      </c>
      <c r="E13">
        <f>E15-1</f>
        <v>1999</v>
      </c>
      <c r="F13" s="31">
        <f t="shared" ref="F13:F36" si="1">AVERAGEIFS($B$13:$B$306,$C$13:$C$306,E13)/100</f>
        <v>7.0416666666666669E-2</v>
      </c>
      <c r="I13" s="43"/>
      <c r="J13" s="38"/>
    </row>
    <row r="14" spans="1:10">
      <c r="A14" s="43">
        <v>35827</v>
      </c>
      <c r="B14" s="38">
        <v>6.67</v>
      </c>
      <c r="C14">
        <f t="shared" ref="C14:C78" si="2">YEAR(A14)</f>
        <v>1998</v>
      </c>
      <c r="E14">
        <f t="shared" ref="E14" si="3">E15-1</f>
        <v>1999</v>
      </c>
      <c r="F14" s="31">
        <f t="shared" si="1"/>
        <v>7.0416666666666669E-2</v>
      </c>
      <c r="I14" s="43"/>
      <c r="J14" s="38"/>
    </row>
    <row r="15" spans="1:10">
      <c r="A15" s="43">
        <v>35855</v>
      </c>
      <c r="B15" s="38">
        <v>6.72</v>
      </c>
      <c r="C15">
        <f t="shared" si="2"/>
        <v>1998</v>
      </c>
      <c r="E15">
        <f>E16-1</f>
        <v>2000</v>
      </c>
      <c r="F15" s="31">
        <f t="shared" si="1"/>
        <v>7.6225000000000001E-2</v>
      </c>
      <c r="I15" s="43"/>
      <c r="J15" s="38"/>
    </row>
    <row r="16" spans="1:10">
      <c r="A16" s="43">
        <v>35886</v>
      </c>
      <c r="B16" s="38">
        <v>6.69</v>
      </c>
      <c r="C16">
        <f t="shared" si="2"/>
        <v>1998</v>
      </c>
      <c r="E16">
        <v>2001</v>
      </c>
      <c r="F16" s="31">
        <f t="shared" si="1"/>
        <v>7.0824999999999999E-2</v>
      </c>
      <c r="I16" s="43"/>
      <c r="J16" s="38"/>
    </row>
    <row r="17" spans="1:10">
      <c r="A17" s="43">
        <v>35916</v>
      </c>
      <c r="B17" s="38">
        <v>6.69</v>
      </c>
      <c r="C17">
        <f t="shared" si="2"/>
        <v>1998</v>
      </c>
      <c r="E17">
        <f>E16+1</f>
        <v>2002</v>
      </c>
      <c r="F17" s="31">
        <f t="shared" si="1"/>
        <v>6.4916666666666664E-2</v>
      </c>
      <c r="I17" s="43"/>
      <c r="J17" s="38"/>
    </row>
    <row r="18" spans="1:10">
      <c r="A18" s="43">
        <v>35947</v>
      </c>
      <c r="B18" s="38">
        <v>6.53</v>
      </c>
      <c r="C18">
        <f t="shared" si="2"/>
        <v>1998</v>
      </c>
      <c r="E18">
        <f t="shared" ref="E18:E30" si="4">E17+1</f>
        <v>2003</v>
      </c>
      <c r="F18" s="31">
        <f t="shared" si="1"/>
        <v>5.6666666666666671E-2</v>
      </c>
      <c r="I18" s="43"/>
      <c r="J18" s="38"/>
    </row>
    <row r="19" spans="1:10">
      <c r="A19" s="43">
        <v>35977</v>
      </c>
      <c r="B19" s="38">
        <v>6.55</v>
      </c>
      <c r="C19">
        <f t="shared" si="2"/>
        <v>1998</v>
      </c>
      <c r="E19">
        <f t="shared" si="4"/>
        <v>2004</v>
      </c>
      <c r="F19" s="31">
        <f t="shared" si="1"/>
        <v>5.6283333333333331E-2</v>
      </c>
      <c r="I19" s="43"/>
      <c r="J19" s="38"/>
    </row>
    <row r="20" spans="1:10">
      <c r="A20" s="43">
        <v>36008</v>
      </c>
      <c r="B20" s="38">
        <v>6.52</v>
      </c>
      <c r="C20">
        <f t="shared" si="2"/>
        <v>1998</v>
      </c>
      <c r="E20">
        <f t="shared" si="4"/>
        <v>2005</v>
      </c>
      <c r="F20" s="31">
        <f t="shared" si="1"/>
        <v>5.2350000000000001E-2</v>
      </c>
      <c r="I20" s="43"/>
      <c r="J20" s="38"/>
    </row>
    <row r="21" spans="1:10">
      <c r="A21" s="43">
        <v>36039</v>
      </c>
      <c r="B21" s="38">
        <v>6.4</v>
      </c>
      <c r="C21">
        <f t="shared" si="2"/>
        <v>1998</v>
      </c>
      <c r="E21">
        <f t="shared" si="4"/>
        <v>2006</v>
      </c>
      <c r="F21" s="31">
        <f t="shared" si="1"/>
        <v>5.5874999999999994E-2</v>
      </c>
      <c r="I21" s="43"/>
      <c r="J21" s="38"/>
    </row>
    <row r="22" spans="1:10">
      <c r="A22" s="43">
        <v>36069</v>
      </c>
      <c r="B22" s="38">
        <v>6.37</v>
      </c>
      <c r="C22">
        <f t="shared" si="2"/>
        <v>1998</v>
      </c>
      <c r="E22">
        <f t="shared" si="4"/>
        <v>2007</v>
      </c>
      <c r="F22" s="31">
        <f t="shared" si="1"/>
        <v>5.5558333333333321E-2</v>
      </c>
      <c r="I22" s="43"/>
      <c r="J22" s="38"/>
    </row>
    <row r="23" spans="1:10">
      <c r="A23" s="43">
        <v>36100</v>
      </c>
      <c r="B23" s="38">
        <v>6.41</v>
      </c>
      <c r="C23">
        <f t="shared" si="2"/>
        <v>1998</v>
      </c>
      <c r="E23">
        <f t="shared" si="4"/>
        <v>2008</v>
      </c>
      <c r="F23" s="31">
        <f t="shared" si="1"/>
        <v>5.6316666666666668E-2</v>
      </c>
      <c r="I23" s="43"/>
      <c r="J23" s="38"/>
    </row>
    <row r="24" spans="1:10">
      <c r="A24" s="43">
        <v>36130</v>
      </c>
      <c r="B24" s="38">
        <v>6.22</v>
      </c>
      <c r="C24">
        <f t="shared" si="2"/>
        <v>1998</v>
      </c>
      <c r="E24">
        <f t="shared" si="4"/>
        <v>2009</v>
      </c>
      <c r="F24" s="31">
        <f t="shared" si="1"/>
        <v>5.3133333333333324E-2</v>
      </c>
      <c r="I24" s="43"/>
      <c r="J24" s="38"/>
    </row>
    <row r="25" spans="1:10">
      <c r="A25" s="43">
        <v>36161</v>
      </c>
      <c r="B25" s="38">
        <v>6.24</v>
      </c>
      <c r="C25">
        <f t="shared" si="2"/>
        <v>1999</v>
      </c>
      <c r="E25">
        <f t="shared" si="4"/>
        <v>2010</v>
      </c>
      <c r="F25" s="31">
        <f t="shared" si="1"/>
        <v>4.9433333333333322E-2</v>
      </c>
      <c r="I25" s="43"/>
      <c r="J25" s="38"/>
    </row>
    <row r="26" spans="1:10">
      <c r="A26" s="43">
        <v>36192</v>
      </c>
      <c r="B26" s="38">
        <v>6.4</v>
      </c>
      <c r="C26">
        <f t="shared" si="2"/>
        <v>1999</v>
      </c>
      <c r="E26">
        <f t="shared" si="4"/>
        <v>2011</v>
      </c>
      <c r="F26" s="31">
        <f t="shared" si="1"/>
        <v>4.6391666666666664E-2</v>
      </c>
      <c r="I26" s="43"/>
      <c r="J26" s="38"/>
    </row>
    <row r="27" spans="1:10">
      <c r="A27" s="43">
        <v>36220</v>
      </c>
      <c r="B27" s="38">
        <v>6.62</v>
      </c>
      <c r="C27">
        <f t="shared" si="2"/>
        <v>1999</v>
      </c>
      <c r="E27">
        <f t="shared" si="4"/>
        <v>2012</v>
      </c>
      <c r="F27" s="31">
        <f t="shared" si="1"/>
        <v>3.6733333333333333E-2</v>
      </c>
      <c r="I27" s="43"/>
      <c r="J27" s="38"/>
    </row>
    <row r="28" spans="1:10">
      <c r="A28" s="43">
        <v>36251</v>
      </c>
      <c r="B28" s="38">
        <v>6.64</v>
      </c>
      <c r="C28">
        <f t="shared" si="2"/>
        <v>1999</v>
      </c>
      <c r="E28">
        <f t="shared" si="4"/>
        <v>2013</v>
      </c>
      <c r="F28" s="31">
        <f t="shared" si="1"/>
        <v>4.2350000000000006E-2</v>
      </c>
      <c r="I28" s="43"/>
      <c r="J28" s="38"/>
    </row>
    <row r="29" spans="1:10">
      <c r="A29" s="43">
        <v>36281</v>
      </c>
      <c r="B29" s="38">
        <v>6.93</v>
      </c>
      <c r="C29">
        <f t="shared" si="2"/>
        <v>1999</v>
      </c>
      <c r="E29">
        <f t="shared" si="4"/>
        <v>2014</v>
      </c>
      <c r="F29" s="31">
        <f t="shared" si="1"/>
        <v>4.1625000000000002E-2</v>
      </c>
      <c r="I29" s="43"/>
      <c r="J29" s="38"/>
    </row>
    <row r="30" spans="1:10">
      <c r="A30" s="43">
        <v>36312</v>
      </c>
      <c r="B30" s="38">
        <v>7.23</v>
      </c>
      <c r="C30">
        <f t="shared" si="2"/>
        <v>1999</v>
      </c>
      <c r="E30">
        <f t="shared" si="4"/>
        <v>2015</v>
      </c>
      <c r="F30" s="31">
        <f t="shared" si="1"/>
        <v>3.8866666666666674E-2</v>
      </c>
      <c r="I30" s="43"/>
      <c r="J30" s="38"/>
    </row>
    <row r="31" spans="1:10">
      <c r="A31" s="43">
        <v>36342</v>
      </c>
      <c r="B31" s="38">
        <v>7.19</v>
      </c>
      <c r="C31">
        <f t="shared" si="2"/>
        <v>1999</v>
      </c>
      <c r="E31">
        <v>2016</v>
      </c>
      <c r="F31" s="31">
        <f t="shared" si="1"/>
        <v>3.6658333333333334E-2</v>
      </c>
      <c r="I31" s="43"/>
      <c r="J31" s="38"/>
    </row>
    <row r="32" spans="1:10">
      <c r="A32" s="43">
        <v>36373</v>
      </c>
      <c r="B32" s="38">
        <v>7.4</v>
      </c>
      <c r="C32">
        <f t="shared" si="2"/>
        <v>1999</v>
      </c>
      <c r="E32">
        <v>2017</v>
      </c>
      <c r="F32" s="31">
        <f t="shared" si="1"/>
        <v>3.7433333333333339E-2</v>
      </c>
      <c r="I32" s="43"/>
      <c r="J32" s="38"/>
    </row>
    <row r="33" spans="1:10">
      <c r="A33" s="43">
        <v>36404</v>
      </c>
      <c r="B33" s="38">
        <v>7.39</v>
      </c>
      <c r="C33">
        <f t="shared" si="2"/>
        <v>1999</v>
      </c>
      <c r="E33">
        <v>2018</v>
      </c>
      <c r="F33" s="31">
        <f t="shared" si="1"/>
        <v>3.9299999999999995E-2</v>
      </c>
      <c r="I33" s="43"/>
      <c r="J33" s="38"/>
    </row>
    <row r="34" spans="1:10">
      <c r="A34" s="43">
        <v>36434</v>
      </c>
      <c r="B34" s="38">
        <v>7.55</v>
      </c>
      <c r="C34">
        <f t="shared" si="2"/>
        <v>1999</v>
      </c>
      <c r="E34">
        <f>E33+1</f>
        <v>2019</v>
      </c>
      <c r="F34" s="31">
        <f t="shared" si="1"/>
        <v>3.3875000000000009E-2</v>
      </c>
      <c r="I34" s="43"/>
      <c r="J34" s="38"/>
    </row>
    <row r="35" spans="1:10">
      <c r="A35" s="43">
        <v>36465</v>
      </c>
      <c r="B35" s="38">
        <v>7.36</v>
      </c>
      <c r="C35">
        <f t="shared" si="2"/>
        <v>1999</v>
      </c>
      <c r="E35">
        <f>E34+1</f>
        <v>2020</v>
      </c>
      <c r="F35" s="31">
        <f t="shared" si="1"/>
        <v>2.4766666666666666E-2</v>
      </c>
      <c r="I35" s="43"/>
      <c r="J35" s="38"/>
    </row>
    <row r="36" spans="1:10">
      <c r="A36" s="43">
        <v>36495</v>
      </c>
      <c r="B36" s="38">
        <v>7.55</v>
      </c>
      <c r="C36">
        <f t="shared" si="2"/>
        <v>1999</v>
      </c>
      <c r="E36">
        <f>E35+1</f>
        <v>2021</v>
      </c>
      <c r="F36" s="31">
        <f t="shared" si="1"/>
        <v>2.7033333333333336E-2</v>
      </c>
      <c r="I36" s="43"/>
      <c r="J36" s="38"/>
    </row>
    <row r="37" spans="1:10">
      <c r="A37" s="43">
        <v>36526</v>
      </c>
      <c r="B37" s="38">
        <v>7.78</v>
      </c>
      <c r="C37">
        <f t="shared" si="2"/>
        <v>2000</v>
      </c>
      <c r="E37" s="44" t="s">
        <v>485</v>
      </c>
      <c r="F37" s="45">
        <f>AVERAGE(F22:F36)</f>
        <v>4.1298333333333333E-2</v>
      </c>
      <c r="G37" s="55" t="s">
        <v>486</v>
      </c>
      <c r="I37" s="43"/>
      <c r="J37" s="38"/>
    </row>
    <row r="38" spans="1:10">
      <c r="A38" s="43">
        <v>36557</v>
      </c>
      <c r="B38" s="38">
        <v>7.68</v>
      </c>
      <c r="C38">
        <f t="shared" si="2"/>
        <v>2000</v>
      </c>
      <c r="I38" s="43"/>
      <c r="J38" s="38"/>
    </row>
    <row r="39" spans="1:10">
      <c r="A39" s="43">
        <v>36586</v>
      </c>
      <c r="B39" s="38">
        <v>7.68</v>
      </c>
      <c r="C39">
        <f t="shared" si="2"/>
        <v>2000</v>
      </c>
      <c r="I39" s="43"/>
      <c r="J39" s="38"/>
    </row>
    <row r="40" spans="1:10">
      <c r="A40" s="43">
        <v>36617</v>
      </c>
      <c r="B40" s="38">
        <v>7.64</v>
      </c>
      <c r="C40">
        <f t="shared" si="2"/>
        <v>2000</v>
      </c>
      <c r="I40" s="43"/>
      <c r="J40" s="38"/>
    </row>
    <row r="41" spans="1:10">
      <c r="A41" s="43">
        <v>36647</v>
      </c>
      <c r="B41" s="38">
        <v>7.99</v>
      </c>
      <c r="C41">
        <f t="shared" si="2"/>
        <v>2000</v>
      </c>
      <c r="I41" s="43"/>
      <c r="J41" s="38"/>
    </row>
    <row r="42" spans="1:10">
      <c r="A42" s="43">
        <v>36678</v>
      </c>
      <c r="B42" s="38">
        <v>7.67</v>
      </c>
      <c r="C42">
        <f t="shared" si="2"/>
        <v>2000</v>
      </c>
      <c r="I42" s="43"/>
      <c r="J42" s="38"/>
    </row>
    <row r="43" spans="1:10">
      <c r="A43" s="43">
        <v>36708</v>
      </c>
      <c r="B43" s="38">
        <v>7.65</v>
      </c>
      <c r="C43">
        <f t="shared" si="2"/>
        <v>2000</v>
      </c>
      <c r="I43" s="43"/>
      <c r="J43" s="38"/>
    </row>
    <row r="44" spans="1:10">
      <c r="A44" s="43">
        <v>36739</v>
      </c>
      <c r="B44" s="38">
        <v>7.55</v>
      </c>
      <c r="C44">
        <f t="shared" si="2"/>
        <v>2000</v>
      </c>
      <c r="I44" s="43"/>
      <c r="J44" s="38"/>
    </row>
    <row r="45" spans="1:10">
      <c r="A45" s="43">
        <v>36770</v>
      </c>
      <c r="B45" s="38">
        <v>7.62</v>
      </c>
      <c r="C45">
        <f t="shared" si="2"/>
        <v>2000</v>
      </c>
      <c r="I45" s="43"/>
      <c r="J45" s="38"/>
    </row>
    <row r="46" spans="1:10">
      <c r="A46" s="43">
        <v>36800</v>
      </c>
      <c r="B46" s="38">
        <v>7.55</v>
      </c>
      <c r="C46">
        <f t="shared" si="2"/>
        <v>2000</v>
      </c>
      <c r="I46" s="43"/>
      <c r="J46" s="38"/>
    </row>
    <row r="47" spans="1:10">
      <c r="A47" s="43">
        <v>36831</v>
      </c>
      <c r="B47" s="38">
        <v>7.45</v>
      </c>
      <c r="C47">
        <f t="shared" si="2"/>
        <v>2000</v>
      </c>
      <c r="I47" s="43"/>
      <c r="J47" s="38"/>
    </row>
    <row r="48" spans="1:10">
      <c r="A48" s="43">
        <v>36861</v>
      </c>
      <c r="B48" s="38">
        <v>7.21</v>
      </c>
      <c r="C48">
        <f t="shared" si="2"/>
        <v>2000</v>
      </c>
      <c r="I48" s="43"/>
      <c r="J48" s="38"/>
    </row>
    <row r="49" spans="1:10">
      <c r="A49" s="43">
        <v>36892</v>
      </c>
      <c r="B49" s="38">
        <v>7.15</v>
      </c>
      <c r="C49">
        <f t="shared" si="2"/>
        <v>2001</v>
      </c>
      <c r="I49" s="43"/>
      <c r="J49" s="38"/>
    </row>
    <row r="50" spans="1:10">
      <c r="A50" s="43">
        <v>36923</v>
      </c>
      <c r="B50" s="38">
        <v>7.1</v>
      </c>
      <c r="C50">
        <f t="shared" si="2"/>
        <v>2001</v>
      </c>
      <c r="I50" s="43"/>
      <c r="J50" s="38"/>
    </row>
    <row r="51" spans="1:10">
      <c r="A51" s="43">
        <v>36951</v>
      </c>
      <c r="B51" s="38">
        <v>6.98</v>
      </c>
      <c r="C51">
        <f t="shared" si="2"/>
        <v>2001</v>
      </c>
      <c r="I51" s="43"/>
      <c r="J51" s="38"/>
    </row>
    <row r="52" spans="1:10">
      <c r="A52" s="43">
        <v>36982</v>
      </c>
      <c r="B52" s="38">
        <v>7.2</v>
      </c>
      <c r="C52">
        <f t="shared" si="2"/>
        <v>2001</v>
      </c>
      <c r="I52" s="43"/>
      <c r="J52" s="38"/>
    </row>
    <row r="53" spans="1:10">
      <c r="A53" s="43">
        <v>37012</v>
      </c>
      <c r="B53" s="38">
        <v>7.29</v>
      </c>
      <c r="C53">
        <f t="shared" si="2"/>
        <v>2001</v>
      </c>
      <c r="I53" s="43"/>
      <c r="J53" s="38"/>
    </row>
    <row r="54" spans="1:10">
      <c r="A54" s="43">
        <v>37043</v>
      </c>
      <c r="B54" s="38">
        <v>7.18</v>
      </c>
      <c r="C54">
        <f t="shared" si="2"/>
        <v>2001</v>
      </c>
      <c r="I54" s="43"/>
      <c r="J54" s="38"/>
    </row>
    <row r="55" spans="1:10">
      <c r="A55" s="43">
        <v>37073</v>
      </c>
      <c r="B55" s="38">
        <v>7.13</v>
      </c>
      <c r="C55">
        <f t="shared" si="2"/>
        <v>2001</v>
      </c>
      <c r="I55" s="43"/>
      <c r="J55" s="38"/>
    </row>
    <row r="56" spans="1:10">
      <c r="A56" s="43">
        <v>37104</v>
      </c>
      <c r="B56" s="38">
        <v>7.02</v>
      </c>
      <c r="C56">
        <f t="shared" si="2"/>
        <v>2001</v>
      </c>
      <c r="I56" s="43"/>
      <c r="J56" s="38"/>
    </row>
    <row r="57" spans="1:10">
      <c r="A57" s="43">
        <v>37135</v>
      </c>
      <c r="B57" s="38">
        <v>7.17</v>
      </c>
      <c r="C57">
        <f t="shared" si="2"/>
        <v>2001</v>
      </c>
      <c r="I57" s="43"/>
      <c r="J57" s="38"/>
    </row>
    <row r="58" spans="1:10">
      <c r="A58" s="43">
        <v>37165</v>
      </c>
      <c r="B58" s="38">
        <v>7.03</v>
      </c>
      <c r="C58">
        <f t="shared" si="2"/>
        <v>2001</v>
      </c>
      <c r="I58" s="43"/>
      <c r="J58" s="38"/>
    </row>
    <row r="59" spans="1:10">
      <c r="A59" s="43">
        <v>37196</v>
      </c>
      <c r="B59" s="38">
        <v>6.97</v>
      </c>
      <c r="C59">
        <f t="shared" si="2"/>
        <v>2001</v>
      </c>
      <c r="I59" s="43"/>
      <c r="J59" s="38"/>
    </row>
    <row r="60" spans="1:10">
      <c r="A60" s="43">
        <v>37226</v>
      </c>
      <c r="B60" s="38">
        <v>6.77</v>
      </c>
      <c r="C60">
        <f t="shared" si="2"/>
        <v>2001</v>
      </c>
      <c r="I60" s="43"/>
      <c r="J60" s="38"/>
    </row>
    <row r="61" spans="1:10">
      <c r="A61" s="43">
        <v>37257</v>
      </c>
      <c r="B61" s="38">
        <v>6.55</v>
      </c>
      <c r="C61">
        <f t="shared" si="2"/>
        <v>2002</v>
      </c>
      <c r="I61" s="43"/>
      <c r="J61" s="38"/>
    </row>
    <row r="62" spans="1:10">
      <c r="A62" s="43">
        <v>37288</v>
      </c>
      <c r="B62" s="38">
        <v>6.51</v>
      </c>
      <c r="C62">
        <f t="shared" si="2"/>
        <v>2002</v>
      </c>
      <c r="I62" s="43"/>
      <c r="J62" s="38"/>
    </row>
    <row r="63" spans="1:10">
      <c r="A63" s="43">
        <v>37316</v>
      </c>
      <c r="B63" s="38">
        <v>6.81</v>
      </c>
      <c r="C63">
        <f t="shared" si="2"/>
        <v>2002</v>
      </c>
      <c r="I63" s="43"/>
      <c r="J63" s="38"/>
    </row>
    <row r="64" spans="1:10">
      <c r="A64" s="43">
        <v>37347</v>
      </c>
      <c r="B64" s="38">
        <v>6.76</v>
      </c>
      <c r="C64">
        <f t="shared" si="2"/>
        <v>2002</v>
      </c>
      <c r="I64" s="43"/>
      <c r="J64" s="38"/>
    </row>
    <row r="65" spans="1:10">
      <c r="A65" s="43">
        <v>37377</v>
      </c>
      <c r="B65" s="38">
        <v>6.75</v>
      </c>
      <c r="C65">
        <f t="shared" si="2"/>
        <v>2002</v>
      </c>
      <c r="I65" s="43"/>
      <c r="J65" s="38"/>
    </row>
    <row r="66" spans="1:10">
      <c r="A66" s="43">
        <v>37408</v>
      </c>
      <c r="B66" s="38">
        <v>6.63</v>
      </c>
      <c r="C66">
        <f t="shared" si="2"/>
        <v>2002</v>
      </c>
      <c r="I66" s="43"/>
      <c r="J66" s="38"/>
    </row>
    <row r="67" spans="1:10">
      <c r="A67" s="43">
        <v>37438</v>
      </c>
      <c r="B67" s="38">
        <v>6.53</v>
      </c>
      <c r="C67">
        <f t="shared" si="2"/>
        <v>2002</v>
      </c>
      <c r="I67" s="43"/>
      <c r="J67" s="38"/>
    </row>
    <row r="68" spans="1:10">
      <c r="A68" s="43">
        <v>37469</v>
      </c>
      <c r="B68" s="38">
        <v>6.37</v>
      </c>
      <c r="C68">
        <f t="shared" si="2"/>
        <v>2002</v>
      </c>
      <c r="I68" s="43"/>
      <c r="J68" s="38"/>
    </row>
    <row r="69" spans="1:10">
      <c r="A69" s="43">
        <v>37500</v>
      </c>
      <c r="B69" s="38">
        <v>6.15</v>
      </c>
      <c r="C69">
        <f t="shared" si="2"/>
        <v>2002</v>
      </c>
      <c r="I69" s="43"/>
      <c r="J69" s="38"/>
    </row>
    <row r="70" spans="1:10">
      <c r="A70" s="43">
        <v>37530</v>
      </c>
      <c r="B70" s="38">
        <v>6.32</v>
      </c>
      <c r="C70">
        <f t="shared" si="2"/>
        <v>2002</v>
      </c>
      <c r="I70" s="43"/>
      <c r="J70" s="38"/>
    </row>
    <row r="71" spans="1:10">
      <c r="A71" s="43">
        <v>37561</v>
      </c>
      <c r="B71" s="38">
        <v>6.31</v>
      </c>
      <c r="C71">
        <f t="shared" si="2"/>
        <v>2002</v>
      </c>
      <c r="I71" s="43"/>
      <c r="J71" s="38"/>
    </row>
    <row r="72" spans="1:10">
      <c r="A72" s="43">
        <v>37591</v>
      </c>
      <c r="B72" s="38">
        <v>6.21</v>
      </c>
      <c r="C72">
        <f t="shared" si="2"/>
        <v>2002</v>
      </c>
      <c r="I72" s="43"/>
      <c r="J72" s="38"/>
    </row>
    <row r="73" spans="1:10">
      <c r="A73" s="43">
        <v>37622</v>
      </c>
      <c r="B73" s="38">
        <v>6.17</v>
      </c>
      <c r="C73">
        <f t="shared" si="2"/>
        <v>2003</v>
      </c>
      <c r="I73" s="43"/>
      <c r="J73" s="38"/>
    </row>
    <row r="74" spans="1:10">
      <c r="A74" s="43">
        <v>37653</v>
      </c>
      <c r="B74" s="38">
        <v>5.95</v>
      </c>
      <c r="C74">
        <f t="shared" si="2"/>
        <v>2003</v>
      </c>
      <c r="I74" s="43"/>
      <c r="J74" s="38"/>
    </row>
    <row r="75" spans="1:10">
      <c r="A75" s="43">
        <v>37681</v>
      </c>
      <c r="B75" s="38">
        <v>5.89</v>
      </c>
      <c r="C75">
        <f t="shared" si="2"/>
        <v>2003</v>
      </c>
      <c r="I75" s="43"/>
      <c r="J75" s="38"/>
    </row>
    <row r="76" spans="1:10">
      <c r="A76" s="43">
        <v>37712</v>
      </c>
      <c r="B76" s="38">
        <v>5.74</v>
      </c>
      <c r="C76">
        <f t="shared" si="2"/>
        <v>2003</v>
      </c>
      <c r="I76" s="43"/>
      <c r="J76" s="38"/>
    </row>
    <row r="77" spans="1:10">
      <c r="A77" s="43">
        <v>37742</v>
      </c>
      <c r="B77" s="38">
        <v>5.22</v>
      </c>
      <c r="C77">
        <f t="shared" si="2"/>
        <v>2003</v>
      </c>
      <c r="I77" s="43"/>
      <c r="J77" s="38"/>
    </row>
    <row r="78" spans="1:10">
      <c r="A78" s="43">
        <v>37773</v>
      </c>
      <c r="B78" s="38">
        <v>4.97</v>
      </c>
      <c r="C78">
        <f t="shared" si="2"/>
        <v>2003</v>
      </c>
      <c r="I78" s="43"/>
      <c r="J78" s="38"/>
    </row>
    <row r="79" spans="1:10">
      <c r="A79" s="43">
        <v>37803</v>
      </c>
      <c r="B79" s="38">
        <v>5.49</v>
      </c>
      <c r="C79">
        <f t="shared" ref="C79:C142" si="5">YEAR(A79)</f>
        <v>2003</v>
      </c>
      <c r="I79" s="43"/>
      <c r="J79" s="38"/>
    </row>
    <row r="80" spans="1:10">
      <c r="A80" s="43">
        <v>37834</v>
      </c>
      <c r="B80" s="38">
        <v>5.88</v>
      </c>
      <c r="C80">
        <f t="shared" si="5"/>
        <v>2003</v>
      </c>
      <c r="I80" s="43"/>
      <c r="J80" s="38"/>
    </row>
    <row r="81" spans="1:10">
      <c r="A81" s="43">
        <v>37865</v>
      </c>
      <c r="B81" s="38">
        <v>5.72</v>
      </c>
      <c r="C81">
        <f t="shared" si="5"/>
        <v>2003</v>
      </c>
      <c r="I81" s="43"/>
      <c r="J81" s="38"/>
    </row>
    <row r="82" spans="1:10">
      <c r="A82" s="43">
        <v>37895</v>
      </c>
      <c r="B82" s="38">
        <v>5.7</v>
      </c>
      <c r="C82">
        <f t="shared" si="5"/>
        <v>2003</v>
      </c>
      <c r="I82" s="43"/>
      <c r="J82" s="38"/>
    </row>
    <row r="83" spans="1:10">
      <c r="A83" s="43">
        <v>37926</v>
      </c>
      <c r="B83" s="38">
        <v>5.65</v>
      </c>
      <c r="C83">
        <f t="shared" si="5"/>
        <v>2003</v>
      </c>
      <c r="I83" s="43"/>
      <c r="J83" s="38"/>
    </row>
    <row r="84" spans="1:10">
      <c r="A84" s="43">
        <v>37956</v>
      </c>
      <c r="B84" s="38">
        <v>5.62</v>
      </c>
      <c r="C84">
        <f t="shared" si="5"/>
        <v>2003</v>
      </c>
      <c r="I84" s="43"/>
      <c r="J84" s="38"/>
    </row>
    <row r="85" spans="1:10">
      <c r="A85" s="43">
        <v>37987</v>
      </c>
      <c r="B85" s="38">
        <v>5.54</v>
      </c>
      <c r="C85">
        <f t="shared" si="5"/>
        <v>2004</v>
      </c>
      <c r="I85" s="43"/>
      <c r="J85" s="38"/>
    </row>
    <row r="86" spans="1:10">
      <c r="A86" s="43">
        <v>38018</v>
      </c>
      <c r="B86" s="38">
        <v>5.5</v>
      </c>
      <c r="C86">
        <f t="shared" si="5"/>
        <v>2004</v>
      </c>
      <c r="I86" s="43"/>
      <c r="J86" s="38"/>
    </row>
    <row r="87" spans="1:10">
      <c r="A87" s="43">
        <v>38047</v>
      </c>
      <c r="B87" s="38">
        <v>5.33</v>
      </c>
      <c r="C87">
        <f t="shared" si="5"/>
        <v>2004</v>
      </c>
      <c r="I87" s="43"/>
      <c r="J87" s="38"/>
    </row>
    <row r="88" spans="1:10">
      <c r="A88" s="43">
        <v>38078</v>
      </c>
      <c r="B88" s="38">
        <v>5.73</v>
      </c>
      <c r="C88">
        <f t="shared" si="5"/>
        <v>2004</v>
      </c>
      <c r="I88" s="43"/>
      <c r="J88" s="38"/>
    </row>
    <row r="89" spans="1:10">
      <c r="A89" s="43">
        <v>38108</v>
      </c>
      <c r="B89" s="38">
        <v>6.04</v>
      </c>
      <c r="C89">
        <f t="shared" si="5"/>
        <v>2004</v>
      </c>
      <c r="I89" s="43"/>
      <c r="J89" s="38"/>
    </row>
    <row r="90" spans="1:10">
      <c r="A90" s="43">
        <v>38139</v>
      </c>
      <c r="B90" s="38">
        <v>6.01</v>
      </c>
      <c r="C90">
        <f t="shared" si="5"/>
        <v>2004</v>
      </c>
      <c r="I90" s="43"/>
      <c r="J90" s="38"/>
    </row>
    <row r="91" spans="1:10">
      <c r="A91" s="43">
        <v>38169</v>
      </c>
      <c r="B91" s="38">
        <v>5.82</v>
      </c>
      <c r="C91">
        <f t="shared" si="5"/>
        <v>2004</v>
      </c>
      <c r="I91" s="43"/>
      <c r="J91" s="38"/>
    </row>
    <row r="92" spans="1:10">
      <c r="A92" s="43">
        <v>38200</v>
      </c>
      <c r="B92" s="38">
        <v>5.65</v>
      </c>
      <c r="C92">
        <f t="shared" si="5"/>
        <v>2004</v>
      </c>
      <c r="I92" s="43"/>
      <c r="J92" s="38"/>
    </row>
    <row r="93" spans="1:10">
      <c r="A93" s="43">
        <v>38231</v>
      </c>
      <c r="B93" s="38">
        <v>5.46</v>
      </c>
      <c r="C93">
        <f t="shared" si="5"/>
        <v>2004</v>
      </c>
      <c r="I93" s="43"/>
      <c r="J93" s="38"/>
    </row>
    <row r="94" spans="1:10">
      <c r="A94" s="43">
        <v>38261</v>
      </c>
      <c r="B94" s="38">
        <v>5.47</v>
      </c>
      <c r="C94">
        <f t="shared" si="5"/>
        <v>2004</v>
      </c>
      <c r="I94" s="43"/>
      <c r="J94" s="38"/>
    </row>
    <row r="95" spans="1:10">
      <c r="A95" s="43">
        <v>38292</v>
      </c>
      <c r="B95" s="38">
        <v>5.52</v>
      </c>
      <c r="C95">
        <f t="shared" si="5"/>
        <v>2004</v>
      </c>
      <c r="I95" s="43"/>
      <c r="J95" s="38"/>
    </row>
    <row r="96" spans="1:10">
      <c r="A96" s="43">
        <v>38322</v>
      </c>
      <c r="B96" s="38">
        <v>5.47</v>
      </c>
      <c r="C96">
        <f t="shared" si="5"/>
        <v>2004</v>
      </c>
      <c r="I96" s="43"/>
      <c r="J96" s="38"/>
    </row>
    <row r="97" spans="1:10">
      <c r="A97" s="43">
        <v>38353</v>
      </c>
      <c r="B97" s="38">
        <v>5.36</v>
      </c>
      <c r="C97">
        <f t="shared" si="5"/>
        <v>2005</v>
      </c>
      <c r="I97" s="43"/>
      <c r="J97" s="38"/>
    </row>
    <row r="98" spans="1:10">
      <c r="A98" s="43">
        <v>38384</v>
      </c>
      <c r="B98" s="38">
        <v>5.2</v>
      </c>
      <c r="C98">
        <f t="shared" si="5"/>
        <v>2005</v>
      </c>
      <c r="I98" s="43"/>
      <c r="J98" s="38"/>
    </row>
    <row r="99" spans="1:10">
      <c r="A99" s="43">
        <v>38412</v>
      </c>
      <c r="B99" s="38">
        <v>5.4</v>
      </c>
      <c r="C99">
        <f t="shared" si="5"/>
        <v>2005</v>
      </c>
      <c r="I99" s="43"/>
      <c r="J99" s="38"/>
    </row>
    <row r="100" spans="1:10">
      <c r="A100" s="43">
        <v>38443</v>
      </c>
      <c r="B100" s="38">
        <v>5.33</v>
      </c>
      <c r="C100">
        <f t="shared" si="5"/>
        <v>2005</v>
      </c>
      <c r="I100" s="43"/>
      <c r="J100" s="38"/>
    </row>
    <row r="101" spans="1:10">
      <c r="A101" s="43">
        <v>38473</v>
      </c>
      <c r="B101" s="38">
        <v>5.15</v>
      </c>
      <c r="C101">
        <f t="shared" si="5"/>
        <v>2005</v>
      </c>
      <c r="I101" s="43"/>
      <c r="J101" s="38"/>
    </row>
    <row r="102" spans="1:10">
      <c r="A102" s="43">
        <v>38504</v>
      </c>
      <c r="B102" s="38">
        <v>4.96</v>
      </c>
      <c r="C102">
        <f t="shared" si="5"/>
        <v>2005</v>
      </c>
      <c r="I102" s="43"/>
      <c r="J102" s="38"/>
    </row>
    <row r="103" spans="1:10">
      <c r="A103" s="43">
        <v>38534</v>
      </c>
      <c r="B103" s="38">
        <v>5.0599999999999996</v>
      </c>
      <c r="C103">
        <f t="shared" si="5"/>
        <v>2005</v>
      </c>
      <c r="I103" s="43"/>
      <c r="J103" s="38"/>
    </row>
    <row r="104" spans="1:10">
      <c r="A104" s="43">
        <v>38565</v>
      </c>
      <c r="B104" s="38">
        <v>5.09</v>
      </c>
      <c r="C104">
        <f t="shared" si="5"/>
        <v>2005</v>
      </c>
      <c r="I104" s="43"/>
      <c r="J104" s="38"/>
    </row>
    <row r="105" spans="1:10">
      <c r="A105" s="43">
        <v>38596</v>
      </c>
      <c r="B105" s="38">
        <v>5.13</v>
      </c>
      <c r="C105">
        <f t="shared" si="5"/>
        <v>2005</v>
      </c>
      <c r="I105" s="43"/>
      <c r="J105" s="38"/>
    </row>
    <row r="106" spans="1:10">
      <c r="A106" s="43">
        <v>38626</v>
      </c>
      <c r="B106" s="38">
        <v>5.35</v>
      </c>
      <c r="C106">
        <f t="shared" si="5"/>
        <v>2005</v>
      </c>
      <c r="I106" s="43"/>
      <c r="J106" s="38"/>
    </row>
    <row r="107" spans="1:10">
      <c r="A107" s="43">
        <v>38657</v>
      </c>
      <c r="B107" s="38">
        <v>5.42</v>
      </c>
      <c r="C107">
        <f t="shared" si="5"/>
        <v>2005</v>
      </c>
      <c r="I107" s="43"/>
      <c r="J107" s="38"/>
    </row>
    <row r="108" spans="1:10">
      <c r="A108" s="43">
        <v>38687</v>
      </c>
      <c r="B108" s="38">
        <v>5.37</v>
      </c>
      <c r="C108">
        <f t="shared" si="5"/>
        <v>2005</v>
      </c>
      <c r="I108" s="43"/>
      <c r="J108" s="38"/>
    </row>
    <row r="109" spans="1:10">
      <c r="A109" s="43">
        <v>38718</v>
      </c>
      <c r="B109" s="38">
        <v>5.29</v>
      </c>
      <c r="C109">
        <f t="shared" si="5"/>
        <v>2006</v>
      </c>
      <c r="I109" s="43"/>
      <c r="J109" s="38"/>
    </row>
    <row r="110" spans="1:10">
      <c r="A110" s="43">
        <v>38749</v>
      </c>
      <c r="B110" s="38">
        <v>5.35</v>
      </c>
      <c r="C110">
        <f t="shared" si="5"/>
        <v>2006</v>
      </c>
      <c r="I110" s="43"/>
      <c r="J110" s="38"/>
    </row>
    <row r="111" spans="1:10">
      <c r="A111" s="43">
        <v>38777</v>
      </c>
      <c r="B111" s="38">
        <v>5.53</v>
      </c>
      <c r="C111">
        <f t="shared" si="5"/>
        <v>2006</v>
      </c>
      <c r="I111" s="43"/>
      <c r="J111" s="38"/>
    </row>
    <row r="112" spans="1:10">
      <c r="A112" s="43">
        <v>38808</v>
      </c>
      <c r="B112" s="38">
        <v>5.84</v>
      </c>
      <c r="C112">
        <f t="shared" si="5"/>
        <v>2006</v>
      </c>
      <c r="I112" s="43"/>
      <c r="J112" s="38"/>
    </row>
    <row r="113" spans="1:10">
      <c r="A113" s="43">
        <v>38838</v>
      </c>
      <c r="B113" s="38">
        <v>5.95</v>
      </c>
      <c r="C113">
        <f t="shared" si="5"/>
        <v>2006</v>
      </c>
      <c r="I113" s="43"/>
      <c r="J113" s="38"/>
    </row>
    <row r="114" spans="1:10">
      <c r="A114" s="43">
        <v>38869</v>
      </c>
      <c r="B114" s="38">
        <v>5.89</v>
      </c>
      <c r="C114">
        <f t="shared" si="5"/>
        <v>2006</v>
      </c>
      <c r="I114" s="43"/>
      <c r="J114" s="38"/>
    </row>
    <row r="115" spans="1:10">
      <c r="A115" s="43">
        <v>38899</v>
      </c>
      <c r="B115" s="38">
        <v>5.85</v>
      </c>
      <c r="C115">
        <f t="shared" si="5"/>
        <v>2006</v>
      </c>
      <c r="I115" s="43"/>
      <c r="J115" s="38"/>
    </row>
    <row r="116" spans="1:10">
      <c r="A116" s="43">
        <v>38930</v>
      </c>
      <c r="B116" s="38">
        <v>5.68</v>
      </c>
      <c r="C116">
        <f t="shared" si="5"/>
        <v>2006</v>
      </c>
      <c r="I116" s="43"/>
      <c r="J116" s="38"/>
    </row>
    <row r="117" spans="1:10">
      <c r="A117" s="43">
        <v>38961</v>
      </c>
      <c r="B117" s="38">
        <v>5.51</v>
      </c>
      <c r="C117">
        <f t="shared" si="5"/>
        <v>2006</v>
      </c>
      <c r="I117" s="43"/>
      <c r="J117" s="38"/>
    </row>
    <row r="118" spans="1:10">
      <c r="A118" s="43">
        <v>38991</v>
      </c>
      <c r="B118" s="38">
        <v>5.51</v>
      </c>
      <c r="C118">
        <f t="shared" si="5"/>
        <v>2006</v>
      </c>
      <c r="I118" s="43"/>
      <c r="J118" s="38"/>
    </row>
    <row r="119" spans="1:10">
      <c r="A119" s="43">
        <v>39022</v>
      </c>
      <c r="B119" s="38">
        <v>5.33</v>
      </c>
      <c r="C119">
        <f t="shared" si="5"/>
        <v>2006</v>
      </c>
      <c r="I119" s="43"/>
      <c r="J119" s="38"/>
    </row>
    <row r="120" spans="1:10">
      <c r="A120" s="43">
        <v>39052</v>
      </c>
      <c r="B120" s="38">
        <v>5.32</v>
      </c>
      <c r="C120">
        <f t="shared" si="5"/>
        <v>2006</v>
      </c>
      <c r="I120" s="43"/>
      <c r="J120" s="38"/>
    </row>
    <row r="121" spans="1:10">
      <c r="A121" s="43">
        <v>39083</v>
      </c>
      <c r="B121" s="38">
        <v>5.4</v>
      </c>
      <c r="C121">
        <f t="shared" si="5"/>
        <v>2007</v>
      </c>
      <c r="I121" s="43"/>
      <c r="J121" s="38"/>
    </row>
    <row r="122" spans="1:10">
      <c r="A122" s="43">
        <v>39114</v>
      </c>
      <c r="B122" s="38">
        <v>5.39</v>
      </c>
      <c r="C122">
        <f t="shared" si="5"/>
        <v>2007</v>
      </c>
      <c r="I122" s="43"/>
      <c r="J122" s="38"/>
    </row>
    <row r="123" spans="1:10">
      <c r="A123" s="43">
        <v>39142</v>
      </c>
      <c r="B123" s="38">
        <v>5.3</v>
      </c>
      <c r="C123">
        <f t="shared" si="5"/>
        <v>2007</v>
      </c>
      <c r="I123" s="43"/>
      <c r="J123" s="38"/>
    </row>
    <row r="124" spans="1:10">
      <c r="A124" s="43">
        <v>39173</v>
      </c>
      <c r="B124" s="38">
        <v>5.47</v>
      </c>
      <c r="C124">
        <f t="shared" si="5"/>
        <v>2007</v>
      </c>
      <c r="I124" s="43"/>
      <c r="J124" s="38"/>
    </row>
    <row r="125" spans="1:10">
      <c r="A125" s="43">
        <v>39203</v>
      </c>
      <c r="B125" s="38">
        <v>5.47</v>
      </c>
      <c r="C125">
        <f t="shared" si="5"/>
        <v>2007</v>
      </c>
      <c r="I125" s="43"/>
      <c r="J125" s="38"/>
    </row>
    <row r="126" spans="1:10">
      <c r="A126" s="43">
        <v>39234</v>
      </c>
      <c r="B126" s="38">
        <v>5.79</v>
      </c>
      <c r="C126">
        <f t="shared" si="5"/>
        <v>2007</v>
      </c>
      <c r="I126" s="43"/>
      <c r="J126" s="38"/>
    </row>
    <row r="127" spans="1:10">
      <c r="A127" s="43">
        <v>39264</v>
      </c>
      <c r="B127" s="38">
        <v>5.73</v>
      </c>
      <c r="C127">
        <f t="shared" si="5"/>
        <v>2007</v>
      </c>
      <c r="I127" s="43"/>
      <c r="J127" s="38"/>
    </row>
    <row r="128" spans="1:10">
      <c r="A128" s="43">
        <v>39295</v>
      </c>
      <c r="B128" s="38">
        <v>5.79</v>
      </c>
      <c r="C128">
        <f t="shared" si="5"/>
        <v>2007</v>
      </c>
      <c r="I128" s="43"/>
      <c r="J128" s="38"/>
    </row>
    <row r="129" spans="1:10">
      <c r="A129" s="43">
        <v>39326</v>
      </c>
      <c r="B129" s="38">
        <v>5.74</v>
      </c>
      <c r="C129">
        <f t="shared" si="5"/>
        <v>2007</v>
      </c>
      <c r="I129" s="43"/>
      <c r="J129" s="38"/>
    </row>
    <row r="130" spans="1:10">
      <c r="A130" s="43">
        <v>39356</v>
      </c>
      <c r="B130" s="38">
        <v>5.66</v>
      </c>
      <c r="C130">
        <f t="shared" si="5"/>
        <v>2007</v>
      </c>
      <c r="I130" s="43"/>
      <c r="J130" s="38"/>
    </row>
    <row r="131" spans="1:10">
      <c r="A131" s="43">
        <v>39387</v>
      </c>
      <c r="B131" s="38">
        <v>5.44</v>
      </c>
      <c r="C131">
        <f t="shared" si="5"/>
        <v>2007</v>
      </c>
      <c r="I131" s="43"/>
      <c r="J131" s="38"/>
    </row>
    <row r="132" spans="1:10">
      <c r="A132" s="43">
        <v>39417</v>
      </c>
      <c r="B132" s="38">
        <v>5.49</v>
      </c>
      <c r="C132">
        <f t="shared" si="5"/>
        <v>2007</v>
      </c>
      <c r="I132" s="43"/>
      <c r="J132" s="38"/>
    </row>
    <row r="133" spans="1:10">
      <c r="A133" s="43">
        <v>39448</v>
      </c>
      <c r="B133" s="38">
        <v>5.33</v>
      </c>
      <c r="C133">
        <f t="shared" si="5"/>
        <v>2008</v>
      </c>
      <c r="I133" s="43"/>
      <c r="J133" s="38"/>
    </row>
    <row r="134" spans="1:10">
      <c r="A134" s="43">
        <v>39479</v>
      </c>
      <c r="B134" s="38">
        <v>5.53</v>
      </c>
      <c r="C134">
        <f t="shared" si="5"/>
        <v>2008</v>
      </c>
      <c r="I134" s="43"/>
      <c r="J134" s="38"/>
    </row>
    <row r="135" spans="1:10">
      <c r="A135" s="43">
        <v>39508</v>
      </c>
      <c r="B135" s="38">
        <v>5.51</v>
      </c>
      <c r="C135">
        <f t="shared" si="5"/>
        <v>2008</v>
      </c>
      <c r="I135" s="43"/>
      <c r="J135" s="38"/>
    </row>
    <row r="136" spans="1:10">
      <c r="A136" s="43">
        <v>39539</v>
      </c>
      <c r="B136" s="38">
        <v>5.55</v>
      </c>
      <c r="C136">
        <f t="shared" si="5"/>
        <v>2008</v>
      </c>
      <c r="I136" s="43"/>
      <c r="J136" s="38"/>
    </row>
    <row r="137" spans="1:10">
      <c r="A137" s="43">
        <v>39569</v>
      </c>
      <c r="B137" s="38">
        <v>5.57</v>
      </c>
      <c r="C137">
        <f t="shared" si="5"/>
        <v>2008</v>
      </c>
      <c r="I137" s="43"/>
      <c r="J137" s="38"/>
    </row>
    <row r="138" spans="1:10">
      <c r="A138" s="43">
        <v>39600</v>
      </c>
      <c r="B138" s="38">
        <v>5.68</v>
      </c>
      <c r="C138">
        <f t="shared" si="5"/>
        <v>2008</v>
      </c>
      <c r="I138" s="43"/>
      <c r="J138" s="38"/>
    </row>
    <row r="139" spans="1:10">
      <c r="A139" s="43">
        <v>39630</v>
      </c>
      <c r="B139" s="38">
        <v>5.67</v>
      </c>
      <c r="C139">
        <f t="shared" si="5"/>
        <v>2008</v>
      </c>
      <c r="I139" s="43"/>
      <c r="J139" s="38"/>
    </row>
    <row r="140" spans="1:10">
      <c r="A140" s="43">
        <v>39661</v>
      </c>
      <c r="B140" s="38">
        <v>5.64</v>
      </c>
      <c r="C140">
        <f t="shared" si="5"/>
        <v>2008</v>
      </c>
      <c r="I140" s="43"/>
      <c r="J140" s="38"/>
    </row>
    <row r="141" spans="1:10">
      <c r="A141" s="43">
        <v>39692</v>
      </c>
      <c r="B141" s="38">
        <v>5.65</v>
      </c>
      <c r="C141">
        <f t="shared" si="5"/>
        <v>2008</v>
      </c>
      <c r="I141" s="43"/>
      <c r="J141" s="38"/>
    </row>
    <row r="142" spans="1:10">
      <c r="A142" s="43">
        <v>39722</v>
      </c>
      <c r="B142" s="38">
        <v>6.28</v>
      </c>
      <c r="C142">
        <f t="shared" si="5"/>
        <v>2008</v>
      </c>
      <c r="I142" s="43"/>
      <c r="J142" s="38"/>
    </row>
    <row r="143" spans="1:10">
      <c r="A143" s="43">
        <v>39753</v>
      </c>
      <c r="B143" s="38">
        <v>6.12</v>
      </c>
      <c r="C143">
        <f t="shared" ref="C143:C206" si="6">YEAR(A143)</f>
        <v>2008</v>
      </c>
      <c r="I143" s="43"/>
      <c r="J143" s="38"/>
    </row>
    <row r="144" spans="1:10">
      <c r="A144" s="43">
        <v>39783</v>
      </c>
      <c r="B144" s="38">
        <v>5.05</v>
      </c>
      <c r="C144">
        <f t="shared" si="6"/>
        <v>2008</v>
      </c>
      <c r="I144" s="43"/>
      <c r="J144" s="38"/>
    </row>
    <row r="145" spans="1:10">
      <c r="A145" s="43">
        <v>39814</v>
      </c>
      <c r="B145" s="38">
        <v>5.05</v>
      </c>
      <c r="C145">
        <f t="shared" si="6"/>
        <v>2009</v>
      </c>
      <c r="I145" s="43"/>
      <c r="J145" s="38"/>
    </row>
    <row r="146" spans="1:10">
      <c r="A146" s="43">
        <v>39845</v>
      </c>
      <c r="B146" s="38">
        <v>5.27</v>
      </c>
      <c r="C146">
        <f t="shared" si="6"/>
        <v>2009</v>
      </c>
      <c r="I146" s="43"/>
      <c r="J146" s="38"/>
    </row>
    <row r="147" spans="1:10">
      <c r="A147" s="43">
        <v>39873</v>
      </c>
      <c r="B147" s="38">
        <v>5.5</v>
      </c>
      <c r="C147">
        <f t="shared" si="6"/>
        <v>2009</v>
      </c>
      <c r="I147" s="43"/>
      <c r="J147" s="38"/>
    </row>
    <row r="148" spans="1:10">
      <c r="A148" s="43">
        <v>39904</v>
      </c>
      <c r="B148" s="38">
        <v>5.39</v>
      </c>
      <c r="C148">
        <f t="shared" si="6"/>
        <v>2009</v>
      </c>
      <c r="I148" s="43"/>
      <c r="J148" s="38"/>
    </row>
    <row r="149" spans="1:10">
      <c r="A149" s="43">
        <v>39934</v>
      </c>
      <c r="B149" s="38">
        <v>5.54</v>
      </c>
      <c r="C149">
        <f t="shared" si="6"/>
        <v>2009</v>
      </c>
      <c r="I149" s="43"/>
      <c r="J149" s="38"/>
    </row>
    <row r="150" spans="1:10">
      <c r="A150" s="43">
        <v>39965</v>
      </c>
      <c r="B150" s="38">
        <v>5.61</v>
      </c>
      <c r="C150">
        <f t="shared" si="6"/>
        <v>2009</v>
      </c>
      <c r="I150" s="43"/>
      <c r="J150" s="38"/>
    </row>
    <row r="151" spans="1:10">
      <c r="A151" s="43">
        <v>39995</v>
      </c>
      <c r="B151" s="38">
        <v>5.41</v>
      </c>
      <c r="C151">
        <f t="shared" si="6"/>
        <v>2009</v>
      </c>
      <c r="I151" s="43"/>
      <c r="J151" s="38"/>
    </row>
    <row r="152" spans="1:10">
      <c r="A152" s="43">
        <v>40026</v>
      </c>
      <c r="B152" s="38">
        <v>5.26</v>
      </c>
      <c r="C152">
        <f t="shared" si="6"/>
        <v>2009</v>
      </c>
      <c r="I152" s="43"/>
      <c r="J152" s="38"/>
    </row>
    <row r="153" spans="1:10">
      <c r="A153" s="43">
        <v>40057</v>
      </c>
      <c r="B153" s="38">
        <v>5.13</v>
      </c>
      <c r="C153">
        <f t="shared" si="6"/>
        <v>2009</v>
      </c>
      <c r="I153" s="43"/>
      <c r="J153" s="38"/>
    </row>
    <row r="154" spans="1:10">
      <c r="A154" s="43">
        <v>40087</v>
      </c>
      <c r="B154" s="38">
        <v>5.15</v>
      </c>
      <c r="C154">
        <f t="shared" si="6"/>
        <v>2009</v>
      </c>
      <c r="I154" s="43"/>
      <c r="J154" s="38"/>
    </row>
    <row r="155" spans="1:10">
      <c r="A155" s="43">
        <v>40118</v>
      </c>
      <c r="B155" s="38">
        <v>5.19</v>
      </c>
      <c r="C155">
        <f t="shared" si="6"/>
        <v>2009</v>
      </c>
      <c r="I155" s="43"/>
      <c r="J155" s="38"/>
    </row>
    <row r="156" spans="1:10">
      <c r="A156" s="43">
        <v>40148</v>
      </c>
      <c r="B156" s="38">
        <v>5.26</v>
      </c>
      <c r="C156">
        <f t="shared" si="6"/>
        <v>2009</v>
      </c>
      <c r="I156" s="43"/>
      <c r="J156" s="38"/>
    </row>
    <row r="157" spans="1:10">
      <c r="A157" s="43">
        <v>40179</v>
      </c>
      <c r="B157" s="38">
        <v>5.26</v>
      </c>
      <c r="C157">
        <f t="shared" si="6"/>
        <v>2010</v>
      </c>
      <c r="I157" s="43"/>
      <c r="J157" s="38"/>
    </row>
    <row r="158" spans="1:10">
      <c r="A158" s="43">
        <v>40210</v>
      </c>
      <c r="B158" s="38">
        <v>5.35</v>
      </c>
      <c r="C158">
        <f t="shared" si="6"/>
        <v>2010</v>
      </c>
      <c r="I158" s="43"/>
      <c r="J158" s="38"/>
    </row>
    <row r="159" spans="1:10">
      <c r="A159" s="43">
        <v>40238</v>
      </c>
      <c r="B159" s="38">
        <v>5.27</v>
      </c>
      <c r="C159">
        <f t="shared" si="6"/>
        <v>2010</v>
      </c>
      <c r="I159" s="43"/>
      <c r="J159" s="38"/>
    </row>
    <row r="160" spans="1:10">
      <c r="A160" s="43">
        <v>40269</v>
      </c>
      <c r="B160" s="38">
        <v>5.29</v>
      </c>
      <c r="C160">
        <f t="shared" si="6"/>
        <v>2010</v>
      </c>
      <c r="I160" s="43"/>
      <c r="J160" s="38"/>
    </row>
    <row r="161" spans="1:10">
      <c r="A161" s="43">
        <v>40299</v>
      </c>
      <c r="B161" s="38">
        <v>4.96</v>
      </c>
      <c r="C161">
        <f t="shared" si="6"/>
        <v>2010</v>
      </c>
      <c r="I161" s="43"/>
      <c r="J161" s="38"/>
    </row>
    <row r="162" spans="1:10">
      <c r="A162" s="43">
        <v>40330</v>
      </c>
      <c r="B162" s="38">
        <v>4.88</v>
      </c>
      <c r="C162">
        <f t="shared" si="6"/>
        <v>2010</v>
      </c>
      <c r="I162" s="43"/>
      <c r="J162" s="38"/>
    </row>
    <row r="163" spans="1:10">
      <c r="A163" s="43">
        <v>40360</v>
      </c>
      <c r="B163" s="38">
        <v>4.72</v>
      </c>
      <c r="C163">
        <f t="shared" si="6"/>
        <v>2010</v>
      </c>
      <c r="I163" s="43"/>
      <c r="J163" s="38"/>
    </row>
    <row r="164" spans="1:10">
      <c r="A164" s="43">
        <v>40391</v>
      </c>
      <c r="B164" s="38">
        <v>4.49</v>
      </c>
      <c r="C164">
        <f t="shared" si="6"/>
        <v>2010</v>
      </c>
      <c r="I164" s="43"/>
      <c r="J164" s="38"/>
    </row>
    <row r="165" spans="1:10">
      <c r="A165" s="43">
        <v>40422</v>
      </c>
      <c r="B165" s="38">
        <v>4.53</v>
      </c>
      <c r="C165">
        <f t="shared" si="6"/>
        <v>2010</v>
      </c>
      <c r="I165" s="43"/>
      <c r="J165" s="38"/>
    </row>
    <row r="166" spans="1:10">
      <c r="A166" s="43">
        <v>40452</v>
      </c>
      <c r="B166" s="38">
        <v>4.68</v>
      </c>
      <c r="C166">
        <f t="shared" si="6"/>
        <v>2010</v>
      </c>
      <c r="I166" s="43"/>
      <c r="J166" s="38"/>
    </row>
    <row r="167" spans="1:10">
      <c r="A167" s="43">
        <v>40483</v>
      </c>
      <c r="B167" s="38">
        <v>4.87</v>
      </c>
      <c r="C167">
        <f t="shared" si="6"/>
        <v>2010</v>
      </c>
      <c r="I167" s="43"/>
      <c r="J167" s="38"/>
    </row>
    <row r="168" spans="1:10">
      <c r="A168" s="43">
        <v>40513</v>
      </c>
      <c r="B168" s="38">
        <v>5.0199999999999996</v>
      </c>
      <c r="C168">
        <f t="shared" si="6"/>
        <v>2010</v>
      </c>
      <c r="I168" s="43"/>
      <c r="J168" s="38"/>
    </row>
    <row r="169" spans="1:10">
      <c r="A169" s="43">
        <v>40544</v>
      </c>
      <c r="B169" s="38">
        <v>5.04</v>
      </c>
      <c r="C169">
        <f t="shared" si="6"/>
        <v>2011</v>
      </c>
      <c r="I169" s="43"/>
      <c r="J169" s="38"/>
    </row>
    <row r="170" spans="1:10">
      <c r="A170" s="43">
        <v>40575</v>
      </c>
      <c r="B170" s="38">
        <v>5.22</v>
      </c>
      <c r="C170">
        <f t="shared" si="6"/>
        <v>2011</v>
      </c>
      <c r="I170" s="43"/>
      <c r="J170" s="38"/>
    </row>
    <row r="171" spans="1:10">
      <c r="A171" s="43">
        <v>40603</v>
      </c>
      <c r="B171" s="38">
        <v>5.13</v>
      </c>
      <c r="C171">
        <f t="shared" si="6"/>
        <v>2011</v>
      </c>
      <c r="I171" s="43"/>
      <c r="J171" s="38"/>
    </row>
    <row r="172" spans="1:10">
      <c r="A172" s="43">
        <v>40634</v>
      </c>
      <c r="B172" s="38">
        <v>5.16</v>
      </c>
      <c r="C172">
        <f t="shared" si="6"/>
        <v>2011</v>
      </c>
      <c r="I172" s="43"/>
      <c r="J172" s="38"/>
    </row>
    <row r="173" spans="1:10">
      <c r="A173" s="43">
        <v>40664</v>
      </c>
      <c r="B173" s="38">
        <v>4.96</v>
      </c>
      <c r="C173">
        <f t="shared" si="6"/>
        <v>2011</v>
      </c>
      <c r="I173" s="43"/>
      <c r="J173" s="38"/>
    </row>
    <row r="174" spans="1:10">
      <c r="A174" s="43">
        <v>40695</v>
      </c>
      <c r="B174" s="38">
        <v>4.99</v>
      </c>
      <c r="C174">
        <f t="shared" si="6"/>
        <v>2011</v>
      </c>
      <c r="I174" s="43"/>
      <c r="J174" s="38"/>
    </row>
    <row r="175" spans="1:10">
      <c r="A175" s="43">
        <v>40725</v>
      </c>
      <c r="B175" s="38">
        <v>4.93</v>
      </c>
      <c r="C175">
        <f t="shared" si="6"/>
        <v>2011</v>
      </c>
      <c r="I175" s="43"/>
      <c r="J175" s="38"/>
    </row>
    <row r="176" spans="1:10">
      <c r="A176" s="43">
        <v>40756</v>
      </c>
      <c r="B176" s="38">
        <v>4.37</v>
      </c>
      <c r="C176">
        <f t="shared" si="6"/>
        <v>2011</v>
      </c>
      <c r="I176" s="43"/>
      <c r="J176" s="38"/>
    </row>
    <row r="177" spans="1:10">
      <c r="A177" s="43">
        <v>40787</v>
      </c>
      <c r="B177" s="38">
        <v>4.09</v>
      </c>
      <c r="C177">
        <f t="shared" si="6"/>
        <v>2011</v>
      </c>
      <c r="I177" s="43"/>
      <c r="J177" s="38"/>
    </row>
    <row r="178" spans="1:10">
      <c r="A178" s="43">
        <v>40817</v>
      </c>
      <c r="B178" s="38">
        <v>3.98</v>
      </c>
      <c r="C178">
        <f t="shared" si="6"/>
        <v>2011</v>
      </c>
      <c r="I178" s="43"/>
      <c r="J178" s="38"/>
    </row>
    <row r="179" spans="1:10">
      <c r="A179" s="43">
        <v>40848</v>
      </c>
      <c r="B179" s="38">
        <v>3.87</v>
      </c>
      <c r="C179">
        <f t="shared" si="6"/>
        <v>2011</v>
      </c>
      <c r="I179" s="43"/>
      <c r="J179" s="38"/>
    </row>
    <row r="180" spans="1:10">
      <c r="A180" s="43">
        <v>40878</v>
      </c>
      <c r="B180" s="38">
        <v>3.93</v>
      </c>
      <c r="C180">
        <f t="shared" si="6"/>
        <v>2011</v>
      </c>
      <c r="I180" s="43"/>
      <c r="J180" s="38"/>
    </row>
    <row r="181" spans="1:10">
      <c r="A181" s="43">
        <v>40909</v>
      </c>
      <c r="B181" s="38">
        <v>3.85</v>
      </c>
      <c r="C181">
        <f t="shared" si="6"/>
        <v>2012</v>
      </c>
      <c r="I181" s="43"/>
      <c r="J181" s="38"/>
    </row>
    <row r="182" spans="1:10">
      <c r="A182" s="43">
        <v>40940</v>
      </c>
      <c r="B182" s="38">
        <v>3.85</v>
      </c>
      <c r="C182">
        <f t="shared" si="6"/>
        <v>2012</v>
      </c>
      <c r="I182" s="43"/>
      <c r="J182" s="38"/>
    </row>
    <row r="183" spans="1:10">
      <c r="A183" s="43">
        <v>40969</v>
      </c>
      <c r="B183" s="38">
        <v>3.99</v>
      </c>
      <c r="C183">
        <f t="shared" si="6"/>
        <v>2012</v>
      </c>
      <c r="I183" s="43"/>
      <c r="J183" s="38"/>
    </row>
    <row r="184" spans="1:10">
      <c r="A184" s="43">
        <v>41000</v>
      </c>
      <c r="B184" s="38">
        <v>3.96</v>
      </c>
      <c r="C184">
        <f t="shared" si="6"/>
        <v>2012</v>
      </c>
      <c r="I184" s="43"/>
      <c r="J184" s="38"/>
    </row>
    <row r="185" spans="1:10">
      <c r="A185" s="43">
        <v>41030</v>
      </c>
      <c r="B185" s="38">
        <v>3.8</v>
      </c>
      <c r="C185">
        <f t="shared" si="6"/>
        <v>2012</v>
      </c>
      <c r="I185" s="43"/>
      <c r="J185" s="38"/>
    </row>
    <row r="186" spans="1:10">
      <c r="A186" s="43">
        <v>41061</v>
      </c>
      <c r="B186" s="38">
        <v>3.64</v>
      </c>
      <c r="C186">
        <f t="shared" si="6"/>
        <v>2012</v>
      </c>
      <c r="I186" s="43"/>
      <c r="J186" s="38"/>
    </row>
    <row r="187" spans="1:10">
      <c r="A187" s="43">
        <v>41091</v>
      </c>
      <c r="B187" s="38">
        <v>3.4</v>
      </c>
      <c r="C187">
        <f t="shared" si="6"/>
        <v>2012</v>
      </c>
      <c r="I187" s="43"/>
      <c r="J187" s="38"/>
    </row>
    <row r="188" spans="1:10">
      <c r="A188" s="43">
        <v>41122</v>
      </c>
      <c r="B188" s="38">
        <v>3.48</v>
      </c>
      <c r="C188">
        <f t="shared" si="6"/>
        <v>2012</v>
      </c>
      <c r="I188" s="43"/>
      <c r="J188" s="38"/>
    </row>
    <row r="189" spans="1:10">
      <c r="A189" s="43">
        <v>41153</v>
      </c>
      <c r="B189" s="38">
        <v>3.49</v>
      </c>
      <c r="C189">
        <f t="shared" si="6"/>
        <v>2012</v>
      </c>
      <c r="I189" s="43"/>
      <c r="J189" s="38"/>
    </row>
    <row r="190" spans="1:10">
      <c r="A190" s="43">
        <v>41183</v>
      </c>
      <c r="B190" s="38">
        <v>3.47</v>
      </c>
      <c r="C190">
        <f t="shared" si="6"/>
        <v>2012</v>
      </c>
      <c r="I190" s="43"/>
      <c r="J190" s="38"/>
    </row>
    <row r="191" spans="1:10">
      <c r="A191" s="43">
        <v>41214</v>
      </c>
      <c r="B191" s="38">
        <v>3.5</v>
      </c>
      <c r="C191">
        <f t="shared" si="6"/>
        <v>2012</v>
      </c>
      <c r="I191" s="43"/>
      <c r="J191" s="38"/>
    </row>
    <row r="192" spans="1:10">
      <c r="A192" s="43">
        <v>41244</v>
      </c>
      <c r="B192" s="38">
        <v>3.65</v>
      </c>
      <c r="C192">
        <f t="shared" si="6"/>
        <v>2012</v>
      </c>
      <c r="I192" s="43"/>
      <c r="J192" s="38"/>
    </row>
    <row r="193" spans="1:10">
      <c r="A193" s="43">
        <v>41275</v>
      </c>
      <c r="B193" s="38">
        <v>3.8</v>
      </c>
      <c r="C193">
        <f t="shared" si="6"/>
        <v>2013</v>
      </c>
      <c r="I193" s="43"/>
      <c r="J193" s="38"/>
    </row>
    <row r="194" spans="1:10">
      <c r="A194" s="43">
        <v>41306</v>
      </c>
      <c r="B194" s="38">
        <v>3.9</v>
      </c>
      <c r="C194">
        <f t="shared" si="6"/>
        <v>2013</v>
      </c>
      <c r="I194" s="43"/>
      <c r="J194" s="38"/>
    </row>
    <row r="195" spans="1:10">
      <c r="A195" s="43">
        <v>41334</v>
      </c>
      <c r="B195" s="38">
        <v>3.93</v>
      </c>
      <c r="C195">
        <f t="shared" si="6"/>
        <v>2013</v>
      </c>
      <c r="I195" s="43"/>
      <c r="J195" s="38"/>
    </row>
    <row r="196" spans="1:10">
      <c r="A196" s="43">
        <v>41365</v>
      </c>
      <c r="B196" s="38">
        <v>3.73</v>
      </c>
      <c r="C196">
        <f t="shared" si="6"/>
        <v>2013</v>
      </c>
      <c r="I196" s="43"/>
      <c r="J196" s="38"/>
    </row>
    <row r="197" spans="1:10">
      <c r="A197" s="43">
        <v>41395</v>
      </c>
      <c r="B197" s="38">
        <v>3.89</v>
      </c>
      <c r="C197">
        <f t="shared" si="6"/>
        <v>2013</v>
      </c>
      <c r="I197" s="43"/>
      <c r="J197" s="38"/>
    </row>
    <row r="198" spans="1:10">
      <c r="A198" s="43">
        <v>41426</v>
      </c>
      <c r="B198" s="38">
        <v>4.2699999999999996</v>
      </c>
      <c r="C198">
        <f t="shared" si="6"/>
        <v>2013</v>
      </c>
      <c r="I198" s="43"/>
      <c r="J198" s="38"/>
    </row>
    <row r="199" spans="1:10">
      <c r="A199" s="43">
        <v>41456</v>
      </c>
      <c r="B199" s="38">
        <v>4.34</v>
      </c>
      <c r="C199">
        <f t="shared" si="6"/>
        <v>2013</v>
      </c>
      <c r="I199" s="43"/>
      <c r="J199" s="38"/>
    </row>
    <row r="200" spans="1:10">
      <c r="A200" s="43">
        <v>41487</v>
      </c>
      <c r="B200" s="38">
        <v>4.54</v>
      </c>
      <c r="C200">
        <f t="shared" si="6"/>
        <v>2013</v>
      </c>
      <c r="I200" s="43"/>
      <c r="J200" s="38"/>
    </row>
    <row r="201" spans="1:10">
      <c r="A201" s="43">
        <v>41518</v>
      </c>
      <c r="B201" s="38">
        <v>4.6399999999999997</v>
      </c>
      <c r="C201">
        <f t="shared" si="6"/>
        <v>2013</v>
      </c>
      <c r="I201" s="43"/>
      <c r="J201" s="38"/>
    </row>
    <row r="202" spans="1:10">
      <c r="A202" s="43">
        <v>41548</v>
      </c>
      <c r="B202" s="38">
        <v>4.53</v>
      </c>
      <c r="C202">
        <f t="shared" si="6"/>
        <v>2013</v>
      </c>
      <c r="I202" s="43"/>
      <c r="J202" s="38"/>
    </row>
    <row r="203" spans="1:10">
      <c r="A203" s="43">
        <v>41579</v>
      </c>
      <c r="B203" s="38">
        <v>4.63</v>
      </c>
      <c r="C203">
        <f t="shared" si="6"/>
        <v>2013</v>
      </c>
      <c r="I203" s="43"/>
      <c r="J203" s="38"/>
    </row>
    <row r="204" spans="1:10">
      <c r="A204" s="43">
        <v>41609</v>
      </c>
      <c r="B204" s="38">
        <v>4.62</v>
      </c>
      <c r="C204">
        <f t="shared" si="6"/>
        <v>2013</v>
      </c>
      <c r="I204" s="43"/>
      <c r="J204" s="38"/>
    </row>
    <row r="205" spans="1:10">
      <c r="A205" s="43">
        <v>41640</v>
      </c>
      <c r="B205" s="38">
        <v>4.49</v>
      </c>
      <c r="C205">
        <f t="shared" si="6"/>
        <v>2014</v>
      </c>
      <c r="I205" s="43"/>
      <c r="J205" s="38"/>
    </row>
    <row r="206" spans="1:10">
      <c r="A206" s="43">
        <v>41671</v>
      </c>
      <c r="B206" s="38">
        <v>4.45</v>
      </c>
      <c r="C206">
        <f t="shared" si="6"/>
        <v>2014</v>
      </c>
      <c r="I206" s="43"/>
      <c r="J206" s="38"/>
    </row>
    <row r="207" spans="1:10">
      <c r="A207" s="43">
        <v>41699</v>
      </c>
      <c r="B207" s="38">
        <v>4.38</v>
      </c>
      <c r="C207">
        <f t="shared" ref="C207:C270" si="7">YEAR(A207)</f>
        <v>2014</v>
      </c>
      <c r="I207" s="43"/>
      <c r="J207" s="38"/>
    </row>
    <row r="208" spans="1:10">
      <c r="A208" s="43">
        <v>41730</v>
      </c>
      <c r="B208" s="38">
        <v>4.24</v>
      </c>
      <c r="C208">
        <f t="shared" si="7"/>
        <v>2014</v>
      </c>
      <c r="I208" s="43"/>
      <c r="J208" s="38"/>
    </row>
    <row r="209" spans="1:10">
      <c r="A209" s="43">
        <v>41760</v>
      </c>
      <c r="B209" s="38">
        <v>4.16</v>
      </c>
      <c r="C209">
        <f t="shared" si="7"/>
        <v>2014</v>
      </c>
      <c r="I209" s="43"/>
      <c r="J209" s="38"/>
    </row>
    <row r="210" spans="1:10">
      <c r="A210" s="43">
        <v>41791</v>
      </c>
      <c r="B210" s="38">
        <v>4.25</v>
      </c>
      <c r="C210">
        <f t="shared" si="7"/>
        <v>2014</v>
      </c>
      <c r="I210" s="43"/>
      <c r="J210" s="38"/>
    </row>
    <row r="211" spans="1:10">
      <c r="A211" s="43">
        <v>41821</v>
      </c>
      <c r="B211" s="38">
        <v>4.16</v>
      </c>
      <c r="C211">
        <f t="shared" si="7"/>
        <v>2014</v>
      </c>
      <c r="I211" s="43"/>
      <c r="J211" s="38"/>
    </row>
    <row r="212" spans="1:10">
      <c r="A212" s="43">
        <v>41852</v>
      </c>
      <c r="B212" s="38">
        <v>4.08</v>
      </c>
      <c r="C212">
        <f t="shared" si="7"/>
        <v>2014</v>
      </c>
      <c r="I212" s="43"/>
      <c r="J212" s="38"/>
    </row>
    <row r="213" spans="1:10">
      <c r="A213" s="43">
        <v>41883</v>
      </c>
      <c r="B213" s="38">
        <v>4.1100000000000003</v>
      </c>
      <c r="C213">
        <f t="shared" si="7"/>
        <v>2014</v>
      </c>
      <c r="I213" s="43"/>
      <c r="J213" s="38"/>
    </row>
    <row r="214" spans="1:10">
      <c r="A214" s="43">
        <v>41913</v>
      </c>
      <c r="B214" s="38">
        <v>3.92</v>
      </c>
      <c r="C214">
        <f t="shared" si="7"/>
        <v>2014</v>
      </c>
      <c r="I214" s="43"/>
      <c r="J214" s="38"/>
    </row>
    <row r="215" spans="1:10">
      <c r="A215" s="43">
        <v>41944</v>
      </c>
      <c r="B215" s="38">
        <v>3.92</v>
      </c>
      <c r="C215">
        <f t="shared" si="7"/>
        <v>2014</v>
      </c>
      <c r="I215" s="43"/>
      <c r="J215" s="38"/>
    </row>
    <row r="216" spans="1:10">
      <c r="A216" s="43">
        <v>41974</v>
      </c>
      <c r="B216" s="38">
        <v>3.79</v>
      </c>
      <c r="C216">
        <f t="shared" si="7"/>
        <v>2014</v>
      </c>
      <c r="I216" s="43"/>
      <c r="J216" s="38"/>
    </row>
    <row r="217" spans="1:10">
      <c r="A217" s="43">
        <v>42005</v>
      </c>
      <c r="B217" s="38">
        <v>3.46</v>
      </c>
      <c r="C217">
        <f t="shared" si="7"/>
        <v>2015</v>
      </c>
      <c r="I217" s="43"/>
      <c r="J217" s="38"/>
    </row>
    <row r="218" spans="1:10">
      <c r="A218" s="43">
        <v>42036</v>
      </c>
      <c r="B218" s="38">
        <v>3.61</v>
      </c>
      <c r="C218">
        <f t="shared" si="7"/>
        <v>2015</v>
      </c>
      <c r="I218" s="43"/>
      <c r="J218" s="38"/>
    </row>
    <row r="219" spans="1:10">
      <c r="A219" s="43">
        <v>42064</v>
      </c>
      <c r="B219" s="38">
        <v>3.64</v>
      </c>
      <c r="C219">
        <f t="shared" si="7"/>
        <v>2015</v>
      </c>
      <c r="I219" s="43"/>
      <c r="J219" s="38"/>
    </row>
    <row r="220" spans="1:10">
      <c r="A220" s="43">
        <v>42095</v>
      </c>
      <c r="B220" s="38">
        <v>3.52</v>
      </c>
      <c r="C220">
        <f t="shared" si="7"/>
        <v>2015</v>
      </c>
      <c r="I220" s="43"/>
      <c r="J220" s="38"/>
    </row>
    <row r="221" spans="1:10">
      <c r="A221" s="43">
        <v>42125</v>
      </c>
      <c r="B221" s="38">
        <v>3.98</v>
      </c>
      <c r="C221">
        <f t="shared" si="7"/>
        <v>2015</v>
      </c>
      <c r="I221" s="43"/>
      <c r="J221" s="38"/>
    </row>
    <row r="222" spans="1:10">
      <c r="A222" s="43">
        <v>42156</v>
      </c>
      <c r="B222" s="38">
        <v>4.1900000000000004</v>
      </c>
      <c r="C222">
        <f t="shared" si="7"/>
        <v>2015</v>
      </c>
      <c r="I222" s="43"/>
      <c r="J222" s="38"/>
    </row>
    <row r="223" spans="1:10">
      <c r="A223" s="43">
        <v>42186</v>
      </c>
      <c r="B223" s="38">
        <v>4.1500000000000004</v>
      </c>
      <c r="C223">
        <f t="shared" si="7"/>
        <v>2015</v>
      </c>
      <c r="I223" s="43"/>
      <c r="J223" s="38"/>
    </row>
    <row r="224" spans="1:10">
      <c r="A224" s="43">
        <v>42217</v>
      </c>
      <c r="B224" s="38">
        <v>4.04</v>
      </c>
      <c r="C224">
        <f t="shared" si="7"/>
        <v>2015</v>
      </c>
      <c r="I224" s="43"/>
      <c r="J224" s="38"/>
    </row>
    <row r="225" spans="1:10">
      <c r="A225" s="43">
        <v>42248</v>
      </c>
      <c r="B225" s="38">
        <v>4.07</v>
      </c>
      <c r="C225">
        <f t="shared" si="7"/>
        <v>2015</v>
      </c>
      <c r="I225" s="43"/>
      <c r="J225" s="38"/>
    </row>
    <row r="226" spans="1:10">
      <c r="A226" s="43">
        <v>42278</v>
      </c>
      <c r="B226" s="38">
        <v>3.95</v>
      </c>
      <c r="C226">
        <f t="shared" si="7"/>
        <v>2015</v>
      </c>
      <c r="I226" s="43"/>
      <c r="J226" s="38"/>
    </row>
    <row r="227" spans="1:10">
      <c r="A227" s="43">
        <v>42309</v>
      </c>
      <c r="B227" s="38">
        <v>4.0599999999999996</v>
      </c>
      <c r="C227">
        <f t="shared" si="7"/>
        <v>2015</v>
      </c>
      <c r="I227" s="43"/>
      <c r="J227" s="38"/>
    </row>
    <row r="228" spans="1:10">
      <c r="A228" s="43">
        <v>42339</v>
      </c>
      <c r="B228" s="38">
        <v>3.97</v>
      </c>
      <c r="C228">
        <f t="shared" si="7"/>
        <v>2015</v>
      </c>
      <c r="I228" s="43"/>
      <c r="J228" s="38"/>
    </row>
    <row r="229" spans="1:10">
      <c r="A229" s="43">
        <v>42370</v>
      </c>
      <c r="B229" s="38">
        <v>4</v>
      </c>
      <c r="C229">
        <f t="shared" si="7"/>
        <v>2016</v>
      </c>
      <c r="I229" s="43"/>
      <c r="J229" s="38"/>
    </row>
    <row r="230" spans="1:10">
      <c r="A230" s="43">
        <v>42401</v>
      </c>
      <c r="B230" s="38">
        <v>3.96</v>
      </c>
      <c r="C230">
        <f t="shared" si="7"/>
        <v>2016</v>
      </c>
      <c r="I230" s="43"/>
      <c r="J230" s="38"/>
    </row>
    <row r="231" spans="1:10">
      <c r="A231" s="43">
        <v>42430</v>
      </c>
      <c r="B231" s="38">
        <v>3.82</v>
      </c>
      <c r="C231">
        <f t="shared" si="7"/>
        <v>2016</v>
      </c>
      <c r="I231" s="43"/>
      <c r="J231" s="38"/>
    </row>
    <row r="232" spans="1:10">
      <c r="A232" s="43">
        <v>42461</v>
      </c>
      <c r="B232" s="38">
        <v>3.62</v>
      </c>
      <c r="C232">
        <f t="shared" si="7"/>
        <v>2016</v>
      </c>
      <c r="I232" s="43"/>
      <c r="J232" s="38"/>
    </row>
    <row r="233" spans="1:10">
      <c r="A233" s="43">
        <v>42491</v>
      </c>
      <c r="B233" s="38">
        <v>3.65</v>
      </c>
      <c r="C233">
        <f t="shared" si="7"/>
        <v>2016</v>
      </c>
      <c r="I233" s="43"/>
      <c r="J233" s="38"/>
    </row>
    <row r="234" spans="1:10">
      <c r="A234" s="43">
        <v>42522</v>
      </c>
      <c r="B234" s="38">
        <v>3.5</v>
      </c>
      <c r="C234">
        <f t="shared" si="7"/>
        <v>2016</v>
      </c>
      <c r="I234" s="43"/>
      <c r="J234" s="38"/>
    </row>
    <row r="235" spans="1:10">
      <c r="A235" s="43">
        <v>42552</v>
      </c>
      <c r="B235" s="38">
        <v>3.28</v>
      </c>
      <c r="C235">
        <f t="shared" si="7"/>
        <v>2016</v>
      </c>
      <c r="I235" s="43"/>
      <c r="J235" s="38"/>
    </row>
    <row r="236" spans="1:10">
      <c r="A236" s="43">
        <v>42583</v>
      </c>
      <c r="B236" s="38">
        <v>3.32</v>
      </c>
      <c r="C236">
        <f t="shared" si="7"/>
        <v>2016</v>
      </c>
      <c r="I236" s="43"/>
      <c r="J236" s="38"/>
    </row>
    <row r="237" spans="1:10">
      <c r="A237" s="43">
        <v>42614</v>
      </c>
      <c r="B237" s="38">
        <v>3.41</v>
      </c>
      <c r="C237">
        <f t="shared" si="7"/>
        <v>2016</v>
      </c>
      <c r="I237" s="43"/>
      <c r="J237" s="38"/>
    </row>
    <row r="238" spans="1:10">
      <c r="A238" s="43">
        <v>42644</v>
      </c>
      <c r="B238" s="38">
        <v>3.51</v>
      </c>
      <c r="C238">
        <f t="shared" si="7"/>
        <v>2016</v>
      </c>
      <c r="I238" s="43"/>
      <c r="J238" s="38"/>
    </row>
    <row r="239" spans="1:10">
      <c r="A239" s="43">
        <v>42675</v>
      </c>
      <c r="B239" s="38">
        <v>3.86</v>
      </c>
      <c r="C239">
        <f t="shared" si="7"/>
        <v>2016</v>
      </c>
      <c r="I239" s="43"/>
      <c r="J239" s="38"/>
    </row>
    <row r="240" spans="1:10">
      <c r="A240" s="43">
        <v>42705</v>
      </c>
      <c r="B240" s="38">
        <v>4.0599999999999996</v>
      </c>
      <c r="C240">
        <f t="shared" si="7"/>
        <v>2016</v>
      </c>
      <c r="I240" s="43"/>
      <c r="J240" s="38"/>
    </row>
    <row r="241" spans="1:10">
      <c r="A241" s="43">
        <v>42736</v>
      </c>
      <c r="B241" s="38">
        <v>3.92</v>
      </c>
      <c r="C241">
        <f t="shared" si="7"/>
        <v>2017</v>
      </c>
      <c r="I241" s="43"/>
      <c r="J241" s="38"/>
    </row>
    <row r="242" spans="1:10">
      <c r="A242" s="43">
        <v>42767</v>
      </c>
      <c r="B242" s="38">
        <v>3.95</v>
      </c>
      <c r="C242">
        <f t="shared" si="7"/>
        <v>2017</v>
      </c>
      <c r="I242" s="43"/>
      <c r="J242" s="38"/>
    </row>
    <row r="243" spans="1:10">
      <c r="A243" s="43">
        <v>42795</v>
      </c>
      <c r="B243" s="38">
        <v>4.01</v>
      </c>
      <c r="C243">
        <f t="shared" si="7"/>
        <v>2017</v>
      </c>
      <c r="I243" s="43"/>
      <c r="J243" s="38"/>
    </row>
    <row r="244" spans="1:10">
      <c r="A244" s="43">
        <v>42826</v>
      </c>
      <c r="B244" s="38">
        <v>3.87</v>
      </c>
      <c r="C244">
        <f t="shared" si="7"/>
        <v>2017</v>
      </c>
      <c r="I244" s="43"/>
      <c r="J244" s="38"/>
    </row>
    <row r="245" spans="1:10">
      <c r="A245" s="43">
        <v>42856</v>
      </c>
      <c r="B245" s="38">
        <v>3.85</v>
      </c>
      <c r="C245">
        <f t="shared" si="7"/>
        <v>2017</v>
      </c>
      <c r="I245" s="43"/>
      <c r="J245" s="38"/>
    </row>
    <row r="246" spans="1:10">
      <c r="A246" s="43">
        <v>42887</v>
      </c>
      <c r="B246" s="38">
        <v>3.68</v>
      </c>
      <c r="C246">
        <f t="shared" si="7"/>
        <v>2017</v>
      </c>
      <c r="I246" s="43"/>
      <c r="J246" s="38"/>
    </row>
    <row r="247" spans="1:10">
      <c r="A247" s="43">
        <v>42917</v>
      </c>
      <c r="B247" s="38">
        <v>3.7</v>
      </c>
      <c r="C247">
        <f t="shared" si="7"/>
        <v>2017</v>
      </c>
    </row>
    <row r="248" spans="1:10">
      <c r="A248" s="43">
        <v>42948</v>
      </c>
      <c r="B248" s="38">
        <v>3.63</v>
      </c>
      <c r="C248">
        <f t="shared" si="7"/>
        <v>2017</v>
      </c>
    </row>
    <row r="249" spans="1:10">
      <c r="A249" s="43">
        <v>42979</v>
      </c>
      <c r="B249" s="38">
        <v>3.63</v>
      </c>
      <c r="C249">
        <f t="shared" si="7"/>
        <v>2017</v>
      </c>
    </row>
    <row r="250" spans="1:10">
      <c r="A250" s="43">
        <v>43009</v>
      </c>
      <c r="B250" s="38">
        <v>3.6</v>
      </c>
      <c r="C250">
        <f t="shared" si="7"/>
        <v>2017</v>
      </c>
    </row>
    <row r="251" spans="1:10">
      <c r="A251" s="43">
        <v>43040</v>
      </c>
      <c r="B251" s="38">
        <v>3.57</v>
      </c>
      <c r="C251">
        <f t="shared" si="7"/>
        <v>2017</v>
      </c>
    </row>
    <row r="252" spans="1:10">
      <c r="A252" s="43">
        <v>43070</v>
      </c>
      <c r="B252" s="38">
        <v>3.51</v>
      </c>
      <c r="C252">
        <f t="shared" si="7"/>
        <v>2017</v>
      </c>
    </row>
    <row r="253" spans="1:10">
      <c r="A253" s="43">
        <v>43101</v>
      </c>
      <c r="B253" s="38">
        <v>3.55</v>
      </c>
      <c r="C253">
        <f t="shared" si="7"/>
        <v>2018</v>
      </c>
    </row>
    <row r="254" spans="1:10">
      <c r="A254" s="43">
        <v>43132</v>
      </c>
      <c r="B254" s="38">
        <v>3.82</v>
      </c>
      <c r="C254">
        <f t="shared" si="7"/>
        <v>2018</v>
      </c>
    </row>
    <row r="255" spans="1:10">
      <c r="A255" s="43">
        <v>43160</v>
      </c>
      <c r="B255" s="38">
        <v>3.87</v>
      </c>
      <c r="C255">
        <f t="shared" si="7"/>
        <v>2018</v>
      </c>
    </row>
    <row r="256" spans="1:10">
      <c r="A256" s="43">
        <v>43191</v>
      </c>
      <c r="B256" s="38">
        <v>3.85</v>
      </c>
      <c r="C256">
        <f t="shared" si="7"/>
        <v>2018</v>
      </c>
    </row>
    <row r="257" spans="1:3">
      <c r="A257" s="43">
        <v>43221</v>
      </c>
      <c r="B257" s="38">
        <v>4</v>
      </c>
      <c r="C257">
        <f t="shared" si="7"/>
        <v>2018</v>
      </c>
    </row>
    <row r="258" spans="1:3">
      <c r="A258" s="43">
        <v>43252</v>
      </c>
      <c r="B258" s="38">
        <v>3.96</v>
      </c>
      <c r="C258">
        <f t="shared" si="7"/>
        <v>2018</v>
      </c>
    </row>
    <row r="259" spans="1:3">
      <c r="A259" s="43">
        <v>43282</v>
      </c>
      <c r="B259" s="38">
        <v>3.87</v>
      </c>
      <c r="C259">
        <f t="shared" si="7"/>
        <v>2018</v>
      </c>
    </row>
    <row r="260" spans="1:3">
      <c r="A260" s="43">
        <v>43313</v>
      </c>
      <c r="B260" s="38">
        <v>3.88</v>
      </c>
      <c r="C260">
        <f t="shared" si="7"/>
        <v>2018</v>
      </c>
    </row>
    <row r="261" spans="1:3">
      <c r="A261" s="43">
        <v>43344</v>
      </c>
      <c r="B261" s="38">
        <v>3.98</v>
      </c>
      <c r="C261">
        <f t="shared" si="7"/>
        <v>2018</v>
      </c>
    </row>
    <row r="262" spans="1:3">
      <c r="A262" s="43">
        <v>43374</v>
      </c>
      <c r="B262" s="38">
        <v>4.1399999999999997</v>
      </c>
      <c r="C262">
        <f t="shared" si="7"/>
        <v>2018</v>
      </c>
    </row>
    <row r="263" spans="1:3">
      <c r="A263" s="43">
        <v>43405</v>
      </c>
      <c r="B263" s="38">
        <v>4.22</v>
      </c>
      <c r="C263">
        <f t="shared" si="7"/>
        <v>2018</v>
      </c>
    </row>
    <row r="264" spans="1:3">
      <c r="A264" s="43">
        <v>43435</v>
      </c>
      <c r="B264" s="38">
        <v>4.0199999999999996</v>
      </c>
      <c r="C264">
        <f t="shared" si="7"/>
        <v>2018</v>
      </c>
    </row>
    <row r="265" spans="1:3">
      <c r="A265" s="43">
        <v>43466</v>
      </c>
      <c r="B265" s="38">
        <v>3.93</v>
      </c>
      <c r="C265">
        <f t="shared" si="7"/>
        <v>2019</v>
      </c>
    </row>
    <row r="266" spans="1:3">
      <c r="A266" s="43">
        <v>43497</v>
      </c>
      <c r="B266" s="38">
        <v>3.79</v>
      </c>
      <c r="C266">
        <f t="shared" si="7"/>
        <v>2019</v>
      </c>
    </row>
    <row r="267" spans="1:3">
      <c r="A267" s="43">
        <v>43525</v>
      </c>
      <c r="B267" s="38">
        <v>3.77</v>
      </c>
      <c r="C267">
        <f t="shared" si="7"/>
        <v>2019</v>
      </c>
    </row>
    <row r="268" spans="1:3">
      <c r="A268" s="43">
        <v>43556</v>
      </c>
      <c r="B268" s="38">
        <v>3.69</v>
      </c>
      <c r="C268">
        <f t="shared" si="7"/>
        <v>2019</v>
      </c>
    </row>
    <row r="269" spans="1:3">
      <c r="A269" s="43">
        <v>43586</v>
      </c>
      <c r="B269" s="38">
        <v>3.67</v>
      </c>
      <c r="C269">
        <f t="shared" si="7"/>
        <v>2019</v>
      </c>
    </row>
    <row r="270" spans="1:3">
      <c r="A270" s="43">
        <v>43617</v>
      </c>
      <c r="B270" s="38">
        <v>3.42</v>
      </c>
      <c r="C270">
        <f t="shared" si="7"/>
        <v>2019</v>
      </c>
    </row>
    <row r="271" spans="1:3">
      <c r="A271" s="43">
        <v>43647</v>
      </c>
      <c r="B271" s="38">
        <v>3.29</v>
      </c>
      <c r="C271">
        <f t="shared" ref="C271:C288" si="8">YEAR(A271)</f>
        <v>2019</v>
      </c>
    </row>
    <row r="272" spans="1:3">
      <c r="A272" s="43">
        <v>43678</v>
      </c>
      <c r="B272" s="38">
        <v>2.98</v>
      </c>
      <c r="C272">
        <f t="shared" si="8"/>
        <v>2019</v>
      </c>
    </row>
    <row r="273" spans="1:3">
      <c r="A273" s="43">
        <v>43709</v>
      </c>
      <c r="B273" s="38">
        <v>3.03</v>
      </c>
      <c r="C273">
        <f t="shared" si="8"/>
        <v>2019</v>
      </c>
    </row>
    <row r="274" spans="1:3">
      <c r="A274" s="43">
        <v>43739</v>
      </c>
      <c r="B274" s="38">
        <v>3.01</v>
      </c>
      <c r="C274">
        <f t="shared" si="8"/>
        <v>2019</v>
      </c>
    </row>
    <row r="275" spans="1:3">
      <c r="A275" s="43">
        <v>43770</v>
      </c>
      <c r="B275" s="38">
        <v>3.06</v>
      </c>
      <c r="C275">
        <f t="shared" si="8"/>
        <v>2019</v>
      </c>
    </row>
    <row r="276" spans="1:3">
      <c r="A276" s="43">
        <v>43800</v>
      </c>
      <c r="B276" s="38">
        <v>3.01</v>
      </c>
      <c r="C276">
        <f t="shared" si="8"/>
        <v>2019</v>
      </c>
    </row>
    <row r="277" spans="1:3">
      <c r="A277" s="43">
        <v>43831</v>
      </c>
      <c r="B277" s="38">
        <v>2.94</v>
      </c>
      <c r="C277">
        <f t="shared" si="8"/>
        <v>2020</v>
      </c>
    </row>
    <row r="278" spans="1:3">
      <c r="A278" s="43">
        <v>43862</v>
      </c>
      <c r="B278" s="38">
        <v>2.78</v>
      </c>
      <c r="C278">
        <f t="shared" si="8"/>
        <v>2020</v>
      </c>
    </row>
    <row r="279" spans="1:3">
      <c r="A279" s="43">
        <v>43891</v>
      </c>
      <c r="B279" s="38">
        <v>3.02</v>
      </c>
      <c r="C279">
        <f t="shared" si="8"/>
        <v>2020</v>
      </c>
    </row>
    <row r="280" spans="1:3">
      <c r="A280" s="43">
        <v>43922</v>
      </c>
      <c r="B280" s="38">
        <v>2.4300000000000002</v>
      </c>
      <c r="C280">
        <f t="shared" si="8"/>
        <v>2020</v>
      </c>
    </row>
    <row r="281" spans="1:3">
      <c r="A281" s="43">
        <v>43952</v>
      </c>
      <c r="B281" s="38">
        <v>2.5</v>
      </c>
      <c r="C281">
        <f t="shared" si="8"/>
        <v>2020</v>
      </c>
    </row>
    <row r="282" spans="1:3">
      <c r="A282" s="43">
        <v>43983</v>
      </c>
      <c r="B282" s="38">
        <v>2.44</v>
      </c>
      <c r="C282">
        <f t="shared" si="8"/>
        <v>2020</v>
      </c>
    </row>
    <row r="283" spans="1:3">
      <c r="A283" s="43">
        <v>44013</v>
      </c>
      <c r="B283" s="38">
        <v>2.14</v>
      </c>
      <c r="C283">
        <f t="shared" si="8"/>
        <v>2020</v>
      </c>
    </row>
    <row r="284" spans="1:3">
      <c r="A284" s="43">
        <v>44044</v>
      </c>
      <c r="B284" s="38">
        <v>2.25</v>
      </c>
      <c r="C284">
        <f t="shared" si="8"/>
        <v>2020</v>
      </c>
    </row>
    <row r="285" spans="1:3">
      <c r="A285" s="43">
        <v>44075</v>
      </c>
      <c r="B285" s="38">
        <v>2.31</v>
      </c>
      <c r="C285">
        <f t="shared" si="8"/>
        <v>2020</v>
      </c>
    </row>
    <row r="286" spans="1:3">
      <c r="A286" s="43">
        <v>44105</v>
      </c>
      <c r="B286" s="38">
        <v>2.35</v>
      </c>
      <c r="C286">
        <f t="shared" si="8"/>
        <v>2020</v>
      </c>
    </row>
    <row r="287" spans="1:3">
      <c r="A287" s="43">
        <v>44136</v>
      </c>
      <c r="B287" s="38">
        <v>2.2999999999999998</v>
      </c>
      <c r="C287">
        <f t="shared" si="8"/>
        <v>2020</v>
      </c>
    </row>
    <row r="288" spans="1:3">
      <c r="A288" s="43">
        <v>44166</v>
      </c>
      <c r="B288" s="38">
        <v>2.2599999999999998</v>
      </c>
      <c r="C288">
        <f t="shared" si="8"/>
        <v>2020</v>
      </c>
    </row>
    <row r="289" spans="1:3">
      <c r="A289" s="43">
        <v>44197</v>
      </c>
      <c r="B289" s="38">
        <v>2.4500000000000002</v>
      </c>
      <c r="C289">
        <v>2021</v>
      </c>
    </row>
    <row r="290" spans="1:3">
      <c r="A290" s="43">
        <v>44228</v>
      </c>
      <c r="B290" s="38">
        <v>2.7</v>
      </c>
      <c r="C290">
        <v>2021</v>
      </c>
    </row>
    <row r="291" spans="1:3">
      <c r="A291" s="43">
        <v>44256</v>
      </c>
      <c r="B291" s="38">
        <v>3.04</v>
      </c>
      <c r="C291">
        <v>2021</v>
      </c>
    </row>
    <row r="292" spans="1:3">
      <c r="A292" s="43">
        <v>44287</v>
      </c>
      <c r="B292" s="38">
        <v>2.9</v>
      </c>
      <c r="C292">
        <v>2021</v>
      </c>
    </row>
    <row r="293" spans="1:3">
      <c r="A293" s="43">
        <v>44317</v>
      </c>
      <c r="B293" s="38">
        <v>2.96</v>
      </c>
      <c r="C293">
        <v>2021</v>
      </c>
    </row>
    <row r="294" spans="1:3">
      <c r="A294" s="43">
        <v>44348</v>
      </c>
      <c r="B294" s="38">
        <v>2.79</v>
      </c>
      <c r="C294">
        <v>2021</v>
      </c>
    </row>
    <row r="295" spans="1:3">
      <c r="A295" s="43">
        <v>44378</v>
      </c>
      <c r="B295" s="38">
        <v>2.57</v>
      </c>
      <c r="C295">
        <v>2021</v>
      </c>
    </row>
    <row r="296" spans="1:3">
      <c r="A296" s="43">
        <v>44409</v>
      </c>
      <c r="B296" s="38">
        <v>2.5499999999999998</v>
      </c>
      <c r="C296">
        <v>2021</v>
      </c>
    </row>
    <row r="297" spans="1:3">
      <c r="A297" s="43">
        <v>44440</v>
      </c>
      <c r="B297" s="38">
        <v>2.5299999999999998</v>
      </c>
      <c r="C297">
        <v>2021</v>
      </c>
    </row>
    <row r="298" spans="1:3">
      <c r="A298" s="43">
        <v>44470</v>
      </c>
      <c r="B298" s="38">
        <v>2.68</v>
      </c>
      <c r="C298">
        <v>2021</v>
      </c>
    </row>
    <row r="299" spans="1:3">
      <c r="A299" s="43">
        <v>44501</v>
      </c>
      <c r="B299" s="38">
        <v>2.62</v>
      </c>
      <c r="C299">
        <v>2021</v>
      </c>
    </row>
    <row r="300" spans="1:3">
      <c r="A300" s="43">
        <v>44531</v>
      </c>
      <c r="B300" s="38">
        <v>2.65</v>
      </c>
      <c r="C300">
        <v>2021</v>
      </c>
    </row>
    <row r="301" spans="1:3">
      <c r="A301" s="43">
        <v>44562</v>
      </c>
      <c r="B301" s="38">
        <v>2.93</v>
      </c>
      <c r="C301">
        <v>2022</v>
      </c>
    </row>
    <row r="302" spans="1:3">
      <c r="A302" s="43">
        <v>44593</v>
      </c>
      <c r="B302" s="38">
        <v>3.25</v>
      </c>
      <c r="C302">
        <v>2022</v>
      </c>
    </row>
    <row r="303" spans="1:3">
      <c r="A303" s="43">
        <v>44621</v>
      </c>
      <c r="B303" s="38">
        <v>3.43</v>
      </c>
      <c r="C303">
        <v>2022</v>
      </c>
    </row>
    <row r="304" spans="1:3">
      <c r="A304" s="43">
        <v>44652</v>
      </c>
      <c r="B304" s="38">
        <v>3.76</v>
      </c>
      <c r="C304">
        <v>2022</v>
      </c>
    </row>
    <row r="305" spans="1:3">
      <c r="A305" s="43">
        <v>44682</v>
      </c>
      <c r="B305" s="38">
        <v>4.13</v>
      </c>
      <c r="C305">
        <v>2022</v>
      </c>
    </row>
    <row r="306" spans="1:3">
      <c r="A306" s="43">
        <v>44713</v>
      </c>
      <c r="B306" s="38">
        <v>4.24</v>
      </c>
      <c r="C306">
        <v>2022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C3F0E-BBE2-4024-8F48-850BBBA09B66}">
  <dimension ref="A1:DC111"/>
  <sheetViews>
    <sheetView workbookViewId="0"/>
  </sheetViews>
  <sheetFormatPr defaultRowHeight="14.45"/>
  <sheetData>
    <row r="1" spans="1:107">
      <c r="F1" t="s">
        <v>487</v>
      </c>
    </row>
    <row r="2" spans="1:107">
      <c r="H2">
        <v>1930</v>
      </c>
      <c r="I2">
        <v>1931</v>
      </c>
      <c r="J2">
        <v>1932</v>
      </c>
      <c r="K2">
        <v>1933</v>
      </c>
      <c r="L2">
        <v>1934</v>
      </c>
      <c r="M2">
        <v>1935</v>
      </c>
      <c r="N2">
        <v>1936</v>
      </c>
      <c r="O2">
        <v>1937</v>
      </c>
      <c r="P2">
        <v>1938</v>
      </c>
      <c r="Q2">
        <v>1939</v>
      </c>
      <c r="R2">
        <v>1940</v>
      </c>
      <c r="S2">
        <v>1941</v>
      </c>
      <c r="T2">
        <v>1942</v>
      </c>
      <c r="U2">
        <v>1943</v>
      </c>
      <c r="V2">
        <v>1944</v>
      </c>
      <c r="W2">
        <v>1945</v>
      </c>
      <c r="X2">
        <v>1946</v>
      </c>
      <c r="Y2">
        <v>1947</v>
      </c>
      <c r="Z2">
        <v>1948</v>
      </c>
      <c r="AA2">
        <v>1949</v>
      </c>
      <c r="AB2">
        <v>1950</v>
      </c>
      <c r="AC2">
        <v>1951</v>
      </c>
      <c r="AD2">
        <v>1952</v>
      </c>
      <c r="AE2">
        <v>1953</v>
      </c>
      <c r="AF2">
        <v>1954</v>
      </c>
      <c r="AG2">
        <v>1955</v>
      </c>
      <c r="AH2">
        <v>1956</v>
      </c>
      <c r="AI2">
        <v>1957</v>
      </c>
      <c r="AJ2">
        <v>1958</v>
      </c>
      <c r="AK2">
        <v>1959</v>
      </c>
      <c r="AL2">
        <v>1960</v>
      </c>
      <c r="AM2">
        <v>1961</v>
      </c>
      <c r="AN2">
        <v>1962</v>
      </c>
      <c r="AO2">
        <v>1963</v>
      </c>
      <c r="AP2">
        <v>1964</v>
      </c>
      <c r="AQ2">
        <v>1965</v>
      </c>
      <c r="AR2">
        <v>1966</v>
      </c>
      <c r="AS2">
        <v>1967</v>
      </c>
      <c r="AT2">
        <v>1968</v>
      </c>
      <c r="AU2">
        <v>1969</v>
      </c>
      <c r="AV2">
        <v>1970</v>
      </c>
      <c r="AW2">
        <v>1971</v>
      </c>
      <c r="AX2">
        <v>1972</v>
      </c>
      <c r="AY2">
        <v>1973</v>
      </c>
      <c r="AZ2">
        <v>1974</v>
      </c>
      <c r="BA2">
        <v>1975</v>
      </c>
      <c r="BB2">
        <v>1976</v>
      </c>
      <c r="BC2">
        <v>1977</v>
      </c>
      <c r="BD2">
        <v>1978</v>
      </c>
      <c r="BE2">
        <v>1979</v>
      </c>
      <c r="BF2">
        <v>1980</v>
      </c>
      <c r="BG2">
        <v>1981</v>
      </c>
      <c r="BH2">
        <v>1982</v>
      </c>
      <c r="BI2">
        <v>1983</v>
      </c>
      <c r="BJ2">
        <v>1984</v>
      </c>
      <c r="BK2">
        <v>1985</v>
      </c>
      <c r="BL2">
        <v>1986</v>
      </c>
      <c r="BM2">
        <v>1987</v>
      </c>
      <c r="BN2">
        <v>1988</v>
      </c>
      <c r="BO2">
        <v>1989</v>
      </c>
      <c r="BP2">
        <v>1990</v>
      </c>
      <c r="BQ2">
        <v>1991</v>
      </c>
      <c r="BR2">
        <v>1992</v>
      </c>
      <c r="BS2">
        <v>1993</v>
      </c>
      <c r="BT2">
        <v>1994</v>
      </c>
      <c r="BU2">
        <v>1995</v>
      </c>
      <c r="BV2">
        <v>1996</v>
      </c>
      <c r="BW2">
        <v>1997</v>
      </c>
      <c r="BX2">
        <v>1998</v>
      </c>
      <c r="BY2">
        <v>1999</v>
      </c>
      <c r="BZ2">
        <v>2000</v>
      </c>
      <c r="CA2">
        <v>2001</v>
      </c>
      <c r="CB2">
        <v>2002</v>
      </c>
      <c r="CC2">
        <v>2003</v>
      </c>
      <c r="CD2">
        <v>2004</v>
      </c>
      <c r="CE2">
        <v>2005</v>
      </c>
      <c r="CF2">
        <v>2006</v>
      </c>
      <c r="CG2">
        <v>2007</v>
      </c>
      <c r="CH2">
        <v>2008</v>
      </c>
      <c r="CI2">
        <v>2009</v>
      </c>
      <c r="CJ2">
        <v>2010</v>
      </c>
      <c r="CK2">
        <v>2011</v>
      </c>
      <c r="CL2">
        <v>2012</v>
      </c>
      <c r="CM2">
        <v>2013</v>
      </c>
      <c r="CN2">
        <v>2014</v>
      </c>
      <c r="CO2">
        <v>2015</v>
      </c>
      <c r="CP2">
        <v>2016</v>
      </c>
      <c r="CQ2">
        <v>2017</v>
      </c>
      <c r="CR2">
        <v>2018</v>
      </c>
      <c r="CS2">
        <v>2019</v>
      </c>
      <c r="CT2">
        <v>2020</v>
      </c>
      <c r="CU2">
        <v>2021</v>
      </c>
      <c r="DC2" t="s">
        <v>488</v>
      </c>
    </row>
    <row r="4" spans="1:107">
      <c r="A4" t="s">
        <v>489</v>
      </c>
      <c r="F4" t="s">
        <v>490</v>
      </c>
      <c r="H4">
        <v>17.95213556634625</v>
      </c>
      <c r="I4">
        <v>17.449608562085025</v>
      </c>
      <c r="J4">
        <v>16.231295213556635</v>
      </c>
      <c r="K4">
        <v>15.546625706074719</v>
      </c>
      <c r="L4">
        <v>16.312159349915763</v>
      </c>
      <c r="M4">
        <v>16.571895748686948</v>
      </c>
      <c r="N4">
        <v>16.810920622336734</v>
      </c>
      <c r="O4">
        <v>17.854325636705976</v>
      </c>
      <c r="P4">
        <v>18.141115845803192</v>
      </c>
      <c r="Q4">
        <v>18.49281538004162</v>
      </c>
      <c r="R4">
        <v>19.530670894856804</v>
      </c>
      <c r="S4">
        <v>19.863442671687643</v>
      </c>
      <c r="T4">
        <v>20.531067287682092</v>
      </c>
      <c r="U4">
        <v>20.685858685957783</v>
      </c>
      <c r="V4">
        <v>20.685858685957783</v>
      </c>
      <c r="W4">
        <v>21.028044792389259</v>
      </c>
      <c r="X4">
        <v>23.699336042017642</v>
      </c>
      <c r="Y4">
        <v>27.305618868298485</v>
      </c>
      <c r="Z4">
        <v>30.171043504112575</v>
      </c>
      <c r="AA4">
        <v>32.062828262808445</v>
      </c>
      <c r="AB4">
        <v>33.189376672282229</v>
      </c>
      <c r="AC4">
        <v>35.617877316420575</v>
      </c>
      <c r="AD4">
        <v>36.317510653057177</v>
      </c>
      <c r="AE4">
        <v>40.401149539193334</v>
      </c>
      <c r="AF4">
        <v>42.135764542661775</v>
      </c>
      <c r="AG4">
        <v>43.60311168367852</v>
      </c>
      <c r="AH4">
        <v>47.094341492418991</v>
      </c>
      <c r="AI4">
        <v>50.028936676246175</v>
      </c>
      <c r="AJ4">
        <v>52.541274402933297</v>
      </c>
      <c r="AK4">
        <v>54.297096422554752</v>
      </c>
      <c r="AL4">
        <v>55.504905361212955</v>
      </c>
      <c r="AM4">
        <v>56.567931820434055</v>
      </c>
      <c r="AN4">
        <v>62.036666336339323</v>
      </c>
      <c r="AO4">
        <v>62.83668615598058</v>
      </c>
      <c r="AP4">
        <v>64.145872559706689</v>
      </c>
      <c r="AQ4">
        <v>65.585868595778408</v>
      </c>
      <c r="AR4">
        <v>67.671390347834702</v>
      </c>
      <c r="AS4">
        <v>69.87414527797047</v>
      </c>
      <c r="AT4">
        <v>72.049350906748586</v>
      </c>
      <c r="AU4">
        <v>75.714498067584969</v>
      </c>
      <c r="AV4">
        <v>81.56743632940244</v>
      </c>
      <c r="AW4">
        <v>90.282826280844318</v>
      </c>
      <c r="AX4">
        <v>97.101872956099484</v>
      </c>
      <c r="AY4">
        <v>100</v>
      </c>
      <c r="AZ4">
        <v>115.45476166881377</v>
      </c>
      <c r="BA4">
        <v>129.27489842433852</v>
      </c>
      <c r="BB4">
        <v>137.90952333762758</v>
      </c>
      <c r="BC4">
        <v>146.91368546229316</v>
      </c>
      <c r="BD4">
        <v>157.81230799722525</v>
      </c>
      <c r="BE4">
        <v>170.38747398672083</v>
      </c>
      <c r="BF4">
        <v>185.66633633931227</v>
      </c>
      <c r="BG4">
        <v>202.92934297889207</v>
      </c>
      <c r="BH4">
        <v>217.65860667921908</v>
      </c>
      <c r="BI4">
        <v>224.92646913090877</v>
      </c>
      <c r="BJ4">
        <v>233.10781884847887</v>
      </c>
      <c r="BK4">
        <v>238.48558121098011</v>
      </c>
      <c r="BL4">
        <v>237.23010603508075</v>
      </c>
      <c r="BM4">
        <v>244.30175403825191</v>
      </c>
      <c r="BN4">
        <v>260.52301555841848</v>
      </c>
      <c r="BO4">
        <v>275.9057576057873</v>
      </c>
      <c r="BP4">
        <v>282.436081656922</v>
      </c>
      <c r="BQ4">
        <v>290.7689525319592</v>
      </c>
      <c r="BR4">
        <v>299.76382419978199</v>
      </c>
      <c r="BS4">
        <v>308.65957288673076</v>
      </c>
      <c r="BT4">
        <v>321.01595481121791</v>
      </c>
      <c r="BU4">
        <v>327.58606679219105</v>
      </c>
      <c r="BV4">
        <v>332.61292240610447</v>
      </c>
      <c r="BW4">
        <v>341.10667921910613</v>
      </c>
      <c r="BX4">
        <v>347.36765434545634</v>
      </c>
      <c r="BY4">
        <v>354.5019076404717</v>
      </c>
      <c r="BZ4">
        <v>367.40657516598947</v>
      </c>
      <c r="CA4">
        <v>376.62196511743139</v>
      </c>
      <c r="CB4">
        <v>384.80685759587755</v>
      </c>
      <c r="CC4">
        <v>392.97819839460908</v>
      </c>
      <c r="CD4">
        <v>439.44807253988705</v>
      </c>
      <c r="CE4">
        <v>489.94896442374392</v>
      </c>
      <c r="CF4">
        <v>519.60152611237731</v>
      </c>
      <c r="CG4">
        <v>523.56773354951429</v>
      </c>
      <c r="CH4">
        <v>597.40580715489045</v>
      </c>
      <c r="CI4">
        <v>586.04251313051225</v>
      </c>
      <c r="CJ4">
        <v>601.99187394708144</v>
      </c>
      <c r="CK4">
        <v>646.50768011099012</v>
      </c>
      <c r="CL4">
        <v>699.425329501536</v>
      </c>
      <c r="CM4">
        <v>694.30908730551982</v>
      </c>
      <c r="CN4">
        <v>718.75780398374786</v>
      </c>
      <c r="CO4">
        <v>714.33326726786242</v>
      </c>
      <c r="CP4">
        <v>714.30363690417209</v>
      </c>
      <c r="CQ4">
        <v>751.66812010702608</v>
      </c>
      <c r="CR4">
        <v>794.06926964621948</v>
      </c>
      <c r="CS4">
        <v>811.83956000396381</v>
      </c>
      <c r="CT4">
        <v>846.56149043702305</v>
      </c>
      <c r="CU4">
        <v>952.86681201070246</v>
      </c>
    </row>
    <row r="6" spans="1:107">
      <c r="F6" t="s">
        <v>491</v>
      </c>
      <c r="H6">
        <v>17.694124107633169</v>
      </c>
      <c r="I6">
        <v>17.381987918725976</v>
      </c>
      <c r="J6">
        <v>16.538165842943439</v>
      </c>
      <c r="K6">
        <v>15.902251510159253</v>
      </c>
      <c r="L6">
        <v>16.575837451949479</v>
      </c>
      <c r="M6">
        <v>16.598023064250413</v>
      </c>
      <c r="N6">
        <v>16.633498077979134</v>
      </c>
      <c r="O6">
        <v>17.754640307523339</v>
      </c>
      <c r="P6">
        <v>18.035584843492583</v>
      </c>
      <c r="Q6">
        <v>18.315980230642502</v>
      </c>
      <c r="R6">
        <v>18.884129599121358</v>
      </c>
      <c r="S6">
        <v>20.06875343218012</v>
      </c>
      <c r="T6">
        <v>21.004832509610104</v>
      </c>
      <c r="U6">
        <v>21.178034047226795</v>
      </c>
      <c r="V6">
        <v>21.516639209225698</v>
      </c>
      <c r="W6">
        <v>21.867984623833056</v>
      </c>
      <c r="X6">
        <v>24.628995057660624</v>
      </c>
      <c r="Y6">
        <v>28.433607907742999</v>
      </c>
      <c r="Z6">
        <v>31.603404722679841</v>
      </c>
      <c r="AA6">
        <v>33.427567270730364</v>
      </c>
      <c r="AB6">
        <v>34.302580999450846</v>
      </c>
      <c r="AC6">
        <v>36.715540911587041</v>
      </c>
      <c r="AD6">
        <v>37.68555738605162</v>
      </c>
      <c r="AE6">
        <v>41.630422844590889</v>
      </c>
      <c r="AF6">
        <v>43.088852278967607</v>
      </c>
      <c r="AG6">
        <v>44.54080175727622</v>
      </c>
      <c r="AH6">
        <v>48.129599121361885</v>
      </c>
      <c r="AI6">
        <v>51.148819330038435</v>
      </c>
      <c r="AJ6">
        <v>53.599670510708407</v>
      </c>
      <c r="AK6">
        <v>55.441735310269081</v>
      </c>
      <c r="AL6">
        <v>56.696540362438228</v>
      </c>
      <c r="AM6">
        <v>57.802526084568925</v>
      </c>
      <c r="AN6">
        <v>63.259417902251514</v>
      </c>
      <c r="AO6">
        <v>64.542449203734222</v>
      </c>
      <c r="AP6">
        <v>65.392531576057124</v>
      </c>
      <c r="AQ6">
        <v>66.674354750137297</v>
      </c>
      <c r="AR6">
        <v>68.678308621636461</v>
      </c>
      <c r="AS6">
        <v>70.371004942339368</v>
      </c>
      <c r="AT6">
        <v>72.633827567270728</v>
      </c>
      <c r="AU6">
        <v>76.696650192202085</v>
      </c>
      <c r="AV6">
        <v>82.550466776496435</v>
      </c>
      <c r="AW6">
        <v>89.780450302031852</v>
      </c>
      <c r="AX6">
        <v>96.103789126853357</v>
      </c>
      <c r="AY6">
        <v>99.999999999999986</v>
      </c>
      <c r="AZ6">
        <v>116.47248764415157</v>
      </c>
      <c r="BA6">
        <v>132.30675453047778</v>
      </c>
      <c r="BB6">
        <v>140.69028006589787</v>
      </c>
      <c r="BC6">
        <v>149.58099945085115</v>
      </c>
      <c r="BD6">
        <v>162.04239428885228</v>
      </c>
      <c r="BE6">
        <v>174.93629873695775</v>
      </c>
      <c r="BF6">
        <v>190.70752333882481</v>
      </c>
      <c r="BG6">
        <v>210.03404722679846</v>
      </c>
      <c r="BH6">
        <v>220.81021416803952</v>
      </c>
      <c r="BI6">
        <v>225.72421746293242</v>
      </c>
      <c r="BJ6">
        <v>230.07479406919276</v>
      </c>
      <c r="BK6">
        <v>231.67830862163646</v>
      </c>
      <c r="BL6">
        <v>226.82449203734211</v>
      </c>
      <c r="BM6">
        <v>231.35354200988471</v>
      </c>
      <c r="BN6">
        <v>245.54785831960461</v>
      </c>
      <c r="BO6">
        <v>257.4119439868204</v>
      </c>
      <c r="BP6">
        <v>261.7685886875343</v>
      </c>
      <c r="BQ6">
        <v>265.99582646897306</v>
      </c>
      <c r="BR6">
        <v>271.37564524986271</v>
      </c>
      <c r="BS6">
        <v>278.08429434376711</v>
      </c>
      <c r="BT6">
        <v>290.82182866556838</v>
      </c>
      <c r="BU6">
        <v>294.76301482701814</v>
      </c>
      <c r="BV6">
        <v>297.99085667215815</v>
      </c>
      <c r="BW6">
        <v>304.8665842943438</v>
      </c>
      <c r="BX6">
        <v>310.41177924217465</v>
      </c>
      <c r="BY6">
        <v>316.7927237781438</v>
      </c>
      <c r="BZ6">
        <v>327.90826468973091</v>
      </c>
      <c r="CA6">
        <v>333.96507413509062</v>
      </c>
      <c r="CB6">
        <v>340.52990115321251</v>
      </c>
      <c r="CC6">
        <v>346.75291048874249</v>
      </c>
      <c r="CD6">
        <v>393.84305326743549</v>
      </c>
      <c r="CE6">
        <v>446.69291598023062</v>
      </c>
      <c r="CF6">
        <v>476.62174629324545</v>
      </c>
      <c r="CG6">
        <v>479.08937773699267</v>
      </c>
      <c r="CH6">
        <v>545.09994508511807</v>
      </c>
      <c r="CI6">
        <v>525.14629324546945</v>
      </c>
      <c r="CJ6">
        <v>540.29181768259195</v>
      </c>
      <c r="CK6">
        <v>577.98418451400323</v>
      </c>
      <c r="CL6">
        <v>638.18780889621075</v>
      </c>
      <c r="CM6">
        <v>630.2460186710598</v>
      </c>
      <c r="CN6">
        <v>649.93234486545862</v>
      </c>
      <c r="CO6">
        <v>636.58528281164195</v>
      </c>
      <c r="CP6">
        <v>629.31532125205922</v>
      </c>
      <c r="CQ6">
        <v>672.31707852828117</v>
      </c>
      <c r="CR6">
        <v>718.30697419000535</v>
      </c>
      <c r="CS6">
        <v>739.58714991762781</v>
      </c>
      <c r="CT6">
        <v>790.94157056562324</v>
      </c>
      <c r="CU6">
        <v>911.70752333882479</v>
      </c>
      <c r="DC6">
        <v>1.9422619243152</v>
      </c>
    </row>
    <row r="8" spans="1:107">
      <c r="A8" t="s">
        <v>492</v>
      </c>
      <c r="F8" t="s">
        <v>493</v>
      </c>
      <c r="H8">
        <v>18.427205653122723</v>
      </c>
      <c r="I8">
        <v>18.259482489868027</v>
      </c>
      <c r="J8">
        <v>17.042918008936923</v>
      </c>
      <c r="K8">
        <v>16.68772731996259</v>
      </c>
      <c r="L8">
        <v>16.845370466590463</v>
      </c>
      <c r="M8">
        <v>17.01870518549309</v>
      </c>
      <c r="N8">
        <v>17.369531331185701</v>
      </c>
      <c r="O8">
        <v>18.886417956978075</v>
      </c>
      <c r="P8">
        <v>19.097474799958434</v>
      </c>
      <c r="Q8">
        <v>19.17063285877585</v>
      </c>
      <c r="R8">
        <v>19.942741348851712</v>
      </c>
      <c r="S8">
        <v>20.176244414423778</v>
      </c>
      <c r="T8">
        <v>20.761924555751847</v>
      </c>
      <c r="U8">
        <v>20.958952509612384</v>
      </c>
      <c r="V8">
        <v>21.093733762859813</v>
      </c>
      <c r="W8">
        <v>21.4954795801725</v>
      </c>
      <c r="X8">
        <v>23.907928920295127</v>
      </c>
      <c r="Y8">
        <v>28.052166683986286</v>
      </c>
      <c r="Z8">
        <v>30.900550763795071</v>
      </c>
      <c r="AA8">
        <v>32.865010911358205</v>
      </c>
      <c r="AB8">
        <v>33.984931933908342</v>
      </c>
      <c r="AC8">
        <v>36.599605112750702</v>
      </c>
      <c r="AD8">
        <v>37.631196092694587</v>
      </c>
      <c r="AE8">
        <v>41.675153278603339</v>
      </c>
      <c r="AF8">
        <v>43.325781980671309</v>
      </c>
      <c r="AG8">
        <v>44.704561986906377</v>
      </c>
      <c r="AH8">
        <v>48.313519692403617</v>
      </c>
      <c r="AI8">
        <v>51.397069520939425</v>
      </c>
      <c r="AJ8">
        <v>53.52925283175724</v>
      </c>
      <c r="AK8">
        <v>55.359035643770135</v>
      </c>
      <c r="AL8">
        <v>56.558661540060271</v>
      </c>
      <c r="AM8">
        <v>57.534448716616438</v>
      </c>
      <c r="AN8">
        <v>62.854930894731368</v>
      </c>
      <c r="AO8">
        <v>63.929439883612176</v>
      </c>
      <c r="AP8">
        <v>65.23506183102981</v>
      </c>
      <c r="AQ8">
        <v>66.448924451834159</v>
      </c>
      <c r="AR8">
        <v>68.266341057882158</v>
      </c>
      <c r="AS8">
        <v>70.36786864803075</v>
      </c>
      <c r="AT8">
        <v>72.789254910111183</v>
      </c>
      <c r="AU8">
        <v>77.483840798087911</v>
      </c>
      <c r="AV8">
        <v>83.948768575288369</v>
      </c>
      <c r="AW8">
        <v>91.145380858360184</v>
      </c>
      <c r="AX8">
        <v>95.991478748830929</v>
      </c>
      <c r="AY8">
        <v>100.00000000000001</v>
      </c>
      <c r="AZ8">
        <v>115.80598565935777</v>
      </c>
      <c r="BA8">
        <v>130.05341369635246</v>
      </c>
      <c r="BB8">
        <v>138.02327756416918</v>
      </c>
      <c r="BC8">
        <v>146.23433440714953</v>
      </c>
      <c r="BD8">
        <v>159.07741868440192</v>
      </c>
      <c r="BE8">
        <v>172.46596695417227</v>
      </c>
      <c r="BF8">
        <v>187.34033045827704</v>
      </c>
      <c r="BG8">
        <v>204.93214174373898</v>
      </c>
      <c r="BH8">
        <v>220.25605320586095</v>
      </c>
      <c r="BI8">
        <v>225.91645017146419</v>
      </c>
      <c r="BJ8">
        <v>232.12283071807127</v>
      </c>
      <c r="BK8">
        <v>235.93900031175309</v>
      </c>
      <c r="BL8">
        <v>233.59804634729295</v>
      </c>
      <c r="BM8">
        <v>241.30302400498806</v>
      </c>
      <c r="BN8">
        <v>256.3142211368596</v>
      </c>
      <c r="BO8">
        <v>267.84789047074725</v>
      </c>
      <c r="BP8">
        <v>273.3386937545464</v>
      </c>
      <c r="BQ8">
        <v>278.57105372544942</v>
      </c>
      <c r="BR8">
        <v>285.56128546191417</v>
      </c>
      <c r="BS8">
        <v>292.56679309986487</v>
      </c>
      <c r="BT8">
        <v>307.38652187467522</v>
      </c>
      <c r="BU8">
        <v>313.63179361945345</v>
      </c>
      <c r="BV8">
        <v>318.59474696040735</v>
      </c>
      <c r="BW8">
        <v>327.29650316948982</v>
      </c>
      <c r="BX8">
        <v>334.23248986802452</v>
      </c>
      <c r="BY8">
        <v>340.48124285565831</v>
      </c>
      <c r="BZ8">
        <v>352.75218227164083</v>
      </c>
      <c r="CA8">
        <v>360.84417541307289</v>
      </c>
      <c r="CB8">
        <v>369.33323807544417</v>
      </c>
      <c r="CC8">
        <v>379.01867920606878</v>
      </c>
      <c r="CD8">
        <v>423.45419827496619</v>
      </c>
      <c r="CE8">
        <v>475.93900031175309</v>
      </c>
      <c r="CF8">
        <v>507.78800789774488</v>
      </c>
      <c r="CG8">
        <v>509.59186854518509</v>
      </c>
      <c r="CH8">
        <v>578.57248259378571</v>
      </c>
      <c r="CI8">
        <v>557.63878208458902</v>
      </c>
      <c r="CJ8">
        <v>577.34853995635456</v>
      </c>
      <c r="CK8">
        <v>618.61176348332117</v>
      </c>
      <c r="CL8">
        <v>674.14558869375458</v>
      </c>
      <c r="CM8">
        <v>670.132287228515</v>
      </c>
      <c r="CN8">
        <v>690.69354671100484</v>
      </c>
      <c r="CO8">
        <v>681.84942325678071</v>
      </c>
      <c r="CP8">
        <v>677.59139561467316</v>
      </c>
      <c r="CQ8">
        <v>715.78634521459014</v>
      </c>
      <c r="CR8">
        <v>755.47033149745403</v>
      </c>
      <c r="CS8">
        <v>774.99688246908454</v>
      </c>
      <c r="CT8">
        <v>811.53974851917292</v>
      </c>
      <c r="CU8">
        <v>923.41276109321416</v>
      </c>
    </row>
    <row r="9" spans="1:107">
      <c r="A9" t="s">
        <v>494</v>
      </c>
    </row>
    <row r="10" spans="1:107">
      <c r="A10" t="s">
        <v>495</v>
      </c>
      <c r="F10" t="s">
        <v>496</v>
      </c>
      <c r="H10">
        <v>19.27450544565459</v>
      </c>
      <c r="I10">
        <v>18.673927539453214</v>
      </c>
      <c r="J10">
        <v>17.735719048677481</v>
      </c>
      <c r="K10">
        <v>17.156256945987998</v>
      </c>
      <c r="L10">
        <v>17.680484552122692</v>
      </c>
      <c r="M10">
        <v>17.848966436985993</v>
      </c>
      <c r="N10">
        <v>18.393087352745056</v>
      </c>
      <c r="O10">
        <v>19.184818848633029</v>
      </c>
      <c r="P10">
        <v>19.239942209379862</v>
      </c>
      <c r="Q10">
        <v>19.325739053122916</v>
      </c>
      <c r="R10">
        <v>20.238719715492337</v>
      </c>
      <c r="S10">
        <v>21.123249611024676</v>
      </c>
      <c r="T10">
        <v>22.082462769504335</v>
      </c>
      <c r="U10">
        <v>22.325405645699046</v>
      </c>
      <c r="V10">
        <v>22.59302067126028</v>
      </c>
      <c r="W10">
        <v>22.677150477883977</v>
      </c>
      <c r="X10">
        <v>25.66325850188931</v>
      </c>
      <c r="Y10">
        <v>30.106023560791286</v>
      </c>
      <c r="Z10">
        <v>32.577128250722382</v>
      </c>
      <c r="AA10">
        <v>34.921204712158257</v>
      </c>
      <c r="AB10">
        <v>36.265170037786177</v>
      </c>
      <c r="AC10">
        <v>38.704045343409653</v>
      </c>
      <c r="AD10">
        <v>39.565570126694823</v>
      </c>
      <c r="AE10">
        <v>43.491998221827075</v>
      </c>
      <c r="AF10">
        <v>45.128361858190715</v>
      </c>
      <c r="AG10">
        <v>46.703600800177817</v>
      </c>
      <c r="AH10">
        <v>50.345187819515445</v>
      </c>
      <c r="AI10">
        <v>53.64603245165592</v>
      </c>
      <c r="AJ10">
        <v>56.088241831518118</v>
      </c>
      <c r="AK10">
        <v>57.808735274505452</v>
      </c>
      <c r="AL10">
        <v>59.138475216714824</v>
      </c>
      <c r="AM10">
        <v>60.174038675261173</v>
      </c>
      <c r="AN10">
        <v>65.48810846854856</v>
      </c>
      <c r="AO10">
        <v>66.687152700600123</v>
      </c>
      <c r="AP10">
        <v>67.932540564569891</v>
      </c>
      <c r="AQ10">
        <v>69.012002667259395</v>
      </c>
      <c r="AR10">
        <v>70.860080017781726</v>
      </c>
      <c r="AS10">
        <v>73.048121804845522</v>
      </c>
      <c r="AT10">
        <v>75.396421426983778</v>
      </c>
      <c r="AU10">
        <v>78.6575905756835</v>
      </c>
      <c r="AV10">
        <v>84.982218270726847</v>
      </c>
      <c r="AW10">
        <v>91.297066014669923</v>
      </c>
      <c r="AX10">
        <v>96.627583907534998</v>
      </c>
      <c r="AY10">
        <v>100</v>
      </c>
      <c r="AZ10">
        <v>117.62058235163371</v>
      </c>
      <c r="BA10">
        <v>132.89353189597688</v>
      </c>
      <c r="BB10">
        <v>142.84496554789953</v>
      </c>
      <c r="BC10">
        <v>151.89075350077795</v>
      </c>
      <c r="BD10">
        <v>165.55623471882643</v>
      </c>
      <c r="BE10">
        <v>179.32129362080465</v>
      </c>
      <c r="BF10">
        <v>195.47666148032894</v>
      </c>
      <c r="BG10">
        <v>216.09124249833295</v>
      </c>
      <c r="BH10">
        <v>228.11435874638804</v>
      </c>
      <c r="BI10">
        <v>234.69737719493219</v>
      </c>
      <c r="BJ10">
        <v>237.76961547010444</v>
      </c>
      <c r="BK10">
        <v>236.66225827961776</v>
      </c>
      <c r="BL10">
        <v>231.37386085796845</v>
      </c>
      <c r="BM10">
        <v>237.36630362302733</v>
      </c>
      <c r="BN10">
        <v>250.77400533451879</v>
      </c>
      <c r="BO10">
        <v>262.47249388753062</v>
      </c>
      <c r="BP10">
        <v>266.90686819293177</v>
      </c>
      <c r="BQ10">
        <v>270.51614247610581</v>
      </c>
      <c r="BR10">
        <v>274.80981884863303</v>
      </c>
      <c r="BS10">
        <v>280.27895087797287</v>
      </c>
      <c r="BT10">
        <v>291.65547899533232</v>
      </c>
      <c r="BU10">
        <v>296.61199711046902</v>
      </c>
      <c r="BV10">
        <v>301.03000666814847</v>
      </c>
      <c r="BW10">
        <v>307.2891753723049</v>
      </c>
      <c r="BX10">
        <v>311.47260502333847</v>
      </c>
      <c r="BY10">
        <v>316.68279062013778</v>
      </c>
      <c r="BZ10">
        <v>327.1109135363414</v>
      </c>
      <c r="CA10">
        <v>333.51742053789735</v>
      </c>
      <c r="CB10">
        <v>341.20257279395429</v>
      </c>
      <c r="CC10">
        <v>348.33946432540569</v>
      </c>
      <c r="CD10">
        <v>393.72705045565681</v>
      </c>
      <c r="CE10">
        <v>450.10068904200926</v>
      </c>
      <c r="CF10">
        <v>250.77400533451879</v>
      </c>
      <c r="CG10">
        <v>472.39216230084583</v>
      </c>
      <c r="CH10">
        <v>541.73860857968441</v>
      </c>
      <c r="CI10">
        <v>521.02633918648587</v>
      </c>
      <c r="CJ10">
        <v>537.99344298733047</v>
      </c>
      <c r="CK10">
        <v>579.87952878417434</v>
      </c>
      <c r="CL10">
        <v>636.06512558346299</v>
      </c>
      <c r="CM10">
        <v>631.45554567681711</v>
      </c>
      <c r="CN10">
        <v>649.83151811513676</v>
      </c>
      <c r="CO10">
        <v>641.97266059124252</v>
      </c>
      <c r="CP10">
        <v>633.77950655701272</v>
      </c>
      <c r="CQ10">
        <v>677.30695710157818</v>
      </c>
      <c r="CR10">
        <v>719.32418315181144</v>
      </c>
      <c r="CS10">
        <v>734.05378973105121</v>
      </c>
      <c r="CT10">
        <v>769.84863302956217</v>
      </c>
      <c r="CU10">
        <v>892.8191820404536</v>
      </c>
    </row>
    <row r="11" spans="1:107">
      <c r="A11" t="s">
        <v>497</v>
      </c>
    </row>
    <row r="12" spans="1:107">
      <c r="A12" t="s">
        <v>498</v>
      </c>
      <c r="F12" t="s">
        <v>499</v>
      </c>
      <c r="H12">
        <v>20.017806731813245</v>
      </c>
      <c r="I12">
        <v>19.34842562432139</v>
      </c>
      <c r="J12">
        <v>18.859174809989142</v>
      </c>
      <c r="K12">
        <v>18.473072747014115</v>
      </c>
      <c r="L12">
        <v>18.944842562432136</v>
      </c>
      <c r="M12">
        <v>18.981650380021716</v>
      </c>
      <c r="N12">
        <v>19.110749185667753</v>
      </c>
      <c r="O12">
        <v>20.483061889250813</v>
      </c>
      <c r="P12">
        <v>20.790336590662324</v>
      </c>
      <c r="Q12">
        <v>20.870575461454941</v>
      </c>
      <c r="R12">
        <v>21.773398479913141</v>
      </c>
      <c r="S12">
        <v>22.13669923995657</v>
      </c>
      <c r="T12">
        <v>22.611943539630836</v>
      </c>
      <c r="U12">
        <v>22.611943539630836</v>
      </c>
      <c r="V12">
        <v>22.797502714440824</v>
      </c>
      <c r="W12">
        <v>23.173181324647125</v>
      </c>
      <c r="X12">
        <v>26.063952225841476</v>
      </c>
      <c r="Y12">
        <v>30.389142236699243</v>
      </c>
      <c r="Z12">
        <v>33.279370249728558</v>
      </c>
      <c r="AA12">
        <v>35.23311617806732</v>
      </c>
      <c r="AB12">
        <v>36.418458197611294</v>
      </c>
      <c r="AC12">
        <v>39.184364820846909</v>
      </c>
      <c r="AD12">
        <v>40.272855591748097</v>
      </c>
      <c r="AE12">
        <v>43.972855591748107</v>
      </c>
      <c r="AF12">
        <v>45.808360477741587</v>
      </c>
      <c r="AG12">
        <v>47.190553745928341</v>
      </c>
      <c r="AH12">
        <v>51.052442996742677</v>
      </c>
      <c r="AI12">
        <v>54.306840390879479</v>
      </c>
      <c r="AJ12">
        <v>56.894353963083603</v>
      </c>
      <c r="AK12">
        <v>58.866449511400646</v>
      </c>
      <c r="AL12">
        <v>60.084473398479915</v>
      </c>
      <c r="AM12">
        <v>61.37307274701412</v>
      </c>
      <c r="AN12">
        <v>66.975787187839302</v>
      </c>
      <c r="AO12">
        <v>67.78534201954399</v>
      </c>
      <c r="AP12">
        <v>69.286319218241061</v>
      </c>
      <c r="AQ12">
        <v>70.135613463626498</v>
      </c>
      <c r="AR12">
        <v>71.990662323561338</v>
      </c>
      <c r="AS12">
        <v>74.217372421281226</v>
      </c>
      <c r="AT12">
        <v>76.249619978284471</v>
      </c>
      <c r="AU12">
        <v>79.783604777415846</v>
      </c>
      <c r="AV12">
        <v>85.717263843648226</v>
      </c>
      <c r="AW12">
        <v>91.309229098805659</v>
      </c>
      <c r="AX12">
        <v>96.492182410423453</v>
      </c>
      <c r="AY12">
        <v>100</v>
      </c>
      <c r="AZ12">
        <v>118.05342019543976</v>
      </c>
      <c r="BA12">
        <v>135.08143322475573</v>
      </c>
      <c r="BB12">
        <v>143.61194353963086</v>
      </c>
      <c r="BC12">
        <v>153.46872964169378</v>
      </c>
      <c r="BD12">
        <v>167.10586319218243</v>
      </c>
      <c r="BE12">
        <v>182.1627578718784</v>
      </c>
      <c r="BF12">
        <v>197.2562432138979</v>
      </c>
      <c r="BG12">
        <v>214.74766558089036</v>
      </c>
      <c r="BH12">
        <v>230.7989142236699</v>
      </c>
      <c r="BI12">
        <v>236.70673181324642</v>
      </c>
      <c r="BJ12">
        <v>240.64733984799133</v>
      </c>
      <c r="BK12">
        <v>238.67915309446255</v>
      </c>
      <c r="BL12">
        <v>234.24353963083604</v>
      </c>
      <c r="BM12">
        <v>240.69630836047776</v>
      </c>
      <c r="BN12">
        <v>254.35757328990232</v>
      </c>
      <c r="BO12">
        <v>265.91818675352874</v>
      </c>
      <c r="BP12">
        <v>270.91636807817594</v>
      </c>
      <c r="BQ12">
        <v>276.52193268186755</v>
      </c>
      <c r="BR12">
        <v>281.66368078175896</v>
      </c>
      <c r="BS12">
        <v>288.80589033659061</v>
      </c>
      <c r="BT12">
        <v>302.22475570032572</v>
      </c>
      <c r="BU12">
        <v>303.5164766558089</v>
      </c>
      <c r="BV12">
        <v>308.54451682953317</v>
      </c>
      <c r="BW12">
        <v>315.88262757871883</v>
      </c>
      <c r="BX12">
        <v>319.16332790445171</v>
      </c>
      <c r="BY12">
        <v>325.10200868621064</v>
      </c>
      <c r="BZ12">
        <v>336.16083061889248</v>
      </c>
      <c r="CA12">
        <v>342.67144408251903</v>
      </c>
      <c r="CB12">
        <v>350.24869706840383</v>
      </c>
      <c r="CC12">
        <v>357.4947339847991</v>
      </c>
      <c r="CD12">
        <v>401.99364820846904</v>
      </c>
      <c r="CE12">
        <v>459.03507057546148</v>
      </c>
      <c r="CF12">
        <v>486.23854505971775</v>
      </c>
      <c r="CG12">
        <v>481.77923060886735</v>
      </c>
      <c r="CH12">
        <v>555.03854505971765</v>
      </c>
      <c r="CI12">
        <v>534.65580890336594</v>
      </c>
      <c r="CJ12">
        <v>552.18979370249724</v>
      </c>
      <c r="CK12">
        <v>596.94071661237786</v>
      </c>
      <c r="CL12">
        <v>655.69413680781759</v>
      </c>
      <c r="CM12">
        <v>647.19891422366982</v>
      </c>
      <c r="CN12">
        <v>667.68935939196524</v>
      </c>
      <c r="CO12">
        <v>656.53355048859942</v>
      </c>
      <c r="CP12">
        <v>651.94321389793708</v>
      </c>
      <c r="CQ12">
        <v>691.20054288816505</v>
      </c>
      <c r="CR12">
        <v>736.23767643865358</v>
      </c>
      <c r="CS12">
        <v>751.50532030401746</v>
      </c>
      <c r="CT12">
        <v>791.4661237785017</v>
      </c>
      <c r="CU12">
        <v>918.37719869706848</v>
      </c>
    </row>
    <row r="13" spans="1:107">
      <c r="A13" t="s">
        <v>500</v>
      </c>
    </row>
    <row r="14" spans="1:107">
      <c r="A14" t="s">
        <v>501</v>
      </c>
      <c r="F14" t="s">
        <v>502</v>
      </c>
      <c r="H14">
        <v>18.481880509304602</v>
      </c>
      <c r="I14">
        <v>18.067776689520077</v>
      </c>
      <c r="J14">
        <v>17.105876591576887</v>
      </c>
      <c r="K14">
        <v>16.653868756121447</v>
      </c>
      <c r="L14">
        <v>17.057002938295788</v>
      </c>
      <c r="M14">
        <v>17.057002938295788</v>
      </c>
      <c r="N14">
        <v>17.600783545543585</v>
      </c>
      <c r="O14">
        <v>18.73917727717923</v>
      </c>
      <c r="P14">
        <v>19.276003917727721</v>
      </c>
      <c r="Q14">
        <v>19.442017629774732</v>
      </c>
      <c r="R14">
        <v>20.027130264446619</v>
      </c>
      <c r="S14">
        <v>20.883937316356509</v>
      </c>
      <c r="T14">
        <v>21.608227228207639</v>
      </c>
      <c r="U14">
        <v>21.903819784524977</v>
      </c>
      <c r="V14">
        <v>21.965230166503424</v>
      </c>
      <c r="W14">
        <v>22.227032321253674</v>
      </c>
      <c r="X14">
        <v>25.004113614103822</v>
      </c>
      <c r="Y14">
        <v>29.223702252693442</v>
      </c>
      <c r="Z14">
        <v>32.096865817825659</v>
      </c>
      <c r="AA14">
        <v>33.957688540646423</v>
      </c>
      <c r="AB14">
        <v>35.036826640548483</v>
      </c>
      <c r="AC14">
        <v>37.782859941234086</v>
      </c>
      <c r="AD14">
        <v>38.542605288932421</v>
      </c>
      <c r="AE14">
        <v>42.584524975514192</v>
      </c>
      <c r="AF14">
        <v>44.686973555337907</v>
      </c>
      <c r="AG14">
        <v>46.439373163565136</v>
      </c>
      <c r="AH14">
        <v>50.146523016650342</v>
      </c>
      <c r="AI14">
        <v>53.43800195886385</v>
      </c>
      <c r="AJ14">
        <v>56.160626836434865</v>
      </c>
      <c r="AK14">
        <v>57.894025465230172</v>
      </c>
      <c r="AL14">
        <v>60.077179236043101</v>
      </c>
      <c r="AM14">
        <v>61.264152791380994</v>
      </c>
      <c r="AN14">
        <v>66.355631733594521</v>
      </c>
      <c r="AO14">
        <v>67.394417238001949</v>
      </c>
      <c r="AP14">
        <v>68.797747306562201</v>
      </c>
      <c r="AQ14">
        <v>70.281684622918704</v>
      </c>
      <c r="AR14">
        <v>72.501371204701258</v>
      </c>
      <c r="AS14">
        <v>74.807933398628791</v>
      </c>
      <c r="AT14">
        <v>77.140548481880501</v>
      </c>
      <c r="AU14">
        <v>80.611459353574915</v>
      </c>
      <c r="AV14">
        <v>86.192458374142973</v>
      </c>
      <c r="AW14">
        <v>91.667580803134172</v>
      </c>
      <c r="AX14">
        <v>96.480607247796286</v>
      </c>
      <c r="AY14">
        <v>99.999999999999986</v>
      </c>
      <c r="AZ14">
        <v>117.32174338883445</v>
      </c>
      <c r="BA14">
        <v>136.13300685602351</v>
      </c>
      <c r="BB14">
        <v>145.86474045053868</v>
      </c>
      <c r="BC14">
        <v>155.1655239960823</v>
      </c>
      <c r="BD14">
        <v>169.37727717923602</v>
      </c>
      <c r="BE14">
        <v>182.95484818805093</v>
      </c>
      <c r="BF14">
        <v>201.19461312438787</v>
      </c>
      <c r="BG14">
        <v>224.83379040156709</v>
      </c>
      <c r="BH14">
        <v>241.32556317335951</v>
      </c>
      <c r="BI14">
        <v>247.96914789422135</v>
      </c>
      <c r="BJ14">
        <v>255.79480901077372</v>
      </c>
      <c r="BK14">
        <v>259.48991185112635</v>
      </c>
      <c r="BL14">
        <v>255.50989226248777</v>
      </c>
      <c r="BM14">
        <v>262.73046033300687</v>
      </c>
      <c r="BN14">
        <v>276.90323212536731</v>
      </c>
      <c r="BO14">
        <v>290.03271302644458</v>
      </c>
      <c r="BP14">
        <v>292.42605288932418</v>
      </c>
      <c r="BQ14">
        <v>303.25142017629776</v>
      </c>
      <c r="BR14">
        <v>305.11968658178262</v>
      </c>
      <c r="BS14">
        <v>312.24211557296769</v>
      </c>
      <c r="BT14">
        <v>325.70871694417241</v>
      </c>
      <c r="BU14">
        <v>338.44593535749266</v>
      </c>
      <c r="BV14">
        <v>342.14750244857981</v>
      </c>
      <c r="BW14">
        <v>348.80702742409403</v>
      </c>
      <c r="BX14">
        <v>352.82602840352592</v>
      </c>
      <c r="BY14">
        <v>358.38927522037216</v>
      </c>
      <c r="BZ14">
        <v>367.86354064642512</v>
      </c>
      <c r="CA14">
        <v>373.06420176297746</v>
      </c>
      <c r="CB14">
        <v>381.96772771792365</v>
      </c>
      <c r="CC14">
        <v>390.81407933398629</v>
      </c>
      <c r="CD14">
        <v>436.85712536728698</v>
      </c>
      <c r="CE14">
        <v>493.51420176297745</v>
      </c>
      <c r="CF14">
        <v>525.49020568070523</v>
      </c>
      <c r="CG14">
        <v>521.71352012217699</v>
      </c>
      <c r="CH14">
        <v>601.43183153770815</v>
      </c>
      <c r="CI14">
        <v>581.13408423114595</v>
      </c>
      <c r="CJ14">
        <v>604.12154750244861</v>
      </c>
      <c r="CK14">
        <v>649.74270323212534</v>
      </c>
      <c r="CL14">
        <v>709.99794319294801</v>
      </c>
      <c r="CM14">
        <v>706.14857982370222</v>
      </c>
      <c r="CN14">
        <v>729.91028403525956</v>
      </c>
      <c r="CO14">
        <v>722.41361410381978</v>
      </c>
      <c r="CP14">
        <v>721.80528893241922</v>
      </c>
      <c r="CQ14">
        <v>766.29245837414305</v>
      </c>
      <c r="CR14">
        <v>807.41185112634685</v>
      </c>
      <c r="CS14">
        <v>829.25308521057786</v>
      </c>
      <c r="CT14">
        <v>868.1234084231146</v>
      </c>
      <c r="CU14">
        <v>998.95151811949086</v>
      </c>
    </row>
    <row r="15" spans="1:107">
      <c r="A15" t="s">
        <v>503</v>
      </c>
    </row>
    <row r="16" spans="1:107">
      <c r="A16" t="s">
        <v>504</v>
      </c>
      <c r="F16" t="s">
        <v>505</v>
      </c>
      <c r="H16" s="38">
        <f>AVERAGE(H4,H6,H8,H10,H12,H14)</f>
        <v>18.64127633564576</v>
      </c>
      <c r="I16" s="38">
        <f t="shared" ref="I16:BT16" si="0">AVERAGE(I4,I6,I8,I10,I12,I14)</f>
        <v>18.196868137328952</v>
      </c>
      <c r="J16" s="38">
        <f t="shared" si="0"/>
        <v>17.252191585946751</v>
      </c>
      <c r="K16" s="38">
        <f t="shared" si="0"/>
        <v>16.736633830886689</v>
      </c>
      <c r="L16" s="38">
        <f t="shared" si="0"/>
        <v>17.235949553551055</v>
      </c>
      <c r="M16" s="38">
        <f t="shared" si="0"/>
        <v>17.346040625622326</v>
      </c>
      <c r="N16" s="38">
        <f t="shared" si="0"/>
        <v>17.653095019242993</v>
      </c>
      <c r="O16" s="38">
        <f t="shared" si="0"/>
        <v>18.817073652711745</v>
      </c>
      <c r="P16" s="38">
        <f t="shared" si="0"/>
        <v>19.096743034504019</v>
      </c>
      <c r="Q16" s="38">
        <f t="shared" si="0"/>
        <v>19.269626768968763</v>
      </c>
      <c r="R16" s="38">
        <f t="shared" si="0"/>
        <v>20.066131717113663</v>
      </c>
      <c r="S16" s="38">
        <f t="shared" si="0"/>
        <v>20.708721114271551</v>
      </c>
      <c r="T16" s="38">
        <f t="shared" si="0"/>
        <v>21.433409648397809</v>
      </c>
      <c r="U16" s="38">
        <f t="shared" si="0"/>
        <v>21.610669035441973</v>
      </c>
      <c r="V16" s="38">
        <f t="shared" si="0"/>
        <v>21.775330868374638</v>
      </c>
      <c r="W16" s="38">
        <f t="shared" si="0"/>
        <v>22.078145520029931</v>
      </c>
      <c r="X16" s="38">
        <f t="shared" si="0"/>
        <v>24.827930726968003</v>
      </c>
      <c r="Y16" s="38">
        <f t="shared" si="0"/>
        <v>28.918376918368622</v>
      </c>
      <c r="Z16" s="38">
        <f t="shared" si="0"/>
        <v>31.771393884810678</v>
      </c>
      <c r="AA16" s="38">
        <f t="shared" si="0"/>
        <v>33.744569312628172</v>
      </c>
      <c r="AB16" s="38">
        <f t="shared" si="0"/>
        <v>34.866224080264566</v>
      </c>
      <c r="AC16" s="38">
        <f t="shared" si="0"/>
        <v>37.434048907708167</v>
      </c>
      <c r="AD16" s="38">
        <f t="shared" si="0"/>
        <v>38.335882523196453</v>
      </c>
      <c r="AE16" s="38">
        <f t="shared" si="0"/>
        <v>42.292684075246157</v>
      </c>
      <c r="AF16" s="38">
        <f t="shared" si="0"/>
        <v>44.029015782261816</v>
      </c>
      <c r="AG16" s="38">
        <f t="shared" si="0"/>
        <v>45.530333856255403</v>
      </c>
      <c r="AH16" s="38">
        <f t="shared" si="0"/>
        <v>49.180269023182156</v>
      </c>
      <c r="AI16" s="38">
        <f t="shared" si="0"/>
        <v>52.327616721437209</v>
      </c>
      <c r="AJ16" s="38">
        <f t="shared" si="0"/>
        <v>54.802236729405912</v>
      </c>
      <c r="AK16" s="38">
        <f t="shared" si="0"/>
        <v>56.611179604621718</v>
      </c>
      <c r="AL16" s="38">
        <f t="shared" si="0"/>
        <v>58.010039185824887</v>
      </c>
      <c r="AM16" s="38">
        <f t="shared" si="0"/>
        <v>59.119361805879286</v>
      </c>
      <c r="AN16" s="38">
        <f t="shared" si="0"/>
        <v>64.495090420550767</v>
      </c>
      <c r="AO16" s="38">
        <f t="shared" si="0"/>
        <v>65.529247866912172</v>
      </c>
      <c r="AP16" s="38">
        <f t="shared" si="0"/>
        <v>66.798345509361127</v>
      </c>
      <c r="AQ16" s="38">
        <f t="shared" si="0"/>
        <v>68.023074758592415</v>
      </c>
      <c r="AR16" s="38">
        <f t="shared" si="0"/>
        <v>69.994692262232945</v>
      </c>
      <c r="AS16" s="38">
        <f t="shared" si="0"/>
        <v>72.114407748849345</v>
      </c>
      <c r="AT16" s="38">
        <f t="shared" si="0"/>
        <v>74.376503878546544</v>
      </c>
      <c r="AU16" s="38">
        <f t="shared" si="0"/>
        <v>78.157940627424878</v>
      </c>
      <c r="AV16" s="38">
        <f t="shared" si="0"/>
        <v>84.159768694950884</v>
      </c>
      <c r="AW16" s="38">
        <f t="shared" si="0"/>
        <v>90.913755559641004</v>
      </c>
      <c r="AX16" s="38">
        <f t="shared" si="0"/>
        <v>96.466252399589735</v>
      </c>
      <c r="AY16" s="38">
        <f t="shared" si="0"/>
        <v>100</v>
      </c>
      <c r="AZ16" s="38">
        <f t="shared" si="0"/>
        <v>116.78816348470518</v>
      </c>
      <c r="BA16" s="38">
        <f t="shared" si="0"/>
        <v>132.6238397713208</v>
      </c>
      <c r="BB16" s="38">
        <f t="shared" si="0"/>
        <v>141.49078841762727</v>
      </c>
      <c r="BC16" s="38">
        <f t="shared" si="0"/>
        <v>150.5423377431413</v>
      </c>
      <c r="BD16" s="38">
        <f t="shared" si="0"/>
        <v>163.49524934345405</v>
      </c>
      <c r="BE16" s="38">
        <f t="shared" si="0"/>
        <v>177.03810655976415</v>
      </c>
      <c r="BF16" s="38">
        <f t="shared" si="0"/>
        <v>192.94028465917145</v>
      </c>
      <c r="BG16" s="38">
        <f t="shared" si="0"/>
        <v>212.26137173836995</v>
      </c>
      <c r="BH16" s="38">
        <f t="shared" si="0"/>
        <v>226.49395169942284</v>
      </c>
      <c r="BI16" s="38">
        <f t="shared" si="0"/>
        <v>232.65673227795091</v>
      </c>
      <c r="BJ16" s="38">
        <f t="shared" si="0"/>
        <v>238.25286799410205</v>
      </c>
      <c r="BK16" s="38">
        <f t="shared" si="0"/>
        <v>240.15570222826273</v>
      </c>
      <c r="BL16" s="38">
        <f t="shared" si="0"/>
        <v>236.46332286183471</v>
      </c>
      <c r="BM16" s="38">
        <f t="shared" si="0"/>
        <v>242.95856539493946</v>
      </c>
      <c r="BN16" s="38">
        <f t="shared" si="0"/>
        <v>257.40331762744523</v>
      </c>
      <c r="BO16" s="38">
        <f t="shared" si="0"/>
        <v>269.9314976218098</v>
      </c>
      <c r="BP16" s="38">
        <f t="shared" si="0"/>
        <v>274.63210887657243</v>
      </c>
      <c r="BQ16" s="38">
        <f t="shared" si="0"/>
        <v>280.93755467677551</v>
      </c>
      <c r="BR16" s="38">
        <f t="shared" si="0"/>
        <v>286.38232352062226</v>
      </c>
      <c r="BS16" s="38">
        <f t="shared" si="0"/>
        <v>293.43960285298232</v>
      </c>
      <c r="BT16" s="38">
        <f t="shared" si="0"/>
        <v>306.46887616521531</v>
      </c>
      <c r="BU16" s="38">
        <f t="shared" ref="BU16:CU16" si="1">AVERAGE(BU4,BU6,BU8,BU10,BU12,BU14)</f>
        <v>312.42588072707218</v>
      </c>
      <c r="BV16" s="38">
        <f t="shared" si="1"/>
        <v>316.82009199748859</v>
      </c>
      <c r="BW16" s="38">
        <f t="shared" si="1"/>
        <v>324.20809950967623</v>
      </c>
      <c r="BX16" s="38">
        <f t="shared" si="1"/>
        <v>329.24564746449528</v>
      </c>
      <c r="BY16" s="38">
        <f t="shared" si="1"/>
        <v>335.32499146683239</v>
      </c>
      <c r="BZ16" s="38">
        <f t="shared" si="1"/>
        <v>346.53371782150339</v>
      </c>
      <c r="CA16" s="38">
        <f t="shared" si="1"/>
        <v>353.44738017483138</v>
      </c>
      <c r="CB16" s="38">
        <f t="shared" si="1"/>
        <v>361.34816573413599</v>
      </c>
      <c r="CC16" s="38">
        <f t="shared" si="1"/>
        <v>369.23301095560191</v>
      </c>
      <c r="CD16" s="38">
        <f t="shared" si="1"/>
        <v>414.88719135228365</v>
      </c>
      <c r="CE16" s="38">
        <f t="shared" si="1"/>
        <v>469.20514034936258</v>
      </c>
      <c r="CF16" s="38">
        <f t="shared" si="1"/>
        <v>461.08567272971823</v>
      </c>
      <c r="CG16" s="38">
        <f t="shared" si="1"/>
        <v>498.0223154772637</v>
      </c>
      <c r="CH16" s="38">
        <f t="shared" si="1"/>
        <v>569.88120333515076</v>
      </c>
      <c r="CI16" s="38">
        <f t="shared" si="1"/>
        <v>550.94063679692806</v>
      </c>
      <c r="CJ16" s="38">
        <f t="shared" si="1"/>
        <v>568.98950262971744</v>
      </c>
      <c r="CK16" s="38">
        <f t="shared" si="1"/>
        <v>611.61109612283201</v>
      </c>
      <c r="CL16" s="38">
        <f t="shared" si="1"/>
        <v>668.91932211262167</v>
      </c>
      <c r="CM16" s="38">
        <f t="shared" si="1"/>
        <v>663.24840548821396</v>
      </c>
      <c r="CN16" s="38">
        <f t="shared" si="1"/>
        <v>684.46914285042885</v>
      </c>
      <c r="CO16" s="38">
        <f t="shared" si="1"/>
        <v>675.61463308665782</v>
      </c>
      <c r="CP16" s="38">
        <f t="shared" si="1"/>
        <v>671.45639385971219</v>
      </c>
      <c r="CQ16" s="38">
        <f t="shared" si="1"/>
        <v>712.42858370229726</v>
      </c>
      <c r="CR16" s="38">
        <f t="shared" si="1"/>
        <v>755.13671434174842</v>
      </c>
      <c r="CS16" s="38">
        <f t="shared" si="1"/>
        <v>773.53929793938721</v>
      </c>
      <c r="CT16" s="38">
        <f t="shared" si="1"/>
        <v>813.080162458833</v>
      </c>
      <c r="CU16" s="38">
        <f t="shared" si="1"/>
        <v>933.02249921662576</v>
      </c>
    </row>
    <row r="17" spans="1:99">
      <c r="A17" t="s">
        <v>506</v>
      </c>
    </row>
    <row r="18" spans="1:99">
      <c r="H18" s="38">
        <v>18.64127633564576</v>
      </c>
      <c r="I18" s="38">
        <v>18.196868137328952</v>
      </c>
      <c r="J18" s="38">
        <v>17.252191585946751</v>
      </c>
      <c r="K18" s="38">
        <v>16.736633830886689</v>
      </c>
      <c r="L18" s="38">
        <v>17.235949553551055</v>
      </c>
      <c r="M18" s="38">
        <v>17.346040625622326</v>
      </c>
      <c r="N18" s="38">
        <v>17.653095019242993</v>
      </c>
      <c r="O18" s="38">
        <v>18.817073652711745</v>
      </c>
      <c r="P18" s="38">
        <v>19.096743034504019</v>
      </c>
      <c r="Q18" s="38">
        <v>19.269626768968763</v>
      </c>
      <c r="R18" s="38">
        <v>20.066131717113663</v>
      </c>
      <c r="S18" s="38">
        <v>20.708721114271551</v>
      </c>
      <c r="T18" s="38">
        <v>21.433409648397809</v>
      </c>
      <c r="U18" s="38">
        <v>21.610669035441973</v>
      </c>
      <c r="V18" s="38">
        <v>21.775330868374638</v>
      </c>
      <c r="W18" s="38">
        <v>22.078145520029931</v>
      </c>
      <c r="X18" s="38">
        <v>24.827930726968003</v>
      </c>
      <c r="Y18" s="38">
        <v>28.918376918368622</v>
      </c>
      <c r="Z18" s="38">
        <v>31.771393884810678</v>
      </c>
      <c r="AA18" s="38">
        <v>33.744569312628172</v>
      </c>
      <c r="AB18" s="38">
        <v>34.866224080264566</v>
      </c>
      <c r="AC18" s="38">
        <v>37.434048907708167</v>
      </c>
      <c r="AD18" s="38">
        <v>38.335882523196453</v>
      </c>
      <c r="AE18" s="38">
        <v>42.292684075246157</v>
      </c>
      <c r="AF18" s="38">
        <v>44.029015782261816</v>
      </c>
      <c r="AG18" s="38">
        <v>45.530333856255403</v>
      </c>
      <c r="AH18" s="38">
        <v>49.180269023182156</v>
      </c>
      <c r="AI18" s="38">
        <v>52.327616721437209</v>
      </c>
      <c r="AJ18" s="38">
        <v>54.802236729405912</v>
      </c>
      <c r="AK18" s="38">
        <v>56.611179604621718</v>
      </c>
      <c r="AL18" s="38">
        <v>58.010039185824887</v>
      </c>
      <c r="AM18" s="38">
        <v>59.119361805879286</v>
      </c>
      <c r="AN18" s="38">
        <v>64.495090420550767</v>
      </c>
      <c r="AO18" s="38">
        <v>65.529247866912172</v>
      </c>
      <c r="AP18" s="38">
        <v>66.798345509361127</v>
      </c>
      <c r="AQ18" s="38">
        <v>68.023074758592415</v>
      </c>
      <c r="AR18" s="38">
        <v>69.994692262232945</v>
      </c>
      <c r="AS18" s="38">
        <v>72.114407748849345</v>
      </c>
      <c r="AT18" s="38">
        <v>74.376503878546544</v>
      </c>
      <c r="AU18" s="38">
        <v>78.157940627424878</v>
      </c>
      <c r="AV18" s="38">
        <v>84.159768694950884</v>
      </c>
      <c r="AW18" s="38">
        <v>90.913755559641004</v>
      </c>
      <c r="AX18" s="38">
        <v>96.466252399589735</v>
      </c>
      <c r="AY18" s="38">
        <v>100</v>
      </c>
      <c r="AZ18" s="38">
        <v>116.78816348470518</v>
      </c>
      <c r="BA18" s="38">
        <v>132.6238397713208</v>
      </c>
      <c r="BB18" s="38">
        <v>141.49078841762727</v>
      </c>
      <c r="BC18" s="38">
        <v>150.5423377431413</v>
      </c>
      <c r="BD18" s="38">
        <v>163.49524934345405</v>
      </c>
      <c r="BE18" s="38">
        <v>177.03810655976415</v>
      </c>
      <c r="BF18" s="38">
        <v>192.94028465917145</v>
      </c>
      <c r="BG18" s="38">
        <v>212.26137173836995</v>
      </c>
      <c r="BH18" s="38">
        <v>226.49395169942284</v>
      </c>
      <c r="BI18" s="38">
        <v>232.65673227795091</v>
      </c>
      <c r="BJ18" s="38">
        <v>238.25286799410205</v>
      </c>
      <c r="BK18" s="38">
        <v>240.15570222826273</v>
      </c>
      <c r="BL18" s="38">
        <v>236.46332286183471</v>
      </c>
      <c r="BM18" s="38">
        <v>242.95856539493946</v>
      </c>
      <c r="BN18" s="38">
        <v>257.40331762744523</v>
      </c>
      <c r="BO18" s="38">
        <v>269.9314976218098</v>
      </c>
      <c r="BP18" s="38">
        <v>274.63210887657243</v>
      </c>
      <c r="BQ18" s="38">
        <v>280.93755467677551</v>
      </c>
      <c r="BR18" s="38">
        <v>286.38232352062226</v>
      </c>
      <c r="BS18" s="38">
        <v>293.43960285298232</v>
      </c>
      <c r="BT18" s="38">
        <v>306.46887616521531</v>
      </c>
      <c r="BU18" s="38">
        <v>312.42588072707218</v>
      </c>
      <c r="BV18" s="38">
        <v>316.82009199748859</v>
      </c>
      <c r="BW18" s="38">
        <v>324.20809950967623</v>
      </c>
      <c r="BX18" s="38">
        <v>329.24564746449528</v>
      </c>
      <c r="BY18" s="38">
        <v>335.32499146683239</v>
      </c>
      <c r="BZ18" s="38">
        <v>346.53371782150339</v>
      </c>
      <c r="CA18" s="38">
        <v>353.44738017483138</v>
      </c>
      <c r="CB18" s="38">
        <v>361.34816573413599</v>
      </c>
      <c r="CC18" s="38">
        <v>369.23301095560191</v>
      </c>
      <c r="CD18" s="38">
        <v>414.88719135228365</v>
      </c>
      <c r="CE18" s="38">
        <v>469.20514034936258</v>
      </c>
      <c r="CF18" s="38">
        <v>461.08567272971823</v>
      </c>
      <c r="CG18" s="38">
        <v>498.0223154772637</v>
      </c>
      <c r="CH18" s="38">
        <v>569.88120333515076</v>
      </c>
      <c r="CI18" s="38">
        <v>550.94063679692806</v>
      </c>
      <c r="CJ18" s="38">
        <v>568.98950262971744</v>
      </c>
      <c r="CK18" s="38">
        <v>611.61109612283201</v>
      </c>
      <c r="CL18" s="38">
        <v>668.91932211262167</v>
      </c>
      <c r="CM18" s="38">
        <v>663.24840548821396</v>
      </c>
      <c r="CN18" s="38">
        <v>684.46914285042885</v>
      </c>
      <c r="CO18" s="38">
        <v>675.61463308665782</v>
      </c>
      <c r="CP18" s="38">
        <v>671.45639385971219</v>
      </c>
      <c r="CQ18" s="38">
        <v>712.42858370229726</v>
      </c>
      <c r="CR18" s="38">
        <v>755.13671434174842</v>
      </c>
      <c r="CS18" s="38">
        <v>773.53929793938721</v>
      </c>
      <c r="CT18" s="38">
        <v>813.080162458833</v>
      </c>
      <c r="CU18">
        <v>933.02249921662576</v>
      </c>
    </row>
    <row r="19" spans="1:99">
      <c r="E19" t="s">
        <v>4</v>
      </c>
      <c r="F19" t="s">
        <v>507</v>
      </c>
    </row>
    <row r="20" spans="1:99">
      <c r="E20">
        <v>1930</v>
      </c>
      <c r="F20" s="38">
        <v>18.64127633564576</v>
      </c>
      <c r="H20" s="38"/>
    </row>
    <row r="21" spans="1:99">
      <c r="E21">
        <v>1931</v>
      </c>
      <c r="F21" s="38">
        <v>18.196868137328952</v>
      </c>
      <c r="H21" s="38"/>
    </row>
    <row r="22" spans="1:99">
      <c r="E22">
        <v>1932</v>
      </c>
      <c r="F22" s="38">
        <v>17.252191585946751</v>
      </c>
      <c r="H22" s="38"/>
    </row>
    <row r="23" spans="1:99">
      <c r="E23">
        <v>1933</v>
      </c>
      <c r="F23" s="38">
        <v>16.736633830886689</v>
      </c>
      <c r="H23" s="38"/>
    </row>
    <row r="24" spans="1:99">
      <c r="E24">
        <v>1934</v>
      </c>
      <c r="F24" s="38">
        <v>17.235949553551055</v>
      </c>
      <c r="H24" s="38"/>
    </row>
    <row r="25" spans="1:99">
      <c r="E25">
        <v>1935</v>
      </c>
      <c r="F25" s="38">
        <v>17.346040625622326</v>
      </c>
      <c r="H25" s="38"/>
    </row>
    <row r="26" spans="1:99">
      <c r="E26">
        <v>1936</v>
      </c>
      <c r="F26" s="38">
        <v>17.653095019242993</v>
      </c>
      <c r="H26" s="38"/>
    </row>
    <row r="27" spans="1:99">
      <c r="E27">
        <v>1937</v>
      </c>
      <c r="F27" s="38">
        <v>18.817073652711745</v>
      </c>
      <c r="H27" s="38"/>
    </row>
    <row r="28" spans="1:99">
      <c r="E28">
        <v>1938</v>
      </c>
      <c r="F28" s="38">
        <v>19.096743034504019</v>
      </c>
      <c r="H28" s="38"/>
    </row>
    <row r="29" spans="1:99">
      <c r="E29">
        <v>1939</v>
      </c>
      <c r="F29" s="38">
        <v>19.269626768968763</v>
      </c>
      <c r="H29" s="38"/>
    </row>
    <row r="30" spans="1:99">
      <c r="E30">
        <v>1940</v>
      </c>
      <c r="F30" s="38">
        <v>20.066131717113663</v>
      </c>
      <c r="H30" s="38"/>
    </row>
    <row r="31" spans="1:99">
      <c r="E31">
        <v>1941</v>
      </c>
      <c r="F31" s="38">
        <v>20.708721114271551</v>
      </c>
      <c r="H31" s="38"/>
    </row>
    <row r="32" spans="1:99">
      <c r="E32">
        <v>1942</v>
      </c>
      <c r="F32" s="38">
        <v>21.433409648397809</v>
      </c>
      <c r="H32" s="38"/>
    </row>
    <row r="33" spans="5:8">
      <c r="E33">
        <v>1943</v>
      </c>
      <c r="F33" s="38">
        <v>21.610669035441973</v>
      </c>
      <c r="H33" s="38"/>
    </row>
    <row r="34" spans="5:8">
      <c r="E34">
        <v>1944</v>
      </c>
      <c r="F34" s="38">
        <v>21.775330868374638</v>
      </c>
      <c r="H34" s="38"/>
    </row>
    <row r="35" spans="5:8">
      <c r="E35">
        <v>1945</v>
      </c>
      <c r="F35" s="38">
        <v>22.078145520029931</v>
      </c>
      <c r="H35" s="38"/>
    </row>
    <row r="36" spans="5:8">
      <c r="E36">
        <v>1946</v>
      </c>
      <c r="F36" s="38">
        <v>24.827930726968003</v>
      </c>
      <c r="H36" s="38"/>
    </row>
    <row r="37" spans="5:8">
      <c r="E37">
        <v>1947</v>
      </c>
      <c r="F37" s="38">
        <v>28.918376918368622</v>
      </c>
      <c r="H37" s="38"/>
    </row>
    <row r="38" spans="5:8">
      <c r="E38">
        <v>1948</v>
      </c>
      <c r="F38" s="38">
        <v>31.771393884810678</v>
      </c>
      <c r="H38" s="38"/>
    </row>
    <row r="39" spans="5:8">
      <c r="E39">
        <v>1949</v>
      </c>
      <c r="F39" s="38">
        <v>33.744569312628172</v>
      </c>
      <c r="H39" s="38"/>
    </row>
    <row r="40" spans="5:8">
      <c r="E40">
        <v>1950</v>
      </c>
      <c r="F40" s="38">
        <v>34.866224080264566</v>
      </c>
      <c r="H40" s="38"/>
    </row>
    <row r="41" spans="5:8">
      <c r="E41">
        <v>1951</v>
      </c>
      <c r="F41" s="38">
        <v>37.434048907708167</v>
      </c>
      <c r="H41" s="38"/>
    </row>
    <row r="42" spans="5:8">
      <c r="E42">
        <v>1952</v>
      </c>
      <c r="F42" s="38">
        <v>38.335882523196453</v>
      </c>
      <c r="H42" s="38"/>
    </row>
    <row r="43" spans="5:8">
      <c r="E43">
        <v>1953</v>
      </c>
      <c r="F43" s="38">
        <v>42.292684075246157</v>
      </c>
      <c r="H43" s="38"/>
    </row>
    <row r="44" spans="5:8">
      <c r="E44">
        <v>1954</v>
      </c>
      <c r="F44" s="38">
        <v>44.029015782261816</v>
      </c>
      <c r="H44" s="38"/>
    </row>
    <row r="45" spans="5:8">
      <c r="E45">
        <v>1955</v>
      </c>
      <c r="F45" s="38">
        <v>45.530333856255403</v>
      </c>
      <c r="H45" s="38"/>
    </row>
    <row r="46" spans="5:8">
      <c r="E46">
        <v>1956</v>
      </c>
      <c r="F46" s="38">
        <v>49.180269023182156</v>
      </c>
      <c r="H46" s="38"/>
    </row>
    <row r="47" spans="5:8">
      <c r="E47">
        <v>1957</v>
      </c>
      <c r="F47" s="38">
        <v>52.327616721437209</v>
      </c>
      <c r="H47" s="38"/>
    </row>
    <row r="48" spans="5:8">
      <c r="E48">
        <v>1958</v>
      </c>
      <c r="F48" s="38">
        <v>54.802236729405912</v>
      </c>
      <c r="H48" s="38"/>
    </row>
    <row r="49" spans="5:8">
      <c r="E49">
        <v>1959</v>
      </c>
      <c r="F49" s="38">
        <v>56.611179604621718</v>
      </c>
      <c r="H49" s="38"/>
    </row>
    <row r="50" spans="5:8">
      <c r="E50">
        <v>1960</v>
      </c>
      <c r="F50" s="38">
        <v>58.010039185824887</v>
      </c>
      <c r="H50" s="38"/>
    </row>
    <row r="51" spans="5:8">
      <c r="E51">
        <v>1961</v>
      </c>
      <c r="F51" s="38">
        <v>59.119361805879286</v>
      </c>
      <c r="H51" s="38"/>
    </row>
    <row r="52" spans="5:8">
      <c r="E52">
        <v>1962</v>
      </c>
      <c r="F52" s="38">
        <v>64.495090420550767</v>
      </c>
      <c r="H52" s="38"/>
    </row>
    <row r="53" spans="5:8">
      <c r="E53">
        <v>1963</v>
      </c>
      <c r="F53" s="38">
        <v>65.529247866912172</v>
      </c>
      <c r="H53" s="38"/>
    </row>
    <row r="54" spans="5:8">
      <c r="E54">
        <v>1964</v>
      </c>
      <c r="F54" s="38">
        <v>66.798345509361127</v>
      </c>
      <c r="H54" s="38"/>
    </row>
    <row r="55" spans="5:8">
      <c r="E55">
        <v>1965</v>
      </c>
      <c r="F55" s="38">
        <v>68.023074758592415</v>
      </c>
      <c r="H55" s="38"/>
    </row>
    <row r="56" spans="5:8">
      <c r="E56">
        <v>1966</v>
      </c>
      <c r="F56" s="38">
        <v>69.994692262232945</v>
      </c>
      <c r="H56" s="38"/>
    </row>
    <row r="57" spans="5:8">
      <c r="E57">
        <v>1967</v>
      </c>
      <c r="F57" s="38">
        <v>72.114407748849345</v>
      </c>
      <c r="H57" s="38"/>
    </row>
    <row r="58" spans="5:8">
      <c r="E58">
        <v>1968</v>
      </c>
      <c r="F58" s="38">
        <v>74.376503878546544</v>
      </c>
      <c r="H58" s="38"/>
    </row>
    <row r="59" spans="5:8">
      <c r="E59">
        <v>1969</v>
      </c>
      <c r="F59" s="38">
        <v>78.157940627424878</v>
      </c>
      <c r="H59" s="38"/>
    </row>
    <row r="60" spans="5:8">
      <c r="E60">
        <v>1970</v>
      </c>
      <c r="F60" s="38">
        <v>84.159768694950884</v>
      </c>
      <c r="H60" s="38"/>
    </row>
    <row r="61" spans="5:8">
      <c r="E61">
        <v>1971</v>
      </c>
      <c r="F61" s="38">
        <v>90.913755559641004</v>
      </c>
      <c r="H61" s="38"/>
    </row>
    <row r="62" spans="5:8">
      <c r="E62">
        <v>1972</v>
      </c>
      <c r="F62" s="38">
        <v>96.466252399589735</v>
      </c>
      <c r="H62" s="38"/>
    </row>
    <row r="63" spans="5:8">
      <c r="E63">
        <v>1973</v>
      </c>
      <c r="F63" s="38">
        <v>100</v>
      </c>
      <c r="H63" s="38"/>
    </row>
    <row r="64" spans="5:8">
      <c r="E64">
        <v>1974</v>
      </c>
      <c r="F64" s="38">
        <v>116.78816348470518</v>
      </c>
      <c r="H64" s="38"/>
    </row>
    <row r="65" spans="5:8">
      <c r="E65">
        <v>1975</v>
      </c>
      <c r="F65" s="38">
        <v>132.6238397713208</v>
      </c>
      <c r="H65" s="38"/>
    </row>
    <row r="66" spans="5:8">
      <c r="E66">
        <v>1976</v>
      </c>
      <c r="F66" s="38">
        <v>141.49078841762727</v>
      </c>
      <c r="H66" s="38"/>
    </row>
    <row r="67" spans="5:8">
      <c r="E67">
        <v>1977</v>
      </c>
      <c r="F67" s="38">
        <v>150.5423377431413</v>
      </c>
      <c r="H67" s="38"/>
    </row>
    <row r="68" spans="5:8">
      <c r="E68">
        <v>1978</v>
      </c>
      <c r="F68" s="38">
        <v>163.49524934345405</v>
      </c>
      <c r="H68" s="38"/>
    </row>
    <row r="69" spans="5:8">
      <c r="E69">
        <v>1979</v>
      </c>
      <c r="F69" s="38">
        <v>177.03810655976415</v>
      </c>
      <c r="H69" s="38"/>
    </row>
    <row r="70" spans="5:8">
      <c r="E70">
        <v>1980</v>
      </c>
      <c r="F70" s="38">
        <v>192.94028465917145</v>
      </c>
      <c r="H70" s="38"/>
    </row>
    <row r="71" spans="5:8">
      <c r="E71">
        <v>1981</v>
      </c>
      <c r="F71" s="38">
        <v>212.26137173836995</v>
      </c>
      <c r="H71" s="38"/>
    </row>
    <row r="72" spans="5:8">
      <c r="E72">
        <v>1982</v>
      </c>
      <c r="F72" s="38">
        <v>226.49395169942284</v>
      </c>
      <c r="H72" s="38"/>
    </row>
    <row r="73" spans="5:8">
      <c r="E73">
        <v>1983</v>
      </c>
      <c r="F73" s="38">
        <v>232.65673227795091</v>
      </c>
      <c r="H73" s="38"/>
    </row>
    <row r="74" spans="5:8">
      <c r="E74">
        <v>1984</v>
      </c>
      <c r="F74" s="38">
        <v>238.25286799410205</v>
      </c>
      <c r="H74" s="38"/>
    </row>
    <row r="75" spans="5:8">
      <c r="E75">
        <v>1985</v>
      </c>
      <c r="F75" s="38">
        <v>240.15570222826273</v>
      </c>
      <c r="H75" s="38"/>
    </row>
    <row r="76" spans="5:8">
      <c r="E76">
        <v>1986</v>
      </c>
      <c r="F76" s="38">
        <v>236.46332286183471</v>
      </c>
      <c r="H76" s="38"/>
    </row>
    <row r="77" spans="5:8">
      <c r="E77">
        <v>1987</v>
      </c>
      <c r="F77" s="38">
        <v>242.95856539493946</v>
      </c>
      <c r="H77" s="38"/>
    </row>
    <row r="78" spans="5:8">
      <c r="E78">
        <v>1988</v>
      </c>
      <c r="F78" s="38">
        <v>257.40331762744523</v>
      </c>
      <c r="H78" s="38"/>
    </row>
    <row r="79" spans="5:8">
      <c r="E79">
        <v>1989</v>
      </c>
      <c r="F79" s="38">
        <v>269.9314976218098</v>
      </c>
      <c r="H79" s="38"/>
    </row>
    <row r="80" spans="5:8">
      <c r="E80">
        <v>1990</v>
      </c>
      <c r="F80" s="38">
        <v>274.63210887657243</v>
      </c>
      <c r="H80" s="38"/>
    </row>
    <row r="81" spans="5:8">
      <c r="E81">
        <v>1991</v>
      </c>
      <c r="F81" s="38">
        <v>280.93755467677551</v>
      </c>
      <c r="H81" s="38"/>
    </row>
    <row r="82" spans="5:8">
      <c r="E82">
        <v>1992</v>
      </c>
      <c r="F82" s="38">
        <v>286.38232352062226</v>
      </c>
      <c r="H82" s="38"/>
    </row>
    <row r="83" spans="5:8">
      <c r="E83">
        <v>1993</v>
      </c>
      <c r="F83" s="38">
        <v>293.43960285298232</v>
      </c>
      <c r="H83" s="38"/>
    </row>
    <row r="84" spans="5:8">
      <c r="E84">
        <v>1994</v>
      </c>
      <c r="F84" s="38">
        <v>306.46887616521531</v>
      </c>
      <c r="H84" s="38"/>
    </row>
    <row r="85" spans="5:8">
      <c r="E85">
        <v>1995</v>
      </c>
      <c r="F85" s="38">
        <v>312.42588072707218</v>
      </c>
      <c r="H85" s="38"/>
    </row>
    <row r="86" spans="5:8">
      <c r="E86">
        <v>1996</v>
      </c>
      <c r="F86" s="38">
        <v>316.82009199748859</v>
      </c>
      <c r="H86" s="38"/>
    </row>
    <row r="87" spans="5:8">
      <c r="E87">
        <v>1997</v>
      </c>
      <c r="F87" s="38">
        <v>324.20809950967623</v>
      </c>
      <c r="H87" s="38"/>
    </row>
    <row r="88" spans="5:8">
      <c r="E88">
        <v>1998</v>
      </c>
      <c r="F88" s="38">
        <v>329.24564746449528</v>
      </c>
      <c r="H88" s="38"/>
    </row>
    <row r="89" spans="5:8">
      <c r="E89">
        <v>1999</v>
      </c>
      <c r="F89" s="38">
        <v>335.32499146683239</v>
      </c>
      <c r="H89" s="38"/>
    </row>
    <row r="90" spans="5:8">
      <c r="E90">
        <v>2000</v>
      </c>
      <c r="F90" s="38">
        <v>346.53371782150339</v>
      </c>
      <c r="H90" s="38"/>
    </row>
    <row r="91" spans="5:8">
      <c r="E91">
        <v>2001</v>
      </c>
      <c r="F91" s="38">
        <v>353.44738017483138</v>
      </c>
      <c r="H91" s="38"/>
    </row>
    <row r="92" spans="5:8">
      <c r="E92">
        <v>2002</v>
      </c>
      <c r="F92" s="38">
        <v>361.34816573413599</v>
      </c>
      <c r="H92" s="38"/>
    </row>
    <row r="93" spans="5:8">
      <c r="E93">
        <v>2003</v>
      </c>
      <c r="F93" s="38">
        <v>369.23301095560191</v>
      </c>
      <c r="H93" s="38"/>
    </row>
    <row r="94" spans="5:8">
      <c r="E94">
        <v>2004</v>
      </c>
      <c r="F94" s="38">
        <v>414.88719135228365</v>
      </c>
      <c r="H94" s="38"/>
    </row>
    <row r="95" spans="5:8">
      <c r="E95">
        <v>2005</v>
      </c>
      <c r="F95" s="38">
        <v>469.20514034936258</v>
      </c>
      <c r="H95" s="38"/>
    </row>
    <row r="96" spans="5:8">
      <c r="E96">
        <v>2006</v>
      </c>
      <c r="F96" s="38">
        <v>461.08567272971823</v>
      </c>
      <c r="H96" s="38"/>
    </row>
    <row r="97" spans="5:8">
      <c r="E97">
        <v>2007</v>
      </c>
      <c r="F97" s="38">
        <v>498.0223154772637</v>
      </c>
      <c r="H97" s="38"/>
    </row>
    <row r="98" spans="5:8">
      <c r="E98">
        <v>2008</v>
      </c>
      <c r="F98" s="38">
        <v>569.88120333515076</v>
      </c>
      <c r="H98" s="38"/>
    </row>
    <row r="99" spans="5:8">
      <c r="E99">
        <v>2009</v>
      </c>
      <c r="F99" s="38">
        <v>550.94063679692806</v>
      </c>
      <c r="H99" s="38"/>
    </row>
    <row r="100" spans="5:8">
      <c r="E100">
        <v>2010</v>
      </c>
      <c r="F100" s="38">
        <v>568.98950262971744</v>
      </c>
      <c r="H100" s="38"/>
    </row>
    <row r="101" spans="5:8">
      <c r="E101">
        <v>2011</v>
      </c>
      <c r="F101" s="38">
        <v>611.61109612283201</v>
      </c>
      <c r="H101" s="38"/>
    </row>
    <row r="102" spans="5:8">
      <c r="E102">
        <v>2012</v>
      </c>
      <c r="F102" s="38">
        <v>668.91932211262167</v>
      </c>
      <c r="H102" s="38"/>
    </row>
    <row r="103" spans="5:8">
      <c r="E103">
        <v>2013</v>
      </c>
      <c r="F103" s="38">
        <v>663.24840548821396</v>
      </c>
      <c r="H103" s="38"/>
    </row>
    <row r="104" spans="5:8">
      <c r="E104">
        <v>2014</v>
      </c>
      <c r="F104" s="38">
        <v>684.46914285042885</v>
      </c>
      <c r="H104" s="38"/>
    </row>
    <row r="105" spans="5:8">
      <c r="E105">
        <v>2015</v>
      </c>
      <c r="F105" s="38">
        <v>675.61463308665782</v>
      </c>
      <c r="H105" s="38"/>
    </row>
    <row r="106" spans="5:8">
      <c r="E106">
        <v>2016</v>
      </c>
      <c r="F106" s="38">
        <v>671.45639385971219</v>
      </c>
      <c r="H106" s="38"/>
    </row>
    <row r="107" spans="5:8">
      <c r="E107">
        <v>2017</v>
      </c>
      <c r="F107" s="38">
        <v>712.42858370229726</v>
      </c>
      <c r="H107" s="38"/>
    </row>
    <row r="108" spans="5:8">
      <c r="E108">
        <v>2018</v>
      </c>
      <c r="F108" s="38">
        <v>755.13671434174842</v>
      </c>
      <c r="H108" s="38"/>
    </row>
    <row r="109" spans="5:8">
      <c r="E109">
        <v>2019</v>
      </c>
      <c r="F109" s="38">
        <v>773.53929793938721</v>
      </c>
      <c r="H109" s="38"/>
    </row>
    <row r="110" spans="5:8">
      <c r="E110">
        <v>2020</v>
      </c>
      <c r="F110" s="38">
        <v>813.080162458833</v>
      </c>
      <c r="H110" s="38"/>
    </row>
    <row r="111" spans="5:8">
      <c r="E111">
        <v>2021</v>
      </c>
      <c r="F111" s="38">
        <v>933.02249921662576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1F8AA-7438-49A0-8BAC-7BD4D327B328}">
  <dimension ref="A3:Z91"/>
  <sheetViews>
    <sheetView topLeftCell="B1" zoomScaleNormal="100" workbookViewId="0">
      <selection activeCell="Y6" sqref="Y6"/>
    </sheetView>
  </sheetViews>
  <sheetFormatPr defaultRowHeight="13.15"/>
  <cols>
    <col min="1" max="1" width="48.5703125" style="1" customWidth="1"/>
    <col min="2" max="2" width="16.28515625" style="1" customWidth="1"/>
    <col min="3" max="3" width="17.5703125" style="1" customWidth="1"/>
    <col min="4" max="256" width="9.140625" style="1"/>
    <col min="257" max="257" width="48.5703125" style="1" customWidth="1"/>
    <col min="258" max="258" width="16.28515625" style="1" customWidth="1"/>
    <col min="259" max="259" width="17.5703125" style="1" customWidth="1"/>
    <col min="260" max="512" width="9.140625" style="1"/>
    <col min="513" max="513" width="48.5703125" style="1" customWidth="1"/>
    <col min="514" max="514" width="16.28515625" style="1" customWidth="1"/>
    <col min="515" max="515" width="17.5703125" style="1" customWidth="1"/>
    <col min="516" max="768" width="9.140625" style="1"/>
    <col min="769" max="769" width="48.5703125" style="1" customWidth="1"/>
    <col min="770" max="770" width="16.28515625" style="1" customWidth="1"/>
    <col min="771" max="771" width="17.5703125" style="1" customWidth="1"/>
    <col min="772" max="1024" width="9.140625" style="1"/>
    <col min="1025" max="1025" width="48.5703125" style="1" customWidth="1"/>
    <col min="1026" max="1026" width="16.28515625" style="1" customWidth="1"/>
    <col min="1027" max="1027" width="17.5703125" style="1" customWidth="1"/>
    <col min="1028" max="1280" width="9.140625" style="1"/>
    <col min="1281" max="1281" width="48.5703125" style="1" customWidth="1"/>
    <col min="1282" max="1282" width="16.28515625" style="1" customWidth="1"/>
    <col min="1283" max="1283" width="17.5703125" style="1" customWidth="1"/>
    <col min="1284" max="1536" width="9.140625" style="1"/>
    <col min="1537" max="1537" width="48.5703125" style="1" customWidth="1"/>
    <col min="1538" max="1538" width="16.28515625" style="1" customWidth="1"/>
    <col min="1539" max="1539" width="17.5703125" style="1" customWidth="1"/>
    <col min="1540" max="1792" width="9.140625" style="1"/>
    <col min="1793" max="1793" width="48.5703125" style="1" customWidth="1"/>
    <col min="1794" max="1794" width="16.28515625" style="1" customWidth="1"/>
    <col min="1795" max="1795" width="17.5703125" style="1" customWidth="1"/>
    <col min="1796" max="2048" width="9.140625" style="1"/>
    <col min="2049" max="2049" width="48.5703125" style="1" customWidth="1"/>
    <col min="2050" max="2050" width="16.28515625" style="1" customWidth="1"/>
    <col min="2051" max="2051" width="17.5703125" style="1" customWidth="1"/>
    <col min="2052" max="2304" width="9.140625" style="1"/>
    <col min="2305" max="2305" width="48.5703125" style="1" customWidth="1"/>
    <col min="2306" max="2306" width="16.28515625" style="1" customWidth="1"/>
    <col min="2307" max="2307" width="17.5703125" style="1" customWidth="1"/>
    <col min="2308" max="2560" width="9.140625" style="1"/>
    <col min="2561" max="2561" width="48.5703125" style="1" customWidth="1"/>
    <col min="2562" max="2562" width="16.28515625" style="1" customWidth="1"/>
    <col min="2563" max="2563" width="17.5703125" style="1" customWidth="1"/>
    <col min="2564" max="2816" width="9.140625" style="1"/>
    <col min="2817" max="2817" width="48.5703125" style="1" customWidth="1"/>
    <col min="2818" max="2818" width="16.28515625" style="1" customWidth="1"/>
    <col min="2819" max="2819" width="17.5703125" style="1" customWidth="1"/>
    <col min="2820" max="3072" width="9.140625" style="1"/>
    <col min="3073" max="3073" width="48.5703125" style="1" customWidth="1"/>
    <col min="3074" max="3074" width="16.28515625" style="1" customWidth="1"/>
    <col min="3075" max="3075" width="17.5703125" style="1" customWidth="1"/>
    <col min="3076" max="3328" width="9.140625" style="1"/>
    <col min="3329" max="3329" width="48.5703125" style="1" customWidth="1"/>
    <col min="3330" max="3330" width="16.28515625" style="1" customWidth="1"/>
    <col min="3331" max="3331" width="17.5703125" style="1" customWidth="1"/>
    <col min="3332" max="3584" width="9.140625" style="1"/>
    <col min="3585" max="3585" width="48.5703125" style="1" customWidth="1"/>
    <col min="3586" max="3586" width="16.28515625" style="1" customWidth="1"/>
    <col min="3587" max="3587" width="17.5703125" style="1" customWidth="1"/>
    <col min="3588" max="3840" width="9.140625" style="1"/>
    <col min="3841" max="3841" width="48.5703125" style="1" customWidth="1"/>
    <col min="3842" max="3842" width="16.28515625" style="1" customWidth="1"/>
    <col min="3843" max="3843" width="17.5703125" style="1" customWidth="1"/>
    <col min="3844" max="4096" width="9.140625" style="1"/>
    <col min="4097" max="4097" width="48.5703125" style="1" customWidth="1"/>
    <col min="4098" max="4098" width="16.28515625" style="1" customWidth="1"/>
    <col min="4099" max="4099" width="17.5703125" style="1" customWidth="1"/>
    <col min="4100" max="4352" width="9.140625" style="1"/>
    <col min="4353" max="4353" width="48.5703125" style="1" customWidth="1"/>
    <col min="4354" max="4354" width="16.28515625" style="1" customWidth="1"/>
    <col min="4355" max="4355" width="17.5703125" style="1" customWidth="1"/>
    <col min="4356" max="4608" width="9.140625" style="1"/>
    <col min="4609" max="4609" width="48.5703125" style="1" customWidth="1"/>
    <col min="4610" max="4610" width="16.28515625" style="1" customWidth="1"/>
    <col min="4611" max="4611" width="17.5703125" style="1" customWidth="1"/>
    <col min="4612" max="4864" width="9.140625" style="1"/>
    <col min="4865" max="4865" width="48.5703125" style="1" customWidth="1"/>
    <col min="4866" max="4866" width="16.28515625" style="1" customWidth="1"/>
    <col min="4867" max="4867" width="17.5703125" style="1" customWidth="1"/>
    <col min="4868" max="5120" width="9.140625" style="1"/>
    <col min="5121" max="5121" width="48.5703125" style="1" customWidth="1"/>
    <col min="5122" max="5122" width="16.28515625" style="1" customWidth="1"/>
    <col min="5123" max="5123" width="17.5703125" style="1" customWidth="1"/>
    <col min="5124" max="5376" width="9.140625" style="1"/>
    <col min="5377" max="5377" width="48.5703125" style="1" customWidth="1"/>
    <col min="5378" max="5378" width="16.28515625" style="1" customWidth="1"/>
    <col min="5379" max="5379" width="17.5703125" style="1" customWidth="1"/>
    <col min="5380" max="5632" width="9.140625" style="1"/>
    <col min="5633" max="5633" width="48.5703125" style="1" customWidth="1"/>
    <col min="5634" max="5634" width="16.28515625" style="1" customWidth="1"/>
    <col min="5635" max="5635" width="17.5703125" style="1" customWidth="1"/>
    <col min="5636" max="5888" width="9.140625" style="1"/>
    <col min="5889" max="5889" width="48.5703125" style="1" customWidth="1"/>
    <col min="5890" max="5890" width="16.28515625" style="1" customWidth="1"/>
    <col min="5891" max="5891" width="17.5703125" style="1" customWidth="1"/>
    <col min="5892" max="6144" width="9.140625" style="1"/>
    <col min="6145" max="6145" width="48.5703125" style="1" customWidth="1"/>
    <col min="6146" max="6146" width="16.28515625" style="1" customWidth="1"/>
    <col min="6147" max="6147" width="17.5703125" style="1" customWidth="1"/>
    <col min="6148" max="6400" width="9.140625" style="1"/>
    <col min="6401" max="6401" width="48.5703125" style="1" customWidth="1"/>
    <col min="6402" max="6402" width="16.28515625" style="1" customWidth="1"/>
    <col min="6403" max="6403" width="17.5703125" style="1" customWidth="1"/>
    <col min="6404" max="6656" width="9.140625" style="1"/>
    <col min="6657" max="6657" width="48.5703125" style="1" customWidth="1"/>
    <col min="6658" max="6658" width="16.28515625" style="1" customWidth="1"/>
    <col min="6659" max="6659" width="17.5703125" style="1" customWidth="1"/>
    <col min="6660" max="6912" width="9.140625" style="1"/>
    <col min="6913" max="6913" width="48.5703125" style="1" customWidth="1"/>
    <col min="6914" max="6914" width="16.28515625" style="1" customWidth="1"/>
    <col min="6915" max="6915" width="17.5703125" style="1" customWidth="1"/>
    <col min="6916" max="7168" width="9.140625" style="1"/>
    <col min="7169" max="7169" width="48.5703125" style="1" customWidth="1"/>
    <col min="7170" max="7170" width="16.28515625" style="1" customWidth="1"/>
    <col min="7171" max="7171" width="17.5703125" style="1" customWidth="1"/>
    <col min="7172" max="7424" width="9.140625" style="1"/>
    <col min="7425" max="7425" width="48.5703125" style="1" customWidth="1"/>
    <col min="7426" max="7426" width="16.28515625" style="1" customWidth="1"/>
    <col min="7427" max="7427" width="17.5703125" style="1" customWidth="1"/>
    <col min="7428" max="7680" width="9.140625" style="1"/>
    <col min="7681" max="7681" width="48.5703125" style="1" customWidth="1"/>
    <col min="7682" max="7682" width="16.28515625" style="1" customWidth="1"/>
    <col min="7683" max="7683" width="17.5703125" style="1" customWidth="1"/>
    <col min="7684" max="7936" width="9.140625" style="1"/>
    <col min="7937" max="7937" width="48.5703125" style="1" customWidth="1"/>
    <col min="7938" max="7938" width="16.28515625" style="1" customWidth="1"/>
    <col min="7939" max="7939" width="17.5703125" style="1" customWidth="1"/>
    <col min="7940" max="8192" width="9.140625" style="1"/>
    <col min="8193" max="8193" width="48.5703125" style="1" customWidth="1"/>
    <col min="8194" max="8194" width="16.28515625" style="1" customWidth="1"/>
    <col min="8195" max="8195" width="17.5703125" style="1" customWidth="1"/>
    <col min="8196" max="8448" width="9.140625" style="1"/>
    <col min="8449" max="8449" width="48.5703125" style="1" customWidth="1"/>
    <col min="8450" max="8450" width="16.28515625" style="1" customWidth="1"/>
    <col min="8451" max="8451" width="17.5703125" style="1" customWidth="1"/>
    <col min="8452" max="8704" width="9.140625" style="1"/>
    <col min="8705" max="8705" width="48.5703125" style="1" customWidth="1"/>
    <col min="8706" max="8706" width="16.28515625" style="1" customWidth="1"/>
    <col min="8707" max="8707" width="17.5703125" style="1" customWidth="1"/>
    <col min="8708" max="8960" width="9.140625" style="1"/>
    <col min="8961" max="8961" width="48.5703125" style="1" customWidth="1"/>
    <col min="8962" max="8962" width="16.28515625" style="1" customWidth="1"/>
    <col min="8963" max="8963" width="17.5703125" style="1" customWidth="1"/>
    <col min="8964" max="9216" width="9.140625" style="1"/>
    <col min="9217" max="9217" width="48.5703125" style="1" customWidth="1"/>
    <col min="9218" max="9218" width="16.28515625" style="1" customWidth="1"/>
    <col min="9219" max="9219" width="17.5703125" style="1" customWidth="1"/>
    <col min="9220" max="9472" width="9.140625" style="1"/>
    <col min="9473" max="9473" width="48.5703125" style="1" customWidth="1"/>
    <col min="9474" max="9474" width="16.28515625" style="1" customWidth="1"/>
    <col min="9475" max="9475" width="17.5703125" style="1" customWidth="1"/>
    <col min="9476" max="9728" width="9.140625" style="1"/>
    <col min="9729" max="9729" width="48.5703125" style="1" customWidth="1"/>
    <col min="9730" max="9730" width="16.28515625" style="1" customWidth="1"/>
    <col min="9731" max="9731" width="17.5703125" style="1" customWidth="1"/>
    <col min="9732" max="9984" width="9.140625" style="1"/>
    <col min="9985" max="9985" width="48.5703125" style="1" customWidth="1"/>
    <col min="9986" max="9986" width="16.28515625" style="1" customWidth="1"/>
    <col min="9987" max="9987" width="17.5703125" style="1" customWidth="1"/>
    <col min="9988" max="10240" width="9.140625" style="1"/>
    <col min="10241" max="10241" width="48.5703125" style="1" customWidth="1"/>
    <col min="10242" max="10242" width="16.28515625" style="1" customWidth="1"/>
    <col min="10243" max="10243" width="17.5703125" style="1" customWidth="1"/>
    <col min="10244" max="10496" width="9.140625" style="1"/>
    <col min="10497" max="10497" width="48.5703125" style="1" customWidth="1"/>
    <col min="10498" max="10498" width="16.28515625" style="1" customWidth="1"/>
    <col min="10499" max="10499" width="17.5703125" style="1" customWidth="1"/>
    <col min="10500" max="10752" width="9.140625" style="1"/>
    <col min="10753" max="10753" width="48.5703125" style="1" customWidth="1"/>
    <col min="10754" max="10754" width="16.28515625" style="1" customWidth="1"/>
    <col min="10755" max="10755" width="17.5703125" style="1" customWidth="1"/>
    <col min="10756" max="11008" width="9.140625" style="1"/>
    <col min="11009" max="11009" width="48.5703125" style="1" customWidth="1"/>
    <col min="11010" max="11010" width="16.28515625" style="1" customWidth="1"/>
    <col min="11011" max="11011" width="17.5703125" style="1" customWidth="1"/>
    <col min="11012" max="11264" width="9.140625" style="1"/>
    <col min="11265" max="11265" width="48.5703125" style="1" customWidth="1"/>
    <col min="11266" max="11266" width="16.28515625" style="1" customWidth="1"/>
    <col min="11267" max="11267" width="17.5703125" style="1" customWidth="1"/>
    <col min="11268" max="11520" width="9.140625" style="1"/>
    <col min="11521" max="11521" width="48.5703125" style="1" customWidth="1"/>
    <col min="11522" max="11522" width="16.28515625" style="1" customWidth="1"/>
    <col min="11523" max="11523" width="17.5703125" style="1" customWidth="1"/>
    <col min="11524" max="11776" width="9.140625" style="1"/>
    <col min="11777" max="11777" width="48.5703125" style="1" customWidth="1"/>
    <col min="11778" max="11778" width="16.28515625" style="1" customWidth="1"/>
    <col min="11779" max="11779" width="17.5703125" style="1" customWidth="1"/>
    <col min="11780" max="12032" width="9.140625" style="1"/>
    <col min="12033" max="12033" width="48.5703125" style="1" customWidth="1"/>
    <col min="12034" max="12034" width="16.28515625" style="1" customWidth="1"/>
    <col min="12035" max="12035" width="17.5703125" style="1" customWidth="1"/>
    <col min="12036" max="12288" width="9.140625" style="1"/>
    <col min="12289" max="12289" width="48.5703125" style="1" customWidth="1"/>
    <col min="12290" max="12290" width="16.28515625" style="1" customWidth="1"/>
    <col min="12291" max="12291" width="17.5703125" style="1" customWidth="1"/>
    <col min="12292" max="12544" width="9.140625" style="1"/>
    <col min="12545" max="12545" width="48.5703125" style="1" customWidth="1"/>
    <col min="12546" max="12546" width="16.28515625" style="1" customWidth="1"/>
    <col min="12547" max="12547" width="17.5703125" style="1" customWidth="1"/>
    <col min="12548" max="12800" width="9.140625" style="1"/>
    <col min="12801" max="12801" width="48.5703125" style="1" customWidth="1"/>
    <col min="12802" max="12802" width="16.28515625" style="1" customWidth="1"/>
    <col min="12803" max="12803" width="17.5703125" style="1" customWidth="1"/>
    <col min="12804" max="13056" width="9.140625" style="1"/>
    <col min="13057" max="13057" width="48.5703125" style="1" customWidth="1"/>
    <col min="13058" max="13058" width="16.28515625" style="1" customWidth="1"/>
    <col min="13059" max="13059" width="17.5703125" style="1" customWidth="1"/>
    <col min="13060" max="13312" width="9.140625" style="1"/>
    <col min="13313" max="13313" width="48.5703125" style="1" customWidth="1"/>
    <col min="13314" max="13314" width="16.28515625" style="1" customWidth="1"/>
    <col min="13315" max="13315" width="17.5703125" style="1" customWidth="1"/>
    <col min="13316" max="13568" width="9.140625" style="1"/>
    <col min="13569" max="13569" width="48.5703125" style="1" customWidth="1"/>
    <col min="13570" max="13570" width="16.28515625" style="1" customWidth="1"/>
    <col min="13571" max="13571" width="17.5703125" style="1" customWidth="1"/>
    <col min="13572" max="13824" width="9.140625" style="1"/>
    <col min="13825" max="13825" width="48.5703125" style="1" customWidth="1"/>
    <col min="13826" max="13826" width="16.28515625" style="1" customWidth="1"/>
    <col min="13827" max="13827" width="17.5703125" style="1" customWidth="1"/>
    <col min="13828" max="14080" width="9.140625" style="1"/>
    <col min="14081" max="14081" width="48.5703125" style="1" customWidth="1"/>
    <col min="14082" max="14082" width="16.28515625" style="1" customWidth="1"/>
    <col min="14083" max="14083" width="17.5703125" style="1" customWidth="1"/>
    <col min="14084" max="14336" width="9.140625" style="1"/>
    <col min="14337" max="14337" width="48.5703125" style="1" customWidth="1"/>
    <col min="14338" max="14338" width="16.28515625" style="1" customWidth="1"/>
    <col min="14339" max="14339" width="17.5703125" style="1" customWidth="1"/>
    <col min="14340" max="14592" width="9.140625" style="1"/>
    <col min="14593" max="14593" width="48.5703125" style="1" customWidth="1"/>
    <col min="14594" max="14594" width="16.28515625" style="1" customWidth="1"/>
    <col min="14595" max="14595" width="17.5703125" style="1" customWidth="1"/>
    <col min="14596" max="14848" width="9.140625" style="1"/>
    <col min="14849" max="14849" width="48.5703125" style="1" customWidth="1"/>
    <col min="14850" max="14850" width="16.28515625" style="1" customWidth="1"/>
    <col min="14851" max="14851" width="17.5703125" style="1" customWidth="1"/>
    <col min="14852" max="15104" width="9.140625" style="1"/>
    <col min="15105" max="15105" width="48.5703125" style="1" customWidth="1"/>
    <col min="15106" max="15106" width="16.28515625" style="1" customWidth="1"/>
    <col min="15107" max="15107" width="17.5703125" style="1" customWidth="1"/>
    <col min="15108" max="15360" width="9.140625" style="1"/>
    <col min="15361" max="15361" width="48.5703125" style="1" customWidth="1"/>
    <col min="15362" max="15362" width="16.28515625" style="1" customWidth="1"/>
    <col min="15363" max="15363" width="17.5703125" style="1" customWidth="1"/>
    <col min="15364" max="15616" width="9.140625" style="1"/>
    <col min="15617" max="15617" width="48.5703125" style="1" customWidth="1"/>
    <col min="15618" max="15618" width="16.28515625" style="1" customWidth="1"/>
    <col min="15619" max="15619" width="17.5703125" style="1" customWidth="1"/>
    <col min="15620" max="15872" width="9.140625" style="1"/>
    <col min="15873" max="15873" width="48.5703125" style="1" customWidth="1"/>
    <col min="15874" max="15874" width="16.28515625" style="1" customWidth="1"/>
    <col min="15875" max="15875" width="17.5703125" style="1" customWidth="1"/>
    <col min="15876" max="16128" width="9.140625" style="1"/>
    <col min="16129" max="16129" width="48.5703125" style="1" customWidth="1"/>
    <col min="16130" max="16130" width="16.28515625" style="1" customWidth="1"/>
    <col min="16131" max="16131" width="17.5703125" style="1" customWidth="1"/>
    <col min="16132" max="16384" width="9.140625" style="1"/>
  </cols>
  <sheetData>
    <row r="3" spans="1:26" ht="26.45">
      <c r="A3" s="2" t="s">
        <v>0</v>
      </c>
      <c r="B3" s="2" t="s">
        <v>1</v>
      </c>
      <c r="C3" s="2" t="s">
        <v>2</v>
      </c>
    </row>
    <row r="4" spans="1:26">
      <c r="A4" s="2" t="s">
        <v>508</v>
      </c>
      <c r="B4" s="2" t="s">
        <v>509</v>
      </c>
      <c r="C4" s="2" t="s">
        <v>510</v>
      </c>
    </row>
    <row r="5" spans="1:26">
      <c r="A5" s="2"/>
      <c r="B5" s="2"/>
      <c r="C5" s="2"/>
    </row>
    <row r="6" spans="1:26">
      <c r="A6" s="2"/>
      <c r="B6" s="2"/>
      <c r="C6" s="2"/>
      <c r="D6" s="3">
        <v>1998</v>
      </c>
      <c r="E6" s="3">
        <v>1999</v>
      </c>
      <c r="F6" s="3">
        <v>2000</v>
      </c>
      <c r="G6" s="3">
        <v>2001</v>
      </c>
      <c r="H6" s="3">
        <v>2002</v>
      </c>
      <c r="I6" s="3">
        <v>2003</v>
      </c>
      <c r="J6" s="3">
        <v>2004</v>
      </c>
      <c r="K6" s="3">
        <v>2005</v>
      </c>
      <c r="L6" s="3">
        <v>2006</v>
      </c>
      <c r="M6" s="3">
        <v>2007</v>
      </c>
      <c r="N6" s="3">
        <v>2008</v>
      </c>
      <c r="O6" s="3">
        <v>2009</v>
      </c>
      <c r="P6" s="3">
        <v>2010</v>
      </c>
      <c r="Q6" s="3">
        <v>2011</v>
      </c>
      <c r="R6" s="3">
        <v>2012</v>
      </c>
      <c r="S6" s="3">
        <v>2013</v>
      </c>
      <c r="T6" s="3">
        <v>2014</v>
      </c>
      <c r="U6" s="3">
        <v>2015</v>
      </c>
      <c r="V6" s="3">
        <v>2016</v>
      </c>
      <c r="W6" s="3">
        <v>2017</v>
      </c>
      <c r="X6" s="3">
        <v>2018</v>
      </c>
      <c r="Y6" s="3">
        <v>2019</v>
      </c>
      <c r="Z6" s="3">
        <v>2020</v>
      </c>
    </row>
    <row r="7" spans="1:26">
      <c r="A7" s="6" t="s">
        <v>511</v>
      </c>
      <c r="B7" s="7">
        <v>4058513</v>
      </c>
      <c r="C7" s="6" t="s">
        <v>166</v>
      </c>
      <c r="D7" s="46">
        <v>0.39224999999999999</v>
      </c>
      <c r="E7" s="46">
        <v>0.39224999999999999</v>
      </c>
      <c r="F7" s="46">
        <v>0.39224999999999999</v>
      </c>
      <c r="G7" s="46">
        <v>0.39224999999999999</v>
      </c>
      <c r="H7" s="46">
        <v>0.39224999999999999</v>
      </c>
      <c r="I7" s="46">
        <v>0.39224999999999999</v>
      </c>
      <c r="J7" s="46">
        <v>0.39224999999999999</v>
      </c>
      <c r="K7" s="46">
        <v>0.39224999999999999</v>
      </c>
      <c r="L7" s="46">
        <v>0.39224999999999999</v>
      </c>
      <c r="M7" s="46">
        <v>0.39224999999999999</v>
      </c>
      <c r="N7" s="46">
        <v>0.39224999999999999</v>
      </c>
      <c r="O7" s="46">
        <v>0.39224999999999999</v>
      </c>
      <c r="P7" s="46">
        <v>0.39224999999999999</v>
      </c>
      <c r="Q7" s="46">
        <v>0.39224999999999999</v>
      </c>
      <c r="R7" s="46">
        <v>0.39224999999999999</v>
      </c>
      <c r="S7" s="46">
        <v>0.39224999999999999</v>
      </c>
      <c r="T7" s="46">
        <v>0.39224999999999999</v>
      </c>
      <c r="U7" s="46">
        <v>0.39224999999999999</v>
      </c>
      <c r="V7" s="46">
        <v>0.39224999999999999</v>
      </c>
      <c r="W7" s="46">
        <v>0.25224999999999997</v>
      </c>
      <c r="X7" s="46">
        <v>0.25224999999999997</v>
      </c>
      <c r="Y7" s="46">
        <v>0.25224999999999997</v>
      </c>
      <c r="Z7" s="46">
        <v>0.25224999999999997</v>
      </c>
    </row>
    <row r="8" spans="1:26">
      <c r="A8" s="6" t="s">
        <v>512</v>
      </c>
      <c r="B8" s="7">
        <v>4054707</v>
      </c>
      <c r="C8" s="6" t="s">
        <v>99</v>
      </c>
      <c r="D8" s="46">
        <v>0.35</v>
      </c>
      <c r="E8" s="46">
        <v>0.35</v>
      </c>
      <c r="F8" s="46">
        <v>0.35</v>
      </c>
      <c r="G8" s="46">
        <v>0.35</v>
      </c>
      <c r="H8" s="46">
        <v>0.35</v>
      </c>
      <c r="I8" s="46">
        <v>0.35</v>
      </c>
      <c r="J8" s="46">
        <v>0.35</v>
      </c>
      <c r="K8" s="46">
        <v>0.35</v>
      </c>
      <c r="L8" s="46">
        <v>0.35</v>
      </c>
      <c r="M8" s="46">
        <v>0.35</v>
      </c>
      <c r="N8" s="46">
        <v>0.35</v>
      </c>
      <c r="O8" s="46">
        <v>0.35</v>
      </c>
      <c r="P8" s="46">
        <v>0.35</v>
      </c>
      <c r="Q8" s="46">
        <v>0.35</v>
      </c>
      <c r="R8" s="46">
        <v>0.35</v>
      </c>
      <c r="S8" s="46">
        <v>0.35</v>
      </c>
      <c r="T8" s="46">
        <v>0.35</v>
      </c>
      <c r="U8" s="46">
        <v>0.35</v>
      </c>
      <c r="V8" s="46">
        <v>0.35</v>
      </c>
      <c r="W8" s="46">
        <v>0.20999999999999996</v>
      </c>
      <c r="X8" s="46">
        <v>0.20999999999999996</v>
      </c>
      <c r="Y8" s="46">
        <v>0.20999999999999996</v>
      </c>
      <c r="Z8" s="46">
        <v>0.20999999999999996</v>
      </c>
    </row>
    <row r="9" spans="1:26">
      <c r="A9" s="6" t="s">
        <v>513</v>
      </c>
      <c r="B9" s="7">
        <v>4057075</v>
      </c>
      <c r="C9" s="6" t="s">
        <v>146</v>
      </c>
      <c r="D9" s="46">
        <v>0.35</v>
      </c>
      <c r="E9" s="46">
        <v>0.35</v>
      </c>
      <c r="F9" s="46">
        <v>0.35</v>
      </c>
      <c r="G9" s="46">
        <v>0.35</v>
      </c>
      <c r="H9" s="46">
        <v>0.35</v>
      </c>
      <c r="I9" s="46">
        <v>0.35</v>
      </c>
      <c r="J9" s="46">
        <v>0.35</v>
      </c>
      <c r="K9" s="46">
        <v>0.35</v>
      </c>
      <c r="L9" s="46">
        <v>0.35</v>
      </c>
      <c r="M9" s="46">
        <v>0.35</v>
      </c>
      <c r="N9" s="46">
        <v>0.35</v>
      </c>
      <c r="O9" s="46">
        <v>0.35</v>
      </c>
      <c r="P9" s="46">
        <v>0.35</v>
      </c>
      <c r="Q9" s="46">
        <v>0.35</v>
      </c>
      <c r="R9" s="46">
        <v>0.35</v>
      </c>
      <c r="S9" s="46">
        <v>0.35</v>
      </c>
      <c r="T9" s="46">
        <v>0.35</v>
      </c>
      <c r="U9" s="46">
        <v>0.35</v>
      </c>
      <c r="V9" s="46">
        <v>0.35</v>
      </c>
      <c r="W9" s="46">
        <v>0.20999999999999996</v>
      </c>
      <c r="X9" s="46">
        <v>0.20999999999999996</v>
      </c>
      <c r="Y9" s="46">
        <v>0.20999999999999996</v>
      </c>
      <c r="Z9" s="46">
        <v>0.20999999999999996</v>
      </c>
    </row>
    <row r="10" spans="1:26">
      <c r="A10" s="6" t="s">
        <v>514</v>
      </c>
      <c r="B10" s="7">
        <v>4007784</v>
      </c>
      <c r="C10" s="6" t="s">
        <v>155</v>
      </c>
      <c r="D10" s="46">
        <v>0.40091666999999998</v>
      </c>
      <c r="E10" s="46">
        <v>0.40091666999999998</v>
      </c>
      <c r="F10" s="46">
        <v>0.40091666999999998</v>
      </c>
      <c r="G10" s="46">
        <v>0.40091666999999998</v>
      </c>
      <c r="H10" s="46">
        <v>0.40091666999999998</v>
      </c>
      <c r="I10" s="46">
        <v>0.40091666999999998</v>
      </c>
      <c r="J10" s="46">
        <v>0.40091666999999998</v>
      </c>
      <c r="K10" s="46">
        <v>0.40091666999999998</v>
      </c>
      <c r="L10" s="46">
        <v>0.40091666999999998</v>
      </c>
      <c r="M10" s="46">
        <v>0.40091666999999998</v>
      </c>
      <c r="N10" s="46">
        <v>0.40091666999999998</v>
      </c>
      <c r="O10" s="46">
        <v>0.40091666999999998</v>
      </c>
      <c r="P10" s="46">
        <v>0.40091666999999998</v>
      </c>
      <c r="Q10" s="46">
        <v>0.40091666999999998</v>
      </c>
      <c r="R10" s="46">
        <v>0.40091666999999998</v>
      </c>
      <c r="S10" s="46">
        <v>0.40091666999999998</v>
      </c>
      <c r="T10" s="46">
        <v>0.40091666999999998</v>
      </c>
      <c r="U10" s="46">
        <v>0.40091666999999998</v>
      </c>
      <c r="V10" s="46">
        <v>0.40091666999999998</v>
      </c>
      <c r="W10" s="46">
        <v>0.26091666999999996</v>
      </c>
      <c r="X10" s="46">
        <v>0.26091666999999996</v>
      </c>
      <c r="Y10" s="46">
        <v>0.26091666999999996</v>
      </c>
      <c r="Z10" s="46">
        <v>0.26091666999999996</v>
      </c>
    </row>
    <row r="11" spans="1:26">
      <c r="A11" s="6" t="s">
        <v>515</v>
      </c>
      <c r="B11" s="7">
        <v>4058516</v>
      </c>
      <c r="C11" s="6" t="s">
        <v>166</v>
      </c>
      <c r="D11" s="46">
        <v>0.39224999999999999</v>
      </c>
      <c r="E11" s="46">
        <v>0.39224999999999999</v>
      </c>
      <c r="F11" s="46">
        <v>0.39224999999999999</v>
      </c>
      <c r="G11" s="46">
        <v>0.39224999999999999</v>
      </c>
      <c r="H11" s="46">
        <v>0.39224999999999999</v>
      </c>
      <c r="I11" s="46">
        <v>0.39224999999999999</v>
      </c>
      <c r="J11" s="46">
        <v>0.39224999999999999</v>
      </c>
      <c r="K11" s="46">
        <v>0.39224999999999999</v>
      </c>
      <c r="L11" s="46">
        <v>0.39224999999999999</v>
      </c>
      <c r="M11" s="46">
        <v>0.39224999999999999</v>
      </c>
      <c r="N11" s="46">
        <v>0.39224999999999999</v>
      </c>
      <c r="O11" s="46">
        <v>0.39224999999999999</v>
      </c>
      <c r="P11" s="46">
        <v>0.39224999999999999</v>
      </c>
      <c r="Q11" s="46">
        <v>0.39224999999999999</v>
      </c>
      <c r="R11" s="46">
        <v>0.39224999999999999</v>
      </c>
      <c r="S11" s="46">
        <v>0.39224999999999999</v>
      </c>
      <c r="T11" s="46">
        <v>0.39224999999999999</v>
      </c>
      <c r="U11" s="46">
        <v>0.39224999999999999</v>
      </c>
      <c r="V11" s="46">
        <v>0.39224999999999999</v>
      </c>
      <c r="W11" s="46">
        <v>0.25224999999999997</v>
      </c>
      <c r="X11" s="46">
        <v>0.25224999999999997</v>
      </c>
      <c r="Y11" s="46">
        <v>0.25224999999999997</v>
      </c>
      <c r="Z11" s="46">
        <v>0.25224999999999997</v>
      </c>
    </row>
    <row r="12" spans="1:26">
      <c r="A12" s="6" t="s">
        <v>516</v>
      </c>
      <c r="B12" s="7">
        <v>4058793</v>
      </c>
      <c r="C12" s="6" t="s">
        <v>168</v>
      </c>
      <c r="D12" s="46">
        <v>0.40200000000000002</v>
      </c>
      <c r="E12" s="46">
        <v>0.40200000000000002</v>
      </c>
      <c r="F12" s="46">
        <v>0.40200000000000002</v>
      </c>
      <c r="G12" s="46">
        <v>0.40200000000000002</v>
      </c>
      <c r="H12" s="46">
        <v>0.40200000000000002</v>
      </c>
      <c r="I12" s="46">
        <v>0.40200000000000002</v>
      </c>
      <c r="J12" s="46">
        <v>0.40200000000000002</v>
      </c>
      <c r="K12" s="46">
        <v>0.40200000000000002</v>
      </c>
      <c r="L12" s="46">
        <v>0.40200000000000002</v>
      </c>
      <c r="M12" s="46">
        <v>0.40200000000000002</v>
      </c>
      <c r="N12" s="46">
        <v>0.40200000000000002</v>
      </c>
      <c r="O12" s="46">
        <v>0.40200000000000002</v>
      </c>
      <c r="P12" s="46">
        <v>0.40200000000000002</v>
      </c>
      <c r="Q12" s="46">
        <v>0.40200000000000002</v>
      </c>
      <c r="R12" s="46">
        <v>0.40200000000000002</v>
      </c>
      <c r="S12" s="46">
        <v>0.40200000000000002</v>
      </c>
      <c r="T12" s="46">
        <v>0.40200000000000002</v>
      </c>
      <c r="U12" s="46">
        <v>0.40200000000000002</v>
      </c>
      <c r="V12" s="46">
        <v>0.40200000000000002</v>
      </c>
      <c r="W12" s="46">
        <v>0.26200000000000001</v>
      </c>
      <c r="X12" s="46">
        <v>0.26200000000000001</v>
      </c>
      <c r="Y12" s="46">
        <v>0.26200000000000001</v>
      </c>
      <c r="Z12" s="46">
        <v>0.26200000000000001</v>
      </c>
    </row>
    <row r="13" spans="1:26">
      <c r="A13" s="6" t="s">
        <v>517</v>
      </c>
      <c r="B13" s="7">
        <v>4057111</v>
      </c>
      <c r="C13" s="6" t="s">
        <v>164</v>
      </c>
      <c r="D13" s="46">
        <v>0.40700500000000001</v>
      </c>
      <c r="E13" s="46">
        <v>0.40700500000000001</v>
      </c>
      <c r="F13" s="46">
        <v>0.40700500000000001</v>
      </c>
      <c r="G13" s="46">
        <v>0.40700500000000001</v>
      </c>
      <c r="H13" s="46">
        <v>0.40700500000000001</v>
      </c>
      <c r="I13" s="46">
        <v>0.40700500000000001</v>
      </c>
      <c r="J13" s="46">
        <v>0.40700500000000001</v>
      </c>
      <c r="K13" s="46">
        <v>0.40700500000000001</v>
      </c>
      <c r="L13" s="46">
        <v>0.40700500000000001</v>
      </c>
      <c r="M13" s="46">
        <v>0.40700500000000001</v>
      </c>
      <c r="N13" s="46">
        <v>0.40700500000000001</v>
      </c>
      <c r="O13" s="46">
        <v>0.40700500000000001</v>
      </c>
      <c r="P13" s="46">
        <v>0.40700500000000001</v>
      </c>
      <c r="Q13" s="46">
        <v>0.40700500000000001</v>
      </c>
      <c r="R13" s="46">
        <v>0.40700500000000001</v>
      </c>
      <c r="S13" s="46">
        <v>0.40700500000000001</v>
      </c>
      <c r="T13" s="46">
        <v>0.40700500000000001</v>
      </c>
      <c r="U13" s="46">
        <v>0.40700500000000001</v>
      </c>
      <c r="V13" s="46">
        <v>0.40700500000000001</v>
      </c>
      <c r="W13" s="46">
        <v>0.26700499999999999</v>
      </c>
      <c r="X13" s="46">
        <v>0.26700499999999999</v>
      </c>
      <c r="Y13" s="46">
        <v>0.26700499999999999</v>
      </c>
      <c r="Z13" s="46">
        <v>0.26700499999999999</v>
      </c>
    </row>
    <row r="14" spans="1:26">
      <c r="A14" s="6" t="s">
        <v>518</v>
      </c>
      <c r="B14" s="7">
        <v>4018679</v>
      </c>
      <c r="C14" s="6" t="s">
        <v>171</v>
      </c>
      <c r="D14" s="46">
        <v>0.39649667</v>
      </c>
      <c r="E14" s="46">
        <v>0.39649667</v>
      </c>
      <c r="F14" s="46">
        <v>0.39649667</v>
      </c>
      <c r="G14" s="46">
        <v>0.39649667</v>
      </c>
      <c r="H14" s="46">
        <v>0.39649667</v>
      </c>
      <c r="I14" s="46">
        <v>0.39649667</v>
      </c>
      <c r="J14" s="46">
        <v>0.39649667</v>
      </c>
      <c r="K14" s="46">
        <v>0.39649667</v>
      </c>
      <c r="L14" s="46">
        <v>0.39649667</v>
      </c>
      <c r="M14" s="46">
        <v>0.39649667</v>
      </c>
      <c r="N14" s="46">
        <v>0.39649667</v>
      </c>
      <c r="O14" s="46">
        <v>0.39649667</v>
      </c>
      <c r="P14" s="46">
        <v>0.39649667</v>
      </c>
      <c r="Q14" s="46">
        <v>0.39649667</v>
      </c>
      <c r="R14" s="46">
        <v>0.39649667</v>
      </c>
      <c r="S14" s="46">
        <v>0.39649667</v>
      </c>
      <c r="T14" s="46">
        <v>0.39649667</v>
      </c>
      <c r="U14" s="46">
        <v>0.39649667</v>
      </c>
      <c r="V14" s="46">
        <v>0.39649667</v>
      </c>
      <c r="W14" s="46">
        <v>0.25649666999999998</v>
      </c>
      <c r="X14" s="46">
        <v>0.25649666999999998</v>
      </c>
      <c r="Y14" s="46">
        <v>0.25649666999999998</v>
      </c>
      <c r="Z14" s="46">
        <v>0.25649666999999998</v>
      </c>
    </row>
    <row r="15" spans="1:26">
      <c r="A15" s="6" t="s">
        <v>519</v>
      </c>
      <c r="B15" s="7">
        <v>4057112</v>
      </c>
      <c r="C15" s="6" t="s">
        <v>146</v>
      </c>
      <c r="D15" s="46">
        <v>0.35</v>
      </c>
      <c r="E15" s="46">
        <v>0.35</v>
      </c>
      <c r="F15" s="46">
        <v>0.35</v>
      </c>
      <c r="G15" s="46">
        <v>0.35</v>
      </c>
      <c r="H15" s="46">
        <v>0.35</v>
      </c>
      <c r="I15" s="46">
        <v>0.35</v>
      </c>
      <c r="J15" s="46">
        <v>0.35</v>
      </c>
      <c r="K15" s="46">
        <v>0.35</v>
      </c>
      <c r="L15" s="46">
        <v>0.35</v>
      </c>
      <c r="M15" s="46">
        <v>0.35</v>
      </c>
      <c r="N15" s="46">
        <v>0.35</v>
      </c>
      <c r="O15" s="46">
        <v>0.35</v>
      </c>
      <c r="P15" s="46">
        <v>0.35</v>
      </c>
      <c r="Q15" s="46">
        <v>0.35</v>
      </c>
      <c r="R15" s="46">
        <v>0.35</v>
      </c>
      <c r="S15" s="46">
        <v>0.35</v>
      </c>
      <c r="T15" s="46">
        <v>0.35</v>
      </c>
      <c r="U15" s="46">
        <v>0.35</v>
      </c>
      <c r="V15" s="46">
        <v>0.35</v>
      </c>
      <c r="W15" s="46">
        <v>0.20999999999999996</v>
      </c>
      <c r="X15" s="46">
        <v>0.20999999999999996</v>
      </c>
      <c r="Y15" s="46">
        <v>0.20999999999999996</v>
      </c>
      <c r="Z15" s="46">
        <v>0.20999999999999996</v>
      </c>
    </row>
    <row r="16" spans="1:26">
      <c r="A16" s="6" t="s">
        <v>520</v>
      </c>
      <c r="B16" s="7">
        <v>4057076</v>
      </c>
      <c r="C16" s="6" t="s">
        <v>171</v>
      </c>
      <c r="D16" s="46">
        <v>0.39649667</v>
      </c>
      <c r="E16" s="46">
        <v>0.39649667</v>
      </c>
      <c r="F16" s="46">
        <v>0.39649667</v>
      </c>
      <c r="G16" s="46">
        <v>0.39649667</v>
      </c>
      <c r="H16" s="46">
        <v>0.39649667</v>
      </c>
      <c r="I16" s="46">
        <v>0.39649667</v>
      </c>
      <c r="J16" s="46">
        <v>0.39649667</v>
      </c>
      <c r="K16" s="46">
        <v>0.39649667</v>
      </c>
      <c r="L16" s="46">
        <v>0.39649667</v>
      </c>
      <c r="M16" s="46">
        <v>0.39649667</v>
      </c>
      <c r="N16" s="46">
        <v>0.39649667</v>
      </c>
      <c r="O16" s="46">
        <v>0.39649667</v>
      </c>
      <c r="P16" s="46">
        <v>0.39649667</v>
      </c>
      <c r="Q16" s="46">
        <v>0.39649667</v>
      </c>
      <c r="R16" s="46">
        <v>0.39649667</v>
      </c>
      <c r="S16" s="46">
        <v>0.39649667</v>
      </c>
      <c r="T16" s="46">
        <v>0.39649667</v>
      </c>
      <c r="U16" s="46">
        <v>0.39649667</v>
      </c>
      <c r="V16" s="46">
        <v>0.39649667</v>
      </c>
      <c r="W16" s="46">
        <v>0.25649666999999998</v>
      </c>
      <c r="X16" s="46">
        <v>0.25649666999999998</v>
      </c>
      <c r="Y16" s="46">
        <v>0.25649666999999998</v>
      </c>
      <c r="Z16" s="46">
        <v>0.25649666999999998</v>
      </c>
    </row>
    <row r="17" spans="1:26">
      <c r="A17" s="6" t="s">
        <v>521</v>
      </c>
      <c r="B17" s="7">
        <v>4059166</v>
      </c>
      <c r="C17" s="6" t="s">
        <v>522</v>
      </c>
      <c r="D17" s="46">
        <v>0.35</v>
      </c>
      <c r="E17" s="46">
        <v>0.35</v>
      </c>
      <c r="F17" s="46">
        <v>0.35</v>
      </c>
      <c r="G17" s="46">
        <v>0.35</v>
      </c>
      <c r="H17" s="46">
        <v>0.35</v>
      </c>
      <c r="I17" s="46">
        <v>0.35</v>
      </c>
      <c r="J17" s="46">
        <v>0.35</v>
      </c>
      <c r="K17" s="46">
        <v>0.35</v>
      </c>
      <c r="L17" s="46">
        <v>0.35</v>
      </c>
      <c r="M17" s="46">
        <v>0.35</v>
      </c>
      <c r="N17" s="46">
        <v>0.35</v>
      </c>
      <c r="O17" s="46">
        <v>0.35</v>
      </c>
      <c r="P17" s="46">
        <v>0.35</v>
      </c>
      <c r="Q17" s="46">
        <v>0.35</v>
      </c>
      <c r="R17" s="46">
        <v>0.35</v>
      </c>
      <c r="S17" s="46">
        <v>0.35</v>
      </c>
      <c r="T17" s="46">
        <v>0.35</v>
      </c>
      <c r="U17" s="46">
        <v>0.35</v>
      </c>
      <c r="V17" s="46">
        <v>0.35</v>
      </c>
      <c r="W17" s="46">
        <v>0.20999999999999996</v>
      </c>
      <c r="X17" s="46">
        <v>0.20999999999999996</v>
      </c>
      <c r="Y17" s="46">
        <v>0.20999999999999996</v>
      </c>
      <c r="Z17" s="46">
        <v>0.20999999999999996</v>
      </c>
    </row>
    <row r="18" spans="1:26">
      <c r="A18" s="6" t="s">
        <v>523</v>
      </c>
      <c r="B18" s="7">
        <v>4059227</v>
      </c>
      <c r="C18" s="6" t="s">
        <v>184</v>
      </c>
      <c r="D18" s="46">
        <v>0.35</v>
      </c>
      <c r="E18" s="46">
        <v>0.35</v>
      </c>
      <c r="F18" s="46">
        <v>0.35</v>
      </c>
      <c r="G18" s="46">
        <v>0.35</v>
      </c>
      <c r="H18" s="46">
        <v>0.35</v>
      </c>
      <c r="I18" s="46">
        <v>0.35</v>
      </c>
      <c r="J18" s="46">
        <v>0.35</v>
      </c>
      <c r="K18" s="46">
        <v>0.35</v>
      </c>
      <c r="L18" s="46">
        <v>0.35</v>
      </c>
      <c r="M18" s="46">
        <v>0.35</v>
      </c>
      <c r="N18" s="46">
        <v>0.35</v>
      </c>
      <c r="O18" s="46">
        <v>0.35</v>
      </c>
      <c r="P18" s="46">
        <v>0.35</v>
      </c>
      <c r="Q18" s="46">
        <v>0.35</v>
      </c>
      <c r="R18" s="46">
        <v>0.35</v>
      </c>
      <c r="S18" s="46">
        <v>0.35</v>
      </c>
      <c r="T18" s="46">
        <v>0.35</v>
      </c>
      <c r="U18" s="46">
        <v>0.35</v>
      </c>
      <c r="V18" s="46">
        <v>0.35</v>
      </c>
      <c r="W18" s="46">
        <v>0.20999999999999996</v>
      </c>
      <c r="X18" s="46">
        <v>0.20999999999999996</v>
      </c>
      <c r="Y18" s="46">
        <v>0.20999999999999996</v>
      </c>
      <c r="Z18" s="46">
        <v>0.20999999999999996</v>
      </c>
    </row>
    <row r="19" spans="1:26">
      <c r="A19" s="6" t="s">
        <v>524</v>
      </c>
      <c r="B19" s="7">
        <v>4057114</v>
      </c>
      <c r="C19" s="6" t="s">
        <v>164</v>
      </c>
      <c r="D19" s="46">
        <v>0.40700500000000001</v>
      </c>
      <c r="E19" s="46">
        <v>0.40700500000000001</v>
      </c>
      <c r="F19" s="46">
        <v>0.40700500000000001</v>
      </c>
      <c r="G19" s="46">
        <v>0.40700500000000001</v>
      </c>
      <c r="H19" s="46">
        <v>0.40700500000000001</v>
      </c>
      <c r="I19" s="46">
        <v>0.40700500000000001</v>
      </c>
      <c r="J19" s="46">
        <v>0.40700500000000001</v>
      </c>
      <c r="K19" s="46">
        <v>0.40700500000000001</v>
      </c>
      <c r="L19" s="46">
        <v>0.40700500000000001</v>
      </c>
      <c r="M19" s="46">
        <v>0.40700500000000001</v>
      </c>
      <c r="N19" s="46">
        <v>0.40700500000000001</v>
      </c>
      <c r="O19" s="46">
        <v>0.40700500000000001</v>
      </c>
      <c r="P19" s="46">
        <v>0.40700500000000001</v>
      </c>
      <c r="Q19" s="46">
        <v>0.40700500000000001</v>
      </c>
      <c r="R19" s="46">
        <v>0.40700500000000001</v>
      </c>
      <c r="S19" s="46">
        <v>0.40700500000000001</v>
      </c>
      <c r="T19" s="46">
        <v>0.40700500000000001</v>
      </c>
      <c r="U19" s="46">
        <v>0.40700500000000001</v>
      </c>
      <c r="V19" s="46">
        <v>0.40700500000000001</v>
      </c>
      <c r="W19" s="46">
        <v>0.26700499999999999</v>
      </c>
      <c r="X19" s="46">
        <v>0.26700499999999999</v>
      </c>
      <c r="Y19" s="46">
        <v>0.26700499999999999</v>
      </c>
      <c r="Z19" s="46">
        <v>0.26700499999999999</v>
      </c>
    </row>
    <row r="20" spans="1:26">
      <c r="A20" s="6" t="s">
        <v>525</v>
      </c>
      <c r="B20" s="7">
        <v>4059355</v>
      </c>
      <c r="C20" s="6" t="s">
        <v>177</v>
      </c>
      <c r="D20" s="46">
        <v>0.35</v>
      </c>
      <c r="E20" s="46">
        <v>0.35</v>
      </c>
      <c r="F20" s="46">
        <v>0.35</v>
      </c>
      <c r="G20" s="46">
        <v>0.35</v>
      </c>
      <c r="H20" s="46">
        <v>0.35</v>
      </c>
      <c r="I20" s="46">
        <v>0.35</v>
      </c>
      <c r="J20" s="46">
        <v>0.35</v>
      </c>
      <c r="K20" s="46">
        <v>0.35</v>
      </c>
      <c r="L20" s="46">
        <v>0.35</v>
      </c>
      <c r="M20" s="46">
        <v>0.35</v>
      </c>
      <c r="N20" s="46">
        <v>0.35</v>
      </c>
      <c r="O20" s="46">
        <v>0.35</v>
      </c>
      <c r="P20" s="46">
        <v>0.35</v>
      </c>
      <c r="Q20" s="46">
        <v>0.35</v>
      </c>
      <c r="R20" s="46">
        <v>0.35</v>
      </c>
      <c r="S20" s="46">
        <v>0.35</v>
      </c>
      <c r="T20" s="46">
        <v>0.35</v>
      </c>
      <c r="U20" s="46">
        <v>0.35</v>
      </c>
      <c r="V20" s="46">
        <v>0.35</v>
      </c>
      <c r="W20" s="46">
        <v>0.20999999999999996</v>
      </c>
      <c r="X20" s="46">
        <v>0.20999999999999996</v>
      </c>
      <c r="Y20" s="46">
        <v>0.20999999999999996</v>
      </c>
      <c r="Z20" s="46">
        <v>0.20999999999999996</v>
      </c>
    </row>
    <row r="21" spans="1:26">
      <c r="A21" s="6" t="s">
        <v>526</v>
      </c>
      <c r="B21" s="7">
        <v>4088325</v>
      </c>
      <c r="C21" s="6" t="s">
        <v>179</v>
      </c>
      <c r="D21" s="46">
        <v>0.414935</v>
      </c>
      <c r="E21" s="46">
        <v>0.414935</v>
      </c>
      <c r="F21" s="46">
        <v>0.414935</v>
      </c>
      <c r="G21" s="46">
        <v>0.414935</v>
      </c>
      <c r="H21" s="46">
        <v>0.414935</v>
      </c>
      <c r="I21" s="46">
        <v>0.414935</v>
      </c>
      <c r="J21" s="46">
        <v>0.414935</v>
      </c>
      <c r="K21" s="46">
        <v>0.414935</v>
      </c>
      <c r="L21" s="46">
        <v>0.414935</v>
      </c>
      <c r="M21" s="46">
        <v>0.414935</v>
      </c>
      <c r="N21" s="46">
        <v>0.414935</v>
      </c>
      <c r="O21" s="46">
        <v>0.414935</v>
      </c>
      <c r="P21" s="46">
        <v>0.414935</v>
      </c>
      <c r="Q21" s="46">
        <v>0.414935</v>
      </c>
      <c r="R21" s="46">
        <v>0.414935</v>
      </c>
      <c r="S21" s="46">
        <v>0.414935</v>
      </c>
      <c r="T21" s="46">
        <v>0.414935</v>
      </c>
      <c r="U21" s="46">
        <v>0.414935</v>
      </c>
      <c r="V21" s="46">
        <v>0.414935</v>
      </c>
      <c r="W21" s="46">
        <v>0.27493499999999998</v>
      </c>
      <c r="X21" s="46">
        <v>0.27493499999999998</v>
      </c>
      <c r="Y21" s="46">
        <v>0.27493499999999998</v>
      </c>
      <c r="Z21" s="46">
        <v>0.27493499999999998</v>
      </c>
    </row>
    <row r="22" spans="1:26">
      <c r="A22" s="6" t="s">
        <v>527</v>
      </c>
      <c r="B22" s="7">
        <v>4088326</v>
      </c>
      <c r="C22" s="6" t="s">
        <v>177</v>
      </c>
      <c r="D22" s="46">
        <v>0.35</v>
      </c>
      <c r="E22" s="46">
        <v>0.35</v>
      </c>
      <c r="F22" s="46">
        <v>0.35</v>
      </c>
      <c r="G22" s="46">
        <v>0.35</v>
      </c>
      <c r="H22" s="46">
        <v>0.35</v>
      </c>
      <c r="I22" s="46">
        <v>0.35</v>
      </c>
      <c r="J22" s="46">
        <v>0.35</v>
      </c>
      <c r="K22" s="46">
        <v>0.35</v>
      </c>
      <c r="L22" s="46">
        <v>0.35</v>
      </c>
      <c r="M22" s="46">
        <v>0.35</v>
      </c>
      <c r="N22" s="46">
        <v>0.35</v>
      </c>
      <c r="O22" s="46">
        <v>0.35</v>
      </c>
      <c r="P22" s="46">
        <v>0.35</v>
      </c>
      <c r="Q22" s="46">
        <v>0.35</v>
      </c>
      <c r="R22" s="46">
        <v>0.35</v>
      </c>
      <c r="S22" s="46">
        <v>0.35</v>
      </c>
      <c r="T22" s="46">
        <v>0.35</v>
      </c>
      <c r="U22" s="46">
        <v>0.35</v>
      </c>
      <c r="V22" s="46">
        <v>0.35</v>
      </c>
      <c r="W22" s="46">
        <v>0.20999999999999996</v>
      </c>
      <c r="X22" s="46">
        <v>0.20999999999999996</v>
      </c>
      <c r="Y22" s="46">
        <v>0.20999999999999996</v>
      </c>
      <c r="Z22" s="46">
        <v>0.20999999999999996</v>
      </c>
    </row>
    <row r="23" spans="1:26">
      <c r="A23" s="6" t="s">
        <v>528</v>
      </c>
      <c r="B23" s="7">
        <v>4059358</v>
      </c>
      <c r="C23" s="6" t="s">
        <v>179</v>
      </c>
      <c r="D23" s="46">
        <v>0.414935</v>
      </c>
      <c r="E23" s="46">
        <v>0.414935</v>
      </c>
      <c r="F23" s="46">
        <v>0.414935</v>
      </c>
      <c r="G23" s="46">
        <v>0.414935</v>
      </c>
      <c r="H23" s="46">
        <v>0.414935</v>
      </c>
      <c r="I23" s="46">
        <v>0.414935</v>
      </c>
      <c r="J23" s="46">
        <v>0.414935</v>
      </c>
      <c r="K23" s="46">
        <v>0.414935</v>
      </c>
      <c r="L23" s="46">
        <v>0.414935</v>
      </c>
      <c r="M23" s="46">
        <v>0.414935</v>
      </c>
      <c r="N23" s="46">
        <v>0.414935</v>
      </c>
      <c r="O23" s="46">
        <v>0.414935</v>
      </c>
      <c r="P23" s="46">
        <v>0.414935</v>
      </c>
      <c r="Q23" s="46">
        <v>0.414935</v>
      </c>
      <c r="R23" s="46">
        <v>0.414935</v>
      </c>
      <c r="S23" s="46">
        <v>0.414935</v>
      </c>
      <c r="T23" s="46">
        <v>0.414935</v>
      </c>
      <c r="U23" s="46">
        <v>0.414935</v>
      </c>
      <c r="V23" s="46">
        <v>0.414935</v>
      </c>
      <c r="W23" s="46">
        <v>0.27493499999999998</v>
      </c>
      <c r="X23" s="46">
        <v>0.27493499999999998</v>
      </c>
      <c r="Y23" s="46">
        <v>0.27493499999999998</v>
      </c>
      <c r="Z23" s="46">
        <v>0.27493499999999998</v>
      </c>
    </row>
    <row r="24" spans="1:26">
      <c r="A24" s="6" t="s">
        <v>529</v>
      </c>
      <c r="B24" s="7">
        <v>4059359</v>
      </c>
      <c r="C24" s="6" t="s">
        <v>233</v>
      </c>
      <c r="D24" s="46">
        <v>0.38900000000000001</v>
      </c>
      <c r="E24" s="46">
        <v>0.38900000000000001</v>
      </c>
      <c r="F24" s="46">
        <v>0.38900000000000001</v>
      </c>
      <c r="G24" s="46">
        <v>0.38900000000000001</v>
      </c>
      <c r="H24" s="46">
        <v>0.38900000000000001</v>
      </c>
      <c r="I24" s="46">
        <v>0.38900000000000001</v>
      </c>
      <c r="J24" s="46">
        <v>0.38900000000000001</v>
      </c>
      <c r="K24" s="46">
        <v>0.38900000000000001</v>
      </c>
      <c r="L24" s="46">
        <v>0.38900000000000001</v>
      </c>
      <c r="M24" s="46">
        <v>0.38900000000000001</v>
      </c>
      <c r="N24" s="46">
        <v>0.38900000000000001</v>
      </c>
      <c r="O24" s="46">
        <v>0.38900000000000001</v>
      </c>
      <c r="P24" s="46">
        <v>0.38900000000000001</v>
      </c>
      <c r="Q24" s="46">
        <v>0.38900000000000001</v>
      </c>
      <c r="R24" s="46">
        <v>0.38900000000000001</v>
      </c>
      <c r="S24" s="46">
        <v>0.38900000000000001</v>
      </c>
      <c r="T24" s="46">
        <v>0.38900000000000001</v>
      </c>
      <c r="U24" s="46">
        <v>0.38900000000000001</v>
      </c>
      <c r="V24" s="46">
        <v>0.38900000000000001</v>
      </c>
      <c r="W24" s="46">
        <v>0.249</v>
      </c>
      <c r="X24" s="46">
        <v>0.249</v>
      </c>
      <c r="Y24" s="46">
        <v>0.249</v>
      </c>
      <c r="Z24" s="46">
        <v>0.249</v>
      </c>
    </row>
    <row r="25" spans="1:26">
      <c r="A25" s="6" t="s">
        <v>530</v>
      </c>
      <c r="B25" s="7">
        <v>4059402</v>
      </c>
      <c r="C25" s="6" t="s">
        <v>181</v>
      </c>
      <c r="D25" s="46">
        <v>0.40200000000000002</v>
      </c>
      <c r="E25" s="46">
        <v>0.40200000000000002</v>
      </c>
      <c r="F25" s="46">
        <v>0.40200000000000002</v>
      </c>
      <c r="G25" s="46">
        <v>0.40200000000000002</v>
      </c>
      <c r="H25" s="46">
        <v>0.40200000000000002</v>
      </c>
      <c r="I25" s="46">
        <v>0.40200000000000002</v>
      </c>
      <c r="J25" s="46">
        <v>0.40200000000000002</v>
      </c>
      <c r="K25" s="46">
        <v>0.40200000000000002</v>
      </c>
      <c r="L25" s="46">
        <v>0.40200000000000002</v>
      </c>
      <c r="M25" s="46">
        <v>0.40200000000000002</v>
      </c>
      <c r="N25" s="46">
        <v>0.40200000000000002</v>
      </c>
      <c r="O25" s="46">
        <v>0.40200000000000002</v>
      </c>
      <c r="P25" s="46">
        <v>0.40200000000000002</v>
      </c>
      <c r="Q25" s="46">
        <v>0.40200000000000002</v>
      </c>
      <c r="R25" s="46">
        <v>0.40200000000000002</v>
      </c>
      <c r="S25" s="46">
        <v>0.40200000000000002</v>
      </c>
      <c r="T25" s="46">
        <v>0.40200000000000002</v>
      </c>
      <c r="U25" s="46">
        <v>0.40200000000000002</v>
      </c>
      <c r="V25" s="46">
        <v>0.40200000000000002</v>
      </c>
      <c r="W25" s="46">
        <v>0.26200000000000001</v>
      </c>
      <c r="X25" s="46">
        <v>0.26200000000000001</v>
      </c>
      <c r="Y25" s="46">
        <v>0.26200000000000001</v>
      </c>
      <c r="Z25" s="46">
        <v>0.26200000000000001</v>
      </c>
    </row>
    <row r="26" spans="1:26">
      <c r="A26" s="6" t="s">
        <v>531</v>
      </c>
      <c r="B26" s="7">
        <v>4057080</v>
      </c>
      <c r="C26" s="6" t="s">
        <v>171</v>
      </c>
      <c r="D26" s="46">
        <v>0.39649667</v>
      </c>
      <c r="E26" s="46">
        <v>0.39649667</v>
      </c>
      <c r="F26" s="46">
        <v>0.39649667</v>
      </c>
      <c r="G26" s="46">
        <v>0.39649667</v>
      </c>
      <c r="H26" s="46">
        <v>0.39649667</v>
      </c>
      <c r="I26" s="46">
        <v>0.39649667</v>
      </c>
      <c r="J26" s="46">
        <v>0.39649667</v>
      </c>
      <c r="K26" s="46">
        <v>0.39649667</v>
      </c>
      <c r="L26" s="46">
        <v>0.39649667</v>
      </c>
      <c r="M26" s="46">
        <v>0.39649667</v>
      </c>
      <c r="N26" s="46">
        <v>0.39649667</v>
      </c>
      <c r="O26" s="46">
        <v>0.39649667</v>
      </c>
      <c r="P26" s="46">
        <v>0.39649667</v>
      </c>
      <c r="Q26" s="46">
        <v>0.39649667</v>
      </c>
      <c r="R26" s="46">
        <v>0.39649667</v>
      </c>
      <c r="S26" s="46">
        <v>0.39649667</v>
      </c>
      <c r="T26" s="46">
        <v>0.39649667</v>
      </c>
      <c r="U26" s="46">
        <v>0.39649667</v>
      </c>
      <c r="V26" s="46">
        <v>0.39649667</v>
      </c>
      <c r="W26" s="46">
        <v>0.25649666999999998</v>
      </c>
      <c r="X26" s="46">
        <v>0.25649666999999998</v>
      </c>
      <c r="Y26" s="46">
        <v>0.25649666999999998</v>
      </c>
      <c r="Z26" s="46">
        <v>0.25649666999999998</v>
      </c>
    </row>
    <row r="27" spans="1:26">
      <c r="A27" s="6" t="s">
        <v>532</v>
      </c>
      <c r="B27" s="7">
        <v>4057081</v>
      </c>
      <c r="C27" s="6" t="s">
        <v>184</v>
      </c>
      <c r="D27" s="46">
        <v>0.35</v>
      </c>
      <c r="E27" s="46">
        <v>0.35</v>
      </c>
      <c r="F27" s="46">
        <v>0.35</v>
      </c>
      <c r="G27" s="46">
        <v>0.35</v>
      </c>
      <c r="H27" s="46">
        <v>0.35</v>
      </c>
      <c r="I27" s="46">
        <v>0.35</v>
      </c>
      <c r="J27" s="46">
        <v>0.35</v>
      </c>
      <c r="K27" s="46">
        <v>0.35</v>
      </c>
      <c r="L27" s="46">
        <v>0.35</v>
      </c>
      <c r="M27" s="46">
        <v>0.35</v>
      </c>
      <c r="N27" s="46">
        <v>0.35</v>
      </c>
      <c r="O27" s="46">
        <v>0.35</v>
      </c>
      <c r="P27" s="46">
        <v>0.35</v>
      </c>
      <c r="Q27" s="46">
        <v>0.35</v>
      </c>
      <c r="R27" s="46">
        <v>0.35</v>
      </c>
      <c r="S27" s="46">
        <v>0.35</v>
      </c>
      <c r="T27" s="46">
        <v>0.35</v>
      </c>
      <c r="U27" s="46">
        <v>0.35</v>
      </c>
      <c r="V27" s="46">
        <v>0.35</v>
      </c>
      <c r="W27" s="46">
        <v>0.20999999999999996</v>
      </c>
      <c r="X27" s="46">
        <v>0.20999999999999996</v>
      </c>
      <c r="Y27" s="46">
        <v>0.20999999999999996</v>
      </c>
      <c r="Z27" s="46">
        <v>0.20999999999999996</v>
      </c>
    </row>
    <row r="28" spans="1:26">
      <c r="A28" s="6" t="s">
        <v>533</v>
      </c>
      <c r="B28" s="7">
        <v>4059459</v>
      </c>
      <c r="C28" s="6" t="s">
        <v>171</v>
      </c>
      <c r="D28" s="46">
        <v>0.39649667</v>
      </c>
      <c r="E28" s="46">
        <v>0.39649667</v>
      </c>
      <c r="F28" s="46">
        <v>0.39649667</v>
      </c>
      <c r="G28" s="46">
        <v>0.39649667</v>
      </c>
      <c r="H28" s="46">
        <v>0.39649667</v>
      </c>
      <c r="I28" s="46">
        <v>0.39649667</v>
      </c>
      <c r="J28" s="46">
        <v>0.39649667</v>
      </c>
      <c r="K28" s="46">
        <v>0.39649667</v>
      </c>
      <c r="L28" s="46">
        <v>0.39649667</v>
      </c>
      <c r="M28" s="46">
        <v>0.39649667</v>
      </c>
      <c r="N28" s="46">
        <v>0.39649667</v>
      </c>
      <c r="O28" s="46">
        <v>0.39649667</v>
      </c>
      <c r="P28" s="46">
        <v>0.39649667</v>
      </c>
      <c r="Q28" s="46">
        <v>0.39649667</v>
      </c>
      <c r="R28" s="46">
        <v>0.39649667</v>
      </c>
      <c r="S28" s="46">
        <v>0.39649667</v>
      </c>
      <c r="T28" s="46">
        <v>0.39649667</v>
      </c>
      <c r="U28" s="46">
        <v>0.39649667</v>
      </c>
      <c r="V28" s="46">
        <v>0.39649667</v>
      </c>
      <c r="W28" s="46">
        <v>0.25649666999999998</v>
      </c>
      <c r="X28" s="46">
        <v>0.25649666999999998</v>
      </c>
      <c r="Y28" s="46">
        <v>0.25649666999999998</v>
      </c>
      <c r="Z28" s="46">
        <v>0.25649666999999998</v>
      </c>
    </row>
    <row r="29" spans="1:26">
      <c r="A29" s="6" t="s">
        <v>534</v>
      </c>
      <c r="B29" s="7">
        <v>4057118</v>
      </c>
      <c r="C29" s="6" t="s">
        <v>187</v>
      </c>
      <c r="D29" s="46">
        <v>0.39279166999999998</v>
      </c>
      <c r="E29" s="46">
        <v>0.39279166999999998</v>
      </c>
      <c r="F29" s="46">
        <v>0.39279166999999998</v>
      </c>
      <c r="G29" s="46">
        <v>0.39279166999999998</v>
      </c>
      <c r="H29" s="46">
        <v>0.39279166999999998</v>
      </c>
      <c r="I29" s="46">
        <v>0.39279166999999998</v>
      </c>
      <c r="J29" s="46">
        <v>0.39279166999999998</v>
      </c>
      <c r="K29" s="46">
        <v>0.39279166999999998</v>
      </c>
      <c r="L29" s="46">
        <v>0.39279166999999998</v>
      </c>
      <c r="M29" s="46">
        <v>0.39279166999999998</v>
      </c>
      <c r="N29" s="46">
        <v>0.39279166999999998</v>
      </c>
      <c r="O29" s="46">
        <v>0.39279166999999998</v>
      </c>
      <c r="P29" s="46">
        <v>0.39279166999999998</v>
      </c>
      <c r="Q29" s="46">
        <v>0.39279166999999998</v>
      </c>
      <c r="R29" s="46">
        <v>0.39279166999999998</v>
      </c>
      <c r="S29" s="46">
        <v>0.39279166999999998</v>
      </c>
      <c r="T29" s="46">
        <v>0.39279166999999998</v>
      </c>
      <c r="U29" s="46">
        <v>0.39279166999999998</v>
      </c>
      <c r="V29" s="46">
        <v>0.39279166999999998</v>
      </c>
      <c r="W29" s="46">
        <v>0.25279166999999997</v>
      </c>
      <c r="X29" s="46">
        <v>0.25279166999999997</v>
      </c>
      <c r="Y29" s="46">
        <v>0.25279166999999997</v>
      </c>
      <c r="Z29" s="46">
        <v>0.25279166999999997</v>
      </c>
    </row>
    <row r="30" spans="1:26">
      <c r="A30" s="6" t="s">
        <v>535</v>
      </c>
      <c r="B30" s="7">
        <v>4057126</v>
      </c>
      <c r="C30" s="6" t="s">
        <v>184</v>
      </c>
      <c r="D30" s="46">
        <v>0.35</v>
      </c>
      <c r="E30" s="46">
        <v>0.35</v>
      </c>
      <c r="F30" s="46">
        <v>0.35</v>
      </c>
      <c r="G30" s="46">
        <v>0.35</v>
      </c>
      <c r="H30" s="46">
        <v>0.35</v>
      </c>
      <c r="I30" s="46">
        <v>0.35</v>
      </c>
      <c r="J30" s="46">
        <v>0.35</v>
      </c>
      <c r="K30" s="46">
        <v>0.35</v>
      </c>
      <c r="L30" s="46">
        <v>0.35</v>
      </c>
      <c r="M30" s="46">
        <v>0.35</v>
      </c>
      <c r="N30" s="46">
        <v>0.35</v>
      </c>
      <c r="O30" s="46">
        <v>0.35</v>
      </c>
      <c r="P30" s="46">
        <v>0.35</v>
      </c>
      <c r="Q30" s="46">
        <v>0.35</v>
      </c>
      <c r="R30" s="46">
        <v>0.35</v>
      </c>
      <c r="S30" s="46">
        <v>0.35</v>
      </c>
      <c r="T30" s="46">
        <v>0.35</v>
      </c>
      <c r="U30" s="46">
        <v>0.35</v>
      </c>
      <c r="V30" s="46">
        <v>0.35</v>
      </c>
      <c r="W30" s="46">
        <v>0.20999999999999996</v>
      </c>
      <c r="X30" s="46">
        <v>0.20999999999999996</v>
      </c>
      <c r="Y30" s="46">
        <v>0.20999999999999996</v>
      </c>
      <c r="Z30" s="46">
        <v>0.20999999999999996</v>
      </c>
    </row>
    <row r="31" spans="1:26">
      <c r="A31" s="6" t="s">
        <v>536</v>
      </c>
      <c r="B31" s="7">
        <v>4057103</v>
      </c>
      <c r="C31" s="6" t="s">
        <v>177</v>
      </c>
      <c r="D31" s="46">
        <v>0.35</v>
      </c>
      <c r="E31" s="46">
        <v>0.35</v>
      </c>
      <c r="F31" s="46">
        <v>0.35</v>
      </c>
      <c r="G31" s="46">
        <v>0.35</v>
      </c>
      <c r="H31" s="46">
        <v>0.35</v>
      </c>
      <c r="I31" s="46">
        <v>0.35</v>
      </c>
      <c r="J31" s="46">
        <v>0.35</v>
      </c>
      <c r="K31" s="46">
        <v>0.35</v>
      </c>
      <c r="L31" s="46">
        <v>0.35</v>
      </c>
      <c r="M31" s="46">
        <v>0.35</v>
      </c>
      <c r="N31" s="46">
        <v>0.35</v>
      </c>
      <c r="O31" s="46">
        <v>0.35</v>
      </c>
      <c r="P31" s="46">
        <v>0.35</v>
      </c>
      <c r="Q31" s="46">
        <v>0.35</v>
      </c>
      <c r="R31" s="46">
        <v>0.35</v>
      </c>
      <c r="S31" s="46">
        <v>0.35</v>
      </c>
      <c r="T31" s="46">
        <v>0.35</v>
      </c>
      <c r="U31" s="46">
        <v>0.35</v>
      </c>
      <c r="V31" s="46">
        <v>0.35</v>
      </c>
      <c r="W31" s="46">
        <v>0.20999999999999996</v>
      </c>
      <c r="X31" s="46">
        <v>0.20999999999999996</v>
      </c>
      <c r="Y31" s="46">
        <v>0.20999999999999996</v>
      </c>
      <c r="Z31" s="46">
        <v>0.20999999999999996</v>
      </c>
    </row>
    <row r="32" spans="1:26">
      <c r="A32" s="6" t="s">
        <v>537</v>
      </c>
      <c r="B32" s="7">
        <v>4057079</v>
      </c>
      <c r="C32" s="6" t="s">
        <v>177</v>
      </c>
      <c r="D32" s="46">
        <v>0.35</v>
      </c>
      <c r="E32" s="46">
        <v>0.35</v>
      </c>
      <c r="F32" s="46">
        <v>0.35</v>
      </c>
      <c r="G32" s="46">
        <v>0.35</v>
      </c>
      <c r="H32" s="46">
        <v>0.35</v>
      </c>
      <c r="I32" s="46">
        <v>0.35</v>
      </c>
      <c r="J32" s="46">
        <v>0.35</v>
      </c>
      <c r="K32" s="46">
        <v>0.35</v>
      </c>
      <c r="L32" s="46">
        <v>0.35</v>
      </c>
      <c r="M32" s="46">
        <v>0.35</v>
      </c>
      <c r="N32" s="46">
        <v>0.35</v>
      </c>
      <c r="O32" s="46">
        <v>0.35</v>
      </c>
      <c r="P32" s="46">
        <v>0.35</v>
      </c>
      <c r="Q32" s="46">
        <v>0.35</v>
      </c>
      <c r="R32" s="46">
        <v>0.35</v>
      </c>
      <c r="S32" s="46">
        <v>0.35</v>
      </c>
      <c r="T32" s="46">
        <v>0.35</v>
      </c>
      <c r="U32" s="46">
        <v>0.35</v>
      </c>
      <c r="V32" s="46">
        <v>0.35</v>
      </c>
      <c r="W32" s="46">
        <v>0.20999999999999996</v>
      </c>
      <c r="X32" s="46">
        <v>0.20999999999999996</v>
      </c>
      <c r="Y32" s="46">
        <v>0.20999999999999996</v>
      </c>
      <c r="Z32" s="46">
        <v>0.20999999999999996</v>
      </c>
    </row>
    <row r="33" spans="1:26">
      <c r="A33" s="6" t="s">
        <v>277</v>
      </c>
      <c r="B33" s="7">
        <v>4058656</v>
      </c>
      <c r="C33" s="6" t="s">
        <v>164</v>
      </c>
      <c r="D33" s="46">
        <v>0.40700500000000001</v>
      </c>
      <c r="E33" s="46">
        <v>0.40700500000000001</v>
      </c>
      <c r="F33" s="46">
        <v>0.40700500000000001</v>
      </c>
      <c r="G33" s="46">
        <v>0.40700500000000001</v>
      </c>
      <c r="H33" s="46">
        <v>0.40700500000000001</v>
      </c>
      <c r="I33" s="46">
        <v>0.40700500000000001</v>
      </c>
      <c r="J33" s="46">
        <v>0.40700500000000001</v>
      </c>
      <c r="K33" s="46">
        <v>0.40700500000000001</v>
      </c>
      <c r="L33" s="46">
        <v>0.40700500000000001</v>
      </c>
      <c r="M33" s="46">
        <v>0.40700500000000001</v>
      </c>
      <c r="N33" s="46">
        <v>0.40700500000000001</v>
      </c>
      <c r="O33" s="46">
        <v>0.40700500000000001</v>
      </c>
      <c r="P33" s="46">
        <v>0.40700500000000001</v>
      </c>
      <c r="Q33" s="46">
        <v>0.40700500000000001</v>
      </c>
      <c r="R33" s="46">
        <v>0.40700500000000001</v>
      </c>
      <c r="S33" s="46">
        <v>0.40700500000000001</v>
      </c>
      <c r="T33" s="46">
        <v>0.40700500000000001</v>
      </c>
      <c r="U33" s="46">
        <v>0.40700500000000001</v>
      </c>
      <c r="V33" s="46">
        <v>0.40700500000000001</v>
      </c>
      <c r="W33" s="46">
        <v>0.26700499999999999</v>
      </c>
      <c r="X33" s="46">
        <v>0.26700499999999999</v>
      </c>
      <c r="Y33" s="46">
        <v>0.26700499999999999</v>
      </c>
      <c r="Z33" s="46">
        <v>0.26700499999999999</v>
      </c>
    </row>
    <row r="34" spans="1:26">
      <c r="A34" s="6" t="s">
        <v>285</v>
      </c>
      <c r="B34" s="7">
        <v>4081251</v>
      </c>
      <c r="C34" s="6" t="s">
        <v>171</v>
      </c>
      <c r="D34" s="46">
        <v>0.39649667</v>
      </c>
      <c r="E34" s="46">
        <v>0.39649667</v>
      </c>
      <c r="F34" s="46">
        <v>0.39649667</v>
      </c>
      <c r="G34" s="46">
        <v>0.39649667</v>
      </c>
      <c r="H34" s="46">
        <v>0.39649667</v>
      </c>
      <c r="I34" s="46">
        <v>0.39649667</v>
      </c>
      <c r="J34" s="46">
        <v>0.39649667</v>
      </c>
      <c r="K34" s="46">
        <v>0.39649667</v>
      </c>
      <c r="L34" s="46">
        <v>0.39649667</v>
      </c>
      <c r="M34" s="46">
        <v>0.39649667</v>
      </c>
      <c r="N34" s="46">
        <v>0.39649667</v>
      </c>
      <c r="O34" s="46">
        <v>0.39649667</v>
      </c>
      <c r="P34" s="46">
        <v>0.39649667</v>
      </c>
      <c r="Q34" s="46">
        <v>0.39649667</v>
      </c>
      <c r="R34" s="46">
        <v>0.39649667</v>
      </c>
      <c r="S34" s="46">
        <v>0.39649667</v>
      </c>
      <c r="T34" s="46">
        <v>0.39649667</v>
      </c>
      <c r="U34" s="46">
        <v>0.39649667</v>
      </c>
      <c r="V34" s="46">
        <v>0.39649667</v>
      </c>
      <c r="W34" s="46">
        <v>0.25649666999999998</v>
      </c>
      <c r="X34" s="46">
        <v>0.25649666999999998</v>
      </c>
      <c r="Y34" s="46">
        <v>0.25649666999999998</v>
      </c>
      <c r="Z34" s="46">
        <v>0.25649666999999998</v>
      </c>
    </row>
    <row r="35" spans="1:26">
      <c r="A35" s="6" t="s">
        <v>538</v>
      </c>
      <c r="B35" s="7">
        <v>4060572</v>
      </c>
      <c r="C35" s="6" t="s">
        <v>168</v>
      </c>
      <c r="D35" s="46">
        <v>0.40200000000000002</v>
      </c>
      <c r="E35" s="46">
        <v>0.40200000000000002</v>
      </c>
      <c r="F35" s="46">
        <v>0.40200000000000002</v>
      </c>
      <c r="G35" s="46">
        <v>0.40200000000000002</v>
      </c>
      <c r="H35" s="46">
        <v>0.40200000000000002</v>
      </c>
      <c r="I35" s="46">
        <v>0.40200000000000002</v>
      </c>
      <c r="J35" s="46">
        <v>0.40200000000000002</v>
      </c>
      <c r="K35" s="46">
        <v>0.40200000000000002</v>
      </c>
      <c r="L35" s="46">
        <v>0.40200000000000002</v>
      </c>
      <c r="M35" s="46">
        <v>0.40200000000000002</v>
      </c>
      <c r="N35" s="46">
        <v>0.40200000000000002</v>
      </c>
      <c r="O35" s="46">
        <v>0.40200000000000002</v>
      </c>
      <c r="P35" s="46">
        <v>0.40200000000000002</v>
      </c>
      <c r="Q35" s="46">
        <v>0.40200000000000002</v>
      </c>
      <c r="R35" s="46">
        <v>0.40200000000000002</v>
      </c>
      <c r="S35" s="46">
        <v>0.40200000000000002</v>
      </c>
      <c r="T35" s="46">
        <v>0.40200000000000002</v>
      </c>
      <c r="U35" s="46">
        <v>0.40200000000000002</v>
      </c>
      <c r="V35" s="46">
        <v>0.40200000000000002</v>
      </c>
      <c r="W35" s="46">
        <v>0.26200000000000001</v>
      </c>
      <c r="X35" s="46">
        <v>0.26200000000000001</v>
      </c>
      <c r="Y35" s="46">
        <v>0.26200000000000001</v>
      </c>
      <c r="Z35" s="46">
        <v>0.26200000000000001</v>
      </c>
    </row>
    <row r="36" spans="1:26">
      <c r="A36" s="6" t="s">
        <v>539</v>
      </c>
      <c r="B36" s="7">
        <v>4083318</v>
      </c>
      <c r="C36" s="6" t="s">
        <v>200</v>
      </c>
      <c r="D36" s="46">
        <v>0.40076499999999998</v>
      </c>
      <c r="E36" s="46">
        <v>0.40076499999999998</v>
      </c>
      <c r="F36" s="46">
        <v>0.40076499999999998</v>
      </c>
      <c r="G36" s="46">
        <v>0.40076499999999998</v>
      </c>
      <c r="H36" s="46">
        <v>0.40076499999999998</v>
      </c>
      <c r="I36" s="46">
        <v>0.40076499999999998</v>
      </c>
      <c r="J36" s="46">
        <v>0.40076499999999998</v>
      </c>
      <c r="K36" s="46">
        <v>0.40076499999999998</v>
      </c>
      <c r="L36" s="46">
        <v>0.40076499999999998</v>
      </c>
      <c r="M36" s="46">
        <v>0.40076499999999998</v>
      </c>
      <c r="N36" s="46">
        <v>0.40076499999999998</v>
      </c>
      <c r="O36" s="46">
        <v>0.40076499999999998</v>
      </c>
      <c r="P36" s="46">
        <v>0.40076499999999998</v>
      </c>
      <c r="Q36" s="46">
        <v>0.40076499999999998</v>
      </c>
      <c r="R36" s="46">
        <v>0.40076499999999998</v>
      </c>
      <c r="S36" s="46">
        <v>0.40076499999999998</v>
      </c>
      <c r="T36" s="46">
        <v>0.40076499999999998</v>
      </c>
      <c r="U36" s="46">
        <v>0.40076499999999998</v>
      </c>
      <c r="V36" s="46">
        <v>0.40076499999999998</v>
      </c>
      <c r="W36" s="46">
        <v>0.26076499999999997</v>
      </c>
      <c r="X36" s="46">
        <v>0.26076499999999997</v>
      </c>
      <c r="Y36" s="46">
        <v>0.26076499999999997</v>
      </c>
      <c r="Z36" s="46">
        <v>0.26076499999999997</v>
      </c>
    </row>
    <row r="37" spans="1:26">
      <c r="A37" s="6" t="s">
        <v>540</v>
      </c>
      <c r="B37" s="7">
        <v>4057125</v>
      </c>
      <c r="C37" s="6" t="s">
        <v>203</v>
      </c>
      <c r="D37" s="46">
        <v>0.39989833000000002</v>
      </c>
      <c r="E37" s="46">
        <v>0.39989833000000002</v>
      </c>
      <c r="F37" s="46">
        <v>0.39989833000000002</v>
      </c>
      <c r="G37" s="46">
        <v>0.39989833000000002</v>
      </c>
      <c r="H37" s="46">
        <v>0.39989833000000002</v>
      </c>
      <c r="I37" s="46">
        <v>0.39989833000000002</v>
      </c>
      <c r="J37" s="46">
        <v>0.39989833000000002</v>
      </c>
      <c r="K37" s="46">
        <v>0.39989833000000002</v>
      </c>
      <c r="L37" s="46">
        <v>0.39989833000000002</v>
      </c>
      <c r="M37" s="46">
        <v>0.39989833000000002</v>
      </c>
      <c r="N37" s="46">
        <v>0.39989833000000002</v>
      </c>
      <c r="O37" s="46">
        <v>0.39989833000000002</v>
      </c>
      <c r="P37" s="46">
        <v>0.39989833000000002</v>
      </c>
      <c r="Q37" s="46">
        <v>0.39989833000000002</v>
      </c>
      <c r="R37" s="46">
        <v>0.39989833000000002</v>
      </c>
      <c r="S37" s="46">
        <v>0.39989833000000002</v>
      </c>
      <c r="T37" s="46">
        <v>0.39989833000000002</v>
      </c>
      <c r="U37" s="46">
        <v>0.39989833000000002</v>
      </c>
      <c r="V37" s="46">
        <v>0.39989833000000002</v>
      </c>
      <c r="W37" s="46">
        <v>0.25989833000000001</v>
      </c>
      <c r="X37" s="46">
        <v>0.25989833000000001</v>
      </c>
      <c r="Y37" s="46">
        <v>0.25989833000000001</v>
      </c>
      <c r="Z37" s="46">
        <v>0.25989833000000001</v>
      </c>
    </row>
    <row r="38" spans="1:26">
      <c r="A38" s="6" t="s">
        <v>541</v>
      </c>
      <c r="B38" s="7">
        <v>4087741</v>
      </c>
      <c r="C38" s="6" t="s">
        <v>542</v>
      </c>
      <c r="D38" s="46">
        <v>0.39209832999999999</v>
      </c>
      <c r="E38" s="46">
        <v>0.39209832999999999</v>
      </c>
      <c r="F38" s="46">
        <v>0.39209832999999999</v>
      </c>
      <c r="G38" s="46">
        <v>0.39209832999999999</v>
      </c>
      <c r="H38" s="46">
        <v>0.39209832999999999</v>
      </c>
      <c r="I38" s="46">
        <v>0.39209832999999999</v>
      </c>
      <c r="J38" s="46">
        <v>0.39209832999999999</v>
      </c>
      <c r="K38" s="46">
        <v>0.39209832999999999</v>
      </c>
      <c r="L38" s="46">
        <v>0.39209832999999999</v>
      </c>
      <c r="M38" s="46">
        <v>0.39209832999999999</v>
      </c>
      <c r="N38" s="46">
        <v>0.39209832999999999</v>
      </c>
      <c r="O38" s="46">
        <v>0.39209832999999999</v>
      </c>
      <c r="P38" s="46">
        <v>0.39209832999999999</v>
      </c>
      <c r="Q38" s="46">
        <v>0.39209832999999999</v>
      </c>
      <c r="R38" s="46">
        <v>0.39209832999999999</v>
      </c>
      <c r="S38" s="46">
        <v>0.39209832999999999</v>
      </c>
      <c r="T38" s="46">
        <v>0.39209832999999999</v>
      </c>
      <c r="U38" s="46">
        <v>0.39209832999999999</v>
      </c>
      <c r="V38" s="46">
        <v>0.39209832999999999</v>
      </c>
      <c r="W38" s="46">
        <v>0.25209832999999998</v>
      </c>
      <c r="X38" s="46">
        <v>0.25209832999999998</v>
      </c>
      <c r="Y38" s="46">
        <v>0.25209832999999998</v>
      </c>
      <c r="Z38" s="46">
        <v>0.25209832999999998</v>
      </c>
    </row>
    <row r="39" spans="1:26">
      <c r="A39" s="6" t="s">
        <v>543</v>
      </c>
      <c r="B39" s="7">
        <v>4059875</v>
      </c>
      <c r="C39" s="6" t="s">
        <v>544</v>
      </c>
      <c r="D39" s="46">
        <v>0.40674500000000002</v>
      </c>
      <c r="E39" s="46">
        <v>0.40674500000000002</v>
      </c>
      <c r="F39" s="46">
        <v>0.40674500000000002</v>
      </c>
      <c r="G39" s="46">
        <v>0.40674500000000002</v>
      </c>
      <c r="H39" s="46">
        <v>0.40674500000000002</v>
      </c>
      <c r="I39" s="46">
        <v>0.40674500000000002</v>
      </c>
      <c r="J39" s="46">
        <v>0.40674500000000002</v>
      </c>
      <c r="K39" s="46">
        <v>0.40674500000000002</v>
      </c>
      <c r="L39" s="46">
        <v>0.40674500000000002</v>
      </c>
      <c r="M39" s="46">
        <v>0.40674500000000002</v>
      </c>
      <c r="N39" s="46">
        <v>0.40674500000000002</v>
      </c>
      <c r="O39" s="46">
        <v>0.40674500000000002</v>
      </c>
      <c r="P39" s="46">
        <v>0.40674500000000002</v>
      </c>
      <c r="Q39" s="46">
        <v>0.40674500000000002</v>
      </c>
      <c r="R39" s="46">
        <v>0.40674500000000002</v>
      </c>
      <c r="S39" s="46">
        <v>0.40674500000000002</v>
      </c>
      <c r="T39" s="46">
        <v>0.40674500000000002</v>
      </c>
      <c r="U39" s="46">
        <v>0.40674500000000002</v>
      </c>
      <c r="V39" s="46">
        <v>0.40674500000000002</v>
      </c>
      <c r="W39" s="46">
        <v>0.26674500000000001</v>
      </c>
      <c r="X39" s="46">
        <v>0.26674500000000001</v>
      </c>
      <c r="Y39" s="46">
        <v>0.26674500000000001</v>
      </c>
      <c r="Z39" s="46">
        <v>0.26674500000000001</v>
      </c>
    </row>
    <row r="40" spans="1:26">
      <c r="A40" s="6" t="s">
        <v>545</v>
      </c>
      <c r="B40" s="7">
        <v>4057090</v>
      </c>
      <c r="C40" s="6" t="s">
        <v>187</v>
      </c>
      <c r="D40" s="46">
        <v>0.39279166999999998</v>
      </c>
      <c r="E40" s="46">
        <v>0.39279166999999998</v>
      </c>
      <c r="F40" s="46">
        <v>0.39279166999999998</v>
      </c>
      <c r="G40" s="46">
        <v>0.39279166999999998</v>
      </c>
      <c r="H40" s="46">
        <v>0.39279166999999998</v>
      </c>
      <c r="I40" s="46">
        <v>0.39279166999999998</v>
      </c>
      <c r="J40" s="46">
        <v>0.39279166999999998</v>
      </c>
      <c r="K40" s="46">
        <v>0.39279166999999998</v>
      </c>
      <c r="L40" s="46">
        <v>0.39279166999999998</v>
      </c>
      <c r="M40" s="46">
        <v>0.39279166999999998</v>
      </c>
      <c r="N40" s="46">
        <v>0.39279166999999998</v>
      </c>
      <c r="O40" s="46">
        <v>0.39279166999999998</v>
      </c>
      <c r="P40" s="46">
        <v>0.39279166999999998</v>
      </c>
      <c r="Q40" s="46">
        <v>0.39279166999999998</v>
      </c>
      <c r="R40" s="46">
        <v>0.39279166999999998</v>
      </c>
      <c r="S40" s="46">
        <v>0.39279166999999998</v>
      </c>
      <c r="T40" s="46">
        <v>0.39279166999999998</v>
      </c>
      <c r="U40" s="46">
        <v>0.39279166999999998</v>
      </c>
      <c r="V40" s="46">
        <v>0.39279166999999998</v>
      </c>
      <c r="W40" s="46">
        <v>0.25279166999999997</v>
      </c>
      <c r="X40" s="46">
        <v>0.25279166999999997</v>
      </c>
      <c r="Y40" s="46">
        <v>0.25279166999999997</v>
      </c>
      <c r="Z40" s="46">
        <v>0.25279166999999997</v>
      </c>
    </row>
    <row r="41" spans="1:26">
      <c r="A41" s="6" t="s">
        <v>546</v>
      </c>
      <c r="B41" s="7">
        <v>4008754</v>
      </c>
      <c r="C41" s="6" t="s">
        <v>192</v>
      </c>
      <c r="D41" s="46">
        <v>0.40134999999999998</v>
      </c>
      <c r="E41" s="46">
        <v>0.40134999999999998</v>
      </c>
      <c r="F41" s="46">
        <v>0.40134999999999998</v>
      </c>
      <c r="G41" s="46">
        <v>0.40134999999999998</v>
      </c>
      <c r="H41" s="46">
        <v>0.40134999999999998</v>
      </c>
      <c r="I41" s="46">
        <v>0.40134999999999998</v>
      </c>
      <c r="J41" s="46">
        <v>0.40134999999999998</v>
      </c>
      <c r="K41" s="46">
        <v>0.40134999999999998</v>
      </c>
      <c r="L41" s="46">
        <v>0.40134999999999998</v>
      </c>
      <c r="M41" s="46">
        <v>0.40134999999999998</v>
      </c>
      <c r="N41" s="46">
        <v>0.40134999999999998</v>
      </c>
      <c r="O41" s="46">
        <v>0.40134999999999998</v>
      </c>
      <c r="P41" s="46">
        <v>0.40134999999999998</v>
      </c>
      <c r="Q41" s="46">
        <v>0.40134999999999998</v>
      </c>
      <c r="R41" s="46">
        <v>0.40134999999999998</v>
      </c>
      <c r="S41" s="46">
        <v>0.40134999999999998</v>
      </c>
      <c r="T41" s="46">
        <v>0.40134999999999998</v>
      </c>
      <c r="U41" s="46">
        <v>0.40134999999999998</v>
      </c>
      <c r="V41" s="46">
        <v>0.40134999999999998</v>
      </c>
      <c r="W41" s="46">
        <v>0.26134999999999997</v>
      </c>
      <c r="X41" s="46">
        <v>0.26134999999999997</v>
      </c>
      <c r="Y41" s="46">
        <v>0.26134999999999997</v>
      </c>
      <c r="Z41" s="46">
        <v>0.26134999999999997</v>
      </c>
    </row>
    <row r="42" spans="1:26">
      <c r="A42" s="6" t="s">
        <v>547</v>
      </c>
      <c r="B42" s="7">
        <v>4061474</v>
      </c>
      <c r="C42" s="6" t="s">
        <v>203</v>
      </c>
      <c r="D42" s="46">
        <v>0.39989833000000002</v>
      </c>
      <c r="E42" s="46">
        <v>0.39989833000000002</v>
      </c>
      <c r="F42" s="46">
        <v>0.39989833000000002</v>
      </c>
      <c r="G42" s="46">
        <v>0.39989833000000002</v>
      </c>
      <c r="H42" s="46">
        <v>0.39989833000000002</v>
      </c>
      <c r="I42" s="46">
        <v>0.39989833000000002</v>
      </c>
      <c r="J42" s="46">
        <v>0.39989833000000002</v>
      </c>
      <c r="K42" s="46">
        <v>0.39989833000000002</v>
      </c>
      <c r="L42" s="46">
        <v>0.39989833000000002</v>
      </c>
      <c r="M42" s="46">
        <v>0.39989833000000002</v>
      </c>
      <c r="N42" s="46">
        <v>0.39989833000000002</v>
      </c>
      <c r="O42" s="46">
        <v>0.39989833000000002</v>
      </c>
      <c r="P42" s="46">
        <v>0.39989833000000002</v>
      </c>
      <c r="Q42" s="46">
        <v>0.39989833000000002</v>
      </c>
      <c r="R42" s="46">
        <v>0.39989833000000002</v>
      </c>
      <c r="S42" s="46">
        <v>0.39989833000000002</v>
      </c>
      <c r="T42" s="46">
        <v>0.39989833000000002</v>
      </c>
      <c r="U42" s="46">
        <v>0.39989833000000002</v>
      </c>
      <c r="V42" s="46">
        <v>0.39989833000000002</v>
      </c>
      <c r="W42" s="46">
        <v>0.25989833000000001</v>
      </c>
      <c r="X42" s="46">
        <v>0.25989833000000001</v>
      </c>
      <c r="Y42" s="46">
        <v>0.25989833000000001</v>
      </c>
      <c r="Z42" s="46">
        <v>0.25989833000000001</v>
      </c>
    </row>
    <row r="43" spans="1:26">
      <c r="A43" s="6" t="s">
        <v>548</v>
      </c>
      <c r="B43" s="7">
        <v>4076679</v>
      </c>
      <c r="C43" s="6" t="s">
        <v>192</v>
      </c>
      <c r="D43" s="46">
        <v>0.40134999999999998</v>
      </c>
      <c r="E43" s="46">
        <v>0.40134999999999998</v>
      </c>
      <c r="F43" s="46">
        <v>0.40134999999999998</v>
      </c>
      <c r="G43" s="46">
        <v>0.40134999999999998</v>
      </c>
      <c r="H43" s="46">
        <v>0.40134999999999998</v>
      </c>
      <c r="I43" s="46">
        <v>0.40134999999999998</v>
      </c>
      <c r="J43" s="46">
        <v>0.40134999999999998</v>
      </c>
      <c r="K43" s="46">
        <v>0.40134999999999998</v>
      </c>
      <c r="L43" s="46">
        <v>0.40134999999999998</v>
      </c>
      <c r="M43" s="46">
        <v>0.40134999999999998</v>
      </c>
      <c r="N43" s="46">
        <v>0.40134999999999998</v>
      </c>
      <c r="O43" s="46">
        <v>0.40134999999999998</v>
      </c>
      <c r="P43" s="46">
        <v>0.40134999999999998</v>
      </c>
      <c r="Q43" s="46">
        <v>0.40134999999999998</v>
      </c>
      <c r="R43" s="46">
        <v>0.40134999999999998</v>
      </c>
      <c r="S43" s="46">
        <v>0.40134999999999998</v>
      </c>
      <c r="T43" s="46">
        <v>0.40134999999999998</v>
      </c>
      <c r="U43" s="46">
        <v>0.40134999999999998</v>
      </c>
      <c r="V43" s="46">
        <v>0.40134999999999998</v>
      </c>
      <c r="W43" s="46">
        <v>0.26134999999999997</v>
      </c>
      <c r="X43" s="46">
        <v>0.26134999999999997</v>
      </c>
      <c r="Y43" s="46">
        <v>0.26134999999999997</v>
      </c>
      <c r="Z43" s="46">
        <v>0.26134999999999997</v>
      </c>
    </row>
    <row r="44" spans="1:26">
      <c r="A44" s="6" t="s">
        <v>549</v>
      </c>
      <c r="B44" s="7">
        <v>4061634</v>
      </c>
      <c r="C44" s="6" t="s">
        <v>168</v>
      </c>
      <c r="D44" s="46">
        <v>0.40200000000000002</v>
      </c>
      <c r="E44" s="46">
        <v>0.40200000000000002</v>
      </c>
      <c r="F44" s="46">
        <v>0.40200000000000002</v>
      </c>
      <c r="G44" s="46">
        <v>0.40200000000000002</v>
      </c>
      <c r="H44" s="46">
        <v>0.40200000000000002</v>
      </c>
      <c r="I44" s="46">
        <v>0.40200000000000002</v>
      </c>
      <c r="J44" s="46">
        <v>0.40200000000000002</v>
      </c>
      <c r="K44" s="46">
        <v>0.40200000000000002</v>
      </c>
      <c r="L44" s="46">
        <v>0.40200000000000002</v>
      </c>
      <c r="M44" s="46">
        <v>0.40200000000000002</v>
      </c>
      <c r="N44" s="46">
        <v>0.40200000000000002</v>
      </c>
      <c r="O44" s="46">
        <v>0.40200000000000002</v>
      </c>
      <c r="P44" s="46">
        <v>0.40200000000000002</v>
      </c>
      <c r="Q44" s="46">
        <v>0.40200000000000002</v>
      </c>
      <c r="R44" s="46">
        <v>0.40200000000000002</v>
      </c>
      <c r="S44" s="46">
        <v>0.40200000000000002</v>
      </c>
      <c r="T44" s="46">
        <v>0.40200000000000002</v>
      </c>
      <c r="U44" s="46">
        <v>0.40200000000000002</v>
      </c>
      <c r="V44" s="46">
        <v>0.40200000000000002</v>
      </c>
      <c r="W44" s="46">
        <v>0.26200000000000001</v>
      </c>
      <c r="X44" s="46">
        <v>0.26200000000000001</v>
      </c>
      <c r="Y44" s="46">
        <v>0.26200000000000001</v>
      </c>
      <c r="Z44" s="46">
        <v>0.26200000000000001</v>
      </c>
    </row>
    <row r="45" spans="1:26">
      <c r="A45" s="6" t="s">
        <v>550</v>
      </c>
      <c r="B45" s="7">
        <v>4061687</v>
      </c>
      <c r="C45" s="6" t="s">
        <v>171</v>
      </c>
      <c r="D45" s="46">
        <v>0.39649667</v>
      </c>
      <c r="E45" s="46">
        <v>0.39649667</v>
      </c>
      <c r="F45" s="46">
        <v>0.39649667</v>
      </c>
      <c r="G45" s="46">
        <v>0.39649667</v>
      </c>
      <c r="H45" s="46">
        <v>0.39649667</v>
      </c>
      <c r="I45" s="46">
        <v>0.39649667</v>
      </c>
      <c r="J45" s="46">
        <v>0.39649667</v>
      </c>
      <c r="K45" s="46">
        <v>0.39649667</v>
      </c>
      <c r="L45" s="46">
        <v>0.39649667</v>
      </c>
      <c r="M45" s="46">
        <v>0.39649667</v>
      </c>
      <c r="N45" s="46">
        <v>0.39649667</v>
      </c>
      <c r="O45" s="46">
        <v>0.39649667</v>
      </c>
      <c r="P45" s="46">
        <v>0.39649667</v>
      </c>
      <c r="Q45" s="46">
        <v>0.39649667</v>
      </c>
      <c r="R45" s="46">
        <v>0.39649667</v>
      </c>
      <c r="S45" s="46">
        <v>0.39649667</v>
      </c>
      <c r="T45" s="46">
        <v>0.39649667</v>
      </c>
      <c r="U45" s="46">
        <v>0.39649667</v>
      </c>
      <c r="V45" s="46">
        <v>0.39649667</v>
      </c>
      <c r="W45" s="46">
        <v>0.25649666999999998</v>
      </c>
      <c r="X45" s="46">
        <v>0.25649666999999998</v>
      </c>
      <c r="Y45" s="46">
        <v>0.25649666999999998</v>
      </c>
      <c r="Z45" s="46">
        <v>0.25649666999999998</v>
      </c>
    </row>
    <row r="46" spans="1:26">
      <c r="A46" s="6" t="s">
        <v>551</v>
      </c>
      <c r="B46" s="7">
        <v>4061755</v>
      </c>
      <c r="C46" s="6" t="s">
        <v>196</v>
      </c>
      <c r="D46" s="46">
        <v>0.40849999999999997</v>
      </c>
      <c r="E46" s="46">
        <v>0.40849999999999997</v>
      </c>
      <c r="F46" s="46">
        <v>0.40849999999999997</v>
      </c>
      <c r="G46" s="46">
        <v>0.40849999999999997</v>
      </c>
      <c r="H46" s="46">
        <v>0.40849999999999997</v>
      </c>
      <c r="I46" s="46">
        <v>0.40849999999999997</v>
      </c>
      <c r="J46" s="46">
        <v>0.40849999999999997</v>
      </c>
      <c r="K46" s="46">
        <v>0.40849999999999997</v>
      </c>
      <c r="L46" s="46">
        <v>0.40849999999999997</v>
      </c>
      <c r="M46" s="46">
        <v>0.40849999999999997</v>
      </c>
      <c r="N46" s="46">
        <v>0.40849999999999997</v>
      </c>
      <c r="O46" s="46">
        <v>0.40849999999999997</v>
      </c>
      <c r="P46" s="46">
        <v>0.40849999999999997</v>
      </c>
      <c r="Q46" s="46">
        <v>0.40849999999999997</v>
      </c>
      <c r="R46" s="46">
        <v>0.40849999999999997</v>
      </c>
      <c r="S46" s="46">
        <v>0.40849999999999997</v>
      </c>
      <c r="T46" s="46">
        <v>0.40849999999999997</v>
      </c>
      <c r="U46" s="46">
        <v>0.40849999999999997</v>
      </c>
      <c r="V46" s="46">
        <v>0.40849999999999997</v>
      </c>
      <c r="W46" s="46">
        <v>0.26849999999999996</v>
      </c>
      <c r="X46" s="46">
        <v>0.26849999999999996</v>
      </c>
      <c r="Y46" s="46">
        <v>0.26849999999999996</v>
      </c>
      <c r="Z46" s="46">
        <v>0.26849999999999996</v>
      </c>
    </row>
    <row r="47" spans="1:26">
      <c r="A47" s="6" t="s">
        <v>552</v>
      </c>
      <c r="B47" s="7">
        <v>4004389</v>
      </c>
      <c r="C47" s="6" t="s">
        <v>171</v>
      </c>
      <c r="D47" s="46">
        <v>0.39649667</v>
      </c>
      <c r="E47" s="46">
        <v>0.39649667</v>
      </c>
      <c r="F47" s="46">
        <v>0.39649667</v>
      </c>
      <c r="G47" s="46">
        <v>0.39649667</v>
      </c>
      <c r="H47" s="46">
        <v>0.39649667</v>
      </c>
      <c r="I47" s="46">
        <v>0.39649667</v>
      </c>
      <c r="J47" s="46">
        <v>0.39649667</v>
      </c>
      <c r="K47" s="46">
        <v>0.39649667</v>
      </c>
      <c r="L47" s="46">
        <v>0.39649667</v>
      </c>
      <c r="M47" s="46">
        <v>0.39649667</v>
      </c>
      <c r="N47" s="46">
        <v>0.39649667</v>
      </c>
      <c r="O47" s="46">
        <v>0.39649667</v>
      </c>
      <c r="P47" s="46">
        <v>0.39649667</v>
      </c>
      <c r="Q47" s="46">
        <v>0.39649667</v>
      </c>
      <c r="R47" s="46">
        <v>0.39649667</v>
      </c>
      <c r="S47" s="46">
        <v>0.39649667</v>
      </c>
      <c r="T47" s="46">
        <v>0.39649667</v>
      </c>
      <c r="U47" s="46">
        <v>0.39649667</v>
      </c>
      <c r="V47" s="46">
        <v>0.39649667</v>
      </c>
      <c r="W47" s="46">
        <v>0.25649666999999998</v>
      </c>
      <c r="X47" s="46">
        <v>0.25649666999999998</v>
      </c>
      <c r="Y47" s="46">
        <v>0.25649666999999998</v>
      </c>
      <c r="Z47" s="46">
        <v>0.25649666999999998</v>
      </c>
    </row>
    <row r="48" spans="1:26">
      <c r="A48" s="6" t="s">
        <v>553</v>
      </c>
      <c r="B48" s="7">
        <v>4057014</v>
      </c>
      <c r="C48" s="6" t="s">
        <v>171</v>
      </c>
      <c r="D48" s="46">
        <v>0.39649667</v>
      </c>
      <c r="E48" s="46">
        <v>0.39649667</v>
      </c>
      <c r="F48" s="46">
        <v>0.39649667</v>
      </c>
      <c r="G48" s="46">
        <v>0.39649667</v>
      </c>
      <c r="H48" s="46">
        <v>0.39649667</v>
      </c>
      <c r="I48" s="46">
        <v>0.39649667</v>
      </c>
      <c r="J48" s="46">
        <v>0.39649667</v>
      </c>
      <c r="K48" s="46">
        <v>0.39649667</v>
      </c>
      <c r="L48" s="46">
        <v>0.39649667</v>
      </c>
      <c r="M48" s="46">
        <v>0.39649667</v>
      </c>
      <c r="N48" s="46">
        <v>0.39649667</v>
      </c>
      <c r="O48" s="46">
        <v>0.39649667</v>
      </c>
      <c r="P48" s="46">
        <v>0.39649667</v>
      </c>
      <c r="Q48" s="46">
        <v>0.39649667</v>
      </c>
      <c r="R48" s="46">
        <v>0.39649667</v>
      </c>
      <c r="S48" s="46">
        <v>0.39649667</v>
      </c>
      <c r="T48" s="46">
        <v>0.39649667</v>
      </c>
      <c r="U48" s="46">
        <v>0.39649667</v>
      </c>
      <c r="V48" s="46">
        <v>0.39649667</v>
      </c>
      <c r="W48" s="46">
        <v>0.25649666999999998</v>
      </c>
      <c r="X48" s="46">
        <v>0.25649666999999998</v>
      </c>
      <c r="Y48" s="46">
        <v>0.25649666999999998</v>
      </c>
      <c r="Z48" s="46">
        <v>0.25649666999999998</v>
      </c>
    </row>
    <row r="49" spans="1:26">
      <c r="A49" s="6" t="s">
        <v>554</v>
      </c>
      <c r="B49" s="7">
        <v>4057130</v>
      </c>
      <c r="C49" s="6" t="s">
        <v>200</v>
      </c>
      <c r="D49" s="46">
        <v>0.40076499999999998</v>
      </c>
      <c r="E49" s="46">
        <v>0.40076499999999998</v>
      </c>
      <c r="F49" s="46">
        <v>0.40076499999999998</v>
      </c>
      <c r="G49" s="46">
        <v>0.40076499999999998</v>
      </c>
      <c r="H49" s="46">
        <v>0.40076499999999998</v>
      </c>
      <c r="I49" s="46">
        <v>0.40076499999999998</v>
      </c>
      <c r="J49" s="46">
        <v>0.40076499999999998</v>
      </c>
      <c r="K49" s="46">
        <v>0.40076499999999998</v>
      </c>
      <c r="L49" s="46">
        <v>0.40076499999999998</v>
      </c>
      <c r="M49" s="46">
        <v>0.40076499999999998</v>
      </c>
      <c r="N49" s="46">
        <v>0.40076499999999998</v>
      </c>
      <c r="O49" s="46">
        <v>0.40076499999999998</v>
      </c>
      <c r="P49" s="46">
        <v>0.40076499999999998</v>
      </c>
      <c r="Q49" s="46">
        <v>0.40076499999999998</v>
      </c>
      <c r="R49" s="46">
        <v>0.40076499999999998</v>
      </c>
      <c r="S49" s="46">
        <v>0.40076499999999998</v>
      </c>
      <c r="T49" s="46">
        <v>0.40076499999999998</v>
      </c>
      <c r="U49" s="46">
        <v>0.40076499999999998</v>
      </c>
      <c r="V49" s="46">
        <v>0.40076499999999998</v>
      </c>
      <c r="W49" s="46">
        <v>0.26076499999999997</v>
      </c>
      <c r="X49" s="46">
        <v>0.26076499999999997</v>
      </c>
      <c r="Y49" s="46">
        <v>0.26076499999999997</v>
      </c>
      <c r="Z49" s="46">
        <v>0.26076499999999997</v>
      </c>
    </row>
    <row r="50" spans="1:26">
      <c r="A50" s="6" t="s">
        <v>555</v>
      </c>
      <c r="B50" s="7">
        <v>4057131</v>
      </c>
      <c r="C50" s="6" t="s">
        <v>200</v>
      </c>
      <c r="D50" s="46">
        <v>0.40076499999999998</v>
      </c>
      <c r="E50" s="46">
        <v>0.40076499999999998</v>
      </c>
      <c r="F50" s="46">
        <v>0.40076499999999998</v>
      </c>
      <c r="G50" s="46">
        <v>0.40076499999999998</v>
      </c>
      <c r="H50" s="46">
        <v>0.40076499999999998</v>
      </c>
      <c r="I50" s="46">
        <v>0.40076499999999998</v>
      </c>
      <c r="J50" s="46">
        <v>0.40076499999999998</v>
      </c>
      <c r="K50" s="46">
        <v>0.40076499999999998</v>
      </c>
      <c r="L50" s="46">
        <v>0.40076499999999998</v>
      </c>
      <c r="M50" s="46">
        <v>0.40076499999999998</v>
      </c>
      <c r="N50" s="46">
        <v>0.40076499999999998</v>
      </c>
      <c r="O50" s="46">
        <v>0.40076499999999998</v>
      </c>
      <c r="P50" s="46">
        <v>0.40076499999999998</v>
      </c>
      <c r="Q50" s="46">
        <v>0.40076499999999998</v>
      </c>
      <c r="R50" s="46">
        <v>0.40076499999999998</v>
      </c>
      <c r="S50" s="46">
        <v>0.40076499999999998</v>
      </c>
      <c r="T50" s="46">
        <v>0.40076499999999998</v>
      </c>
      <c r="U50" s="46">
        <v>0.40076499999999998</v>
      </c>
      <c r="V50" s="46">
        <v>0.40076499999999998</v>
      </c>
      <c r="W50" s="46">
        <v>0.26076499999999997</v>
      </c>
      <c r="X50" s="46">
        <v>0.26076499999999997</v>
      </c>
      <c r="Y50" s="46">
        <v>0.26076499999999997</v>
      </c>
      <c r="Z50" s="46">
        <v>0.26076499999999997</v>
      </c>
    </row>
    <row r="51" spans="1:26">
      <c r="A51" s="6" t="s">
        <v>556</v>
      </c>
      <c r="B51" s="7">
        <v>4012860</v>
      </c>
      <c r="C51" s="6" t="s">
        <v>203</v>
      </c>
      <c r="D51" s="46">
        <v>0.39989833000000002</v>
      </c>
      <c r="E51" s="46">
        <v>0.39989833000000002</v>
      </c>
      <c r="F51" s="46">
        <v>0.39989833000000002</v>
      </c>
      <c r="G51" s="46">
        <v>0.39989833000000002</v>
      </c>
      <c r="H51" s="46">
        <v>0.39989833000000002</v>
      </c>
      <c r="I51" s="46">
        <v>0.39989833000000002</v>
      </c>
      <c r="J51" s="46">
        <v>0.39989833000000002</v>
      </c>
      <c r="K51" s="46">
        <v>0.39989833000000002</v>
      </c>
      <c r="L51" s="46">
        <v>0.39989833000000002</v>
      </c>
      <c r="M51" s="46">
        <v>0.39989833000000002</v>
      </c>
      <c r="N51" s="46">
        <v>0.39989833000000002</v>
      </c>
      <c r="O51" s="46">
        <v>0.39989833000000002</v>
      </c>
      <c r="P51" s="46">
        <v>0.39989833000000002</v>
      </c>
      <c r="Q51" s="46">
        <v>0.39989833000000002</v>
      </c>
      <c r="R51" s="46">
        <v>0.39989833000000002</v>
      </c>
      <c r="S51" s="46">
        <v>0.39989833000000002</v>
      </c>
      <c r="T51" s="46">
        <v>0.39989833000000002</v>
      </c>
      <c r="U51" s="46">
        <v>0.39989833000000002</v>
      </c>
      <c r="V51" s="46">
        <v>0.39989833000000002</v>
      </c>
      <c r="W51" s="46">
        <v>0.25989833000000001</v>
      </c>
      <c r="X51" s="46">
        <v>0.25989833000000001</v>
      </c>
      <c r="Y51" s="46">
        <v>0.25989833000000001</v>
      </c>
      <c r="Z51" s="46">
        <v>0.25989833000000001</v>
      </c>
    </row>
    <row r="52" spans="1:26">
      <c r="A52" s="6" t="s">
        <v>205</v>
      </c>
      <c r="B52" s="7">
        <v>4061925</v>
      </c>
      <c r="C52" s="6" t="s">
        <v>192</v>
      </c>
      <c r="D52" s="46">
        <v>0.40134999999999998</v>
      </c>
      <c r="E52" s="46">
        <v>0.40134999999999998</v>
      </c>
      <c r="F52" s="46">
        <v>0.40134999999999998</v>
      </c>
      <c r="G52" s="46">
        <v>0.40134999999999998</v>
      </c>
      <c r="H52" s="46">
        <v>0.40134999999999998</v>
      </c>
      <c r="I52" s="46">
        <v>0.40134999999999998</v>
      </c>
      <c r="J52" s="46">
        <v>0.40134999999999998</v>
      </c>
      <c r="K52" s="46">
        <v>0.40134999999999998</v>
      </c>
      <c r="L52" s="46">
        <v>0.40134999999999998</v>
      </c>
      <c r="M52" s="46">
        <v>0.40134999999999998</v>
      </c>
      <c r="N52" s="46">
        <v>0.40134999999999998</v>
      </c>
      <c r="O52" s="46">
        <v>0.40134999999999998</v>
      </c>
      <c r="P52" s="46">
        <v>0.40134999999999998</v>
      </c>
      <c r="Q52" s="46">
        <v>0.40134999999999998</v>
      </c>
      <c r="R52" s="46">
        <v>0.40134999999999998</v>
      </c>
      <c r="S52" s="46">
        <v>0.40134999999999998</v>
      </c>
      <c r="T52" s="46">
        <v>0.40134999999999998</v>
      </c>
      <c r="U52" s="46">
        <v>0.40134999999999998</v>
      </c>
      <c r="V52" s="46">
        <v>0.40134999999999998</v>
      </c>
      <c r="W52" s="46">
        <v>0.26134999999999997</v>
      </c>
      <c r="X52" s="46">
        <v>0.26134999999999997</v>
      </c>
      <c r="Y52" s="46">
        <v>0.26134999999999997</v>
      </c>
      <c r="Z52" s="46">
        <v>0.26134999999999997</v>
      </c>
    </row>
    <row r="53" spans="1:26">
      <c r="A53" s="6" t="s">
        <v>557</v>
      </c>
      <c r="B53" s="7">
        <v>4057132</v>
      </c>
      <c r="C53" s="6" t="s">
        <v>558</v>
      </c>
      <c r="D53" s="46">
        <v>0.42</v>
      </c>
      <c r="E53" s="46">
        <v>0.42</v>
      </c>
      <c r="F53" s="46">
        <v>0.42</v>
      </c>
      <c r="G53" s="46">
        <v>0.42</v>
      </c>
      <c r="H53" s="46">
        <v>0.42</v>
      </c>
      <c r="I53" s="46">
        <v>0.42</v>
      </c>
      <c r="J53" s="46">
        <v>0.42</v>
      </c>
      <c r="K53" s="46">
        <v>0.42</v>
      </c>
      <c r="L53" s="46">
        <v>0.42</v>
      </c>
      <c r="M53" s="46">
        <v>0.42</v>
      </c>
      <c r="N53" s="46">
        <v>0.42</v>
      </c>
      <c r="O53" s="46">
        <v>0.42</v>
      </c>
      <c r="P53" s="46">
        <v>0.42</v>
      </c>
      <c r="Q53" s="46">
        <v>0.42</v>
      </c>
      <c r="R53" s="46">
        <v>0.42</v>
      </c>
      <c r="S53" s="46">
        <v>0.42</v>
      </c>
      <c r="T53" s="46">
        <v>0.42</v>
      </c>
      <c r="U53" s="46">
        <v>0.42</v>
      </c>
      <c r="V53" s="46">
        <v>0.42</v>
      </c>
      <c r="W53" s="46">
        <v>0.27999999999999997</v>
      </c>
      <c r="X53" s="46">
        <v>0.27999999999999997</v>
      </c>
      <c r="Y53" s="46">
        <v>0.27999999999999997</v>
      </c>
      <c r="Z53" s="46">
        <v>0.27999999999999997</v>
      </c>
    </row>
    <row r="54" spans="1:26">
      <c r="A54" s="6" t="s">
        <v>559</v>
      </c>
      <c r="B54" s="7">
        <v>4057115</v>
      </c>
      <c r="C54" s="6" t="s">
        <v>164</v>
      </c>
      <c r="D54" s="46">
        <v>0.40700500000000001</v>
      </c>
      <c r="E54" s="46">
        <v>0.40700500000000001</v>
      </c>
      <c r="F54" s="46">
        <v>0.40700500000000001</v>
      </c>
      <c r="G54" s="46">
        <v>0.40700500000000001</v>
      </c>
      <c r="H54" s="46">
        <v>0.40700500000000001</v>
      </c>
      <c r="I54" s="46">
        <v>0.40700500000000001</v>
      </c>
      <c r="J54" s="46">
        <v>0.40700500000000001</v>
      </c>
      <c r="K54" s="46">
        <v>0.40700500000000001</v>
      </c>
      <c r="L54" s="46">
        <v>0.40700500000000001</v>
      </c>
      <c r="M54" s="46">
        <v>0.40700500000000001</v>
      </c>
      <c r="N54" s="46">
        <v>0.40700500000000001</v>
      </c>
      <c r="O54" s="46">
        <v>0.40700500000000001</v>
      </c>
      <c r="P54" s="46">
        <v>0.40700500000000001</v>
      </c>
      <c r="Q54" s="46">
        <v>0.40700500000000001</v>
      </c>
      <c r="R54" s="46">
        <v>0.40700500000000001</v>
      </c>
      <c r="S54" s="46">
        <v>0.40700500000000001</v>
      </c>
      <c r="T54" s="46">
        <v>0.40700500000000001</v>
      </c>
      <c r="U54" s="46">
        <v>0.40700500000000001</v>
      </c>
      <c r="V54" s="46">
        <v>0.40700500000000001</v>
      </c>
      <c r="W54" s="46">
        <v>0.26700499999999999</v>
      </c>
      <c r="X54" s="46">
        <v>0.26700499999999999</v>
      </c>
      <c r="Y54" s="46">
        <v>0.26700499999999999</v>
      </c>
      <c r="Z54" s="46">
        <v>0.26700499999999999</v>
      </c>
    </row>
    <row r="55" spans="1:26">
      <c r="A55" s="6" t="s">
        <v>560</v>
      </c>
      <c r="B55" s="7">
        <v>4064479</v>
      </c>
      <c r="C55" s="6" t="s">
        <v>177</v>
      </c>
      <c r="D55" s="46">
        <v>0.35</v>
      </c>
      <c r="E55" s="46">
        <v>0.35</v>
      </c>
      <c r="F55" s="46">
        <v>0.35</v>
      </c>
      <c r="G55" s="46">
        <v>0.35</v>
      </c>
      <c r="H55" s="46">
        <v>0.35</v>
      </c>
      <c r="I55" s="46">
        <v>0.35</v>
      </c>
      <c r="J55" s="46">
        <v>0.35</v>
      </c>
      <c r="K55" s="46">
        <v>0.35</v>
      </c>
      <c r="L55" s="46">
        <v>0.35</v>
      </c>
      <c r="M55" s="46">
        <v>0.35</v>
      </c>
      <c r="N55" s="46">
        <v>0.35</v>
      </c>
      <c r="O55" s="46">
        <v>0.35</v>
      </c>
      <c r="P55" s="46">
        <v>0.35</v>
      </c>
      <c r="Q55" s="46">
        <v>0.35</v>
      </c>
      <c r="R55" s="46">
        <v>0.35</v>
      </c>
      <c r="S55" s="46">
        <v>0.35</v>
      </c>
      <c r="T55" s="46">
        <v>0.35</v>
      </c>
      <c r="U55" s="46">
        <v>0.35</v>
      </c>
      <c r="V55" s="46">
        <v>0.35</v>
      </c>
      <c r="W55" s="46">
        <v>0.20999999999999996</v>
      </c>
      <c r="X55" s="46">
        <v>0.20999999999999996</v>
      </c>
      <c r="Y55" s="46">
        <v>0.20999999999999996</v>
      </c>
      <c r="Z55" s="46">
        <v>0.20999999999999996</v>
      </c>
    </row>
    <row r="56" spans="1:26">
      <c r="A56" s="6" t="s">
        <v>561</v>
      </c>
      <c r="B56" s="7">
        <v>4062025</v>
      </c>
      <c r="C56" s="6" t="s">
        <v>203</v>
      </c>
      <c r="D56" s="46">
        <v>0.39989833000000002</v>
      </c>
      <c r="E56" s="46">
        <v>0.39989833000000002</v>
      </c>
      <c r="F56" s="46">
        <v>0.39989833000000002</v>
      </c>
      <c r="G56" s="46">
        <v>0.39989833000000002</v>
      </c>
      <c r="H56" s="46">
        <v>0.39989833000000002</v>
      </c>
      <c r="I56" s="46">
        <v>0.39989833000000002</v>
      </c>
      <c r="J56" s="46">
        <v>0.39989833000000002</v>
      </c>
      <c r="K56" s="46">
        <v>0.39989833000000002</v>
      </c>
      <c r="L56" s="46">
        <v>0.39989833000000002</v>
      </c>
      <c r="M56" s="46">
        <v>0.39989833000000002</v>
      </c>
      <c r="N56" s="46">
        <v>0.39989833000000002</v>
      </c>
      <c r="O56" s="46">
        <v>0.39989833000000002</v>
      </c>
      <c r="P56" s="46">
        <v>0.39989833000000002</v>
      </c>
      <c r="Q56" s="46">
        <v>0.39989833000000002</v>
      </c>
      <c r="R56" s="46">
        <v>0.39989833000000002</v>
      </c>
      <c r="S56" s="46">
        <v>0.39989833000000002</v>
      </c>
      <c r="T56" s="46">
        <v>0.39989833000000002</v>
      </c>
      <c r="U56" s="46">
        <v>0.39989833000000002</v>
      </c>
      <c r="V56" s="46">
        <v>0.39989833000000002</v>
      </c>
      <c r="W56" s="46">
        <v>0.25989833000000001</v>
      </c>
      <c r="X56" s="46">
        <v>0.25989833000000001</v>
      </c>
      <c r="Y56" s="46">
        <v>0.25989833000000001</v>
      </c>
      <c r="Z56" s="46">
        <v>0.25989833000000001</v>
      </c>
    </row>
    <row r="57" spans="1:26">
      <c r="A57" s="6" t="s">
        <v>562</v>
      </c>
      <c r="B57" s="7">
        <v>4064481</v>
      </c>
      <c r="C57" s="6" t="s">
        <v>563</v>
      </c>
      <c r="D57" s="46">
        <v>0.41</v>
      </c>
      <c r="E57" s="46">
        <v>0.41</v>
      </c>
      <c r="F57" s="46">
        <v>0.41</v>
      </c>
      <c r="G57" s="46">
        <v>0.41</v>
      </c>
      <c r="H57" s="46">
        <v>0.41</v>
      </c>
      <c r="I57" s="46">
        <v>0.41</v>
      </c>
      <c r="J57" s="46">
        <v>0.41</v>
      </c>
      <c r="K57" s="46">
        <v>0.41</v>
      </c>
      <c r="L57" s="46">
        <v>0.41</v>
      </c>
      <c r="M57" s="46">
        <v>0.41</v>
      </c>
      <c r="N57" s="46">
        <v>0.41</v>
      </c>
      <c r="O57" s="46">
        <v>0.41</v>
      </c>
      <c r="P57" s="46">
        <v>0.41</v>
      </c>
      <c r="Q57" s="46">
        <v>0.41</v>
      </c>
      <c r="R57" s="46">
        <v>0.41</v>
      </c>
      <c r="S57" s="46">
        <v>0.41</v>
      </c>
      <c r="T57" s="46">
        <v>0.41</v>
      </c>
      <c r="U57" s="46">
        <v>0.41</v>
      </c>
      <c r="V57" s="46">
        <v>0.41</v>
      </c>
      <c r="W57" s="46">
        <v>0.26999999999999996</v>
      </c>
      <c r="X57" s="46">
        <v>0.26999999999999996</v>
      </c>
      <c r="Y57" s="46">
        <v>0.26999999999999996</v>
      </c>
      <c r="Z57" s="46">
        <v>0.26999999999999996</v>
      </c>
    </row>
    <row r="58" spans="1:26">
      <c r="A58" s="6" t="s">
        <v>564</v>
      </c>
      <c r="B58" s="7">
        <v>4057093</v>
      </c>
      <c r="C58" s="6" t="s">
        <v>171</v>
      </c>
      <c r="D58" s="46">
        <v>0.39649667</v>
      </c>
      <c r="E58" s="46">
        <v>0.39649667</v>
      </c>
      <c r="F58" s="46">
        <v>0.39649667</v>
      </c>
      <c r="G58" s="46">
        <v>0.39649667</v>
      </c>
      <c r="H58" s="46">
        <v>0.39649667</v>
      </c>
      <c r="I58" s="46">
        <v>0.39649667</v>
      </c>
      <c r="J58" s="46">
        <v>0.39649667</v>
      </c>
      <c r="K58" s="46">
        <v>0.39649667</v>
      </c>
      <c r="L58" s="46">
        <v>0.39649667</v>
      </c>
      <c r="M58" s="46">
        <v>0.39649667</v>
      </c>
      <c r="N58" s="46">
        <v>0.39649667</v>
      </c>
      <c r="O58" s="46">
        <v>0.39649667</v>
      </c>
      <c r="P58" s="46">
        <v>0.39649667</v>
      </c>
      <c r="Q58" s="46">
        <v>0.39649667</v>
      </c>
      <c r="R58" s="46">
        <v>0.39649667</v>
      </c>
      <c r="S58" s="46">
        <v>0.39649667</v>
      </c>
      <c r="T58" s="46">
        <v>0.39649667</v>
      </c>
      <c r="U58" s="46">
        <v>0.39649667</v>
      </c>
      <c r="V58" s="46">
        <v>0.39649667</v>
      </c>
      <c r="W58" s="46">
        <v>0.25649666999999998</v>
      </c>
      <c r="X58" s="46">
        <v>0.25649666999999998</v>
      </c>
      <c r="Y58" s="46">
        <v>0.25649666999999998</v>
      </c>
      <c r="Z58" s="46">
        <v>0.25649666999999998</v>
      </c>
    </row>
    <row r="59" spans="1:26">
      <c r="A59" s="6" t="s">
        <v>565</v>
      </c>
      <c r="B59" s="7">
        <v>4004218</v>
      </c>
      <c r="C59" s="6" t="s">
        <v>209</v>
      </c>
      <c r="D59" s="46">
        <v>0.40745999999999999</v>
      </c>
      <c r="E59" s="46">
        <v>0.40745999999999999</v>
      </c>
      <c r="F59" s="46">
        <v>0.40745999999999999</v>
      </c>
      <c r="G59" s="46">
        <v>0.40745999999999999</v>
      </c>
      <c r="H59" s="46">
        <v>0.40745999999999999</v>
      </c>
      <c r="I59" s="46">
        <v>0.40745999999999999</v>
      </c>
      <c r="J59" s="46">
        <v>0.40745999999999999</v>
      </c>
      <c r="K59" s="46">
        <v>0.40745999999999999</v>
      </c>
      <c r="L59" s="46">
        <v>0.40745999999999999</v>
      </c>
      <c r="M59" s="46">
        <v>0.40745999999999999</v>
      </c>
      <c r="N59" s="46">
        <v>0.40745999999999999</v>
      </c>
      <c r="O59" s="46">
        <v>0.40745999999999999</v>
      </c>
      <c r="P59" s="46">
        <v>0.40745999999999999</v>
      </c>
      <c r="Q59" s="46">
        <v>0.40745999999999999</v>
      </c>
      <c r="R59" s="46">
        <v>0.40745999999999999</v>
      </c>
      <c r="S59" s="46">
        <v>0.40745999999999999</v>
      </c>
      <c r="T59" s="46">
        <v>0.40745999999999999</v>
      </c>
      <c r="U59" s="46">
        <v>0.40745999999999999</v>
      </c>
      <c r="V59" s="46">
        <v>0.40745999999999999</v>
      </c>
      <c r="W59" s="46">
        <v>0.26745999999999998</v>
      </c>
      <c r="X59" s="46">
        <v>0.26745999999999998</v>
      </c>
      <c r="Y59" s="46">
        <v>0.26745999999999998</v>
      </c>
      <c r="Z59" s="46">
        <v>0.26745999999999998</v>
      </c>
    </row>
    <row r="60" spans="1:26">
      <c r="A60" s="6" t="s">
        <v>298</v>
      </c>
      <c r="B60" s="7">
        <v>4062222</v>
      </c>
      <c r="C60" s="6" t="s">
        <v>179</v>
      </c>
      <c r="D60" s="46">
        <v>0.414935</v>
      </c>
      <c r="E60" s="46">
        <v>0.414935</v>
      </c>
      <c r="F60" s="46">
        <v>0.414935</v>
      </c>
      <c r="G60" s="46">
        <v>0.414935</v>
      </c>
      <c r="H60" s="46">
        <v>0.414935</v>
      </c>
      <c r="I60" s="46">
        <v>0.414935</v>
      </c>
      <c r="J60" s="46">
        <v>0.414935</v>
      </c>
      <c r="K60" s="46">
        <v>0.414935</v>
      </c>
      <c r="L60" s="46">
        <v>0.414935</v>
      </c>
      <c r="M60" s="46">
        <v>0.414935</v>
      </c>
      <c r="N60" s="46">
        <v>0.414935</v>
      </c>
      <c r="O60" s="46">
        <v>0.414935</v>
      </c>
      <c r="P60" s="46">
        <v>0.414935</v>
      </c>
      <c r="Q60" s="46">
        <v>0.414935</v>
      </c>
      <c r="R60" s="46">
        <v>0.414935</v>
      </c>
      <c r="S60" s="46">
        <v>0.414935</v>
      </c>
      <c r="T60" s="46">
        <v>0.414935</v>
      </c>
      <c r="U60" s="46">
        <v>0.414935</v>
      </c>
      <c r="V60" s="46">
        <v>0.414935</v>
      </c>
      <c r="W60" s="46">
        <v>0.27493499999999998</v>
      </c>
      <c r="X60" s="46">
        <v>0.27493499999999998</v>
      </c>
      <c r="Y60" s="46">
        <v>0.27493499999999998</v>
      </c>
      <c r="Z60" s="46">
        <v>0.27493499999999998</v>
      </c>
    </row>
    <row r="61" spans="1:26">
      <c r="A61" s="6" t="s">
        <v>566</v>
      </c>
      <c r="B61" s="7">
        <v>4063341</v>
      </c>
      <c r="C61" s="6" t="s">
        <v>213</v>
      </c>
      <c r="D61" s="46">
        <v>0.38574999999999998</v>
      </c>
      <c r="E61" s="46">
        <v>0.38574999999999998</v>
      </c>
      <c r="F61" s="46">
        <v>0.38574999999999998</v>
      </c>
      <c r="G61" s="46">
        <v>0.38574999999999998</v>
      </c>
      <c r="H61" s="46">
        <v>0.38574999999999998</v>
      </c>
      <c r="I61" s="46">
        <v>0.38574999999999998</v>
      </c>
      <c r="J61" s="46">
        <v>0.38574999999999998</v>
      </c>
      <c r="K61" s="46">
        <v>0.38574999999999998</v>
      </c>
      <c r="L61" s="46">
        <v>0.38574999999999998</v>
      </c>
      <c r="M61" s="46">
        <v>0.38574999999999998</v>
      </c>
      <c r="N61" s="46">
        <v>0.38574999999999998</v>
      </c>
      <c r="O61" s="46">
        <v>0.38574999999999998</v>
      </c>
      <c r="P61" s="46">
        <v>0.38574999999999998</v>
      </c>
      <c r="Q61" s="46">
        <v>0.38574999999999998</v>
      </c>
      <c r="R61" s="46">
        <v>0.38574999999999998</v>
      </c>
      <c r="S61" s="46">
        <v>0.38574999999999998</v>
      </c>
      <c r="T61" s="46">
        <v>0.38574999999999998</v>
      </c>
      <c r="U61" s="46">
        <v>0.38574999999999998</v>
      </c>
      <c r="V61" s="46">
        <v>0.38574999999999998</v>
      </c>
      <c r="W61" s="46">
        <v>0.24574999999999997</v>
      </c>
      <c r="X61" s="46">
        <v>0.24574999999999997</v>
      </c>
      <c r="Y61" s="46">
        <v>0.24574999999999997</v>
      </c>
      <c r="Z61" s="46">
        <v>0.24574999999999997</v>
      </c>
    </row>
    <row r="62" spans="1:26">
      <c r="A62" s="6" t="s">
        <v>567</v>
      </c>
      <c r="B62" s="7">
        <v>4083575</v>
      </c>
      <c r="C62" s="6" t="s">
        <v>179</v>
      </c>
      <c r="D62" s="46">
        <v>0.414935</v>
      </c>
      <c r="E62" s="46">
        <v>0.414935</v>
      </c>
      <c r="F62" s="46">
        <v>0.414935</v>
      </c>
      <c r="G62" s="46">
        <v>0.414935</v>
      </c>
      <c r="H62" s="46">
        <v>0.414935</v>
      </c>
      <c r="I62" s="46">
        <v>0.414935</v>
      </c>
      <c r="J62" s="46">
        <v>0.414935</v>
      </c>
      <c r="K62" s="46">
        <v>0.414935</v>
      </c>
      <c r="L62" s="46">
        <v>0.414935</v>
      </c>
      <c r="M62" s="46">
        <v>0.414935</v>
      </c>
      <c r="N62" s="46">
        <v>0.414935</v>
      </c>
      <c r="O62" s="46">
        <v>0.414935</v>
      </c>
      <c r="P62" s="46">
        <v>0.414935</v>
      </c>
      <c r="Q62" s="46">
        <v>0.414935</v>
      </c>
      <c r="R62" s="46">
        <v>0.414935</v>
      </c>
      <c r="S62" s="46">
        <v>0.414935</v>
      </c>
      <c r="T62" s="46">
        <v>0.414935</v>
      </c>
      <c r="U62" s="46">
        <v>0.414935</v>
      </c>
      <c r="V62" s="46">
        <v>0.414935</v>
      </c>
      <c r="W62" s="46">
        <v>0.27493499999999998</v>
      </c>
      <c r="X62" s="46">
        <v>0.27493499999999998</v>
      </c>
      <c r="Y62" s="46">
        <v>0.27493499999999998</v>
      </c>
      <c r="Z62" s="46">
        <v>0.27493499999999998</v>
      </c>
    </row>
    <row r="63" spans="1:26">
      <c r="A63" s="6" t="s">
        <v>568</v>
      </c>
      <c r="B63" s="7">
        <v>4062303</v>
      </c>
      <c r="C63" s="6" t="s">
        <v>171</v>
      </c>
      <c r="D63" s="46">
        <v>0.39649667</v>
      </c>
      <c r="E63" s="46">
        <v>0.39649667</v>
      </c>
      <c r="F63" s="46">
        <v>0.39649667</v>
      </c>
      <c r="G63" s="46">
        <v>0.39649667</v>
      </c>
      <c r="H63" s="46">
        <v>0.39649667</v>
      </c>
      <c r="I63" s="46">
        <v>0.39649667</v>
      </c>
      <c r="J63" s="46">
        <v>0.39649667</v>
      </c>
      <c r="K63" s="46">
        <v>0.39649667</v>
      </c>
      <c r="L63" s="46">
        <v>0.39649667</v>
      </c>
      <c r="M63" s="46">
        <v>0.39649667</v>
      </c>
      <c r="N63" s="46">
        <v>0.39649667</v>
      </c>
      <c r="O63" s="46">
        <v>0.39649667</v>
      </c>
      <c r="P63" s="46">
        <v>0.39649667</v>
      </c>
      <c r="Q63" s="46">
        <v>0.39649667</v>
      </c>
      <c r="R63" s="46">
        <v>0.39649667</v>
      </c>
      <c r="S63" s="46">
        <v>0.39649667</v>
      </c>
      <c r="T63" s="46">
        <v>0.39649667</v>
      </c>
      <c r="U63" s="46">
        <v>0.39649667</v>
      </c>
      <c r="V63" s="46">
        <v>0.39649667</v>
      </c>
      <c r="W63" s="46">
        <v>0.25649666999999998</v>
      </c>
      <c r="X63" s="46">
        <v>0.25649666999999998</v>
      </c>
      <c r="Y63" s="46">
        <v>0.25649666999999998</v>
      </c>
      <c r="Z63" s="46">
        <v>0.25649666999999998</v>
      </c>
    </row>
    <row r="64" spans="1:26">
      <c r="A64" s="6" t="s">
        <v>569</v>
      </c>
      <c r="B64" s="7">
        <v>4083581</v>
      </c>
      <c r="C64" s="6" t="s">
        <v>177</v>
      </c>
      <c r="D64" s="46">
        <v>0.35</v>
      </c>
      <c r="E64" s="46">
        <v>0.35</v>
      </c>
      <c r="F64" s="46">
        <v>0.35</v>
      </c>
      <c r="G64" s="46">
        <v>0.35</v>
      </c>
      <c r="H64" s="46">
        <v>0.35</v>
      </c>
      <c r="I64" s="46">
        <v>0.35</v>
      </c>
      <c r="J64" s="46">
        <v>0.35</v>
      </c>
      <c r="K64" s="46">
        <v>0.35</v>
      </c>
      <c r="L64" s="46">
        <v>0.35</v>
      </c>
      <c r="M64" s="46">
        <v>0.35</v>
      </c>
      <c r="N64" s="46">
        <v>0.35</v>
      </c>
      <c r="O64" s="46">
        <v>0.35</v>
      </c>
      <c r="P64" s="46">
        <v>0.35</v>
      </c>
      <c r="Q64" s="46">
        <v>0.35</v>
      </c>
      <c r="R64" s="46">
        <v>0.35</v>
      </c>
      <c r="S64" s="46">
        <v>0.35</v>
      </c>
      <c r="T64" s="46">
        <v>0.35</v>
      </c>
      <c r="U64" s="46">
        <v>0.35</v>
      </c>
      <c r="V64" s="46">
        <v>0.35</v>
      </c>
      <c r="W64" s="46">
        <v>0.20999999999999996</v>
      </c>
      <c r="X64" s="46">
        <v>0.20999999999999996</v>
      </c>
      <c r="Y64" s="46">
        <v>0.20999999999999996</v>
      </c>
      <c r="Z64" s="46">
        <v>0.20999999999999996</v>
      </c>
    </row>
    <row r="65" spans="1:26">
      <c r="A65" s="6" t="s">
        <v>570</v>
      </c>
      <c r="B65" s="7">
        <v>4057139</v>
      </c>
      <c r="C65" s="6" t="s">
        <v>215</v>
      </c>
      <c r="D65" s="46">
        <v>0.35</v>
      </c>
      <c r="E65" s="46">
        <v>0.35</v>
      </c>
      <c r="F65" s="46">
        <v>0.35</v>
      </c>
      <c r="G65" s="46">
        <v>0.35</v>
      </c>
      <c r="H65" s="46">
        <v>0.35</v>
      </c>
      <c r="I65" s="46">
        <v>0.35</v>
      </c>
      <c r="J65" s="46">
        <v>0.35</v>
      </c>
      <c r="K65" s="46">
        <v>0.35</v>
      </c>
      <c r="L65" s="46">
        <v>0.35</v>
      </c>
      <c r="M65" s="46">
        <v>0.35</v>
      </c>
      <c r="N65" s="46">
        <v>0.35</v>
      </c>
      <c r="O65" s="46">
        <v>0.35</v>
      </c>
      <c r="P65" s="46">
        <v>0.35</v>
      </c>
      <c r="Q65" s="46">
        <v>0.35</v>
      </c>
      <c r="R65" s="46">
        <v>0.35</v>
      </c>
      <c r="S65" s="46">
        <v>0.35</v>
      </c>
      <c r="T65" s="46">
        <v>0.35</v>
      </c>
      <c r="U65" s="46">
        <v>0.35</v>
      </c>
      <c r="V65" s="46">
        <v>0.35</v>
      </c>
      <c r="W65" s="46">
        <v>0.23499999999999999</v>
      </c>
      <c r="X65" s="46">
        <v>0.23499999999999999</v>
      </c>
      <c r="Y65" s="46">
        <v>0.23499999999999999</v>
      </c>
      <c r="Z65" s="46">
        <v>0.23499999999999999</v>
      </c>
    </row>
    <row r="66" spans="1:26">
      <c r="A66" s="6" t="s">
        <v>571</v>
      </c>
      <c r="B66" s="7">
        <v>4057095</v>
      </c>
      <c r="C66" s="6" t="s">
        <v>196</v>
      </c>
      <c r="D66" s="46">
        <v>0.40849999999999997</v>
      </c>
      <c r="E66" s="46">
        <v>0.40849999999999997</v>
      </c>
      <c r="F66" s="46">
        <v>0.40849999999999997</v>
      </c>
      <c r="G66" s="46">
        <v>0.40849999999999997</v>
      </c>
      <c r="H66" s="46">
        <v>0.40849999999999997</v>
      </c>
      <c r="I66" s="46">
        <v>0.40849999999999997</v>
      </c>
      <c r="J66" s="46">
        <v>0.40849999999999997</v>
      </c>
      <c r="K66" s="46">
        <v>0.40849999999999997</v>
      </c>
      <c r="L66" s="46">
        <v>0.40849999999999997</v>
      </c>
      <c r="M66" s="46">
        <v>0.40849999999999997</v>
      </c>
      <c r="N66" s="46">
        <v>0.40849999999999997</v>
      </c>
      <c r="O66" s="46">
        <v>0.40849999999999997</v>
      </c>
      <c r="P66" s="46">
        <v>0.40849999999999997</v>
      </c>
      <c r="Q66" s="46">
        <v>0.40849999999999997</v>
      </c>
      <c r="R66" s="46">
        <v>0.40849999999999997</v>
      </c>
      <c r="S66" s="46">
        <v>0.40849999999999997</v>
      </c>
      <c r="T66" s="46">
        <v>0.40849999999999997</v>
      </c>
      <c r="U66" s="46">
        <v>0.40849999999999997</v>
      </c>
      <c r="V66" s="46">
        <v>0.40849999999999997</v>
      </c>
      <c r="W66" s="46">
        <v>0.26849999999999996</v>
      </c>
      <c r="X66" s="46">
        <v>0.26849999999999996</v>
      </c>
      <c r="Y66" s="46">
        <v>0.26849999999999996</v>
      </c>
      <c r="Z66" s="46">
        <v>0.26849999999999996</v>
      </c>
    </row>
    <row r="67" spans="1:26">
      <c r="A67" s="6" t="s">
        <v>572</v>
      </c>
      <c r="B67" s="7">
        <v>4062485</v>
      </c>
      <c r="C67" s="6" t="s">
        <v>146</v>
      </c>
      <c r="D67" s="46">
        <v>0.35</v>
      </c>
      <c r="E67" s="46">
        <v>0.35</v>
      </c>
      <c r="F67" s="46">
        <v>0.35</v>
      </c>
      <c r="G67" s="46">
        <v>0.35</v>
      </c>
      <c r="H67" s="46">
        <v>0.35</v>
      </c>
      <c r="I67" s="46">
        <v>0.35</v>
      </c>
      <c r="J67" s="46">
        <v>0.35</v>
      </c>
      <c r="K67" s="46">
        <v>0.35</v>
      </c>
      <c r="L67" s="46">
        <v>0.35</v>
      </c>
      <c r="M67" s="46">
        <v>0.35</v>
      </c>
      <c r="N67" s="46">
        <v>0.35</v>
      </c>
      <c r="O67" s="46">
        <v>0.35</v>
      </c>
      <c r="P67" s="46">
        <v>0.35</v>
      </c>
      <c r="Q67" s="46">
        <v>0.35</v>
      </c>
      <c r="R67" s="46">
        <v>0.35</v>
      </c>
      <c r="S67" s="46">
        <v>0.35</v>
      </c>
      <c r="T67" s="46">
        <v>0.35</v>
      </c>
      <c r="U67" s="46">
        <v>0.35</v>
      </c>
      <c r="V67" s="46">
        <v>0.35</v>
      </c>
      <c r="W67" s="46">
        <v>0.20999999999999996</v>
      </c>
      <c r="X67" s="46">
        <v>0.20999999999999996</v>
      </c>
      <c r="Y67" s="46">
        <v>0.20999999999999996</v>
      </c>
      <c r="Z67" s="46">
        <v>0.20999999999999996</v>
      </c>
    </row>
    <row r="68" spans="1:26">
      <c r="A68" s="6" t="s">
        <v>573</v>
      </c>
      <c r="B68" s="7">
        <v>4057140</v>
      </c>
      <c r="C68" s="6" t="s">
        <v>219</v>
      </c>
      <c r="D68" s="46">
        <v>0.35</v>
      </c>
      <c r="E68" s="46">
        <v>0.35</v>
      </c>
      <c r="F68" s="46">
        <v>0.35</v>
      </c>
      <c r="G68" s="46">
        <v>0.35</v>
      </c>
      <c r="H68" s="46">
        <v>0.35</v>
      </c>
      <c r="I68" s="46">
        <v>0.35</v>
      </c>
      <c r="J68" s="46">
        <v>0.35</v>
      </c>
      <c r="K68" s="46">
        <v>0.35</v>
      </c>
      <c r="L68" s="46">
        <v>0.35</v>
      </c>
      <c r="M68" s="46">
        <v>0.35</v>
      </c>
      <c r="N68" s="46">
        <v>0.35</v>
      </c>
      <c r="O68" s="46">
        <v>0.35</v>
      </c>
      <c r="P68" s="46">
        <v>0.35</v>
      </c>
      <c r="Q68" s="46">
        <v>0.35</v>
      </c>
      <c r="R68" s="46">
        <v>0.35</v>
      </c>
      <c r="S68" s="46">
        <v>0.35</v>
      </c>
      <c r="T68" s="46">
        <v>0.35</v>
      </c>
      <c r="U68" s="46">
        <v>0.35</v>
      </c>
      <c r="V68" s="46">
        <v>0.35</v>
      </c>
      <c r="W68" s="46">
        <v>0.25950000000000001</v>
      </c>
      <c r="X68" s="46">
        <v>0.25950000000000001</v>
      </c>
      <c r="Y68" s="46">
        <v>0.25950000000000001</v>
      </c>
      <c r="Z68" s="46">
        <v>0.25950000000000001</v>
      </c>
    </row>
    <row r="69" spans="1:26">
      <c r="A69" s="6" t="s">
        <v>221</v>
      </c>
      <c r="B69" s="7">
        <v>4057096</v>
      </c>
      <c r="C69" s="6" t="s">
        <v>171</v>
      </c>
      <c r="D69" s="46">
        <v>0.39649667</v>
      </c>
      <c r="E69" s="46">
        <v>0.39649667</v>
      </c>
      <c r="F69" s="46">
        <v>0.39649667</v>
      </c>
      <c r="G69" s="46">
        <v>0.39649667</v>
      </c>
      <c r="H69" s="46">
        <v>0.39649667</v>
      </c>
      <c r="I69" s="46">
        <v>0.39649667</v>
      </c>
      <c r="J69" s="46">
        <v>0.39649667</v>
      </c>
      <c r="K69" s="46">
        <v>0.39649667</v>
      </c>
      <c r="L69" s="46">
        <v>0.39649667</v>
      </c>
      <c r="M69" s="46">
        <v>0.39649667</v>
      </c>
      <c r="N69" s="46">
        <v>0.39649667</v>
      </c>
      <c r="O69" s="46">
        <v>0.39649667</v>
      </c>
      <c r="P69" s="46">
        <v>0.39649667</v>
      </c>
      <c r="Q69" s="46">
        <v>0.39649667</v>
      </c>
      <c r="R69" s="46">
        <v>0.39649667</v>
      </c>
      <c r="S69" s="46">
        <v>0.39649667</v>
      </c>
      <c r="T69" s="46">
        <v>0.39649667</v>
      </c>
      <c r="U69" s="46">
        <v>0.39649667</v>
      </c>
      <c r="V69" s="46">
        <v>0.39649667</v>
      </c>
      <c r="W69" s="46">
        <v>0.25649666999999998</v>
      </c>
      <c r="X69" s="46">
        <v>0.25649666999999998</v>
      </c>
      <c r="Y69" s="46">
        <v>0.25649666999999998</v>
      </c>
      <c r="Z69" s="46">
        <v>0.25649666999999998</v>
      </c>
    </row>
    <row r="70" spans="1:26">
      <c r="A70" s="6" t="s">
        <v>574</v>
      </c>
      <c r="B70" s="7">
        <v>4057097</v>
      </c>
      <c r="C70" s="6" t="s">
        <v>209</v>
      </c>
      <c r="D70" s="46">
        <v>0.40745999999999999</v>
      </c>
      <c r="E70" s="46">
        <v>0.40745999999999999</v>
      </c>
      <c r="F70" s="46">
        <v>0.40745999999999999</v>
      </c>
      <c r="G70" s="46">
        <v>0.40745999999999999</v>
      </c>
      <c r="H70" s="46">
        <v>0.40745999999999999</v>
      </c>
      <c r="I70" s="46">
        <v>0.40745999999999999</v>
      </c>
      <c r="J70" s="46">
        <v>0.40745999999999999</v>
      </c>
      <c r="K70" s="46">
        <v>0.40745999999999999</v>
      </c>
      <c r="L70" s="46">
        <v>0.40745999999999999</v>
      </c>
      <c r="M70" s="46">
        <v>0.40745999999999999</v>
      </c>
      <c r="N70" s="46">
        <v>0.40745999999999999</v>
      </c>
      <c r="O70" s="46">
        <v>0.40745999999999999</v>
      </c>
      <c r="P70" s="46">
        <v>0.40745999999999999</v>
      </c>
      <c r="Q70" s="46">
        <v>0.40745999999999999</v>
      </c>
      <c r="R70" s="46">
        <v>0.40745999999999999</v>
      </c>
      <c r="S70" s="46">
        <v>0.40745999999999999</v>
      </c>
      <c r="T70" s="46">
        <v>0.40745999999999999</v>
      </c>
      <c r="U70" s="46">
        <v>0.40745999999999999</v>
      </c>
      <c r="V70" s="46">
        <v>0.40745999999999999</v>
      </c>
      <c r="W70" s="46">
        <v>0.26745999999999998</v>
      </c>
      <c r="X70" s="46">
        <v>0.26745999999999998</v>
      </c>
      <c r="Y70" s="46">
        <v>0.26745999999999998</v>
      </c>
      <c r="Z70" s="46">
        <v>0.26745999999999998</v>
      </c>
    </row>
    <row r="71" spans="1:26">
      <c r="A71" s="6" t="s">
        <v>575</v>
      </c>
      <c r="B71" s="7">
        <v>4057098</v>
      </c>
      <c r="C71" s="6" t="s">
        <v>576</v>
      </c>
      <c r="D71" s="46">
        <v>0.35</v>
      </c>
      <c r="E71" s="46">
        <v>0.35</v>
      </c>
      <c r="F71" s="46">
        <v>0.35</v>
      </c>
      <c r="G71" s="46">
        <v>0.35</v>
      </c>
      <c r="H71" s="46">
        <v>0.35</v>
      </c>
      <c r="I71" s="46">
        <v>0.35</v>
      </c>
      <c r="J71" s="46">
        <v>0.35</v>
      </c>
      <c r="K71" s="46">
        <v>0.35</v>
      </c>
      <c r="L71" s="46">
        <v>0.35</v>
      </c>
      <c r="M71" s="46">
        <v>0.35</v>
      </c>
      <c r="N71" s="46">
        <v>0.35</v>
      </c>
      <c r="O71" s="46">
        <v>0.35</v>
      </c>
      <c r="P71" s="46">
        <v>0.35</v>
      </c>
      <c r="Q71" s="46">
        <v>0.35</v>
      </c>
      <c r="R71" s="46">
        <v>0.35</v>
      </c>
      <c r="S71" s="46">
        <v>0.35</v>
      </c>
      <c r="T71" s="46">
        <v>0.35</v>
      </c>
      <c r="U71" s="46">
        <v>0.35</v>
      </c>
      <c r="V71" s="46">
        <v>0.35</v>
      </c>
      <c r="W71" s="46">
        <v>0.22475000000000001</v>
      </c>
      <c r="X71" s="46">
        <v>0.22475000000000001</v>
      </c>
      <c r="Y71" s="46">
        <v>0.22475000000000001</v>
      </c>
      <c r="Z71" s="46">
        <v>0.22475000000000001</v>
      </c>
    </row>
    <row r="72" spans="1:26">
      <c r="A72" s="6" t="s">
        <v>577</v>
      </c>
      <c r="B72" s="7">
        <v>4063023</v>
      </c>
      <c r="C72" s="6" t="s">
        <v>196</v>
      </c>
      <c r="D72" s="46">
        <v>0.40849999999999997</v>
      </c>
      <c r="E72" s="46">
        <v>0.40849999999999997</v>
      </c>
      <c r="F72" s="46">
        <v>0.40849999999999997</v>
      </c>
      <c r="G72" s="46">
        <v>0.40849999999999997</v>
      </c>
      <c r="H72" s="46">
        <v>0.40849999999999997</v>
      </c>
      <c r="I72" s="46">
        <v>0.40849999999999997</v>
      </c>
      <c r="J72" s="46">
        <v>0.40849999999999997</v>
      </c>
      <c r="K72" s="46">
        <v>0.40849999999999997</v>
      </c>
      <c r="L72" s="46">
        <v>0.40849999999999997</v>
      </c>
      <c r="M72" s="46">
        <v>0.40849999999999997</v>
      </c>
      <c r="N72" s="46">
        <v>0.40849999999999997</v>
      </c>
      <c r="O72" s="46">
        <v>0.40849999999999997</v>
      </c>
      <c r="P72" s="46">
        <v>0.40849999999999997</v>
      </c>
      <c r="Q72" s="46">
        <v>0.40849999999999997</v>
      </c>
      <c r="R72" s="46">
        <v>0.40849999999999997</v>
      </c>
      <c r="S72" s="46">
        <v>0.40849999999999997</v>
      </c>
      <c r="T72" s="46">
        <v>0.40849999999999997</v>
      </c>
      <c r="U72" s="46">
        <v>0.40849999999999997</v>
      </c>
      <c r="V72" s="46">
        <v>0.40849999999999997</v>
      </c>
      <c r="W72" s="46">
        <v>0.26849999999999996</v>
      </c>
      <c r="X72" s="46">
        <v>0.26849999999999996</v>
      </c>
      <c r="Y72" s="46">
        <v>0.26849999999999996</v>
      </c>
      <c r="Z72" s="46">
        <v>0.26849999999999996</v>
      </c>
    </row>
    <row r="73" spans="1:26">
      <c r="A73" s="6" t="s">
        <v>578</v>
      </c>
      <c r="B73" s="7">
        <v>4057146</v>
      </c>
      <c r="C73" s="6" t="s">
        <v>209</v>
      </c>
      <c r="D73" s="46">
        <v>0.40745999999999999</v>
      </c>
      <c r="E73" s="46">
        <v>0.40745999999999999</v>
      </c>
      <c r="F73" s="46">
        <v>0.40745999999999999</v>
      </c>
      <c r="G73" s="46">
        <v>0.40745999999999999</v>
      </c>
      <c r="H73" s="46">
        <v>0.40745999999999999</v>
      </c>
      <c r="I73" s="46">
        <v>0.40745999999999999</v>
      </c>
      <c r="J73" s="46">
        <v>0.40745999999999999</v>
      </c>
      <c r="K73" s="46">
        <v>0.40745999999999999</v>
      </c>
      <c r="L73" s="46">
        <v>0.40745999999999999</v>
      </c>
      <c r="M73" s="46">
        <v>0.40745999999999999</v>
      </c>
      <c r="N73" s="46">
        <v>0.40745999999999999</v>
      </c>
      <c r="O73" s="46">
        <v>0.40745999999999999</v>
      </c>
      <c r="P73" s="46">
        <v>0.40745999999999999</v>
      </c>
      <c r="Q73" s="46">
        <v>0.40745999999999999</v>
      </c>
      <c r="R73" s="46">
        <v>0.40745999999999999</v>
      </c>
      <c r="S73" s="46">
        <v>0.40745999999999999</v>
      </c>
      <c r="T73" s="46">
        <v>0.40745999999999999</v>
      </c>
      <c r="U73" s="46">
        <v>0.40745999999999999</v>
      </c>
      <c r="V73" s="46">
        <v>0.40745999999999999</v>
      </c>
      <c r="W73" s="46">
        <v>0.26745999999999998</v>
      </c>
      <c r="X73" s="46">
        <v>0.26745999999999998</v>
      </c>
      <c r="Y73" s="46">
        <v>0.26745999999999998</v>
      </c>
      <c r="Z73" s="46">
        <v>0.26745999999999998</v>
      </c>
    </row>
    <row r="74" spans="1:26">
      <c r="A74" s="6" t="s">
        <v>579</v>
      </c>
      <c r="B74" s="7">
        <v>4057100</v>
      </c>
      <c r="C74" s="6" t="s">
        <v>227</v>
      </c>
      <c r="D74" s="46">
        <v>0.35</v>
      </c>
      <c r="E74" s="46">
        <v>0.35</v>
      </c>
      <c r="F74" s="46">
        <v>0.35</v>
      </c>
      <c r="G74" s="46">
        <v>0.35</v>
      </c>
      <c r="H74" s="46">
        <v>0.35</v>
      </c>
      <c r="I74" s="46">
        <v>0.35</v>
      </c>
      <c r="J74" s="46">
        <v>0.35</v>
      </c>
      <c r="K74" s="46">
        <v>0.35</v>
      </c>
      <c r="L74" s="46">
        <v>0.35</v>
      </c>
      <c r="M74" s="46">
        <v>0.35</v>
      </c>
      <c r="N74" s="46">
        <v>0.35</v>
      </c>
      <c r="O74" s="46">
        <v>0.35</v>
      </c>
      <c r="P74" s="46">
        <v>0.35</v>
      </c>
      <c r="Q74" s="46">
        <v>0.35</v>
      </c>
      <c r="R74" s="46">
        <v>0.35</v>
      </c>
      <c r="S74" s="46">
        <v>0.35</v>
      </c>
      <c r="T74" s="46">
        <v>0.35</v>
      </c>
      <c r="U74" s="46">
        <v>0.35</v>
      </c>
      <c r="V74" s="46">
        <v>0.35</v>
      </c>
      <c r="W74" s="46">
        <v>0.20999999999999996</v>
      </c>
      <c r="X74" s="46">
        <v>0.20999999999999996</v>
      </c>
      <c r="Y74" s="46">
        <v>0.20999999999999996</v>
      </c>
      <c r="Z74" s="46">
        <v>0.20999999999999996</v>
      </c>
    </row>
    <row r="75" spans="1:26">
      <c r="A75" s="6" t="s">
        <v>580</v>
      </c>
      <c r="B75" s="7">
        <v>4064035</v>
      </c>
      <c r="C75" s="6" t="s">
        <v>581</v>
      </c>
      <c r="D75" s="46">
        <v>0.4</v>
      </c>
      <c r="E75" s="46">
        <v>0.4</v>
      </c>
      <c r="F75" s="46">
        <v>0.4</v>
      </c>
      <c r="G75" s="46">
        <v>0.4</v>
      </c>
      <c r="H75" s="46">
        <v>0.4</v>
      </c>
      <c r="I75" s="46">
        <v>0.4</v>
      </c>
      <c r="J75" s="46">
        <v>0.4</v>
      </c>
      <c r="K75" s="46">
        <v>0.4</v>
      </c>
      <c r="L75" s="46">
        <v>0.4</v>
      </c>
      <c r="M75" s="46">
        <v>0.4</v>
      </c>
      <c r="N75" s="46">
        <v>0.4</v>
      </c>
      <c r="O75" s="46">
        <v>0.4</v>
      </c>
      <c r="P75" s="46">
        <v>0.4</v>
      </c>
      <c r="Q75" s="46">
        <v>0.4</v>
      </c>
      <c r="R75" s="46">
        <v>0.4</v>
      </c>
      <c r="S75" s="46">
        <v>0.4</v>
      </c>
      <c r="T75" s="46">
        <v>0.4</v>
      </c>
      <c r="U75" s="46">
        <v>0.4</v>
      </c>
      <c r="V75" s="46">
        <v>0.4</v>
      </c>
      <c r="W75" s="46">
        <v>0.26</v>
      </c>
      <c r="X75" s="46">
        <v>0.26</v>
      </c>
      <c r="Y75" s="46">
        <v>0.26</v>
      </c>
      <c r="Z75" s="46">
        <v>0.26</v>
      </c>
    </row>
    <row r="76" spans="1:26">
      <c r="A76" s="6" t="s">
        <v>582</v>
      </c>
      <c r="B76" s="7">
        <v>4060957</v>
      </c>
      <c r="C76" s="6" t="s">
        <v>583</v>
      </c>
      <c r="D76" s="46">
        <v>0.35</v>
      </c>
      <c r="E76" s="46">
        <v>0.35</v>
      </c>
      <c r="F76" s="46">
        <v>0.35</v>
      </c>
      <c r="G76" s="46">
        <v>0.35</v>
      </c>
      <c r="H76" s="46">
        <v>0.35</v>
      </c>
      <c r="I76" s="46">
        <v>0.35</v>
      </c>
      <c r="J76" s="46">
        <v>0.35</v>
      </c>
      <c r="K76" s="46">
        <v>0.35</v>
      </c>
      <c r="L76" s="46">
        <v>0.35</v>
      </c>
      <c r="M76" s="46">
        <v>0.35</v>
      </c>
      <c r="N76" s="46">
        <v>0.35</v>
      </c>
      <c r="O76" s="46">
        <v>0.35</v>
      </c>
      <c r="P76" s="46">
        <v>0.35</v>
      </c>
      <c r="Q76" s="46">
        <v>0.35</v>
      </c>
      <c r="R76" s="46">
        <v>0.35</v>
      </c>
      <c r="S76" s="46">
        <v>0.35</v>
      </c>
      <c r="T76" s="46">
        <v>0.35</v>
      </c>
      <c r="U76" s="46">
        <v>0.35</v>
      </c>
      <c r="V76" s="46">
        <v>0.35</v>
      </c>
      <c r="W76" s="46">
        <v>0.25</v>
      </c>
      <c r="X76" s="46">
        <v>0.25</v>
      </c>
      <c r="Y76" s="46">
        <v>0.25</v>
      </c>
      <c r="Z76" s="46">
        <v>0.25</v>
      </c>
    </row>
    <row r="77" spans="1:26">
      <c r="A77" s="6" t="s">
        <v>584</v>
      </c>
      <c r="B77" s="7">
        <v>4063179</v>
      </c>
      <c r="C77" s="6" t="s">
        <v>213</v>
      </c>
      <c r="D77" s="46">
        <v>0.38574999999999998</v>
      </c>
      <c r="E77" s="46">
        <v>0.38574999999999998</v>
      </c>
      <c r="F77" s="46">
        <v>0.38574999999999998</v>
      </c>
      <c r="G77" s="46">
        <v>0.38574999999999998</v>
      </c>
      <c r="H77" s="46">
        <v>0.38574999999999998</v>
      </c>
      <c r="I77" s="46">
        <v>0.38574999999999998</v>
      </c>
      <c r="J77" s="46">
        <v>0.38574999999999998</v>
      </c>
      <c r="K77" s="46">
        <v>0.38574999999999998</v>
      </c>
      <c r="L77" s="46">
        <v>0.38574999999999998</v>
      </c>
      <c r="M77" s="46">
        <v>0.38574999999999998</v>
      </c>
      <c r="N77" s="46">
        <v>0.38574999999999998</v>
      </c>
      <c r="O77" s="46">
        <v>0.38574999999999998</v>
      </c>
      <c r="P77" s="46">
        <v>0.38574999999999998</v>
      </c>
      <c r="Q77" s="46">
        <v>0.38574999999999998</v>
      </c>
      <c r="R77" s="46">
        <v>0.38574999999999998</v>
      </c>
      <c r="S77" s="46">
        <v>0.38574999999999998</v>
      </c>
      <c r="T77" s="46">
        <v>0.38574999999999998</v>
      </c>
      <c r="U77" s="46">
        <v>0.38574999999999998</v>
      </c>
      <c r="V77" s="46">
        <v>0.38574999999999998</v>
      </c>
      <c r="W77" s="46">
        <v>0.24574999999999997</v>
      </c>
      <c r="X77" s="46">
        <v>0.24574999999999997</v>
      </c>
      <c r="Y77" s="46">
        <v>0.24574999999999997</v>
      </c>
      <c r="Z77" s="46">
        <v>0.24574999999999997</v>
      </c>
    </row>
    <row r="78" spans="1:26">
      <c r="A78" s="6" t="s">
        <v>585</v>
      </c>
      <c r="B78" s="7">
        <v>4063183</v>
      </c>
      <c r="C78" s="6" t="s">
        <v>171</v>
      </c>
      <c r="D78" s="46">
        <v>0.39649667</v>
      </c>
      <c r="E78" s="46">
        <v>0.39649667</v>
      </c>
      <c r="F78" s="46">
        <v>0.39649667</v>
      </c>
      <c r="G78" s="46">
        <v>0.39649667</v>
      </c>
      <c r="H78" s="46">
        <v>0.39649667</v>
      </c>
      <c r="I78" s="46">
        <v>0.39649667</v>
      </c>
      <c r="J78" s="46">
        <v>0.39649667</v>
      </c>
      <c r="K78" s="46">
        <v>0.39649667</v>
      </c>
      <c r="L78" s="46">
        <v>0.39649667</v>
      </c>
      <c r="M78" s="46">
        <v>0.39649667</v>
      </c>
      <c r="N78" s="46">
        <v>0.39649667</v>
      </c>
      <c r="O78" s="46">
        <v>0.39649667</v>
      </c>
      <c r="P78" s="46">
        <v>0.39649667</v>
      </c>
      <c r="Q78" s="46">
        <v>0.39649667</v>
      </c>
      <c r="R78" s="46">
        <v>0.39649667</v>
      </c>
      <c r="S78" s="46">
        <v>0.39649667</v>
      </c>
      <c r="T78" s="46">
        <v>0.39649667</v>
      </c>
      <c r="U78" s="46">
        <v>0.39649667</v>
      </c>
      <c r="V78" s="46">
        <v>0.39649667</v>
      </c>
      <c r="W78" s="46">
        <v>0.25649666999999998</v>
      </c>
      <c r="X78" s="46">
        <v>0.25649666999999998</v>
      </c>
      <c r="Y78" s="46">
        <v>0.25649666999999998</v>
      </c>
      <c r="Z78" s="46">
        <v>0.25649666999999998</v>
      </c>
    </row>
    <row r="79" spans="1:26">
      <c r="A79" s="6" t="s">
        <v>586</v>
      </c>
      <c r="B79" s="7">
        <v>4063281</v>
      </c>
      <c r="C79" s="6" t="s">
        <v>192</v>
      </c>
      <c r="D79" s="46">
        <v>0.40134999999999998</v>
      </c>
      <c r="E79" s="46">
        <v>0.40134999999999998</v>
      </c>
      <c r="F79" s="46">
        <v>0.40134999999999998</v>
      </c>
      <c r="G79" s="46">
        <v>0.40134999999999998</v>
      </c>
      <c r="H79" s="46">
        <v>0.40134999999999998</v>
      </c>
      <c r="I79" s="46">
        <v>0.40134999999999998</v>
      </c>
      <c r="J79" s="46">
        <v>0.40134999999999998</v>
      </c>
      <c r="K79" s="46">
        <v>0.40134999999999998</v>
      </c>
      <c r="L79" s="46">
        <v>0.40134999999999998</v>
      </c>
      <c r="M79" s="46">
        <v>0.40134999999999998</v>
      </c>
      <c r="N79" s="46">
        <v>0.40134999999999998</v>
      </c>
      <c r="O79" s="46">
        <v>0.40134999999999998</v>
      </c>
      <c r="P79" s="46">
        <v>0.40134999999999998</v>
      </c>
      <c r="Q79" s="46">
        <v>0.40134999999999998</v>
      </c>
      <c r="R79" s="46">
        <v>0.40134999999999998</v>
      </c>
      <c r="S79" s="46">
        <v>0.40134999999999998</v>
      </c>
      <c r="T79" s="46">
        <v>0.40134999999999998</v>
      </c>
      <c r="U79" s="46">
        <v>0.40134999999999998</v>
      </c>
      <c r="V79" s="46">
        <v>0.40134999999999998</v>
      </c>
      <c r="W79" s="46">
        <v>0.26134999999999997</v>
      </c>
      <c r="X79" s="46">
        <v>0.26134999999999997</v>
      </c>
      <c r="Y79" s="46">
        <v>0.26134999999999997</v>
      </c>
      <c r="Z79" s="46">
        <v>0.26134999999999997</v>
      </c>
    </row>
    <row r="80" spans="1:26">
      <c r="A80" s="6" t="s">
        <v>163</v>
      </c>
      <c r="B80" s="7">
        <v>4057110</v>
      </c>
      <c r="C80" s="6" t="s">
        <v>164</v>
      </c>
      <c r="D80" s="46">
        <v>0.40700500000000001</v>
      </c>
      <c r="E80" s="46">
        <v>0.40700500000000001</v>
      </c>
      <c r="F80" s="46">
        <v>0.40700500000000001</v>
      </c>
      <c r="G80" s="46">
        <v>0.40700500000000001</v>
      </c>
      <c r="H80" s="46">
        <v>0.40700500000000001</v>
      </c>
      <c r="I80" s="46">
        <v>0.40700500000000001</v>
      </c>
      <c r="J80" s="46">
        <v>0.40700500000000001</v>
      </c>
      <c r="K80" s="46">
        <v>0.40700500000000001</v>
      </c>
      <c r="L80" s="46">
        <v>0.40700500000000001</v>
      </c>
      <c r="M80" s="46">
        <v>0.40700500000000001</v>
      </c>
      <c r="N80" s="46">
        <v>0.40700500000000001</v>
      </c>
      <c r="O80" s="46">
        <v>0.40700500000000001</v>
      </c>
      <c r="P80" s="46">
        <v>0.40700500000000001</v>
      </c>
      <c r="Q80" s="46">
        <v>0.40700500000000001</v>
      </c>
      <c r="R80" s="46">
        <v>0.40700500000000001</v>
      </c>
      <c r="S80" s="46">
        <v>0.40700500000000001</v>
      </c>
      <c r="T80" s="46">
        <v>0.40700500000000001</v>
      </c>
      <c r="U80" s="46">
        <v>0.40700500000000001</v>
      </c>
      <c r="V80" s="46">
        <v>0.40700500000000001</v>
      </c>
      <c r="W80" s="46">
        <v>0.26700499999999999</v>
      </c>
      <c r="X80" s="46">
        <v>0.26700499999999999</v>
      </c>
      <c r="Y80" s="46">
        <v>0.26700499999999999</v>
      </c>
      <c r="Z80" s="46">
        <v>0.26700499999999999</v>
      </c>
    </row>
    <row r="81" spans="1:26">
      <c r="A81" s="6" t="s">
        <v>587</v>
      </c>
      <c r="B81" s="7">
        <v>4059746</v>
      </c>
      <c r="C81" s="6" t="s">
        <v>177</v>
      </c>
      <c r="D81" s="46">
        <v>0.35</v>
      </c>
      <c r="E81" s="46">
        <v>0.35</v>
      </c>
      <c r="F81" s="46">
        <v>0.35</v>
      </c>
      <c r="G81" s="46">
        <v>0.35</v>
      </c>
      <c r="H81" s="46">
        <v>0.35</v>
      </c>
      <c r="I81" s="46">
        <v>0.35</v>
      </c>
      <c r="J81" s="46">
        <v>0.35</v>
      </c>
      <c r="K81" s="46">
        <v>0.35</v>
      </c>
      <c r="L81" s="46">
        <v>0.35</v>
      </c>
      <c r="M81" s="46">
        <v>0.35</v>
      </c>
      <c r="N81" s="46">
        <v>0.35</v>
      </c>
      <c r="O81" s="46">
        <v>0.35</v>
      </c>
      <c r="P81" s="46">
        <v>0.35</v>
      </c>
      <c r="Q81" s="46">
        <v>0.35</v>
      </c>
      <c r="R81" s="46">
        <v>0.35</v>
      </c>
      <c r="S81" s="46">
        <v>0.35</v>
      </c>
      <c r="T81" s="46">
        <v>0.35</v>
      </c>
      <c r="U81" s="46">
        <v>0.35</v>
      </c>
      <c r="V81" s="46">
        <v>0.35</v>
      </c>
      <c r="W81" s="46">
        <v>0.20999999999999996</v>
      </c>
      <c r="X81" s="46">
        <v>0.20999999999999996</v>
      </c>
      <c r="Y81" s="46">
        <v>0.20999999999999996</v>
      </c>
      <c r="Z81" s="46">
        <v>0.20999999999999996</v>
      </c>
    </row>
    <row r="82" spans="1:26">
      <c r="A82" s="6" t="s">
        <v>211</v>
      </c>
      <c r="B82" s="7">
        <v>4057135</v>
      </c>
      <c r="C82" s="6" t="s">
        <v>192</v>
      </c>
      <c r="D82" s="46">
        <v>0.40134999999999998</v>
      </c>
      <c r="E82" s="46">
        <v>0.40134999999999998</v>
      </c>
      <c r="F82" s="46">
        <v>0.40134999999999998</v>
      </c>
      <c r="G82" s="46">
        <v>0.40134999999999998</v>
      </c>
      <c r="H82" s="46">
        <v>0.40134999999999998</v>
      </c>
      <c r="I82" s="46">
        <v>0.40134999999999998</v>
      </c>
      <c r="J82" s="46">
        <v>0.40134999999999998</v>
      </c>
      <c r="K82" s="46">
        <v>0.40134999999999998</v>
      </c>
      <c r="L82" s="46">
        <v>0.40134999999999998</v>
      </c>
      <c r="M82" s="46">
        <v>0.40134999999999998</v>
      </c>
      <c r="N82" s="46">
        <v>0.40134999999999998</v>
      </c>
      <c r="O82" s="46">
        <v>0.40134999999999998</v>
      </c>
      <c r="P82" s="46">
        <v>0.40134999999999998</v>
      </c>
      <c r="Q82" s="46">
        <v>0.40134999999999998</v>
      </c>
      <c r="R82" s="46">
        <v>0.40134999999999998</v>
      </c>
      <c r="S82" s="46">
        <v>0.40134999999999998</v>
      </c>
      <c r="T82" s="46">
        <v>0.40134999999999998</v>
      </c>
      <c r="U82" s="46">
        <v>0.40134999999999998</v>
      </c>
      <c r="V82" s="46">
        <v>0.40134999999999998</v>
      </c>
      <c r="W82" s="46">
        <v>0.26134999999999997</v>
      </c>
      <c r="X82" s="46">
        <v>0.26134999999999997</v>
      </c>
      <c r="Y82" s="46">
        <v>0.26134999999999997</v>
      </c>
      <c r="Z82" s="46">
        <v>0.26134999999999997</v>
      </c>
    </row>
    <row r="83" spans="1:26">
      <c r="A83" s="6" t="s">
        <v>225</v>
      </c>
      <c r="B83" s="7">
        <v>4063060</v>
      </c>
      <c r="C83" s="6" t="s">
        <v>181</v>
      </c>
      <c r="D83" s="46">
        <v>0.40200000000000002</v>
      </c>
      <c r="E83" s="46">
        <v>0.40200000000000002</v>
      </c>
      <c r="F83" s="46">
        <v>0.40200000000000002</v>
      </c>
      <c r="G83" s="46">
        <v>0.40200000000000002</v>
      </c>
      <c r="H83" s="46">
        <v>0.40200000000000002</v>
      </c>
      <c r="I83" s="46">
        <v>0.40200000000000002</v>
      </c>
      <c r="J83" s="46">
        <v>0.40200000000000002</v>
      </c>
      <c r="K83" s="46">
        <v>0.40200000000000002</v>
      </c>
      <c r="L83" s="46">
        <v>0.40200000000000002</v>
      </c>
      <c r="M83" s="46">
        <v>0.40200000000000002</v>
      </c>
      <c r="N83" s="46">
        <v>0.40200000000000002</v>
      </c>
      <c r="O83" s="46">
        <v>0.40200000000000002</v>
      </c>
      <c r="P83" s="46">
        <v>0.40200000000000002</v>
      </c>
      <c r="Q83" s="46">
        <v>0.40200000000000002</v>
      </c>
      <c r="R83" s="46">
        <v>0.40200000000000002</v>
      </c>
      <c r="S83" s="46">
        <v>0.40200000000000002</v>
      </c>
      <c r="T83" s="46">
        <v>0.40200000000000002</v>
      </c>
      <c r="U83" s="46">
        <v>0.40200000000000002</v>
      </c>
      <c r="V83" s="46">
        <v>0.40200000000000002</v>
      </c>
      <c r="W83" s="46">
        <v>0.26200000000000001</v>
      </c>
      <c r="X83" s="46">
        <v>0.26200000000000001</v>
      </c>
      <c r="Y83" s="46">
        <v>0.26200000000000001</v>
      </c>
      <c r="Z83" s="46">
        <v>0.26200000000000001</v>
      </c>
    </row>
    <row r="84" spans="1:26">
      <c r="A84" s="6" t="s">
        <v>588</v>
      </c>
      <c r="B84" s="7">
        <v>4062279</v>
      </c>
      <c r="C84" s="6" t="s">
        <v>179</v>
      </c>
      <c r="D84" s="46">
        <v>0.414935</v>
      </c>
      <c r="E84" s="46">
        <v>0.414935</v>
      </c>
      <c r="F84" s="46">
        <v>0.414935</v>
      </c>
      <c r="G84" s="46">
        <v>0.414935</v>
      </c>
      <c r="H84" s="46">
        <v>0.414935</v>
      </c>
      <c r="I84" s="46">
        <v>0.414935</v>
      </c>
      <c r="J84" s="46">
        <v>0.414935</v>
      </c>
      <c r="K84" s="46">
        <v>0.414935</v>
      </c>
      <c r="L84" s="46">
        <v>0.414935</v>
      </c>
      <c r="M84" s="46">
        <v>0.414935</v>
      </c>
      <c r="N84" s="46">
        <v>0.414935</v>
      </c>
      <c r="O84" s="46">
        <v>0.414935</v>
      </c>
      <c r="P84" s="46">
        <v>0.414935</v>
      </c>
      <c r="Q84" s="46">
        <v>0.414935</v>
      </c>
      <c r="R84" s="46">
        <v>0.414935</v>
      </c>
      <c r="S84" s="46">
        <v>0.414935</v>
      </c>
      <c r="T84" s="46">
        <v>0.414935</v>
      </c>
      <c r="U84" s="46">
        <v>0.414935</v>
      </c>
      <c r="V84" s="46">
        <v>0.414935</v>
      </c>
      <c r="W84" s="46">
        <v>0.27493499999999998</v>
      </c>
      <c r="X84" s="46">
        <v>0.27493499999999998</v>
      </c>
      <c r="Y84" s="46">
        <v>0.27493499999999998</v>
      </c>
      <c r="Z84" s="46">
        <v>0.27493499999999998</v>
      </c>
    </row>
    <row r="85" spans="1:26">
      <c r="A85" s="6" t="s">
        <v>589</v>
      </c>
      <c r="B85" s="7">
        <v>4063729</v>
      </c>
      <c r="C85" s="6" t="s">
        <v>590</v>
      </c>
      <c r="D85" s="46">
        <v>0.35</v>
      </c>
      <c r="E85" s="46">
        <v>0.35</v>
      </c>
      <c r="F85" s="46">
        <v>0.35</v>
      </c>
      <c r="G85" s="46">
        <v>0.35</v>
      </c>
      <c r="H85" s="46">
        <v>0.35</v>
      </c>
      <c r="I85" s="46">
        <v>0.35</v>
      </c>
      <c r="J85" s="46">
        <v>0.35</v>
      </c>
      <c r="K85" s="46">
        <v>0.35</v>
      </c>
      <c r="L85" s="46">
        <v>0.35</v>
      </c>
      <c r="M85" s="46">
        <v>0.35</v>
      </c>
      <c r="N85" s="46">
        <v>0.35</v>
      </c>
      <c r="O85" s="46">
        <v>0.35</v>
      </c>
      <c r="P85" s="46">
        <v>0.35</v>
      </c>
      <c r="Q85" s="46">
        <v>0.35</v>
      </c>
      <c r="R85" s="46">
        <v>0.35</v>
      </c>
      <c r="S85" s="46">
        <v>0.35</v>
      </c>
      <c r="T85" s="46">
        <v>0.35</v>
      </c>
      <c r="U85" s="46">
        <v>0.35</v>
      </c>
      <c r="V85" s="46">
        <v>0.35</v>
      </c>
      <c r="W85" s="46">
        <v>0.26999999999999996</v>
      </c>
      <c r="X85" s="46">
        <v>0.26999999999999996</v>
      </c>
      <c r="Y85" s="46">
        <v>0.26999999999999996</v>
      </c>
      <c r="Z85" s="46">
        <v>0.26999999999999996</v>
      </c>
    </row>
    <row r="86" spans="1:26">
      <c r="A86" s="6" t="s">
        <v>591</v>
      </c>
      <c r="B86" s="7">
        <v>4063762</v>
      </c>
      <c r="C86" s="6" t="s">
        <v>233</v>
      </c>
      <c r="D86" s="46">
        <v>0.38900000000000001</v>
      </c>
      <c r="E86" s="46">
        <v>0.38900000000000001</v>
      </c>
      <c r="F86" s="46">
        <v>0.38900000000000001</v>
      </c>
      <c r="G86" s="46">
        <v>0.38900000000000001</v>
      </c>
      <c r="H86" s="46">
        <v>0.38900000000000001</v>
      </c>
      <c r="I86" s="46">
        <v>0.38900000000000001</v>
      </c>
      <c r="J86" s="46">
        <v>0.38900000000000001</v>
      </c>
      <c r="K86" s="46">
        <v>0.38900000000000001</v>
      </c>
      <c r="L86" s="46">
        <v>0.38900000000000001</v>
      </c>
      <c r="M86" s="46">
        <v>0.38900000000000001</v>
      </c>
      <c r="N86" s="46">
        <v>0.38900000000000001</v>
      </c>
      <c r="O86" s="46">
        <v>0.38900000000000001</v>
      </c>
      <c r="P86" s="46">
        <v>0.38900000000000001</v>
      </c>
      <c r="Q86" s="46">
        <v>0.38900000000000001</v>
      </c>
      <c r="R86" s="46">
        <v>0.38900000000000001</v>
      </c>
      <c r="S86" s="46">
        <v>0.38900000000000001</v>
      </c>
      <c r="T86" s="46">
        <v>0.38900000000000001</v>
      </c>
      <c r="U86" s="46">
        <v>0.38900000000000001</v>
      </c>
      <c r="V86" s="46">
        <v>0.38900000000000001</v>
      </c>
      <c r="W86" s="46">
        <v>0.249</v>
      </c>
      <c r="X86" s="46">
        <v>0.249</v>
      </c>
      <c r="Y86" s="46">
        <v>0.249</v>
      </c>
      <c r="Z86" s="46">
        <v>0.249</v>
      </c>
    </row>
    <row r="87" spans="1:26">
      <c r="A87" s="6" t="s">
        <v>592</v>
      </c>
      <c r="B87" s="7">
        <v>4058284</v>
      </c>
      <c r="C87" s="6" t="s">
        <v>235</v>
      </c>
      <c r="D87" s="46">
        <v>0.43</v>
      </c>
      <c r="E87" s="46">
        <v>0.43</v>
      </c>
      <c r="F87" s="46">
        <v>0.43</v>
      </c>
      <c r="G87" s="46">
        <v>0.43</v>
      </c>
      <c r="H87" s="46">
        <v>0.43</v>
      </c>
      <c r="I87" s="46">
        <v>0.43</v>
      </c>
      <c r="J87" s="46">
        <v>0.43</v>
      </c>
      <c r="K87" s="46">
        <v>0.43</v>
      </c>
      <c r="L87" s="46">
        <v>0.43</v>
      </c>
      <c r="M87" s="46">
        <v>0.43</v>
      </c>
      <c r="N87" s="46">
        <v>0.43</v>
      </c>
      <c r="O87" s="46">
        <v>0.43</v>
      </c>
      <c r="P87" s="46">
        <v>0.43</v>
      </c>
      <c r="Q87" s="46">
        <v>0.43</v>
      </c>
      <c r="R87" s="46">
        <v>0.43</v>
      </c>
      <c r="S87" s="46">
        <v>0.43</v>
      </c>
      <c r="T87" s="46">
        <v>0.43</v>
      </c>
      <c r="U87" s="46">
        <v>0.43</v>
      </c>
      <c r="V87" s="46">
        <v>0.43</v>
      </c>
      <c r="W87" s="46">
        <v>0.28999999999999998</v>
      </c>
      <c r="X87" s="46">
        <v>0.28999999999999998</v>
      </c>
      <c r="Y87" s="46">
        <v>0.28999999999999998</v>
      </c>
      <c r="Z87" s="46">
        <v>0.28999999999999998</v>
      </c>
    </row>
    <row r="88" spans="1:26">
      <c r="A88" s="6" t="s">
        <v>593</v>
      </c>
      <c r="B88" s="7">
        <v>4008752</v>
      </c>
      <c r="C88" s="6" t="s">
        <v>192</v>
      </c>
      <c r="D88" s="46">
        <v>0.40134999999999998</v>
      </c>
      <c r="E88" s="46">
        <v>0.40134999999999998</v>
      </c>
      <c r="F88" s="46">
        <v>0.40134999999999998</v>
      </c>
      <c r="G88" s="46">
        <v>0.40134999999999998</v>
      </c>
      <c r="H88" s="46">
        <v>0.40134999999999998</v>
      </c>
      <c r="I88" s="46">
        <v>0.40134999999999998</v>
      </c>
      <c r="J88" s="46">
        <v>0.40134999999999998</v>
      </c>
      <c r="K88" s="46">
        <v>0.40134999999999998</v>
      </c>
      <c r="L88" s="46">
        <v>0.40134999999999998</v>
      </c>
      <c r="M88" s="46">
        <v>0.40134999999999998</v>
      </c>
      <c r="N88" s="46">
        <v>0.40134999999999998</v>
      </c>
      <c r="O88" s="46">
        <v>0.40134999999999998</v>
      </c>
      <c r="P88" s="46">
        <v>0.40134999999999998</v>
      </c>
      <c r="Q88" s="46">
        <v>0.40134999999999998</v>
      </c>
      <c r="R88" s="46">
        <v>0.40134999999999998</v>
      </c>
      <c r="S88" s="46">
        <v>0.40134999999999998</v>
      </c>
      <c r="T88" s="46">
        <v>0.40134999999999998</v>
      </c>
      <c r="U88" s="46">
        <v>0.40134999999999998</v>
      </c>
      <c r="V88" s="46">
        <v>0.40134999999999998</v>
      </c>
      <c r="W88" s="46">
        <v>0.26134999999999997</v>
      </c>
      <c r="X88" s="46">
        <v>0.26134999999999997</v>
      </c>
      <c r="Y88" s="46">
        <v>0.26134999999999997</v>
      </c>
      <c r="Z88" s="46">
        <v>0.26134999999999997</v>
      </c>
    </row>
    <row r="89" spans="1:26">
      <c r="A89" s="6" t="s">
        <v>594</v>
      </c>
      <c r="B89" s="7">
        <v>4008669</v>
      </c>
      <c r="C89" s="6" t="s">
        <v>192</v>
      </c>
      <c r="D89" s="46">
        <v>0.40134999999999998</v>
      </c>
      <c r="E89" s="46">
        <v>0.40134999999999998</v>
      </c>
      <c r="F89" s="46">
        <v>0.40134999999999998</v>
      </c>
      <c r="G89" s="46">
        <v>0.40134999999999998</v>
      </c>
      <c r="H89" s="46">
        <v>0.40134999999999998</v>
      </c>
      <c r="I89" s="46">
        <v>0.40134999999999998</v>
      </c>
      <c r="J89" s="46">
        <v>0.40134999999999998</v>
      </c>
      <c r="K89" s="46">
        <v>0.40134999999999998</v>
      </c>
      <c r="L89" s="46">
        <v>0.40134999999999998</v>
      </c>
      <c r="M89" s="46">
        <v>0.40134999999999998</v>
      </c>
      <c r="N89" s="46">
        <v>0.40134999999999998</v>
      </c>
      <c r="O89" s="46">
        <v>0.40134999999999998</v>
      </c>
      <c r="P89" s="46">
        <v>0.40134999999999998</v>
      </c>
      <c r="Q89" s="46">
        <v>0.40134999999999998</v>
      </c>
      <c r="R89" s="46">
        <v>0.40134999999999998</v>
      </c>
      <c r="S89" s="46">
        <v>0.40134999999999998</v>
      </c>
      <c r="T89" s="46">
        <v>0.40134999999999998</v>
      </c>
      <c r="U89" s="46">
        <v>0.40134999999999998</v>
      </c>
      <c r="V89" s="46">
        <v>0.40134999999999998</v>
      </c>
      <c r="W89" s="46">
        <v>0.26134999999999997</v>
      </c>
      <c r="X89" s="46">
        <v>0.26134999999999997</v>
      </c>
      <c r="Y89" s="46">
        <v>0.26134999999999997</v>
      </c>
      <c r="Z89" s="46">
        <v>0.26134999999999997</v>
      </c>
    </row>
    <row r="90" spans="1:26">
      <c r="A90" s="6" t="s">
        <v>309</v>
      </c>
      <c r="B90" s="7">
        <v>4076892</v>
      </c>
      <c r="C90" s="6" t="s">
        <v>595</v>
      </c>
      <c r="D90" s="46">
        <v>0.35</v>
      </c>
      <c r="E90" s="46">
        <v>0.35</v>
      </c>
      <c r="F90" s="46">
        <v>0.35</v>
      </c>
      <c r="G90" s="46">
        <v>0.35</v>
      </c>
      <c r="H90" s="46">
        <v>0.35</v>
      </c>
      <c r="I90" s="46">
        <v>0.35</v>
      </c>
      <c r="J90" s="46">
        <v>0.35</v>
      </c>
      <c r="K90" s="46">
        <v>0.35</v>
      </c>
      <c r="L90" s="46">
        <v>0.35</v>
      </c>
      <c r="M90" s="46">
        <v>0.35</v>
      </c>
      <c r="N90" s="46">
        <v>0.35</v>
      </c>
      <c r="O90" s="46">
        <v>0.35</v>
      </c>
      <c r="P90" s="46">
        <v>0.35</v>
      </c>
      <c r="Q90" s="46">
        <v>0.35</v>
      </c>
      <c r="R90" s="46">
        <v>0.35</v>
      </c>
      <c r="S90" s="46">
        <v>0.35</v>
      </c>
      <c r="T90" s="46">
        <v>0.35</v>
      </c>
      <c r="U90" s="46">
        <v>0.35</v>
      </c>
      <c r="V90" s="46">
        <v>0.35</v>
      </c>
      <c r="W90" s="46">
        <v>0.20999999999999996</v>
      </c>
      <c r="X90" s="46">
        <v>0.20999999999999996</v>
      </c>
      <c r="Y90" s="46">
        <v>0.20999999999999996</v>
      </c>
      <c r="Z90" s="46">
        <v>0.20999999999999996</v>
      </c>
    </row>
    <row r="91" spans="1:26">
      <c r="A91" s="6" t="s">
        <v>239</v>
      </c>
      <c r="B91" s="7">
        <v>4064141</v>
      </c>
      <c r="C91" s="6" t="s">
        <v>181</v>
      </c>
      <c r="D91" s="46">
        <v>0.40200000000000002</v>
      </c>
      <c r="E91" s="46">
        <v>0.40200000000000002</v>
      </c>
      <c r="F91" s="46">
        <v>0.40200000000000002</v>
      </c>
      <c r="G91" s="46">
        <v>0.40200000000000002</v>
      </c>
      <c r="H91" s="46">
        <v>0.40200000000000002</v>
      </c>
      <c r="I91" s="46">
        <v>0.40200000000000002</v>
      </c>
      <c r="J91" s="46">
        <v>0.40200000000000002</v>
      </c>
      <c r="K91" s="46">
        <v>0.40200000000000002</v>
      </c>
      <c r="L91" s="46">
        <v>0.40200000000000002</v>
      </c>
      <c r="M91" s="46">
        <v>0.40200000000000002</v>
      </c>
      <c r="N91" s="46">
        <v>0.40200000000000002</v>
      </c>
      <c r="O91" s="46">
        <v>0.40200000000000002</v>
      </c>
      <c r="P91" s="46">
        <v>0.40200000000000002</v>
      </c>
      <c r="Q91" s="46">
        <v>0.40200000000000002</v>
      </c>
      <c r="R91" s="46">
        <v>0.40200000000000002</v>
      </c>
      <c r="S91" s="46">
        <v>0.40200000000000002</v>
      </c>
      <c r="T91" s="46">
        <v>0.40200000000000002</v>
      </c>
      <c r="U91" s="46">
        <v>0.40200000000000002</v>
      </c>
      <c r="V91" s="46">
        <v>0.40200000000000002</v>
      </c>
      <c r="W91" s="46">
        <v>0.26200000000000001</v>
      </c>
      <c r="X91" s="46">
        <v>0.26200000000000001</v>
      </c>
      <c r="Y91" s="46">
        <v>0.26200000000000001</v>
      </c>
      <c r="Z91" s="46">
        <v>0.26200000000000001</v>
      </c>
    </row>
  </sheetData>
  <autoFilter ref="A6:Z91" xr:uid="{D759599E-B6A6-4189-9350-AED6BADDCD55}"/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DD850-DA81-44F9-ACFA-90C91B7175B9}">
  <dimension ref="A4:D90"/>
  <sheetViews>
    <sheetView workbookViewId="0"/>
  </sheetViews>
  <sheetFormatPr defaultRowHeight="14.45"/>
  <cols>
    <col min="1" max="1" width="14.28515625" style="1" bestFit="1" customWidth="1"/>
    <col min="2" max="3" width="63.7109375" style="1" bestFit="1" customWidth="1"/>
    <col min="4" max="4" width="22" style="1" bestFit="1" customWidth="1"/>
  </cols>
  <sheetData>
    <row r="4" spans="1:4">
      <c r="A4" s="3" t="s">
        <v>271</v>
      </c>
      <c r="B4" s="4" t="s">
        <v>272</v>
      </c>
      <c r="C4" s="4" t="s">
        <v>273</v>
      </c>
      <c r="D4" s="5" t="s">
        <v>1</v>
      </c>
    </row>
    <row r="5" spans="1:4">
      <c r="B5" s="1" t="s">
        <v>274</v>
      </c>
      <c r="C5" s="1" t="s">
        <v>274</v>
      </c>
      <c r="D5" s="1">
        <v>4058513</v>
      </c>
    </row>
    <row r="6" spans="1:4">
      <c r="B6" s="1" t="s">
        <v>278</v>
      </c>
      <c r="C6" s="1" t="s">
        <v>278</v>
      </c>
      <c r="D6" s="1">
        <v>4059166</v>
      </c>
    </row>
    <row r="7" spans="1:4">
      <c r="B7" s="1" t="s">
        <v>279</v>
      </c>
      <c r="C7" s="1" t="s">
        <v>279</v>
      </c>
      <c r="D7" s="1">
        <v>4059227</v>
      </c>
    </row>
    <row r="8" spans="1:4">
      <c r="B8" s="1" t="s">
        <v>280</v>
      </c>
      <c r="C8" s="1" t="s">
        <v>280</v>
      </c>
      <c r="D8" s="1">
        <v>4088326</v>
      </c>
    </row>
    <row r="9" spans="1:4">
      <c r="B9" s="1" t="s">
        <v>282</v>
      </c>
      <c r="C9" s="1" t="s">
        <v>282</v>
      </c>
      <c r="D9" s="1">
        <v>4059359</v>
      </c>
    </row>
    <row r="10" spans="1:4">
      <c r="B10" s="1" t="s">
        <v>283</v>
      </c>
      <c r="C10" s="1" t="s">
        <v>283</v>
      </c>
      <c r="D10" s="1">
        <v>4057103</v>
      </c>
    </row>
    <row r="11" spans="1:4">
      <c r="B11" s="1" t="s">
        <v>284</v>
      </c>
      <c r="C11" s="1" t="s">
        <v>285</v>
      </c>
      <c r="D11" s="1">
        <v>4081251</v>
      </c>
    </row>
    <row r="12" spans="1:4">
      <c r="B12" s="1" t="s">
        <v>286</v>
      </c>
      <c r="C12" s="1" t="s">
        <v>286</v>
      </c>
      <c r="D12" s="1">
        <v>4060572</v>
      </c>
    </row>
    <row r="13" spans="1:4">
      <c r="B13" s="1" t="s">
        <v>287</v>
      </c>
      <c r="C13" s="1" t="s">
        <v>287</v>
      </c>
      <c r="D13" s="1">
        <v>4083318</v>
      </c>
    </row>
    <row r="14" spans="1:4">
      <c r="B14" s="1" t="s">
        <v>289</v>
      </c>
      <c r="C14" s="1" t="s">
        <v>289</v>
      </c>
      <c r="D14" s="1">
        <v>4087741</v>
      </c>
    </row>
    <row r="15" spans="1:4">
      <c r="B15" s="1" t="s">
        <v>290</v>
      </c>
      <c r="C15" s="1" t="s">
        <v>290</v>
      </c>
      <c r="D15" s="1">
        <v>4059875</v>
      </c>
    </row>
    <row r="16" spans="1:4">
      <c r="B16" s="1" t="s">
        <v>291</v>
      </c>
      <c r="C16" s="1" t="s">
        <v>291</v>
      </c>
      <c r="D16" s="1">
        <v>4061474</v>
      </c>
    </row>
    <row r="17" spans="1:4">
      <c r="B17" s="1" t="s">
        <v>292</v>
      </c>
      <c r="C17" s="1" t="s">
        <v>292</v>
      </c>
      <c r="D17" s="1">
        <v>4076679</v>
      </c>
    </row>
    <row r="18" spans="1:4">
      <c r="B18" s="1" t="s">
        <v>293</v>
      </c>
      <c r="C18" s="1" t="s">
        <v>293</v>
      </c>
      <c r="D18" s="1">
        <v>4057132</v>
      </c>
    </row>
    <row r="19" spans="1:4">
      <c r="A19" s="1" t="s">
        <v>275</v>
      </c>
      <c r="B19" s="1" t="s">
        <v>294</v>
      </c>
      <c r="C19" s="1" t="s">
        <v>294</v>
      </c>
      <c r="D19" s="1">
        <v>4057115</v>
      </c>
    </row>
    <row r="20" spans="1:4">
      <c r="B20" s="1" t="s">
        <v>296</v>
      </c>
      <c r="C20" s="1" t="s">
        <v>296</v>
      </c>
      <c r="D20" s="1">
        <v>4064481</v>
      </c>
    </row>
    <row r="21" spans="1:4">
      <c r="A21" s="1" t="s">
        <v>275</v>
      </c>
      <c r="B21" s="1" t="s">
        <v>299</v>
      </c>
      <c r="C21" s="1" t="s">
        <v>299</v>
      </c>
      <c r="D21" s="1">
        <v>4083575</v>
      </c>
    </row>
    <row r="22" spans="1:4">
      <c r="B22" s="1" t="s">
        <v>300</v>
      </c>
      <c r="C22" s="1" t="s">
        <v>300</v>
      </c>
      <c r="D22" s="1">
        <v>4062303</v>
      </c>
    </row>
    <row r="23" spans="1:4">
      <c r="B23" s="1" t="s">
        <v>301</v>
      </c>
      <c r="C23" s="1" t="s">
        <v>301</v>
      </c>
      <c r="D23" s="1">
        <v>4083581</v>
      </c>
    </row>
    <row r="24" spans="1:4">
      <c r="B24" s="1" t="s">
        <v>302</v>
      </c>
      <c r="C24" s="1" t="s">
        <v>302</v>
      </c>
      <c r="D24" s="1">
        <v>4057097</v>
      </c>
    </row>
    <row r="25" spans="1:4">
      <c r="B25" s="1" t="s">
        <v>303</v>
      </c>
      <c r="C25" s="1" t="s">
        <v>303</v>
      </c>
      <c r="D25" s="1">
        <v>4057098</v>
      </c>
    </row>
    <row r="26" spans="1:4">
      <c r="B26" s="1" t="s">
        <v>304</v>
      </c>
      <c r="C26" s="1" t="s">
        <v>304</v>
      </c>
      <c r="D26" s="1">
        <v>4064035</v>
      </c>
    </row>
    <row r="27" spans="1:4">
      <c r="A27" s="1" t="s">
        <v>275</v>
      </c>
      <c r="B27" s="1" t="s">
        <v>306</v>
      </c>
      <c r="C27" s="1" t="s">
        <v>306</v>
      </c>
      <c r="D27" s="1">
        <v>4062279</v>
      </c>
    </row>
    <row r="28" spans="1:4">
      <c r="A28" s="1" t="s">
        <v>275</v>
      </c>
      <c r="B28" s="1" t="s">
        <v>307</v>
      </c>
      <c r="C28" s="1" t="s">
        <v>307</v>
      </c>
      <c r="D28" s="1">
        <v>4063729</v>
      </c>
    </row>
    <row r="29" spans="1:4">
      <c r="B29" s="1" t="s">
        <v>308</v>
      </c>
      <c r="C29" s="1" t="s">
        <v>309</v>
      </c>
      <c r="D29" s="1">
        <v>4076892</v>
      </c>
    </row>
    <row r="30" spans="1:4">
      <c r="A30"/>
      <c r="B30"/>
      <c r="C30"/>
      <c r="D30"/>
    </row>
    <row r="31" spans="1:4">
      <c r="A31"/>
      <c r="B31"/>
      <c r="C31"/>
      <c r="D31"/>
    </row>
    <row r="32" spans="1:4">
      <c r="A32"/>
      <c r="B32"/>
      <c r="C32"/>
      <c r="D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</sheetData>
  <autoFilter ref="A4:D29" xr:uid="{03BD4888-977C-426B-95DB-F5C73EFCEC11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3:W204"/>
  <sheetViews>
    <sheetView zoomScale="75" zoomScaleNormal="75" workbookViewId="0">
      <selection activeCell="B30" sqref="B30"/>
    </sheetView>
  </sheetViews>
  <sheetFormatPr defaultColWidth="9.140625" defaultRowHeight="13.15"/>
  <cols>
    <col min="1" max="1" width="14.28515625" style="1" bestFit="1" customWidth="1"/>
    <col min="2" max="3" width="63.7109375" style="1" bestFit="1" customWidth="1"/>
    <col min="4" max="4" width="22" style="1" bestFit="1" customWidth="1"/>
    <col min="5" max="5" width="22" style="1" customWidth="1"/>
    <col min="6" max="6" width="17.5703125" style="1" customWidth="1"/>
    <col min="7" max="7" width="17.85546875" style="1" customWidth="1"/>
    <col min="8" max="23" width="17.5703125" style="1" customWidth="1"/>
    <col min="24" max="16384" width="9.140625" style="1"/>
  </cols>
  <sheetData>
    <row r="3" spans="1:23" ht="39.6">
      <c r="E3" s="9" t="s">
        <v>270</v>
      </c>
      <c r="F3" s="9" t="s">
        <v>270</v>
      </c>
      <c r="G3" s="9" t="s">
        <v>270</v>
      </c>
      <c r="H3" s="9" t="s">
        <v>270</v>
      </c>
      <c r="I3" s="9" t="s">
        <v>270</v>
      </c>
      <c r="J3" s="9" t="s">
        <v>270</v>
      </c>
      <c r="K3" s="9" t="s">
        <v>270</v>
      </c>
      <c r="L3" s="9" t="s">
        <v>270</v>
      </c>
      <c r="M3" s="9" t="s">
        <v>270</v>
      </c>
      <c r="N3" s="9" t="s">
        <v>270</v>
      </c>
      <c r="O3" s="9" t="s">
        <v>270</v>
      </c>
      <c r="P3" s="9" t="s">
        <v>270</v>
      </c>
      <c r="Q3" s="9" t="s">
        <v>270</v>
      </c>
      <c r="R3" s="9" t="s">
        <v>270</v>
      </c>
      <c r="S3" s="9" t="s">
        <v>270</v>
      </c>
      <c r="T3" s="9" t="s">
        <v>270</v>
      </c>
      <c r="U3" s="9" t="s">
        <v>270</v>
      </c>
      <c r="V3" s="9" t="s">
        <v>270</v>
      </c>
      <c r="W3" s="9" t="s">
        <v>270</v>
      </c>
    </row>
    <row r="4" spans="1:23">
      <c r="B4" s="2"/>
      <c r="C4" s="2"/>
      <c r="D4" s="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</row>
    <row r="5" spans="1:23">
      <c r="A5" s="3" t="s">
        <v>271</v>
      </c>
      <c r="B5" s="4" t="s">
        <v>272</v>
      </c>
      <c r="C5" s="4" t="s">
        <v>273</v>
      </c>
      <c r="D5" s="5" t="s">
        <v>1</v>
      </c>
      <c r="E5" s="10" t="s">
        <v>142</v>
      </c>
      <c r="F5" s="10" t="s">
        <v>141</v>
      </c>
      <c r="G5" s="10" t="s">
        <v>140</v>
      </c>
      <c r="H5" s="10" t="s">
        <v>136</v>
      </c>
      <c r="I5" s="10" t="s">
        <v>135</v>
      </c>
      <c r="J5" s="10" t="s">
        <v>133</v>
      </c>
      <c r="K5" s="10" t="s">
        <v>132</v>
      </c>
      <c r="L5" s="10" t="s">
        <v>130</v>
      </c>
      <c r="M5" s="10" t="s">
        <v>129</v>
      </c>
      <c r="N5" s="10" t="s">
        <v>128</v>
      </c>
      <c r="O5" s="10" t="s">
        <v>127</v>
      </c>
      <c r="P5" s="10" t="s">
        <v>126</v>
      </c>
      <c r="Q5" s="10" t="s">
        <v>125</v>
      </c>
      <c r="R5" s="10" t="s">
        <v>120</v>
      </c>
      <c r="S5" s="10" t="s">
        <v>118</v>
      </c>
      <c r="T5" s="10" t="s">
        <v>117</v>
      </c>
      <c r="U5" s="10" t="s">
        <v>116</v>
      </c>
      <c r="V5" s="10" t="s">
        <v>115</v>
      </c>
      <c r="W5" s="10" t="s">
        <v>114</v>
      </c>
    </row>
    <row r="6" spans="1:23"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</row>
    <row r="7" spans="1:23">
      <c r="B7" s="6" t="s">
        <v>274</v>
      </c>
      <c r="C7" s="6" t="s">
        <v>274</v>
      </c>
      <c r="D7" s="7">
        <v>4058513</v>
      </c>
      <c r="E7" s="8" t="s">
        <v>175</v>
      </c>
      <c r="F7" s="8" t="s">
        <v>175</v>
      </c>
      <c r="G7" s="8" t="s">
        <v>175</v>
      </c>
      <c r="H7" s="8" t="s">
        <v>175</v>
      </c>
      <c r="I7" s="8">
        <v>5788.5391492541639</v>
      </c>
      <c r="J7" s="8">
        <v>6180.502694283271</v>
      </c>
      <c r="K7" s="8">
        <v>6052.0821283570458</v>
      </c>
      <c r="L7" s="8">
        <v>5998.7213535615956</v>
      </c>
      <c r="M7" s="8">
        <v>5813.3183420667365</v>
      </c>
      <c r="N7" s="8">
        <v>5639.3911542192964</v>
      </c>
      <c r="O7" s="8">
        <v>5449.7771623321778</v>
      </c>
      <c r="P7" s="8">
        <v>5207.0864079998419</v>
      </c>
      <c r="Q7" s="8">
        <v>4853.6640271800379</v>
      </c>
      <c r="R7" s="8">
        <v>4819.7039229200454</v>
      </c>
      <c r="S7" s="8">
        <v>4575.0476060272913</v>
      </c>
      <c r="T7" s="8">
        <v>4384.80843761093</v>
      </c>
      <c r="U7" s="8">
        <v>4346.4356228584402</v>
      </c>
      <c r="V7" s="8">
        <v>4502.7157139084738</v>
      </c>
      <c r="W7" s="8">
        <v>3644.3162486936203</v>
      </c>
    </row>
    <row r="8" spans="1:23">
      <c r="B8" s="6" t="s">
        <v>98</v>
      </c>
      <c r="C8" s="6" t="s">
        <v>98</v>
      </c>
      <c r="D8" s="7">
        <v>4054707</v>
      </c>
      <c r="E8" s="8">
        <v>82311.656882204843</v>
      </c>
      <c r="F8" s="8">
        <v>77621.683353847358</v>
      </c>
      <c r="G8" s="8">
        <v>71549.79422868455</v>
      </c>
      <c r="H8" s="8">
        <v>68571.037389188976</v>
      </c>
      <c r="I8" s="8">
        <v>66250.575188707677</v>
      </c>
      <c r="J8" s="8">
        <v>65194.362989429668</v>
      </c>
      <c r="K8" s="8">
        <v>59681.009160966263</v>
      </c>
      <c r="L8" s="8">
        <v>58448.356257342151</v>
      </c>
      <c r="M8" s="8">
        <v>61019.268278164054</v>
      </c>
      <c r="N8" s="8">
        <v>57144.011407196085</v>
      </c>
      <c r="O8" s="8">
        <v>58525.836594776476</v>
      </c>
      <c r="P8" s="8">
        <v>61005.110244989701</v>
      </c>
      <c r="Q8" s="8">
        <v>59435.214788812809</v>
      </c>
      <c r="R8" s="8">
        <v>54610.978620473994</v>
      </c>
      <c r="S8" s="8">
        <v>56282.414463482943</v>
      </c>
      <c r="T8" s="8">
        <v>65146.641191404371</v>
      </c>
      <c r="U8" s="8">
        <v>69488.661869120464</v>
      </c>
      <c r="V8" s="8">
        <v>71776.325745732305</v>
      </c>
      <c r="W8" s="8">
        <v>67793.800102712397</v>
      </c>
    </row>
    <row r="9" spans="1:23">
      <c r="B9" s="6" t="s">
        <v>145</v>
      </c>
      <c r="C9" s="6" t="s">
        <v>145</v>
      </c>
      <c r="D9" s="7">
        <v>4057075</v>
      </c>
      <c r="E9" s="8">
        <v>27974.960463701049</v>
      </c>
      <c r="F9" s="8">
        <v>28665.853369891134</v>
      </c>
      <c r="G9" s="8">
        <v>28425.392228873563</v>
      </c>
      <c r="H9" s="8">
        <v>26872.00507433536</v>
      </c>
      <c r="I9" s="8">
        <v>25770.019486053014</v>
      </c>
      <c r="J9" s="8">
        <v>25904.354962581656</v>
      </c>
      <c r="K9" s="8">
        <v>24501.992278303231</v>
      </c>
      <c r="L9" s="8">
        <v>23318.097564163283</v>
      </c>
      <c r="M9" s="8">
        <v>22783.294618705757</v>
      </c>
      <c r="N9" s="8">
        <v>22717.156668028249</v>
      </c>
      <c r="O9" s="8">
        <v>20699.183593636113</v>
      </c>
      <c r="P9" s="8">
        <v>20202.713299159044</v>
      </c>
      <c r="Q9" s="8">
        <v>18782.995856106085</v>
      </c>
      <c r="R9" s="8">
        <v>17331.203797770282</v>
      </c>
      <c r="S9" s="8">
        <v>16673.67666870388</v>
      </c>
      <c r="T9" s="8">
        <v>15636.189322591681</v>
      </c>
      <c r="U9" s="8">
        <v>16200.970301581736</v>
      </c>
      <c r="V9" s="8">
        <v>16894.96793159896</v>
      </c>
      <c r="W9" s="8">
        <v>15826.632302827655</v>
      </c>
    </row>
    <row r="10" spans="1:23">
      <c r="A10" s="1" t="s">
        <v>275</v>
      </c>
      <c r="B10" s="6" t="s">
        <v>154</v>
      </c>
      <c r="C10" s="6" t="s">
        <v>154</v>
      </c>
      <c r="D10" s="7">
        <v>4007784</v>
      </c>
      <c r="E10" s="8">
        <v>97613.497409951407</v>
      </c>
      <c r="F10" s="8">
        <v>91499.463972828875</v>
      </c>
      <c r="G10" s="8">
        <v>92559.102092208152</v>
      </c>
      <c r="H10" s="8">
        <v>89958.634166663251</v>
      </c>
      <c r="I10" s="8">
        <v>81993.977569285445</v>
      </c>
      <c r="J10" s="8">
        <v>82583.869731804851</v>
      </c>
      <c r="K10" s="8">
        <v>74971.414300718054</v>
      </c>
      <c r="L10" s="8">
        <v>70741.963792666967</v>
      </c>
      <c r="M10" s="8">
        <v>63893.299510141856</v>
      </c>
      <c r="N10" s="8">
        <v>62189.538251120946</v>
      </c>
      <c r="O10" s="8">
        <v>55770.300548758933</v>
      </c>
      <c r="P10" s="8">
        <v>55068.902293098516</v>
      </c>
      <c r="Q10" s="8">
        <v>52919.823410469005</v>
      </c>
      <c r="R10" s="8">
        <v>53553.805704717786</v>
      </c>
      <c r="S10" s="8">
        <v>54499.533796756485</v>
      </c>
      <c r="T10" s="8">
        <v>49841.86531905859</v>
      </c>
      <c r="U10" s="8">
        <v>46839.927463550332</v>
      </c>
      <c r="V10" s="8">
        <v>43201.859225662985</v>
      </c>
      <c r="W10" s="8">
        <v>36822.846217273691</v>
      </c>
    </row>
    <row r="11" spans="1:23">
      <c r="A11" s="1" t="s">
        <v>275</v>
      </c>
      <c r="B11" s="6" t="s">
        <v>276</v>
      </c>
      <c r="C11" s="6" t="s">
        <v>277</v>
      </c>
      <c r="D11" s="7">
        <v>4058656</v>
      </c>
      <c r="E11" s="8" t="s">
        <v>175</v>
      </c>
      <c r="F11" s="8" t="s">
        <v>175</v>
      </c>
      <c r="G11" s="8">
        <v>-68912.953395502511</v>
      </c>
      <c r="H11" s="8">
        <v>394115.66802899091</v>
      </c>
      <c r="I11" s="8">
        <v>41493.096558094789</v>
      </c>
      <c r="J11" s="8">
        <v>36808.18148743581</v>
      </c>
      <c r="K11" s="8">
        <v>38455.821953417086</v>
      </c>
      <c r="L11" s="8">
        <v>37500.612272639002</v>
      </c>
      <c r="M11" s="8">
        <v>35580.748394652939</v>
      </c>
      <c r="N11" s="8">
        <v>37650.359818657838</v>
      </c>
      <c r="O11" s="8">
        <v>36043.234684307812</v>
      </c>
      <c r="P11" s="8">
        <v>34915.437069681946</v>
      </c>
      <c r="Q11" s="8">
        <v>31970.225425485034</v>
      </c>
      <c r="R11" s="8">
        <v>29724.150730033394</v>
      </c>
      <c r="S11" s="8">
        <v>27366.256704427775</v>
      </c>
      <c r="T11" s="8">
        <v>25207.825564029034</v>
      </c>
      <c r="U11" s="8">
        <v>25345.561160100748</v>
      </c>
      <c r="V11" s="8">
        <v>18192.628559065175</v>
      </c>
      <c r="W11" s="8">
        <v>17014.945123298708</v>
      </c>
    </row>
    <row r="12" spans="1:23">
      <c r="A12" s="1" t="s">
        <v>275</v>
      </c>
      <c r="B12" s="6" t="s">
        <v>162</v>
      </c>
      <c r="C12" s="6" t="s">
        <v>163</v>
      </c>
      <c r="D12" s="7">
        <v>4057110</v>
      </c>
      <c r="E12" s="8">
        <v>6316.4267603490844</v>
      </c>
      <c r="F12" s="8">
        <v>5550.8039337216997</v>
      </c>
      <c r="G12" s="8">
        <v>5169.9679584946898</v>
      </c>
      <c r="H12" s="8">
        <v>5275.506860945422</v>
      </c>
      <c r="I12" s="8">
        <v>5336.991271977362</v>
      </c>
      <c r="J12" s="8">
        <v>4974.0093831415288</v>
      </c>
      <c r="K12" s="8">
        <v>5705.7942234833481</v>
      </c>
      <c r="L12" s="8">
        <v>4825.9965335007028</v>
      </c>
      <c r="M12" s="8">
        <v>3713.808881639</v>
      </c>
      <c r="N12" s="8">
        <v>3689.6609006826088</v>
      </c>
      <c r="O12" s="8">
        <v>3632.8982756353257</v>
      </c>
      <c r="P12" s="8">
        <v>3281.6767716305308</v>
      </c>
      <c r="Q12" s="8">
        <v>3456.5619686629871</v>
      </c>
      <c r="R12" s="8">
        <v>3246.3019385040448</v>
      </c>
      <c r="S12" s="8">
        <v>3097.5659466271604</v>
      </c>
      <c r="T12" s="8">
        <v>3041.058535493924</v>
      </c>
      <c r="U12" s="8">
        <v>3042.3379951114734</v>
      </c>
      <c r="V12" s="8">
        <v>3071.7901839654742</v>
      </c>
      <c r="W12" s="8">
        <v>3109.1114184763969</v>
      </c>
    </row>
    <row r="13" spans="1:23">
      <c r="B13" s="6" t="s">
        <v>165</v>
      </c>
      <c r="C13" s="6" t="s">
        <v>165</v>
      </c>
      <c r="D13" s="7">
        <v>4058516</v>
      </c>
      <c r="E13" s="8">
        <v>14319.025296046017</v>
      </c>
      <c r="F13" s="8">
        <v>13876.030263034538</v>
      </c>
      <c r="G13" s="8">
        <v>13706.657012895954</v>
      </c>
      <c r="H13" s="8">
        <v>14418.510979358207</v>
      </c>
      <c r="I13" s="8">
        <v>11987.861328271578</v>
      </c>
      <c r="J13" s="8">
        <v>10902.244467678827</v>
      </c>
      <c r="K13" s="8">
        <v>9892.2026216182639</v>
      </c>
      <c r="L13" s="8">
        <v>10681.722252101341</v>
      </c>
      <c r="M13" s="8">
        <v>10265.820404773485</v>
      </c>
      <c r="N13" s="8">
        <v>9569.287539562838</v>
      </c>
      <c r="O13" s="8">
        <v>8739.1160143126126</v>
      </c>
      <c r="P13" s="8">
        <v>8981.9195396377472</v>
      </c>
      <c r="Q13" s="8">
        <v>8610.090797554356</v>
      </c>
      <c r="R13" s="8">
        <v>9465.3921147019773</v>
      </c>
      <c r="S13" s="8">
        <v>9781.1791531573144</v>
      </c>
      <c r="T13" s="8">
        <v>9770.3134732770995</v>
      </c>
      <c r="U13" s="8">
        <v>8779.939894970048</v>
      </c>
      <c r="V13" s="8">
        <v>7779.1706362206651</v>
      </c>
      <c r="W13" s="8">
        <v>7907.7270228073367</v>
      </c>
    </row>
    <row r="14" spans="1:23">
      <c r="B14" s="6" t="s">
        <v>167</v>
      </c>
      <c r="C14" s="6" t="s">
        <v>167</v>
      </c>
      <c r="D14" s="7">
        <v>4058793</v>
      </c>
      <c r="E14" s="8">
        <v>369.55714928415188</v>
      </c>
      <c r="F14" s="8" t="s">
        <v>175</v>
      </c>
      <c r="G14" s="8">
        <v>388.22007731561581</v>
      </c>
      <c r="H14" s="8">
        <v>336.69365941473939</v>
      </c>
      <c r="I14" s="8">
        <v>335.69612530334604</v>
      </c>
      <c r="J14" s="8">
        <v>379.30064563295048</v>
      </c>
      <c r="K14" s="8">
        <v>310.39871495196576</v>
      </c>
      <c r="L14" s="8">
        <v>319.63122605974127</v>
      </c>
      <c r="M14" s="8">
        <v>349.83340447168922</v>
      </c>
      <c r="N14" s="8">
        <v>371.48257582712938</v>
      </c>
      <c r="O14" s="8">
        <v>356.69351114804113</v>
      </c>
      <c r="P14" s="8">
        <v>343.59380139919244</v>
      </c>
      <c r="Q14" s="8">
        <v>324.0143888387704</v>
      </c>
      <c r="R14" s="8">
        <v>314.41990659111622</v>
      </c>
      <c r="S14" s="8">
        <v>391.40797931382116</v>
      </c>
      <c r="T14" s="8">
        <v>391.12473505935804</v>
      </c>
      <c r="U14" s="8">
        <v>362.92232194645453</v>
      </c>
      <c r="V14" s="8">
        <v>389.36101945422627</v>
      </c>
      <c r="W14" s="8">
        <v>322.39391666592877</v>
      </c>
    </row>
    <row r="15" spans="1:23">
      <c r="A15" s="1" t="s">
        <v>275</v>
      </c>
      <c r="B15" s="6" t="s">
        <v>169</v>
      </c>
      <c r="C15" s="6" t="s">
        <v>169</v>
      </c>
      <c r="D15" s="7">
        <v>4057111</v>
      </c>
      <c r="E15" s="8">
        <v>93296.329716244523</v>
      </c>
      <c r="F15" s="8">
        <v>76508.145246526648</v>
      </c>
      <c r="G15" s="8">
        <v>106975.1197434819</v>
      </c>
      <c r="H15" s="8">
        <v>182044.14521314992</v>
      </c>
      <c r="I15" s="8">
        <v>74726.142015534642</v>
      </c>
      <c r="J15" s="8">
        <v>73469.788829246812</v>
      </c>
      <c r="K15" s="8">
        <v>63080.933254042786</v>
      </c>
      <c r="L15" s="8">
        <v>69294.100166773147</v>
      </c>
      <c r="M15" s="8">
        <v>68025.816273212113</v>
      </c>
      <c r="N15" s="8">
        <v>55368.13265334582</v>
      </c>
      <c r="O15" s="8">
        <v>63731.618385797934</v>
      </c>
      <c r="P15" s="8">
        <v>60317.766891114254</v>
      </c>
      <c r="Q15" s="8">
        <v>62815.012135447134</v>
      </c>
      <c r="R15" s="8">
        <v>61066.144356486991</v>
      </c>
      <c r="S15" s="8">
        <v>51194.205229452702</v>
      </c>
      <c r="T15" s="8">
        <v>47097.487617277686</v>
      </c>
      <c r="U15" s="8">
        <v>48453.794659181673</v>
      </c>
      <c r="V15" s="8">
        <v>45264.797693218294</v>
      </c>
      <c r="W15" s="8">
        <v>40824.852168058707</v>
      </c>
    </row>
    <row r="16" spans="1:23">
      <c r="A16" s="1" t="s">
        <v>275</v>
      </c>
      <c r="B16" s="6" t="s">
        <v>170</v>
      </c>
      <c r="C16" s="6" t="s">
        <v>170</v>
      </c>
      <c r="D16" s="7">
        <v>4018679</v>
      </c>
      <c r="E16" s="8">
        <v>190626.12035171376</v>
      </c>
      <c r="F16" s="8">
        <v>190825.51746889242</v>
      </c>
      <c r="G16" s="8">
        <v>213371.62226758851</v>
      </c>
      <c r="H16" s="8">
        <v>214774.65654699094</v>
      </c>
      <c r="I16" s="8">
        <v>192392.50797218413</v>
      </c>
      <c r="J16" s="8">
        <v>151716.460721329</v>
      </c>
      <c r="K16" s="8">
        <v>132682.29468839936</v>
      </c>
      <c r="L16" s="8">
        <v>143030.64439020155</v>
      </c>
      <c r="M16" s="8">
        <v>124359.05136076805</v>
      </c>
      <c r="N16" s="8">
        <v>121442.44215790022</v>
      </c>
      <c r="O16" s="8">
        <v>119796.28094493873</v>
      </c>
      <c r="P16" s="8">
        <v>119787.65350599085</v>
      </c>
      <c r="Q16" s="8">
        <v>113271.99019170445</v>
      </c>
      <c r="R16" s="8">
        <v>111753.58962826726</v>
      </c>
      <c r="S16" s="8">
        <v>97995.693608426343</v>
      </c>
      <c r="T16" s="8">
        <v>103240.59698508766</v>
      </c>
      <c r="U16" s="8">
        <v>107316.34059753396</v>
      </c>
      <c r="V16" s="8">
        <v>102600.76066327511</v>
      </c>
      <c r="W16" s="8">
        <v>106693.82261261409</v>
      </c>
    </row>
    <row r="17" spans="1:23">
      <c r="B17" s="6" t="s">
        <v>172</v>
      </c>
      <c r="C17" s="6" t="s">
        <v>172</v>
      </c>
      <c r="D17" s="7">
        <v>4057112</v>
      </c>
      <c r="E17" s="8">
        <v>24247.879940624462</v>
      </c>
      <c r="F17" s="8">
        <v>22975.710343798259</v>
      </c>
      <c r="G17" s="8">
        <v>22926.441436848672</v>
      </c>
      <c r="H17" s="8">
        <v>21690.932886911934</v>
      </c>
      <c r="I17" s="8">
        <v>21516.265551134897</v>
      </c>
      <c r="J17" s="8">
        <v>19967.978313702592</v>
      </c>
      <c r="K17" s="8">
        <v>18946.90271693371</v>
      </c>
      <c r="L17" s="8">
        <v>19174.89792721784</v>
      </c>
      <c r="M17" s="8">
        <v>17583.084935264596</v>
      </c>
      <c r="N17" s="8">
        <v>17140.97371521889</v>
      </c>
      <c r="O17" s="8">
        <v>16336.902951387066</v>
      </c>
      <c r="P17" s="8">
        <v>16441.375957097538</v>
      </c>
      <c r="Q17" s="8">
        <v>14905.646992074699</v>
      </c>
      <c r="R17" s="8">
        <v>14292.48753196144</v>
      </c>
      <c r="S17" s="8">
        <v>15327.093637510823</v>
      </c>
      <c r="T17" s="8">
        <v>16145.720866568639</v>
      </c>
      <c r="U17" s="8">
        <v>14720.760992803727</v>
      </c>
      <c r="V17" s="8">
        <v>13843.805791863038</v>
      </c>
      <c r="W17" s="8">
        <v>15335.717558184726</v>
      </c>
    </row>
    <row r="18" spans="1:23">
      <c r="A18" s="1" t="s">
        <v>275</v>
      </c>
      <c r="B18" s="6" t="s">
        <v>173</v>
      </c>
      <c r="C18" s="6" t="s">
        <v>173</v>
      </c>
      <c r="D18" s="7">
        <v>4057076</v>
      </c>
      <c r="E18" s="8">
        <v>17039.617857770394</v>
      </c>
      <c r="F18" s="8" t="s">
        <v>175</v>
      </c>
      <c r="G18" s="8">
        <v>15791.30565927831</v>
      </c>
      <c r="H18" s="8">
        <v>14215.607213268248</v>
      </c>
      <c r="I18" s="8">
        <v>14763.719502983</v>
      </c>
      <c r="J18" s="8">
        <v>13486.558108553112</v>
      </c>
      <c r="K18" s="8">
        <v>14166.783364681485</v>
      </c>
      <c r="L18" s="8">
        <v>14691.301987625618</v>
      </c>
      <c r="M18" s="8">
        <v>14451.438658423232</v>
      </c>
      <c r="N18" s="8">
        <v>13681.900192801932</v>
      </c>
      <c r="O18" s="8">
        <v>13750.100596054281</v>
      </c>
      <c r="P18" s="8">
        <v>12820.685218056511</v>
      </c>
      <c r="Q18" s="8">
        <v>10880.157355897276</v>
      </c>
      <c r="R18" s="8">
        <v>9822.3257407589626</v>
      </c>
      <c r="S18" s="8">
        <v>8715.5998550258519</v>
      </c>
      <c r="T18" s="8">
        <v>6216.7600738173915</v>
      </c>
      <c r="U18" s="8">
        <v>5599.9993822991601</v>
      </c>
      <c r="V18" s="8">
        <v>4965.684114743367</v>
      </c>
      <c r="W18" s="8">
        <v>4380.6216469587262</v>
      </c>
    </row>
    <row r="19" spans="1:23">
      <c r="B19" s="6" t="s">
        <v>278</v>
      </c>
      <c r="C19" s="6" t="s">
        <v>278</v>
      </c>
      <c r="D19" s="7">
        <v>4059166</v>
      </c>
      <c r="E19" s="8" t="s">
        <v>175</v>
      </c>
      <c r="F19" s="8">
        <v>6160.9226637514294</v>
      </c>
      <c r="G19" s="8">
        <v>5620.2312550295437</v>
      </c>
      <c r="H19" s="8">
        <v>4603.1413206605757</v>
      </c>
      <c r="I19" s="8">
        <v>4067.5852153764654</v>
      </c>
      <c r="J19" s="8">
        <v>4120.8006058482779</v>
      </c>
      <c r="K19" s="8">
        <v>4273.0174301285233</v>
      </c>
      <c r="L19" s="8">
        <v>4136.1639936824495</v>
      </c>
      <c r="M19" s="8">
        <v>4316.1062467503743</v>
      </c>
      <c r="N19" s="8">
        <v>4279.346904533737</v>
      </c>
      <c r="O19" s="8">
        <v>3798.2735102937927</v>
      </c>
      <c r="P19" s="8">
        <v>3762.2426148491227</v>
      </c>
      <c r="Q19" s="8">
        <v>3860.5803600584259</v>
      </c>
      <c r="R19" s="8">
        <v>3547.3136556763034</v>
      </c>
      <c r="S19" s="8">
        <v>3616.0284534002981</v>
      </c>
      <c r="T19" s="8">
        <v>3742.2877833572002</v>
      </c>
      <c r="U19" s="8">
        <v>4185.0770764483059</v>
      </c>
      <c r="V19" s="8">
        <v>4352.0559288218101</v>
      </c>
      <c r="W19" s="8">
        <v>3964.4179792799591</v>
      </c>
    </row>
    <row r="20" spans="1:23">
      <c r="B20" s="6" t="s">
        <v>279</v>
      </c>
      <c r="C20" s="6" t="s">
        <v>279</v>
      </c>
      <c r="D20" s="7">
        <v>4059227</v>
      </c>
      <c r="E20" s="8" t="s">
        <v>175</v>
      </c>
      <c r="F20" s="8">
        <v>1586.19361656811</v>
      </c>
      <c r="G20" s="8">
        <v>2268.3715205180902</v>
      </c>
      <c r="H20" s="8">
        <v>1889.0411644067083</v>
      </c>
      <c r="I20" s="8">
        <v>1798.8896092399875</v>
      </c>
      <c r="J20" s="8">
        <v>1679.3687253827441</v>
      </c>
      <c r="K20" s="8">
        <v>1691.9781321765211</v>
      </c>
      <c r="L20" s="8">
        <v>1661.208196993073</v>
      </c>
      <c r="M20" s="8">
        <v>1551.3114419592525</v>
      </c>
      <c r="N20" s="8">
        <v>1381.5339455946612</v>
      </c>
      <c r="O20" s="8">
        <v>1512.4504321847073</v>
      </c>
      <c r="P20" s="8">
        <v>1553.8299970329306</v>
      </c>
      <c r="Q20" s="8">
        <v>1450.7652343268335</v>
      </c>
      <c r="R20" s="8">
        <v>1486.8089960207637</v>
      </c>
      <c r="S20" s="8">
        <v>1447.616315107743</v>
      </c>
      <c r="T20" s="8">
        <v>1357.8788592046269</v>
      </c>
      <c r="U20" s="8">
        <v>1258.2032077315384</v>
      </c>
      <c r="V20" s="8" t="s">
        <v>175</v>
      </c>
      <c r="W20" s="8">
        <v>1156.4513782382612</v>
      </c>
    </row>
    <row r="21" spans="1:23">
      <c r="A21" s="1" t="s">
        <v>275</v>
      </c>
      <c r="B21" s="6" t="s">
        <v>174</v>
      </c>
      <c r="C21" s="6" t="s">
        <v>174</v>
      </c>
      <c r="D21" s="7">
        <v>4057114</v>
      </c>
      <c r="E21" s="8" t="s">
        <v>175</v>
      </c>
      <c r="F21" s="8">
        <v>11301.535771974532</v>
      </c>
      <c r="G21" s="8">
        <v>19236.025816726495</v>
      </c>
      <c r="H21" s="8">
        <v>38409.184834861066</v>
      </c>
      <c r="I21" s="8">
        <v>11882.023200725536</v>
      </c>
      <c r="J21" s="8">
        <v>11487.015952919062</v>
      </c>
      <c r="K21" s="8">
        <v>10744.200366256906</v>
      </c>
      <c r="L21" s="8">
        <v>10814.407376252071</v>
      </c>
      <c r="M21" s="8">
        <v>10460.506545021377</v>
      </c>
      <c r="N21" s="8">
        <v>8384.0890162192154</v>
      </c>
      <c r="O21" s="8">
        <v>10654.301479713831</v>
      </c>
      <c r="P21" s="8">
        <v>10761.044173848548</v>
      </c>
      <c r="Q21" s="8">
        <v>11162.441092217234</v>
      </c>
      <c r="R21" s="8">
        <v>9942.8555052792763</v>
      </c>
      <c r="S21" s="8">
        <v>8659.7867179072291</v>
      </c>
      <c r="T21" s="8">
        <v>8812.1784266913746</v>
      </c>
      <c r="U21" s="8">
        <v>7994.33991280585</v>
      </c>
      <c r="V21" s="8">
        <v>9633.9267908357033</v>
      </c>
      <c r="W21" s="8">
        <v>9124.1491081380955</v>
      </c>
    </row>
    <row r="22" spans="1:23">
      <c r="B22" s="6" t="s">
        <v>176</v>
      </c>
      <c r="C22" s="6" t="s">
        <v>176</v>
      </c>
      <c r="D22" s="7">
        <v>4059355</v>
      </c>
      <c r="E22" s="8">
        <v>20535.01216012827</v>
      </c>
      <c r="F22" s="8">
        <v>18565.88580238758</v>
      </c>
      <c r="G22" s="8">
        <v>19082.827967727819</v>
      </c>
      <c r="H22" s="8">
        <v>16461.631404846739</v>
      </c>
      <c r="I22" s="8">
        <v>17908.976896463082</v>
      </c>
      <c r="J22" s="8">
        <v>15091.395736535351</v>
      </c>
      <c r="K22" s="8">
        <v>13488.956706700192</v>
      </c>
      <c r="L22" s="8">
        <v>13275.035210369491</v>
      </c>
      <c r="M22" s="8">
        <v>12830.418791516619</v>
      </c>
      <c r="N22" s="8">
        <v>12374.56672014634</v>
      </c>
      <c r="O22" s="8">
        <v>11846.609034720803</v>
      </c>
      <c r="P22" s="8">
        <v>12082.387581424464</v>
      </c>
      <c r="Q22" s="8">
        <v>11701.246745093305</v>
      </c>
      <c r="R22" s="8">
        <v>10229.445274352172</v>
      </c>
      <c r="S22" s="8">
        <v>9162.5988619010477</v>
      </c>
      <c r="T22" s="8">
        <v>9924.2400097521058</v>
      </c>
      <c r="U22" s="8">
        <v>10683.830243822675</v>
      </c>
      <c r="V22" s="8">
        <v>9890.8518779825426</v>
      </c>
      <c r="W22" s="8">
        <v>9565.2658576273097</v>
      </c>
    </row>
    <row r="23" spans="1:23">
      <c r="B23" s="6" t="s">
        <v>178</v>
      </c>
      <c r="C23" s="6" t="s">
        <v>178</v>
      </c>
      <c r="D23" s="7">
        <v>4088325</v>
      </c>
      <c r="E23" s="8">
        <v>18714.971467142848</v>
      </c>
      <c r="F23" s="8">
        <v>4734.0903339342522</v>
      </c>
      <c r="G23" s="8">
        <v>4247.7567483600315</v>
      </c>
      <c r="H23" s="8">
        <v>5458.8267704417294</v>
      </c>
      <c r="I23" s="8">
        <v>5856.3101794986287</v>
      </c>
      <c r="J23" s="8">
        <v>5347.0945751826512</v>
      </c>
      <c r="K23" s="8">
        <v>4786.9114993028243</v>
      </c>
      <c r="L23" s="8">
        <v>4582.3217983813502</v>
      </c>
      <c r="M23" s="8">
        <v>6743.2155906801063</v>
      </c>
      <c r="N23" s="8">
        <v>3801.358971622321</v>
      </c>
      <c r="O23" s="8">
        <v>3739.2431116265225</v>
      </c>
      <c r="P23" s="8">
        <v>3640.6603340527267</v>
      </c>
      <c r="Q23" s="8">
        <v>3641.5845614927307</v>
      </c>
      <c r="R23" s="8">
        <v>3296.1447671949059</v>
      </c>
      <c r="S23" s="8">
        <v>3080.2837756403401</v>
      </c>
      <c r="T23" s="8">
        <v>3157.6096215471598</v>
      </c>
      <c r="U23" s="8">
        <v>3099.5316322556978</v>
      </c>
      <c r="V23" s="8">
        <v>2834.6657903603973</v>
      </c>
      <c r="W23" s="8">
        <v>2504.0832677629037</v>
      </c>
    </row>
    <row r="24" spans="1:23">
      <c r="B24" s="6" t="s">
        <v>280</v>
      </c>
      <c r="C24" s="6" t="s">
        <v>280</v>
      </c>
      <c r="D24" s="7">
        <v>4088326</v>
      </c>
      <c r="E24" s="8" t="s">
        <v>175</v>
      </c>
      <c r="F24" s="8">
        <v>111746.04510556188</v>
      </c>
      <c r="G24" s="8">
        <v>112759.89839455052</v>
      </c>
      <c r="H24" s="8">
        <v>105521.73982836951</v>
      </c>
      <c r="I24" s="8">
        <v>116928.7846151376</v>
      </c>
      <c r="J24" s="8">
        <v>99213.333220233792</v>
      </c>
      <c r="K24" s="8">
        <v>95430.912215290373</v>
      </c>
      <c r="L24" s="8">
        <v>93591.00324091065</v>
      </c>
      <c r="M24" s="8">
        <v>87418.094901473058</v>
      </c>
      <c r="N24" s="8">
        <v>84538.11413485698</v>
      </c>
      <c r="O24" s="8">
        <v>82485.395465911919</v>
      </c>
      <c r="P24" s="8">
        <v>83541.750748643972</v>
      </c>
      <c r="Q24" s="8">
        <v>81822.849920530716</v>
      </c>
      <c r="R24" s="8">
        <v>82368.070967827356</v>
      </c>
      <c r="S24" s="8">
        <v>76275.195710382555</v>
      </c>
      <c r="T24" s="8">
        <v>69014.67574565929</v>
      </c>
      <c r="U24" s="8">
        <v>75719.674643034377</v>
      </c>
      <c r="V24" s="8">
        <v>65201.170067297913</v>
      </c>
      <c r="W24" s="8">
        <v>66173.664292655754</v>
      </c>
    </row>
    <row r="25" spans="1:23">
      <c r="A25" s="1" t="s">
        <v>275</v>
      </c>
      <c r="B25" s="6" t="s">
        <v>281</v>
      </c>
      <c r="C25" s="6" t="s">
        <v>281</v>
      </c>
      <c r="D25" s="7">
        <v>4059358</v>
      </c>
      <c r="E25" s="8" t="s">
        <v>175</v>
      </c>
      <c r="F25" s="8">
        <v>63664.537888363258</v>
      </c>
      <c r="G25" s="8">
        <v>62813.969167172865</v>
      </c>
      <c r="H25" s="8">
        <v>54931.821195497803</v>
      </c>
      <c r="I25" s="8">
        <v>67555.289331251261</v>
      </c>
      <c r="J25" s="8">
        <v>56483.94824461337</v>
      </c>
      <c r="K25" s="8">
        <v>52794.27576277007</v>
      </c>
      <c r="L25" s="8">
        <v>50519.7831899148</v>
      </c>
      <c r="M25" s="8">
        <v>44556.20402769983</v>
      </c>
      <c r="N25" s="8">
        <v>40072.391081958034</v>
      </c>
      <c r="O25" s="8">
        <v>44206.778314120529</v>
      </c>
      <c r="P25" s="8">
        <v>42598.281591184612</v>
      </c>
      <c r="Q25" s="8">
        <v>38701.887149596521</v>
      </c>
      <c r="R25" s="8">
        <v>36578.102811325858</v>
      </c>
      <c r="S25" s="8">
        <v>35770.221545336266</v>
      </c>
      <c r="T25" s="8">
        <v>31859.388937346219</v>
      </c>
      <c r="U25" s="8">
        <v>33229.816503901529</v>
      </c>
      <c r="V25" s="8">
        <v>29986.6918777385</v>
      </c>
      <c r="W25" s="8">
        <v>28617.864331582743</v>
      </c>
    </row>
    <row r="26" spans="1:23">
      <c r="B26" s="6" t="s">
        <v>282</v>
      </c>
      <c r="C26" s="6" t="s">
        <v>282</v>
      </c>
      <c r="D26" s="7">
        <v>4059359</v>
      </c>
      <c r="E26" s="8" t="s">
        <v>175</v>
      </c>
      <c r="F26" s="8">
        <v>36494.358135151779</v>
      </c>
      <c r="G26" s="8">
        <v>39666.024729817946</v>
      </c>
      <c r="H26" s="8">
        <v>37469.395020073862</v>
      </c>
      <c r="I26" s="8">
        <v>38475.961422145338</v>
      </c>
      <c r="J26" s="8">
        <v>32242.636110287545</v>
      </c>
      <c r="K26" s="8">
        <v>30769.357909328064</v>
      </c>
      <c r="L26" s="8">
        <v>27348.822507100602</v>
      </c>
      <c r="M26" s="8">
        <v>24659.330239445164</v>
      </c>
      <c r="N26" s="8">
        <v>21516.205310237568</v>
      </c>
      <c r="O26" s="8">
        <v>21663.089377429638</v>
      </c>
      <c r="P26" s="8">
        <v>20162.700659833972</v>
      </c>
      <c r="Q26" s="8">
        <v>19512.57202675577</v>
      </c>
      <c r="R26" s="8">
        <v>18601.987773646735</v>
      </c>
      <c r="S26" s="8">
        <v>21462.456052960824</v>
      </c>
      <c r="T26" s="8">
        <v>19045.637393829504</v>
      </c>
      <c r="U26" s="8">
        <v>19240.583463655817</v>
      </c>
      <c r="V26" s="8">
        <v>16455.579427835295</v>
      </c>
      <c r="W26" s="8">
        <v>16060.25115488848</v>
      </c>
    </row>
    <row r="27" spans="1:23">
      <c r="A27" s="1" t="s">
        <v>275</v>
      </c>
      <c r="B27" s="6" t="s">
        <v>180</v>
      </c>
      <c r="C27" s="6" t="s">
        <v>180</v>
      </c>
      <c r="D27" s="7">
        <v>4059402</v>
      </c>
      <c r="E27" s="8">
        <v>28913.812754069393</v>
      </c>
      <c r="F27" s="8" t="s">
        <v>175</v>
      </c>
      <c r="G27" s="8">
        <v>6631801.9749223841</v>
      </c>
      <c r="H27" s="8">
        <v>25752.298428012698</v>
      </c>
      <c r="I27" s="8">
        <v>30113.503213589251</v>
      </c>
      <c r="J27" s="8">
        <v>24408.390786746953</v>
      </c>
      <c r="K27" s="8">
        <v>24707.796273217318</v>
      </c>
      <c r="L27" s="8">
        <v>21883.939382583692</v>
      </c>
      <c r="M27" s="8">
        <v>21397.565465530948</v>
      </c>
      <c r="N27" s="8">
        <v>18266.561074802838</v>
      </c>
      <c r="O27" s="8">
        <v>19156.283756168454</v>
      </c>
      <c r="P27" s="8">
        <v>17808.42383381008</v>
      </c>
      <c r="Q27" s="8">
        <v>25356.899063755111</v>
      </c>
      <c r="R27" s="8">
        <v>18730.648159127104</v>
      </c>
      <c r="S27" s="8">
        <v>17669.463235382074</v>
      </c>
      <c r="T27" s="8">
        <v>16681.487311645436</v>
      </c>
      <c r="U27" s="8">
        <v>16398.18378990272</v>
      </c>
      <c r="V27" s="8">
        <v>16434.491736383858</v>
      </c>
      <c r="W27" s="8">
        <v>14970.361216145189</v>
      </c>
    </row>
    <row r="28" spans="1:23">
      <c r="A28" s="1" t="s">
        <v>275</v>
      </c>
      <c r="B28" s="6" t="s">
        <v>182</v>
      </c>
      <c r="C28" s="6" t="s">
        <v>182</v>
      </c>
      <c r="D28" s="7">
        <v>4057080</v>
      </c>
      <c r="E28" s="8">
        <v>132600.11101561776</v>
      </c>
      <c r="F28" s="8">
        <v>132051.58497180408</v>
      </c>
      <c r="G28" s="8">
        <v>139778.84443068921</v>
      </c>
      <c r="H28" s="8">
        <v>151597.08864638535</v>
      </c>
      <c r="I28" s="8">
        <v>149376.08595545925</v>
      </c>
      <c r="J28" s="8">
        <v>139222.50442893512</v>
      </c>
      <c r="K28" s="8">
        <v>146038.09545015765</v>
      </c>
      <c r="L28" s="8">
        <v>135183.09782483571</v>
      </c>
      <c r="M28" s="8">
        <v>113890.16012322962</v>
      </c>
      <c r="N28" s="8">
        <v>109599.99298994782</v>
      </c>
      <c r="O28" s="8">
        <v>117334.51076646303</v>
      </c>
      <c r="P28" s="8">
        <v>109839.17599763915</v>
      </c>
      <c r="Q28" s="8">
        <v>97782.663292966579</v>
      </c>
      <c r="R28" s="8">
        <v>90665.546732827643</v>
      </c>
      <c r="S28" s="8">
        <v>78490.775650091135</v>
      </c>
      <c r="T28" s="8">
        <v>73972.106776327477</v>
      </c>
      <c r="U28" s="8">
        <v>68711.047060469995</v>
      </c>
      <c r="V28" s="8">
        <v>61522.071778329351</v>
      </c>
      <c r="W28" s="8">
        <v>58078.936935953541</v>
      </c>
    </row>
    <row r="29" spans="1:23">
      <c r="B29" s="6" t="s">
        <v>183</v>
      </c>
      <c r="C29" s="6" t="s">
        <v>183</v>
      </c>
      <c r="D29" s="7">
        <v>4057081</v>
      </c>
      <c r="E29" s="8">
        <v>108824.34945213952</v>
      </c>
      <c r="F29" s="8">
        <v>104019.6138718424</v>
      </c>
      <c r="G29" s="8">
        <v>114700.57730108232</v>
      </c>
      <c r="H29" s="8">
        <v>114322.44571808956</v>
      </c>
      <c r="I29" s="8">
        <v>106858.4565753466</v>
      </c>
      <c r="J29" s="8">
        <v>111819.22825536168</v>
      </c>
      <c r="K29" s="8">
        <v>113048.56167988709</v>
      </c>
      <c r="L29" s="8">
        <v>109347.33676154299</v>
      </c>
      <c r="M29" s="8">
        <v>110877.57693443171</v>
      </c>
      <c r="N29" s="8">
        <v>110647.19852325744</v>
      </c>
      <c r="O29" s="8">
        <v>107757.50586358148</v>
      </c>
      <c r="P29" s="8">
        <v>106779.14164816841</v>
      </c>
      <c r="Q29" s="8">
        <v>110453.24097685704</v>
      </c>
      <c r="R29" s="8">
        <v>109238.41661394139</v>
      </c>
      <c r="S29" s="8">
        <v>101899.5695421228</v>
      </c>
      <c r="T29" s="8">
        <v>101324.71397236465</v>
      </c>
      <c r="U29" s="8">
        <v>105575.7339739138</v>
      </c>
      <c r="V29" s="8">
        <v>91667.35283122379</v>
      </c>
      <c r="W29" s="8">
        <v>91564.583108391074</v>
      </c>
    </row>
    <row r="30" spans="1:23">
      <c r="A30" s="1" t="s">
        <v>275</v>
      </c>
      <c r="B30" s="6" t="s">
        <v>185</v>
      </c>
      <c r="C30" s="6" t="s">
        <v>185</v>
      </c>
      <c r="D30" s="7">
        <v>4059459</v>
      </c>
      <c r="E30" s="8">
        <v>3382.7416396897574</v>
      </c>
      <c r="F30" s="8">
        <v>2816.0264601751242</v>
      </c>
      <c r="G30" s="8">
        <v>2862.2052792562249</v>
      </c>
      <c r="H30" s="8">
        <v>2843.0428550716942</v>
      </c>
      <c r="I30" s="8">
        <v>2819.7500745346247</v>
      </c>
      <c r="J30" s="8">
        <v>2515.3910202612187</v>
      </c>
      <c r="K30" s="8">
        <v>2625.6756584550667</v>
      </c>
      <c r="L30" s="8">
        <v>2560.0428994144359</v>
      </c>
      <c r="M30" s="8">
        <v>2219.9375483313474</v>
      </c>
      <c r="N30" s="8">
        <v>2278.6274292024723</v>
      </c>
      <c r="O30" s="8">
        <v>2118.6355273628774</v>
      </c>
      <c r="P30" s="8">
        <v>2127.5832288076867</v>
      </c>
      <c r="Q30" s="8">
        <v>2019.4924785226083</v>
      </c>
      <c r="R30" s="8">
        <v>1841.0861245779301</v>
      </c>
      <c r="S30" s="8">
        <v>1713.6087540880446</v>
      </c>
      <c r="T30" s="8">
        <v>1621.0375810447977</v>
      </c>
      <c r="U30" s="8">
        <v>1111.6450131313147</v>
      </c>
      <c r="V30" s="8">
        <v>1077.7043382577167</v>
      </c>
      <c r="W30" s="8">
        <v>1141.4071479749086</v>
      </c>
    </row>
    <row r="31" spans="1:23">
      <c r="B31" s="6" t="s">
        <v>186</v>
      </c>
      <c r="C31" s="6" t="s">
        <v>186</v>
      </c>
      <c r="D31" s="7">
        <v>4057118</v>
      </c>
      <c r="E31" s="8">
        <v>3577.1665484297696</v>
      </c>
      <c r="F31" s="8">
        <v>2504.2658081777927</v>
      </c>
      <c r="G31" s="8">
        <v>2530.9203422545406</v>
      </c>
      <c r="H31" s="8">
        <v>3803.3084572968282</v>
      </c>
      <c r="I31" s="8">
        <v>3761.7955584156584</v>
      </c>
      <c r="J31" s="8">
        <v>3835.420392129357</v>
      </c>
      <c r="K31" s="8">
        <v>3850.7580208572981</v>
      </c>
      <c r="L31" s="8">
        <v>3699.6541205845365</v>
      </c>
      <c r="M31" s="8">
        <v>3639.1716092944903</v>
      </c>
      <c r="N31" s="8">
        <v>3593.3008416124089</v>
      </c>
      <c r="O31" s="8">
        <v>3452.4116378390017</v>
      </c>
      <c r="P31" s="8">
        <v>3706.0702635766138</v>
      </c>
      <c r="Q31" s="8">
        <v>3948.8017119965525</v>
      </c>
      <c r="R31" s="8">
        <v>3716.8762775798655</v>
      </c>
      <c r="S31" s="8">
        <v>3421.642050850312</v>
      </c>
      <c r="T31" s="8">
        <v>3241.831597828033</v>
      </c>
      <c r="U31" s="8">
        <v>3189.0305908644023</v>
      </c>
      <c r="V31" s="8">
        <v>3050.8507059750482</v>
      </c>
      <c r="W31" s="8">
        <v>2961.0836139029711</v>
      </c>
    </row>
    <row r="32" spans="1:23">
      <c r="B32" s="6" t="s">
        <v>188</v>
      </c>
      <c r="C32" s="6" t="s">
        <v>188</v>
      </c>
      <c r="D32" s="7">
        <v>4057126</v>
      </c>
      <c r="E32" s="8">
        <v>152313.30507658049</v>
      </c>
      <c r="F32" s="8">
        <v>138859.76142642426</v>
      </c>
      <c r="G32" s="8">
        <v>142058.0451875625</v>
      </c>
      <c r="H32" s="8">
        <v>135833.4358846673</v>
      </c>
      <c r="I32" s="8">
        <v>134306.38591823226</v>
      </c>
      <c r="J32" s="8">
        <v>119612.89137064264</v>
      </c>
      <c r="K32" s="8">
        <v>119838.09021499062</v>
      </c>
      <c r="L32" s="8">
        <v>125970.19649661025</v>
      </c>
      <c r="M32" s="8">
        <v>118720.24703085063</v>
      </c>
      <c r="N32" s="8">
        <v>108349.33947576159</v>
      </c>
      <c r="O32" s="8">
        <v>106893.42240257739</v>
      </c>
      <c r="P32" s="8">
        <v>104694.38790479938</v>
      </c>
      <c r="Q32" s="8">
        <v>97983.402139575235</v>
      </c>
      <c r="R32" s="8">
        <v>101662.61973125041</v>
      </c>
      <c r="S32" s="8">
        <v>105347.80068459222</v>
      </c>
      <c r="T32" s="8">
        <v>100515.0921945108</v>
      </c>
      <c r="U32" s="8">
        <v>108802.75649349975</v>
      </c>
      <c r="V32" s="8">
        <v>98067.10555946338</v>
      </c>
      <c r="W32" s="8">
        <v>92822.642859697648</v>
      </c>
    </row>
    <row r="33" spans="1:23">
      <c r="B33" s="6" t="s">
        <v>283</v>
      </c>
      <c r="C33" s="6" t="s">
        <v>283</v>
      </c>
      <c r="D33" s="7">
        <v>4057103</v>
      </c>
      <c r="E33" s="8" t="s">
        <v>175</v>
      </c>
      <c r="F33" s="8" t="s">
        <v>175</v>
      </c>
      <c r="G33" s="8">
        <v>8307.0387687740968</v>
      </c>
      <c r="H33" s="8">
        <v>9183.6822280463803</v>
      </c>
      <c r="I33" s="8">
        <v>8855.0692277668732</v>
      </c>
      <c r="J33" s="8" t="s">
        <v>175</v>
      </c>
      <c r="K33" s="8">
        <v>8183.8058701351765</v>
      </c>
      <c r="L33" s="8">
        <v>8387.6115035938001</v>
      </c>
      <c r="M33" s="8">
        <v>7949.5922812763529</v>
      </c>
      <c r="N33" s="8">
        <v>8725.1870113893074</v>
      </c>
      <c r="O33" s="8">
        <v>8044.7412150773516</v>
      </c>
      <c r="P33" s="8">
        <v>7986.2800905253989</v>
      </c>
      <c r="Q33" s="8">
        <v>7547.8049282529673</v>
      </c>
      <c r="R33" s="8">
        <v>7620.0668604947632</v>
      </c>
      <c r="S33" s="8">
        <v>9566.8102821247903</v>
      </c>
      <c r="T33" s="8">
        <v>8024.5921760518086</v>
      </c>
      <c r="U33" s="8">
        <v>7586.4925903982639</v>
      </c>
      <c r="V33" s="8">
        <v>5877.0044689373726</v>
      </c>
      <c r="W33" s="8">
        <v>5833.3296309643556</v>
      </c>
    </row>
    <row r="34" spans="1:23">
      <c r="B34" s="6" t="s">
        <v>189</v>
      </c>
      <c r="C34" s="6" t="s">
        <v>189</v>
      </c>
      <c r="D34" s="7">
        <v>4057079</v>
      </c>
      <c r="E34" s="8">
        <v>35560.634030984511</v>
      </c>
      <c r="F34" s="8">
        <v>28927.718020136715</v>
      </c>
      <c r="G34" s="8">
        <v>32104.16031100625</v>
      </c>
      <c r="H34" s="8">
        <v>33767.489722012659</v>
      </c>
      <c r="I34" s="8">
        <v>31218.589340158771</v>
      </c>
      <c r="J34" s="8">
        <v>30968.328792320583</v>
      </c>
      <c r="K34" s="8">
        <v>33254.784623951644</v>
      </c>
      <c r="L34" s="8">
        <v>31611.211887846977</v>
      </c>
      <c r="M34" s="8">
        <v>35622.457004582269</v>
      </c>
      <c r="N34" s="8">
        <v>34291.315462757273</v>
      </c>
      <c r="O34" s="8">
        <v>35680.335704280871</v>
      </c>
      <c r="P34" s="8">
        <v>35034.066735605171</v>
      </c>
      <c r="Q34" s="8">
        <v>26932.066112140848</v>
      </c>
      <c r="R34" s="8">
        <v>27790.953446091095</v>
      </c>
      <c r="S34" s="8">
        <v>33427.237756925402</v>
      </c>
      <c r="T34" s="8">
        <v>33833.204842769846</v>
      </c>
      <c r="U34" s="8">
        <v>31194.887542907843</v>
      </c>
      <c r="V34" s="8">
        <v>28828.133765959861</v>
      </c>
      <c r="W34" s="8">
        <v>25734.36956371761</v>
      </c>
    </row>
    <row r="35" spans="1:23">
      <c r="B35" s="6" t="s">
        <v>284</v>
      </c>
      <c r="C35" s="6" t="s">
        <v>285</v>
      </c>
      <c r="D35" s="7">
        <v>4081251</v>
      </c>
      <c r="E35" s="8" t="s">
        <v>175</v>
      </c>
      <c r="F35" s="8" t="s">
        <v>175</v>
      </c>
      <c r="G35" s="8">
        <v>236.07193674014283</v>
      </c>
      <c r="H35" s="8">
        <v>248.54376085933623</v>
      </c>
      <c r="I35" s="8">
        <v>221.11993932483773</v>
      </c>
      <c r="J35" s="8">
        <v>228.43600207135302</v>
      </c>
      <c r="K35" s="8" t="s">
        <v>175</v>
      </c>
      <c r="L35" s="8">
        <v>200.57640963900042</v>
      </c>
      <c r="M35" s="8">
        <v>174.72799393821128</v>
      </c>
      <c r="N35" s="8">
        <v>186.37196213241052</v>
      </c>
      <c r="O35" s="8">
        <v>174.85626009365384</v>
      </c>
      <c r="P35" s="8">
        <v>182.54685783901485</v>
      </c>
      <c r="Q35" s="8">
        <v>159.82179431750367</v>
      </c>
      <c r="R35" s="8">
        <v>157.97632747043059</v>
      </c>
      <c r="S35" s="8">
        <v>153.77632063216711</v>
      </c>
      <c r="T35" s="8">
        <v>155.92770325463752</v>
      </c>
      <c r="U35" s="8">
        <v>154.66193524630785</v>
      </c>
      <c r="V35" s="8">
        <v>155.79325753683727</v>
      </c>
      <c r="W35" s="8" t="s">
        <v>175</v>
      </c>
    </row>
    <row r="36" spans="1:23">
      <c r="B36" s="6" t="s">
        <v>286</v>
      </c>
      <c r="C36" s="6" t="s">
        <v>286</v>
      </c>
      <c r="D36" s="7">
        <v>4060572</v>
      </c>
      <c r="E36" s="8" t="s">
        <v>175</v>
      </c>
      <c r="F36" s="8">
        <v>11382.775210630596</v>
      </c>
      <c r="G36" s="8">
        <v>13833.168847827665</v>
      </c>
      <c r="H36" s="8">
        <v>10825.671564843353</v>
      </c>
      <c r="I36" s="8">
        <v>11611.590075494936</v>
      </c>
      <c r="J36" s="8">
        <v>11529.178241884896</v>
      </c>
      <c r="K36" s="8">
        <v>11545.82811562558</v>
      </c>
      <c r="L36" s="8">
        <v>12024.175129968595</v>
      </c>
      <c r="M36" s="8">
        <v>9732.767400680008</v>
      </c>
      <c r="N36" s="8">
        <v>9293.1610006920982</v>
      </c>
      <c r="O36" s="8">
        <v>9146.50427068522</v>
      </c>
      <c r="P36" s="8">
        <v>10370.171852248352</v>
      </c>
      <c r="Q36" s="8">
        <v>9458.0738949193073</v>
      </c>
      <c r="R36" s="8">
        <v>10778.72793930009</v>
      </c>
      <c r="S36" s="8">
        <v>9297.8310457947355</v>
      </c>
      <c r="T36" s="8">
        <v>9658.8733673461338</v>
      </c>
      <c r="U36" s="8">
        <v>12065.428212778965</v>
      </c>
      <c r="V36" s="8">
        <v>10250.6411226696</v>
      </c>
      <c r="W36" s="8">
        <v>8773.3933220564231</v>
      </c>
    </row>
    <row r="37" spans="1:23">
      <c r="B37" s="6" t="s">
        <v>287</v>
      </c>
      <c r="C37" s="6" t="s">
        <v>287</v>
      </c>
      <c r="D37" s="7">
        <v>4083318</v>
      </c>
      <c r="E37" s="8" t="s">
        <v>175</v>
      </c>
      <c r="F37" s="8">
        <v>643.16399750056564</v>
      </c>
      <c r="G37" s="8">
        <v>653.00291960517927</v>
      </c>
      <c r="H37" s="8">
        <v>519.17736362867629</v>
      </c>
      <c r="I37" s="8">
        <v>463.40890154979962</v>
      </c>
      <c r="J37" s="8">
        <v>549.34374921421079</v>
      </c>
      <c r="K37" s="8">
        <v>482.36912829491558</v>
      </c>
      <c r="L37" s="8">
        <v>522.15709610186138</v>
      </c>
      <c r="M37" s="8">
        <v>608.19425148753066</v>
      </c>
      <c r="N37" s="8">
        <v>592.79385995014707</v>
      </c>
      <c r="O37" s="8">
        <v>614.3095431931348</v>
      </c>
      <c r="P37" s="8">
        <v>656.78022299064889</v>
      </c>
      <c r="Q37" s="8">
        <v>611.91966682415148</v>
      </c>
      <c r="R37" s="8">
        <v>685.53347649894249</v>
      </c>
      <c r="S37" s="8">
        <v>579.75916026482992</v>
      </c>
      <c r="T37" s="8">
        <v>560.09101064612685</v>
      </c>
      <c r="U37" s="8">
        <v>556.64890528211595</v>
      </c>
      <c r="V37" s="8">
        <v>545.17877744413329</v>
      </c>
      <c r="W37" s="8">
        <v>545.2890562653206</v>
      </c>
    </row>
    <row r="38" spans="1:23">
      <c r="B38" s="6" t="s">
        <v>288</v>
      </c>
      <c r="C38" s="6" t="s">
        <v>288</v>
      </c>
      <c r="D38" s="7">
        <v>4057125</v>
      </c>
      <c r="E38" s="8" t="s">
        <v>175</v>
      </c>
      <c r="F38" s="8">
        <v>45305.659034454002</v>
      </c>
      <c r="G38" s="8">
        <v>54655.40925110122</v>
      </c>
      <c r="H38" s="8">
        <v>45605.514572439868</v>
      </c>
      <c r="I38" s="8">
        <v>44354.215833440445</v>
      </c>
      <c r="J38" s="8">
        <v>41010.639643182789</v>
      </c>
      <c r="K38" s="8">
        <v>41299.678901160005</v>
      </c>
      <c r="L38" s="8">
        <v>42321.690182520819</v>
      </c>
      <c r="M38" s="8">
        <v>40290.811660603526</v>
      </c>
      <c r="N38" s="8">
        <v>36942.307063257991</v>
      </c>
      <c r="O38" s="8">
        <v>37226.140581690335</v>
      </c>
      <c r="P38" s="8">
        <v>36066.984513698197</v>
      </c>
      <c r="Q38" s="8">
        <v>36658.926777326284</v>
      </c>
      <c r="R38" s="8">
        <v>36149.465397046006</v>
      </c>
      <c r="S38" s="8">
        <v>35359.484739821011</v>
      </c>
      <c r="T38" s="8">
        <v>32373.14562977913</v>
      </c>
      <c r="U38" s="8">
        <v>33149.696554499773</v>
      </c>
      <c r="V38" s="8">
        <v>32275.504326638653</v>
      </c>
      <c r="W38" s="8">
        <v>30592.284679917371</v>
      </c>
    </row>
    <row r="39" spans="1:23">
      <c r="B39" s="6" t="s">
        <v>289</v>
      </c>
      <c r="C39" s="6" t="s">
        <v>289</v>
      </c>
      <c r="D39" s="7">
        <v>4087741</v>
      </c>
      <c r="E39" s="8" t="s">
        <v>175</v>
      </c>
      <c r="F39" s="8" t="s">
        <v>175</v>
      </c>
      <c r="G39" s="8" t="s">
        <v>175</v>
      </c>
      <c r="H39" s="8">
        <v>53544.742016824195</v>
      </c>
      <c r="I39" s="8">
        <v>50233.459357645697</v>
      </c>
      <c r="J39" s="8">
        <v>55052.484858405005</v>
      </c>
      <c r="K39" s="8">
        <v>53371.073737599734</v>
      </c>
      <c r="L39" s="8">
        <v>54572.468049816889</v>
      </c>
      <c r="M39" s="8">
        <v>51584.265947661741</v>
      </c>
      <c r="N39" s="8">
        <v>48014.887983225919</v>
      </c>
      <c r="O39" s="8">
        <v>47185.16866867616</v>
      </c>
      <c r="P39" s="8">
        <v>45476.467975307001</v>
      </c>
      <c r="Q39" s="8">
        <v>46667.247750902505</v>
      </c>
      <c r="R39" s="8">
        <v>45842.820977477735</v>
      </c>
      <c r="S39" s="8">
        <v>43860.667985862056</v>
      </c>
      <c r="T39" s="8">
        <v>43944.023269855272</v>
      </c>
      <c r="U39" s="8">
        <v>42918.364724045707</v>
      </c>
      <c r="V39" s="8">
        <v>39264.296497959076</v>
      </c>
      <c r="W39" s="8">
        <v>35775.114098231301</v>
      </c>
    </row>
    <row r="40" spans="1:23">
      <c r="B40" s="6" t="s">
        <v>290</v>
      </c>
      <c r="C40" s="6" t="s">
        <v>290</v>
      </c>
      <c r="D40" s="7">
        <v>4059875</v>
      </c>
      <c r="E40" s="8" t="s">
        <v>175</v>
      </c>
      <c r="F40" s="8">
        <v>10675.948226066368</v>
      </c>
      <c r="G40" s="8">
        <v>10551.819863030662</v>
      </c>
      <c r="H40" s="8">
        <v>11691.408334274731</v>
      </c>
      <c r="I40" s="8">
        <v>11215.426713835104</v>
      </c>
      <c r="J40" s="8">
        <v>10943.063297124267</v>
      </c>
      <c r="K40" s="8">
        <v>11654.535338997852</v>
      </c>
      <c r="L40" s="8">
        <v>11576.783635673664</v>
      </c>
      <c r="M40" s="8">
        <v>7211.053939310651</v>
      </c>
      <c r="N40" s="8">
        <v>6550.1811337779118</v>
      </c>
      <c r="O40" s="8">
        <v>9201.3544638591538</v>
      </c>
      <c r="P40" s="8">
        <v>9607.336213965782</v>
      </c>
      <c r="Q40" s="8">
        <v>8412.8231104241058</v>
      </c>
      <c r="R40" s="8">
        <v>7830.0588793265151</v>
      </c>
      <c r="S40" s="8">
        <v>6879.6189054078932</v>
      </c>
      <c r="T40" s="8">
        <v>6633.6686605831746</v>
      </c>
      <c r="U40" s="8">
        <v>5669.60209451639</v>
      </c>
      <c r="V40" s="8">
        <v>5789.8040741773993</v>
      </c>
      <c r="W40" s="8">
        <v>5232.5583501454803</v>
      </c>
    </row>
    <row r="41" spans="1:23">
      <c r="B41" s="6" t="s">
        <v>190</v>
      </c>
      <c r="C41" s="6" t="s">
        <v>190</v>
      </c>
      <c r="D41" s="7">
        <v>4057090</v>
      </c>
      <c r="E41" s="8">
        <v>29404.177856915558</v>
      </c>
      <c r="F41" s="8">
        <v>30270.858614376044</v>
      </c>
      <c r="G41" s="8">
        <v>30095.559873891547</v>
      </c>
      <c r="H41" s="8">
        <v>27867.457434070646</v>
      </c>
      <c r="I41" s="8">
        <v>25321.460239262091</v>
      </c>
      <c r="J41" s="8">
        <v>24034.199941655468</v>
      </c>
      <c r="K41" s="8">
        <v>25045.778547787264</v>
      </c>
      <c r="L41" s="8">
        <v>23148.112502807264</v>
      </c>
      <c r="M41" s="8">
        <v>22338.644698979504</v>
      </c>
      <c r="N41" s="8">
        <v>20593.252658355923</v>
      </c>
      <c r="O41" s="8">
        <v>21335.238953880023</v>
      </c>
      <c r="P41" s="8">
        <v>19817.252089175588</v>
      </c>
      <c r="Q41" s="8">
        <v>20766.496132246513</v>
      </c>
      <c r="R41" s="8">
        <v>19467.730833496753</v>
      </c>
      <c r="S41" s="8">
        <v>17677.630636025351</v>
      </c>
      <c r="T41" s="8">
        <v>17238.250345341658</v>
      </c>
      <c r="U41" s="8">
        <v>17986.637902296035</v>
      </c>
      <c r="V41" s="8">
        <v>17341.361836883279</v>
      </c>
      <c r="W41" s="8">
        <v>16215.576749478581</v>
      </c>
    </row>
    <row r="42" spans="1:23">
      <c r="B42" s="6" t="s">
        <v>191</v>
      </c>
      <c r="C42" s="6" t="s">
        <v>191</v>
      </c>
      <c r="D42" s="7">
        <v>4008754</v>
      </c>
      <c r="E42" s="8">
        <v>17923.407695417431</v>
      </c>
      <c r="F42" s="8">
        <v>16863.034662261791</v>
      </c>
      <c r="G42" s="8">
        <v>16335.394915648687</v>
      </c>
      <c r="H42" s="8">
        <v>14706.131845461503</v>
      </c>
      <c r="I42" s="8">
        <v>14769.824568999353</v>
      </c>
      <c r="J42" s="8">
        <v>14360.171588439667</v>
      </c>
      <c r="K42" s="8">
        <v>14005.674182040924</v>
      </c>
      <c r="L42" s="8">
        <v>13887.749478179361</v>
      </c>
      <c r="M42" s="8">
        <v>14221.391040906536</v>
      </c>
      <c r="N42" s="8">
        <v>14773.152873564637</v>
      </c>
      <c r="O42" s="8">
        <v>13984.036121772966</v>
      </c>
      <c r="P42" s="8">
        <v>13584.779786399962</v>
      </c>
      <c r="Q42" s="8">
        <v>12072.858683316259</v>
      </c>
      <c r="R42" s="8">
        <v>12371.819194316275</v>
      </c>
      <c r="S42" s="8">
        <v>11656.771732028126</v>
      </c>
      <c r="T42" s="8">
        <v>11360.205791449089</v>
      </c>
      <c r="U42" s="8">
        <v>10422.09279407416</v>
      </c>
      <c r="V42" s="8">
        <v>10815.879678416652</v>
      </c>
      <c r="W42" s="8">
        <v>9928.5577776570917</v>
      </c>
    </row>
    <row r="43" spans="1:23">
      <c r="B43" s="6" t="s">
        <v>291</v>
      </c>
      <c r="C43" s="6" t="s">
        <v>291</v>
      </c>
      <c r="D43" s="7">
        <v>4061474</v>
      </c>
      <c r="E43" s="8" t="s">
        <v>175</v>
      </c>
      <c r="F43" s="8">
        <v>1600.5527182579851</v>
      </c>
      <c r="G43" s="8">
        <v>1567.6245492402909</v>
      </c>
      <c r="H43" s="8">
        <v>1544.5674079960829</v>
      </c>
      <c r="I43" s="8">
        <v>1474.9629787166923</v>
      </c>
      <c r="J43" s="8">
        <v>1491.1346407350366</v>
      </c>
      <c r="K43" s="8">
        <v>1441.737594506496</v>
      </c>
      <c r="L43" s="8">
        <v>1452.9481485464898</v>
      </c>
      <c r="M43" s="8">
        <v>1459.9350713353379</v>
      </c>
      <c r="N43" s="8">
        <v>1375.7408179055117</v>
      </c>
      <c r="O43" s="8">
        <v>1290.5497400188667</v>
      </c>
      <c r="P43" s="8">
        <v>1243.7144301419892</v>
      </c>
      <c r="Q43" s="8">
        <v>1204.6365838362099</v>
      </c>
      <c r="R43" s="8">
        <v>1184.8191001935179</v>
      </c>
      <c r="S43" s="8">
        <v>1161.2373426280774</v>
      </c>
      <c r="T43" s="8">
        <v>1071.1079432603019</v>
      </c>
      <c r="U43" s="8">
        <v>999.40201637621055</v>
      </c>
      <c r="V43" s="8">
        <v>968.81354744833448</v>
      </c>
      <c r="W43" s="8">
        <v>1121.0274761510807</v>
      </c>
    </row>
    <row r="44" spans="1:23">
      <c r="B44" s="6" t="s">
        <v>292</v>
      </c>
      <c r="C44" s="6" t="s">
        <v>292</v>
      </c>
      <c r="D44" s="7">
        <v>4076679</v>
      </c>
      <c r="E44" s="8" t="s">
        <v>175</v>
      </c>
      <c r="F44" s="8">
        <v>1150.1362182062107</v>
      </c>
      <c r="G44" s="8">
        <v>1123.5744757401271</v>
      </c>
      <c r="H44" s="8">
        <v>1065.3331937534128</v>
      </c>
      <c r="I44" s="8">
        <v>987.68698309989566</v>
      </c>
      <c r="J44" s="8">
        <v>960.04232567005636</v>
      </c>
      <c r="K44" s="8">
        <v>1002.7764055706177</v>
      </c>
      <c r="L44" s="8">
        <v>961.97040795152066</v>
      </c>
      <c r="M44" s="8">
        <v>940.9312313201973</v>
      </c>
      <c r="N44" s="8">
        <v>923.44697480853426</v>
      </c>
      <c r="O44" s="8">
        <v>906.70475250805941</v>
      </c>
      <c r="P44" s="8">
        <v>876.90549340339282</v>
      </c>
      <c r="Q44" s="8">
        <v>905.63657989048352</v>
      </c>
      <c r="R44" s="8">
        <v>692.91884832255084</v>
      </c>
      <c r="S44" s="8">
        <v>571.00094446620017</v>
      </c>
      <c r="T44" s="8">
        <v>559.12896011781038</v>
      </c>
      <c r="U44" s="8">
        <v>570.73868509652027</v>
      </c>
      <c r="V44" s="8">
        <v>493.9516414483403</v>
      </c>
      <c r="W44" s="8">
        <v>502.95232310874093</v>
      </c>
    </row>
    <row r="45" spans="1:23">
      <c r="B45" s="6" t="s">
        <v>193</v>
      </c>
      <c r="C45" s="6" t="s">
        <v>193</v>
      </c>
      <c r="D45" s="7">
        <v>4061634</v>
      </c>
      <c r="E45" s="8">
        <v>22612.428286168732</v>
      </c>
      <c r="F45" s="8">
        <v>28622.795985642188</v>
      </c>
      <c r="G45" s="8">
        <v>28404.912946926677</v>
      </c>
      <c r="H45" s="8">
        <v>28321.855585047429</v>
      </c>
      <c r="I45" s="8">
        <v>25427.765915720975</v>
      </c>
      <c r="J45" s="8">
        <v>24930.057352994634</v>
      </c>
      <c r="K45" s="8">
        <v>26525.671827148006</v>
      </c>
      <c r="L45" s="8">
        <v>24070.297402937969</v>
      </c>
      <c r="M45" s="8">
        <v>24167.487427380493</v>
      </c>
      <c r="N45" s="8">
        <v>23333.752708710697</v>
      </c>
      <c r="O45" s="8">
        <v>23572.922745313786</v>
      </c>
      <c r="P45" s="8">
        <v>22388.331472164828</v>
      </c>
      <c r="Q45" s="8">
        <v>21723.059065277001</v>
      </c>
      <c r="R45" s="8">
        <v>21696.453749073775</v>
      </c>
      <c r="S45" s="8">
        <v>21279.504651490384</v>
      </c>
      <c r="T45" s="8">
        <v>19578.568464778393</v>
      </c>
      <c r="U45" s="8">
        <v>18769.828791956479</v>
      </c>
      <c r="V45" s="8">
        <v>18736.705090680451</v>
      </c>
      <c r="W45" s="8">
        <v>19782.970747107356</v>
      </c>
    </row>
    <row r="46" spans="1:23">
      <c r="B46" s="6" t="s">
        <v>194</v>
      </c>
      <c r="C46" s="6" t="s">
        <v>194</v>
      </c>
      <c r="D46" s="7">
        <v>4061687</v>
      </c>
      <c r="E46" s="8">
        <v>70848.419922666741</v>
      </c>
      <c r="F46" s="8">
        <v>85772.629881233472</v>
      </c>
      <c r="G46" s="8">
        <v>81778.789440765991</v>
      </c>
      <c r="H46" s="8">
        <v>82065.946569371619</v>
      </c>
      <c r="I46" s="8">
        <v>82918.365639424243</v>
      </c>
      <c r="J46" s="8">
        <v>81311.941241804627</v>
      </c>
      <c r="K46" s="8">
        <v>83719.991389992079</v>
      </c>
      <c r="L46" s="8">
        <v>82248.839151750057</v>
      </c>
      <c r="M46" s="8">
        <v>78873.083559726889</v>
      </c>
      <c r="N46" s="8">
        <v>75270.925039561829</v>
      </c>
      <c r="O46" s="8">
        <v>75160.351402953835</v>
      </c>
      <c r="P46" s="8">
        <v>74609.391093335405</v>
      </c>
      <c r="Q46" s="8">
        <v>73179.388002868116</v>
      </c>
      <c r="R46" s="8">
        <v>78282.179322125361</v>
      </c>
      <c r="S46" s="8">
        <v>79049.444214847972</v>
      </c>
      <c r="T46" s="8">
        <v>79587.267063006031</v>
      </c>
      <c r="U46" s="8">
        <v>81900.523692741204</v>
      </c>
      <c r="V46" s="8">
        <v>78635.857707008021</v>
      </c>
      <c r="W46" s="8">
        <v>77457.268242950027</v>
      </c>
    </row>
    <row r="47" spans="1:23">
      <c r="A47" s="1" t="s">
        <v>275</v>
      </c>
      <c r="B47" s="6" t="s">
        <v>195</v>
      </c>
      <c r="C47" s="6" t="s">
        <v>195</v>
      </c>
      <c r="D47" s="7">
        <v>4061755</v>
      </c>
      <c r="E47" s="8">
        <v>44702.96625875427</v>
      </c>
      <c r="F47" s="8">
        <v>56772.532396469564</v>
      </c>
      <c r="G47" s="8">
        <v>59035.025587897428</v>
      </c>
      <c r="H47" s="8">
        <v>64369.223821553016</v>
      </c>
      <c r="I47" s="8">
        <v>57278.321985684808</v>
      </c>
      <c r="J47" s="8">
        <v>53805.595754100235</v>
      </c>
      <c r="K47" s="8">
        <v>54056.383793694418</v>
      </c>
      <c r="L47" s="8">
        <v>53782.709430029819</v>
      </c>
      <c r="M47" s="8">
        <v>46363.346695503147</v>
      </c>
      <c r="N47" s="8">
        <v>42477.713210836744</v>
      </c>
      <c r="O47" s="8">
        <v>43145.493623284121</v>
      </c>
      <c r="P47" s="8">
        <v>42327.98517830253</v>
      </c>
      <c r="Q47" s="8">
        <v>42409.044467067964</v>
      </c>
      <c r="R47" s="8">
        <v>39111.738669383827</v>
      </c>
      <c r="S47" s="8">
        <v>40731.88348343064</v>
      </c>
      <c r="T47" s="8">
        <v>33465.531109782722</v>
      </c>
      <c r="U47" s="8">
        <v>30125.502698628941</v>
      </c>
      <c r="V47" s="8">
        <v>29959.626555087398</v>
      </c>
      <c r="W47" s="8">
        <v>28723.935319972839</v>
      </c>
    </row>
    <row r="48" spans="1:23">
      <c r="A48" s="1" t="s">
        <v>275</v>
      </c>
      <c r="B48" s="6" t="s">
        <v>197</v>
      </c>
      <c r="C48" s="6" t="s">
        <v>197</v>
      </c>
      <c r="D48" s="7">
        <v>4004389</v>
      </c>
      <c r="E48" s="8">
        <v>37450.337729208717</v>
      </c>
      <c r="F48" s="8">
        <v>35353.425080059547</v>
      </c>
      <c r="G48" s="8">
        <v>35900.768473504344</v>
      </c>
      <c r="H48" s="8">
        <v>38116.509935167553</v>
      </c>
      <c r="I48" s="8">
        <v>34157.610818352863</v>
      </c>
      <c r="J48" s="8">
        <v>36901.742106000733</v>
      </c>
      <c r="K48" s="8">
        <v>32941.724118960781</v>
      </c>
      <c r="L48" s="8">
        <v>32932.47249775564</v>
      </c>
      <c r="M48" s="8">
        <v>34781.393269766566</v>
      </c>
      <c r="N48" s="8">
        <v>33777.018674359446</v>
      </c>
      <c r="O48" s="8">
        <v>35834.166209675255</v>
      </c>
      <c r="P48" s="8">
        <v>27798.46521047701</v>
      </c>
      <c r="Q48" s="8">
        <v>24106.468372736996</v>
      </c>
      <c r="R48" s="8">
        <v>18461.18990733126</v>
      </c>
      <c r="S48" s="8">
        <v>18562.49925443601</v>
      </c>
      <c r="T48" s="8">
        <v>17794.728842877343</v>
      </c>
      <c r="U48" s="8">
        <v>19297.46800562353</v>
      </c>
      <c r="V48" s="8">
        <v>19608.150257914411</v>
      </c>
      <c r="W48" s="8">
        <v>16584.750485671466</v>
      </c>
    </row>
    <row r="49" spans="1:23">
      <c r="A49" s="1" t="s">
        <v>275</v>
      </c>
      <c r="B49" s="6" t="s">
        <v>198</v>
      </c>
      <c r="C49" s="6" t="s">
        <v>198</v>
      </c>
      <c r="D49" s="7">
        <v>4057014</v>
      </c>
      <c r="E49" s="8">
        <v>68012.028024318875</v>
      </c>
      <c r="F49" s="8">
        <v>58929.906502001904</v>
      </c>
      <c r="G49" s="8">
        <v>57214.058242494357</v>
      </c>
      <c r="H49" s="8">
        <v>56815.364485002305</v>
      </c>
      <c r="I49" s="8">
        <v>58972.61271110837</v>
      </c>
      <c r="J49" s="8">
        <v>57585.141320553004</v>
      </c>
      <c r="K49" s="8">
        <v>53265.028989085979</v>
      </c>
      <c r="L49" s="8">
        <v>58852.195422929566</v>
      </c>
      <c r="M49" s="8">
        <v>56187.921364873182</v>
      </c>
      <c r="N49" s="8">
        <v>62205.307567235352</v>
      </c>
      <c r="O49" s="8">
        <v>61126.427342686664</v>
      </c>
      <c r="P49" s="8">
        <v>61082.737792133747</v>
      </c>
      <c r="Q49" s="8">
        <v>49328.988182943453</v>
      </c>
      <c r="R49" s="8">
        <v>41060.856287976232</v>
      </c>
      <c r="S49" s="8">
        <v>37162.287193302844</v>
      </c>
      <c r="T49" s="8">
        <v>38953.903642193036</v>
      </c>
      <c r="U49" s="8">
        <v>36445.944642605893</v>
      </c>
      <c r="V49" s="8">
        <v>39789.832194550661</v>
      </c>
      <c r="W49" s="8">
        <v>48212.980793537972</v>
      </c>
    </row>
    <row r="50" spans="1:23">
      <c r="B50" s="6" t="s">
        <v>199</v>
      </c>
      <c r="C50" s="6" t="s">
        <v>199</v>
      </c>
      <c r="D50" s="7">
        <v>4057130</v>
      </c>
      <c r="E50" s="8">
        <v>16104.580314140641</v>
      </c>
      <c r="F50" s="8">
        <v>14566.847653664079</v>
      </c>
      <c r="G50" s="8">
        <v>15728.230746896625</v>
      </c>
      <c r="H50" s="8">
        <v>17033.83902273218</v>
      </c>
      <c r="I50" s="8">
        <v>16619.858035695579</v>
      </c>
      <c r="J50" s="8">
        <v>18325.01919332103</v>
      </c>
      <c r="K50" s="8">
        <v>22061.793265834429</v>
      </c>
      <c r="L50" s="8">
        <v>24911.709117123566</v>
      </c>
      <c r="M50" s="8">
        <v>18781.019658696114</v>
      </c>
      <c r="N50" s="8">
        <v>16891.467955283602</v>
      </c>
      <c r="O50" s="8">
        <v>18074.186524216544</v>
      </c>
      <c r="P50" s="8">
        <v>19317.156288614809</v>
      </c>
      <c r="Q50" s="8">
        <v>17094.090313365698</v>
      </c>
      <c r="R50" s="8">
        <v>16162.11949267045</v>
      </c>
      <c r="S50" s="8">
        <v>13715.707748635125</v>
      </c>
      <c r="T50" s="8">
        <v>8158.5105712471286</v>
      </c>
      <c r="U50" s="8">
        <v>17887.113512207841</v>
      </c>
      <c r="V50" s="8">
        <v>11761.704547543502</v>
      </c>
      <c r="W50" s="8">
        <v>10825.348222134584</v>
      </c>
    </row>
    <row r="51" spans="1:23">
      <c r="B51" s="6" t="s">
        <v>201</v>
      </c>
      <c r="C51" s="6" t="s">
        <v>201</v>
      </c>
      <c r="D51" s="7">
        <v>4057131</v>
      </c>
      <c r="E51" s="8">
        <v>139113.88806601489</v>
      </c>
      <c r="F51" s="8">
        <v>114243.80814133145</v>
      </c>
      <c r="G51" s="8">
        <v>108080.99902040682</v>
      </c>
      <c r="H51" s="8">
        <v>89526.937494975733</v>
      </c>
      <c r="I51" s="8">
        <v>89915.426275135251</v>
      </c>
      <c r="J51" s="8">
        <v>90403.351230088912</v>
      </c>
      <c r="K51" s="8">
        <v>91111.757839461323</v>
      </c>
      <c r="L51" s="8">
        <v>88050.747616550449</v>
      </c>
      <c r="M51" s="8">
        <v>91947.353295889945</v>
      </c>
      <c r="N51" s="8">
        <v>84205.961880325092</v>
      </c>
      <c r="O51" s="8">
        <v>84659.048029339086</v>
      </c>
      <c r="P51" s="8">
        <v>85135.003723387475</v>
      </c>
      <c r="Q51" s="8">
        <v>77318.023482481367</v>
      </c>
      <c r="R51" s="8">
        <v>72149.571579223761</v>
      </c>
      <c r="S51" s="8">
        <v>67648.578433905044</v>
      </c>
      <c r="T51" s="8">
        <v>72860.734558007287</v>
      </c>
      <c r="U51" s="8">
        <v>68307.586646397118</v>
      </c>
      <c r="V51" s="8">
        <v>64527.2722849407</v>
      </c>
      <c r="W51" s="8">
        <v>55341.321921270886</v>
      </c>
    </row>
    <row r="52" spans="1:23">
      <c r="B52" s="6" t="s">
        <v>202</v>
      </c>
      <c r="C52" s="6" t="s">
        <v>202</v>
      </c>
      <c r="D52" s="7">
        <v>4012860</v>
      </c>
      <c r="E52" s="8">
        <v>73969.422788119467</v>
      </c>
      <c r="F52" s="8">
        <v>71808.601458848716</v>
      </c>
      <c r="G52" s="8">
        <v>75638.079796177262</v>
      </c>
      <c r="H52" s="8">
        <v>62540.781337337976</v>
      </c>
      <c r="I52" s="8">
        <v>68576.73338614589</v>
      </c>
      <c r="J52" s="8">
        <v>60165.521599705586</v>
      </c>
      <c r="K52" s="8">
        <v>57577.594027725972</v>
      </c>
      <c r="L52" s="8">
        <v>67458.197059734492</v>
      </c>
      <c r="M52" s="8">
        <v>68476.141857405091</v>
      </c>
      <c r="N52" s="8">
        <v>67311.612741434088</v>
      </c>
      <c r="O52" s="8">
        <v>79700.076581267931</v>
      </c>
      <c r="P52" s="8">
        <v>69623.825830962989</v>
      </c>
      <c r="Q52" s="8">
        <v>65460.433223629181</v>
      </c>
      <c r="R52" s="8">
        <v>58336.005173820064</v>
      </c>
      <c r="S52" s="8">
        <v>57300.331631253488</v>
      </c>
      <c r="T52" s="8">
        <v>55777.59994864391</v>
      </c>
      <c r="U52" s="8">
        <v>57117.807367375484</v>
      </c>
      <c r="V52" s="8">
        <v>55225.789681167189</v>
      </c>
      <c r="W52" s="8">
        <v>49556.899901528697</v>
      </c>
    </row>
    <row r="53" spans="1:23">
      <c r="B53" s="6" t="s">
        <v>204</v>
      </c>
      <c r="C53" s="6" t="s">
        <v>205</v>
      </c>
      <c r="D53" s="7">
        <v>4061925</v>
      </c>
      <c r="E53" s="8">
        <v>7598.5709439966058</v>
      </c>
      <c r="F53" s="8">
        <v>7525.8301536081408</v>
      </c>
      <c r="G53" s="8">
        <v>7797.4245513948399</v>
      </c>
      <c r="H53" s="8">
        <v>7357.6494811998728</v>
      </c>
      <c r="I53" s="8">
        <v>7311.955921537975</v>
      </c>
      <c r="J53" s="8">
        <v>7865.1831091705653</v>
      </c>
      <c r="K53" s="8">
        <v>8107.1662210837012</v>
      </c>
      <c r="L53" s="8">
        <v>7839.9174294723143</v>
      </c>
      <c r="M53" s="8">
        <v>7479.0731696101775</v>
      </c>
      <c r="N53" s="8">
        <v>7214.0322747699292</v>
      </c>
      <c r="O53" s="8">
        <v>6862.3872328165926</v>
      </c>
      <c r="P53" s="8">
        <v>6506.5934302235391</v>
      </c>
      <c r="Q53" s="8">
        <v>6074.3033029610115</v>
      </c>
      <c r="R53" s="8">
        <v>5524.1275789528063</v>
      </c>
      <c r="S53" s="8">
        <v>5312.4845523249087</v>
      </c>
      <c r="T53" s="8">
        <v>4900.6011282137024</v>
      </c>
      <c r="U53" s="8">
        <v>5019.49758134064</v>
      </c>
      <c r="V53" s="8">
        <v>5054.4588218450399</v>
      </c>
      <c r="W53" s="8">
        <v>4773.6729135680307</v>
      </c>
    </row>
    <row r="54" spans="1:23">
      <c r="B54" s="6" t="s">
        <v>293</v>
      </c>
      <c r="C54" s="6" t="s">
        <v>293</v>
      </c>
      <c r="D54" s="7">
        <v>4057132</v>
      </c>
      <c r="E54" s="8" t="s">
        <v>175</v>
      </c>
      <c r="F54" s="8" t="s">
        <v>175</v>
      </c>
      <c r="G54" s="8" t="s">
        <v>175</v>
      </c>
      <c r="H54" s="8" t="s">
        <v>175</v>
      </c>
      <c r="I54" s="8">
        <v>49126.786866331895</v>
      </c>
      <c r="J54" s="8">
        <v>45558.118937225219</v>
      </c>
      <c r="K54" s="8">
        <v>47542.554805620181</v>
      </c>
      <c r="L54" s="8">
        <v>41443.161322070453</v>
      </c>
      <c r="M54" s="8">
        <v>41773.035093288672</v>
      </c>
      <c r="N54" s="8">
        <v>38943.076159816395</v>
      </c>
      <c r="O54" s="8">
        <v>37587.092586342391</v>
      </c>
      <c r="P54" s="8">
        <v>37452.917478508432</v>
      </c>
      <c r="Q54" s="8">
        <v>40232.78346666888</v>
      </c>
      <c r="R54" s="8">
        <v>35880.016230463909</v>
      </c>
      <c r="S54" s="8">
        <v>37802.217475574995</v>
      </c>
      <c r="T54" s="8">
        <v>35890.053426425322</v>
      </c>
      <c r="U54" s="8">
        <v>35201.976482072219</v>
      </c>
      <c r="V54" s="8">
        <v>32003.999238875163</v>
      </c>
      <c r="W54" s="8" t="s">
        <v>175</v>
      </c>
    </row>
    <row r="55" spans="1:23">
      <c r="A55" s="1" t="s">
        <v>275</v>
      </c>
      <c r="B55" s="6" t="s">
        <v>294</v>
      </c>
      <c r="C55" s="6" t="s">
        <v>294</v>
      </c>
      <c r="D55" s="7">
        <v>4057115</v>
      </c>
      <c r="E55" s="8" t="s">
        <v>175</v>
      </c>
      <c r="F55" s="8">
        <v>17901.230534103983</v>
      </c>
      <c r="G55" s="8">
        <v>17994.514335114422</v>
      </c>
      <c r="H55" s="8">
        <v>16731.106331329003</v>
      </c>
      <c r="I55" s="8">
        <v>15953.529120459283</v>
      </c>
      <c r="J55" s="8">
        <v>16996.101127728558</v>
      </c>
      <c r="K55" s="8">
        <v>19600.649368380971</v>
      </c>
      <c r="L55" s="8">
        <v>21702.741381567761</v>
      </c>
      <c r="M55" s="8">
        <v>22040.046172173541</v>
      </c>
      <c r="N55" s="8">
        <v>20296.827988698322</v>
      </c>
      <c r="O55" s="8">
        <v>20207.940905481588</v>
      </c>
      <c r="P55" s="8">
        <v>18780.685077643982</v>
      </c>
      <c r="Q55" s="8">
        <v>14647.002569497547</v>
      </c>
      <c r="R55" s="8">
        <v>15563.230165774146</v>
      </c>
      <c r="S55" s="8">
        <v>16366.249591655987</v>
      </c>
      <c r="T55" s="8">
        <v>16348.132792417127</v>
      </c>
      <c r="U55" s="8">
        <v>16537.788888113661</v>
      </c>
      <c r="V55" s="8">
        <v>15616.67773711775</v>
      </c>
      <c r="W55" s="8">
        <v>17109.402436472046</v>
      </c>
    </row>
    <row r="56" spans="1:23">
      <c r="B56" s="6" t="s">
        <v>206</v>
      </c>
      <c r="C56" s="6" t="s">
        <v>206</v>
      </c>
      <c r="D56" s="7">
        <v>4064479</v>
      </c>
      <c r="E56" s="8">
        <v>2968.2976580963509</v>
      </c>
      <c r="F56" s="8">
        <v>2736.6087986368393</v>
      </c>
      <c r="G56" s="8">
        <v>3121.4905335265867</v>
      </c>
      <c r="H56" s="8">
        <v>2862.0642531867579</v>
      </c>
      <c r="I56" s="8">
        <v>2866.6461369921954</v>
      </c>
      <c r="J56" s="8">
        <v>2722.0352833311454</v>
      </c>
      <c r="K56" s="8">
        <v>2581.6172103352251</v>
      </c>
      <c r="L56" s="8">
        <v>2504.3902594031438</v>
      </c>
      <c r="M56" s="8">
        <v>2433.7929033673936</v>
      </c>
      <c r="N56" s="8">
        <v>2499.4769650877074</v>
      </c>
      <c r="O56" s="8">
        <v>2493.6866904985886</v>
      </c>
      <c r="P56" s="8">
        <v>2535.7097869551044</v>
      </c>
      <c r="Q56" s="8">
        <v>2638.3753376151399</v>
      </c>
      <c r="R56" s="8">
        <v>2459.3484700560334</v>
      </c>
      <c r="S56" s="8">
        <v>2391.9366242890437</v>
      </c>
      <c r="T56" s="8">
        <v>2404.1167453138851</v>
      </c>
      <c r="U56" s="8">
        <v>2287.8651870755562</v>
      </c>
      <c r="V56" s="8">
        <v>2352.5789273083901</v>
      </c>
      <c r="W56" s="8">
        <v>2306.3834881960743</v>
      </c>
    </row>
    <row r="57" spans="1:23">
      <c r="B57" s="6" t="s">
        <v>295</v>
      </c>
      <c r="C57" s="6" t="s">
        <v>295</v>
      </c>
      <c r="D57" s="7">
        <v>4062025</v>
      </c>
      <c r="E57" s="8" t="s">
        <v>175</v>
      </c>
      <c r="F57" s="8">
        <v>3861.5084286041506</v>
      </c>
      <c r="G57" s="8">
        <v>3939.2119455110133</v>
      </c>
      <c r="H57" s="8">
        <v>2999.4525185563125</v>
      </c>
      <c r="I57" s="8">
        <v>3120.8197202009692</v>
      </c>
      <c r="J57" s="8">
        <v>3175.5307135734438</v>
      </c>
      <c r="K57" s="8">
        <v>2580.1597531445009</v>
      </c>
      <c r="L57" s="8">
        <v>2610.6835430121978</v>
      </c>
      <c r="M57" s="8">
        <v>2607.1679940245244</v>
      </c>
      <c r="N57" s="8">
        <v>2654.2867044077989</v>
      </c>
      <c r="O57" s="8">
        <v>2513.1545114989995</v>
      </c>
      <c r="P57" s="8">
        <v>2254.7193331867979</v>
      </c>
      <c r="Q57" s="8">
        <v>2345.251179423105</v>
      </c>
      <c r="R57" s="8">
        <v>2207.8779067504565</v>
      </c>
      <c r="S57" s="8">
        <v>2174.3372323202152</v>
      </c>
      <c r="T57" s="8">
        <v>2061.4433300320761</v>
      </c>
      <c r="U57" s="8">
        <v>2052.5992763881841</v>
      </c>
      <c r="V57" s="8">
        <v>2023.9119987822019</v>
      </c>
      <c r="W57" s="8">
        <v>1958.05761907333</v>
      </c>
    </row>
    <row r="58" spans="1:23">
      <c r="B58" s="6" t="s">
        <v>296</v>
      </c>
      <c r="C58" s="6" t="s">
        <v>296</v>
      </c>
      <c r="D58" s="7">
        <v>4064481</v>
      </c>
      <c r="E58" s="8" t="s">
        <v>175</v>
      </c>
      <c r="F58" s="8" t="s">
        <v>175</v>
      </c>
      <c r="G58" s="8" t="s">
        <v>175</v>
      </c>
      <c r="H58" s="8">
        <v>59521.223176468819</v>
      </c>
      <c r="I58" s="8">
        <v>61764.564413127082</v>
      </c>
      <c r="J58" s="8">
        <v>62898.558120891917</v>
      </c>
      <c r="K58" s="8">
        <v>64845.686609072451</v>
      </c>
      <c r="L58" s="8">
        <v>63681.796884337818</v>
      </c>
      <c r="M58" s="8">
        <v>61438.612979751808</v>
      </c>
      <c r="N58" s="8">
        <v>57154.266792759954</v>
      </c>
      <c r="O58" s="8">
        <v>61551.753565405998</v>
      </c>
      <c r="P58" s="8">
        <v>58262.05992273266</v>
      </c>
      <c r="Q58" s="8">
        <v>58042.636141902789</v>
      </c>
      <c r="R58" s="8">
        <v>53264.537271105888</v>
      </c>
      <c r="S58" s="8">
        <v>54637.395669303834</v>
      </c>
      <c r="T58" s="8">
        <v>54596.54917240471</v>
      </c>
      <c r="U58" s="8">
        <v>50816.220701447564</v>
      </c>
      <c r="V58" s="8">
        <v>47639.285317626069</v>
      </c>
      <c r="W58" s="8">
        <v>39339.490897684176</v>
      </c>
    </row>
    <row r="59" spans="1:23">
      <c r="A59" s="1" t="s">
        <v>275</v>
      </c>
      <c r="B59" s="6" t="s">
        <v>207</v>
      </c>
      <c r="C59" s="6" t="s">
        <v>207</v>
      </c>
      <c r="D59" s="7">
        <v>4057093</v>
      </c>
      <c r="E59" s="8">
        <v>25743.716423818496</v>
      </c>
      <c r="F59" s="8">
        <v>26644.044325130879</v>
      </c>
      <c r="G59" s="8">
        <v>28289.400041649918</v>
      </c>
      <c r="H59" s="8">
        <v>27804.851620678553</v>
      </c>
      <c r="I59" s="8">
        <v>25457.337846467075</v>
      </c>
      <c r="J59" s="8">
        <v>20598.545051648096</v>
      </c>
      <c r="K59" s="8">
        <v>22408.090118226301</v>
      </c>
      <c r="L59" s="8">
        <v>23446.334188854056</v>
      </c>
      <c r="M59" s="8">
        <v>23476.236138471206</v>
      </c>
      <c r="N59" s="8">
        <v>23662.631386722103</v>
      </c>
      <c r="O59" s="8">
        <v>23367.041227479305</v>
      </c>
      <c r="P59" s="8">
        <v>21971.480532592574</v>
      </c>
      <c r="Q59" s="8">
        <v>20132.788260648049</v>
      </c>
      <c r="R59" s="8">
        <v>18943.461785304688</v>
      </c>
      <c r="S59" s="8">
        <v>18938.125283413814</v>
      </c>
      <c r="T59" s="8">
        <v>16486.183717010565</v>
      </c>
      <c r="U59" s="8">
        <v>16115.466828067429</v>
      </c>
      <c r="V59" s="8">
        <v>16803.610059825973</v>
      </c>
      <c r="W59" s="8">
        <v>12072.763748503467</v>
      </c>
    </row>
    <row r="60" spans="1:23">
      <c r="B60" s="6" t="s">
        <v>208</v>
      </c>
      <c r="C60" s="6" t="s">
        <v>208</v>
      </c>
      <c r="D60" s="7">
        <v>4004218</v>
      </c>
      <c r="E60" s="8">
        <v>476245.32590278739</v>
      </c>
      <c r="F60" s="8">
        <v>421550.71411270759</v>
      </c>
      <c r="G60" s="8">
        <v>422458.99195655232</v>
      </c>
      <c r="H60" s="8">
        <v>345557.33900176245</v>
      </c>
      <c r="I60" s="8">
        <v>330916.043893828</v>
      </c>
      <c r="J60" s="8">
        <v>335216.14992524328</v>
      </c>
      <c r="K60" s="8">
        <v>294789.49262681877</v>
      </c>
      <c r="L60" s="8">
        <v>262813.24157941324</v>
      </c>
      <c r="M60" s="8">
        <v>300043.673205734</v>
      </c>
      <c r="N60" s="8">
        <v>270546.26669629122</v>
      </c>
      <c r="O60" s="8">
        <v>245175.33098587193</v>
      </c>
      <c r="P60" s="8">
        <v>248399.20723831697</v>
      </c>
      <c r="Q60" s="8">
        <v>238093.55942394232</v>
      </c>
      <c r="R60" s="8">
        <v>199324.87270142633</v>
      </c>
      <c r="S60" s="8">
        <v>196476.84044190843</v>
      </c>
      <c r="T60" s="8">
        <v>195708.5494301529</v>
      </c>
      <c r="U60" s="8">
        <v>215708.0005698051</v>
      </c>
      <c r="V60" s="8">
        <v>172696.34960420371</v>
      </c>
      <c r="W60" s="8">
        <v>173877.15618745427</v>
      </c>
    </row>
    <row r="61" spans="1:23">
      <c r="A61" s="1" t="s">
        <v>275</v>
      </c>
      <c r="B61" s="6" t="s">
        <v>297</v>
      </c>
      <c r="C61" s="6" t="s">
        <v>298</v>
      </c>
      <c r="D61" s="7">
        <v>4062222</v>
      </c>
      <c r="E61" s="8" t="s">
        <v>175</v>
      </c>
      <c r="F61" s="8">
        <v>48491.927155280486</v>
      </c>
      <c r="G61" s="8">
        <v>47108.544366276787</v>
      </c>
      <c r="H61" s="8">
        <v>48010.510198660151</v>
      </c>
      <c r="I61" s="8">
        <v>47171.685205167014</v>
      </c>
      <c r="J61" s="8">
        <v>45614.229529781333</v>
      </c>
      <c r="K61" s="8">
        <v>44127.762201698824</v>
      </c>
      <c r="L61" s="8">
        <v>43046.151355032285</v>
      </c>
      <c r="M61" s="8">
        <v>40058.284908905451</v>
      </c>
      <c r="N61" s="8">
        <v>39491.006583722155</v>
      </c>
      <c r="O61" s="8">
        <v>38992.261648231724</v>
      </c>
      <c r="P61" s="8">
        <v>39249.312059544995</v>
      </c>
      <c r="Q61" s="8">
        <v>38060.993820590185</v>
      </c>
      <c r="R61" s="8">
        <v>37373.427628583719</v>
      </c>
      <c r="S61" s="8">
        <v>37448.241248289647</v>
      </c>
      <c r="T61" s="8">
        <v>35619.669329851989</v>
      </c>
      <c r="U61" s="8">
        <v>34668.815003688956</v>
      </c>
      <c r="V61" s="8">
        <v>33461.129595896607</v>
      </c>
      <c r="W61" s="8">
        <v>34196.462912836272</v>
      </c>
    </row>
    <row r="62" spans="1:23">
      <c r="B62" s="6" t="s">
        <v>210</v>
      </c>
      <c r="C62" s="6" t="s">
        <v>211</v>
      </c>
      <c r="D62" s="7">
        <v>4057135</v>
      </c>
      <c r="E62" s="8">
        <v>127782.05061886803</v>
      </c>
      <c r="F62" s="8">
        <v>108314.16272068916</v>
      </c>
      <c r="G62" s="8">
        <v>128836.84035805496</v>
      </c>
      <c r="H62" s="8">
        <v>137354.20216691581</v>
      </c>
      <c r="I62" s="8">
        <v>124827.45666933454</v>
      </c>
      <c r="J62" s="8">
        <v>153902.12940365064</v>
      </c>
      <c r="K62" s="8">
        <v>133235.14975086332</v>
      </c>
      <c r="L62" s="8">
        <v>160921.62275994557</v>
      </c>
      <c r="M62" s="8">
        <v>138974.0076375358</v>
      </c>
      <c r="N62" s="8">
        <v>111863.37422452439</v>
      </c>
      <c r="O62" s="8">
        <v>103349.14587868258</v>
      </c>
      <c r="P62" s="8">
        <v>109369.67656118533</v>
      </c>
      <c r="Q62" s="8">
        <v>106341.60850569638</v>
      </c>
      <c r="R62" s="8">
        <v>106917.00431375243</v>
      </c>
      <c r="S62" s="8">
        <v>111088.57815179335</v>
      </c>
      <c r="T62" s="8">
        <v>93063.124150521369</v>
      </c>
      <c r="U62" s="8">
        <v>102825.17628040782</v>
      </c>
      <c r="V62" s="8">
        <v>82432.621796345367</v>
      </c>
      <c r="W62" s="8">
        <v>72488.925776643897</v>
      </c>
    </row>
    <row r="63" spans="1:23">
      <c r="B63" s="6" t="s">
        <v>212</v>
      </c>
      <c r="C63" s="6" t="s">
        <v>212</v>
      </c>
      <c r="D63" s="7">
        <v>4063341</v>
      </c>
      <c r="E63" s="8">
        <v>45991.431038048526</v>
      </c>
      <c r="F63" s="8">
        <v>42445.656639748879</v>
      </c>
      <c r="G63" s="8">
        <v>42221.048351104422</v>
      </c>
      <c r="H63" s="8">
        <v>39082.779872590072</v>
      </c>
      <c r="I63" s="8">
        <v>35069.038711156834</v>
      </c>
      <c r="J63" s="8">
        <v>35605.765951955444</v>
      </c>
      <c r="K63" s="8">
        <v>32988.470061060958</v>
      </c>
      <c r="L63" s="8">
        <v>31734.670799491338</v>
      </c>
      <c r="M63" s="8">
        <v>31498.845400426508</v>
      </c>
      <c r="N63" s="8">
        <v>28996.13897955589</v>
      </c>
      <c r="O63" s="8">
        <v>30267.994801800101</v>
      </c>
      <c r="P63" s="8">
        <v>30317.849999375052</v>
      </c>
      <c r="Q63" s="8">
        <v>29007.987022348712</v>
      </c>
      <c r="R63" s="8">
        <v>25222.138380751185</v>
      </c>
      <c r="S63" s="8">
        <v>25713.725465201464</v>
      </c>
      <c r="T63" s="8">
        <v>25572.637831802076</v>
      </c>
      <c r="U63" s="8">
        <v>24466.010083575813</v>
      </c>
      <c r="V63" s="8">
        <v>23530.377459861564</v>
      </c>
      <c r="W63" s="8">
        <v>23916.968463817149</v>
      </c>
    </row>
    <row r="64" spans="1:23">
      <c r="A64" s="1" t="s">
        <v>275</v>
      </c>
      <c r="B64" s="6" t="s">
        <v>299</v>
      </c>
      <c r="C64" s="6" t="s">
        <v>299</v>
      </c>
      <c r="D64" s="7">
        <v>4083575</v>
      </c>
      <c r="E64" s="8" t="s">
        <v>175</v>
      </c>
      <c r="F64" s="8">
        <v>77258.946719434141</v>
      </c>
      <c r="G64" s="8">
        <v>87116.12728898885</v>
      </c>
      <c r="H64" s="8">
        <v>93198.522816407305</v>
      </c>
      <c r="I64" s="8">
        <v>92525.077495472709</v>
      </c>
      <c r="J64" s="8">
        <v>100204.00603433576</v>
      </c>
      <c r="K64" s="8">
        <v>92550.723969412284</v>
      </c>
      <c r="L64" s="8">
        <v>81081.525968652859</v>
      </c>
      <c r="M64" s="8">
        <v>73977.785782717008</v>
      </c>
      <c r="N64" s="8">
        <v>78358.159717923263</v>
      </c>
      <c r="O64" s="8">
        <v>73615.040728478431</v>
      </c>
      <c r="P64" s="8">
        <v>76908.267059591642</v>
      </c>
      <c r="Q64" s="8">
        <v>71078.467469871277</v>
      </c>
      <c r="R64" s="8">
        <v>68754.500213424151</v>
      </c>
      <c r="S64" s="8">
        <v>68279.303419862903</v>
      </c>
      <c r="T64" s="8">
        <v>57719.807898377716</v>
      </c>
      <c r="U64" s="8">
        <v>56789.969818210193</v>
      </c>
      <c r="V64" s="8">
        <v>58641.321214880503</v>
      </c>
      <c r="W64" s="8">
        <v>56128.984438837426</v>
      </c>
    </row>
    <row r="65" spans="1:23">
      <c r="B65" s="6" t="s">
        <v>300</v>
      </c>
      <c r="C65" s="6" t="s">
        <v>300</v>
      </c>
      <c r="D65" s="7">
        <v>4062303</v>
      </c>
      <c r="E65" s="8" t="s">
        <v>175</v>
      </c>
      <c r="F65" s="8">
        <v>163.09147551715211</v>
      </c>
      <c r="G65" s="8">
        <v>132.51177643580147</v>
      </c>
      <c r="H65" s="8">
        <v>125.57482653582163</v>
      </c>
      <c r="I65" s="8">
        <v>126.18870137261837</v>
      </c>
      <c r="J65" s="8" t="s">
        <v>175</v>
      </c>
      <c r="K65" s="8">
        <v>216.0782851892439</v>
      </c>
      <c r="L65" s="8">
        <v>287.15129392823906</v>
      </c>
      <c r="M65" s="8">
        <v>198.92273135569334</v>
      </c>
      <c r="N65" s="8">
        <v>147.86453542250717</v>
      </c>
      <c r="O65" s="8">
        <v>130.30051602149112</v>
      </c>
      <c r="P65" s="8">
        <v>100.48252959651039</v>
      </c>
      <c r="Q65" s="8">
        <v>86.186234735218264</v>
      </c>
      <c r="R65" s="8">
        <v>140.51215520812835</v>
      </c>
      <c r="S65" s="8">
        <v>149.90686325983461</v>
      </c>
      <c r="T65" s="8">
        <v>120.90580796978486</v>
      </c>
      <c r="U65" s="8">
        <v>110.28570321568213</v>
      </c>
      <c r="V65" s="8">
        <v>90.270890409873161</v>
      </c>
      <c r="W65" s="8">
        <v>77.413985483346707</v>
      </c>
    </row>
    <row r="66" spans="1:23">
      <c r="B66" s="6" t="s">
        <v>301</v>
      </c>
      <c r="C66" s="6" t="s">
        <v>301</v>
      </c>
      <c r="D66" s="7">
        <v>4083581</v>
      </c>
      <c r="E66" s="8" t="s">
        <v>175</v>
      </c>
      <c r="F66" s="8">
        <v>947.19770244376798</v>
      </c>
      <c r="G66" s="8">
        <v>953.46333814677678</v>
      </c>
      <c r="H66" s="8">
        <v>945.90150722516137</v>
      </c>
      <c r="I66" s="8">
        <v>901.05427239323569</v>
      </c>
      <c r="J66" s="8">
        <v>878.54852883956892</v>
      </c>
      <c r="K66" s="8">
        <v>921.32809250915318</v>
      </c>
      <c r="L66" s="8">
        <v>686.76643982167082</v>
      </c>
      <c r="M66" s="8">
        <v>722.06771846916149</v>
      </c>
      <c r="N66" s="8">
        <v>473.9036692875876</v>
      </c>
      <c r="O66" s="8">
        <v>683.91732114353943</v>
      </c>
      <c r="P66" s="8">
        <v>656.30739475502207</v>
      </c>
      <c r="Q66" s="8">
        <v>656.43005242123854</v>
      </c>
      <c r="R66" s="8">
        <v>648.79009836038574</v>
      </c>
      <c r="S66" s="8">
        <v>645.53165550936887</v>
      </c>
      <c r="T66" s="8">
        <v>720.72805957284447</v>
      </c>
      <c r="U66" s="8">
        <v>716.20894988103248</v>
      </c>
      <c r="V66" s="8">
        <v>717.80172700157914</v>
      </c>
      <c r="W66" s="8">
        <v>562.96374511703266</v>
      </c>
    </row>
    <row r="67" spans="1:23">
      <c r="B67" s="6" t="s">
        <v>214</v>
      </c>
      <c r="C67" s="6" t="s">
        <v>214</v>
      </c>
      <c r="D67" s="7">
        <v>4057139</v>
      </c>
      <c r="E67" s="8">
        <v>37372.865186583505</v>
      </c>
      <c r="F67" s="8">
        <v>32569.617479102817</v>
      </c>
      <c r="G67" s="8">
        <v>31776.752368060166</v>
      </c>
      <c r="H67" s="8">
        <v>30775.87661577035</v>
      </c>
      <c r="I67" s="8">
        <v>29703.456950388951</v>
      </c>
      <c r="J67" s="8">
        <v>32440.106448677569</v>
      </c>
      <c r="K67" s="8">
        <v>30986.344948207829</v>
      </c>
      <c r="L67" s="8">
        <v>29456.292253012794</v>
      </c>
      <c r="M67" s="8">
        <v>29259.49249169325</v>
      </c>
      <c r="N67" s="8">
        <v>28991.516246552466</v>
      </c>
      <c r="O67" s="8">
        <v>27594.905154207478</v>
      </c>
      <c r="P67" s="8">
        <v>28207.661375676704</v>
      </c>
      <c r="Q67" s="8">
        <v>27946.350497040828</v>
      </c>
      <c r="R67" s="8">
        <v>29738.445051089788</v>
      </c>
      <c r="S67" s="8">
        <v>28293.976870594048</v>
      </c>
      <c r="T67" s="8">
        <v>26900.303399489418</v>
      </c>
      <c r="U67" s="8">
        <v>27097.323287755265</v>
      </c>
      <c r="V67" s="8">
        <v>26675.655261990243</v>
      </c>
      <c r="W67" s="8">
        <v>24472.760877185789</v>
      </c>
    </row>
    <row r="68" spans="1:23">
      <c r="A68" s="1" t="s">
        <v>275</v>
      </c>
      <c r="B68" s="6" t="s">
        <v>216</v>
      </c>
      <c r="C68" s="6" t="s">
        <v>216</v>
      </c>
      <c r="D68" s="7">
        <v>4057095</v>
      </c>
      <c r="E68" s="8">
        <v>78732.083915932992</v>
      </c>
      <c r="F68" s="8" t="s">
        <v>175</v>
      </c>
      <c r="G68" s="8">
        <v>100280.91321692055</v>
      </c>
      <c r="H68" s="8">
        <v>112702.82116461902</v>
      </c>
      <c r="I68" s="8">
        <v>110377.920821899</v>
      </c>
      <c r="J68" s="8">
        <v>110569.86613627597</v>
      </c>
      <c r="K68" s="8">
        <v>107183.36932932511</v>
      </c>
      <c r="L68" s="8">
        <v>105362.98046965661</v>
      </c>
      <c r="M68" s="8">
        <v>123190.98794614014</v>
      </c>
      <c r="N68" s="8">
        <v>120409.38801234731</v>
      </c>
      <c r="O68" s="8">
        <v>112022.20995702814</v>
      </c>
      <c r="P68" s="8">
        <v>114778.31352530076</v>
      </c>
      <c r="Q68" s="8">
        <v>115867.49645117712</v>
      </c>
      <c r="R68" s="8">
        <v>102521.00475926603</v>
      </c>
      <c r="S68" s="8">
        <v>107569.43884202618</v>
      </c>
      <c r="T68" s="8">
        <v>106786.7688979649</v>
      </c>
      <c r="U68" s="8">
        <v>118419.82794573229</v>
      </c>
      <c r="V68" s="8">
        <v>115582.20476454418</v>
      </c>
      <c r="W68" s="8">
        <v>112933.41418052034</v>
      </c>
    </row>
    <row r="69" spans="1:23">
      <c r="B69" s="6" t="s">
        <v>217</v>
      </c>
      <c r="C69" s="6" t="s">
        <v>217</v>
      </c>
      <c r="D69" s="7">
        <v>4062485</v>
      </c>
      <c r="E69" s="8">
        <v>56521.185671384694</v>
      </c>
      <c r="F69" s="8">
        <v>55415.354671556692</v>
      </c>
      <c r="G69" s="8">
        <v>55165.422305825727</v>
      </c>
      <c r="H69" s="8">
        <v>56161.598646500046</v>
      </c>
      <c r="I69" s="8">
        <v>57034.913531540733</v>
      </c>
      <c r="J69" s="8">
        <v>52118.769135927461</v>
      </c>
      <c r="K69" s="8">
        <v>47658.008707612207</v>
      </c>
      <c r="L69" s="8">
        <v>50041.924708629333</v>
      </c>
      <c r="M69" s="8">
        <v>49499.123490012826</v>
      </c>
      <c r="N69" s="8">
        <v>49455.197310477233</v>
      </c>
      <c r="O69" s="8">
        <v>49530.455168260625</v>
      </c>
      <c r="P69" s="8">
        <v>48293.572472294953</v>
      </c>
      <c r="Q69" s="8">
        <v>50419.576170937267</v>
      </c>
      <c r="R69" s="8">
        <v>47580.387288703183</v>
      </c>
      <c r="S69" s="8">
        <v>41983.390814877821</v>
      </c>
      <c r="T69" s="8">
        <v>38645.970497647279</v>
      </c>
      <c r="U69" s="8">
        <v>36812.328311604149</v>
      </c>
      <c r="V69" s="8">
        <v>29285.790448583073</v>
      </c>
      <c r="W69" s="8">
        <v>27426.594718679469</v>
      </c>
    </row>
    <row r="70" spans="1:23">
      <c r="B70" s="6" t="s">
        <v>218</v>
      </c>
      <c r="C70" s="6" t="s">
        <v>218</v>
      </c>
      <c r="D70" s="7">
        <v>4057140</v>
      </c>
      <c r="E70" s="8">
        <v>46318.310113393214</v>
      </c>
      <c r="F70" s="8">
        <v>42555.324452538393</v>
      </c>
      <c r="G70" s="8">
        <v>49969.194560959957</v>
      </c>
      <c r="H70" s="8">
        <v>44495.271406249842</v>
      </c>
      <c r="I70" s="8">
        <v>44155.087796901942</v>
      </c>
      <c r="J70" s="8">
        <v>49842.600182397393</v>
      </c>
      <c r="K70" s="8">
        <v>51846.644693590046</v>
      </c>
      <c r="L70" s="8">
        <v>51640.880172767131</v>
      </c>
      <c r="M70" s="8">
        <v>51306.774178427455</v>
      </c>
      <c r="N70" s="8">
        <v>50686.796149408685</v>
      </c>
      <c r="O70" s="8">
        <v>47705.903929846296</v>
      </c>
      <c r="P70" s="8">
        <v>46723.778410027815</v>
      </c>
      <c r="Q70" s="8">
        <v>44753.948582870224</v>
      </c>
      <c r="R70" s="8">
        <v>43050.29255494431</v>
      </c>
      <c r="S70" s="8">
        <v>44663.039698294117</v>
      </c>
      <c r="T70" s="8">
        <v>42436.26928527133</v>
      </c>
      <c r="U70" s="8">
        <v>39519.039650879458</v>
      </c>
      <c r="V70" s="8">
        <v>38594.186062693007</v>
      </c>
      <c r="W70" s="8">
        <v>45353.597419136539</v>
      </c>
    </row>
    <row r="71" spans="1:23">
      <c r="A71" s="1" t="s">
        <v>275</v>
      </c>
      <c r="B71" s="6" t="s">
        <v>220</v>
      </c>
      <c r="C71" s="6" t="s">
        <v>221</v>
      </c>
      <c r="D71" s="7">
        <v>4057096</v>
      </c>
      <c r="E71" s="8">
        <v>30836.281825580678</v>
      </c>
      <c r="F71" s="8">
        <v>30594.627489133334</v>
      </c>
      <c r="G71" s="8">
        <v>29157.391305276218</v>
      </c>
      <c r="H71" s="8">
        <v>31606.737606217204</v>
      </c>
      <c r="I71" s="8">
        <v>29187.325427550655</v>
      </c>
      <c r="J71" s="8">
        <v>29351.934835500797</v>
      </c>
      <c r="K71" s="8">
        <v>29570.99715815932</v>
      </c>
      <c r="L71" s="8">
        <v>26923.615199322128</v>
      </c>
      <c r="M71" s="8">
        <v>26490.933150494533</v>
      </c>
      <c r="N71" s="8">
        <v>25582.794746891821</v>
      </c>
      <c r="O71" s="8">
        <v>25506.533852812139</v>
      </c>
      <c r="P71" s="8">
        <v>22827.250276313236</v>
      </c>
      <c r="Q71" s="8">
        <v>22462.096371369928</v>
      </c>
      <c r="R71" s="8">
        <v>18161.188678995128</v>
      </c>
      <c r="S71" s="8">
        <v>19355.042196651841</v>
      </c>
      <c r="T71" s="8">
        <v>18823.587771424191</v>
      </c>
      <c r="U71" s="8">
        <v>21875.042092597625</v>
      </c>
      <c r="V71" s="8">
        <v>21414.38729345335</v>
      </c>
      <c r="W71" s="8" t="s">
        <v>175</v>
      </c>
    </row>
    <row r="72" spans="1:23">
      <c r="B72" s="6" t="s">
        <v>302</v>
      </c>
      <c r="C72" s="6" t="s">
        <v>302</v>
      </c>
      <c r="D72" s="7">
        <v>4057097</v>
      </c>
      <c r="E72" s="8" t="s">
        <v>175</v>
      </c>
      <c r="F72" s="8" t="s">
        <v>175</v>
      </c>
      <c r="G72" s="8" t="s">
        <v>175</v>
      </c>
      <c r="H72" s="8">
        <v>58867.080534861765</v>
      </c>
      <c r="I72" s="8">
        <v>57268.845180088974</v>
      </c>
      <c r="J72" s="8">
        <v>51270.051506212571</v>
      </c>
      <c r="K72" s="8">
        <v>50762.042668799259</v>
      </c>
      <c r="L72" s="8">
        <v>50133.768199695522</v>
      </c>
      <c r="M72" s="8">
        <v>54814.708239021966</v>
      </c>
      <c r="N72" s="8">
        <v>56691.683520193634</v>
      </c>
      <c r="O72" s="8">
        <v>54483.399070651205</v>
      </c>
      <c r="P72" s="8">
        <v>49472.391434869875</v>
      </c>
      <c r="Q72" s="8">
        <v>57229.966083312996</v>
      </c>
      <c r="R72" s="8">
        <v>44700.954192390513</v>
      </c>
      <c r="S72" s="8">
        <v>49792.037085190888</v>
      </c>
      <c r="T72" s="8">
        <v>45435.933817665806</v>
      </c>
      <c r="U72" s="8">
        <v>38191.987426139363</v>
      </c>
      <c r="V72" s="8">
        <v>36348.217839364523</v>
      </c>
      <c r="W72" s="8">
        <v>40714.570127818202</v>
      </c>
    </row>
    <row r="73" spans="1:23">
      <c r="B73" s="6" t="s">
        <v>303</v>
      </c>
      <c r="C73" s="6" t="s">
        <v>303</v>
      </c>
      <c r="D73" s="7">
        <v>4057098</v>
      </c>
      <c r="E73" s="8" t="s">
        <v>175</v>
      </c>
      <c r="F73" s="8" t="s">
        <v>175</v>
      </c>
      <c r="G73" s="8">
        <v>6963.1095094730899</v>
      </c>
      <c r="H73" s="8">
        <v>6728.3083081110653</v>
      </c>
      <c r="I73" s="8">
        <v>6641.8119555726262</v>
      </c>
      <c r="J73" s="8">
        <v>6728.1945580937763</v>
      </c>
      <c r="K73" s="8">
        <v>6832.5358340489283</v>
      </c>
      <c r="L73" s="8">
        <v>7132.1759473139091</v>
      </c>
      <c r="M73" s="8">
        <v>7681.9570367555507</v>
      </c>
      <c r="N73" s="8">
        <v>7985.3307683775229</v>
      </c>
      <c r="O73" s="8">
        <v>8324.2659838597465</v>
      </c>
      <c r="P73" s="8">
        <v>8200.4649175680734</v>
      </c>
      <c r="Q73" s="8">
        <v>8089.0543055076178</v>
      </c>
      <c r="R73" s="8">
        <v>7313.16963337379</v>
      </c>
      <c r="S73" s="8">
        <v>7733.2924296438978</v>
      </c>
      <c r="T73" s="8">
        <v>7042.8649368737779</v>
      </c>
      <c r="U73" s="8">
        <v>6770.1072313172253</v>
      </c>
      <c r="V73" s="8">
        <v>6570.6077621992854</v>
      </c>
      <c r="W73" s="8">
        <v>6306.8936536536121</v>
      </c>
    </row>
    <row r="74" spans="1:23">
      <c r="A74" s="1" t="s">
        <v>275</v>
      </c>
      <c r="B74" s="6" t="s">
        <v>222</v>
      </c>
      <c r="C74" s="6" t="s">
        <v>222</v>
      </c>
      <c r="D74" s="7">
        <v>4063023</v>
      </c>
      <c r="E74" s="8">
        <v>34574.510450574562</v>
      </c>
      <c r="F74" s="8" t="s">
        <v>175</v>
      </c>
      <c r="G74" s="8">
        <v>32510.614303611354</v>
      </c>
      <c r="H74" s="8">
        <v>34009.76470657553</v>
      </c>
      <c r="I74" s="8">
        <v>31446.956585819382</v>
      </c>
      <c r="J74" s="8">
        <v>29360.481672562935</v>
      </c>
      <c r="K74" s="8">
        <v>26551.324088750946</v>
      </c>
      <c r="L74" s="8">
        <v>25078.813155402575</v>
      </c>
      <c r="M74" s="8">
        <v>24119.711213013023</v>
      </c>
      <c r="N74" s="8">
        <v>23749.22718317786</v>
      </c>
      <c r="O74" s="8">
        <v>22054.841254643583</v>
      </c>
      <c r="P74" s="8">
        <v>20706.557306919542</v>
      </c>
      <c r="Q74" s="8">
        <v>19278.155667304527</v>
      </c>
      <c r="R74" s="8">
        <v>17334.708784259605</v>
      </c>
      <c r="S74" s="8">
        <v>16840.51978834199</v>
      </c>
      <c r="T74" s="8">
        <v>15718.729242144082</v>
      </c>
      <c r="U74" s="8">
        <v>16913.703072802837</v>
      </c>
      <c r="V74" s="8">
        <v>16394.03843593394</v>
      </c>
      <c r="W74" s="8">
        <v>16207.042841773762</v>
      </c>
    </row>
    <row r="75" spans="1:23">
      <c r="B75" s="6" t="s">
        <v>223</v>
      </c>
      <c r="C75" s="6" t="s">
        <v>223</v>
      </c>
      <c r="D75" s="7">
        <v>4057146</v>
      </c>
      <c r="E75" s="8">
        <v>842491.74473216664</v>
      </c>
      <c r="F75" s="8" t="s">
        <v>175</v>
      </c>
      <c r="G75" s="8">
        <v>390454.18876962253</v>
      </c>
      <c r="H75" s="8">
        <v>365021.44782177889</v>
      </c>
      <c r="I75" s="8">
        <v>353436.48538048775</v>
      </c>
      <c r="J75" s="8">
        <v>333336.84980707971</v>
      </c>
      <c r="K75" s="8">
        <v>329477.68537948874</v>
      </c>
      <c r="L75" s="8">
        <v>325151.92945943767</v>
      </c>
      <c r="M75" s="8">
        <v>342855.63172203489</v>
      </c>
      <c r="N75" s="8">
        <v>332448.70543668472</v>
      </c>
      <c r="O75" s="8">
        <v>340529.74706638954</v>
      </c>
      <c r="P75" s="8">
        <v>319774.51322437549</v>
      </c>
      <c r="Q75" s="8">
        <v>339606.26198429655</v>
      </c>
      <c r="R75" s="8">
        <v>283641.88649414602</v>
      </c>
      <c r="S75" s="8">
        <v>305008.39263993909</v>
      </c>
      <c r="T75" s="8">
        <v>291385.33278508368</v>
      </c>
      <c r="U75" s="8">
        <v>280114.03470691532</v>
      </c>
      <c r="V75" s="8">
        <v>272951.65671141096</v>
      </c>
      <c r="W75" s="8">
        <v>270865.7879340318</v>
      </c>
    </row>
    <row r="76" spans="1:23">
      <c r="A76" s="1" t="s">
        <v>275</v>
      </c>
      <c r="B76" s="6" t="s">
        <v>224</v>
      </c>
      <c r="C76" s="6" t="s">
        <v>225</v>
      </c>
      <c r="D76" s="7">
        <v>4063060</v>
      </c>
      <c r="E76" s="8">
        <v>23349.998241640002</v>
      </c>
      <c r="F76" s="8" t="s">
        <v>175</v>
      </c>
      <c r="G76" s="8">
        <v>22004.515553041456</v>
      </c>
      <c r="H76" s="8">
        <v>24724.924755787975</v>
      </c>
      <c r="I76" s="8">
        <v>26472.130414093761</v>
      </c>
      <c r="J76" s="8">
        <v>22670.999405857019</v>
      </c>
      <c r="K76" s="8">
        <v>24327.971143364772</v>
      </c>
      <c r="L76" s="8">
        <v>24481.773885588635</v>
      </c>
      <c r="M76" s="8">
        <v>22354.797738245295</v>
      </c>
      <c r="N76" s="8">
        <v>22392.395419090866</v>
      </c>
      <c r="O76" s="8">
        <v>20628.136247997336</v>
      </c>
      <c r="P76" s="8">
        <v>19376.118294045609</v>
      </c>
      <c r="Q76" s="8">
        <v>21985.0094955288</v>
      </c>
      <c r="R76" s="8">
        <v>18740.557178305695</v>
      </c>
      <c r="S76" s="8">
        <v>18421.396064993696</v>
      </c>
      <c r="T76" s="8">
        <v>17332.909498127203</v>
      </c>
      <c r="U76" s="8">
        <v>16966.167671511615</v>
      </c>
      <c r="V76" s="8">
        <v>16337.957017161254</v>
      </c>
      <c r="W76" s="8">
        <v>16132.660314715411</v>
      </c>
    </row>
    <row r="77" spans="1:23">
      <c r="B77" s="6" t="s">
        <v>226</v>
      </c>
      <c r="C77" s="6" t="s">
        <v>226</v>
      </c>
      <c r="D77" s="7">
        <v>4057100</v>
      </c>
      <c r="E77" s="8">
        <v>10132.577223992314</v>
      </c>
      <c r="F77" s="8">
        <v>11627.627009256586</v>
      </c>
      <c r="G77" s="8">
        <v>13990.307944488486</v>
      </c>
      <c r="H77" s="8">
        <v>10548.48795955728</v>
      </c>
      <c r="I77" s="8">
        <v>9966.6128451146342</v>
      </c>
      <c r="J77" s="8">
        <v>8743.9487194526482</v>
      </c>
      <c r="K77" s="8">
        <v>8668.5818518813721</v>
      </c>
      <c r="L77" s="8">
        <v>9078.7539370913564</v>
      </c>
      <c r="M77" s="8">
        <v>9730.2025496140704</v>
      </c>
      <c r="N77" s="8">
        <v>7910.6379025588967</v>
      </c>
      <c r="O77" s="8">
        <v>8582.8965210708011</v>
      </c>
      <c r="P77" s="8">
        <v>8900.7405034214189</v>
      </c>
      <c r="Q77" s="8">
        <v>7588.0488369707928</v>
      </c>
      <c r="R77" s="8">
        <v>7048.922127048053</v>
      </c>
      <c r="S77" s="8">
        <v>6706.5096520008301</v>
      </c>
      <c r="T77" s="8">
        <v>5964.5204064844684</v>
      </c>
      <c r="U77" s="8">
        <v>6525.1436522031454</v>
      </c>
      <c r="V77" s="8">
        <v>5881.2659814697126</v>
      </c>
      <c r="W77" s="8">
        <v>5372.8985408134558</v>
      </c>
    </row>
    <row r="78" spans="1:23">
      <c r="B78" s="6" t="s">
        <v>304</v>
      </c>
      <c r="C78" s="6" t="s">
        <v>304</v>
      </c>
      <c r="D78" s="7">
        <v>4064035</v>
      </c>
      <c r="E78" s="8" t="s">
        <v>175</v>
      </c>
      <c r="F78" s="8" t="s">
        <v>175</v>
      </c>
      <c r="G78" s="8">
        <v>2251.989177013284</v>
      </c>
      <c r="H78" s="8">
        <v>2261.3874189103117</v>
      </c>
      <c r="I78" s="8">
        <v>2105.5465987403959</v>
      </c>
      <c r="J78" s="8">
        <v>2059.7643274044785</v>
      </c>
      <c r="K78" s="8">
        <v>2090.8668497408053</v>
      </c>
      <c r="L78" s="8">
        <v>2076.7968431607492</v>
      </c>
      <c r="M78" s="8">
        <v>1840.5951469074278</v>
      </c>
      <c r="N78" s="8">
        <v>1670.2170549756918</v>
      </c>
      <c r="O78" s="8">
        <v>1680.364173376601</v>
      </c>
      <c r="P78" s="8">
        <v>1646.5708619391021</v>
      </c>
      <c r="Q78" s="8">
        <v>1577.0619937455035</v>
      </c>
      <c r="R78" s="8">
        <v>1487.111786798268</v>
      </c>
      <c r="S78" s="8">
        <v>1410.2277036673559</v>
      </c>
      <c r="T78" s="8">
        <v>1403.6741284573325</v>
      </c>
      <c r="U78" s="8">
        <v>1397.8406341242614</v>
      </c>
      <c r="V78" s="8">
        <v>1287.7504490045342</v>
      </c>
      <c r="W78" s="8">
        <v>1222.8481940826427</v>
      </c>
    </row>
    <row r="79" spans="1:23">
      <c r="B79" s="6" t="s">
        <v>305</v>
      </c>
      <c r="C79" s="6" t="s">
        <v>305</v>
      </c>
      <c r="D79" s="7">
        <v>4060957</v>
      </c>
      <c r="E79" s="8" t="s">
        <v>175</v>
      </c>
      <c r="F79" s="8">
        <v>58423.298700807332</v>
      </c>
      <c r="G79" s="8">
        <v>61036.419423646359</v>
      </c>
      <c r="H79" s="8">
        <v>70124.512329238962</v>
      </c>
      <c r="I79" s="8">
        <v>55587.44239465284</v>
      </c>
      <c r="J79" s="8">
        <v>56117.694386849289</v>
      </c>
      <c r="K79" s="8">
        <v>55511.095013083286</v>
      </c>
      <c r="L79" s="8">
        <v>61233.616881613474</v>
      </c>
      <c r="M79" s="8">
        <v>66211.321465802874</v>
      </c>
      <c r="N79" s="8">
        <v>61708.16328317509</v>
      </c>
      <c r="O79" s="8">
        <v>63556.347316832216</v>
      </c>
      <c r="P79" s="8">
        <v>62028.909327072004</v>
      </c>
      <c r="Q79" s="8">
        <v>62517.803964547114</v>
      </c>
      <c r="R79" s="8">
        <v>60410.364958182618</v>
      </c>
      <c r="S79" s="8">
        <v>57201.018717718216</v>
      </c>
      <c r="T79" s="8">
        <v>54377.245356056133</v>
      </c>
      <c r="U79" s="8">
        <v>51273.000458044517</v>
      </c>
      <c r="V79" s="8">
        <v>49368.011299512953</v>
      </c>
      <c r="W79" s="8">
        <v>48825.269899530271</v>
      </c>
    </row>
    <row r="80" spans="1:23">
      <c r="B80" s="6" t="s">
        <v>228</v>
      </c>
      <c r="C80" s="6" t="s">
        <v>228</v>
      </c>
      <c r="D80" s="7">
        <v>4063179</v>
      </c>
      <c r="E80" s="8">
        <v>442.96540952827968</v>
      </c>
      <c r="F80" s="8">
        <v>404.65343708141523</v>
      </c>
      <c r="G80" s="8">
        <v>427.26194463761101</v>
      </c>
      <c r="H80" s="8">
        <v>464.25302302415827</v>
      </c>
      <c r="I80" s="8">
        <v>340.91464113955521</v>
      </c>
      <c r="J80" s="8">
        <v>352.54891182243318</v>
      </c>
      <c r="K80" s="8">
        <v>374.38762073845709</v>
      </c>
      <c r="L80" s="8">
        <v>316.35515587842258</v>
      </c>
      <c r="M80" s="8">
        <v>301.07589240416377</v>
      </c>
      <c r="N80" s="8">
        <v>297.50942790862143</v>
      </c>
      <c r="O80" s="8">
        <v>274.50565264834597</v>
      </c>
      <c r="P80" s="8">
        <v>299.83456977406388</v>
      </c>
      <c r="Q80" s="8">
        <v>303.30976820238368</v>
      </c>
      <c r="R80" s="8">
        <v>313.2776739860077</v>
      </c>
      <c r="S80" s="8">
        <v>314.50094467618726</v>
      </c>
      <c r="T80" s="8">
        <v>294.08100107715359</v>
      </c>
      <c r="U80" s="8">
        <v>263.08957716416728</v>
      </c>
      <c r="V80" s="8">
        <v>283.92807354755394</v>
      </c>
      <c r="W80" s="8">
        <v>297.72266244837522</v>
      </c>
    </row>
    <row r="81" spans="1:23">
      <c r="A81" s="1" t="s">
        <v>275</v>
      </c>
      <c r="B81" s="6" t="s">
        <v>229</v>
      </c>
      <c r="C81" s="6" t="s">
        <v>229</v>
      </c>
      <c r="D81" s="7">
        <v>4063183</v>
      </c>
      <c r="E81" s="8">
        <v>3578.194154465094</v>
      </c>
      <c r="F81" s="8">
        <v>3625.2895969231431</v>
      </c>
      <c r="G81" s="8">
        <v>4021.7937134548392</v>
      </c>
      <c r="H81" s="8">
        <v>3450.2757797063036</v>
      </c>
      <c r="I81" s="8">
        <v>3451.6752516023721</v>
      </c>
      <c r="J81" s="8">
        <v>2884.9848998582529</v>
      </c>
      <c r="K81" s="8">
        <v>2935.5606901592691</v>
      </c>
      <c r="L81" s="8">
        <v>2731.1089743870057</v>
      </c>
      <c r="M81" s="8">
        <v>2641.0400699098532</v>
      </c>
      <c r="N81" s="8">
        <v>2625.7623630045978</v>
      </c>
      <c r="O81" s="8">
        <v>2902.5576366865143</v>
      </c>
      <c r="P81" s="8">
        <v>3042.3826098550239</v>
      </c>
      <c r="Q81" s="8">
        <v>2844.0477732678492</v>
      </c>
      <c r="R81" s="8">
        <v>2364.537472897724</v>
      </c>
      <c r="S81" s="8">
        <v>2220.3464244936977</v>
      </c>
      <c r="T81" s="8">
        <v>1831.3221798897846</v>
      </c>
      <c r="U81" s="8">
        <v>1902.9459375134886</v>
      </c>
      <c r="V81" s="8">
        <v>1883.1984048662632</v>
      </c>
      <c r="W81" s="8">
        <v>1758.0052516021694</v>
      </c>
    </row>
    <row r="82" spans="1:23">
      <c r="B82" s="6" t="s">
        <v>230</v>
      </c>
      <c r="C82" s="6" t="s">
        <v>230</v>
      </c>
      <c r="D82" s="7">
        <v>4063281</v>
      </c>
      <c r="E82" s="8">
        <v>1627.5865850867478</v>
      </c>
      <c r="F82" s="8">
        <v>1485.6332152052296</v>
      </c>
      <c r="G82" s="8">
        <v>1452.8549370943911</v>
      </c>
      <c r="H82" s="8">
        <v>1439.1617637630518</v>
      </c>
      <c r="I82" s="8">
        <v>1383.0778572526083</v>
      </c>
      <c r="J82" s="8">
        <v>1400.6314451372921</v>
      </c>
      <c r="K82" s="8">
        <v>1605.1418520042516</v>
      </c>
      <c r="L82" s="8">
        <v>1464.4265597298224</v>
      </c>
      <c r="M82" s="8">
        <v>1547.7991506599569</v>
      </c>
      <c r="N82" s="8">
        <v>1598.5986349579066</v>
      </c>
      <c r="O82" s="8">
        <v>1619.2926589918366</v>
      </c>
      <c r="P82" s="8">
        <v>1568.1777202576584</v>
      </c>
      <c r="Q82" s="8">
        <v>1550.9284016796626</v>
      </c>
      <c r="R82" s="8">
        <v>1615.5188599493317</v>
      </c>
      <c r="S82" s="8">
        <v>1591.4363480371192</v>
      </c>
      <c r="T82" s="8">
        <v>1621.2258941285252</v>
      </c>
      <c r="U82" s="8">
        <v>1537.4452186554706</v>
      </c>
      <c r="V82" s="8">
        <v>1387.230690759362</v>
      </c>
      <c r="W82" s="8">
        <v>1291.8816417845337</v>
      </c>
    </row>
    <row r="83" spans="1:23">
      <c r="B83" s="6" t="s">
        <v>231</v>
      </c>
      <c r="C83" s="6" t="s">
        <v>231</v>
      </c>
      <c r="D83" s="7">
        <v>4059746</v>
      </c>
      <c r="E83" s="8">
        <v>39674.062971542</v>
      </c>
      <c r="F83" s="8">
        <v>44123.555517447683</v>
      </c>
      <c r="G83" s="8">
        <v>61020.989286347278</v>
      </c>
      <c r="H83" s="8">
        <v>49433.836429002302</v>
      </c>
      <c r="I83" s="8">
        <v>52483.983598102386</v>
      </c>
      <c r="J83" s="8">
        <v>52139.14993054614</v>
      </c>
      <c r="K83" s="8">
        <v>51575.147147367468</v>
      </c>
      <c r="L83" s="8">
        <v>54232.6483570071</v>
      </c>
      <c r="M83" s="8">
        <v>53787.378632157721</v>
      </c>
      <c r="N83" s="8">
        <v>57417.203838511479</v>
      </c>
      <c r="O83" s="8">
        <v>56965.937046217638</v>
      </c>
      <c r="P83" s="8">
        <v>63587.528138708694</v>
      </c>
      <c r="Q83" s="8">
        <v>62209.956168217257</v>
      </c>
      <c r="R83" s="8">
        <v>65992.14568423164</v>
      </c>
      <c r="S83" s="8">
        <v>60021.416821556013</v>
      </c>
      <c r="T83" s="8">
        <v>58497.879170367589</v>
      </c>
      <c r="U83" s="8">
        <v>55033.466797274566</v>
      </c>
      <c r="V83" s="8">
        <v>48343.436546285091</v>
      </c>
      <c r="W83" s="8">
        <v>47635.324250655103</v>
      </c>
    </row>
    <row r="84" spans="1:23">
      <c r="A84" s="1" t="s">
        <v>275</v>
      </c>
      <c r="B84" s="6" t="s">
        <v>306</v>
      </c>
      <c r="C84" s="6" t="s">
        <v>306</v>
      </c>
      <c r="D84" s="7">
        <v>4062279</v>
      </c>
      <c r="E84" s="8" t="s">
        <v>175</v>
      </c>
      <c r="F84" s="8" t="s">
        <v>175</v>
      </c>
      <c r="G84" s="8" t="s">
        <v>175</v>
      </c>
      <c r="H84" s="8" t="s">
        <v>175</v>
      </c>
      <c r="I84" s="8">
        <v>21876.578430608402</v>
      </c>
      <c r="J84" s="8">
        <v>19879.401269356509</v>
      </c>
      <c r="K84" s="8">
        <v>21266.925299113456</v>
      </c>
      <c r="L84" s="8">
        <v>18746.618447772198</v>
      </c>
      <c r="M84" s="8">
        <v>17835.022395487649</v>
      </c>
      <c r="N84" s="8">
        <v>15543.41463734703</v>
      </c>
      <c r="O84" s="8">
        <v>16352.741113027869</v>
      </c>
      <c r="P84" s="8">
        <v>16166.167562467221</v>
      </c>
      <c r="Q84" s="8">
        <v>16778.605391168883</v>
      </c>
      <c r="R84" s="8">
        <v>14727.233617533941</v>
      </c>
      <c r="S84" s="8">
        <v>13340.016950120904</v>
      </c>
      <c r="T84" s="8">
        <v>11953.006965576529</v>
      </c>
      <c r="U84" s="8">
        <v>11617.772106336339</v>
      </c>
      <c r="V84" s="8">
        <v>10382.942377929639</v>
      </c>
      <c r="W84" s="8">
        <v>10550.757237778435</v>
      </c>
    </row>
    <row r="85" spans="1:23">
      <c r="A85" s="1" t="s">
        <v>275</v>
      </c>
      <c r="B85" s="6" t="s">
        <v>307</v>
      </c>
      <c r="C85" s="6" t="s">
        <v>307</v>
      </c>
      <c r="D85" s="7">
        <v>4063729</v>
      </c>
      <c r="E85" s="8" t="s">
        <v>175</v>
      </c>
      <c r="F85" s="8" t="s">
        <v>175</v>
      </c>
      <c r="G85" s="8" t="s">
        <v>175</v>
      </c>
      <c r="H85" s="8" t="s">
        <v>175</v>
      </c>
      <c r="I85" s="8">
        <v>4436.0127037306165</v>
      </c>
      <c r="J85" s="8">
        <v>5218.4447263613501</v>
      </c>
      <c r="K85" s="8">
        <v>6046.4588380289888</v>
      </c>
      <c r="L85" s="8">
        <v>5286.3354347112027</v>
      </c>
      <c r="M85" s="8">
        <v>5094.9228801644495</v>
      </c>
      <c r="N85" s="8">
        <v>4459.6793510402076</v>
      </c>
      <c r="O85" s="8">
        <v>4228.0664433791026</v>
      </c>
      <c r="P85" s="8">
        <v>3926.5413950050406</v>
      </c>
      <c r="Q85" s="8">
        <v>4000.6986926777081</v>
      </c>
      <c r="R85" s="8">
        <v>3269.1872310609187</v>
      </c>
      <c r="S85" s="8">
        <v>2874.7865501308384</v>
      </c>
      <c r="T85" s="8">
        <v>3172.2419729540457</v>
      </c>
      <c r="U85" s="8">
        <v>2960.0882783710099</v>
      </c>
      <c r="V85" s="8">
        <v>3051.8579869877708</v>
      </c>
      <c r="W85" s="8">
        <v>2855.0920701354976</v>
      </c>
    </row>
    <row r="86" spans="1:23">
      <c r="B86" s="6" t="s">
        <v>232</v>
      </c>
      <c r="C86" s="6" t="s">
        <v>232</v>
      </c>
      <c r="D86" s="7">
        <v>4063762</v>
      </c>
      <c r="E86" s="8">
        <v>22737.240898306332</v>
      </c>
      <c r="F86" s="8">
        <v>21673.535024730652</v>
      </c>
      <c r="G86" s="8">
        <v>20255.566574890752</v>
      </c>
      <c r="H86" s="8">
        <v>20728.936278382709</v>
      </c>
      <c r="I86" s="8">
        <v>19019.263701582451</v>
      </c>
      <c r="J86" s="8">
        <v>19338.564840497755</v>
      </c>
      <c r="K86" s="8">
        <v>18108.964301396169</v>
      </c>
      <c r="L86" s="8">
        <v>17309.633529067698</v>
      </c>
      <c r="M86" s="8">
        <v>15794.811761924662</v>
      </c>
      <c r="N86" s="8">
        <v>14306.280284408629</v>
      </c>
      <c r="O86" s="8">
        <v>14197.167540529112</v>
      </c>
      <c r="P86" s="8">
        <v>14781.329526203406</v>
      </c>
      <c r="Q86" s="8">
        <v>13868.824728763382</v>
      </c>
      <c r="R86" s="8">
        <v>13292.39528010719</v>
      </c>
      <c r="S86" s="8">
        <v>14210.051658451292</v>
      </c>
      <c r="T86" s="8">
        <v>16666.619401222215</v>
      </c>
      <c r="U86" s="8">
        <v>17465.8674014684</v>
      </c>
      <c r="V86" s="8">
        <v>16605.268560230274</v>
      </c>
      <c r="W86" s="8">
        <v>14654.497498111143</v>
      </c>
    </row>
    <row r="87" spans="1:23">
      <c r="B87" s="6" t="s">
        <v>234</v>
      </c>
      <c r="C87" s="6" t="s">
        <v>234</v>
      </c>
      <c r="D87" s="7">
        <v>4058284</v>
      </c>
      <c r="E87" s="8">
        <v>121404.69105240492</v>
      </c>
      <c r="F87" s="8">
        <v>122213.75106239493</v>
      </c>
      <c r="G87" s="8">
        <v>127636.60855201456</v>
      </c>
      <c r="H87" s="8">
        <v>116068.48150952866</v>
      </c>
      <c r="I87" s="8">
        <v>108202.62001644187</v>
      </c>
      <c r="J87" s="8">
        <v>108580.68587000036</v>
      </c>
      <c r="K87" s="8">
        <v>107621.18954352815</v>
      </c>
      <c r="L87" s="8">
        <v>96962.351257019211</v>
      </c>
      <c r="M87" s="8">
        <v>98651.856147134269</v>
      </c>
      <c r="N87" s="8">
        <v>93039.094920760122</v>
      </c>
      <c r="O87" s="8">
        <v>93789.33635418347</v>
      </c>
      <c r="P87" s="8">
        <v>86787.990106345998</v>
      </c>
      <c r="Q87" s="8">
        <v>82336.604763888026</v>
      </c>
      <c r="R87" s="8">
        <v>80446.400946603288</v>
      </c>
      <c r="S87" s="8">
        <v>81767.656372917074</v>
      </c>
      <c r="T87" s="8">
        <v>78034.766388958175</v>
      </c>
      <c r="U87" s="8">
        <v>77726.347590161648</v>
      </c>
      <c r="V87" s="8">
        <v>75015.407903935513</v>
      </c>
      <c r="W87" s="8">
        <v>71665.614105675166</v>
      </c>
    </row>
    <row r="88" spans="1:23">
      <c r="B88" s="6" t="s">
        <v>236</v>
      </c>
      <c r="C88" s="6" t="s">
        <v>236</v>
      </c>
      <c r="D88" s="7">
        <v>4008752</v>
      </c>
      <c r="E88" s="8">
        <v>28284.923588245212</v>
      </c>
      <c r="F88" s="8">
        <v>31117.178481389019</v>
      </c>
      <c r="G88" s="8">
        <v>32398.991040669644</v>
      </c>
      <c r="H88" s="8">
        <v>28997.248915172193</v>
      </c>
      <c r="I88" s="8">
        <v>28372.660488100752</v>
      </c>
      <c r="J88" s="8">
        <v>29453.666069882729</v>
      </c>
      <c r="K88" s="8">
        <v>29547.537879615404</v>
      </c>
      <c r="L88" s="8">
        <v>29978.546517369425</v>
      </c>
      <c r="M88" s="8">
        <v>28282.8393480343</v>
      </c>
      <c r="N88" s="8">
        <v>28804.610188444065</v>
      </c>
      <c r="O88" s="8">
        <v>32471.442668192594</v>
      </c>
      <c r="P88" s="8">
        <v>30655.385987143243</v>
      </c>
      <c r="Q88" s="8">
        <v>31038.397949798102</v>
      </c>
      <c r="R88" s="8">
        <v>31767.599234353911</v>
      </c>
      <c r="S88" s="8">
        <v>29917.211014585188</v>
      </c>
      <c r="T88" s="8">
        <v>31364.869478587156</v>
      </c>
      <c r="U88" s="8">
        <v>33367.832109677693</v>
      </c>
      <c r="V88" s="8">
        <v>30287.252180951356</v>
      </c>
      <c r="W88" s="8">
        <v>23951.422052857797</v>
      </c>
    </row>
    <row r="89" spans="1:23">
      <c r="B89" s="6" t="s">
        <v>237</v>
      </c>
      <c r="C89" s="6" t="s">
        <v>237</v>
      </c>
      <c r="D89" s="7">
        <v>4008669</v>
      </c>
      <c r="E89" s="8">
        <v>12147.217675840495</v>
      </c>
      <c r="F89" s="8">
        <v>11908.289974921527</v>
      </c>
      <c r="G89" s="8">
        <v>12354.321258063899</v>
      </c>
      <c r="H89" s="8">
        <v>12310.585611699657</v>
      </c>
      <c r="I89" s="8">
        <v>11834.48054413148</v>
      </c>
      <c r="J89" s="8">
        <v>11571.493549309196</v>
      </c>
      <c r="K89" s="8">
        <v>11680.247909899137</v>
      </c>
      <c r="L89" s="8">
        <v>10689.028583694484</v>
      </c>
      <c r="M89" s="8">
        <v>9552.8849298259447</v>
      </c>
      <c r="N89" s="8">
        <v>8866.9588875377649</v>
      </c>
      <c r="O89" s="8">
        <v>9179.0850602837381</v>
      </c>
      <c r="P89" s="8">
        <v>8736.6409130018692</v>
      </c>
      <c r="Q89" s="8">
        <v>8271.472908744985</v>
      </c>
      <c r="R89" s="8">
        <v>7645.6798606609336</v>
      </c>
      <c r="S89" s="8">
        <v>7498.8348460240086</v>
      </c>
      <c r="T89" s="8">
        <v>9275.8279611023318</v>
      </c>
      <c r="U89" s="8">
        <v>8067.5425623243082</v>
      </c>
      <c r="V89" s="8">
        <v>9427.210217984577</v>
      </c>
      <c r="W89" s="8">
        <v>9063.4761872169784</v>
      </c>
    </row>
    <row r="90" spans="1:23">
      <c r="B90" s="6" t="s">
        <v>308</v>
      </c>
      <c r="C90" s="6" t="s">
        <v>309</v>
      </c>
      <c r="D90" s="7">
        <v>4076892</v>
      </c>
      <c r="E90" s="8" t="s">
        <v>175</v>
      </c>
      <c r="F90" s="8">
        <v>996.90144657552048</v>
      </c>
      <c r="G90" s="8">
        <v>990.06369822861586</v>
      </c>
      <c r="H90" s="8">
        <v>933.94198823439115</v>
      </c>
      <c r="I90" s="8">
        <v>851.19314161626255</v>
      </c>
      <c r="J90" s="8">
        <v>929.94339444260549</v>
      </c>
      <c r="K90" s="8">
        <v>907.24788104582319</v>
      </c>
      <c r="L90" s="8">
        <v>960.55240080598048</v>
      </c>
      <c r="M90" s="8">
        <v>928.85024785443716</v>
      </c>
      <c r="N90" s="8">
        <v>864.53685420623356</v>
      </c>
      <c r="O90" s="8">
        <v>849.30062034361572</v>
      </c>
      <c r="P90" s="8">
        <v>827.03177510632941</v>
      </c>
      <c r="Q90" s="8">
        <v>742.79475754195016</v>
      </c>
      <c r="R90" s="8">
        <v>744.53058924060883</v>
      </c>
      <c r="S90" s="8">
        <v>644.28770115429472</v>
      </c>
      <c r="T90" s="8">
        <v>522.57219822142054</v>
      </c>
      <c r="U90" s="8">
        <v>564.24853002602788</v>
      </c>
      <c r="V90" s="8">
        <v>523.31928219622864</v>
      </c>
      <c r="W90" s="8">
        <v>534.68373615843655</v>
      </c>
    </row>
    <row r="91" spans="1:23">
      <c r="A91" s="1" t="s">
        <v>275</v>
      </c>
      <c r="B91" s="6" t="s">
        <v>238</v>
      </c>
      <c r="C91" s="6" t="s">
        <v>239</v>
      </c>
      <c r="D91" s="7">
        <v>4064141</v>
      </c>
      <c r="E91" s="8">
        <v>37083.103177765493</v>
      </c>
      <c r="F91" s="8" t="s">
        <v>175</v>
      </c>
      <c r="G91" s="8" t="s">
        <v>175</v>
      </c>
      <c r="H91" s="8">
        <v>32818.821917094734</v>
      </c>
      <c r="I91" s="8">
        <v>32248.095654620898</v>
      </c>
      <c r="J91" s="8">
        <v>30387.502992497026</v>
      </c>
      <c r="K91" s="8">
        <v>31900.780219457771</v>
      </c>
      <c r="L91" s="8">
        <v>32547.237847510016</v>
      </c>
      <c r="M91" s="8">
        <v>32430.899449424294</v>
      </c>
      <c r="N91" s="8">
        <v>32158.369578901482</v>
      </c>
      <c r="O91" s="8">
        <v>32267.303393300001</v>
      </c>
      <c r="P91" s="8">
        <v>30726.286782521151</v>
      </c>
      <c r="Q91" s="8">
        <v>29150.460904251362</v>
      </c>
      <c r="R91" s="8">
        <v>26558.330714454718</v>
      </c>
      <c r="S91" s="8">
        <v>25279.701612801415</v>
      </c>
      <c r="T91" s="8">
        <v>25095.715676010917</v>
      </c>
      <c r="U91" s="8">
        <v>25302.443898977537</v>
      </c>
      <c r="V91" s="8">
        <v>23894.892477881745</v>
      </c>
      <c r="W91" s="8">
        <v>22404.231680720815</v>
      </c>
    </row>
    <row r="92" spans="1:23">
      <c r="B92" s="6"/>
      <c r="C92" s="6"/>
      <c r="D92" s="7"/>
      <c r="E92" s="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>
      <c r="B93" s="6"/>
      <c r="C93" s="6"/>
      <c r="D93" s="7"/>
      <c r="E93" s="7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>
      <c r="B94" s="6"/>
      <c r="C94" s="6"/>
      <c r="D94" s="7"/>
      <c r="E94" s="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>
      <c r="B95" s="6"/>
      <c r="C95" s="6"/>
      <c r="D95" s="7"/>
      <c r="E95" s="7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>
      <c r="B96" s="6"/>
      <c r="C96" s="6"/>
      <c r="D96" s="7"/>
      <c r="E96" s="7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2:23">
      <c r="B97" s="6"/>
      <c r="C97" s="6"/>
      <c r="D97" s="7"/>
      <c r="E97" s="7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2:23">
      <c r="B98" s="6"/>
      <c r="C98" s="7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</row>
    <row r="99" spans="2:23">
      <c r="B99" s="6"/>
      <c r="C99" s="6"/>
      <c r="D99" s="7"/>
      <c r="E99" s="7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2:23">
      <c r="B100" s="6"/>
      <c r="C100" s="6"/>
      <c r="D100" s="7"/>
      <c r="E100" s="7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2:23">
      <c r="B101" s="6"/>
      <c r="C101" s="6"/>
      <c r="D101" s="7"/>
      <c r="E101" s="7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2:23">
      <c r="B102" s="6"/>
      <c r="C102" s="6"/>
      <c r="D102" s="7"/>
      <c r="E102" s="7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2:23">
      <c r="B103" s="6"/>
      <c r="C103" s="6"/>
      <c r="D103" s="7"/>
      <c r="E103" s="7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2:23">
      <c r="B104" s="6"/>
      <c r="C104" s="6"/>
      <c r="D104" s="7"/>
      <c r="E104" s="7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2:23">
      <c r="B105" s="6"/>
      <c r="C105" s="6"/>
      <c r="D105" s="7"/>
      <c r="E105" s="7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2:23">
      <c r="B106" s="6"/>
      <c r="C106" s="6"/>
      <c r="D106" s="7"/>
      <c r="E106" s="7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2:23">
      <c r="B107" s="6"/>
      <c r="C107" s="6"/>
      <c r="D107" s="7"/>
      <c r="E107" s="7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2:23">
      <c r="B108" s="6"/>
      <c r="C108" s="6"/>
      <c r="D108" s="7"/>
      <c r="E108" s="7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2:23">
      <c r="B109" s="6"/>
      <c r="C109" s="6"/>
      <c r="D109" s="7"/>
      <c r="E109" s="7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2:23">
      <c r="B110" s="6"/>
      <c r="C110" s="6"/>
      <c r="D110" s="7"/>
      <c r="E110" s="7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2:23">
      <c r="B111" s="6"/>
      <c r="C111" s="6"/>
      <c r="D111" s="7"/>
      <c r="E111" s="7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2:23">
      <c r="B112" s="6"/>
      <c r="C112" s="6"/>
      <c r="D112" s="7"/>
      <c r="E112" s="7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2:23">
      <c r="B113" s="6"/>
      <c r="C113" s="6"/>
      <c r="D113" s="7"/>
      <c r="E113" s="7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2:23">
      <c r="B114" s="6"/>
      <c r="C114" s="6"/>
      <c r="D114" s="7"/>
      <c r="E114" s="7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2:23">
      <c r="B115" s="6"/>
      <c r="C115" s="6"/>
      <c r="D115" s="7"/>
      <c r="E115" s="7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2:23">
      <c r="B116" s="6"/>
      <c r="C116" s="6"/>
      <c r="D116" s="7"/>
      <c r="E116" s="7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2:23">
      <c r="B117" s="6"/>
      <c r="C117" s="6"/>
      <c r="D117" s="7"/>
      <c r="E117" s="7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2:23">
      <c r="B118" s="6"/>
      <c r="C118" s="6"/>
      <c r="D118" s="7"/>
      <c r="E118" s="7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2:23">
      <c r="B119" s="6"/>
      <c r="C119" s="6"/>
      <c r="D119" s="7"/>
      <c r="E119" s="7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2:23">
      <c r="B120" s="6"/>
      <c r="C120" s="6"/>
      <c r="D120" s="7"/>
      <c r="E120" s="7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2:23">
      <c r="B121" s="6"/>
      <c r="C121" s="6"/>
      <c r="D121" s="7"/>
      <c r="E121" s="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2:23">
      <c r="B122" s="6"/>
      <c r="C122" s="6"/>
      <c r="D122" s="7"/>
      <c r="E122" s="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2:23">
      <c r="B123" s="6"/>
      <c r="C123" s="6"/>
      <c r="D123" s="7"/>
      <c r="E123" s="7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2:23">
      <c r="B124" s="6"/>
      <c r="C124" s="6"/>
      <c r="D124" s="7"/>
      <c r="E124" s="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2:23">
      <c r="B125" s="6"/>
      <c r="C125" s="6"/>
      <c r="D125" s="7"/>
      <c r="E125" s="7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2:23">
      <c r="B126" s="6"/>
      <c r="C126" s="6"/>
      <c r="D126" s="7"/>
      <c r="E126" s="7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2:23">
      <c r="B127" s="6"/>
      <c r="C127" s="6"/>
      <c r="D127" s="7"/>
      <c r="E127" s="7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2:23">
      <c r="B128" s="6"/>
      <c r="C128" s="6"/>
      <c r="D128" s="7"/>
      <c r="E128" s="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2:23">
      <c r="B129" s="6"/>
      <c r="C129" s="6"/>
      <c r="D129" s="7"/>
      <c r="E129" s="7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2:23">
      <c r="B130" s="6"/>
      <c r="C130" s="6"/>
      <c r="D130" s="7"/>
      <c r="E130" s="7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2:23">
      <c r="B131" s="6"/>
      <c r="C131" s="6"/>
      <c r="D131" s="7"/>
      <c r="E131" s="7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2:23">
      <c r="B132" s="6"/>
      <c r="C132" s="6"/>
      <c r="D132" s="7"/>
      <c r="E132" s="7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2:23">
      <c r="B133" s="6"/>
      <c r="C133" s="6"/>
      <c r="D133" s="7"/>
      <c r="E133" s="7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2:23">
      <c r="B134" s="6"/>
      <c r="C134" s="6"/>
      <c r="D134" s="7"/>
      <c r="E134" s="7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2:23">
      <c r="B135" s="6"/>
      <c r="C135" s="6"/>
      <c r="D135" s="7"/>
      <c r="E135" s="7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2:23">
      <c r="B136" s="6"/>
      <c r="C136" s="6"/>
      <c r="D136" s="7"/>
      <c r="E136" s="7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2:23">
      <c r="B137" s="6"/>
      <c r="C137" s="6"/>
      <c r="D137" s="7"/>
      <c r="E137" s="7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2:23">
      <c r="B138" s="6"/>
      <c r="C138" s="6"/>
      <c r="D138" s="7"/>
      <c r="E138" s="7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2:23">
      <c r="B139" s="6"/>
      <c r="C139" s="6"/>
      <c r="D139" s="7"/>
      <c r="E139" s="7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2:23">
      <c r="B140" s="6"/>
      <c r="C140" s="6"/>
      <c r="D140" s="7"/>
      <c r="E140" s="7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2:23">
      <c r="B141" s="6"/>
      <c r="C141" s="6"/>
      <c r="D141" s="7"/>
      <c r="E141" s="7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2:23">
      <c r="B142" s="6"/>
      <c r="C142" s="6"/>
      <c r="D142" s="7"/>
      <c r="E142" s="7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2:23">
      <c r="B143" s="6"/>
      <c r="C143" s="6"/>
      <c r="D143" s="7"/>
      <c r="E143" s="7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2:23">
      <c r="B144" s="6"/>
      <c r="C144" s="6"/>
      <c r="D144" s="7"/>
      <c r="E144" s="7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2:23">
      <c r="B145" s="6"/>
      <c r="C145" s="6"/>
      <c r="D145" s="7"/>
      <c r="E145" s="7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2:23">
      <c r="B146" s="6"/>
      <c r="C146" s="6"/>
      <c r="D146" s="7"/>
      <c r="E146" s="7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2:23">
      <c r="B147" s="6"/>
      <c r="C147" s="6"/>
      <c r="D147" s="7"/>
      <c r="E147" s="7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>
      <c r="B148" s="6"/>
      <c r="C148" s="6"/>
      <c r="D148" s="7"/>
      <c r="E148" s="7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>
      <c r="B149" s="6"/>
      <c r="C149" s="6"/>
      <c r="D149" s="7"/>
      <c r="E149" s="7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>
      <c r="B150" s="6"/>
      <c r="C150" s="6"/>
      <c r="D150" s="7"/>
      <c r="E150" s="7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>
      <c r="B151" s="6"/>
      <c r="C151" s="6"/>
      <c r="D151" s="7"/>
      <c r="E151" s="7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>
      <c r="B152" s="6"/>
      <c r="C152" s="6"/>
      <c r="D152" s="7"/>
      <c r="E152" s="7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>
      <c r="B153" s="6"/>
      <c r="C153" s="6"/>
      <c r="D153" s="7"/>
      <c r="E153" s="7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>
      <c r="B154" s="6"/>
      <c r="C154" s="6"/>
      <c r="D154" s="7"/>
      <c r="E154" s="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>
      <c r="B155" s="6"/>
      <c r="C155" s="6"/>
      <c r="D155" s="7"/>
      <c r="E155" s="7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>
      <c r="B156" s="6"/>
      <c r="C156" s="6"/>
      <c r="D156" s="7"/>
      <c r="E156" s="7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2:23">
      <c r="B157" s="6"/>
      <c r="C157" s="6"/>
      <c r="D157" s="7"/>
      <c r="E157" s="7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2:23">
      <c r="B158" s="6"/>
      <c r="C158" s="6"/>
      <c r="D158" s="7"/>
      <c r="E158" s="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2:23">
      <c r="B159" s="6"/>
      <c r="C159" s="6"/>
      <c r="D159" s="7"/>
      <c r="E159" s="7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2:23">
      <c r="B160" s="6"/>
      <c r="C160" s="6"/>
      <c r="D160" s="7"/>
      <c r="E160" s="7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2:23">
      <c r="B161" s="6"/>
      <c r="C161" s="6"/>
      <c r="D161" s="7"/>
      <c r="E161" s="7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2:23">
      <c r="B162" s="6"/>
      <c r="C162" s="6"/>
      <c r="D162" s="7"/>
      <c r="E162" s="7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2:23">
      <c r="B163" s="6"/>
      <c r="C163" s="6"/>
      <c r="D163" s="7"/>
      <c r="E163" s="7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2:23">
      <c r="B164" s="6"/>
      <c r="C164" s="6"/>
      <c r="D164" s="7"/>
      <c r="E164" s="7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2:23">
      <c r="B165" s="6"/>
      <c r="C165" s="6"/>
      <c r="D165" s="7"/>
      <c r="E165" s="7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2:23">
      <c r="B166" s="6"/>
      <c r="C166" s="6"/>
      <c r="D166" s="7"/>
      <c r="E166" s="7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2:23">
      <c r="B167" s="6"/>
      <c r="C167" s="6"/>
      <c r="D167" s="7"/>
      <c r="E167" s="7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2:23">
      <c r="B168" s="6"/>
      <c r="C168" s="6"/>
      <c r="D168" s="7"/>
      <c r="E168" s="7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2:23">
      <c r="B169" s="6"/>
      <c r="C169" s="6"/>
      <c r="D169" s="7"/>
      <c r="E169" s="7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2:23">
      <c r="B170" s="6"/>
      <c r="C170" s="6"/>
      <c r="D170" s="7"/>
      <c r="E170" s="7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2:23">
      <c r="B171" s="6"/>
      <c r="C171" s="6"/>
      <c r="D171" s="7"/>
      <c r="E171" s="7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2:23">
      <c r="B172" s="6"/>
      <c r="C172" s="6"/>
      <c r="D172" s="7"/>
      <c r="E172" s="7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2:23">
      <c r="B173" s="6"/>
      <c r="C173" s="6"/>
      <c r="D173" s="7"/>
      <c r="E173" s="7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2:23">
      <c r="B174" s="6"/>
      <c r="C174" s="6"/>
      <c r="D174" s="7"/>
      <c r="E174" s="7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2:23">
      <c r="B175" s="6"/>
      <c r="C175" s="6"/>
      <c r="D175" s="7"/>
      <c r="E175" s="7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2:23">
      <c r="B176" s="6"/>
      <c r="C176" s="6"/>
      <c r="D176" s="7"/>
      <c r="E176" s="7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2:23">
      <c r="B177" s="6"/>
      <c r="C177" s="6"/>
      <c r="D177" s="7"/>
      <c r="E177" s="7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2:23">
      <c r="B178" s="6"/>
      <c r="C178" s="6"/>
      <c r="D178" s="7"/>
      <c r="E178" s="7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2:23">
      <c r="B179" s="6"/>
      <c r="C179" s="6"/>
      <c r="D179" s="7"/>
      <c r="E179" s="7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2:23">
      <c r="B180" s="6"/>
      <c r="C180" s="6"/>
      <c r="D180" s="7"/>
      <c r="E180" s="7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2:23">
      <c r="B181" s="6"/>
      <c r="C181" s="6"/>
      <c r="D181" s="7"/>
      <c r="E181" s="7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2:23">
      <c r="B182" s="6"/>
      <c r="C182" s="6"/>
      <c r="D182" s="7"/>
      <c r="E182" s="7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2:23">
      <c r="B183" s="6"/>
      <c r="C183" s="6"/>
      <c r="D183" s="7"/>
      <c r="E183" s="7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2:23">
      <c r="B184" s="6"/>
      <c r="C184" s="6"/>
      <c r="D184" s="7"/>
      <c r="E184" s="7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2:23">
      <c r="B185" s="6"/>
      <c r="C185" s="6"/>
      <c r="D185" s="7"/>
      <c r="E185" s="7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2:23">
      <c r="B186" s="6"/>
      <c r="C186" s="6"/>
      <c r="D186" s="7"/>
      <c r="E186" s="7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2:23">
      <c r="B187" s="6"/>
      <c r="C187" s="6"/>
      <c r="D187" s="7"/>
      <c r="E187" s="7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2:23">
      <c r="B188" s="6"/>
      <c r="C188" s="6"/>
      <c r="D188" s="7"/>
      <c r="E188" s="7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2:23">
      <c r="B189" s="6"/>
      <c r="C189" s="6"/>
      <c r="D189" s="7"/>
      <c r="E189" s="7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2:23">
      <c r="B190" s="6"/>
      <c r="C190" s="6"/>
      <c r="D190" s="7"/>
      <c r="E190" s="7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2:23">
      <c r="B191" s="6"/>
      <c r="C191" s="6"/>
      <c r="D191" s="7"/>
      <c r="E191" s="7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2:23">
      <c r="B192" s="6"/>
      <c r="C192" s="6"/>
      <c r="D192" s="7"/>
      <c r="E192" s="7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2:23">
      <c r="B193" s="6"/>
      <c r="C193" s="6"/>
      <c r="D193" s="7"/>
      <c r="E193" s="7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2:23">
      <c r="B194" s="6"/>
      <c r="C194" s="6"/>
      <c r="D194" s="7"/>
      <c r="E194" s="7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2:23">
      <c r="B195" s="6"/>
      <c r="C195" s="6"/>
      <c r="D195" s="7"/>
      <c r="E195" s="7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2:23">
      <c r="B196" s="6"/>
      <c r="C196" s="6"/>
      <c r="D196" s="7"/>
      <c r="E196" s="7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2:23">
      <c r="B197" s="6"/>
      <c r="C197" s="6"/>
      <c r="D197" s="7"/>
      <c r="E197" s="7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2:23">
      <c r="B198" s="6"/>
      <c r="C198" s="6"/>
      <c r="D198" s="7"/>
      <c r="E198" s="7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2:23">
      <c r="B199" s="6"/>
      <c r="C199" s="6"/>
      <c r="D199" s="7"/>
      <c r="E199" s="7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2:23">
      <c r="B200" s="6"/>
      <c r="C200" s="6"/>
      <c r="D200" s="7"/>
      <c r="E200" s="7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2:23">
      <c r="B201" s="6"/>
      <c r="C201" s="6"/>
      <c r="D201" s="7"/>
      <c r="E201" s="7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2:23">
      <c r="B202" s="6"/>
      <c r="C202" s="6"/>
      <c r="D202" s="7"/>
      <c r="E202" s="7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2:23">
      <c r="B203" s="6"/>
      <c r="C203" s="6"/>
      <c r="D203" s="7"/>
      <c r="E203" s="7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2:23">
      <c r="B204" s="6"/>
      <c r="C204" s="6"/>
      <c r="D204" s="7"/>
      <c r="E204" s="7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</sheetData>
  <conditionalFormatting sqref="E7:E91">
    <cfRule type="cellIs" dxfId="8" priority="1" operator="equal">
      <formula>"NA"</formula>
    </cfRule>
  </conditionalFormatting>
  <conditionalFormatting sqref="F7:W97 D98:U98 F99:W204">
    <cfRule type="cellIs" dxfId="7" priority="2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V204"/>
  <sheetViews>
    <sheetView zoomScale="75" zoomScaleNormal="75" workbookViewId="0"/>
  </sheetViews>
  <sheetFormatPr defaultColWidth="9.140625" defaultRowHeight="13.15"/>
  <cols>
    <col min="1" max="1" width="14.28515625" style="1" bestFit="1" customWidth="1"/>
    <col min="2" max="3" width="63.7109375" style="1" bestFit="1" customWidth="1"/>
    <col min="4" max="4" width="22" style="1" bestFit="1" customWidth="1"/>
    <col min="5" max="5" width="22" style="1" customWidth="1"/>
    <col min="6" max="6" width="17.5703125" style="1" customWidth="1"/>
    <col min="7" max="7" width="17.85546875" style="1" customWidth="1"/>
    <col min="8" max="22" width="17.5703125" style="1" customWidth="1"/>
    <col min="23" max="16384" width="9.140625" style="1"/>
  </cols>
  <sheetData>
    <row r="1" spans="1:22">
      <c r="A1" s="1" t="s">
        <v>310</v>
      </c>
    </row>
    <row r="3" spans="1:22" ht="39.6">
      <c r="E3" s="9" t="s">
        <v>311</v>
      </c>
      <c r="F3" s="9" t="s">
        <v>311</v>
      </c>
      <c r="G3" s="9" t="s">
        <v>311</v>
      </c>
      <c r="H3" s="9" t="s">
        <v>311</v>
      </c>
      <c r="I3" s="9" t="s">
        <v>311</v>
      </c>
      <c r="J3" s="9" t="s">
        <v>311</v>
      </c>
      <c r="K3" s="9" t="s">
        <v>311</v>
      </c>
      <c r="L3" s="9" t="s">
        <v>311</v>
      </c>
      <c r="M3" s="9" t="s">
        <v>311</v>
      </c>
      <c r="N3" s="9" t="s">
        <v>311</v>
      </c>
      <c r="O3" s="9" t="s">
        <v>311</v>
      </c>
      <c r="P3" s="9" t="s">
        <v>311</v>
      </c>
      <c r="Q3" s="9" t="s">
        <v>311</v>
      </c>
      <c r="R3" s="9" t="s">
        <v>311</v>
      </c>
      <c r="S3" s="9" t="s">
        <v>311</v>
      </c>
      <c r="T3" s="9" t="s">
        <v>311</v>
      </c>
      <c r="U3" s="9" t="s">
        <v>311</v>
      </c>
      <c r="V3" s="9" t="s">
        <v>311</v>
      </c>
    </row>
    <row r="4" spans="1:22">
      <c r="B4" s="2"/>
      <c r="C4" s="2"/>
      <c r="D4" s="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1:22">
      <c r="A5" s="3" t="s">
        <v>271</v>
      </c>
      <c r="B5" s="4" t="s">
        <v>272</v>
      </c>
      <c r="C5" s="4" t="s">
        <v>273</v>
      </c>
      <c r="D5" s="5" t="s">
        <v>1</v>
      </c>
      <c r="E5" s="10" t="s">
        <v>142</v>
      </c>
      <c r="F5" s="10" t="s">
        <v>141</v>
      </c>
      <c r="G5" s="10" t="s">
        <v>140</v>
      </c>
      <c r="H5" s="10" t="s">
        <v>136</v>
      </c>
      <c r="I5" s="10" t="s">
        <v>135</v>
      </c>
      <c r="J5" s="10" t="s">
        <v>133</v>
      </c>
      <c r="K5" s="10" t="s">
        <v>132</v>
      </c>
      <c r="L5" s="10" t="s">
        <v>130</v>
      </c>
      <c r="M5" s="10" t="s">
        <v>129</v>
      </c>
      <c r="N5" s="10" t="s">
        <v>128</v>
      </c>
      <c r="O5" s="10" t="s">
        <v>127</v>
      </c>
      <c r="P5" s="10" t="s">
        <v>126</v>
      </c>
      <c r="Q5" s="10" t="s">
        <v>125</v>
      </c>
      <c r="R5" s="10" t="s">
        <v>120</v>
      </c>
      <c r="S5" s="10" t="s">
        <v>118</v>
      </c>
      <c r="T5" s="10" t="s">
        <v>117</v>
      </c>
      <c r="U5" s="10" t="s">
        <v>116</v>
      </c>
      <c r="V5" s="10" t="s">
        <v>115</v>
      </c>
    </row>
    <row r="6" spans="1:22"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</row>
    <row r="7" spans="1:22">
      <c r="B7" s="6" t="s">
        <v>274</v>
      </c>
      <c r="C7" s="6" t="s">
        <v>274</v>
      </c>
      <c r="D7" s="7">
        <v>4058513</v>
      </c>
      <c r="E7" s="8" t="s">
        <v>175</v>
      </c>
      <c r="F7" s="8" t="s">
        <v>175</v>
      </c>
      <c r="G7" s="8" t="s">
        <v>175</v>
      </c>
      <c r="H7" s="8" t="s">
        <v>175</v>
      </c>
      <c r="I7" s="8">
        <v>8382.8858380998263</v>
      </c>
      <c r="J7" s="8">
        <v>8950.522259993817</v>
      </c>
      <c r="K7" s="8">
        <v>8764.5452948794955</v>
      </c>
      <c r="L7" s="8">
        <v>8687.2689265577137</v>
      </c>
      <c r="M7" s="8">
        <v>8418.7707374072488</v>
      </c>
      <c r="N7" s="8">
        <v>8166.8916842864473</v>
      </c>
      <c r="O7" s="8">
        <v>7892.295209025343</v>
      </c>
      <c r="P7" s="8">
        <v>7540.8336683717853</v>
      </c>
      <c r="Q7" s="8">
        <v>7029.0120507493857</v>
      </c>
      <c r="R7" s="8">
        <v>6979.8314769083736</v>
      </c>
      <c r="S7" s="8">
        <v>6625.5234345508843</v>
      </c>
      <c r="T7" s="8">
        <v>6350.0215869085669</v>
      </c>
      <c r="U7" s="8">
        <v>6294.4505840937854</v>
      </c>
      <c r="V7" s="8">
        <v>6520.7733450289143</v>
      </c>
    </row>
    <row r="8" spans="1:22">
      <c r="B8" s="6" t="s">
        <v>98</v>
      </c>
      <c r="C8" s="6" t="s">
        <v>98</v>
      </c>
      <c r="D8" s="7">
        <v>4054707</v>
      </c>
      <c r="E8" s="8">
        <v>116029.68500262612</v>
      </c>
      <c r="F8" s="8">
        <v>112410.69522701181</v>
      </c>
      <c r="G8" s="8">
        <v>103617.46570132086</v>
      </c>
      <c r="H8" s="8">
        <v>99303.669442696992</v>
      </c>
      <c r="I8" s="8">
        <v>95943.206773844373</v>
      </c>
      <c r="J8" s="8">
        <v>94413.614236062742</v>
      </c>
      <c r="K8" s="8">
        <v>86429.248139996111</v>
      </c>
      <c r="L8" s="8">
        <v>84644.136507743504</v>
      </c>
      <c r="M8" s="8">
        <v>88367.297294023301</v>
      </c>
      <c r="N8" s="8">
        <v>82755.201546718541</v>
      </c>
      <c r="O8" s="8">
        <v>84756.342507679277</v>
      </c>
      <c r="P8" s="8">
        <v>88346.793817631013</v>
      </c>
      <c r="Q8" s="8">
        <v>86073.291981061731</v>
      </c>
      <c r="R8" s="8">
        <v>79086.896966280299</v>
      </c>
      <c r="S8" s="8">
        <v>81507.448248110624</v>
      </c>
      <c r="T8" s="8">
        <v>94344.504159319738</v>
      </c>
      <c r="U8" s="8">
        <v>100632.56107824939</v>
      </c>
      <c r="V8" s="8">
        <v>103945.52564825716</v>
      </c>
    </row>
    <row r="9" spans="1:22">
      <c r="B9" s="6" t="s">
        <v>145</v>
      </c>
      <c r="C9" s="6" t="s">
        <v>145</v>
      </c>
      <c r="D9" s="7">
        <v>4057075</v>
      </c>
      <c r="E9" s="8">
        <v>39434.582822325581</v>
      </c>
      <c r="F9" s="8">
        <v>41513.509722477887</v>
      </c>
      <c r="G9" s="8">
        <v>41165.277078338433</v>
      </c>
      <c r="H9" s="8">
        <v>38915.682345867404</v>
      </c>
      <c r="I9" s="8">
        <v>37319.801391517729</v>
      </c>
      <c r="J9" s="8">
        <v>37514.344251937262</v>
      </c>
      <c r="K9" s="8">
        <v>35483.461159882507</v>
      </c>
      <c r="L9" s="8">
        <v>33768.96049277659</v>
      </c>
      <c r="M9" s="8">
        <v>32994.465940342299</v>
      </c>
      <c r="N9" s="8">
        <v>32898.68583489603</v>
      </c>
      <c r="O9" s="8">
        <v>29976.28391779606</v>
      </c>
      <c r="P9" s="8">
        <v>29257.302203533083</v>
      </c>
      <c r="Q9" s="8">
        <v>27201.286179350995</v>
      </c>
      <c r="R9" s="8">
        <v>25098.820121527559</v>
      </c>
      <c r="S9" s="8">
        <v>24146.598029511933</v>
      </c>
      <c r="T9" s="8">
        <v>22644.122576434565</v>
      </c>
      <c r="U9" s="8">
        <v>23462.030920548277</v>
      </c>
      <c r="V9" s="8">
        <v>24467.06910969067</v>
      </c>
    </row>
    <row r="10" spans="1:22">
      <c r="A10" s="1" t="s">
        <v>275</v>
      </c>
      <c r="B10" s="6" t="s">
        <v>154</v>
      </c>
      <c r="C10" s="6" t="s">
        <v>154</v>
      </c>
      <c r="D10" s="7">
        <v>4007784</v>
      </c>
      <c r="E10" s="8">
        <v>137599.74936101586</v>
      </c>
      <c r="F10" s="8">
        <v>132508.31357517588</v>
      </c>
      <c r="G10" s="8">
        <v>134042.86748513771</v>
      </c>
      <c r="H10" s="8">
        <v>130276.90422853749</v>
      </c>
      <c r="I10" s="8">
        <v>118742.59388287981</v>
      </c>
      <c r="J10" s="8">
        <v>119596.86791086616</v>
      </c>
      <c r="K10" s="8">
        <v>108572.61063610177</v>
      </c>
      <c r="L10" s="8">
        <v>102447.57634805454</v>
      </c>
      <c r="M10" s="8">
        <v>92529.431312916073</v>
      </c>
      <c r="N10" s="8">
        <v>90062.066791145538</v>
      </c>
      <c r="O10" s="8">
        <v>80765.811649904848</v>
      </c>
      <c r="P10" s="8">
        <v>79750.055972584931</v>
      </c>
      <c r="Q10" s="8">
        <v>76637.788357969999</v>
      </c>
      <c r="R10" s="8">
        <v>77555.913131601177</v>
      </c>
      <c r="S10" s="8">
        <v>78925.504046515489</v>
      </c>
      <c r="T10" s="8">
        <v>72180.330158335346</v>
      </c>
      <c r="U10" s="8">
        <v>67832.963458908547</v>
      </c>
      <c r="V10" s="8">
        <v>62564.361153030353</v>
      </c>
    </row>
    <row r="11" spans="1:22">
      <c r="A11" s="1" t="s">
        <v>275</v>
      </c>
      <c r="B11" s="6" t="s">
        <v>276</v>
      </c>
      <c r="C11" s="6" t="s">
        <v>277</v>
      </c>
      <c r="D11" s="7">
        <v>4058656</v>
      </c>
      <c r="E11" s="8" t="s">
        <v>175</v>
      </c>
      <c r="F11" s="8" t="s">
        <v>175</v>
      </c>
      <c r="G11" s="8">
        <v>-99798.827680939998</v>
      </c>
      <c r="H11" s="8">
        <v>570753.09795895033</v>
      </c>
      <c r="I11" s="8">
        <v>60089.753657549089</v>
      </c>
      <c r="J11" s="8">
        <v>53305.121613799696</v>
      </c>
      <c r="K11" s="8">
        <v>55691.21274533058</v>
      </c>
      <c r="L11" s="8">
        <v>54307.890719005125</v>
      </c>
      <c r="M11" s="8">
        <v>51527.569242571393</v>
      </c>
      <c r="N11" s="8">
        <v>54524.753134623978</v>
      </c>
      <c r="O11" s="8">
        <v>52197.335770515274</v>
      </c>
      <c r="P11" s="8">
        <v>50564.074180998672</v>
      </c>
      <c r="Q11" s="8">
        <v>46298.857630545499</v>
      </c>
      <c r="R11" s="8">
        <v>43046.121962645266</v>
      </c>
      <c r="S11" s="8">
        <v>39631.451019712047</v>
      </c>
      <c r="T11" s="8">
        <v>36505.639589086481</v>
      </c>
      <c r="U11" s="8">
        <v>36705.106457659109</v>
      </c>
      <c r="V11" s="8">
        <v>26346.324067834619</v>
      </c>
    </row>
    <row r="12" spans="1:22">
      <c r="A12" s="1" t="s">
        <v>275</v>
      </c>
      <c r="B12" s="6" t="s">
        <v>162</v>
      </c>
      <c r="C12" s="6" t="s">
        <v>163</v>
      </c>
      <c r="D12" s="7">
        <v>4057110</v>
      </c>
      <c r="E12" s="8">
        <v>8903.8786862752168</v>
      </c>
      <c r="F12" s="8">
        <v>8038.6008431954597</v>
      </c>
      <c r="G12" s="8">
        <v>7487.0792207182603</v>
      </c>
      <c r="H12" s="8">
        <v>7639.919263414843</v>
      </c>
      <c r="I12" s="8">
        <v>7728.9601742930172</v>
      </c>
      <c r="J12" s="8">
        <v>7203.2946035935947</v>
      </c>
      <c r="K12" s="8">
        <v>8263.055730963355</v>
      </c>
      <c r="L12" s="8">
        <v>6988.9443523267028</v>
      </c>
      <c r="M12" s="8">
        <v>5378.2889044314843</v>
      </c>
      <c r="N12" s="8">
        <v>5343.3181177859242</v>
      </c>
      <c r="O12" s="8">
        <v>5261.1152349215063</v>
      </c>
      <c r="P12" s="8">
        <v>4752.4808979943246</v>
      </c>
      <c r="Q12" s="8">
        <v>5005.7473273464657</v>
      </c>
      <c r="R12" s="8">
        <v>4701.2515325197273</v>
      </c>
      <c r="S12" s="8">
        <v>4485.8540362306812</v>
      </c>
      <c r="T12" s="8">
        <v>4404.0207507811865</v>
      </c>
      <c r="U12" s="8">
        <v>4405.8736472774926</v>
      </c>
      <c r="V12" s="8">
        <v>4448.5259176481695</v>
      </c>
    </row>
    <row r="13" spans="1:22">
      <c r="B13" s="6" t="s">
        <v>165</v>
      </c>
      <c r="C13" s="6" t="s">
        <v>165</v>
      </c>
      <c r="D13" s="7">
        <v>4058516</v>
      </c>
      <c r="E13" s="8">
        <v>20184.650116113062</v>
      </c>
      <c r="F13" s="8">
        <v>20095.083505831426</v>
      </c>
      <c r="G13" s="8">
        <v>19849.799405071291</v>
      </c>
      <c r="H13" s="8">
        <v>20880.696904489683</v>
      </c>
      <c r="I13" s="8">
        <v>17360.662226983575</v>
      </c>
      <c r="J13" s="8">
        <v>15788.486247585051</v>
      </c>
      <c r="K13" s="8">
        <v>14325.757004694766</v>
      </c>
      <c r="L13" s="8">
        <v>15469.128891560415</v>
      </c>
      <c r="M13" s="8">
        <v>14866.825336879703</v>
      </c>
      <c r="N13" s="8">
        <v>13858.11565366062</v>
      </c>
      <c r="O13" s="8">
        <v>12655.872230445535</v>
      </c>
      <c r="P13" s="8">
        <v>13007.497084559385</v>
      </c>
      <c r="Q13" s="8">
        <v>12469.019617993239</v>
      </c>
      <c r="R13" s="8">
        <v>13707.655673473442</v>
      </c>
      <c r="S13" s="8">
        <v>14164.97428603976</v>
      </c>
      <c r="T13" s="8">
        <v>14149.238752144149</v>
      </c>
      <c r="U13" s="8">
        <v>12714.992834486642</v>
      </c>
      <c r="V13" s="8">
        <v>11265.692029903366</v>
      </c>
    </row>
    <row r="14" spans="1:22">
      <c r="B14" s="6" t="s">
        <v>167</v>
      </c>
      <c r="C14" s="6" t="s">
        <v>167</v>
      </c>
      <c r="D14" s="7">
        <v>4058793</v>
      </c>
      <c r="E14" s="8">
        <v>520.942005617419</v>
      </c>
      <c r="F14" s="8" t="s">
        <v>175</v>
      </c>
      <c r="G14" s="8">
        <v>562.21518146152926</v>
      </c>
      <c r="H14" s="8">
        <v>487.59530453369939</v>
      </c>
      <c r="I14" s="8">
        <v>486.15068882672989</v>
      </c>
      <c r="J14" s="8">
        <v>549.2981784649877</v>
      </c>
      <c r="K14" s="8">
        <v>449.51531373342846</v>
      </c>
      <c r="L14" s="8">
        <v>462.88571421270024</v>
      </c>
      <c r="M14" s="8">
        <v>506.62410954201306</v>
      </c>
      <c r="N14" s="8">
        <v>537.97615317214024</v>
      </c>
      <c r="O14" s="8">
        <v>516.55882530055703</v>
      </c>
      <c r="P14" s="8">
        <v>497.58799889593797</v>
      </c>
      <c r="Q14" s="8">
        <v>469.23335257861572</v>
      </c>
      <c r="R14" s="8">
        <v>455.33875028191636</v>
      </c>
      <c r="S14" s="8">
        <v>566.83185897289218</v>
      </c>
      <c r="T14" s="8">
        <v>566.42166838970024</v>
      </c>
      <c r="U14" s="8">
        <v>525.57930671804058</v>
      </c>
      <c r="V14" s="8">
        <v>563.86747877683388</v>
      </c>
    </row>
    <row r="15" spans="1:22">
      <c r="A15" s="1" t="s">
        <v>275</v>
      </c>
      <c r="B15" s="6" t="s">
        <v>169</v>
      </c>
      <c r="C15" s="6" t="s">
        <v>169</v>
      </c>
      <c r="D15" s="7">
        <v>4057111</v>
      </c>
      <c r="E15" s="8">
        <v>131514.10333494714</v>
      </c>
      <c r="F15" s="8">
        <v>110798.08406738167</v>
      </c>
      <c r="G15" s="8">
        <v>154919.95358487166</v>
      </c>
      <c r="H15" s="8">
        <v>263633.92342486454</v>
      </c>
      <c r="I15" s="8">
        <v>108217.41055661241</v>
      </c>
      <c r="J15" s="8">
        <v>106397.97648846057</v>
      </c>
      <c r="K15" s="8">
        <v>91352.973244997411</v>
      </c>
      <c r="L15" s="8">
        <v>100350.79939413707</v>
      </c>
      <c r="M15" s="8">
        <v>98514.087433504872</v>
      </c>
      <c r="N15" s="8">
        <v>80183.397422745067</v>
      </c>
      <c r="O15" s="8">
        <v>92295.286846997522</v>
      </c>
      <c r="P15" s="8">
        <v>87351.392263189264</v>
      </c>
      <c r="Q15" s="8">
        <v>90967.869798057029</v>
      </c>
      <c r="R15" s="8">
        <v>88435.182610678661</v>
      </c>
      <c r="S15" s="8">
        <v>74138.770930840226</v>
      </c>
      <c r="T15" s="8">
        <v>68205.95866710681</v>
      </c>
      <c r="U15" s="8">
        <v>70170.144586995928</v>
      </c>
      <c r="V15" s="8">
        <v>65551.881357807579</v>
      </c>
    </row>
    <row r="16" spans="1:22">
      <c r="A16" s="1" t="s">
        <v>275</v>
      </c>
      <c r="B16" s="6" t="s">
        <v>170</v>
      </c>
      <c r="C16" s="6" t="s">
        <v>170</v>
      </c>
      <c r="D16" s="7">
        <v>4018679</v>
      </c>
      <c r="E16" s="8">
        <v>268713.92868856038</v>
      </c>
      <c r="F16" s="8">
        <v>276350.99058527779</v>
      </c>
      <c r="G16" s="8">
        <v>309001.9613652986</v>
      </c>
      <c r="H16" s="8">
        <v>311033.81705252954</v>
      </c>
      <c r="I16" s="8">
        <v>278620.28550749901</v>
      </c>
      <c r="J16" s="8">
        <v>219713.77185059342</v>
      </c>
      <c r="K16" s="8">
        <v>192148.74434308393</v>
      </c>
      <c r="L16" s="8">
        <v>207135.0875164076</v>
      </c>
      <c r="M16" s="8">
        <v>180095.13343725645</v>
      </c>
      <c r="N16" s="8">
        <v>175871.33856404692</v>
      </c>
      <c r="O16" s="8">
        <v>173487.38966717507</v>
      </c>
      <c r="P16" s="8">
        <v>173474.89552419516</v>
      </c>
      <c r="Q16" s="8">
        <v>164038.99808706794</v>
      </c>
      <c r="R16" s="8">
        <v>161840.07047310501</v>
      </c>
      <c r="S16" s="8">
        <v>141916.06741585102</v>
      </c>
      <c r="T16" s="8">
        <v>149511.66711808008</v>
      </c>
      <c r="U16" s="8">
        <v>155414.10511280352</v>
      </c>
      <c r="V16" s="8">
        <v>148585.06461915505</v>
      </c>
    </row>
    <row r="17" spans="1:22">
      <c r="B17" s="6" t="s">
        <v>172</v>
      </c>
      <c r="C17" s="6" t="s">
        <v>172</v>
      </c>
      <c r="D17" s="7">
        <v>4057112</v>
      </c>
      <c r="E17" s="8">
        <v>34180.746422326047</v>
      </c>
      <c r="F17" s="8">
        <v>33273.119848576374</v>
      </c>
      <c r="G17" s="8">
        <v>33201.7692691509</v>
      </c>
      <c r="H17" s="8">
        <v>31412.52212767645</v>
      </c>
      <c r="I17" s="8">
        <v>31159.571202113028</v>
      </c>
      <c r="J17" s="8">
        <v>28917.362102144467</v>
      </c>
      <c r="K17" s="8">
        <v>27438.653927408177</v>
      </c>
      <c r="L17" s="8">
        <v>27768.833575530909</v>
      </c>
      <c r="M17" s="8">
        <v>25463.591053526463</v>
      </c>
      <c r="N17" s="8">
        <v>24823.331431914725</v>
      </c>
      <c r="O17" s="8">
        <v>23658.886786183273</v>
      </c>
      <c r="P17" s="8">
        <v>23810.183211317912</v>
      </c>
      <c r="Q17" s="8">
        <v>21586.160835359995</v>
      </c>
      <c r="R17" s="8">
        <v>20698.191414726007</v>
      </c>
      <c r="S17" s="8">
        <v>22196.494293326912</v>
      </c>
      <c r="T17" s="8">
        <v>23382.019419478274</v>
      </c>
      <c r="U17" s="8">
        <v>21318.41137647428</v>
      </c>
      <c r="V17" s="8">
        <v>20048.416452874102</v>
      </c>
    </row>
    <row r="18" spans="1:22">
      <c r="A18" s="1" t="s">
        <v>275</v>
      </c>
      <c r="B18" s="6" t="s">
        <v>173</v>
      </c>
      <c r="C18" s="6" t="s">
        <v>173</v>
      </c>
      <c r="D18" s="7">
        <v>4057076</v>
      </c>
      <c r="E18" s="8">
        <v>24019.702281435373</v>
      </c>
      <c r="F18" s="8" t="s">
        <v>175</v>
      </c>
      <c r="G18" s="8">
        <v>22868.76000369215</v>
      </c>
      <c r="H18" s="8">
        <v>20586.854353995441</v>
      </c>
      <c r="I18" s="8">
        <v>21380.623322756805</v>
      </c>
      <c r="J18" s="8">
        <v>19531.05508277805</v>
      </c>
      <c r="K18" s="8">
        <v>20516.148302204769</v>
      </c>
      <c r="L18" s="8">
        <v>21275.74923479318</v>
      </c>
      <c r="M18" s="8">
        <v>20928.382333817957</v>
      </c>
      <c r="N18" s="8">
        <v>19813.946905638975</v>
      </c>
      <c r="O18" s="8">
        <v>19912.71382762662</v>
      </c>
      <c r="P18" s="8">
        <v>18566.746769438272</v>
      </c>
      <c r="Q18" s="8">
        <v>15756.499984421926</v>
      </c>
      <c r="R18" s="8">
        <v>14224.562230009429</v>
      </c>
      <c r="S18" s="8">
        <v>12621.816439585611</v>
      </c>
      <c r="T18" s="8">
        <v>9003.0297175036012</v>
      </c>
      <c r="U18" s="8">
        <v>8109.8450411779668</v>
      </c>
      <c r="V18" s="8">
        <v>7191.2380600074075</v>
      </c>
    </row>
    <row r="19" spans="1:22">
      <c r="B19" s="6" t="s">
        <v>278</v>
      </c>
      <c r="C19" s="6" t="s">
        <v>278</v>
      </c>
      <c r="D19" s="7">
        <v>4059166</v>
      </c>
      <c r="E19" s="8" t="s">
        <v>175</v>
      </c>
      <c r="F19" s="8">
        <v>8922.1667187384573</v>
      </c>
      <c r="G19" s="8">
        <v>8139.1445716841436</v>
      </c>
      <c r="H19" s="8">
        <v>6666.2083805219791</v>
      </c>
      <c r="I19" s="8">
        <v>5890.623111987944</v>
      </c>
      <c r="J19" s="8">
        <v>5967.6889366550504</v>
      </c>
      <c r="K19" s="8">
        <v>6188.1273283939763</v>
      </c>
      <c r="L19" s="8">
        <v>5989.9379917239648</v>
      </c>
      <c r="M19" s="8">
        <v>6250.5279827432423</v>
      </c>
      <c r="N19" s="8">
        <v>6197.2935895154769</v>
      </c>
      <c r="O19" s="8">
        <v>5500.6094625401474</v>
      </c>
      <c r="P19" s="8">
        <v>5448.4299962932801</v>
      </c>
      <c r="Q19" s="8">
        <v>5590.8414183136283</v>
      </c>
      <c r="R19" s="8">
        <v>5137.1727202187958</v>
      </c>
      <c r="S19" s="8">
        <v>5236.6845814770186</v>
      </c>
      <c r="T19" s="8">
        <v>5419.5316732445608</v>
      </c>
      <c r="U19" s="8">
        <v>6060.7732712726101</v>
      </c>
      <c r="V19" s="8">
        <v>6302.5898368571015</v>
      </c>
    </row>
    <row r="20" spans="1:22">
      <c r="B20" s="6" t="s">
        <v>279</v>
      </c>
      <c r="C20" s="6" t="s">
        <v>279</v>
      </c>
      <c r="D20" s="7">
        <v>4059227</v>
      </c>
      <c r="E20" s="8" t="s">
        <v>175</v>
      </c>
      <c r="F20" s="8">
        <v>2297.1046168922294</v>
      </c>
      <c r="G20" s="8">
        <v>3285.0256350689383</v>
      </c>
      <c r="H20" s="8">
        <v>2735.68443028203</v>
      </c>
      <c r="I20" s="8">
        <v>2605.1281404127367</v>
      </c>
      <c r="J20" s="8">
        <v>2432.0395771656249</v>
      </c>
      <c r="K20" s="8">
        <v>2450.3003533153396</v>
      </c>
      <c r="L20" s="8">
        <v>2405.7397401385579</v>
      </c>
      <c r="M20" s="8">
        <v>2246.588712967075</v>
      </c>
      <c r="N20" s="8">
        <v>2000.7191881688962</v>
      </c>
      <c r="O20" s="8">
        <v>2190.3107125781053</v>
      </c>
      <c r="P20" s="8">
        <v>2250.2360511149618</v>
      </c>
      <c r="Q20" s="8">
        <v>2100.9790248741729</v>
      </c>
      <c r="R20" s="8">
        <v>2153.1771238530537</v>
      </c>
      <c r="S20" s="8">
        <v>2096.4188017079478</v>
      </c>
      <c r="T20" s="8">
        <v>1966.4622049154275</v>
      </c>
      <c r="U20" s="8">
        <v>1822.1132447386985</v>
      </c>
      <c r="V20" s="8" t="s">
        <v>175</v>
      </c>
    </row>
    <row r="21" spans="1:22">
      <c r="A21" s="1" t="s">
        <v>275</v>
      </c>
      <c r="B21" s="6" t="s">
        <v>174</v>
      </c>
      <c r="C21" s="6" t="s">
        <v>174</v>
      </c>
      <c r="D21" s="7">
        <v>4057114</v>
      </c>
      <c r="E21" s="8" t="s">
        <v>175</v>
      </c>
      <c r="F21" s="8">
        <v>16366.734633533715</v>
      </c>
      <c r="G21" s="8">
        <v>27857.358176654332</v>
      </c>
      <c r="H21" s="8">
        <v>55623.673487049251</v>
      </c>
      <c r="I21" s="8">
        <v>17207.388850461444</v>
      </c>
      <c r="J21" s="8">
        <v>16635.344578460565</v>
      </c>
      <c r="K21" s="8">
        <v>15559.608870159738</v>
      </c>
      <c r="L21" s="8">
        <v>15661.281733493423</v>
      </c>
      <c r="M21" s="8">
        <v>15148.767230313842</v>
      </c>
      <c r="N21" s="8">
        <v>12141.726827309809</v>
      </c>
      <c r="O21" s="8">
        <v>15429.418491649474</v>
      </c>
      <c r="P21" s="8">
        <v>15584.001849541737</v>
      </c>
      <c r="Q21" s="8">
        <v>16165.299557942539</v>
      </c>
      <c r="R21" s="8">
        <v>14399.111840889582</v>
      </c>
      <c r="S21" s="8">
        <v>12540.988592581778</v>
      </c>
      <c r="T21" s="8">
        <v>12761.68024974627</v>
      </c>
      <c r="U21" s="8">
        <v>11577.297330476054</v>
      </c>
      <c r="V21" s="8">
        <v>13951.725362450528</v>
      </c>
    </row>
    <row r="22" spans="1:22">
      <c r="B22" s="6" t="s">
        <v>176</v>
      </c>
      <c r="C22" s="6" t="s">
        <v>176</v>
      </c>
      <c r="D22" s="7">
        <v>4059355</v>
      </c>
      <c r="E22" s="8">
        <v>28946.944852229008</v>
      </c>
      <c r="F22" s="8">
        <v>26886.870271002088</v>
      </c>
      <c r="G22" s="8">
        <v>27635.499077892979</v>
      </c>
      <c r="H22" s="8">
        <v>23839.516882854536</v>
      </c>
      <c r="I22" s="8">
        <v>25935.543481564087</v>
      </c>
      <c r="J22" s="8">
        <v>21855.159710418935</v>
      </c>
      <c r="K22" s="8">
        <v>19534.528700891358</v>
      </c>
      <c r="L22" s="8">
        <v>19224.730419180371</v>
      </c>
      <c r="M22" s="8">
        <v>18580.842801789258</v>
      </c>
      <c r="N22" s="8">
        <v>17920.683861022531</v>
      </c>
      <c r="O22" s="8">
        <v>17156.102523632777</v>
      </c>
      <c r="P22" s="8">
        <v>17497.553896617708</v>
      </c>
      <c r="Q22" s="8">
        <v>16945.590778321508</v>
      </c>
      <c r="R22" s="8">
        <v>14814.147354092431</v>
      </c>
      <c r="S22" s="8">
        <v>13269.154489439103</v>
      </c>
      <c r="T22" s="8">
        <v>14372.153126471279</v>
      </c>
      <c r="U22" s="8">
        <v>15472.181657291447</v>
      </c>
      <c r="V22" s="8">
        <v>14323.80087562613</v>
      </c>
    </row>
    <row r="23" spans="1:22">
      <c r="B23" s="6" t="s">
        <v>178</v>
      </c>
      <c r="C23" s="6" t="s">
        <v>178</v>
      </c>
      <c r="D23" s="7">
        <v>4088325</v>
      </c>
      <c r="E23" s="8">
        <v>26381.345321153171</v>
      </c>
      <c r="F23" s="8">
        <v>6855.8470096442315</v>
      </c>
      <c r="G23" s="8">
        <v>6151.5451431486517</v>
      </c>
      <c r="H23" s="8">
        <v>7905.4007318016202</v>
      </c>
      <c r="I23" s="8">
        <v>8481.0309477762403</v>
      </c>
      <c r="J23" s="8">
        <v>7743.5916443710175</v>
      </c>
      <c r="K23" s="8">
        <v>6932.341922730754</v>
      </c>
      <c r="L23" s="8">
        <v>6636.0578237112841</v>
      </c>
      <c r="M23" s="8">
        <v>9765.4356342480023</v>
      </c>
      <c r="N23" s="8">
        <v>5505.0777868285404</v>
      </c>
      <c r="O23" s="8">
        <v>5415.1224199123017</v>
      </c>
      <c r="P23" s="8">
        <v>5272.3561452624363</v>
      </c>
      <c r="Q23" s="8">
        <v>5273.6945992174369</v>
      </c>
      <c r="R23" s="8">
        <v>4773.4332578203648</v>
      </c>
      <c r="S23" s="8">
        <v>4460.8262247774746</v>
      </c>
      <c r="T23" s="8">
        <v>4572.808492126378</v>
      </c>
      <c r="U23" s="8">
        <v>4488.700716160236</v>
      </c>
      <c r="V23" s="8">
        <v>4105.1255069804574</v>
      </c>
    </row>
    <row r="24" spans="1:22">
      <c r="B24" s="6" t="s">
        <v>280</v>
      </c>
      <c r="C24" s="6" t="s">
        <v>280</v>
      </c>
      <c r="D24" s="7">
        <v>4088326</v>
      </c>
      <c r="E24" s="8" t="s">
        <v>175</v>
      </c>
      <c r="F24" s="8">
        <v>161829.14459510517</v>
      </c>
      <c r="G24" s="8">
        <v>163297.39351923464</v>
      </c>
      <c r="H24" s="8">
        <v>152815.18801386497</v>
      </c>
      <c r="I24" s="8">
        <v>169334.71940718545</v>
      </c>
      <c r="J24" s="8">
        <v>143679.436997457</v>
      </c>
      <c r="K24" s="8">
        <v>138201.78492350376</v>
      </c>
      <c r="L24" s="8">
        <v>135537.25308100809</v>
      </c>
      <c r="M24" s="8">
        <v>126597.72886526064</v>
      </c>
      <c r="N24" s="8">
        <v>122426.97880899189</v>
      </c>
      <c r="O24" s="8">
        <v>119454.2587813974</v>
      </c>
      <c r="P24" s="8">
        <v>120984.05853074475</v>
      </c>
      <c r="Q24" s="8">
        <v>118494.76908524704</v>
      </c>
      <c r="R24" s="8">
        <v>119284.35099497739</v>
      </c>
      <c r="S24" s="8">
        <v>110460.72963007329</v>
      </c>
      <c r="T24" s="8">
        <v>99946.140643081322</v>
      </c>
      <c r="U24" s="8">
        <v>109656.23136752992</v>
      </c>
      <c r="V24" s="8">
        <v>94423.472156202741</v>
      </c>
    </row>
    <row r="25" spans="1:22">
      <c r="A25" s="1" t="s">
        <v>275</v>
      </c>
      <c r="B25" s="6" t="s">
        <v>281</v>
      </c>
      <c r="C25" s="6" t="s">
        <v>281</v>
      </c>
      <c r="D25" s="7">
        <v>4059358</v>
      </c>
      <c r="E25" s="8" t="s">
        <v>175</v>
      </c>
      <c r="F25" s="8">
        <v>92198.141757803416</v>
      </c>
      <c r="G25" s="8">
        <v>90966.35938519628</v>
      </c>
      <c r="H25" s="8">
        <v>79551.53694004174</v>
      </c>
      <c r="I25" s="8">
        <v>97832.676539235254</v>
      </c>
      <c r="J25" s="8">
        <v>81799.306804505584</v>
      </c>
      <c r="K25" s="8">
        <v>76455.971915035916</v>
      </c>
      <c r="L25" s="8">
        <v>73162.081852927848</v>
      </c>
      <c r="M25" s="8">
        <v>64525.705383096007</v>
      </c>
      <c r="N25" s="8">
        <v>58032.306776922531</v>
      </c>
      <c r="O25" s="8">
        <v>64019.671686112328</v>
      </c>
      <c r="P25" s="8">
        <v>61690.268005553851</v>
      </c>
      <c r="Q25" s="8">
        <v>56047.561108037546</v>
      </c>
      <c r="R25" s="8">
        <v>52971.924718023431</v>
      </c>
      <c r="S25" s="8">
        <v>51801.961753463904</v>
      </c>
      <c r="T25" s="8">
        <v>46138.345694320058</v>
      </c>
      <c r="U25" s="8">
        <v>48122.980771254501</v>
      </c>
      <c r="V25" s="8">
        <v>43426.330580444657</v>
      </c>
    </row>
    <row r="26" spans="1:22">
      <c r="B26" s="6" t="s">
        <v>282</v>
      </c>
      <c r="C26" s="6" t="s">
        <v>282</v>
      </c>
      <c r="D26" s="7">
        <v>4059359</v>
      </c>
      <c r="E26" s="8" t="s">
        <v>175</v>
      </c>
      <c r="F26" s="8">
        <v>52850.646785575416</v>
      </c>
      <c r="G26" s="8">
        <v>57443.812400258539</v>
      </c>
      <c r="H26" s="8">
        <v>54262.68230671229</v>
      </c>
      <c r="I26" s="8">
        <v>55720.378457582978</v>
      </c>
      <c r="J26" s="8">
        <v>46693.359181437198</v>
      </c>
      <c r="K26" s="8">
        <v>44559.777176036798</v>
      </c>
      <c r="L26" s="8">
        <v>39606.203045723407</v>
      </c>
      <c r="M26" s="8">
        <v>35711.315914293591</v>
      </c>
      <c r="N26" s="8">
        <v>31159.483962042246</v>
      </c>
      <c r="O26" s="8">
        <v>31372.199525495864</v>
      </c>
      <c r="P26" s="8">
        <v>29199.356428460225</v>
      </c>
      <c r="Q26" s="8">
        <v>28257.848740483947</v>
      </c>
      <c r="R26" s="8">
        <v>26939.152668303457</v>
      </c>
      <c r="S26" s="8">
        <v>31081.644998529035</v>
      </c>
      <c r="T26" s="8">
        <v>27581.640180647173</v>
      </c>
      <c r="U26" s="8">
        <v>27863.958500659017</v>
      </c>
      <c r="V26" s="8">
        <v>23830.752489788585</v>
      </c>
    </row>
    <row r="27" spans="1:22">
      <c r="A27" s="1" t="s">
        <v>275</v>
      </c>
      <c r="B27" s="6" t="s">
        <v>180</v>
      </c>
      <c r="C27" s="6" t="s">
        <v>180</v>
      </c>
      <c r="D27" s="7">
        <v>4059402</v>
      </c>
      <c r="E27" s="8">
        <v>40758.0252075436</v>
      </c>
      <c r="F27" s="8" t="s">
        <v>175</v>
      </c>
      <c r="G27" s="8">
        <v>9604087.9094378054</v>
      </c>
      <c r="H27" s="8">
        <v>37294.137989638271</v>
      </c>
      <c r="I27" s="8">
        <v>43609.977079846969</v>
      </c>
      <c r="J27" s="8">
        <v>35347.908717761908</v>
      </c>
      <c r="K27" s="8">
        <v>35781.50378340212</v>
      </c>
      <c r="L27" s="8">
        <v>31692.031582050022</v>
      </c>
      <c r="M27" s="8">
        <v>30987.671308040655</v>
      </c>
      <c r="N27" s="8">
        <v>26453.392159311934</v>
      </c>
      <c r="O27" s="8">
        <v>27741.876779203816</v>
      </c>
      <c r="P27" s="8">
        <v>25789.923866121044</v>
      </c>
      <c r="Q27" s="8">
        <v>36721.525859778929</v>
      </c>
      <c r="R27" s="8">
        <v>27125.476936924297</v>
      </c>
      <c r="S27" s="8">
        <v>25588.682965337623</v>
      </c>
      <c r="T27" s="8">
        <v>24157.909299318173</v>
      </c>
      <c r="U27" s="8">
        <v>23747.632886035764</v>
      </c>
      <c r="V27" s="8">
        <v>23800.213573929435</v>
      </c>
    </row>
    <row r="28" spans="1:22">
      <c r="A28" s="1" t="s">
        <v>275</v>
      </c>
      <c r="B28" s="6" t="s">
        <v>182</v>
      </c>
      <c r="C28" s="6" t="s">
        <v>182</v>
      </c>
      <c r="D28" s="7">
        <v>4057080</v>
      </c>
      <c r="E28" s="8">
        <v>186918.22878105156</v>
      </c>
      <c r="F28" s="8">
        <v>191235.35887312822</v>
      </c>
      <c r="G28" s="8">
        <v>202425.87382257925</v>
      </c>
      <c r="H28" s="8">
        <v>219540.89879044687</v>
      </c>
      <c r="I28" s="8">
        <v>216324.47206790411</v>
      </c>
      <c r="J28" s="8">
        <v>201620.18959006027</v>
      </c>
      <c r="K28" s="8">
        <v>211490.43836559949</v>
      </c>
      <c r="L28" s="8">
        <v>195770.37437024011</v>
      </c>
      <c r="M28" s="8">
        <v>164934.22360613337</v>
      </c>
      <c r="N28" s="8">
        <v>158721.26030445073</v>
      </c>
      <c r="O28" s="8">
        <v>169922.28665349682</v>
      </c>
      <c r="P28" s="8">
        <v>159067.64197281143</v>
      </c>
      <c r="Q28" s="8">
        <v>141607.55973049079</v>
      </c>
      <c r="R28" s="8">
        <v>131300.64565739833</v>
      </c>
      <c r="S28" s="8">
        <v>113669.30319602285</v>
      </c>
      <c r="T28" s="8">
        <v>107125.42669588438</v>
      </c>
      <c r="U28" s="8">
        <v>99506.429596911374</v>
      </c>
      <c r="V28" s="8">
        <v>89095.450673002488</v>
      </c>
    </row>
    <row r="29" spans="1:22">
      <c r="B29" s="6" t="s">
        <v>183</v>
      </c>
      <c r="C29" s="6" t="s">
        <v>183</v>
      </c>
      <c r="D29" s="7">
        <v>4057081</v>
      </c>
      <c r="E29" s="8">
        <v>153402.99862530513</v>
      </c>
      <c r="F29" s="8">
        <v>150639.8290703852</v>
      </c>
      <c r="G29" s="8">
        <v>166107.85904471367</v>
      </c>
      <c r="H29" s="8">
        <v>165560.25388730245</v>
      </c>
      <c r="I29" s="8">
        <v>154751.00352773763</v>
      </c>
      <c r="J29" s="8">
        <v>161935.12746474223</v>
      </c>
      <c r="K29" s="8">
        <v>163715.43187126672</v>
      </c>
      <c r="L29" s="8">
        <v>158355.36689604638</v>
      </c>
      <c r="M29" s="8">
        <v>160571.44047582915</v>
      </c>
      <c r="N29" s="8">
        <v>160237.80950769695</v>
      </c>
      <c r="O29" s="8">
        <v>156052.99481634604</v>
      </c>
      <c r="P29" s="8">
        <v>154636.14069919862</v>
      </c>
      <c r="Q29" s="8">
        <v>159956.92275423656</v>
      </c>
      <c r="R29" s="8">
        <v>158197.63017884188</v>
      </c>
      <c r="S29" s="8">
        <v>147569.60891129024</v>
      </c>
      <c r="T29" s="8">
        <v>146737.11067807034</v>
      </c>
      <c r="U29" s="8">
        <v>152893.38162132844</v>
      </c>
      <c r="V29" s="8">
        <v>132751.44799944502</v>
      </c>
    </row>
    <row r="30" spans="1:22">
      <c r="A30" s="1" t="s">
        <v>275</v>
      </c>
      <c r="B30" s="6" t="s">
        <v>185</v>
      </c>
      <c r="C30" s="6" t="s">
        <v>185</v>
      </c>
      <c r="D30" s="7">
        <v>4059459</v>
      </c>
      <c r="E30" s="8">
        <v>4768.4430342614651</v>
      </c>
      <c r="F30" s="8">
        <v>4078.1322755255187</v>
      </c>
      <c r="G30" s="8">
        <v>4145.0078305686275</v>
      </c>
      <c r="H30" s="8">
        <v>4117.2570613022808</v>
      </c>
      <c r="I30" s="8">
        <v>4083.5247645933046</v>
      </c>
      <c r="J30" s="8">
        <v>3642.7560075754427</v>
      </c>
      <c r="K30" s="8">
        <v>3802.4687620092254</v>
      </c>
      <c r="L30" s="8">
        <v>3707.4202684099355</v>
      </c>
      <c r="M30" s="8">
        <v>3214.8841971243605</v>
      </c>
      <c r="N30" s="8">
        <v>3299.8781063834372</v>
      </c>
      <c r="O30" s="8">
        <v>3068.1799501543978</v>
      </c>
      <c r="P30" s="8">
        <v>3081.1378930465876</v>
      </c>
      <c r="Q30" s="8">
        <v>2924.6022980664411</v>
      </c>
      <c r="R30" s="8">
        <v>2666.2365758440105</v>
      </c>
      <c r="S30" s="8">
        <v>2481.6255338861183</v>
      </c>
      <c r="T30" s="8">
        <v>2347.565185409333</v>
      </c>
      <c r="U30" s="8">
        <v>1609.8696056626816</v>
      </c>
      <c r="V30" s="8">
        <v>1560.7171692020775</v>
      </c>
    </row>
    <row r="31" spans="1:22">
      <c r="B31" s="6" t="s">
        <v>186</v>
      </c>
      <c r="C31" s="6" t="s">
        <v>186</v>
      </c>
      <c r="D31" s="7">
        <v>4057118</v>
      </c>
      <c r="E31" s="8">
        <v>5042.5118815214828</v>
      </c>
      <c r="F31" s="8">
        <v>3626.644622575649</v>
      </c>
      <c r="G31" s="8">
        <v>3665.2453662990301</v>
      </c>
      <c r="H31" s="8">
        <v>5507.9010061989256</v>
      </c>
      <c r="I31" s="8">
        <v>5447.7825750789998</v>
      </c>
      <c r="J31" s="8">
        <v>5554.405085518536</v>
      </c>
      <c r="K31" s="8">
        <v>5576.6168365904905</v>
      </c>
      <c r="L31" s="8">
        <v>5357.7901666799316</v>
      </c>
      <c r="M31" s="8">
        <v>5270.2001937570803</v>
      </c>
      <c r="N31" s="8">
        <v>5203.7707546758174</v>
      </c>
      <c r="O31" s="8">
        <v>4999.736873138464</v>
      </c>
      <c r="P31" s="8">
        <v>5367.0819401026693</v>
      </c>
      <c r="Q31" s="8">
        <v>5718.6024133956826</v>
      </c>
      <c r="R31" s="8">
        <v>5382.7310666643916</v>
      </c>
      <c r="S31" s="8">
        <v>4955.1767642127252</v>
      </c>
      <c r="T31" s="8">
        <v>4694.7776442763952</v>
      </c>
      <c r="U31" s="8">
        <v>4618.3119243252986</v>
      </c>
      <c r="V31" s="8">
        <v>4418.20164256302</v>
      </c>
    </row>
    <row r="32" spans="1:22">
      <c r="B32" s="6" t="s">
        <v>188</v>
      </c>
      <c r="C32" s="6" t="s">
        <v>188</v>
      </c>
      <c r="D32" s="7">
        <v>4057126</v>
      </c>
      <c r="E32" s="8">
        <v>214706.70715614362</v>
      </c>
      <c r="F32" s="8">
        <v>201094.86997137719</v>
      </c>
      <c r="G32" s="8">
        <v>205726.58221451283</v>
      </c>
      <c r="H32" s="8">
        <v>196712.18534727077</v>
      </c>
      <c r="I32" s="8">
        <v>194500.73178228136</v>
      </c>
      <c r="J32" s="8">
        <v>173221.80731114658</v>
      </c>
      <c r="K32" s="8">
        <v>173547.9372991047</v>
      </c>
      <c r="L32" s="8">
        <v>182428.37251435855</v>
      </c>
      <c r="M32" s="8">
        <v>171929.09158416279</v>
      </c>
      <c r="N32" s="8">
        <v>156910.0804260539</v>
      </c>
      <c r="O32" s="8">
        <v>154801.64057628348</v>
      </c>
      <c r="P32" s="8">
        <v>151617.02790051163</v>
      </c>
      <c r="Q32" s="8">
        <v>141898.26707322494</v>
      </c>
      <c r="R32" s="8">
        <v>147226.46132902702</v>
      </c>
      <c r="S32" s="8">
        <v>152563.29164632474</v>
      </c>
      <c r="T32" s="8">
        <v>145564.62712724859</v>
      </c>
      <c r="U32" s="8">
        <v>157566.71295435604</v>
      </c>
      <c r="V32" s="8">
        <v>142019.48525886529</v>
      </c>
    </row>
    <row r="33" spans="1:22">
      <c r="B33" s="6" t="s">
        <v>283</v>
      </c>
      <c r="C33" s="6" t="s">
        <v>283</v>
      </c>
      <c r="D33" s="7">
        <v>4057103</v>
      </c>
      <c r="E33" s="8" t="s">
        <v>175</v>
      </c>
      <c r="F33" s="8" t="s">
        <v>175</v>
      </c>
      <c r="G33" s="8">
        <v>12030.14367800814</v>
      </c>
      <c r="H33" s="8">
        <v>13299.687141447155</v>
      </c>
      <c r="I33" s="8">
        <v>12823.794140600212</v>
      </c>
      <c r="J33" s="8" t="s">
        <v>175</v>
      </c>
      <c r="K33" s="8">
        <v>11851.679424048434</v>
      </c>
      <c r="L33" s="8">
        <v>12146.828046938097</v>
      </c>
      <c r="M33" s="8">
        <v>11512.494402316632</v>
      </c>
      <c r="N33" s="8">
        <v>12635.700432633706</v>
      </c>
      <c r="O33" s="8">
        <v>11650.287829829937</v>
      </c>
      <c r="P33" s="8">
        <v>11565.62520244681</v>
      </c>
      <c r="Q33" s="8">
        <v>10930.631271612689</v>
      </c>
      <c r="R33" s="8">
        <v>11035.28004616603</v>
      </c>
      <c r="S33" s="8">
        <v>13854.528122202459</v>
      </c>
      <c r="T33" s="8">
        <v>11621.108257999573</v>
      </c>
      <c r="U33" s="8">
        <v>10986.658232257638</v>
      </c>
      <c r="V33" s="8">
        <v>8511.0001440436499</v>
      </c>
    </row>
    <row r="34" spans="1:22">
      <c r="B34" s="6" t="s">
        <v>189</v>
      </c>
      <c r="C34" s="6" t="s">
        <v>189</v>
      </c>
      <c r="D34" s="7">
        <v>4057079</v>
      </c>
      <c r="E34" s="8">
        <v>50127.64074247214</v>
      </c>
      <c r="F34" s="8">
        <v>41892.738645603589</v>
      </c>
      <c r="G34" s="8">
        <v>46492.820360366204</v>
      </c>
      <c r="H34" s="8">
        <v>48901.632014584204</v>
      </c>
      <c r="I34" s="8">
        <v>45210.348192737147</v>
      </c>
      <c r="J34" s="8">
        <v>44847.924177244713</v>
      </c>
      <c r="K34" s="8">
        <v>48159.139272488632</v>
      </c>
      <c r="L34" s="8">
        <v>45778.938973566226</v>
      </c>
      <c r="M34" s="8">
        <v>51587.971099842842</v>
      </c>
      <c r="N34" s="8">
        <v>49660.229524335162</v>
      </c>
      <c r="O34" s="8">
        <v>51671.790267256358</v>
      </c>
      <c r="P34" s="8">
        <v>50735.872094220787</v>
      </c>
      <c r="Q34" s="8">
        <v>39002.661946464228</v>
      </c>
      <c r="R34" s="8">
        <v>40246.491224050187</v>
      </c>
      <c r="S34" s="8">
        <v>48408.883618836873</v>
      </c>
      <c r="T34" s="8">
        <v>48996.799783332099</v>
      </c>
      <c r="U34" s="8">
        <v>45176.023563432711</v>
      </c>
      <c r="V34" s="8">
        <v>41748.522045782462</v>
      </c>
    </row>
    <row r="35" spans="1:22">
      <c r="B35" s="6" t="s">
        <v>284</v>
      </c>
      <c r="C35" s="6" t="s">
        <v>285</v>
      </c>
      <c r="D35" s="7">
        <v>4081251</v>
      </c>
      <c r="E35" s="8" t="s">
        <v>175</v>
      </c>
      <c r="F35" s="8" t="s">
        <v>175</v>
      </c>
      <c r="G35" s="8">
        <v>341.87625655546015</v>
      </c>
      <c r="H35" s="8">
        <v>359.93778729547932</v>
      </c>
      <c r="I35" s="8">
        <v>320.22297165019762</v>
      </c>
      <c r="J35" s="8">
        <v>330.81799695918511</v>
      </c>
      <c r="K35" s="8" t="s">
        <v>175</v>
      </c>
      <c r="L35" s="8">
        <v>290.47210366303403</v>
      </c>
      <c r="M35" s="8">
        <v>253.03876991018524</v>
      </c>
      <c r="N35" s="8">
        <v>269.90141064865452</v>
      </c>
      <c r="O35" s="8">
        <v>253.22452326007934</v>
      </c>
      <c r="P35" s="8">
        <v>264.36194520088384</v>
      </c>
      <c r="Q35" s="8">
        <v>231.45180876534798</v>
      </c>
      <c r="R35" s="8">
        <v>228.77922808512494</v>
      </c>
      <c r="S35" s="8">
        <v>222.69683373024904</v>
      </c>
      <c r="T35" s="8">
        <v>225.81243759043289</v>
      </c>
      <c r="U35" s="8">
        <v>223.97936910151822</v>
      </c>
      <c r="V35" s="8">
        <v>225.61773508006181</v>
      </c>
    </row>
    <row r="36" spans="1:22">
      <c r="B36" s="6" t="s">
        <v>286</v>
      </c>
      <c r="C36" s="6" t="s">
        <v>286</v>
      </c>
      <c r="D36" s="7">
        <v>4060572</v>
      </c>
      <c r="E36" s="8" t="s">
        <v>175</v>
      </c>
      <c r="F36" s="8">
        <v>16484.384514141821</v>
      </c>
      <c r="G36" s="8">
        <v>20033.01217120378</v>
      </c>
      <c r="H36" s="8">
        <v>15677.594382433821</v>
      </c>
      <c r="I36" s="8">
        <v>16815.751175187059</v>
      </c>
      <c r="J36" s="8">
        <v>16696.403447712422</v>
      </c>
      <c r="K36" s="8">
        <v>16720.515574656387</v>
      </c>
      <c r="L36" s="8">
        <v>17413.251394323437</v>
      </c>
      <c r="M36" s="8">
        <v>14094.865026384519</v>
      </c>
      <c r="N36" s="8">
        <v>13458.232852052324</v>
      </c>
      <c r="O36" s="8">
        <v>13245.846515303596</v>
      </c>
      <c r="P36" s="8">
        <v>15017.945722985236</v>
      </c>
      <c r="Q36" s="8">
        <v>13697.057524373227</v>
      </c>
      <c r="R36" s="8">
        <v>15609.61124478736</v>
      </c>
      <c r="S36" s="8">
        <v>13464.995949605052</v>
      </c>
      <c r="T36" s="8">
        <v>13987.852664615415</v>
      </c>
      <c r="U36" s="8">
        <v>17472.993563245895</v>
      </c>
      <c r="V36" s="8">
        <v>14844.842901294454</v>
      </c>
    </row>
    <row r="37" spans="1:22">
      <c r="B37" s="6" t="s">
        <v>287</v>
      </c>
      <c r="C37" s="6" t="s">
        <v>287</v>
      </c>
      <c r="D37" s="7">
        <v>4083318</v>
      </c>
      <c r="E37" s="8" t="s">
        <v>175</v>
      </c>
      <c r="F37" s="8">
        <v>931.4215948453683</v>
      </c>
      <c r="G37" s="8">
        <v>945.67019171001255</v>
      </c>
      <c r="H37" s="8">
        <v>751.86579149000033</v>
      </c>
      <c r="I37" s="8">
        <v>671.10264228786377</v>
      </c>
      <c r="J37" s="8">
        <v>795.55235212148852</v>
      </c>
      <c r="K37" s="8">
        <v>698.56059189666507</v>
      </c>
      <c r="L37" s="8">
        <v>756.18100064842986</v>
      </c>
      <c r="M37" s="8">
        <v>880.77887117088289</v>
      </c>
      <c r="N37" s="8">
        <v>858.47622782838096</v>
      </c>
      <c r="O37" s="8">
        <v>889.63495573953685</v>
      </c>
      <c r="P37" s="8">
        <v>951.14043251512805</v>
      </c>
      <c r="Q37" s="8">
        <v>886.17396838991488</v>
      </c>
      <c r="R37" s="8">
        <v>992.78051396210685</v>
      </c>
      <c r="S37" s="8">
        <v>839.59954813796071</v>
      </c>
      <c r="T37" s="8">
        <v>811.11639398645104</v>
      </c>
      <c r="U37" s="8">
        <v>806.13158252276207</v>
      </c>
      <c r="V37" s="8">
        <v>789.5206950889941</v>
      </c>
    </row>
    <row r="38" spans="1:22">
      <c r="B38" s="6" t="s">
        <v>288</v>
      </c>
      <c r="C38" s="6" t="s">
        <v>288</v>
      </c>
      <c r="D38" s="7">
        <v>4057125</v>
      </c>
      <c r="E38" s="8" t="s">
        <v>175</v>
      </c>
      <c r="F38" s="8">
        <v>65611.056211762698</v>
      </c>
      <c r="G38" s="8">
        <v>79151.240817925631</v>
      </c>
      <c r="H38" s="8">
        <v>66045.303036055382</v>
      </c>
      <c r="I38" s="8">
        <v>64233.188751617658</v>
      </c>
      <c r="J38" s="8">
        <v>59391.065934234604</v>
      </c>
      <c r="K38" s="8">
        <v>59809.648764872327</v>
      </c>
      <c r="L38" s="8">
        <v>61289.711985659524</v>
      </c>
      <c r="M38" s="8">
        <v>58348.620570138002</v>
      </c>
      <c r="N38" s="8">
        <v>53499.36049879223</v>
      </c>
      <c r="O38" s="8">
        <v>53910.40444627095</v>
      </c>
      <c r="P38" s="8">
        <v>52231.729959328812</v>
      </c>
      <c r="Q38" s="8">
        <v>53088.97291662659</v>
      </c>
      <c r="R38" s="8">
        <v>52351.177683720452</v>
      </c>
      <c r="S38" s="8">
        <v>51207.138144024575</v>
      </c>
      <c r="T38" s="8">
        <v>46882.361341476862</v>
      </c>
      <c r="U38" s="8">
        <v>48006.952120178386</v>
      </c>
      <c r="V38" s="8">
        <v>46740.958497649612</v>
      </c>
    </row>
    <row r="39" spans="1:22">
      <c r="B39" s="6" t="s">
        <v>289</v>
      </c>
      <c r="C39" s="6" t="s">
        <v>289</v>
      </c>
      <c r="D39" s="7">
        <v>4087741</v>
      </c>
      <c r="E39" s="8" t="s">
        <v>175</v>
      </c>
      <c r="F39" s="8" t="s">
        <v>175</v>
      </c>
      <c r="G39" s="8" t="s">
        <v>175</v>
      </c>
      <c r="H39" s="8">
        <v>77542.787218667858</v>
      </c>
      <c r="I39" s="8">
        <v>72747.431465887043</v>
      </c>
      <c r="J39" s="8">
        <v>79726.280460794878</v>
      </c>
      <c r="K39" s="8">
        <v>77291.283113590587</v>
      </c>
      <c r="L39" s="8">
        <v>79031.12646718639</v>
      </c>
      <c r="M39" s="8">
        <v>74703.651704099728</v>
      </c>
      <c r="N39" s="8">
        <v>69534.525743752718</v>
      </c>
      <c r="O39" s="8">
        <v>68332.937206093222</v>
      </c>
      <c r="P39" s="8">
        <v>65858.419460827339</v>
      </c>
      <c r="Q39" s="8">
        <v>67582.89098287301</v>
      </c>
      <c r="R39" s="8">
        <v>66388.967033272827</v>
      </c>
      <c r="S39" s="8">
        <v>63518.439286301764</v>
      </c>
      <c r="T39" s="8">
        <v>63639.153306143475</v>
      </c>
      <c r="U39" s="8">
        <v>62153.808165219452</v>
      </c>
      <c r="V39" s="8">
        <v>56862.034888043141</v>
      </c>
    </row>
    <row r="40" spans="1:22">
      <c r="B40" s="6" t="s">
        <v>290</v>
      </c>
      <c r="C40" s="6" t="s">
        <v>290</v>
      </c>
      <c r="D40" s="7">
        <v>4059875</v>
      </c>
      <c r="E40" s="8" t="s">
        <v>175</v>
      </c>
      <c r="F40" s="8">
        <v>15460.767023422468</v>
      </c>
      <c r="G40" s="8">
        <v>15281.005969766538</v>
      </c>
      <c r="H40" s="8">
        <v>16931.342921894538</v>
      </c>
      <c r="I40" s="8">
        <v>16242.032634394238</v>
      </c>
      <c r="J40" s="8">
        <v>15847.599536527749</v>
      </c>
      <c r="K40" s="8">
        <v>16877.943937808082</v>
      </c>
      <c r="L40" s="8">
        <v>16765.344949379636</v>
      </c>
      <c r="M40" s="8">
        <v>10442.952943215379</v>
      </c>
      <c r="N40" s="8">
        <v>9485.8856867903269</v>
      </c>
      <c r="O40" s="8">
        <v>13325.279839622404</v>
      </c>
      <c r="P40" s="8">
        <v>13913.217240708191</v>
      </c>
      <c r="Q40" s="8">
        <v>12183.339162506993</v>
      </c>
      <c r="R40" s="8">
        <v>11339.387710533385</v>
      </c>
      <c r="S40" s="8">
        <v>9962.9731105987958</v>
      </c>
      <c r="T40" s="8">
        <v>9606.7912189234194</v>
      </c>
      <c r="U40" s="8">
        <v>8210.6427684619448</v>
      </c>
      <c r="V40" s="8">
        <v>8384.7176856440601</v>
      </c>
    </row>
    <row r="41" spans="1:22">
      <c r="B41" s="6" t="s">
        <v>190</v>
      </c>
      <c r="C41" s="6" t="s">
        <v>190</v>
      </c>
      <c r="D41" s="7">
        <v>4057090</v>
      </c>
      <c r="E41" s="8">
        <v>41449.262762158076</v>
      </c>
      <c r="F41" s="8">
        <v>43837.857090121077</v>
      </c>
      <c r="G41" s="8">
        <v>43583.991772611131</v>
      </c>
      <c r="H41" s="8">
        <v>40357.283287618513</v>
      </c>
      <c r="I41" s="8">
        <v>36670.203822853655</v>
      </c>
      <c r="J41" s="8">
        <v>34806.010484860053</v>
      </c>
      <c r="K41" s="8">
        <v>36270.965243360668</v>
      </c>
      <c r="L41" s="8">
        <v>33522.790375103024</v>
      </c>
      <c r="M41" s="8">
        <v>32350.529807429437</v>
      </c>
      <c r="N41" s="8">
        <v>29822.876138340784</v>
      </c>
      <c r="O41" s="8">
        <v>30897.410878183491</v>
      </c>
      <c r="P41" s="8">
        <v>28699.082377253868</v>
      </c>
      <c r="Q41" s="8">
        <v>30073.765045951917</v>
      </c>
      <c r="R41" s="8">
        <v>28192.910317465256</v>
      </c>
      <c r="S41" s="8">
        <v>25600.5108869291</v>
      </c>
      <c r="T41" s="8">
        <v>24964.20616110081</v>
      </c>
      <c r="U41" s="8">
        <v>26048.011123085274</v>
      </c>
      <c r="V41" s="8">
        <v>25113.530859423179</v>
      </c>
    </row>
    <row r="42" spans="1:22">
      <c r="B42" s="6" t="s">
        <v>191</v>
      </c>
      <c r="C42" s="6" t="s">
        <v>191</v>
      </c>
      <c r="D42" s="7">
        <v>4008754</v>
      </c>
      <c r="E42" s="8">
        <v>25265.526510407704</v>
      </c>
      <c r="F42" s="8">
        <v>24420.823771378451</v>
      </c>
      <c r="G42" s="8">
        <v>23656.702868771878</v>
      </c>
      <c r="H42" s="8">
        <v>21297.225638774915</v>
      </c>
      <c r="I42" s="8">
        <v>21389.464598617527</v>
      </c>
      <c r="J42" s="8">
        <v>20796.210570144445</v>
      </c>
      <c r="K42" s="8">
        <v>20282.832114696663</v>
      </c>
      <c r="L42" s="8">
        <v>20112.055118208595</v>
      </c>
      <c r="M42" s="8">
        <v>20595.23041668567</v>
      </c>
      <c r="N42" s="8">
        <v>21394.284605269604</v>
      </c>
      <c r="O42" s="8">
        <v>20251.496161996474</v>
      </c>
      <c r="P42" s="8">
        <v>19673.298417579175</v>
      </c>
      <c r="Q42" s="8">
        <v>17483.754272404363</v>
      </c>
      <c r="R42" s="8">
        <v>17916.704930453558</v>
      </c>
      <c r="S42" s="8">
        <v>16881.182652616517</v>
      </c>
      <c r="T42" s="8">
        <v>16451.69977978096</v>
      </c>
      <c r="U42" s="8">
        <v>15093.13694424327</v>
      </c>
      <c r="V42" s="8">
        <v>15663.413902015847</v>
      </c>
    </row>
    <row r="43" spans="1:22">
      <c r="B43" s="6" t="s">
        <v>291</v>
      </c>
      <c r="C43" s="6" t="s">
        <v>291</v>
      </c>
      <c r="D43" s="7">
        <v>4061474</v>
      </c>
      <c r="E43" s="8" t="s">
        <v>175</v>
      </c>
      <c r="F43" s="8">
        <v>2317.8992780494227</v>
      </c>
      <c r="G43" s="8">
        <v>2270.2131391781754</v>
      </c>
      <c r="H43" s="8">
        <v>2236.8220921766115</v>
      </c>
      <c r="I43" s="8">
        <v>2136.0218782659213</v>
      </c>
      <c r="J43" s="8">
        <v>2159.4414653183094</v>
      </c>
      <c r="K43" s="8">
        <v>2087.9053162837899</v>
      </c>
      <c r="L43" s="8">
        <v>2104.1402923763721</v>
      </c>
      <c r="M43" s="8">
        <v>2114.2586615517935</v>
      </c>
      <c r="N43" s="8">
        <v>1992.3296572680067</v>
      </c>
      <c r="O43" s="8">
        <v>1868.9570649896198</v>
      </c>
      <c r="P43" s="8">
        <v>1801.1307886586594</v>
      </c>
      <c r="Q43" s="8">
        <v>1744.5387684729849</v>
      </c>
      <c r="R43" s="8">
        <v>1715.8393507629912</v>
      </c>
      <c r="S43" s="8">
        <v>1681.6885613434697</v>
      </c>
      <c r="T43" s="8">
        <v>1551.1643572091816</v>
      </c>
      <c r="U43" s="8">
        <v>1447.320782261274</v>
      </c>
      <c r="V43" s="8">
        <v>1403.0229661157812</v>
      </c>
    </row>
    <row r="44" spans="1:22">
      <c r="B44" s="6" t="s">
        <v>292</v>
      </c>
      <c r="C44" s="6" t="s">
        <v>292</v>
      </c>
      <c r="D44" s="7">
        <v>4076679</v>
      </c>
      <c r="E44" s="8" t="s">
        <v>175</v>
      </c>
      <c r="F44" s="8">
        <v>1665.6120597765689</v>
      </c>
      <c r="G44" s="8">
        <v>1627.1456956365118</v>
      </c>
      <c r="H44" s="8">
        <v>1542.8014413487765</v>
      </c>
      <c r="I44" s="8">
        <v>1430.3552260107749</v>
      </c>
      <c r="J44" s="8">
        <v>1390.320598742584</v>
      </c>
      <c r="K44" s="8">
        <v>1452.2075280637412</v>
      </c>
      <c r="L44" s="8">
        <v>1393.1128220022404</v>
      </c>
      <c r="M44" s="8">
        <v>1362.6441646639332</v>
      </c>
      <c r="N44" s="8">
        <v>1337.323695626385</v>
      </c>
      <c r="O44" s="8">
        <v>1313.077830719511</v>
      </c>
      <c r="P44" s="8">
        <v>1269.9229378020873</v>
      </c>
      <c r="Q44" s="8">
        <v>1311.530917262136</v>
      </c>
      <c r="R44" s="8">
        <v>1003.475911759875</v>
      </c>
      <c r="S44" s="8">
        <v>826.91601585247611</v>
      </c>
      <c r="T44" s="8">
        <v>809.72316513519593</v>
      </c>
      <c r="U44" s="8">
        <v>826.53621530188605</v>
      </c>
      <c r="V44" s="8">
        <v>715.33423425787441</v>
      </c>
    </row>
    <row r="45" spans="1:22">
      <c r="B45" s="6" t="s">
        <v>193</v>
      </c>
      <c r="C45" s="6" t="s">
        <v>193</v>
      </c>
      <c r="D45" s="7">
        <v>4061634</v>
      </c>
      <c r="E45" s="8">
        <v>31875.350716647496</v>
      </c>
      <c r="F45" s="8">
        <v>41451.154588075347</v>
      </c>
      <c r="G45" s="8">
        <v>41135.619253077093</v>
      </c>
      <c r="H45" s="8">
        <v>41015.336680100598</v>
      </c>
      <c r="I45" s="8">
        <v>36824.154297527668</v>
      </c>
      <c r="J45" s="8">
        <v>36103.379339563144</v>
      </c>
      <c r="K45" s="8">
        <v>38414.127117812313</v>
      </c>
      <c r="L45" s="8">
        <v>34858.286350872884</v>
      </c>
      <c r="M45" s="8">
        <v>34999.035658858265</v>
      </c>
      <c r="N45" s="8">
        <v>33791.632066058912</v>
      </c>
      <c r="O45" s="8">
        <v>34137.994949861153</v>
      </c>
      <c r="P45" s="8">
        <v>32422.485535210908</v>
      </c>
      <c r="Q45" s="8">
        <v>31459.046834291501</v>
      </c>
      <c r="R45" s="8">
        <v>31420.517367241609</v>
      </c>
      <c r="S45" s="8">
        <v>30816.697198591519</v>
      </c>
      <c r="T45" s="8">
        <v>28353.423909175021</v>
      </c>
      <c r="U45" s="8">
        <v>27182.217811194012</v>
      </c>
      <c r="V45" s="8">
        <v>27134.248505092306</v>
      </c>
    </row>
    <row r="46" spans="1:22">
      <c r="B46" s="6" t="s">
        <v>194</v>
      </c>
      <c r="C46" s="6" t="s">
        <v>194</v>
      </c>
      <c r="D46" s="7">
        <v>4061687</v>
      </c>
      <c r="E46" s="8">
        <v>99870.664228337468</v>
      </c>
      <c r="F46" s="8">
        <v>124214.78818548095</v>
      </c>
      <c r="G46" s="8">
        <v>118430.96128118526</v>
      </c>
      <c r="H46" s="8">
        <v>118846.81843695964</v>
      </c>
      <c r="I46" s="8">
        <v>120081.28046031678</v>
      </c>
      <c r="J46" s="8">
        <v>117754.87789387329</v>
      </c>
      <c r="K46" s="8">
        <v>121242.1842701765</v>
      </c>
      <c r="L46" s="8">
        <v>119111.68105586604</v>
      </c>
      <c r="M46" s="8">
        <v>114222.95645444334</v>
      </c>
      <c r="N46" s="8">
        <v>109006.35812683713</v>
      </c>
      <c r="O46" s="8">
        <v>108846.22684872222</v>
      </c>
      <c r="P46" s="8">
        <v>108048.33341520358</v>
      </c>
      <c r="Q46" s="8">
        <v>105977.42185247158</v>
      </c>
      <c r="R46" s="8">
        <v>113367.21675270851</v>
      </c>
      <c r="S46" s="8">
        <v>114478.35962268537</v>
      </c>
      <c r="T46" s="8">
        <v>115257.22755827004</v>
      </c>
      <c r="U46" s="8">
        <v>118607.25521486733</v>
      </c>
      <c r="V46" s="8">
        <v>113879.40911202892</v>
      </c>
    </row>
    <row r="47" spans="1:22">
      <c r="A47" s="1" t="s">
        <v>275</v>
      </c>
      <c r="B47" s="6" t="s">
        <v>195</v>
      </c>
      <c r="C47" s="6" t="s">
        <v>195</v>
      </c>
      <c r="D47" s="7">
        <v>4061755</v>
      </c>
      <c r="E47" s="8">
        <v>63015.024726195785</v>
      </c>
      <c r="F47" s="8">
        <v>82217.230556477967</v>
      </c>
      <c r="G47" s="8">
        <v>85493.743273103813</v>
      </c>
      <c r="H47" s="8">
        <v>93218.658606239303</v>
      </c>
      <c r="I47" s="8">
        <v>82949.708350125962</v>
      </c>
      <c r="J47" s="8">
        <v>77920.552151001175</v>
      </c>
      <c r="K47" s="8">
        <v>78283.740073078152</v>
      </c>
      <c r="L47" s="8">
        <v>77887.408479171514</v>
      </c>
      <c r="M47" s="8">
        <v>67142.785493767165</v>
      </c>
      <c r="N47" s="8">
        <v>61515.662471742959</v>
      </c>
      <c r="O47" s="8">
        <v>62482.733233143408</v>
      </c>
      <c r="P47" s="8">
        <v>61298.828315294471</v>
      </c>
      <c r="Q47" s="8">
        <v>61416.217305213584</v>
      </c>
      <c r="R47" s="8">
        <v>56641.102658394222</v>
      </c>
      <c r="S47" s="8">
        <v>58987.374950444595</v>
      </c>
      <c r="T47" s="8">
        <v>48464.339545986004</v>
      </c>
      <c r="U47" s="8">
        <v>43627.354575379097</v>
      </c>
      <c r="V47" s="8">
        <v>43387.134938140895</v>
      </c>
    </row>
    <row r="48" spans="1:22">
      <c r="A48" s="1" t="s">
        <v>275</v>
      </c>
      <c r="B48" s="6" t="s">
        <v>197</v>
      </c>
      <c r="C48" s="6" t="s">
        <v>197</v>
      </c>
      <c r="D48" s="7">
        <v>4004389</v>
      </c>
      <c r="E48" s="8">
        <v>52791.439931535184</v>
      </c>
      <c r="F48" s="8">
        <v>51198.362624901652</v>
      </c>
      <c r="G48" s="8">
        <v>51991.018088254117</v>
      </c>
      <c r="H48" s="8">
        <v>55199.82556816213</v>
      </c>
      <c r="I48" s="8">
        <v>49466.600226654708</v>
      </c>
      <c r="J48" s="8">
        <v>53440.614864194809</v>
      </c>
      <c r="K48" s="8">
        <v>47705.769189625069</v>
      </c>
      <c r="L48" s="8">
        <v>47692.371114155547</v>
      </c>
      <c r="M48" s="8">
        <v>50369.95372279283</v>
      </c>
      <c r="N48" s="8">
        <v>48915.431717345149</v>
      </c>
      <c r="O48" s="8">
        <v>51894.565570642619</v>
      </c>
      <c r="P48" s="8">
        <v>40257.369661885052</v>
      </c>
      <c r="Q48" s="8">
        <v>34910.66867094714</v>
      </c>
      <c r="R48" s="8">
        <v>26735.251060464674</v>
      </c>
      <c r="S48" s="8">
        <v>26881.96591704831</v>
      </c>
      <c r="T48" s="8">
        <v>25770.090961378959</v>
      </c>
      <c r="U48" s="8">
        <v>27946.33794199516</v>
      </c>
      <c r="V48" s="8">
        <v>28396.263870752806</v>
      </c>
    </row>
    <row r="49" spans="1:22">
      <c r="A49" s="1" t="s">
        <v>275</v>
      </c>
      <c r="B49" s="6" t="s">
        <v>198</v>
      </c>
      <c r="C49" s="6" t="s">
        <v>198</v>
      </c>
      <c r="D49" s="7">
        <v>4057014</v>
      </c>
      <c r="E49" s="8">
        <v>95872.376853557929</v>
      </c>
      <c r="F49" s="8">
        <v>85341.511203190094</v>
      </c>
      <c r="G49" s="8">
        <v>82856.642447174614</v>
      </c>
      <c r="H49" s="8">
        <v>82279.259420604008</v>
      </c>
      <c r="I49" s="8">
        <v>85403.357770395844</v>
      </c>
      <c r="J49" s="8">
        <v>83394.040052962111</v>
      </c>
      <c r="K49" s="8">
        <v>77137.71051131573</v>
      </c>
      <c r="L49" s="8">
        <v>85228.971046265884</v>
      </c>
      <c r="M49" s="8">
        <v>81370.604592447344</v>
      </c>
      <c r="N49" s="8">
        <v>90084.903706181183</v>
      </c>
      <c r="O49" s="8">
        <v>88522.483634004515</v>
      </c>
      <c r="P49" s="8">
        <v>88459.21300472143</v>
      </c>
      <c r="Q49" s="8">
        <v>71437.588273005123</v>
      </c>
      <c r="R49" s="8">
        <v>59463.789015071001</v>
      </c>
      <c r="S49" s="8">
        <v>53817.932813718005</v>
      </c>
      <c r="T49" s="8">
        <v>56412.528059505275</v>
      </c>
      <c r="U49" s="8">
        <v>52780.535005975871</v>
      </c>
      <c r="V49" s="8">
        <v>57623.108733236208</v>
      </c>
    </row>
    <row r="50" spans="1:22">
      <c r="B50" s="6" t="s">
        <v>199</v>
      </c>
      <c r="C50" s="6" t="s">
        <v>199</v>
      </c>
      <c r="D50" s="7">
        <v>4057130</v>
      </c>
      <c r="E50" s="8">
        <v>22701.637310294638</v>
      </c>
      <c r="F50" s="8">
        <v>21095.516114353668</v>
      </c>
      <c r="G50" s="8">
        <v>22777.415749794869</v>
      </c>
      <c r="H50" s="8">
        <v>24668.180387193584</v>
      </c>
      <c r="I50" s="8">
        <v>24068.658596981826</v>
      </c>
      <c r="J50" s="8">
        <v>26538.050433396726</v>
      </c>
      <c r="K50" s="8">
        <v>31949.59722352033</v>
      </c>
      <c r="L50" s="8">
        <v>36076.807667044093</v>
      </c>
      <c r="M50" s="8">
        <v>27198.424276398593</v>
      </c>
      <c r="N50" s="8">
        <v>24462.000490280625</v>
      </c>
      <c r="O50" s="8">
        <v>26174.797879453181</v>
      </c>
      <c r="P50" s="8">
        <v>27974.850253030549</v>
      </c>
      <c r="Q50" s="8">
        <v>24755.435509419724</v>
      </c>
      <c r="R50" s="8">
        <v>23405.767692914567</v>
      </c>
      <c r="S50" s="8">
        <v>19862.906560865864</v>
      </c>
      <c r="T50" s="8">
        <v>11815.047106748405</v>
      </c>
      <c r="U50" s="8">
        <v>25903.881217645598</v>
      </c>
      <c r="V50" s="8">
        <v>17033.14496822928</v>
      </c>
    </row>
    <row r="51" spans="1:22">
      <c r="B51" s="6" t="s">
        <v>201</v>
      </c>
      <c r="C51" s="6" t="s">
        <v>201</v>
      </c>
      <c r="D51" s="7">
        <v>4057131</v>
      </c>
      <c r="E51" s="8">
        <v>196100.30004486439</v>
      </c>
      <c r="F51" s="8">
        <v>165446.37198868339</v>
      </c>
      <c r="G51" s="8">
        <v>156521.47332761652</v>
      </c>
      <c r="H51" s="8">
        <v>129651.72681811774</v>
      </c>
      <c r="I51" s="8">
        <v>130214.33113148401</v>
      </c>
      <c r="J51" s="8">
        <v>130920.9375980678</v>
      </c>
      <c r="K51" s="8">
        <v>131946.84268054261</v>
      </c>
      <c r="L51" s="8">
        <v>127513.92815992053</v>
      </c>
      <c r="M51" s="8">
        <v>133156.94096915462</v>
      </c>
      <c r="N51" s="8">
        <v>121945.96030694597</v>
      </c>
      <c r="O51" s="8">
        <v>122602.11367553778</v>
      </c>
      <c r="P51" s="8">
        <v>123291.38641678118</v>
      </c>
      <c r="Q51" s="8">
        <v>111970.93901743327</v>
      </c>
      <c r="R51" s="8">
        <v>104486.05532785834</v>
      </c>
      <c r="S51" s="8">
        <v>97967.776583878833</v>
      </c>
      <c r="T51" s="8">
        <v>105515.95214805925</v>
      </c>
      <c r="U51" s="8">
        <v>98922.143561323071</v>
      </c>
      <c r="V51" s="8">
        <v>93447.542300605739</v>
      </c>
    </row>
    <row r="52" spans="1:22">
      <c r="B52" s="6" t="s">
        <v>202</v>
      </c>
      <c r="C52" s="6" t="s">
        <v>202</v>
      </c>
      <c r="D52" s="7">
        <v>4012860</v>
      </c>
      <c r="E52" s="8">
        <v>104270.15019530093</v>
      </c>
      <c r="F52" s="8">
        <v>103992.26690912139</v>
      </c>
      <c r="G52" s="8">
        <v>109538.06678946562</v>
      </c>
      <c r="H52" s="8">
        <v>90570.732383147028</v>
      </c>
      <c r="I52" s="8">
        <v>99311.918310156107</v>
      </c>
      <c r="J52" s="8">
        <v>87130.912645731441</v>
      </c>
      <c r="K52" s="8">
        <v>83383.110163308709</v>
      </c>
      <c r="L52" s="8">
        <v>97692.068795744068</v>
      </c>
      <c r="M52" s="8">
        <v>99166.242988633443</v>
      </c>
      <c r="N52" s="8">
        <v>97479.787324670979</v>
      </c>
      <c r="O52" s="8">
        <v>115420.59681062493</v>
      </c>
      <c r="P52" s="8">
        <v>100828.30374014312</v>
      </c>
      <c r="Q52" s="8">
        <v>94798.933630248488</v>
      </c>
      <c r="R52" s="8">
        <v>84481.431154515682</v>
      </c>
      <c r="S52" s="8">
        <v>82981.582427744157</v>
      </c>
      <c r="T52" s="8">
        <v>80776.382544278138</v>
      </c>
      <c r="U52" s="8">
        <v>82717.253202818785</v>
      </c>
      <c r="V52" s="8">
        <v>79977.258213030465</v>
      </c>
    </row>
    <row r="53" spans="1:22">
      <c r="B53" s="6" t="s">
        <v>204</v>
      </c>
      <c r="C53" s="6" t="s">
        <v>205</v>
      </c>
      <c r="D53" s="7">
        <v>4061925</v>
      </c>
      <c r="E53" s="8">
        <v>10711.238559609676</v>
      </c>
      <c r="F53" s="8">
        <v>10898.807693605224</v>
      </c>
      <c r="G53" s="8">
        <v>11292.127108436638</v>
      </c>
      <c r="H53" s="8">
        <v>10655.250668141378</v>
      </c>
      <c r="I53" s="8">
        <v>10589.077859371235</v>
      </c>
      <c r="J53" s="8">
        <v>11390.254155648781</v>
      </c>
      <c r="K53" s="8">
        <v>11740.690897909964</v>
      </c>
      <c r="L53" s="8">
        <v>11353.66473246768</v>
      </c>
      <c r="M53" s="8">
        <v>10831.09484777619</v>
      </c>
      <c r="N53" s="8">
        <v>10447.266129236748</v>
      </c>
      <c r="O53" s="8">
        <v>9938.018430254102</v>
      </c>
      <c r="P53" s="8">
        <v>9422.7625509835452</v>
      </c>
      <c r="Q53" s="8">
        <v>8796.7257060489574</v>
      </c>
      <c r="R53" s="8">
        <v>7999.9684990343085</v>
      </c>
      <c r="S53" s="8">
        <v>7693.4698670124135</v>
      </c>
      <c r="T53" s="8">
        <v>7096.9857396873394</v>
      </c>
      <c r="U53" s="8">
        <v>7269.170010609394</v>
      </c>
      <c r="V53" s="8">
        <v>7319.8004167187655</v>
      </c>
    </row>
    <row r="54" spans="1:22">
      <c r="B54" s="6" t="s">
        <v>293</v>
      </c>
      <c r="C54" s="6" t="s">
        <v>293</v>
      </c>
      <c r="D54" s="7">
        <v>4057132</v>
      </c>
      <c r="E54" s="8" t="s">
        <v>175</v>
      </c>
      <c r="F54" s="8" t="s">
        <v>175</v>
      </c>
      <c r="G54" s="8" t="s">
        <v>175</v>
      </c>
      <c r="H54" s="8" t="s">
        <v>175</v>
      </c>
      <c r="I54" s="8">
        <v>71144.763000555089</v>
      </c>
      <c r="J54" s="8">
        <v>65976.66530398099</v>
      </c>
      <c r="K54" s="8">
        <v>68850.499082911017</v>
      </c>
      <c r="L54" s="8">
        <v>60017.438109170274</v>
      </c>
      <c r="M54" s="8">
        <v>60495.156941816</v>
      </c>
      <c r="N54" s="8">
        <v>56396.847842729141</v>
      </c>
      <c r="O54" s="8">
        <v>54433.130365542194</v>
      </c>
      <c r="P54" s="8">
        <v>54238.819748945301</v>
      </c>
      <c r="Q54" s="8">
        <v>58264.58490714903</v>
      </c>
      <c r="R54" s="8">
        <v>51960.964964347208</v>
      </c>
      <c r="S54" s="8">
        <v>54744.671384937938</v>
      </c>
      <c r="T54" s="8">
        <v>51975.50069878895</v>
      </c>
      <c r="U54" s="8">
        <v>50979.036768319755</v>
      </c>
      <c r="V54" s="8">
        <v>46347.76842041262</v>
      </c>
    </row>
    <row r="55" spans="1:22">
      <c r="A55" s="1" t="s">
        <v>275</v>
      </c>
      <c r="B55" s="6" t="s">
        <v>294</v>
      </c>
      <c r="C55" s="6" t="s">
        <v>294</v>
      </c>
      <c r="D55" s="7">
        <v>4057115</v>
      </c>
      <c r="E55" s="8" t="s">
        <v>175</v>
      </c>
      <c r="F55" s="8">
        <v>25924.325302047197</v>
      </c>
      <c r="G55" s="8">
        <v>26059.417668921022</v>
      </c>
      <c r="H55" s="8">
        <v>24229.766907374495</v>
      </c>
      <c r="I55" s="8">
        <v>23103.689874645297</v>
      </c>
      <c r="J55" s="8">
        <v>24613.528866761815</v>
      </c>
      <c r="K55" s="8">
        <v>28385.401181735466</v>
      </c>
      <c r="L55" s="8">
        <v>31429.623033460663</v>
      </c>
      <c r="M55" s="8">
        <v>31918.103370102552</v>
      </c>
      <c r="N55" s="8">
        <v>29393.597852185238</v>
      </c>
      <c r="O55" s="8">
        <v>29264.872753870306</v>
      </c>
      <c r="P55" s="8">
        <v>27197.939740543981</v>
      </c>
      <c r="Q55" s="8">
        <v>21211.595403353735</v>
      </c>
      <c r="R55" s="8">
        <v>22538.464090471964</v>
      </c>
      <c r="S55" s="8">
        <v>23701.386202489004</v>
      </c>
      <c r="T55" s="8">
        <v>23675.149693439787</v>
      </c>
      <c r="U55" s="8">
        <v>23949.807142880833</v>
      </c>
      <c r="V55" s="8">
        <v>22615.866156406832</v>
      </c>
    </row>
    <row r="56" spans="1:22">
      <c r="B56" s="6" t="s">
        <v>206</v>
      </c>
      <c r="C56" s="6" t="s">
        <v>206</v>
      </c>
      <c r="D56" s="7">
        <v>4064479</v>
      </c>
      <c r="E56" s="8">
        <v>4184.2268192442534</v>
      </c>
      <c r="F56" s="8">
        <v>3963.1206684449871</v>
      </c>
      <c r="G56" s="8">
        <v>4520.5013065575022</v>
      </c>
      <c r="H56" s="8">
        <v>4144.8035984800026</v>
      </c>
      <c r="I56" s="8">
        <v>4151.439022008125</v>
      </c>
      <c r="J56" s="8">
        <v>3942.0154963251489</v>
      </c>
      <c r="K56" s="8">
        <v>3738.6639001486878</v>
      </c>
      <c r="L56" s="8">
        <v>3626.8248511942397</v>
      </c>
      <c r="M56" s="8">
        <v>3524.5866938872041</v>
      </c>
      <c r="N56" s="8">
        <v>3619.709483348694</v>
      </c>
      <c r="O56" s="8">
        <v>3611.3240842695345</v>
      </c>
      <c r="P56" s="8">
        <v>3672.1813767703243</v>
      </c>
      <c r="Q56" s="8">
        <v>3820.86026940589</v>
      </c>
      <c r="R56" s="8">
        <v>3561.5959275738101</v>
      </c>
      <c r="S56" s="8">
        <v>3463.9709841071881</v>
      </c>
      <c r="T56" s="8">
        <v>3481.6100742839626</v>
      </c>
      <c r="U56" s="8">
        <v>3313.2561051588359</v>
      </c>
      <c r="V56" s="8">
        <v>3406.9736878753993</v>
      </c>
    </row>
    <row r="57" spans="1:22">
      <c r="B57" s="6" t="s">
        <v>295</v>
      </c>
      <c r="C57" s="6" t="s">
        <v>295</v>
      </c>
      <c r="D57" s="7">
        <v>4062025</v>
      </c>
      <c r="E57" s="8" t="s">
        <v>175</v>
      </c>
      <c r="F57" s="8">
        <v>5592.1854349071309</v>
      </c>
      <c r="G57" s="8">
        <v>5704.7146404033083</v>
      </c>
      <c r="H57" s="8">
        <v>4343.7674673234806</v>
      </c>
      <c r="I57" s="8">
        <v>4519.5298435713612</v>
      </c>
      <c r="J57" s="8">
        <v>4598.7615805787173</v>
      </c>
      <c r="K57" s="8">
        <v>3736.5532299210658</v>
      </c>
      <c r="L57" s="8">
        <v>3780.7573787070373</v>
      </c>
      <c r="M57" s="8">
        <v>3775.6662071589076</v>
      </c>
      <c r="N57" s="8">
        <v>3843.9029003550436</v>
      </c>
      <c r="O57" s="8">
        <v>3639.5171251655329</v>
      </c>
      <c r="P57" s="8">
        <v>3265.2547179363623</v>
      </c>
      <c r="Q57" s="8">
        <v>3396.3617403029903</v>
      </c>
      <c r="R57" s="8">
        <v>3197.419583684883</v>
      </c>
      <c r="S57" s="8">
        <v>3148.8464225760358</v>
      </c>
      <c r="T57" s="8">
        <v>2985.3549663904105</v>
      </c>
      <c r="U57" s="8">
        <v>2972.5471248726881</v>
      </c>
      <c r="V57" s="8">
        <v>2931.0025888548548</v>
      </c>
    </row>
    <row r="58" spans="1:22">
      <c r="B58" s="6" t="s">
        <v>296</v>
      </c>
      <c r="C58" s="6" t="s">
        <v>296</v>
      </c>
      <c r="D58" s="7">
        <v>4064481</v>
      </c>
      <c r="E58" s="8" t="s">
        <v>175</v>
      </c>
      <c r="F58" s="8" t="s">
        <v>175</v>
      </c>
      <c r="G58" s="8" t="s">
        <v>175</v>
      </c>
      <c r="H58" s="8">
        <v>86197.848190538571</v>
      </c>
      <c r="I58" s="8">
        <v>89446.625299566309</v>
      </c>
      <c r="J58" s="8">
        <v>91088.859989218705</v>
      </c>
      <c r="K58" s="8">
        <v>93908.665713540788</v>
      </c>
      <c r="L58" s="8">
        <v>92223.136007510388</v>
      </c>
      <c r="M58" s="8">
        <v>88974.586744708824</v>
      </c>
      <c r="N58" s="8">
        <v>82770.053260456843</v>
      </c>
      <c r="O58" s="8">
        <v>89138.435444482602</v>
      </c>
      <c r="P58" s="8">
        <v>84374.344619873315</v>
      </c>
      <c r="Q58" s="8">
        <v>84056.578002522525</v>
      </c>
      <c r="R58" s="8">
        <v>77136.998411840323</v>
      </c>
      <c r="S58" s="8">
        <v>79125.153787010029</v>
      </c>
      <c r="T58" s="8">
        <v>79066.000430426822</v>
      </c>
      <c r="U58" s="8">
        <v>73591.378736517159</v>
      </c>
      <c r="V58" s="8">
        <v>68990.582931063051</v>
      </c>
    </row>
    <row r="59" spans="1:22">
      <c r="A59" s="1" t="s">
        <v>275</v>
      </c>
      <c r="B59" s="6" t="s">
        <v>207</v>
      </c>
      <c r="C59" s="6" t="s">
        <v>207</v>
      </c>
      <c r="D59" s="7">
        <v>4057093</v>
      </c>
      <c r="E59" s="8">
        <v>36289.335199840541</v>
      </c>
      <c r="F59" s="8">
        <v>38585.552603824442</v>
      </c>
      <c r="G59" s="8">
        <v>40968.334991401658</v>
      </c>
      <c r="H59" s="8">
        <v>40266.618376673767</v>
      </c>
      <c r="I59" s="8">
        <v>36866.979976522802</v>
      </c>
      <c r="J59" s="8">
        <v>29830.54051231057</v>
      </c>
      <c r="K59" s="8">
        <v>32451.099745113952</v>
      </c>
      <c r="L59" s="8">
        <v>33954.671076626488</v>
      </c>
      <c r="M59" s="8">
        <v>33997.974684585926</v>
      </c>
      <c r="N59" s="8">
        <v>34267.909817883403</v>
      </c>
      <c r="O59" s="8">
        <v>33839.840058673537</v>
      </c>
      <c r="P59" s="8">
        <v>31818.807517694335</v>
      </c>
      <c r="Q59" s="8">
        <v>29156.037687573487</v>
      </c>
      <c r="R59" s="8">
        <v>27433.670815731974</v>
      </c>
      <c r="S59" s="8">
        <v>27425.942564272918</v>
      </c>
      <c r="T59" s="8">
        <v>23875.073216607118</v>
      </c>
      <c r="U59" s="8">
        <v>23338.205921053581</v>
      </c>
      <c r="V59" s="8">
        <v>24334.765848066636</v>
      </c>
    </row>
    <row r="60" spans="1:22">
      <c r="B60" s="6" t="s">
        <v>208</v>
      </c>
      <c r="C60" s="6" t="s">
        <v>208</v>
      </c>
      <c r="D60" s="7">
        <v>4004218</v>
      </c>
      <c r="E60" s="8">
        <v>671333.7726581461</v>
      </c>
      <c r="F60" s="8">
        <v>610484.16884795646</v>
      </c>
      <c r="G60" s="8">
        <v>611799.52480874443</v>
      </c>
      <c r="H60" s="8">
        <v>500431.56808269583</v>
      </c>
      <c r="I60" s="8">
        <v>479228.23814969225</v>
      </c>
      <c r="J60" s="8">
        <v>485455.59483220225</v>
      </c>
      <c r="K60" s="8">
        <v>426910.24440603418</v>
      </c>
      <c r="L60" s="8">
        <v>380602.66054951696</v>
      </c>
      <c r="M60" s="8">
        <v>434519.27922986925</v>
      </c>
      <c r="N60" s="8">
        <v>391801.52524861792</v>
      </c>
      <c r="O60" s="8">
        <v>355059.6717027853</v>
      </c>
      <c r="P60" s="8">
        <v>359728.44665335119</v>
      </c>
      <c r="Q60" s="8">
        <v>344803.94378863496</v>
      </c>
      <c r="R60" s="8">
        <v>288659.64442257083</v>
      </c>
      <c r="S60" s="8">
        <v>284535.1617717382</v>
      </c>
      <c r="T60" s="8">
        <v>283422.53288974916</v>
      </c>
      <c r="U60" s="8">
        <v>312385.47352218168</v>
      </c>
      <c r="V60" s="8">
        <v>250096.56945572305</v>
      </c>
    </row>
    <row r="61" spans="1:22">
      <c r="A61" s="1" t="s">
        <v>275</v>
      </c>
      <c r="B61" s="6" t="s">
        <v>297</v>
      </c>
      <c r="C61" s="6" t="s">
        <v>298</v>
      </c>
      <c r="D61" s="7">
        <v>4062222</v>
      </c>
      <c r="E61" s="8" t="s">
        <v>175</v>
      </c>
      <c r="F61" s="8">
        <v>70225.367563514854</v>
      </c>
      <c r="G61" s="8">
        <v>68221.970904773363</v>
      </c>
      <c r="H61" s="8">
        <v>69528.185894044116</v>
      </c>
      <c r="I61" s="8">
        <v>68313.410632568382</v>
      </c>
      <c r="J61" s="8">
        <v>66057.923922015325</v>
      </c>
      <c r="K61" s="8">
        <v>63905.241597151638</v>
      </c>
      <c r="L61" s="8">
        <v>62338.867074138456</v>
      </c>
      <c r="M61" s="8">
        <v>58011.878403672687</v>
      </c>
      <c r="N61" s="8">
        <v>57190.353435831239</v>
      </c>
      <c r="O61" s="8">
        <v>56468.077616536582</v>
      </c>
      <c r="P61" s="8">
        <v>56840.334622512506</v>
      </c>
      <c r="Q61" s="8">
        <v>55119.427865274192</v>
      </c>
      <c r="R61" s="8">
        <v>54123.703599598295</v>
      </c>
      <c r="S61" s="8">
        <v>54232.047694189183</v>
      </c>
      <c r="T61" s="8">
        <v>51583.934026167575</v>
      </c>
      <c r="U61" s="8">
        <v>50206.919366792761</v>
      </c>
      <c r="V61" s="8">
        <v>48457.965331789514</v>
      </c>
    </row>
    <row r="62" spans="1:22">
      <c r="B62" s="6" t="s">
        <v>210</v>
      </c>
      <c r="C62" s="6" t="s">
        <v>211</v>
      </c>
      <c r="D62" s="7">
        <v>4057135</v>
      </c>
      <c r="E62" s="8">
        <v>180126.50508924772</v>
      </c>
      <c r="F62" s="8">
        <v>156859.13791459746</v>
      </c>
      <c r="G62" s="8">
        <v>186579.80824094889</v>
      </c>
      <c r="H62" s="8">
        <v>198914.53896392783</v>
      </c>
      <c r="I62" s="8">
        <v>180773.47181010456</v>
      </c>
      <c r="J62" s="8">
        <v>222879.02832919447</v>
      </c>
      <c r="K62" s="8">
        <v>192949.3817326139</v>
      </c>
      <c r="L62" s="8">
        <v>233044.56576962146</v>
      </c>
      <c r="M62" s="8">
        <v>201260.3198233156</v>
      </c>
      <c r="N62" s="8">
        <v>161999.05907341951</v>
      </c>
      <c r="O62" s="8">
        <v>149668.86619014226</v>
      </c>
      <c r="P62" s="8">
        <v>158387.71909842751</v>
      </c>
      <c r="Q62" s="8">
        <v>154002.5109889805</v>
      </c>
      <c r="R62" s="8">
        <v>154835.79158815838</v>
      </c>
      <c r="S62" s="8">
        <v>160877.00964816008</v>
      </c>
      <c r="T62" s="8">
        <v>134772.78556391038</v>
      </c>
      <c r="U62" s="8">
        <v>148910.06034781874</v>
      </c>
      <c r="V62" s="8">
        <v>119377.83265110318</v>
      </c>
    </row>
    <row r="63" spans="1:22">
      <c r="B63" s="6" t="s">
        <v>212</v>
      </c>
      <c r="C63" s="6" t="s">
        <v>212</v>
      </c>
      <c r="D63" s="7">
        <v>4063341</v>
      </c>
      <c r="E63" s="8">
        <v>64831.294354839498</v>
      </c>
      <c r="F63" s="8">
        <v>61469.23856946615</v>
      </c>
      <c r="G63" s="8">
        <v>61143.96381646736</v>
      </c>
      <c r="H63" s="8">
        <v>56599.164911879714</v>
      </c>
      <c r="I63" s="8">
        <v>50786.518046683625</v>
      </c>
      <c r="J63" s="8">
        <v>51563.799338180586</v>
      </c>
      <c r="K63" s="8">
        <v>47773.466044723769</v>
      </c>
      <c r="L63" s="8">
        <v>45957.730536571216</v>
      </c>
      <c r="M63" s="8">
        <v>45616.211312616491</v>
      </c>
      <c r="N63" s="8">
        <v>41991.824974115007</v>
      </c>
      <c r="O63" s="8">
        <v>43833.70975462471</v>
      </c>
      <c r="P63" s="8">
        <v>43905.909392379697</v>
      </c>
      <c r="Q63" s="8">
        <v>42008.983152988163</v>
      </c>
      <c r="R63" s="8">
        <v>36526.367220965563</v>
      </c>
      <c r="S63" s="8">
        <v>37238.277135051918</v>
      </c>
      <c r="T63" s="8">
        <v>37033.955890354613</v>
      </c>
      <c r="U63" s="8">
        <v>35431.35222137026</v>
      </c>
      <c r="V63" s="8">
        <v>34076.381430163136</v>
      </c>
    </row>
    <row r="64" spans="1:22">
      <c r="A64" s="1" t="s">
        <v>275</v>
      </c>
      <c r="B64" s="6" t="s">
        <v>299</v>
      </c>
      <c r="C64" s="6" t="s">
        <v>299</v>
      </c>
      <c r="D64" s="7">
        <v>4083575</v>
      </c>
      <c r="E64" s="8" t="s">
        <v>175</v>
      </c>
      <c r="F64" s="8">
        <v>111885.38483052354</v>
      </c>
      <c r="G64" s="8">
        <v>126160.42336261325</v>
      </c>
      <c r="H64" s="8">
        <v>134968.86812109564</v>
      </c>
      <c r="I64" s="8">
        <v>133993.59351414672</v>
      </c>
      <c r="J64" s="8">
        <v>145114.11626443508</v>
      </c>
      <c r="K64" s="8">
        <v>134030.73439851182</v>
      </c>
      <c r="L64" s="8">
        <v>117421.19354271283</v>
      </c>
      <c r="M64" s="8">
        <v>107133.65095782849</v>
      </c>
      <c r="N64" s="8">
        <v>113477.2505570043</v>
      </c>
      <c r="O64" s="8">
        <v>106608.32836786049</v>
      </c>
      <c r="P64" s="8">
        <v>111377.5351851459</v>
      </c>
      <c r="Q64" s="8">
        <v>102934.89652286377</v>
      </c>
      <c r="R64" s="8">
        <v>99569.357878318464</v>
      </c>
      <c r="S64" s="8">
        <v>98881.184166723484</v>
      </c>
      <c r="T64" s="8">
        <v>83589.062409899547</v>
      </c>
      <c r="U64" s="8">
        <v>82242.483200019517</v>
      </c>
      <c r="V64" s="8">
        <v>84923.585807141644</v>
      </c>
    </row>
    <row r="65" spans="1:22">
      <c r="B65" s="6" t="s">
        <v>300</v>
      </c>
      <c r="C65" s="6" t="s">
        <v>300</v>
      </c>
      <c r="D65" s="7">
        <v>4062303</v>
      </c>
      <c r="E65" s="8" t="s">
        <v>175</v>
      </c>
      <c r="F65" s="8">
        <v>236.18691783464845</v>
      </c>
      <c r="G65" s="8">
        <v>191.90180206490575</v>
      </c>
      <c r="H65" s="8">
        <v>181.85580296621407</v>
      </c>
      <c r="I65" s="8">
        <v>182.74480838589966</v>
      </c>
      <c r="J65" s="8" t="s">
        <v>175</v>
      </c>
      <c r="K65" s="8">
        <v>312.9217148107561</v>
      </c>
      <c r="L65" s="8">
        <v>415.84870607176094</v>
      </c>
      <c r="M65" s="8">
        <v>288.07726864430663</v>
      </c>
      <c r="N65" s="8">
        <v>214.13546457749283</v>
      </c>
      <c r="O65" s="8">
        <v>188.69948397850888</v>
      </c>
      <c r="P65" s="8">
        <v>145.5174704034896</v>
      </c>
      <c r="Q65" s="8">
        <v>124.81376526478174</v>
      </c>
      <c r="R65" s="8">
        <v>203.48784479187165</v>
      </c>
      <c r="S65" s="8">
        <v>217.09313674016539</v>
      </c>
      <c r="T65" s="8">
        <v>175.09419203021514</v>
      </c>
      <c r="U65" s="8">
        <v>159.71429678431787</v>
      </c>
      <c r="V65" s="8">
        <v>130.72910959012682</v>
      </c>
    </row>
    <row r="66" spans="1:22">
      <c r="B66" s="6" t="s">
        <v>301</v>
      </c>
      <c r="C66" s="6" t="s">
        <v>301</v>
      </c>
      <c r="D66" s="7">
        <v>4083581</v>
      </c>
      <c r="E66" s="8" t="s">
        <v>175</v>
      </c>
      <c r="F66" s="8">
        <v>1371.7191852662231</v>
      </c>
      <c r="G66" s="8">
        <v>1380.792996023504</v>
      </c>
      <c r="H66" s="8">
        <v>1369.8420524938083</v>
      </c>
      <c r="I66" s="8">
        <v>1304.894880149137</v>
      </c>
      <c r="J66" s="8">
        <v>1272.3023599903595</v>
      </c>
      <c r="K66" s="8">
        <v>1334.2551583042577</v>
      </c>
      <c r="L66" s="8">
        <v>994.56607513920073</v>
      </c>
      <c r="M66" s="8">
        <v>1045.6889199901325</v>
      </c>
      <c r="N66" s="8">
        <v>686.30102612441181</v>
      </c>
      <c r="O66" s="8">
        <v>990.44001915130082</v>
      </c>
      <c r="P66" s="8">
        <v>950.45568891780783</v>
      </c>
      <c r="Q66" s="8">
        <v>950.63332012778119</v>
      </c>
      <c r="R66" s="8">
        <v>939.56923970107994</v>
      </c>
      <c r="S66" s="8">
        <v>934.85040585963202</v>
      </c>
      <c r="T66" s="8">
        <v>1043.7488436944982</v>
      </c>
      <c r="U66" s="8">
        <v>1037.2043288074919</v>
      </c>
      <c r="V66" s="8">
        <v>1039.5109675677741</v>
      </c>
    </row>
    <row r="67" spans="1:22">
      <c r="B67" s="6" t="s">
        <v>214</v>
      </c>
      <c r="C67" s="6" t="s">
        <v>214</v>
      </c>
      <c r="D67" s="7">
        <v>4057139</v>
      </c>
      <c r="E67" s="8">
        <v>52682.231648557477</v>
      </c>
      <c r="F67" s="8">
        <v>47166.889275177207</v>
      </c>
      <c r="G67" s="8">
        <v>46018.672507611722</v>
      </c>
      <c r="H67" s="8">
        <v>44569.217480491643</v>
      </c>
      <c r="I67" s="8">
        <v>43016.153504655216</v>
      </c>
      <c r="J67" s="8">
        <v>46979.33311379762</v>
      </c>
      <c r="K67" s="8">
        <v>44874.014935923202</v>
      </c>
      <c r="L67" s="8">
        <v>42658.212858856903</v>
      </c>
      <c r="M67" s="8">
        <v>42373.210047341054</v>
      </c>
      <c r="N67" s="8">
        <v>41985.130393318628</v>
      </c>
      <c r="O67" s="8">
        <v>39962.576680632686</v>
      </c>
      <c r="P67" s="8">
        <v>40849.962136395523</v>
      </c>
      <c r="Q67" s="8">
        <v>40471.53517799094</v>
      </c>
      <c r="R67" s="8">
        <v>43066.822809345816</v>
      </c>
      <c r="S67" s="8">
        <v>40974.963094546489</v>
      </c>
      <c r="T67" s="8">
        <v>38956.66360608855</v>
      </c>
      <c r="U67" s="8">
        <v>39241.9852025367</v>
      </c>
      <c r="V67" s="8">
        <v>38631.331144505391</v>
      </c>
    </row>
    <row r="68" spans="1:22">
      <c r="A68" s="1" t="s">
        <v>275</v>
      </c>
      <c r="B68" s="6" t="s">
        <v>216</v>
      </c>
      <c r="C68" s="6" t="s">
        <v>216</v>
      </c>
      <c r="D68" s="7">
        <v>4057095</v>
      </c>
      <c r="E68" s="8">
        <v>110983.78094173687</v>
      </c>
      <c r="F68" s="8" t="s">
        <v>175</v>
      </c>
      <c r="G68" s="8">
        <v>145225.49222909816</v>
      </c>
      <c r="H68" s="8">
        <v>163214.73502973781</v>
      </c>
      <c r="I68" s="8">
        <v>159847.84510199286</v>
      </c>
      <c r="J68" s="8">
        <v>160125.81776765024</v>
      </c>
      <c r="K68" s="8">
        <v>155221.53788083006</v>
      </c>
      <c r="L68" s="8">
        <v>152585.27481029072</v>
      </c>
      <c r="M68" s="8">
        <v>178403.55944872284</v>
      </c>
      <c r="N68" s="8">
        <v>174375.28321338704</v>
      </c>
      <c r="O68" s="8">
        <v>162229.08288050757</v>
      </c>
      <c r="P68" s="8">
        <v>166220.43561650591</v>
      </c>
      <c r="Q68" s="8">
        <v>167797.77592448425</v>
      </c>
      <c r="R68" s="8">
        <v>148469.56317380181</v>
      </c>
      <c r="S68" s="8">
        <v>155780.63864305965</v>
      </c>
      <c r="T68" s="8">
        <v>154647.18638147769</v>
      </c>
      <c r="U68" s="8">
        <v>171494.0286383662</v>
      </c>
      <c r="V68" s="8">
        <v>167384.62027710277</v>
      </c>
    </row>
    <row r="69" spans="1:22">
      <c r="B69" s="6" t="s">
        <v>217</v>
      </c>
      <c r="C69" s="6" t="s">
        <v>217</v>
      </c>
      <c r="D69" s="7">
        <v>4062485</v>
      </c>
      <c r="E69" s="8">
        <v>79674.442452433854</v>
      </c>
      <c r="F69" s="8">
        <v>80251.78372497081</v>
      </c>
      <c r="G69" s="8">
        <v>79889.834978465602</v>
      </c>
      <c r="H69" s="8">
        <v>81332.48437983742</v>
      </c>
      <c r="I69" s="8">
        <v>82597.207446097178</v>
      </c>
      <c r="J69" s="8">
        <v>75477.712152133361</v>
      </c>
      <c r="K69" s="8">
        <v>69017.69789680987</v>
      </c>
      <c r="L69" s="8">
        <v>72470.05352037352</v>
      </c>
      <c r="M69" s="8">
        <v>71683.975974533649</v>
      </c>
      <c r="N69" s="8">
        <v>71620.362662287487</v>
      </c>
      <c r="O69" s="8">
        <v>71729.350096586757</v>
      </c>
      <c r="P69" s="8">
        <v>69938.112935007332</v>
      </c>
      <c r="Q69" s="8">
        <v>73016.963373358914</v>
      </c>
      <c r="R69" s="8">
        <v>68905.28758454835</v>
      </c>
      <c r="S69" s="8">
        <v>60799.791315706367</v>
      </c>
      <c r="T69" s="8">
        <v>55966.583352225054</v>
      </c>
      <c r="U69" s="8">
        <v>53311.126989715376</v>
      </c>
      <c r="V69" s="8">
        <v>42411.294400698338</v>
      </c>
    </row>
    <row r="70" spans="1:22">
      <c r="B70" s="6" t="s">
        <v>218</v>
      </c>
      <c r="C70" s="6" t="s">
        <v>218</v>
      </c>
      <c r="D70" s="7">
        <v>4057140</v>
      </c>
      <c r="E70" s="8">
        <v>65292.075702012131</v>
      </c>
      <c r="F70" s="8">
        <v>61628.05804550735</v>
      </c>
      <c r="G70" s="8">
        <v>72364.726682430453</v>
      </c>
      <c r="H70" s="8">
        <v>64437.463566592574</v>
      </c>
      <c r="I70" s="8">
        <v>63944.814162722927</v>
      </c>
      <c r="J70" s="8">
        <v>72181.394377703473</v>
      </c>
      <c r="K70" s="8">
        <v>75083.625133793845</v>
      </c>
      <c r="L70" s="8">
        <v>74785.639676130988</v>
      </c>
      <c r="M70" s="8">
        <v>74301.791793935161</v>
      </c>
      <c r="N70" s="8">
        <v>73403.947811992984</v>
      </c>
      <c r="O70" s="8">
        <v>69087.059124198364</v>
      </c>
      <c r="P70" s="8">
        <v>67664.757935757138</v>
      </c>
      <c r="Q70" s="8">
        <v>64812.076432571041</v>
      </c>
      <c r="R70" s="8">
        <v>62344.864305080519</v>
      </c>
      <c r="S70" s="8">
        <v>64680.423388267329</v>
      </c>
      <c r="T70" s="8">
        <v>61455.64392686668</v>
      </c>
      <c r="U70" s="8">
        <v>57230.950552929724</v>
      </c>
      <c r="V70" s="8">
        <v>55891.589818412984</v>
      </c>
    </row>
    <row r="71" spans="1:22">
      <c r="A71" s="1" t="s">
        <v>275</v>
      </c>
      <c r="B71" s="6" t="s">
        <v>220</v>
      </c>
      <c r="C71" s="6" t="s">
        <v>221</v>
      </c>
      <c r="D71" s="7">
        <v>4057096</v>
      </c>
      <c r="E71" s="8">
        <v>43468.011730035418</v>
      </c>
      <c r="F71" s="8">
        <v>44306.734892454013</v>
      </c>
      <c r="G71" s="8">
        <v>42225.348459538058</v>
      </c>
      <c r="H71" s="8">
        <v>45772.459378085776</v>
      </c>
      <c r="I71" s="8">
        <v>42268.698659514273</v>
      </c>
      <c r="J71" s="8">
        <v>42507.083827022565</v>
      </c>
      <c r="K71" s="8">
        <v>42824.326985430154</v>
      </c>
      <c r="L71" s="8">
        <v>38990.423446289933</v>
      </c>
      <c r="M71" s="8">
        <v>38363.819025728269</v>
      </c>
      <c r="N71" s="8">
        <v>37048.665000454617</v>
      </c>
      <c r="O71" s="8">
        <v>36938.224982256972</v>
      </c>
      <c r="P71" s="8">
        <v>33058.121942342317</v>
      </c>
      <c r="Q71" s="8">
        <v>32529.310886642623</v>
      </c>
      <c r="R71" s="8">
        <v>26300.793249333601</v>
      </c>
      <c r="S71" s="8">
        <v>28029.716123979721</v>
      </c>
      <c r="T71" s="8">
        <v>27260.070854255599</v>
      </c>
      <c r="U71" s="8">
        <v>31679.14664436565</v>
      </c>
      <c r="V71" s="8">
        <v>31012.032456756358</v>
      </c>
    </row>
    <row r="72" spans="1:22">
      <c r="B72" s="6" t="s">
        <v>302</v>
      </c>
      <c r="C72" s="6" t="s">
        <v>302</v>
      </c>
      <c r="D72" s="7">
        <v>4057097</v>
      </c>
      <c r="E72" s="8" t="s">
        <v>175</v>
      </c>
      <c r="F72" s="8" t="s">
        <v>175</v>
      </c>
      <c r="G72" s="8" t="s">
        <v>175</v>
      </c>
      <c r="H72" s="8">
        <v>85250.527468499116</v>
      </c>
      <c r="I72" s="8">
        <v>82935.984165600064</v>
      </c>
      <c r="J72" s="8">
        <v>74248.610505718942</v>
      </c>
      <c r="K72" s="8">
        <v>73512.918826181733</v>
      </c>
      <c r="L72" s="8">
        <v>72603.060049435284</v>
      </c>
      <c r="M72" s="8">
        <v>79381.935505381698</v>
      </c>
      <c r="N72" s="8">
        <v>82100.146283143273</v>
      </c>
      <c r="O72" s="8">
        <v>78902.137949563883</v>
      </c>
      <c r="P72" s="8">
        <v>71645.262965827482</v>
      </c>
      <c r="Q72" s="8">
        <v>82879.679971854843</v>
      </c>
      <c r="R72" s="8">
        <v>64735.330657169594</v>
      </c>
      <c r="S72" s="8">
        <v>72108.169569064572</v>
      </c>
      <c r="T72" s="8">
        <v>65799.718429826549</v>
      </c>
      <c r="U72" s="8">
        <v>55309.13107234006</v>
      </c>
      <c r="V72" s="8">
        <v>52639.008342033318</v>
      </c>
    </row>
    <row r="73" spans="1:22">
      <c r="B73" s="6" t="s">
        <v>303</v>
      </c>
      <c r="C73" s="6" t="s">
        <v>303</v>
      </c>
      <c r="D73" s="7">
        <v>4057098</v>
      </c>
      <c r="E73" s="8" t="s">
        <v>175</v>
      </c>
      <c r="F73" s="8" t="s">
        <v>175</v>
      </c>
      <c r="G73" s="8">
        <v>10083.883099179026</v>
      </c>
      <c r="H73" s="8">
        <v>9743.8471047917101</v>
      </c>
      <c r="I73" s="8">
        <v>9618.5842310258486</v>
      </c>
      <c r="J73" s="8">
        <v>9743.6823735211037</v>
      </c>
      <c r="K73" s="8">
        <v>9894.7880293663111</v>
      </c>
      <c r="L73" s="8">
        <v>10328.722878427368</v>
      </c>
      <c r="M73" s="8">
        <v>11124.908580882067</v>
      </c>
      <c r="N73" s="8">
        <v>11564.250406667765</v>
      </c>
      <c r="O73" s="8">
        <v>12055.091903052107</v>
      </c>
      <c r="P73" s="8">
        <v>11875.804836212132</v>
      </c>
      <c r="Q73" s="8">
        <v>11714.461461316592</v>
      </c>
      <c r="R73" s="8">
        <v>10590.835540799595</v>
      </c>
      <c r="S73" s="8">
        <v>11199.251817913202</v>
      </c>
      <c r="T73" s="8">
        <v>10199.383854314277</v>
      </c>
      <c r="U73" s="8">
        <v>9804.3797525561968</v>
      </c>
      <c r="V73" s="8">
        <v>9515.4672599124024</v>
      </c>
    </row>
    <row r="74" spans="1:22">
      <c r="A74" s="1" t="s">
        <v>275</v>
      </c>
      <c r="B74" s="6" t="s">
        <v>222</v>
      </c>
      <c r="C74" s="6" t="s">
        <v>222</v>
      </c>
      <c r="D74" s="7">
        <v>4063023</v>
      </c>
      <c r="E74" s="8">
        <v>48737.562924303907</v>
      </c>
      <c r="F74" s="8" t="s">
        <v>175</v>
      </c>
      <c r="G74" s="8">
        <v>47081.441656792522</v>
      </c>
      <c r="H74" s="8">
        <v>49252.491442956496</v>
      </c>
      <c r="I74" s="8">
        <v>45541.066617571647</v>
      </c>
      <c r="J74" s="8">
        <v>42519.461243417507</v>
      </c>
      <c r="K74" s="8">
        <v>38451.276383794946</v>
      </c>
      <c r="L74" s="8">
        <v>36318.805525201256</v>
      </c>
      <c r="M74" s="8">
        <v>34929.846777088213</v>
      </c>
      <c r="N74" s="8">
        <v>34393.316705015095</v>
      </c>
      <c r="O74" s="8">
        <v>31939.5294128594</v>
      </c>
      <c r="P74" s="8">
        <v>29986.962431850134</v>
      </c>
      <c r="Q74" s="8">
        <v>27918.370069061995</v>
      </c>
      <c r="R74" s="8">
        <v>25103.895996605275</v>
      </c>
      <c r="S74" s="8">
        <v>24388.218028744188</v>
      </c>
      <c r="T74" s="8">
        <v>22763.655796276893</v>
      </c>
      <c r="U74" s="8">
        <v>24494.201093395572</v>
      </c>
      <c r="V74" s="8">
        <v>23741.629639243645</v>
      </c>
    </row>
    <row r="75" spans="1:22">
      <c r="B75" s="6" t="s">
        <v>223</v>
      </c>
      <c r="C75" s="6" t="s">
        <v>223</v>
      </c>
      <c r="D75" s="7">
        <v>4057146</v>
      </c>
      <c r="E75" s="8">
        <v>1187608.8449838976</v>
      </c>
      <c r="F75" s="8" t="s">
        <v>175</v>
      </c>
      <c r="G75" s="8">
        <v>565450.59212139202</v>
      </c>
      <c r="H75" s="8">
        <v>528619.23304814287</v>
      </c>
      <c r="I75" s="8">
        <v>511842.04366063885</v>
      </c>
      <c r="J75" s="8">
        <v>482734.01725625683</v>
      </c>
      <c r="K75" s="8">
        <v>477145.22637261578</v>
      </c>
      <c r="L75" s="8">
        <v>470880.72386062267</v>
      </c>
      <c r="M75" s="8">
        <v>496518.9913323361</v>
      </c>
      <c r="N75" s="8">
        <v>481447.81832543825</v>
      </c>
      <c r="O75" s="8">
        <v>493150.67593563092</v>
      </c>
      <c r="P75" s="8">
        <v>463093.22078944131</v>
      </c>
      <c r="Q75" s="8">
        <v>491813.29705353925</v>
      </c>
      <c r="R75" s="8">
        <v>410766.42864030035</v>
      </c>
      <c r="S75" s="8">
        <v>441709.1202522798</v>
      </c>
      <c r="T75" s="8">
        <v>421980.38514584652</v>
      </c>
      <c r="U75" s="8">
        <v>405657.44034056639</v>
      </c>
      <c r="V75" s="8">
        <v>395284.97925539478</v>
      </c>
    </row>
    <row r="76" spans="1:22">
      <c r="A76" s="1" t="s">
        <v>275</v>
      </c>
      <c r="B76" s="6" t="s">
        <v>224</v>
      </c>
      <c r="C76" s="6" t="s">
        <v>225</v>
      </c>
      <c r="D76" s="7">
        <v>4063060</v>
      </c>
      <c r="E76" s="8">
        <v>32915.057762311815</v>
      </c>
      <c r="F76" s="8" t="s">
        <v>175</v>
      </c>
      <c r="G76" s="8">
        <v>31866.648397395031</v>
      </c>
      <c r="H76" s="8">
        <v>35806.309025323688</v>
      </c>
      <c r="I76" s="8">
        <v>38336.589151553228</v>
      </c>
      <c r="J76" s="8">
        <v>32831.841498284688</v>
      </c>
      <c r="K76" s="8">
        <v>35231.446053827021</v>
      </c>
      <c r="L76" s="8">
        <v>35454.181150956916</v>
      </c>
      <c r="M76" s="8">
        <v>32373.922425257879</v>
      </c>
      <c r="N76" s="8">
        <v>32428.370889400398</v>
      </c>
      <c r="O76" s="8">
        <v>29873.394091497375</v>
      </c>
      <c r="P76" s="8">
        <v>28060.238249477898</v>
      </c>
      <c r="Q76" s="8">
        <v>31838.399982887706</v>
      </c>
      <c r="R76" s="8">
        <v>27139.827047444385</v>
      </c>
      <c r="S76" s="8">
        <v>26677.622144295365</v>
      </c>
      <c r="T76" s="8">
        <v>25101.290294225266</v>
      </c>
      <c r="U76" s="8">
        <v>24570.179631361247</v>
      </c>
      <c r="V76" s="8">
        <v>23660.413270296627</v>
      </c>
    </row>
    <row r="77" spans="1:22">
      <c r="B77" s="6" t="s">
        <v>226</v>
      </c>
      <c r="C77" s="6" t="s">
        <v>226</v>
      </c>
      <c r="D77" s="7">
        <v>4057100</v>
      </c>
      <c r="E77" s="8">
        <v>14283.271508519287</v>
      </c>
      <c r="F77" s="8">
        <v>16838.975650559987</v>
      </c>
      <c r="G77" s="8">
        <v>20260.578932703444</v>
      </c>
      <c r="H77" s="8">
        <v>15276.180751223352</v>
      </c>
      <c r="I77" s="8">
        <v>14433.516906230188</v>
      </c>
      <c r="J77" s="8">
        <v>12662.870890113121</v>
      </c>
      <c r="K77" s="8">
        <v>12553.72558928077</v>
      </c>
      <c r="L77" s="8">
        <v>13147.731378242855</v>
      </c>
      <c r="M77" s="8">
        <v>14091.15064299294</v>
      </c>
      <c r="N77" s="8">
        <v>11456.081186259413</v>
      </c>
      <c r="O77" s="8">
        <v>12429.637226454826</v>
      </c>
      <c r="P77" s="8">
        <v>12889.934677965635</v>
      </c>
      <c r="Q77" s="8">
        <v>10988.911967961423</v>
      </c>
      <c r="R77" s="8">
        <v>10208.1557970137</v>
      </c>
      <c r="S77" s="8">
        <v>9712.2785793167386</v>
      </c>
      <c r="T77" s="8">
        <v>8637.739567334258</v>
      </c>
      <c r="U77" s="8">
        <v>9449.62673711356</v>
      </c>
      <c r="V77" s="8">
        <v>8517.1716101312286</v>
      </c>
    </row>
    <row r="78" spans="1:22">
      <c r="B78" s="6" t="s">
        <v>304</v>
      </c>
      <c r="C78" s="6" t="s">
        <v>304</v>
      </c>
      <c r="D78" s="7">
        <v>4064035</v>
      </c>
      <c r="E78" s="8" t="s">
        <v>175</v>
      </c>
      <c r="F78" s="8" t="s">
        <v>175</v>
      </c>
      <c r="G78" s="8">
        <v>3261.300941874279</v>
      </c>
      <c r="H78" s="8">
        <v>3274.9113514906294</v>
      </c>
      <c r="I78" s="8">
        <v>3049.2247368343951</v>
      </c>
      <c r="J78" s="8">
        <v>2982.9234569912151</v>
      </c>
      <c r="K78" s="8">
        <v>3027.965718484078</v>
      </c>
      <c r="L78" s="8">
        <v>3007.5897210414209</v>
      </c>
      <c r="M78" s="8">
        <v>2665.5255484751433</v>
      </c>
      <c r="N78" s="8">
        <v>2418.7862491199603</v>
      </c>
      <c r="O78" s="8">
        <v>2433.4811717847688</v>
      </c>
      <c r="P78" s="8">
        <v>2384.5421451033294</v>
      </c>
      <c r="Q78" s="8">
        <v>2283.8803214932145</v>
      </c>
      <c r="R78" s="8">
        <v>2153.6156214523962</v>
      </c>
      <c r="S78" s="8">
        <v>2042.2731091129131</v>
      </c>
      <c r="T78" s="8">
        <v>2032.7823081697932</v>
      </c>
      <c r="U78" s="8">
        <v>2024.3343188290562</v>
      </c>
      <c r="V78" s="8">
        <v>1864.903168765424</v>
      </c>
    </row>
    <row r="79" spans="1:22">
      <c r="B79" s="6" t="s">
        <v>305</v>
      </c>
      <c r="C79" s="6" t="s">
        <v>305</v>
      </c>
      <c r="D79" s="7">
        <v>4060957</v>
      </c>
      <c r="E79" s="8" t="s">
        <v>175</v>
      </c>
      <c r="F79" s="8">
        <v>84607.848485775117</v>
      </c>
      <c r="G79" s="8">
        <v>88392.135356073792</v>
      </c>
      <c r="H79" s="8">
        <v>101553.39130498515</v>
      </c>
      <c r="I79" s="8">
        <v>80500.998889567127</v>
      </c>
      <c r="J79" s="8">
        <v>81268.902811678534</v>
      </c>
      <c r="K79" s="8">
        <v>80390.433621330507</v>
      </c>
      <c r="L79" s="8">
        <v>88677.714106614818</v>
      </c>
      <c r="M79" s="8">
        <v>95886.360051494092</v>
      </c>
      <c r="N79" s="8">
        <v>89364.94592911785</v>
      </c>
      <c r="O79" s="8">
        <v>92041.461603015079</v>
      </c>
      <c r="P79" s="8">
        <v>89829.446107778029</v>
      </c>
      <c r="Q79" s="8">
        <v>90537.456855764613</v>
      </c>
      <c r="R79" s="8">
        <v>87485.491559237533</v>
      </c>
      <c r="S79" s="8">
        <v>82837.758779851487</v>
      </c>
      <c r="T79" s="8">
        <v>78748.407544051239</v>
      </c>
      <c r="U79" s="8">
        <v>74252.881138759811</v>
      </c>
      <c r="V79" s="8">
        <v>71494.101034310588</v>
      </c>
    </row>
    <row r="80" spans="1:22">
      <c r="B80" s="6" t="s">
        <v>228</v>
      </c>
      <c r="C80" s="6" t="s">
        <v>228</v>
      </c>
      <c r="D80" s="7">
        <v>4063179</v>
      </c>
      <c r="E80" s="8">
        <v>624.42111945552688</v>
      </c>
      <c r="F80" s="8">
        <v>586.01375573062955</v>
      </c>
      <c r="G80" s="8">
        <v>618.75509735873709</v>
      </c>
      <c r="H80" s="8">
        <v>672.32508784287893</v>
      </c>
      <c r="I80" s="8">
        <v>493.70807444187153</v>
      </c>
      <c r="J80" s="8">
        <v>510.55667137270223</v>
      </c>
      <c r="K80" s="8">
        <v>542.18320079128785</v>
      </c>
      <c r="L80" s="8">
        <v>458.14135270464408</v>
      </c>
      <c r="M80" s="8">
        <v>436.01412542114821</v>
      </c>
      <c r="N80" s="8">
        <v>430.84921870791993</v>
      </c>
      <c r="O80" s="8">
        <v>397.53545561848125</v>
      </c>
      <c r="P80" s="8">
        <v>434.21645840567714</v>
      </c>
      <c r="Q80" s="8">
        <v>439.24919480741721</v>
      </c>
      <c r="R80" s="8">
        <v>453.6845841300966</v>
      </c>
      <c r="S80" s="8">
        <v>455.45610856492578</v>
      </c>
      <c r="T80" s="8">
        <v>425.88421631415076</v>
      </c>
      <c r="U80" s="8">
        <v>381.00284608860864</v>
      </c>
      <c r="V80" s="8">
        <v>411.18088094600341</v>
      </c>
    </row>
    <row r="81" spans="1:22">
      <c r="A81" s="1" t="s">
        <v>275</v>
      </c>
      <c r="B81" s="6" t="s">
        <v>229</v>
      </c>
      <c r="C81" s="6" t="s">
        <v>229</v>
      </c>
      <c r="D81" s="7">
        <v>4063183</v>
      </c>
      <c r="E81" s="8">
        <v>5043.9604346074211</v>
      </c>
      <c r="F81" s="8">
        <v>5250.0964470411091</v>
      </c>
      <c r="G81" s="8">
        <v>5824.3084645326217</v>
      </c>
      <c r="H81" s="8">
        <v>4996.6437516390451</v>
      </c>
      <c r="I81" s="8">
        <v>4998.6704483298472</v>
      </c>
      <c r="J81" s="8">
        <v>4177.9969758466086</v>
      </c>
      <c r="K81" s="8">
        <v>4251.2401664570962</v>
      </c>
      <c r="L81" s="8">
        <v>3955.1558957057537</v>
      </c>
      <c r="M81" s="8">
        <v>3824.7192994719749</v>
      </c>
      <c r="N81" s="8">
        <v>3802.5943263911226</v>
      </c>
      <c r="O81" s="8">
        <v>4203.4455809084347</v>
      </c>
      <c r="P81" s="8">
        <v>4405.9382577590368</v>
      </c>
      <c r="Q81" s="8">
        <v>4118.7123705431422</v>
      </c>
      <c r="R81" s="8">
        <v>3424.2918954369761</v>
      </c>
      <c r="S81" s="8">
        <v>3215.4763261749767</v>
      </c>
      <c r="T81" s="8">
        <v>2652.0965602822616</v>
      </c>
      <c r="U81" s="8">
        <v>2755.8211387940282</v>
      </c>
      <c r="V81" s="8">
        <v>2727.2230231905132</v>
      </c>
    </row>
    <row r="82" spans="1:22">
      <c r="B82" s="6" t="s">
        <v>230</v>
      </c>
      <c r="C82" s="6" t="s">
        <v>230</v>
      </c>
      <c r="D82" s="7">
        <v>4063281</v>
      </c>
      <c r="E82" s="8">
        <v>2294.3088006644521</v>
      </c>
      <c r="F82" s="8">
        <v>2151.4743736265959</v>
      </c>
      <c r="G82" s="8">
        <v>2104.0053047842357</v>
      </c>
      <c r="H82" s="8">
        <v>2084.1750322684629</v>
      </c>
      <c r="I82" s="8">
        <v>2002.9550606125244</v>
      </c>
      <c r="J82" s="8">
        <v>2028.3759344275206</v>
      </c>
      <c r="K82" s="8">
        <v>2324.5452008459679</v>
      </c>
      <c r="L82" s="8">
        <v>2120.7631756413221</v>
      </c>
      <c r="M82" s="8">
        <v>2241.5022591601696</v>
      </c>
      <c r="N82" s="8">
        <v>2315.0694004584925</v>
      </c>
      <c r="O82" s="8">
        <v>2345.0382123701615</v>
      </c>
      <c r="P82" s="8">
        <v>2271.0142341294177</v>
      </c>
      <c r="Q82" s="8">
        <v>2246.0339991001729</v>
      </c>
      <c r="R82" s="8">
        <v>2339.5730465081797</v>
      </c>
      <c r="S82" s="8">
        <v>2304.6970712665216</v>
      </c>
      <c r="T82" s="8">
        <v>2347.8378979266026</v>
      </c>
      <c r="U82" s="8">
        <v>2226.507831769929</v>
      </c>
      <c r="V82" s="8">
        <v>2008.969139172611</v>
      </c>
    </row>
    <row r="83" spans="1:22">
      <c r="B83" s="6" t="s">
        <v>231</v>
      </c>
      <c r="C83" s="6" t="s">
        <v>231</v>
      </c>
      <c r="D83" s="7">
        <v>4059746</v>
      </c>
      <c r="E83" s="8">
        <v>55926.088767113433</v>
      </c>
      <c r="F83" s="8">
        <v>63899.149532655741</v>
      </c>
      <c r="G83" s="8">
        <v>88369.789635312613</v>
      </c>
      <c r="H83" s="8">
        <v>71589.428116249444</v>
      </c>
      <c r="I83" s="8">
        <v>76006.610906014947</v>
      </c>
      <c r="J83" s="8">
        <v>75507.227349348541</v>
      </c>
      <c r="K83" s="8">
        <v>74690.445978116652</v>
      </c>
      <c r="L83" s="8">
        <v>78539.004082434141</v>
      </c>
      <c r="M83" s="8">
        <v>77894.170355939365</v>
      </c>
      <c r="N83" s="8">
        <v>83150.835212570993</v>
      </c>
      <c r="O83" s="8">
        <v>82497.316612318944</v>
      </c>
      <c r="P83" s="8">
        <v>92086.617256866419</v>
      </c>
      <c r="Q83" s="8">
        <v>90091.635748641856</v>
      </c>
      <c r="R83" s="8">
        <v>95568.952583389691</v>
      </c>
      <c r="S83" s="8">
        <v>86922.222011910955</v>
      </c>
      <c r="T83" s="8">
        <v>84715.854935408628</v>
      </c>
      <c r="U83" s="8">
        <v>79698.738756194158</v>
      </c>
      <c r="V83" s="8">
        <v>70010.325427469419</v>
      </c>
    </row>
    <row r="84" spans="1:22">
      <c r="A84" s="1" t="s">
        <v>275</v>
      </c>
      <c r="B84" s="6" t="s">
        <v>306</v>
      </c>
      <c r="C84" s="6" t="s">
        <v>306</v>
      </c>
      <c r="D84" s="7">
        <v>4062279</v>
      </c>
      <c r="E84" s="8" t="s">
        <v>175</v>
      </c>
      <c r="F84" s="8" t="s">
        <v>175</v>
      </c>
      <c r="G84" s="8" t="s">
        <v>175</v>
      </c>
      <c r="H84" s="8" t="s">
        <v>175</v>
      </c>
      <c r="I84" s="8">
        <v>31681.37154875361</v>
      </c>
      <c r="J84" s="8">
        <v>28789.08599802151</v>
      </c>
      <c r="K84" s="8">
        <v>30798.479946850792</v>
      </c>
      <c r="L84" s="8">
        <v>27148.604897720856</v>
      </c>
      <c r="M84" s="8">
        <v>25828.443551356206</v>
      </c>
      <c r="N84" s="8">
        <v>22509.767504279313</v>
      </c>
      <c r="O84" s="8">
        <v>23681.823402399699</v>
      </c>
      <c r="P84" s="8">
        <v>23411.630054055437</v>
      </c>
      <c r="Q84" s="8">
        <v>24298.554417623276</v>
      </c>
      <c r="R84" s="8">
        <v>21327.784946003168</v>
      </c>
      <c r="S84" s="8">
        <v>19318.836115255239</v>
      </c>
      <c r="T84" s="8">
        <v>17310.186599904166</v>
      </c>
      <c r="U84" s="8">
        <v>16824.703910489501</v>
      </c>
      <c r="V84" s="8">
        <v>15036.439829376925</v>
      </c>
    </row>
    <row r="85" spans="1:22">
      <c r="A85" s="1" t="s">
        <v>275</v>
      </c>
      <c r="B85" s="6" t="s">
        <v>307</v>
      </c>
      <c r="C85" s="6" t="s">
        <v>307</v>
      </c>
      <c r="D85" s="7">
        <v>4063729</v>
      </c>
      <c r="E85" s="8" t="s">
        <v>175</v>
      </c>
      <c r="F85" s="8" t="s">
        <v>175</v>
      </c>
      <c r="G85" s="8" t="s">
        <v>175</v>
      </c>
      <c r="H85" s="8" t="s">
        <v>175</v>
      </c>
      <c r="I85" s="8">
        <v>6424.1749278875823</v>
      </c>
      <c r="J85" s="8">
        <v>7557.2826348004901</v>
      </c>
      <c r="K85" s="8">
        <v>8756.4017201987117</v>
      </c>
      <c r="L85" s="8">
        <v>7655.6010607262897</v>
      </c>
      <c r="M85" s="8">
        <v>7378.3999308088678</v>
      </c>
      <c r="N85" s="8">
        <v>6458.4486535118504</v>
      </c>
      <c r="O85" s="8">
        <v>6123.0299038945886</v>
      </c>
      <c r="P85" s="8">
        <v>5686.3653167382636</v>
      </c>
      <c r="Q85" s="8">
        <v>5793.7589344409371</v>
      </c>
      <c r="R85" s="8">
        <v>4734.3937105251234</v>
      </c>
      <c r="S85" s="8">
        <v>4163.2278606523287</v>
      </c>
      <c r="T85" s="8">
        <v>4593.9988699098103</v>
      </c>
      <c r="U85" s="8">
        <v>4286.7606953092582</v>
      </c>
      <c r="V85" s="8">
        <v>4419.6603736035831</v>
      </c>
    </row>
    <row r="86" spans="1:22">
      <c r="B86" s="6" t="s">
        <v>232</v>
      </c>
      <c r="C86" s="6" t="s">
        <v>232</v>
      </c>
      <c r="D86" s="7">
        <v>4063762</v>
      </c>
      <c r="E86" s="8">
        <v>32051.291386769171</v>
      </c>
      <c r="F86" s="8">
        <v>31387.32677376553</v>
      </c>
      <c r="G86" s="8">
        <v>29333.843618422823</v>
      </c>
      <c r="H86" s="8">
        <v>30019.3713623441</v>
      </c>
      <c r="I86" s="8">
        <v>27543.446148347204</v>
      </c>
      <c r="J86" s="8">
        <v>28005.853834722984</v>
      </c>
      <c r="K86" s="8">
        <v>26225.162596402057</v>
      </c>
      <c r="L86" s="8">
        <v>25067.582343675753</v>
      </c>
      <c r="M86" s="8">
        <v>22873.837495173713</v>
      </c>
      <c r="N86" s="8">
        <v>20718.16589640034</v>
      </c>
      <c r="O86" s="8">
        <v>20560.150263813375</v>
      </c>
      <c r="P86" s="8">
        <v>21406.125925478591</v>
      </c>
      <c r="Q86" s="8">
        <v>20084.648546398636</v>
      </c>
      <c r="R86" s="8">
        <v>19249.871042574323</v>
      </c>
      <c r="S86" s="8">
        <v>20578.808872985977</v>
      </c>
      <c r="T86" s="8">
        <v>24136.377788082737</v>
      </c>
      <c r="U86" s="8">
        <v>25293.838171374198</v>
      </c>
      <c r="V86" s="8">
        <v>24047.530311569921</v>
      </c>
    </row>
    <row r="87" spans="1:22">
      <c r="B87" s="6" t="s">
        <v>234</v>
      </c>
      <c r="C87" s="6" t="s">
        <v>234</v>
      </c>
      <c r="D87" s="7">
        <v>4058284</v>
      </c>
      <c r="E87" s="8">
        <v>171136.73317025753</v>
      </c>
      <c r="F87" s="8">
        <v>176988.33791838697</v>
      </c>
      <c r="G87" s="8">
        <v>184841.64841342322</v>
      </c>
      <c r="H87" s="8">
        <v>168088.83982780809</v>
      </c>
      <c r="I87" s="8">
        <v>156697.60324554396</v>
      </c>
      <c r="J87" s="8">
        <v>157245.11321445779</v>
      </c>
      <c r="K87" s="8">
        <v>155855.58332453226</v>
      </c>
      <c r="L87" s="8">
        <v>140419.59468928483</v>
      </c>
      <c r="M87" s="8">
        <v>142866.31332615728</v>
      </c>
      <c r="N87" s="8">
        <v>134737.98675117502</v>
      </c>
      <c r="O87" s="8">
        <v>135824.47647254294</v>
      </c>
      <c r="P87" s="8">
        <v>125685.21943457468</v>
      </c>
      <c r="Q87" s="8">
        <v>119238.78205459702</v>
      </c>
      <c r="R87" s="8">
        <v>116501.41388579398</v>
      </c>
      <c r="S87" s="8">
        <v>118414.83851956976</v>
      </c>
      <c r="T87" s="8">
        <v>113008.91661512075</v>
      </c>
      <c r="U87" s="8">
        <v>112562.26858977774</v>
      </c>
      <c r="V87" s="8">
        <v>108636.32159043233</v>
      </c>
    </row>
    <row r="88" spans="1:22">
      <c r="B88" s="6" t="s">
        <v>236</v>
      </c>
      <c r="C88" s="6" t="s">
        <v>236</v>
      </c>
      <c r="D88" s="7">
        <v>4008752</v>
      </c>
      <c r="E88" s="8">
        <v>39871.518793068557</v>
      </c>
      <c r="F88" s="8">
        <v>45063.486328302832</v>
      </c>
      <c r="G88" s="8">
        <v>46919.790323703215</v>
      </c>
      <c r="H88" s="8">
        <v>41993.432368194786</v>
      </c>
      <c r="I88" s="8">
        <v>41088.911668768778</v>
      </c>
      <c r="J88" s="8">
        <v>42654.409655181225</v>
      </c>
      <c r="K88" s="8">
        <v>42790.353568509723</v>
      </c>
      <c r="L88" s="8">
        <v>43414.534577286773</v>
      </c>
      <c r="M88" s="8">
        <v>40958.833881677703</v>
      </c>
      <c r="N88" s="8">
        <v>41714.455511941364</v>
      </c>
      <c r="O88" s="8">
        <v>47024.713812453847</v>
      </c>
      <c r="P88" s="8">
        <v>44394.724545694429</v>
      </c>
      <c r="Q88" s="8">
        <v>44949.397404385541</v>
      </c>
      <c r="R88" s="8">
        <v>46005.417060435502</v>
      </c>
      <c r="S88" s="8">
        <v>43325.709313363492</v>
      </c>
      <c r="T88" s="8">
        <v>45422.189154542612</v>
      </c>
      <c r="U88" s="8">
        <v>48322.853146177775</v>
      </c>
      <c r="V88" s="8">
        <v>43861.598036418014</v>
      </c>
    </row>
    <row r="89" spans="1:22">
      <c r="B89" s="6" t="s">
        <v>237</v>
      </c>
      <c r="C89" s="6" t="s">
        <v>237</v>
      </c>
      <c r="D89" s="7">
        <v>4008669</v>
      </c>
      <c r="E89" s="8">
        <v>17123.186362329376</v>
      </c>
      <c r="F89" s="8">
        <v>17245.428045453933</v>
      </c>
      <c r="G89" s="8">
        <v>17891.364650596435</v>
      </c>
      <c r="H89" s="8">
        <v>17828.027265969053</v>
      </c>
      <c r="I89" s="8">
        <v>17138.538203969867</v>
      </c>
      <c r="J89" s="8">
        <v>16757.683916272043</v>
      </c>
      <c r="K89" s="8">
        <v>16915.180542918941</v>
      </c>
      <c r="L89" s="8">
        <v>15479.709824341791</v>
      </c>
      <c r="M89" s="8">
        <v>13834.36161117669</v>
      </c>
      <c r="N89" s="8">
        <v>12841.012588630592</v>
      </c>
      <c r="O89" s="8">
        <v>13293.029583894353</v>
      </c>
      <c r="P89" s="8">
        <v>12652.287821462425</v>
      </c>
      <c r="Q89" s="8">
        <v>11978.637669899636</v>
      </c>
      <c r="R89" s="8">
        <v>11072.372454255194</v>
      </c>
      <c r="S89" s="8">
        <v>10859.713446195441</v>
      </c>
      <c r="T89" s="8">
        <v>13433.13137336111</v>
      </c>
      <c r="U89" s="8">
        <v>11683.308439347753</v>
      </c>
      <c r="V89" s="8">
        <v>13652.361155632041</v>
      </c>
    </row>
    <row r="90" spans="1:22">
      <c r="B90" s="6" t="s">
        <v>308</v>
      </c>
      <c r="C90" s="6" t="s">
        <v>309</v>
      </c>
      <c r="D90" s="7">
        <v>4076892</v>
      </c>
      <c r="E90" s="8" t="s">
        <v>175</v>
      </c>
      <c r="F90" s="8">
        <v>1443.6994901478597</v>
      </c>
      <c r="G90" s="8">
        <v>1433.7971534263152</v>
      </c>
      <c r="H90" s="8">
        <v>1352.5224352651451</v>
      </c>
      <c r="I90" s="8">
        <v>1232.6866500094502</v>
      </c>
      <c r="J90" s="8">
        <v>1346.731724620337</v>
      </c>
      <c r="K90" s="8">
        <v>1313.8643822846107</v>
      </c>
      <c r="L90" s="8">
        <v>1391.0592828082963</v>
      </c>
      <c r="M90" s="8">
        <v>1345.1486441890499</v>
      </c>
      <c r="N90" s="8">
        <v>1252.0108381014586</v>
      </c>
      <c r="O90" s="8">
        <v>1229.945925732442</v>
      </c>
      <c r="P90" s="8">
        <v>1197.6964785822854</v>
      </c>
      <c r="Q90" s="8">
        <v>1075.7055438444272</v>
      </c>
      <c r="R90" s="8">
        <v>1078.2193523527251</v>
      </c>
      <c r="S90" s="8">
        <v>933.04892761485996</v>
      </c>
      <c r="T90" s="8">
        <v>756.78214604793277</v>
      </c>
      <c r="U90" s="8">
        <v>817.13725856605549</v>
      </c>
      <c r="V90" s="8">
        <v>757.864063179494</v>
      </c>
    </row>
    <row r="91" spans="1:22">
      <c r="A91" s="1" t="s">
        <v>275</v>
      </c>
      <c r="B91" s="6" t="s">
        <v>238</v>
      </c>
      <c r="C91" s="6" t="s">
        <v>239</v>
      </c>
      <c r="D91" s="7">
        <v>4064141</v>
      </c>
      <c r="E91" s="8">
        <v>52273.77194938028</v>
      </c>
      <c r="F91" s="8" t="s">
        <v>175</v>
      </c>
      <c r="G91" s="8" t="s">
        <v>175</v>
      </c>
      <c r="H91" s="8">
        <v>47527.783846358136</v>
      </c>
      <c r="I91" s="8">
        <v>46701.265621334118</v>
      </c>
      <c r="J91" s="8">
        <v>44006.779935804923</v>
      </c>
      <c r="K91" s="8">
        <v>46198.288001642693</v>
      </c>
      <c r="L91" s="8">
        <v>47134.479388692227</v>
      </c>
      <c r="M91" s="8">
        <v>46965.999659248628</v>
      </c>
      <c r="N91" s="8">
        <v>46571.325505173118</v>
      </c>
      <c r="O91" s="8">
        <v>46729.082014452186</v>
      </c>
      <c r="P91" s="8">
        <v>44497.402139843565</v>
      </c>
      <c r="Q91" s="8">
        <v>42215.311944433706</v>
      </c>
      <c r="R91" s="8">
        <v>38461.423286471167</v>
      </c>
      <c r="S91" s="8">
        <v>36609.729532303019</v>
      </c>
      <c r="T91" s="8">
        <v>36343.283531997513</v>
      </c>
      <c r="U91" s="8">
        <v>36642.664610359177</v>
      </c>
      <c r="V91" s="8">
        <v>34604.267258270527</v>
      </c>
    </row>
    <row r="92" spans="1:22">
      <c r="B92" s="6"/>
      <c r="C92" s="6"/>
      <c r="D92" s="7"/>
      <c r="E92" s="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</row>
    <row r="93" spans="1:22">
      <c r="B93" s="6"/>
      <c r="C93" s="6"/>
      <c r="D93" s="7"/>
      <c r="E93" s="7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</row>
    <row r="94" spans="1:22">
      <c r="B94" s="6"/>
      <c r="C94" s="6"/>
      <c r="D94" s="7"/>
      <c r="E94" s="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</row>
    <row r="95" spans="1:22">
      <c r="B95" s="6"/>
      <c r="C95" s="6"/>
      <c r="D95" s="7"/>
      <c r="E95" s="7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</row>
    <row r="96" spans="1:22">
      <c r="B96" s="6"/>
      <c r="C96" s="6"/>
      <c r="D96" s="7"/>
      <c r="E96" s="7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</row>
    <row r="97" spans="2:22">
      <c r="B97" s="6"/>
      <c r="C97" s="6"/>
      <c r="D97" s="7"/>
      <c r="E97" s="7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</row>
    <row r="98" spans="2:22">
      <c r="B98" s="6"/>
      <c r="C98" s="7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</row>
    <row r="99" spans="2:22">
      <c r="B99" s="6"/>
      <c r="C99" s="6"/>
      <c r="D99" s="7"/>
      <c r="E99" s="7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</row>
    <row r="100" spans="2:22">
      <c r="B100" s="6"/>
      <c r="C100" s="6"/>
      <c r="D100" s="7"/>
      <c r="E100" s="7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</row>
    <row r="101" spans="2:22">
      <c r="B101" s="6"/>
      <c r="C101" s="6"/>
      <c r="D101" s="7"/>
      <c r="E101" s="7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</row>
    <row r="102" spans="2:22">
      <c r="B102" s="6"/>
      <c r="C102" s="6"/>
      <c r="D102" s="7"/>
      <c r="E102" s="7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</row>
    <row r="103" spans="2:22">
      <c r="B103" s="6"/>
      <c r="C103" s="6"/>
      <c r="D103" s="7"/>
      <c r="E103" s="7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</row>
    <row r="104" spans="2:22">
      <c r="B104" s="6"/>
      <c r="C104" s="6"/>
      <c r="D104" s="7"/>
      <c r="E104" s="7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</row>
    <row r="105" spans="2:22">
      <c r="B105" s="6"/>
      <c r="C105" s="6"/>
      <c r="D105" s="7"/>
      <c r="E105" s="7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</row>
    <row r="106" spans="2:22">
      <c r="B106" s="6"/>
      <c r="C106" s="6"/>
      <c r="D106" s="7"/>
      <c r="E106" s="7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</row>
    <row r="107" spans="2:22">
      <c r="B107" s="6"/>
      <c r="C107" s="6"/>
      <c r="D107" s="7"/>
      <c r="E107" s="7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</row>
    <row r="108" spans="2:22">
      <c r="B108" s="6"/>
      <c r="C108" s="6"/>
      <c r="D108" s="7"/>
      <c r="E108" s="7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</row>
    <row r="109" spans="2:22">
      <c r="B109" s="6"/>
      <c r="C109" s="6"/>
      <c r="D109" s="7"/>
      <c r="E109" s="7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</row>
    <row r="110" spans="2:22">
      <c r="B110" s="6"/>
      <c r="C110" s="6"/>
      <c r="D110" s="7"/>
      <c r="E110" s="7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</row>
    <row r="111" spans="2:22">
      <c r="B111" s="6"/>
      <c r="C111" s="6"/>
      <c r="D111" s="7"/>
      <c r="E111" s="7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</row>
    <row r="112" spans="2:22">
      <c r="B112" s="6"/>
      <c r="C112" s="6"/>
      <c r="D112" s="7"/>
      <c r="E112" s="7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</row>
    <row r="113" spans="2:22">
      <c r="B113" s="6"/>
      <c r="C113" s="6"/>
      <c r="D113" s="7"/>
      <c r="E113" s="7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</row>
    <row r="114" spans="2:22">
      <c r="B114" s="6"/>
      <c r="C114" s="6"/>
      <c r="D114" s="7"/>
      <c r="E114" s="7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</row>
    <row r="115" spans="2:22">
      <c r="B115" s="6"/>
      <c r="C115" s="6"/>
      <c r="D115" s="7"/>
      <c r="E115" s="7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</row>
    <row r="116" spans="2:22">
      <c r="B116" s="6"/>
      <c r="C116" s="6"/>
      <c r="D116" s="7"/>
      <c r="E116" s="7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</row>
    <row r="117" spans="2:22">
      <c r="B117" s="6"/>
      <c r="C117" s="6"/>
      <c r="D117" s="7"/>
      <c r="E117" s="7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</row>
    <row r="118" spans="2:22">
      <c r="B118" s="6"/>
      <c r="C118" s="6"/>
      <c r="D118" s="7"/>
      <c r="E118" s="7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</row>
    <row r="119" spans="2:22">
      <c r="B119" s="6"/>
      <c r="C119" s="6"/>
      <c r="D119" s="7"/>
      <c r="E119" s="7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</row>
    <row r="120" spans="2:22">
      <c r="B120" s="6"/>
      <c r="C120" s="6"/>
      <c r="D120" s="7"/>
      <c r="E120" s="7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</row>
    <row r="121" spans="2:22">
      <c r="B121" s="6"/>
      <c r="C121" s="6"/>
      <c r="D121" s="7"/>
      <c r="E121" s="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</row>
    <row r="122" spans="2:22">
      <c r="B122" s="6"/>
      <c r="C122" s="6"/>
      <c r="D122" s="7"/>
      <c r="E122" s="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</row>
    <row r="123" spans="2:22">
      <c r="B123" s="6"/>
      <c r="C123" s="6"/>
      <c r="D123" s="7"/>
      <c r="E123" s="7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</row>
    <row r="124" spans="2:22">
      <c r="B124" s="6"/>
      <c r="C124" s="6"/>
      <c r="D124" s="7"/>
      <c r="E124" s="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</row>
    <row r="125" spans="2:22">
      <c r="B125" s="6"/>
      <c r="C125" s="6"/>
      <c r="D125" s="7"/>
      <c r="E125" s="7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</row>
    <row r="126" spans="2:22">
      <c r="B126" s="6"/>
      <c r="C126" s="6"/>
      <c r="D126" s="7"/>
      <c r="E126" s="7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</row>
    <row r="127" spans="2:22">
      <c r="B127" s="6"/>
      <c r="C127" s="6"/>
      <c r="D127" s="7"/>
      <c r="E127" s="7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</row>
    <row r="128" spans="2:22">
      <c r="B128" s="6"/>
      <c r="C128" s="6"/>
      <c r="D128" s="7"/>
      <c r="E128" s="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</row>
    <row r="129" spans="2:22">
      <c r="B129" s="6"/>
      <c r="C129" s="6"/>
      <c r="D129" s="7"/>
      <c r="E129" s="7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</row>
    <row r="130" spans="2:22">
      <c r="B130" s="6"/>
      <c r="C130" s="6"/>
      <c r="D130" s="7"/>
      <c r="E130" s="7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</row>
    <row r="131" spans="2:22">
      <c r="B131" s="6"/>
      <c r="C131" s="6"/>
      <c r="D131" s="7"/>
      <c r="E131" s="7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</row>
    <row r="132" spans="2:22">
      <c r="B132" s="6"/>
      <c r="C132" s="6"/>
      <c r="D132" s="7"/>
      <c r="E132" s="7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</row>
    <row r="133" spans="2:22">
      <c r="B133" s="6"/>
      <c r="C133" s="6"/>
      <c r="D133" s="7"/>
      <c r="E133" s="7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</row>
    <row r="134" spans="2:22">
      <c r="B134" s="6"/>
      <c r="C134" s="6"/>
      <c r="D134" s="7"/>
      <c r="E134" s="7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</row>
    <row r="135" spans="2:22">
      <c r="B135" s="6"/>
      <c r="C135" s="6"/>
      <c r="D135" s="7"/>
      <c r="E135" s="7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</row>
    <row r="136" spans="2:22">
      <c r="B136" s="6"/>
      <c r="C136" s="6"/>
      <c r="D136" s="7"/>
      <c r="E136" s="7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</row>
    <row r="137" spans="2:22">
      <c r="B137" s="6"/>
      <c r="C137" s="6"/>
      <c r="D137" s="7"/>
      <c r="E137" s="7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</row>
    <row r="138" spans="2:22">
      <c r="B138" s="6"/>
      <c r="C138" s="6"/>
      <c r="D138" s="7"/>
      <c r="E138" s="7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</row>
    <row r="139" spans="2:22">
      <c r="B139" s="6"/>
      <c r="C139" s="6"/>
      <c r="D139" s="7"/>
      <c r="E139" s="7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</row>
    <row r="140" spans="2:22">
      <c r="B140" s="6"/>
      <c r="C140" s="6"/>
      <c r="D140" s="7"/>
      <c r="E140" s="7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</row>
    <row r="141" spans="2:22">
      <c r="B141" s="6"/>
      <c r="C141" s="6"/>
      <c r="D141" s="7"/>
      <c r="E141" s="7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</row>
    <row r="142" spans="2:22">
      <c r="B142" s="6"/>
      <c r="C142" s="6"/>
      <c r="D142" s="7"/>
      <c r="E142" s="7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</row>
    <row r="143" spans="2:22">
      <c r="B143" s="6"/>
      <c r="C143" s="6"/>
      <c r="D143" s="7"/>
      <c r="E143" s="7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</row>
    <row r="144" spans="2:22">
      <c r="B144" s="6"/>
      <c r="C144" s="6"/>
      <c r="D144" s="7"/>
      <c r="E144" s="7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</row>
    <row r="145" spans="2:22">
      <c r="B145" s="6"/>
      <c r="C145" s="6"/>
      <c r="D145" s="7"/>
      <c r="E145" s="7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</row>
    <row r="146" spans="2:22">
      <c r="B146" s="6"/>
      <c r="C146" s="6"/>
      <c r="D146" s="7"/>
      <c r="E146" s="7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</row>
    <row r="147" spans="2:22">
      <c r="B147" s="6"/>
      <c r="C147" s="6"/>
      <c r="D147" s="7"/>
      <c r="E147" s="7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</row>
    <row r="148" spans="2:22">
      <c r="B148" s="6"/>
      <c r="C148" s="6"/>
      <c r="D148" s="7"/>
      <c r="E148" s="7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</row>
    <row r="149" spans="2:22">
      <c r="B149" s="6"/>
      <c r="C149" s="6"/>
      <c r="D149" s="7"/>
      <c r="E149" s="7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</row>
    <row r="150" spans="2:22">
      <c r="B150" s="6"/>
      <c r="C150" s="6"/>
      <c r="D150" s="7"/>
      <c r="E150" s="7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</row>
    <row r="151" spans="2:22">
      <c r="B151" s="6"/>
      <c r="C151" s="6"/>
      <c r="D151" s="7"/>
      <c r="E151" s="7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</row>
    <row r="152" spans="2:22">
      <c r="B152" s="6"/>
      <c r="C152" s="6"/>
      <c r="D152" s="7"/>
      <c r="E152" s="7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</row>
    <row r="153" spans="2:22">
      <c r="B153" s="6"/>
      <c r="C153" s="6"/>
      <c r="D153" s="7"/>
      <c r="E153" s="7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</row>
    <row r="154" spans="2:22">
      <c r="B154" s="6"/>
      <c r="C154" s="6"/>
      <c r="D154" s="7"/>
      <c r="E154" s="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</row>
    <row r="155" spans="2:22">
      <c r="B155" s="6"/>
      <c r="C155" s="6"/>
      <c r="D155" s="7"/>
      <c r="E155" s="7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</row>
    <row r="156" spans="2:22">
      <c r="B156" s="6"/>
      <c r="C156" s="6"/>
      <c r="D156" s="7"/>
      <c r="E156" s="7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</row>
    <row r="157" spans="2:22">
      <c r="B157" s="6"/>
      <c r="C157" s="6"/>
      <c r="D157" s="7"/>
      <c r="E157" s="7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</row>
    <row r="158" spans="2:22">
      <c r="B158" s="6"/>
      <c r="C158" s="6"/>
      <c r="D158" s="7"/>
      <c r="E158" s="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</row>
    <row r="159" spans="2:22">
      <c r="B159" s="6"/>
      <c r="C159" s="6"/>
      <c r="D159" s="7"/>
      <c r="E159" s="7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</row>
    <row r="160" spans="2:22">
      <c r="B160" s="6"/>
      <c r="C160" s="6"/>
      <c r="D160" s="7"/>
      <c r="E160" s="7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</row>
    <row r="161" spans="2:22">
      <c r="B161" s="6"/>
      <c r="C161" s="6"/>
      <c r="D161" s="7"/>
      <c r="E161" s="7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</row>
    <row r="162" spans="2:22">
      <c r="B162" s="6"/>
      <c r="C162" s="6"/>
      <c r="D162" s="7"/>
      <c r="E162" s="7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</row>
    <row r="163" spans="2:22">
      <c r="B163" s="6"/>
      <c r="C163" s="6"/>
      <c r="D163" s="7"/>
      <c r="E163" s="7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</row>
    <row r="164" spans="2:22">
      <c r="B164" s="6"/>
      <c r="C164" s="6"/>
      <c r="D164" s="7"/>
      <c r="E164" s="7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</row>
    <row r="165" spans="2:22">
      <c r="B165" s="6"/>
      <c r="C165" s="6"/>
      <c r="D165" s="7"/>
      <c r="E165" s="7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</row>
    <row r="166" spans="2:22">
      <c r="B166" s="6"/>
      <c r="C166" s="6"/>
      <c r="D166" s="7"/>
      <c r="E166" s="7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</row>
    <row r="167" spans="2:22">
      <c r="B167" s="6"/>
      <c r="C167" s="6"/>
      <c r="D167" s="7"/>
      <c r="E167" s="7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</row>
    <row r="168" spans="2:22">
      <c r="B168" s="6"/>
      <c r="C168" s="6"/>
      <c r="D168" s="7"/>
      <c r="E168" s="7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</row>
    <row r="169" spans="2:22">
      <c r="B169" s="6"/>
      <c r="C169" s="6"/>
      <c r="D169" s="7"/>
      <c r="E169" s="7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</row>
    <row r="170" spans="2:22">
      <c r="B170" s="6"/>
      <c r="C170" s="6"/>
      <c r="D170" s="7"/>
      <c r="E170" s="7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</row>
    <row r="171" spans="2:22">
      <c r="B171" s="6"/>
      <c r="C171" s="6"/>
      <c r="D171" s="7"/>
      <c r="E171" s="7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</row>
    <row r="172" spans="2:22">
      <c r="B172" s="6"/>
      <c r="C172" s="6"/>
      <c r="D172" s="7"/>
      <c r="E172" s="7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</row>
    <row r="173" spans="2:22">
      <c r="B173" s="6"/>
      <c r="C173" s="6"/>
      <c r="D173" s="7"/>
      <c r="E173" s="7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</row>
    <row r="174" spans="2:22">
      <c r="B174" s="6"/>
      <c r="C174" s="6"/>
      <c r="D174" s="7"/>
      <c r="E174" s="7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</row>
    <row r="175" spans="2:22">
      <c r="B175" s="6"/>
      <c r="C175" s="6"/>
      <c r="D175" s="7"/>
      <c r="E175" s="7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</row>
    <row r="176" spans="2:22">
      <c r="B176" s="6"/>
      <c r="C176" s="6"/>
      <c r="D176" s="7"/>
      <c r="E176" s="7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</row>
    <row r="177" spans="2:22">
      <c r="B177" s="6"/>
      <c r="C177" s="6"/>
      <c r="D177" s="7"/>
      <c r="E177" s="7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</row>
    <row r="178" spans="2:22">
      <c r="B178" s="6"/>
      <c r="C178" s="6"/>
      <c r="D178" s="7"/>
      <c r="E178" s="7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</row>
    <row r="179" spans="2:22">
      <c r="B179" s="6"/>
      <c r="C179" s="6"/>
      <c r="D179" s="7"/>
      <c r="E179" s="7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</row>
    <row r="180" spans="2:22">
      <c r="B180" s="6"/>
      <c r="C180" s="6"/>
      <c r="D180" s="7"/>
      <c r="E180" s="7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</row>
    <row r="181" spans="2:22">
      <c r="B181" s="6"/>
      <c r="C181" s="6"/>
      <c r="D181" s="7"/>
      <c r="E181" s="7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</row>
    <row r="182" spans="2:22">
      <c r="B182" s="6"/>
      <c r="C182" s="6"/>
      <c r="D182" s="7"/>
      <c r="E182" s="7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</row>
    <row r="183" spans="2:22">
      <c r="B183" s="6"/>
      <c r="C183" s="6"/>
      <c r="D183" s="7"/>
      <c r="E183" s="7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</row>
    <row r="184" spans="2:22">
      <c r="B184" s="6"/>
      <c r="C184" s="6"/>
      <c r="D184" s="7"/>
      <c r="E184" s="7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</row>
    <row r="185" spans="2:22">
      <c r="B185" s="6"/>
      <c r="C185" s="6"/>
      <c r="D185" s="7"/>
      <c r="E185" s="7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</row>
    <row r="186" spans="2:22">
      <c r="B186" s="6"/>
      <c r="C186" s="6"/>
      <c r="D186" s="7"/>
      <c r="E186" s="7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</row>
    <row r="187" spans="2:22">
      <c r="B187" s="6"/>
      <c r="C187" s="6"/>
      <c r="D187" s="7"/>
      <c r="E187" s="7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</row>
    <row r="188" spans="2:22">
      <c r="B188" s="6"/>
      <c r="C188" s="6"/>
      <c r="D188" s="7"/>
      <c r="E188" s="7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</row>
    <row r="189" spans="2:22">
      <c r="B189" s="6"/>
      <c r="C189" s="6"/>
      <c r="D189" s="7"/>
      <c r="E189" s="7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</row>
    <row r="190" spans="2:22">
      <c r="B190" s="6"/>
      <c r="C190" s="6"/>
      <c r="D190" s="7"/>
      <c r="E190" s="7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</row>
    <row r="191" spans="2:22">
      <c r="B191" s="6"/>
      <c r="C191" s="6"/>
      <c r="D191" s="7"/>
      <c r="E191" s="7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</row>
    <row r="192" spans="2:22">
      <c r="B192" s="6"/>
      <c r="C192" s="6"/>
      <c r="D192" s="7"/>
      <c r="E192" s="7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</row>
    <row r="193" spans="2:22">
      <c r="B193" s="6"/>
      <c r="C193" s="6"/>
      <c r="D193" s="7"/>
      <c r="E193" s="7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</row>
    <row r="194" spans="2:22">
      <c r="B194" s="6"/>
      <c r="C194" s="6"/>
      <c r="D194" s="7"/>
      <c r="E194" s="7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</row>
    <row r="195" spans="2:22">
      <c r="B195" s="6"/>
      <c r="C195" s="6"/>
      <c r="D195" s="7"/>
      <c r="E195" s="7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</row>
    <row r="196" spans="2:22">
      <c r="B196" s="6"/>
      <c r="C196" s="6"/>
      <c r="D196" s="7"/>
      <c r="E196" s="7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</row>
    <row r="197" spans="2:22">
      <c r="B197" s="6"/>
      <c r="C197" s="6"/>
      <c r="D197" s="7"/>
      <c r="E197" s="7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</row>
    <row r="198" spans="2:22">
      <c r="B198" s="6"/>
      <c r="C198" s="6"/>
      <c r="D198" s="7"/>
      <c r="E198" s="7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</row>
    <row r="199" spans="2:22">
      <c r="B199" s="6"/>
      <c r="C199" s="6"/>
      <c r="D199" s="7"/>
      <c r="E199" s="7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</row>
    <row r="200" spans="2:22">
      <c r="B200" s="6"/>
      <c r="C200" s="6"/>
      <c r="D200" s="7"/>
      <c r="E200" s="7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</row>
    <row r="201" spans="2:22">
      <c r="B201" s="6"/>
      <c r="C201" s="6"/>
      <c r="D201" s="7"/>
      <c r="E201" s="7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</row>
    <row r="202" spans="2:22">
      <c r="B202" s="6"/>
      <c r="C202" s="6"/>
      <c r="D202" s="7"/>
      <c r="E202" s="7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</row>
    <row r="203" spans="2:22">
      <c r="B203" s="6"/>
      <c r="C203" s="6"/>
      <c r="D203" s="7"/>
      <c r="E203" s="7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</row>
    <row r="204" spans="2:22">
      <c r="B204" s="6"/>
      <c r="C204" s="6"/>
      <c r="D204" s="7"/>
      <c r="E204" s="7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</row>
  </sheetData>
  <conditionalFormatting sqref="E7:F91 F7:V97 D98:U98 F99:V204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3:AB204"/>
  <sheetViews>
    <sheetView zoomScale="75" zoomScaleNormal="75" workbookViewId="0">
      <selection activeCell="D7" sqref="A7:AB91"/>
    </sheetView>
  </sheetViews>
  <sheetFormatPr defaultRowHeight="13.15"/>
  <cols>
    <col min="1" max="1" width="14.28515625" style="1" bestFit="1" customWidth="1"/>
    <col min="2" max="3" width="63.7109375" style="1" bestFit="1" customWidth="1"/>
    <col min="4" max="4" width="22" style="1" bestFit="1" customWidth="1"/>
    <col min="5" max="5" width="22" style="1" customWidth="1"/>
    <col min="6" max="19" width="19" style="1" customWidth="1"/>
    <col min="20" max="28" width="17.5703125" style="1" customWidth="1"/>
    <col min="29" max="257" width="9.140625" style="1"/>
    <col min="258" max="258" width="14.28515625" style="1" bestFit="1" customWidth="1"/>
    <col min="259" max="260" width="63.7109375" style="1" bestFit="1" customWidth="1"/>
    <col min="261" max="261" width="22" style="1" bestFit="1" customWidth="1"/>
    <col min="262" max="275" width="19" style="1" customWidth="1"/>
    <col min="276" max="284" width="17.5703125" style="1" customWidth="1"/>
    <col min="285" max="513" width="9.140625" style="1"/>
    <col min="514" max="514" width="14.28515625" style="1" bestFit="1" customWidth="1"/>
    <col min="515" max="516" width="63.7109375" style="1" bestFit="1" customWidth="1"/>
    <col min="517" max="517" width="22" style="1" bestFit="1" customWidth="1"/>
    <col min="518" max="531" width="19" style="1" customWidth="1"/>
    <col min="532" max="540" width="17.5703125" style="1" customWidth="1"/>
    <col min="541" max="769" width="9.140625" style="1"/>
    <col min="770" max="770" width="14.28515625" style="1" bestFit="1" customWidth="1"/>
    <col min="771" max="772" width="63.7109375" style="1" bestFit="1" customWidth="1"/>
    <col min="773" max="773" width="22" style="1" bestFit="1" customWidth="1"/>
    <col min="774" max="787" width="19" style="1" customWidth="1"/>
    <col min="788" max="796" width="17.5703125" style="1" customWidth="1"/>
    <col min="797" max="1025" width="9.140625" style="1"/>
    <col min="1026" max="1026" width="14.28515625" style="1" bestFit="1" customWidth="1"/>
    <col min="1027" max="1028" width="63.7109375" style="1" bestFit="1" customWidth="1"/>
    <col min="1029" max="1029" width="22" style="1" bestFit="1" customWidth="1"/>
    <col min="1030" max="1043" width="19" style="1" customWidth="1"/>
    <col min="1044" max="1052" width="17.5703125" style="1" customWidth="1"/>
    <col min="1053" max="1281" width="9.140625" style="1"/>
    <col min="1282" max="1282" width="14.28515625" style="1" bestFit="1" customWidth="1"/>
    <col min="1283" max="1284" width="63.7109375" style="1" bestFit="1" customWidth="1"/>
    <col min="1285" max="1285" width="22" style="1" bestFit="1" customWidth="1"/>
    <col min="1286" max="1299" width="19" style="1" customWidth="1"/>
    <col min="1300" max="1308" width="17.5703125" style="1" customWidth="1"/>
    <col min="1309" max="1537" width="9.140625" style="1"/>
    <col min="1538" max="1538" width="14.28515625" style="1" bestFit="1" customWidth="1"/>
    <col min="1539" max="1540" width="63.7109375" style="1" bestFit="1" customWidth="1"/>
    <col min="1541" max="1541" width="22" style="1" bestFit="1" customWidth="1"/>
    <col min="1542" max="1555" width="19" style="1" customWidth="1"/>
    <col min="1556" max="1564" width="17.5703125" style="1" customWidth="1"/>
    <col min="1565" max="1793" width="9.140625" style="1"/>
    <col min="1794" max="1794" width="14.28515625" style="1" bestFit="1" customWidth="1"/>
    <col min="1795" max="1796" width="63.7109375" style="1" bestFit="1" customWidth="1"/>
    <col min="1797" max="1797" width="22" style="1" bestFit="1" customWidth="1"/>
    <col min="1798" max="1811" width="19" style="1" customWidth="1"/>
    <col min="1812" max="1820" width="17.5703125" style="1" customWidth="1"/>
    <col min="1821" max="2049" width="9.140625" style="1"/>
    <col min="2050" max="2050" width="14.28515625" style="1" bestFit="1" customWidth="1"/>
    <col min="2051" max="2052" width="63.7109375" style="1" bestFit="1" customWidth="1"/>
    <col min="2053" max="2053" width="22" style="1" bestFit="1" customWidth="1"/>
    <col min="2054" max="2067" width="19" style="1" customWidth="1"/>
    <col min="2068" max="2076" width="17.5703125" style="1" customWidth="1"/>
    <col min="2077" max="2305" width="9.140625" style="1"/>
    <col min="2306" max="2306" width="14.28515625" style="1" bestFit="1" customWidth="1"/>
    <col min="2307" max="2308" width="63.7109375" style="1" bestFit="1" customWidth="1"/>
    <col min="2309" max="2309" width="22" style="1" bestFit="1" customWidth="1"/>
    <col min="2310" max="2323" width="19" style="1" customWidth="1"/>
    <col min="2324" max="2332" width="17.5703125" style="1" customWidth="1"/>
    <col min="2333" max="2561" width="9.140625" style="1"/>
    <col min="2562" max="2562" width="14.28515625" style="1" bestFit="1" customWidth="1"/>
    <col min="2563" max="2564" width="63.7109375" style="1" bestFit="1" customWidth="1"/>
    <col min="2565" max="2565" width="22" style="1" bestFit="1" customWidth="1"/>
    <col min="2566" max="2579" width="19" style="1" customWidth="1"/>
    <col min="2580" max="2588" width="17.5703125" style="1" customWidth="1"/>
    <col min="2589" max="2817" width="9.140625" style="1"/>
    <col min="2818" max="2818" width="14.28515625" style="1" bestFit="1" customWidth="1"/>
    <col min="2819" max="2820" width="63.7109375" style="1" bestFit="1" customWidth="1"/>
    <col min="2821" max="2821" width="22" style="1" bestFit="1" customWidth="1"/>
    <col min="2822" max="2835" width="19" style="1" customWidth="1"/>
    <col min="2836" max="2844" width="17.5703125" style="1" customWidth="1"/>
    <col min="2845" max="3073" width="9.140625" style="1"/>
    <col min="3074" max="3074" width="14.28515625" style="1" bestFit="1" customWidth="1"/>
    <col min="3075" max="3076" width="63.7109375" style="1" bestFit="1" customWidth="1"/>
    <col min="3077" max="3077" width="22" style="1" bestFit="1" customWidth="1"/>
    <col min="3078" max="3091" width="19" style="1" customWidth="1"/>
    <col min="3092" max="3100" width="17.5703125" style="1" customWidth="1"/>
    <col min="3101" max="3329" width="9.140625" style="1"/>
    <col min="3330" max="3330" width="14.28515625" style="1" bestFit="1" customWidth="1"/>
    <col min="3331" max="3332" width="63.7109375" style="1" bestFit="1" customWidth="1"/>
    <col min="3333" max="3333" width="22" style="1" bestFit="1" customWidth="1"/>
    <col min="3334" max="3347" width="19" style="1" customWidth="1"/>
    <col min="3348" max="3356" width="17.5703125" style="1" customWidth="1"/>
    <col min="3357" max="3585" width="9.140625" style="1"/>
    <col min="3586" max="3586" width="14.28515625" style="1" bestFit="1" customWidth="1"/>
    <col min="3587" max="3588" width="63.7109375" style="1" bestFit="1" customWidth="1"/>
    <col min="3589" max="3589" width="22" style="1" bestFit="1" customWidth="1"/>
    <col min="3590" max="3603" width="19" style="1" customWidth="1"/>
    <col min="3604" max="3612" width="17.5703125" style="1" customWidth="1"/>
    <col min="3613" max="3841" width="9.140625" style="1"/>
    <col min="3842" max="3842" width="14.28515625" style="1" bestFit="1" customWidth="1"/>
    <col min="3843" max="3844" width="63.7109375" style="1" bestFit="1" customWidth="1"/>
    <col min="3845" max="3845" width="22" style="1" bestFit="1" customWidth="1"/>
    <col min="3846" max="3859" width="19" style="1" customWidth="1"/>
    <col min="3860" max="3868" width="17.5703125" style="1" customWidth="1"/>
    <col min="3869" max="4097" width="9.140625" style="1"/>
    <col min="4098" max="4098" width="14.28515625" style="1" bestFit="1" customWidth="1"/>
    <col min="4099" max="4100" width="63.7109375" style="1" bestFit="1" customWidth="1"/>
    <col min="4101" max="4101" width="22" style="1" bestFit="1" customWidth="1"/>
    <col min="4102" max="4115" width="19" style="1" customWidth="1"/>
    <col min="4116" max="4124" width="17.5703125" style="1" customWidth="1"/>
    <col min="4125" max="4353" width="9.140625" style="1"/>
    <col min="4354" max="4354" width="14.28515625" style="1" bestFit="1" customWidth="1"/>
    <col min="4355" max="4356" width="63.7109375" style="1" bestFit="1" customWidth="1"/>
    <col min="4357" max="4357" width="22" style="1" bestFit="1" customWidth="1"/>
    <col min="4358" max="4371" width="19" style="1" customWidth="1"/>
    <col min="4372" max="4380" width="17.5703125" style="1" customWidth="1"/>
    <col min="4381" max="4609" width="9.140625" style="1"/>
    <col min="4610" max="4610" width="14.28515625" style="1" bestFit="1" customWidth="1"/>
    <col min="4611" max="4612" width="63.7109375" style="1" bestFit="1" customWidth="1"/>
    <col min="4613" max="4613" width="22" style="1" bestFit="1" customWidth="1"/>
    <col min="4614" max="4627" width="19" style="1" customWidth="1"/>
    <col min="4628" max="4636" width="17.5703125" style="1" customWidth="1"/>
    <col min="4637" max="4865" width="9.140625" style="1"/>
    <col min="4866" max="4866" width="14.28515625" style="1" bestFit="1" customWidth="1"/>
    <col min="4867" max="4868" width="63.7109375" style="1" bestFit="1" customWidth="1"/>
    <col min="4869" max="4869" width="22" style="1" bestFit="1" customWidth="1"/>
    <col min="4870" max="4883" width="19" style="1" customWidth="1"/>
    <col min="4884" max="4892" width="17.5703125" style="1" customWidth="1"/>
    <col min="4893" max="5121" width="9.140625" style="1"/>
    <col min="5122" max="5122" width="14.28515625" style="1" bestFit="1" customWidth="1"/>
    <col min="5123" max="5124" width="63.7109375" style="1" bestFit="1" customWidth="1"/>
    <col min="5125" max="5125" width="22" style="1" bestFit="1" customWidth="1"/>
    <col min="5126" max="5139" width="19" style="1" customWidth="1"/>
    <col min="5140" max="5148" width="17.5703125" style="1" customWidth="1"/>
    <col min="5149" max="5377" width="9.140625" style="1"/>
    <col min="5378" max="5378" width="14.28515625" style="1" bestFit="1" customWidth="1"/>
    <col min="5379" max="5380" width="63.7109375" style="1" bestFit="1" customWidth="1"/>
    <col min="5381" max="5381" width="22" style="1" bestFit="1" customWidth="1"/>
    <col min="5382" max="5395" width="19" style="1" customWidth="1"/>
    <col min="5396" max="5404" width="17.5703125" style="1" customWidth="1"/>
    <col min="5405" max="5633" width="9.140625" style="1"/>
    <col min="5634" max="5634" width="14.28515625" style="1" bestFit="1" customWidth="1"/>
    <col min="5635" max="5636" width="63.7109375" style="1" bestFit="1" customWidth="1"/>
    <col min="5637" max="5637" width="22" style="1" bestFit="1" customWidth="1"/>
    <col min="5638" max="5651" width="19" style="1" customWidth="1"/>
    <col min="5652" max="5660" width="17.5703125" style="1" customWidth="1"/>
    <col min="5661" max="5889" width="9.140625" style="1"/>
    <col min="5890" max="5890" width="14.28515625" style="1" bestFit="1" customWidth="1"/>
    <col min="5891" max="5892" width="63.7109375" style="1" bestFit="1" customWidth="1"/>
    <col min="5893" max="5893" width="22" style="1" bestFit="1" customWidth="1"/>
    <col min="5894" max="5907" width="19" style="1" customWidth="1"/>
    <col min="5908" max="5916" width="17.5703125" style="1" customWidth="1"/>
    <col min="5917" max="6145" width="9.140625" style="1"/>
    <col min="6146" max="6146" width="14.28515625" style="1" bestFit="1" customWidth="1"/>
    <col min="6147" max="6148" width="63.7109375" style="1" bestFit="1" customWidth="1"/>
    <col min="6149" max="6149" width="22" style="1" bestFit="1" customWidth="1"/>
    <col min="6150" max="6163" width="19" style="1" customWidth="1"/>
    <col min="6164" max="6172" width="17.5703125" style="1" customWidth="1"/>
    <col min="6173" max="6401" width="9.140625" style="1"/>
    <col min="6402" max="6402" width="14.28515625" style="1" bestFit="1" customWidth="1"/>
    <col min="6403" max="6404" width="63.7109375" style="1" bestFit="1" customWidth="1"/>
    <col min="6405" max="6405" width="22" style="1" bestFit="1" customWidth="1"/>
    <col min="6406" max="6419" width="19" style="1" customWidth="1"/>
    <col min="6420" max="6428" width="17.5703125" style="1" customWidth="1"/>
    <col min="6429" max="6657" width="9.140625" style="1"/>
    <col min="6658" max="6658" width="14.28515625" style="1" bestFit="1" customWidth="1"/>
    <col min="6659" max="6660" width="63.7109375" style="1" bestFit="1" customWidth="1"/>
    <col min="6661" max="6661" width="22" style="1" bestFit="1" customWidth="1"/>
    <col min="6662" max="6675" width="19" style="1" customWidth="1"/>
    <col min="6676" max="6684" width="17.5703125" style="1" customWidth="1"/>
    <col min="6685" max="6913" width="9.140625" style="1"/>
    <col min="6914" max="6914" width="14.28515625" style="1" bestFit="1" customWidth="1"/>
    <col min="6915" max="6916" width="63.7109375" style="1" bestFit="1" customWidth="1"/>
    <col min="6917" max="6917" width="22" style="1" bestFit="1" customWidth="1"/>
    <col min="6918" max="6931" width="19" style="1" customWidth="1"/>
    <col min="6932" max="6940" width="17.5703125" style="1" customWidth="1"/>
    <col min="6941" max="7169" width="9.140625" style="1"/>
    <col min="7170" max="7170" width="14.28515625" style="1" bestFit="1" customWidth="1"/>
    <col min="7171" max="7172" width="63.7109375" style="1" bestFit="1" customWidth="1"/>
    <col min="7173" max="7173" width="22" style="1" bestFit="1" customWidth="1"/>
    <col min="7174" max="7187" width="19" style="1" customWidth="1"/>
    <col min="7188" max="7196" width="17.5703125" style="1" customWidth="1"/>
    <col min="7197" max="7425" width="9.140625" style="1"/>
    <col min="7426" max="7426" width="14.28515625" style="1" bestFit="1" customWidth="1"/>
    <col min="7427" max="7428" width="63.7109375" style="1" bestFit="1" customWidth="1"/>
    <col min="7429" max="7429" width="22" style="1" bestFit="1" customWidth="1"/>
    <col min="7430" max="7443" width="19" style="1" customWidth="1"/>
    <col min="7444" max="7452" width="17.5703125" style="1" customWidth="1"/>
    <col min="7453" max="7681" width="9.140625" style="1"/>
    <col min="7682" max="7682" width="14.28515625" style="1" bestFit="1" customWidth="1"/>
    <col min="7683" max="7684" width="63.7109375" style="1" bestFit="1" customWidth="1"/>
    <col min="7685" max="7685" width="22" style="1" bestFit="1" customWidth="1"/>
    <col min="7686" max="7699" width="19" style="1" customWidth="1"/>
    <col min="7700" max="7708" width="17.5703125" style="1" customWidth="1"/>
    <col min="7709" max="7937" width="9.140625" style="1"/>
    <col min="7938" max="7938" width="14.28515625" style="1" bestFit="1" customWidth="1"/>
    <col min="7939" max="7940" width="63.7109375" style="1" bestFit="1" customWidth="1"/>
    <col min="7941" max="7941" width="22" style="1" bestFit="1" customWidth="1"/>
    <col min="7942" max="7955" width="19" style="1" customWidth="1"/>
    <col min="7956" max="7964" width="17.5703125" style="1" customWidth="1"/>
    <col min="7965" max="8193" width="9.140625" style="1"/>
    <col min="8194" max="8194" width="14.28515625" style="1" bestFit="1" customWidth="1"/>
    <col min="8195" max="8196" width="63.7109375" style="1" bestFit="1" customWidth="1"/>
    <col min="8197" max="8197" width="22" style="1" bestFit="1" customWidth="1"/>
    <col min="8198" max="8211" width="19" style="1" customWidth="1"/>
    <col min="8212" max="8220" width="17.5703125" style="1" customWidth="1"/>
    <col min="8221" max="8449" width="9.140625" style="1"/>
    <col min="8450" max="8450" width="14.28515625" style="1" bestFit="1" customWidth="1"/>
    <col min="8451" max="8452" width="63.7109375" style="1" bestFit="1" customWidth="1"/>
    <col min="8453" max="8453" width="22" style="1" bestFit="1" customWidth="1"/>
    <col min="8454" max="8467" width="19" style="1" customWidth="1"/>
    <col min="8468" max="8476" width="17.5703125" style="1" customWidth="1"/>
    <col min="8477" max="8705" width="9.140625" style="1"/>
    <col min="8706" max="8706" width="14.28515625" style="1" bestFit="1" customWidth="1"/>
    <col min="8707" max="8708" width="63.7109375" style="1" bestFit="1" customWidth="1"/>
    <col min="8709" max="8709" width="22" style="1" bestFit="1" customWidth="1"/>
    <col min="8710" max="8723" width="19" style="1" customWidth="1"/>
    <col min="8724" max="8732" width="17.5703125" style="1" customWidth="1"/>
    <col min="8733" max="8961" width="9.140625" style="1"/>
    <col min="8962" max="8962" width="14.28515625" style="1" bestFit="1" customWidth="1"/>
    <col min="8963" max="8964" width="63.7109375" style="1" bestFit="1" customWidth="1"/>
    <col min="8965" max="8965" width="22" style="1" bestFit="1" customWidth="1"/>
    <col min="8966" max="8979" width="19" style="1" customWidth="1"/>
    <col min="8980" max="8988" width="17.5703125" style="1" customWidth="1"/>
    <col min="8989" max="9217" width="9.140625" style="1"/>
    <col min="9218" max="9218" width="14.28515625" style="1" bestFit="1" customWidth="1"/>
    <col min="9219" max="9220" width="63.7109375" style="1" bestFit="1" customWidth="1"/>
    <col min="9221" max="9221" width="22" style="1" bestFit="1" customWidth="1"/>
    <col min="9222" max="9235" width="19" style="1" customWidth="1"/>
    <col min="9236" max="9244" width="17.5703125" style="1" customWidth="1"/>
    <col min="9245" max="9473" width="9.140625" style="1"/>
    <col min="9474" max="9474" width="14.28515625" style="1" bestFit="1" customWidth="1"/>
    <col min="9475" max="9476" width="63.7109375" style="1" bestFit="1" customWidth="1"/>
    <col min="9477" max="9477" width="22" style="1" bestFit="1" customWidth="1"/>
    <col min="9478" max="9491" width="19" style="1" customWidth="1"/>
    <col min="9492" max="9500" width="17.5703125" style="1" customWidth="1"/>
    <col min="9501" max="9729" width="9.140625" style="1"/>
    <col min="9730" max="9730" width="14.28515625" style="1" bestFit="1" customWidth="1"/>
    <col min="9731" max="9732" width="63.7109375" style="1" bestFit="1" customWidth="1"/>
    <col min="9733" max="9733" width="22" style="1" bestFit="1" customWidth="1"/>
    <col min="9734" max="9747" width="19" style="1" customWidth="1"/>
    <col min="9748" max="9756" width="17.5703125" style="1" customWidth="1"/>
    <col min="9757" max="9985" width="9.140625" style="1"/>
    <col min="9986" max="9986" width="14.28515625" style="1" bestFit="1" customWidth="1"/>
    <col min="9987" max="9988" width="63.7109375" style="1" bestFit="1" customWidth="1"/>
    <col min="9989" max="9989" width="22" style="1" bestFit="1" customWidth="1"/>
    <col min="9990" max="10003" width="19" style="1" customWidth="1"/>
    <col min="10004" max="10012" width="17.5703125" style="1" customWidth="1"/>
    <col min="10013" max="10241" width="9.140625" style="1"/>
    <col min="10242" max="10242" width="14.28515625" style="1" bestFit="1" customWidth="1"/>
    <col min="10243" max="10244" width="63.7109375" style="1" bestFit="1" customWidth="1"/>
    <col min="10245" max="10245" width="22" style="1" bestFit="1" customWidth="1"/>
    <col min="10246" max="10259" width="19" style="1" customWidth="1"/>
    <col min="10260" max="10268" width="17.5703125" style="1" customWidth="1"/>
    <col min="10269" max="10497" width="9.140625" style="1"/>
    <col min="10498" max="10498" width="14.28515625" style="1" bestFit="1" customWidth="1"/>
    <col min="10499" max="10500" width="63.7109375" style="1" bestFit="1" customWidth="1"/>
    <col min="10501" max="10501" width="22" style="1" bestFit="1" customWidth="1"/>
    <col min="10502" max="10515" width="19" style="1" customWidth="1"/>
    <col min="10516" max="10524" width="17.5703125" style="1" customWidth="1"/>
    <col min="10525" max="10753" width="9.140625" style="1"/>
    <col min="10754" max="10754" width="14.28515625" style="1" bestFit="1" customWidth="1"/>
    <col min="10755" max="10756" width="63.7109375" style="1" bestFit="1" customWidth="1"/>
    <col min="10757" max="10757" width="22" style="1" bestFit="1" customWidth="1"/>
    <col min="10758" max="10771" width="19" style="1" customWidth="1"/>
    <col min="10772" max="10780" width="17.5703125" style="1" customWidth="1"/>
    <col min="10781" max="11009" width="9.140625" style="1"/>
    <col min="11010" max="11010" width="14.28515625" style="1" bestFit="1" customWidth="1"/>
    <col min="11011" max="11012" width="63.7109375" style="1" bestFit="1" customWidth="1"/>
    <col min="11013" max="11013" width="22" style="1" bestFit="1" customWidth="1"/>
    <col min="11014" max="11027" width="19" style="1" customWidth="1"/>
    <col min="11028" max="11036" width="17.5703125" style="1" customWidth="1"/>
    <col min="11037" max="11265" width="9.140625" style="1"/>
    <col min="11266" max="11266" width="14.28515625" style="1" bestFit="1" customWidth="1"/>
    <col min="11267" max="11268" width="63.7109375" style="1" bestFit="1" customWidth="1"/>
    <col min="11269" max="11269" width="22" style="1" bestFit="1" customWidth="1"/>
    <col min="11270" max="11283" width="19" style="1" customWidth="1"/>
    <col min="11284" max="11292" width="17.5703125" style="1" customWidth="1"/>
    <col min="11293" max="11521" width="9.140625" style="1"/>
    <col min="11522" max="11522" width="14.28515625" style="1" bestFit="1" customWidth="1"/>
    <col min="11523" max="11524" width="63.7109375" style="1" bestFit="1" customWidth="1"/>
    <col min="11525" max="11525" width="22" style="1" bestFit="1" customWidth="1"/>
    <col min="11526" max="11539" width="19" style="1" customWidth="1"/>
    <col min="11540" max="11548" width="17.5703125" style="1" customWidth="1"/>
    <col min="11549" max="11777" width="9.140625" style="1"/>
    <col min="11778" max="11778" width="14.28515625" style="1" bestFit="1" customWidth="1"/>
    <col min="11779" max="11780" width="63.7109375" style="1" bestFit="1" customWidth="1"/>
    <col min="11781" max="11781" width="22" style="1" bestFit="1" customWidth="1"/>
    <col min="11782" max="11795" width="19" style="1" customWidth="1"/>
    <col min="11796" max="11804" width="17.5703125" style="1" customWidth="1"/>
    <col min="11805" max="12033" width="9.140625" style="1"/>
    <col min="12034" max="12034" width="14.28515625" style="1" bestFit="1" customWidth="1"/>
    <col min="12035" max="12036" width="63.7109375" style="1" bestFit="1" customWidth="1"/>
    <col min="12037" max="12037" width="22" style="1" bestFit="1" customWidth="1"/>
    <col min="12038" max="12051" width="19" style="1" customWidth="1"/>
    <col min="12052" max="12060" width="17.5703125" style="1" customWidth="1"/>
    <col min="12061" max="12289" width="9.140625" style="1"/>
    <col min="12290" max="12290" width="14.28515625" style="1" bestFit="1" customWidth="1"/>
    <col min="12291" max="12292" width="63.7109375" style="1" bestFit="1" customWidth="1"/>
    <col min="12293" max="12293" width="22" style="1" bestFit="1" customWidth="1"/>
    <col min="12294" max="12307" width="19" style="1" customWidth="1"/>
    <col min="12308" max="12316" width="17.5703125" style="1" customWidth="1"/>
    <col min="12317" max="12545" width="9.140625" style="1"/>
    <col min="12546" max="12546" width="14.28515625" style="1" bestFit="1" customWidth="1"/>
    <col min="12547" max="12548" width="63.7109375" style="1" bestFit="1" customWidth="1"/>
    <col min="12549" max="12549" width="22" style="1" bestFit="1" customWidth="1"/>
    <col min="12550" max="12563" width="19" style="1" customWidth="1"/>
    <col min="12564" max="12572" width="17.5703125" style="1" customWidth="1"/>
    <col min="12573" max="12801" width="9.140625" style="1"/>
    <col min="12802" max="12802" width="14.28515625" style="1" bestFit="1" customWidth="1"/>
    <col min="12803" max="12804" width="63.7109375" style="1" bestFit="1" customWidth="1"/>
    <col min="12805" max="12805" width="22" style="1" bestFit="1" customWidth="1"/>
    <col min="12806" max="12819" width="19" style="1" customWidth="1"/>
    <col min="12820" max="12828" width="17.5703125" style="1" customWidth="1"/>
    <col min="12829" max="13057" width="9.140625" style="1"/>
    <col min="13058" max="13058" width="14.28515625" style="1" bestFit="1" customWidth="1"/>
    <col min="13059" max="13060" width="63.7109375" style="1" bestFit="1" customWidth="1"/>
    <col min="13061" max="13061" width="22" style="1" bestFit="1" customWidth="1"/>
    <col min="13062" max="13075" width="19" style="1" customWidth="1"/>
    <col min="13076" max="13084" width="17.5703125" style="1" customWidth="1"/>
    <col min="13085" max="13313" width="9.140625" style="1"/>
    <col min="13314" max="13314" width="14.28515625" style="1" bestFit="1" customWidth="1"/>
    <col min="13315" max="13316" width="63.7109375" style="1" bestFit="1" customWidth="1"/>
    <col min="13317" max="13317" width="22" style="1" bestFit="1" customWidth="1"/>
    <col min="13318" max="13331" width="19" style="1" customWidth="1"/>
    <col min="13332" max="13340" width="17.5703125" style="1" customWidth="1"/>
    <col min="13341" max="13569" width="9.140625" style="1"/>
    <col min="13570" max="13570" width="14.28515625" style="1" bestFit="1" customWidth="1"/>
    <col min="13571" max="13572" width="63.7109375" style="1" bestFit="1" customWidth="1"/>
    <col min="13573" max="13573" width="22" style="1" bestFit="1" customWidth="1"/>
    <col min="13574" max="13587" width="19" style="1" customWidth="1"/>
    <col min="13588" max="13596" width="17.5703125" style="1" customWidth="1"/>
    <col min="13597" max="13825" width="9.140625" style="1"/>
    <col min="13826" max="13826" width="14.28515625" style="1" bestFit="1" customWidth="1"/>
    <col min="13827" max="13828" width="63.7109375" style="1" bestFit="1" customWidth="1"/>
    <col min="13829" max="13829" width="22" style="1" bestFit="1" customWidth="1"/>
    <col min="13830" max="13843" width="19" style="1" customWidth="1"/>
    <col min="13844" max="13852" width="17.5703125" style="1" customWidth="1"/>
    <col min="13853" max="14081" width="9.140625" style="1"/>
    <col min="14082" max="14082" width="14.28515625" style="1" bestFit="1" customWidth="1"/>
    <col min="14083" max="14084" width="63.7109375" style="1" bestFit="1" customWidth="1"/>
    <col min="14085" max="14085" width="22" style="1" bestFit="1" customWidth="1"/>
    <col min="14086" max="14099" width="19" style="1" customWidth="1"/>
    <col min="14100" max="14108" width="17.5703125" style="1" customWidth="1"/>
    <col min="14109" max="14337" width="9.140625" style="1"/>
    <col min="14338" max="14338" width="14.28515625" style="1" bestFit="1" customWidth="1"/>
    <col min="14339" max="14340" width="63.7109375" style="1" bestFit="1" customWidth="1"/>
    <col min="14341" max="14341" width="22" style="1" bestFit="1" customWidth="1"/>
    <col min="14342" max="14355" width="19" style="1" customWidth="1"/>
    <col min="14356" max="14364" width="17.5703125" style="1" customWidth="1"/>
    <col min="14365" max="14593" width="9.140625" style="1"/>
    <col min="14594" max="14594" width="14.28515625" style="1" bestFit="1" customWidth="1"/>
    <col min="14595" max="14596" width="63.7109375" style="1" bestFit="1" customWidth="1"/>
    <col min="14597" max="14597" width="22" style="1" bestFit="1" customWidth="1"/>
    <col min="14598" max="14611" width="19" style="1" customWidth="1"/>
    <col min="14612" max="14620" width="17.5703125" style="1" customWidth="1"/>
    <col min="14621" max="14849" width="9.140625" style="1"/>
    <col min="14850" max="14850" width="14.28515625" style="1" bestFit="1" customWidth="1"/>
    <col min="14851" max="14852" width="63.7109375" style="1" bestFit="1" customWidth="1"/>
    <col min="14853" max="14853" width="22" style="1" bestFit="1" customWidth="1"/>
    <col min="14854" max="14867" width="19" style="1" customWidth="1"/>
    <col min="14868" max="14876" width="17.5703125" style="1" customWidth="1"/>
    <col min="14877" max="15105" width="9.140625" style="1"/>
    <col min="15106" max="15106" width="14.28515625" style="1" bestFit="1" customWidth="1"/>
    <col min="15107" max="15108" width="63.7109375" style="1" bestFit="1" customWidth="1"/>
    <col min="15109" max="15109" width="22" style="1" bestFit="1" customWidth="1"/>
    <col min="15110" max="15123" width="19" style="1" customWidth="1"/>
    <col min="15124" max="15132" width="17.5703125" style="1" customWidth="1"/>
    <col min="15133" max="15361" width="9.140625" style="1"/>
    <col min="15362" max="15362" width="14.28515625" style="1" bestFit="1" customWidth="1"/>
    <col min="15363" max="15364" width="63.7109375" style="1" bestFit="1" customWidth="1"/>
    <col min="15365" max="15365" width="22" style="1" bestFit="1" customWidth="1"/>
    <col min="15366" max="15379" width="19" style="1" customWidth="1"/>
    <col min="15380" max="15388" width="17.5703125" style="1" customWidth="1"/>
    <col min="15389" max="15617" width="9.140625" style="1"/>
    <col min="15618" max="15618" width="14.28515625" style="1" bestFit="1" customWidth="1"/>
    <col min="15619" max="15620" width="63.7109375" style="1" bestFit="1" customWidth="1"/>
    <col min="15621" max="15621" width="22" style="1" bestFit="1" customWidth="1"/>
    <col min="15622" max="15635" width="19" style="1" customWidth="1"/>
    <col min="15636" max="15644" width="17.5703125" style="1" customWidth="1"/>
    <col min="15645" max="15873" width="9.140625" style="1"/>
    <col min="15874" max="15874" width="14.28515625" style="1" bestFit="1" customWidth="1"/>
    <col min="15875" max="15876" width="63.7109375" style="1" bestFit="1" customWidth="1"/>
    <col min="15877" max="15877" width="22" style="1" bestFit="1" customWidth="1"/>
    <col min="15878" max="15891" width="19" style="1" customWidth="1"/>
    <col min="15892" max="15900" width="17.5703125" style="1" customWidth="1"/>
    <col min="15901" max="16129" width="9.140625" style="1"/>
    <col min="16130" max="16130" width="14.28515625" style="1" bestFit="1" customWidth="1"/>
    <col min="16131" max="16132" width="63.7109375" style="1" bestFit="1" customWidth="1"/>
    <col min="16133" max="16133" width="22" style="1" bestFit="1" customWidth="1"/>
    <col min="16134" max="16147" width="19" style="1" customWidth="1"/>
    <col min="16148" max="16156" width="17.5703125" style="1" customWidth="1"/>
    <col min="16157" max="16384" width="9.140625" style="1"/>
  </cols>
  <sheetData>
    <row r="3" spans="1:28" ht="39.6">
      <c r="E3" s="9" t="s">
        <v>312</v>
      </c>
      <c r="F3" s="9" t="s">
        <v>312</v>
      </c>
      <c r="G3" s="9" t="s">
        <v>312</v>
      </c>
      <c r="H3" s="9" t="s">
        <v>312</v>
      </c>
      <c r="I3" s="9" t="s">
        <v>312</v>
      </c>
      <c r="J3" s="9" t="s">
        <v>312</v>
      </c>
      <c r="K3" s="9" t="s">
        <v>312</v>
      </c>
      <c r="L3" s="9" t="s">
        <v>312</v>
      </c>
      <c r="M3" s="9" t="s">
        <v>312</v>
      </c>
      <c r="N3" s="9" t="s">
        <v>312</v>
      </c>
      <c r="O3" s="9" t="s">
        <v>312</v>
      </c>
      <c r="P3" s="9" t="s">
        <v>312</v>
      </c>
      <c r="Q3" s="9" t="s">
        <v>312</v>
      </c>
      <c r="R3" s="9" t="s">
        <v>312</v>
      </c>
      <c r="S3" s="9" t="s">
        <v>312</v>
      </c>
      <c r="T3" s="9" t="s">
        <v>312</v>
      </c>
      <c r="U3" s="9" t="s">
        <v>312</v>
      </c>
      <c r="V3" s="9" t="s">
        <v>312</v>
      </c>
      <c r="W3" s="9" t="s">
        <v>312</v>
      </c>
      <c r="X3" s="9" t="s">
        <v>312</v>
      </c>
      <c r="Y3" s="9" t="s">
        <v>312</v>
      </c>
      <c r="Z3" s="9" t="s">
        <v>312</v>
      </c>
      <c r="AA3" s="9" t="s">
        <v>312</v>
      </c>
      <c r="AB3" s="9" t="s">
        <v>312</v>
      </c>
    </row>
    <row r="4" spans="1:28" ht="26.45">
      <c r="B4" s="2"/>
      <c r="C4" s="2"/>
      <c r="D4" s="2"/>
      <c r="E4" s="9" t="s">
        <v>313</v>
      </c>
      <c r="F4" s="9" t="s">
        <v>313</v>
      </c>
      <c r="G4" s="9" t="s">
        <v>313</v>
      </c>
      <c r="H4" s="9" t="s">
        <v>313</v>
      </c>
      <c r="I4" s="9" t="s">
        <v>313</v>
      </c>
      <c r="J4" s="9" t="s">
        <v>313</v>
      </c>
      <c r="K4" s="9" t="s">
        <v>313</v>
      </c>
      <c r="L4" s="9" t="s">
        <v>313</v>
      </c>
      <c r="M4" s="9" t="s">
        <v>313</v>
      </c>
      <c r="N4" s="9" t="s">
        <v>313</v>
      </c>
      <c r="O4" s="9" t="s">
        <v>313</v>
      </c>
      <c r="P4" s="9" t="s">
        <v>313</v>
      </c>
      <c r="Q4" s="9" t="s">
        <v>313</v>
      </c>
      <c r="R4" s="9" t="s">
        <v>313</v>
      </c>
      <c r="S4" s="9" t="s">
        <v>313</v>
      </c>
      <c r="T4" s="9" t="s">
        <v>313</v>
      </c>
      <c r="U4" s="9" t="s">
        <v>313</v>
      </c>
      <c r="V4" s="9" t="s">
        <v>313</v>
      </c>
      <c r="W4" s="9" t="s">
        <v>313</v>
      </c>
      <c r="X4" s="9" t="s">
        <v>313</v>
      </c>
      <c r="Y4" s="9" t="s">
        <v>313</v>
      </c>
      <c r="Z4" s="9" t="s">
        <v>313</v>
      </c>
      <c r="AA4" s="9" t="s">
        <v>313</v>
      </c>
      <c r="AB4" s="9" t="s">
        <v>313</v>
      </c>
    </row>
    <row r="5" spans="1:28">
      <c r="A5" s="3" t="s">
        <v>271</v>
      </c>
      <c r="B5" s="4" t="s">
        <v>272</v>
      </c>
      <c r="C5" s="4" t="s">
        <v>273</v>
      </c>
      <c r="D5" s="5" t="s">
        <v>1</v>
      </c>
      <c r="E5" s="9" t="s">
        <v>142</v>
      </c>
      <c r="F5" s="9" t="s">
        <v>141</v>
      </c>
      <c r="G5" s="9" t="s">
        <v>140</v>
      </c>
      <c r="H5" s="9" t="s">
        <v>136</v>
      </c>
      <c r="I5" s="9" t="s">
        <v>135</v>
      </c>
      <c r="J5" s="9" t="s">
        <v>133</v>
      </c>
      <c r="K5" s="9" t="s">
        <v>132</v>
      </c>
      <c r="L5" s="9" t="s">
        <v>130</v>
      </c>
      <c r="M5" s="9" t="s">
        <v>129</v>
      </c>
      <c r="N5" s="9" t="s">
        <v>128</v>
      </c>
      <c r="O5" s="9" t="s">
        <v>127</v>
      </c>
      <c r="P5" s="9" t="s">
        <v>126</v>
      </c>
      <c r="Q5" s="9" t="s">
        <v>125</v>
      </c>
      <c r="R5" s="9" t="s">
        <v>120</v>
      </c>
      <c r="S5" s="9" t="s">
        <v>118</v>
      </c>
      <c r="T5" s="9" t="s">
        <v>117</v>
      </c>
      <c r="U5" s="9" t="s">
        <v>116</v>
      </c>
      <c r="V5" s="9" t="s">
        <v>115</v>
      </c>
      <c r="W5" s="9" t="s">
        <v>114</v>
      </c>
      <c r="X5" s="9" t="s">
        <v>113</v>
      </c>
      <c r="Y5" s="9" t="s">
        <v>111</v>
      </c>
      <c r="Z5" s="9" t="s">
        <v>107</v>
      </c>
      <c r="AA5" s="9" t="s">
        <v>106</v>
      </c>
      <c r="AB5" s="9" t="s">
        <v>100</v>
      </c>
    </row>
    <row r="6" spans="1:28"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>
      <c r="B7" s="6" t="s">
        <v>274</v>
      </c>
      <c r="C7" s="6" t="s">
        <v>274</v>
      </c>
      <c r="D7" s="7">
        <v>4058513</v>
      </c>
      <c r="E7" s="197" t="s">
        <v>175</v>
      </c>
      <c r="F7" s="197" t="s">
        <v>175</v>
      </c>
      <c r="G7" s="197">
        <v>57817</v>
      </c>
      <c r="H7" s="197">
        <v>57592</v>
      </c>
      <c r="I7" s="197">
        <v>57614</v>
      </c>
      <c r="J7" s="197">
        <v>57777</v>
      </c>
      <c r="K7" s="197">
        <v>57956</v>
      </c>
      <c r="L7" s="197">
        <v>58188</v>
      </c>
      <c r="M7" s="197">
        <v>58473</v>
      </c>
      <c r="N7" s="197">
        <v>58844</v>
      </c>
      <c r="O7" s="197">
        <v>59271</v>
      </c>
      <c r="P7" s="197">
        <v>59503</v>
      </c>
      <c r="Q7" s="197">
        <v>59667</v>
      </c>
      <c r="R7" s="197">
        <v>60122</v>
      </c>
      <c r="S7" s="197">
        <v>60052</v>
      </c>
      <c r="T7" s="197">
        <v>60270</v>
      </c>
      <c r="U7" s="197">
        <v>61360</v>
      </c>
      <c r="V7" s="197">
        <v>61906</v>
      </c>
      <c r="W7" s="197">
        <v>62053</v>
      </c>
      <c r="X7" s="197">
        <v>62081</v>
      </c>
      <c r="Y7" s="197">
        <v>62224</v>
      </c>
      <c r="Z7" s="197">
        <v>63148</v>
      </c>
      <c r="AA7" s="197">
        <v>61696</v>
      </c>
      <c r="AB7" s="197">
        <v>60974</v>
      </c>
    </row>
    <row r="8" spans="1:28">
      <c r="B8" s="6" t="s">
        <v>98</v>
      </c>
      <c r="C8" s="6" t="s">
        <v>98</v>
      </c>
      <c r="D8" s="7">
        <v>4054707</v>
      </c>
      <c r="E8" s="197">
        <v>1695226</v>
      </c>
      <c r="F8" s="197">
        <v>1689129</v>
      </c>
      <c r="G8" s="197">
        <v>1610603</v>
      </c>
      <c r="H8" s="197">
        <v>1595069</v>
      </c>
      <c r="I8" s="197">
        <v>1577838</v>
      </c>
      <c r="J8" s="197">
        <v>1565727</v>
      </c>
      <c r="K8" s="197">
        <v>1550319</v>
      </c>
      <c r="L8" s="197">
        <v>1532531</v>
      </c>
      <c r="M8" s="197">
        <v>1518436</v>
      </c>
      <c r="N8" s="197">
        <v>1510998</v>
      </c>
      <c r="O8" s="197">
        <v>1510957</v>
      </c>
      <c r="P8" s="197">
        <v>1512949</v>
      </c>
      <c r="Q8" s="197">
        <v>1514629</v>
      </c>
      <c r="R8" s="197">
        <v>1557230</v>
      </c>
      <c r="S8" s="197">
        <v>1558679</v>
      </c>
      <c r="T8" s="197">
        <v>1493579</v>
      </c>
      <c r="U8" s="197">
        <v>1546746</v>
      </c>
      <c r="V8" s="197">
        <v>1532615</v>
      </c>
      <c r="W8" s="197">
        <v>1527668</v>
      </c>
      <c r="X8" s="197">
        <v>1519499</v>
      </c>
      <c r="Y8" s="197">
        <v>1533343</v>
      </c>
      <c r="Z8" s="197">
        <v>1478549</v>
      </c>
      <c r="AA8" s="197">
        <v>1638195</v>
      </c>
      <c r="AB8" s="197">
        <v>1467712</v>
      </c>
    </row>
    <row r="9" spans="1:28">
      <c r="B9" s="6" t="s">
        <v>145</v>
      </c>
      <c r="C9" s="6" t="s">
        <v>145</v>
      </c>
      <c r="D9" s="7">
        <v>4057075</v>
      </c>
      <c r="E9" s="197">
        <v>368491</v>
      </c>
      <c r="F9" s="197" t="s">
        <v>175</v>
      </c>
      <c r="G9" s="197">
        <v>357592</v>
      </c>
      <c r="H9" s="197">
        <v>350734</v>
      </c>
      <c r="I9" s="197">
        <v>343018</v>
      </c>
      <c r="J9" s="197">
        <v>336207</v>
      </c>
      <c r="K9" s="197">
        <v>332960</v>
      </c>
      <c r="L9" s="197">
        <v>326436</v>
      </c>
      <c r="M9" s="197">
        <v>323097</v>
      </c>
      <c r="N9" s="197">
        <v>320741</v>
      </c>
      <c r="O9" s="197">
        <v>318487</v>
      </c>
      <c r="P9" s="197">
        <v>316572</v>
      </c>
      <c r="Q9" s="197">
        <v>314325</v>
      </c>
      <c r="R9" s="197">
        <v>311232</v>
      </c>
      <c r="S9" s="197">
        <v>306180</v>
      </c>
      <c r="T9" s="197">
        <v>299224</v>
      </c>
      <c r="U9" s="197">
        <v>291118</v>
      </c>
      <c r="V9" s="197">
        <v>282317</v>
      </c>
      <c r="W9" s="197">
        <v>274404</v>
      </c>
      <c r="X9" s="197">
        <v>267704</v>
      </c>
      <c r="Y9" s="197">
        <v>262290</v>
      </c>
      <c r="Z9" s="197">
        <v>255245</v>
      </c>
      <c r="AA9" s="197">
        <v>246307</v>
      </c>
      <c r="AB9" s="197">
        <v>236733</v>
      </c>
    </row>
    <row r="10" spans="1:28">
      <c r="A10" s="1" t="s">
        <v>275</v>
      </c>
      <c r="B10" s="6" t="s">
        <v>154</v>
      </c>
      <c r="C10" s="6" t="s">
        <v>154</v>
      </c>
      <c r="D10" s="7">
        <v>4007784</v>
      </c>
      <c r="E10" s="197">
        <v>552071</v>
      </c>
      <c r="F10" s="197" t="s">
        <v>175</v>
      </c>
      <c r="G10" s="197">
        <v>683808</v>
      </c>
      <c r="H10" s="197">
        <v>678043</v>
      </c>
      <c r="I10" s="197">
        <v>673937</v>
      </c>
      <c r="J10" s="197">
        <v>667902</v>
      </c>
      <c r="K10" s="197">
        <v>661548</v>
      </c>
      <c r="L10" s="197">
        <v>653826</v>
      </c>
      <c r="M10" s="197">
        <v>655693</v>
      </c>
      <c r="N10" s="197">
        <v>655055</v>
      </c>
      <c r="O10" s="197">
        <v>653154</v>
      </c>
      <c r="P10" s="197">
        <v>652594</v>
      </c>
      <c r="Q10" s="197">
        <v>650861</v>
      </c>
      <c r="R10" s="197">
        <v>648934</v>
      </c>
      <c r="S10" s="197">
        <v>646186</v>
      </c>
      <c r="T10" s="197">
        <v>640579</v>
      </c>
      <c r="U10" s="197">
        <v>634057</v>
      </c>
      <c r="V10" s="197">
        <v>624862</v>
      </c>
      <c r="W10" s="197">
        <v>617586</v>
      </c>
      <c r="X10" s="197">
        <v>609349</v>
      </c>
      <c r="Y10" s="197">
        <v>598535</v>
      </c>
      <c r="Z10" s="197">
        <v>595260</v>
      </c>
      <c r="AA10" s="197">
        <v>583866</v>
      </c>
      <c r="AB10" s="197">
        <v>573428</v>
      </c>
    </row>
    <row r="11" spans="1:28">
      <c r="A11" s="1" t="s">
        <v>275</v>
      </c>
      <c r="B11" s="6" t="s">
        <v>276</v>
      </c>
      <c r="C11" s="6" t="s">
        <v>277</v>
      </c>
      <c r="D11" s="7">
        <v>4058656</v>
      </c>
      <c r="E11" s="197">
        <v>333061</v>
      </c>
      <c r="F11" s="197">
        <v>329963</v>
      </c>
      <c r="G11" s="197">
        <v>324877</v>
      </c>
      <c r="H11" s="197">
        <v>321449</v>
      </c>
      <c r="I11" s="197">
        <v>317603</v>
      </c>
      <c r="J11" s="197">
        <v>313891</v>
      </c>
      <c r="K11" s="197">
        <v>309995</v>
      </c>
      <c r="L11" s="197">
        <v>306691</v>
      </c>
      <c r="M11" s="197">
        <v>302798</v>
      </c>
      <c r="N11" s="197">
        <v>298392</v>
      </c>
      <c r="O11" s="197">
        <v>294808</v>
      </c>
      <c r="P11" s="197">
        <v>292515</v>
      </c>
      <c r="Q11" s="197">
        <v>289947</v>
      </c>
      <c r="R11" s="197">
        <v>287171</v>
      </c>
      <c r="S11" s="197">
        <v>285948</v>
      </c>
      <c r="T11" s="197">
        <v>284259</v>
      </c>
      <c r="U11" s="197">
        <v>284324</v>
      </c>
      <c r="V11" s="197">
        <v>287028</v>
      </c>
      <c r="W11" s="197">
        <v>280458</v>
      </c>
      <c r="X11" s="197">
        <v>278676</v>
      </c>
      <c r="Y11" s="197">
        <v>276635</v>
      </c>
      <c r="Z11" s="197">
        <v>283602</v>
      </c>
      <c r="AA11" s="197">
        <v>248709</v>
      </c>
      <c r="AB11" s="197">
        <v>249302</v>
      </c>
    </row>
    <row r="12" spans="1:28">
      <c r="A12" s="1" t="s">
        <v>275</v>
      </c>
      <c r="B12" s="6" t="s">
        <v>162</v>
      </c>
      <c r="C12" s="6" t="s">
        <v>163</v>
      </c>
      <c r="D12" s="7">
        <v>4057110</v>
      </c>
      <c r="E12" s="197">
        <v>39647</v>
      </c>
      <c r="F12" s="197" t="s">
        <v>175</v>
      </c>
      <c r="G12" s="197">
        <v>40246</v>
      </c>
      <c r="H12" s="197">
        <v>40209</v>
      </c>
      <c r="I12" s="197">
        <v>39960</v>
      </c>
      <c r="J12" s="197">
        <v>39624</v>
      </c>
      <c r="K12" s="197">
        <v>39408</v>
      </c>
      <c r="L12" s="197">
        <v>38849</v>
      </c>
      <c r="M12" s="197">
        <v>37660</v>
      </c>
      <c r="N12" s="197">
        <v>36666</v>
      </c>
      <c r="O12" s="197">
        <v>36244</v>
      </c>
      <c r="P12" s="197">
        <v>35947</v>
      </c>
      <c r="Q12" s="197">
        <v>35903</v>
      </c>
      <c r="R12" s="197">
        <v>35633</v>
      </c>
      <c r="S12" s="197">
        <v>35468</v>
      </c>
      <c r="T12" s="197">
        <v>35293</v>
      </c>
      <c r="U12" s="197">
        <v>35229</v>
      </c>
      <c r="V12" s="197">
        <v>35231</v>
      </c>
      <c r="W12" s="197">
        <v>34508</v>
      </c>
      <c r="X12" s="197">
        <v>34469</v>
      </c>
      <c r="Y12" s="197">
        <v>33903</v>
      </c>
      <c r="Z12" s="197">
        <v>34005</v>
      </c>
      <c r="AA12" s="197">
        <v>33944</v>
      </c>
      <c r="AB12" s="197">
        <v>32854</v>
      </c>
    </row>
    <row r="13" spans="1:28">
      <c r="B13" s="6" t="s">
        <v>165</v>
      </c>
      <c r="C13" s="6" t="s">
        <v>165</v>
      </c>
      <c r="D13" s="7">
        <v>4058516</v>
      </c>
      <c r="E13" s="197">
        <v>178849</v>
      </c>
      <c r="F13" s="197" t="s">
        <v>175</v>
      </c>
      <c r="G13" s="197">
        <v>171116</v>
      </c>
      <c r="H13" s="197">
        <v>168379</v>
      </c>
      <c r="I13" s="197">
        <v>166734</v>
      </c>
      <c r="J13" s="197">
        <v>164243</v>
      </c>
      <c r="K13" s="197">
        <v>161313</v>
      </c>
      <c r="L13" s="197">
        <v>158441</v>
      </c>
      <c r="M13" s="197">
        <v>156230</v>
      </c>
      <c r="N13" s="197">
        <v>154246</v>
      </c>
      <c r="O13" s="197">
        <v>153397</v>
      </c>
      <c r="P13" s="197">
        <v>153564</v>
      </c>
      <c r="Q13" s="197">
        <v>154166</v>
      </c>
      <c r="R13" s="197">
        <v>151574</v>
      </c>
      <c r="S13" s="197">
        <v>150530</v>
      </c>
      <c r="T13" s="197">
        <v>147945</v>
      </c>
      <c r="U13" s="197">
        <v>144867</v>
      </c>
      <c r="V13" s="197">
        <v>141596</v>
      </c>
      <c r="W13" s="197">
        <v>120059</v>
      </c>
      <c r="X13" s="197">
        <v>117277</v>
      </c>
      <c r="Y13" s="197">
        <v>114211</v>
      </c>
      <c r="Z13" s="197">
        <v>112401</v>
      </c>
      <c r="AA13" s="197">
        <v>109707</v>
      </c>
      <c r="AB13" s="197">
        <v>107197</v>
      </c>
    </row>
    <row r="14" spans="1:28">
      <c r="B14" s="6" t="s">
        <v>167</v>
      </c>
      <c r="C14" s="6" t="s">
        <v>167</v>
      </c>
      <c r="D14" s="7">
        <v>4058793</v>
      </c>
      <c r="E14" s="197">
        <v>3452</v>
      </c>
      <c r="F14" s="197">
        <v>3411</v>
      </c>
      <c r="G14" s="197">
        <v>3309</v>
      </c>
      <c r="H14" s="197">
        <v>3303</v>
      </c>
      <c r="I14" s="197">
        <v>3312</v>
      </c>
      <c r="J14" s="197">
        <v>3286</v>
      </c>
      <c r="K14" s="197">
        <v>3480</v>
      </c>
      <c r="L14" s="197">
        <v>3390</v>
      </c>
      <c r="M14" s="197">
        <v>3425</v>
      </c>
      <c r="N14" s="197">
        <v>3414</v>
      </c>
      <c r="O14" s="197">
        <v>3435</v>
      </c>
      <c r="P14" s="197">
        <v>3497</v>
      </c>
      <c r="Q14" s="197">
        <v>3497</v>
      </c>
      <c r="R14" s="197">
        <v>3571</v>
      </c>
      <c r="S14" s="197">
        <v>3675</v>
      </c>
      <c r="T14" s="197">
        <v>3735</v>
      </c>
      <c r="U14" s="197">
        <v>3886</v>
      </c>
      <c r="V14" s="197">
        <v>3980</v>
      </c>
      <c r="W14" s="197">
        <v>4136</v>
      </c>
      <c r="X14" s="197">
        <v>4175</v>
      </c>
      <c r="Y14" s="197">
        <v>4236</v>
      </c>
      <c r="Z14" s="197">
        <v>4288</v>
      </c>
      <c r="AA14" s="197">
        <v>4194</v>
      </c>
      <c r="AB14" s="197">
        <v>4192</v>
      </c>
    </row>
    <row r="15" spans="1:28">
      <c r="A15" s="1" t="s">
        <v>275</v>
      </c>
      <c r="B15" s="6" t="s">
        <v>169</v>
      </c>
      <c r="C15" s="6" t="s">
        <v>169</v>
      </c>
      <c r="D15" s="7">
        <v>4057111</v>
      </c>
      <c r="E15" s="197">
        <v>982427</v>
      </c>
      <c r="F15" s="197">
        <v>753502</v>
      </c>
      <c r="G15" s="197">
        <v>745101</v>
      </c>
      <c r="H15" s="197">
        <v>736982</v>
      </c>
      <c r="I15" s="197">
        <v>729879</v>
      </c>
      <c r="J15" s="197">
        <v>720846</v>
      </c>
      <c r="K15" s="197">
        <v>687914</v>
      </c>
      <c r="L15" s="197">
        <v>689126</v>
      </c>
      <c r="M15" s="197">
        <v>677121</v>
      </c>
      <c r="N15" s="197">
        <v>669091</v>
      </c>
      <c r="O15" s="197">
        <v>661562</v>
      </c>
      <c r="P15" s="197">
        <v>655822</v>
      </c>
      <c r="Q15" s="197">
        <v>625542</v>
      </c>
      <c r="R15" s="197">
        <v>595064</v>
      </c>
      <c r="S15" s="197">
        <v>589025</v>
      </c>
      <c r="T15" s="197">
        <v>580827</v>
      </c>
      <c r="U15" s="197">
        <v>583896</v>
      </c>
      <c r="V15" s="197">
        <v>587513</v>
      </c>
      <c r="W15" s="197">
        <v>565136</v>
      </c>
      <c r="X15" s="197">
        <v>553551</v>
      </c>
      <c r="Y15" s="197">
        <v>549389</v>
      </c>
      <c r="Z15" s="197">
        <v>542792</v>
      </c>
      <c r="AA15" s="197">
        <v>536252</v>
      </c>
      <c r="AB15" s="197">
        <v>535211</v>
      </c>
    </row>
    <row r="16" spans="1:28">
      <c r="A16" s="1" t="s">
        <v>275</v>
      </c>
      <c r="B16" s="6" t="s">
        <v>170</v>
      </c>
      <c r="C16" s="6" t="s">
        <v>170</v>
      </c>
      <c r="D16" s="7">
        <v>4018679</v>
      </c>
      <c r="E16" s="197">
        <v>1265768</v>
      </c>
      <c r="F16" s="197">
        <v>1264031</v>
      </c>
      <c r="G16" s="197">
        <v>1267039</v>
      </c>
      <c r="H16" s="197">
        <v>1257521</v>
      </c>
      <c r="I16" s="197">
        <v>1251815</v>
      </c>
      <c r="J16" s="197">
        <v>1247333</v>
      </c>
      <c r="K16" s="197">
        <v>1235381</v>
      </c>
      <c r="L16" s="197">
        <v>1218949</v>
      </c>
      <c r="M16" s="197">
        <v>1216209</v>
      </c>
      <c r="N16" s="197">
        <v>1213845</v>
      </c>
      <c r="O16" s="197">
        <v>1210737</v>
      </c>
      <c r="P16" s="197">
        <v>1203688</v>
      </c>
      <c r="Q16" s="197">
        <v>1198190</v>
      </c>
      <c r="R16" s="197">
        <v>1191622</v>
      </c>
      <c r="S16" s="197">
        <v>1181854</v>
      </c>
      <c r="T16" s="197">
        <v>1176645</v>
      </c>
      <c r="U16" s="197">
        <v>1165944</v>
      </c>
      <c r="V16" s="197">
        <v>1155008</v>
      </c>
      <c r="W16" s="197">
        <v>1190085</v>
      </c>
      <c r="X16" s="197">
        <v>1245106</v>
      </c>
      <c r="Y16" s="197">
        <v>1248264</v>
      </c>
      <c r="Z16" s="197">
        <v>1191711</v>
      </c>
      <c r="AA16" s="197">
        <v>1179802</v>
      </c>
      <c r="AB16" s="197">
        <v>1172083</v>
      </c>
    </row>
    <row r="17" spans="1:28">
      <c r="B17" s="6" t="s">
        <v>172</v>
      </c>
      <c r="C17" s="6" t="s">
        <v>172</v>
      </c>
      <c r="D17" s="7">
        <v>4057112</v>
      </c>
      <c r="E17" s="197">
        <v>306630</v>
      </c>
      <c r="F17" s="197">
        <v>300824</v>
      </c>
      <c r="G17" s="197">
        <v>295014</v>
      </c>
      <c r="H17" s="197">
        <v>289442</v>
      </c>
      <c r="I17" s="197">
        <v>283470</v>
      </c>
      <c r="J17" s="197">
        <v>278353</v>
      </c>
      <c r="K17" s="197">
        <v>273600</v>
      </c>
      <c r="L17" s="197">
        <v>269377</v>
      </c>
      <c r="M17" s="197">
        <v>265900</v>
      </c>
      <c r="N17" s="197">
        <v>262447</v>
      </c>
      <c r="O17" s="197">
        <v>260399</v>
      </c>
      <c r="P17" s="197">
        <v>257287</v>
      </c>
      <c r="Q17" s="197">
        <v>254210</v>
      </c>
      <c r="R17" s="197">
        <v>251742</v>
      </c>
      <c r="S17" s="197">
        <v>245969</v>
      </c>
      <c r="T17" s="197">
        <v>237842</v>
      </c>
      <c r="U17" s="197">
        <v>228224</v>
      </c>
      <c r="V17" s="197">
        <v>217336</v>
      </c>
      <c r="W17" s="197">
        <v>212428</v>
      </c>
      <c r="X17" s="197">
        <v>204735</v>
      </c>
      <c r="Y17" s="197">
        <v>199028</v>
      </c>
      <c r="Z17" s="197">
        <v>193160</v>
      </c>
      <c r="AA17" s="197">
        <v>185267</v>
      </c>
      <c r="AB17" s="197">
        <v>168569</v>
      </c>
    </row>
    <row r="18" spans="1:28">
      <c r="A18" s="1" t="s">
        <v>275</v>
      </c>
      <c r="B18" s="6" t="s">
        <v>173</v>
      </c>
      <c r="C18" s="6" t="s">
        <v>173</v>
      </c>
      <c r="D18" s="7">
        <v>4057076</v>
      </c>
      <c r="E18" s="197">
        <v>83780</v>
      </c>
      <c r="F18" s="197" t="s">
        <v>175</v>
      </c>
      <c r="G18" s="197">
        <v>83755</v>
      </c>
      <c r="H18" s="197">
        <v>82462</v>
      </c>
      <c r="I18" s="197">
        <v>81141</v>
      </c>
      <c r="J18" s="197">
        <v>82692</v>
      </c>
      <c r="K18" s="197">
        <v>79096</v>
      </c>
      <c r="L18" s="197">
        <v>77835</v>
      </c>
      <c r="M18" s="197">
        <v>76708</v>
      </c>
      <c r="N18" s="197">
        <v>75700</v>
      </c>
      <c r="O18" s="197">
        <v>75395</v>
      </c>
      <c r="P18" s="197">
        <v>74932</v>
      </c>
      <c r="Q18" s="197">
        <v>74349</v>
      </c>
      <c r="R18" s="197">
        <v>74159</v>
      </c>
      <c r="S18" s="197">
        <v>73210</v>
      </c>
      <c r="T18" s="197">
        <v>72023</v>
      </c>
      <c r="U18" s="197">
        <v>70714</v>
      </c>
      <c r="V18" s="197">
        <v>69081</v>
      </c>
      <c r="W18" s="197">
        <v>67914</v>
      </c>
      <c r="X18" s="197">
        <v>66757</v>
      </c>
      <c r="Y18" s="197">
        <v>65784</v>
      </c>
      <c r="Z18" s="197">
        <v>63852</v>
      </c>
      <c r="AA18" s="197">
        <v>62605</v>
      </c>
      <c r="AB18" s="197">
        <v>62104</v>
      </c>
    </row>
    <row r="19" spans="1:28">
      <c r="B19" s="6" t="s">
        <v>278</v>
      </c>
      <c r="C19" s="6" t="s">
        <v>278</v>
      </c>
      <c r="D19" s="7">
        <v>4059166</v>
      </c>
      <c r="E19" s="197" t="s">
        <v>175</v>
      </c>
      <c r="F19" s="197" t="s">
        <v>175</v>
      </c>
      <c r="G19" s="197">
        <v>66942</v>
      </c>
      <c r="H19" s="197">
        <v>66031</v>
      </c>
      <c r="I19" s="197">
        <v>65449</v>
      </c>
      <c r="J19" s="197">
        <v>64564</v>
      </c>
      <c r="K19" s="197">
        <v>63887</v>
      </c>
      <c r="L19" s="197">
        <v>63259</v>
      </c>
      <c r="M19" s="197">
        <v>63427</v>
      </c>
      <c r="N19" s="197">
        <v>63123</v>
      </c>
      <c r="O19" s="197">
        <v>62096</v>
      </c>
      <c r="P19" s="197">
        <v>61747</v>
      </c>
      <c r="Q19" s="197">
        <v>61557</v>
      </c>
      <c r="R19" s="197">
        <v>61322</v>
      </c>
      <c r="S19" s="197">
        <v>61365</v>
      </c>
      <c r="T19" s="197">
        <v>62239</v>
      </c>
      <c r="U19" s="197">
        <v>62055</v>
      </c>
      <c r="V19" s="197">
        <v>60818</v>
      </c>
      <c r="W19" s="197">
        <v>60609</v>
      </c>
      <c r="X19" s="197">
        <v>60000</v>
      </c>
      <c r="Y19" s="197">
        <v>59010</v>
      </c>
      <c r="Z19" s="197">
        <v>56480</v>
      </c>
      <c r="AA19" s="197">
        <v>56559</v>
      </c>
      <c r="AB19" s="197">
        <v>55834</v>
      </c>
    </row>
    <row r="20" spans="1:28">
      <c r="B20" s="6" t="s">
        <v>279</v>
      </c>
      <c r="C20" s="6" t="s">
        <v>279</v>
      </c>
      <c r="D20" s="7">
        <v>4059227</v>
      </c>
      <c r="E20" s="197">
        <v>17865</v>
      </c>
      <c r="F20" s="197">
        <v>17930</v>
      </c>
      <c r="G20" s="197">
        <v>17794</v>
      </c>
      <c r="H20" s="197">
        <v>17849</v>
      </c>
      <c r="I20" s="197">
        <v>17475</v>
      </c>
      <c r="J20" s="197">
        <v>17359</v>
      </c>
      <c r="K20" s="197">
        <v>17299</v>
      </c>
      <c r="L20" s="197">
        <v>17265</v>
      </c>
      <c r="M20" s="197">
        <v>17203</v>
      </c>
      <c r="N20" s="197">
        <v>17114</v>
      </c>
      <c r="O20" s="197">
        <v>17185</v>
      </c>
      <c r="P20" s="197">
        <v>17170</v>
      </c>
      <c r="Q20" s="197">
        <v>17090</v>
      </c>
      <c r="R20" s="197">
        <v>17089</v>
      </c>
      <c r="S20" s="197">
        <v>17143</v>
      </c>
      <c r="T20" s="197">
        <v>17147</v>
      </c>
      <c r="U20" s="197">
        <v>16935</v>
      </c>
      <c r="V20" s="197">
        <v>16573</v>
      </c>
      <c r="W20" s="197">
        <v>16575</v>
      </c>
      <c r="X20" s="197">
        <v>16211</v>
      </c>
      <c r="Y20" s="197">
        <v>15920</v>
      </c>
      <c r="Z20" s="197">
        <v>15536</v>
      </c>
      <c r="AA20" s="197">
        <v>15130</v>
      </c>
      <c r="AB20" s="197">
        <v>14680</v>
      </c>
    </row>
    <row r="21" spans="1:28">
      <c r="A21" s="1" t="s">
        <v>275</v>
      </c>
      <c r="B21" s="6" t="s">
        <v>174</v>
      </c>
      <c r="C21" s="6" t="s">
        <v>174</v>
      </c>
      <c r="D21" s="7">
        <v>4057114</v>
      </c>
      <c r="E21" s="197" t="s">
        <v>175</v>
      </c>
      <c r="F21" s="197">
        <v>216387</v>
      </c>
      <c r="G21" s="197">
        <v>217017</v>
      </c>
      <c r="H21" s="197">
        <v>214328</v>
      </c>
      <c r="I21" s="197">
        <v>212589</v>
      </c>
      <c r="J21" s="197">
        <v>211032</v>
      </c>
      <c r="K21" s="197">
        <v>204122</v>
      </c>
      <c r="L21" s="197">
        <v>203896</v>
      </c>
      <c r="M21" s="197">
        <v>200942</v>
      </c>
      <c r="N21" s="197">
        <v>198159</v>
      </c>
      <c r="O21" s="197">
        <v>195488</v>
      </c>
      <c r="P21" s="197">
        <v>200331</v>
      </c>
      <c r="Q21" s="197">
        <v>195997</v>
      </c>
      <c r="R21" s="197">
        <v>189261</v>
      </c>
      <c r="S21" s="197">
        <v>186719</v>
      </c>
      <c r="T21" s="197">
        <v>182815</v>
      </c>
      <c r="U21" s="197">
        <v>183569</v>
      </c>
      <c r="V21" s="197">
        <v>181999</v>
      </c>
      <c r="W21" s="197">
        <v>175810</v>
      </c>
      <c r="X21" s="197">
        <v>168558</v>
      </c>
      <c r="Y21" s="197">
        <v>165342</v>
      </c>
      <c r="Z21" s="197">
        <v>160712</v>
      </c>
      <c r="AA21" s="197">
        <v>157101</v>
      </c>
      <c r="AB21" s="197">
        <v>139490</v>
      </c>
    </row>
    <row r="22" spans="1:28">
      <c r="B22" s="6" t="s">
        <v>176</v>
      </c>
      <c r="C22" s="6" t="s">
        <v>176</v>
      </c>
      <c r="D22" s="7">
        <v>4059355</v>
      </c>
      <c r="E22" s="197">
        <v>120776</v>
      </c>
      <c r="F22" s="197" t="s">
        <v>175</v>
      </c>
      <c r="G22" s="197">
        <v>136798</v>
      </c>
      <c r="H22" s="197">
        <v>136313</v>
      </c>
      <c r="I22" s="197">
        <v>135734</v>
      </c>
      <c r="J22" s="197">
        <v>135426</v>
      </c>
      <c r="K22" s="197">
        <v>134859</v>
      </c>
      <c r="L22" s="197">
        <v>134955</v>
      </c>
      <c r="M22" s="197">
        <v>134796</v>
      </c>
      <c r="N22" s="197">
        <v>133632</v>
      </c>
      <c r="O22" s="197">
        <v>134272</v>
      </c>
      <c r="P22" s="197">
        <v>134869</v>
      </c>
      <c r="Q22" s="197">
        <v>135605</v>
      </c>
      <c r="R22" s="197">
        <v>137538</v>
      </c>
      <c r="S22" s="197">
        <v>138697</v>
      </c>
      <c r="T22" s="197">
        <v>138819</v>
      </c>
      <c r="U22" s="197">
        <v>141506</v>
      </c>
      <c r="V22" s="197">
        <v>142057</v>
      </c>
      <c r="W22" s="197">
        <v>142857</v>
      </c>
      <c r="X22" s="197">
        <v>143179</v>
      </c>
      <c r="Y22" s="197">
        <v>142162</v>
      </c>
      <c r="Z22" s="197">
        <v>143182</v>
      </c>
      <c r="AA22" s="197">
        <v>141815</v>
      </c>
      <c r="AB22" s="197">
        <v>140078</v>
      </c>
    </row>
    <row r="23" spans="1:28">
      <c r="B23" s="6" t="s">
        <v>178</v>
      </c>
      <c r="C23" s="6" t="s">
        <v>178</v>
      </c>
      <c r="D23" s="7">
        <v>4088325</v>
      </c>
      <c r="E23" s="197">
        <v>34479</v>
      </c>
      <c r="F23" s="197">
        <v>33974</v>
      </c>
      <c r="G23" s="197">
        <v>33701</v>
      </c>
      <c r="H23" s="197">
        <v>33476</v>
      </c>
      <c r="I23" s="197">
        <v>33267</v>
      </c>
      <c r="J23" s="197">
        <v>33244</v>
      </c>
      <c r="K23" s="197">
        <v>33047</v>
      </c>
      <c r="L23" s="197">
        <v>33127</v>
      </c>
      <c r="M23" s="197">
        <v>32966</v>
      </c>
      <c r="N23" s="197">
        <v>32849</v>
      </c>
      <c r="O23" s="197">
        <v>32579</v>
      </c>
      <c r="P23" s="197">
        <v>32698</v>
      </c>
      <c r="Q23" s="197">
        <v>32688</v>
      </c>
      <c r="R23" s="197">
        <v>32742</v>
      </c>
      <c r="S23" s="197">
        <v>32952</v>
      </c>
      <c r="T23" s="197">
        <v>32323</v>
      </c>
      <c r="U23" s="197">
        <v>32794</v>
      </c>
      <c r="V23" s="197">
        <v>32391</v>
      </c>
      <c r="W23" s="197">
        <v>32119</v>
      </c>
      <c r="X23" s="197">
        <v>32074</v>
      </c>
      <c r="Y23" s="197">
        <v>31856</v>
      </c>
      <c r="Z23" s="197">
        <v>32156</v>
      </c>
      <c r="AA23" s="197">
        <v>31935</v>
      </c>
      <c r="AB23" s="197">
        <v>31751</v>
      </c>
    </row>
    <row r="24" spans="1:28">
      <c r="B24" s="6" t="s">
        <v>280</v>
      </c>
      <c r="C24" s="6" t="s">
        <v>280</v>
      </c>
      <c r="D24" s="7">
        <v>4088326</v>
      </c>
      <c r="E24" s="197">
        <v>1477356</v>
      </c>
      <c r="F24" s="197">
        <v>1473203</v>
      </c>
      <c r="G24" s="197">
        <v>1461631</v>
      </c>
      <c r="H24" s="197">
        <v>1452721</v>
      </c>
      <c r="I24" s="197">
        <v>1442554</v>
      </c>
      <c r="J24" s="197">
        <v>1433604</v>
      </c>
      <c r="K24" s="197">
        <v>1427440</v>
      </c>
      <c r="L24" s="197">
        <v>1423447</v>
      </c>
      <c r="M24" s="197">
        <v>1399714</v>
      </c>
      <c r="N24" s="197">
        <v>1393943</v>
      </c>
      <c r="O24" s="197">
        <v>1400364</v>
      </c>
      <c r="P24" s="197">
        <v>1404000</v>
      </c>
      <c r="Q24" s="197">
        <v>1402972</v>
      </c>
      <c r="R24" s="197">
        <v>1411356</v>
      </c>
      <c r="S24" s="197">
        <v>1415489</v>
      </c>
      <c r="T24" s="197">
        <v>1405613</v>
      </c>
      <c r="U24" s="197">
        <v>1427655</v>
      </c>
      <c r="V24" s="197">
        <v>1414686</v>
      </c>
      <c r="W24" s="197">
        <v>1401002</v>
      </c>
      <c r="X24" s="197">
        <v>1393169</v>
      </c>
      <c r="Y24" s="197">
        <v>1377511</v>
      </c>
      <c r="Z24" s="197">
        <v>1365431</v>
      </c>
      <c r="AA24" s="197">
        <v>1347672</v>
      </c>
      <c r="AB24" s="197">
        <v>1326773</v>
      </c>
    </row>
    <row r="25" spans="1:28">
      <c r="A25" s="1" t="s">
        <v>275</v>
      </c>
      <c r="B25" s="6" t="s">
        <v>281</v>
      </c>
      <c r="C25" s="6" t="s">
        <v>281</v>
      </c>
      <c r="D25" s="7">
        <v>4059358</v>
      </c>
      <c r="E25" s="197">
        <v>441668</v>
      </c>
      <c r="F25" s="197">
        <v>438623</v>
      </c>
      <c r="G25" s="197">
        <v>434891</v>
      </c>
      <c r="H25" s="197">
        <v>431519</v>
      </c>
      <c r="I25" s="197">
        <v>430058</v>
      </c>
      <c r="J25" s="197">
        <v>424621</v>
      </c>
      <c r="K25" s="197">
        <v>422363</v>
      </c>
      <c r="L25" s="197">
        <v>420450</v>
      </c>
      <c r="M25" s="197">
        <v>418153</v>
      </c>
      <c r="N25" s="197">
        <v>416035</v>
      </c>
      <c r="O25" s="197">
        <v>414805</v>
      </c>
      <c r="P25" s="197">
        <v>413805</v>
      </c>
      <c r="Q25" s="197">
        <v>413010</v>
      </c>
      <c r="R25" s="197">
        <v>412675</v>
      </c>
      <c r="S25" s="197">
        <v>411214</v>
      </c>
      <c r="T25" s="197">
        <v>407032</v>
      </c>
      <c r="U25" s="197">
        <v>410336</v>
      </c>
      <c r="V25" s="197">
        <v>406378</v>
      </c>
      <c r="W25" s="197">
        <v>403442</v>
      </c>
      <c r="X25" s="197">
        <v>400547</v>
      </c>
      <c r="Y25" s="197">
        <v>396128</v>
      </c>
      <c r="Z25" s="197">
        <v>393872</v>
      </c>
      <c r="AA25" s="197">
        <v>389575</v>
      </c>
      <c r="AB25" s="197">
        <v>386039</v>
      </c>
    </row>
    <row r="26" spans="1:28">
      <c r="B26" s="6" t="s">
        <v>282</v>
      </c>
      <c r="C26" s="6" t="s">
        <v>282</v>
      </c>
      <c r="D26" s="7">
        <v>4059359</v>
      </c>
      <c r="E26" s="197" t="s">
        <v>175</v>
      </c>
      <c r="F26" s="197" t="s">
        <v>175</v>
      </c>
      <c r="G26" s="197">
        <v>274302</v>
      </c>
      <c r="H26" s="197">
        <v>269812</v>
      </c>
      <c r="I26" s="197">
        <v>265534</v>
      </c>
      <c r="J26" s="197">
        <v>261526</v>
      </c>
      <c r="K26" s="197">
        <v>257535</v>
      </c>
      <c r="L26" s="197">
        <v>254662</v>
      </c>
      <c r="M26" s="197">
        <v>251203</v>
      </c>
      <c r="N26" s="197">
        <v>245303</v>
      </c>
      <c r="O26" s="197">
        <v>242816</v>
      </c>
      <c r="P26" s="197">
        <v>240699</v>
      </c>
      <c r="Q26" s="197">
        <v>238523</v>
      </c>
      <c r="R26" s="197">
        <v>236837</v>
      </c>
      <c r="S26" s="197">
        <v>235086</v>
      </c>
      <c r="T26" s="197">
        <v>229356</v>
      </c>
      <c r="U26" s="197">
        <v>229329</v>
      </c>
      <c r="V26" s="197">
        <v>218703</v>
      </c>
      <c r="W26" s="197">
        <v>211294</v>
      </c>
      <c r="X26" s="197">
        <v>205608</v>
      </c>
      <c r="Y26" s="197">
        <v>197968</v>
      </c>
      <c r="Z26" s="197">
        <v>194000</v>
      </c>
      <c r="AA26" s="197">
        <v>185711</v>
      </c>
      <c r="AB26" s="197">
        <v>175890</v>
      </c>
    </row>
    <row r="27" spans="1:28">
      <c r="A27" s="1" t="s">
        <v>275</v>
      </c>
      <c r="B27" s="6" t="s">
        <v>180</v>
      </c>
      <c r="C27" s="6" t="s">
        <v>180</v>
      </c>
      <c r="D27" s="7">
        <v>4059402</v>
      </c>
      <c r="E27" s="197">
        <v>184299</v>
      </c>
      <c r="F27" s="197">
        <v>182528</v>
      </c>
      <c r="G27" s="197">
        <v>179819</v>
      </c>
      <c r="H27" s="197">
        <v>178148</v>
      </c>
      <c r="I27" s="197">
        <v>176280</v>
      </c>
      <c r="J27" s="197">
        <v>174444</v>
      </c>
      <c r="K27" s="197">
        <v>170935</v>
      </c>
      <c r="L27" s="197">
        <v>168263</v>
      </c>
      <c r="M27" s="197">
        <v>166135</v>
      </c>
      <c r="N27" s="197">
        <v>163074</v>
      </c>
      <c r="O27" s="197">
        <v>160281</v>
      </c>
      <c r="P27" s="197">
        <v>158763</v>
      </c>
      <c r="Q27" s="197">
        <v>157010</v>
      </c>
      <c r="R27" s="197">
        <v>156594</v>
      </c>
      <c r="S27" s="197">
        <v>153528</v>
      </c>
      <c r="T27" s="197">
        <v>153873</v>
      </c>
      <c r="U27" s="197">
        <v>152980</v>
      </c>
      <c r="V27" s="197">
        <v>151127</v>
      </c>
      <c r="W27" s="197">
        <v>150946</v>
      </c>
      <c r="X27" s="197">
        <v>148133</v>
      </c>
      <c r="Y27" s="197">
        <v>146941</v>
      </c>
      <c r="Z27" s="197">
        <v>155641</v>
      </c>
      <c r="AA27" s="197">
        <v>142667</v>
      </c>
      <c r="AB27" s="197">
        <v>141364</v>
      </c>
    </row>
    <row r="28" spans="1:28">
      <c r="A28" s="1" t="s">
        <v>275</v>
      </c>
      <c r="B28" s="6" t="s">
        <v>182</v>
      </c>
      <c r="C28" s="6" t="s">
        <v>182</v>
      </c>
      <c r="D28" s="7">
        <v>4057080</v>
      </c>
      <c r="E28" s="197">
        <v>1146234</v>
      </c>
      <c r="F28" s="197">
        <v>1146234</v>
      </c>
      <c r="G28" s="197">
        <v>1084969</v>
      </c>
      <c r="H28" s="197">
        <v>1083189</v>
      </c>
      <c r="I28" s="197">
        <v>1077472</v>
      </c>
      <c r="J28" s="197">
        <v>1077272</v>
      </c>
      <c r="K28" s="197">
        <v>1076804</v>
      </c>
      <c r="L28" s="197">
        <v>1077211</v>
      </c>
      <c r="M28" s="197">
        <v>1069775</v>
      </c>
      <c r="N28" s="197">
        <v>1067771</v>
      </c>
      <c r="O28" s="197">
        <v>1065516</v>
      </c>
      <c r="P28" s="197">
        <v>1062611</v>
      </c>
      <c r="Q28" s="197">
        <v>1058827</v>
      </c>
      <c r="R28" s="197">
        <v>1061113</v>
      </c>
      <c r="S28" s="197">
        <v>1060346</v>
      </c>
      <c r="T28" s="197">
        <v>1148510</v>
      </c>
      <c r="U28" s="197">
        <v>1054926</v>
      </c>
      <c r="V28" s="197">
        <v>1041458</v>
      </c>
      <c r="W28" s="197">
        <v>1051147</v>
      </c>
      <c r="X28" s="197">
        <v>1048776</v>
      </c>
      <c r="Y28" s="197">
        <v>1048357</v>
      </c>
      <c r="Z28" s="197">
        <v>1048357</v>
      </c>
      <c r="AA28" s="197">
        <v>1043048</v>
      </c>
      <c r="AB28" s="197">
        <v>1037951</v>
      </c>
    </row>
    <row r="29" spans="1:28">
      <c r="B29" s="6" t="s">
        <v>183</v>
      </c>
      <c r="C29" s="6" t="s">
        <v>183</v>
      </c>
      <c r="D29" s="7">
        <v>4057081</v>
      </c>
      <c r="E29" s="197">
        <v>1805614</v>
      </c>
      <c r="F29" s="197">
        <v>1797430</v>
      </c>
      <c r="G29" s="197">
        <v>1782070</v>
      </c>
      <c r="H29" s="197">
        <v>1775605</v>
      </c>
      <c r="I29" s="197">
        <v>1763786</v>
      </c>
      <c r="J29" s="197">
        <v>1749632</v>
      </c>
      <c r="K29" s="197">
        <v>1735485</v>
      </c>
      <c r="L29" s="197">
        <v>1725834</v>
      </c>
      <c r="M29" s="197">
        <v>1718462</v>
      </c>
      <c r="N29" s="197">
        <v>1710755</v>
      </c>
      <c r="O29" s="197">
        <v>1707978</v>
      </c>
      <c r="P29" s="197">
        <v>1704346</v>
      </c>
      <c r="Q29" s="197">
        <v>1702271</v>
      </c>
      <c r="R29" s="197">
        <v>1706266</v>
      </c>
      <c r="S29" s="197">
        <v>1708656</v>
      </c>
      <c r="T29" s="197">
        <v>1707708</v>
      </c>
      <c r="U29" s="197">
        <v>1696524</v>
      </c>
      <c r="V29" s="197">
        <v>1690874</v>
      </c>
      <c r="W29" s="197">
        <v>1670989</v>
      </c>
      <c r="X29" s="197">
        <v>1652309</v>
      </c>
      <c r="Y29" s="197">
        <v>1617294</v>
      </c>
      <c r="Z29" s="197">
        <v>1594484</v>
      </c>
      <c r="AA29" s="197">
        <v>1567712</v>
      </c>
      <c r="AB29" s="197">
        <v>1542448</v>
      </c>
    </row>
    <row r="30" spans="1:28">
      <c r="A30" s="1" t="s">
        <v>275</v>
      </c>
      <c r="B30" s="6" t="s">
        <v>185</v>
      </c>
      <c r="C30" s="6" t="s">
        <v>185</v>
      </c>
      <c r="D30" s="7">
        <v>4059459</v>
      </c>
      <c r="E30" s="197">
        <v>15129</v>
      </c>
      <c r="F30" s="197">
        <v>14996</v>
      </c>
      <c r="G30" s="197">
        <v>14918</v>
      </c>
      <c r="H30" s="197">
        <v>14942</v>
      </c>
      <c r="I30" s="197">
        <v>14911</v>
      </c>
      <c r="J30" s="197">
        <v>14705</v>
      </c>
      <c r="K30" s="197">
        <v>14821</v>
      </c>
      <c r="L30" s="197">
        <v>14853</v>
      </c>
      <c r="M30" s="197">
        <v>14897</v>
      </c>
      <c r="N30" s="197">
        <v>14890</v>
      </c>
      <c r="O30" s="197">
        <v>14782</v>
      </c>
      <c r="P30" s="197">
        <v>14703</v>
      </c>
      <c r="Q30" s="197">
        <v>14591</v>
      </c>
      <c r="R30" s="197">
        <v>14589</v>
      </c>
      <c r="S30" s="197">
        <v>14541</v>
      </c>
      <c r="T30" s="197">
        <v>14389</v>
      </c>
      <c r="U30" s="197">
        <v>18025</v>
      </c>
      <c r="V30" s="197">
        <v>17982</v>
      </c>
      <c r="W30" s="197">
        <v>18100</v>
      </c>
      <c r="X30" s="197">
        <v>14509</v>
      </c>
      <c r="Y30" s="197">
        <v>18138</v>
      </c>
      <c r="Z30" s="197">
        <v>15234</v>
      </c>
      <c r="AA30" s="197">
        <v>14418</v>
      </c>
      <c r="AB30" s="197">
        <v>13880</v>
      </c>
    </row>
    <row r="31" spans="1:28">
      <c r="B31" s="6" t="s">
        <v>186</v>
      </c>
      <c r="C31" s="6" t="s">
        <v>186</v>
      </c>
      <c r="D31" s="7">
        <v>4057118</v>
      </c>
      <c r="E31" s="197">
        <v>39548</v>
      </c>
      <c r="F31" s="197" t="s">
        <v>175</v>
      </c>
      <c r="G31" s="197">
        <v>35359</v>
      </c>
      <c r="H31" s="197">
        <v>35073</v>
      </c>
      <c r="I31" s="197">
        <v>34892</v>
      </c>
      <c r="J31" s="197">
        <v>33988</v>
      </c>
      <c r="K31" s="197">
        <v>34784</v>
      </c>
      <c r="L31" s="197">
        <v>34670</v>
      </c>
      <c r="M31" s="197">
        <v>34906</v>
      </c>
      <c r="N31" s="197">
        <v>35020</v>
      </c>
      <c r="O31" s="197">
        <v>35487</v>
      </c>
      <c r="P31" s="197">
        <v>35841</v>
      </c>
      <c r="Q31" s="197">
        <v>35933</v>
      </c>
      <c r="R31" s="197">
        <v>36353</v>
      </c>
      <c r="S31" s="197">
        <v>37053</v>
      </c>
      <c r="T31" s="197">
        <v>37387</v>
      </c>
      <c r="U31" s="197">
        <v>38408</v>
      </c>
      <c r="V31" s="197">
        <v>38862</v>
      </c>
      <c r="W31" s="197">
        <v>39190</v>
      </c>
      <c r="X31" s="197">
        <v>39123</v>
      </c>
      <c r="Y31" s="197">
        <v>39001</v>
      </c>
      <c r="Z31" s="197">
        <v>38960</v>
      </c>
      <c r="AA31" s="197">
        <v>37963</v>
      </c>
      <c r="AB31" s="197">
        <v>37165</v>
      </c>
    </row>
    <row r="32" spans="1:28">
      <c r="B32" s="6" t="s">
        <v>188</v>
      </c>
      <c r="C32" s="6" t="s">
        <v>188</v>
      </c>
      <c r="D32" s="7">
        <v>4057126</v>
      </c>
      <c r="E32" s="197">
        <v>1311708</v>
      </c>
      <c r="F32" s="197">
        <v>1297879</v>
      </c>
      <c r="G32" s="197">
        <v>1282616</v>
      </c>
      <c r="H32" s="197">
        <v>1269747</v>
      </c>
      <c r="I32" s="197">
        <v>1258833</v>
      </c>
      <c r="J32" s="197">
        <v>1248445</v>
      </c>
      <c r="K32" s="197">
        <v>1237630</v>
      </c>
      <c r="L32" s="197">
        <v>1230912</v>
      </c>
      <c r="M32" s="197">
        <v>1224805</v>
      </c>
      <c r="N32" s="197">
        <v>1219332</v>
      </c>
      <c r="O32" s="197">
        <v>1216332</v>
      </c>
      <c r="P32" s="197">
        <v>1217422</v>
      </c>
      <c r="Q32" s="197">
        <v>1227402</v>
      </c>
      <c r="R32" s="197">
        <v>1241847</v>
      </c>
      <c r="S32" s="197">
        <v>1252143</v>
      </c>
      <c r="T32" s="197">
        <v>1260160</v>
      </c>
      <c r="U32" s="197">
        <v>1260591</v>
      </c>
      <c r="V32" s="197">
        <v>1250238</v>
      </c>
      <c r="W32" s="197">
        <v>1254062</v>
      </c>
      <c r="X32" s="197">
        <v>1252052</v>
      </c>
      <c r="Y32" s="197">
        <v>1209335</v>
      </c>
      <c r="Z32" s="197">
        <v>1206421</v>
      </c>
      <c r="AA32" s="197">
        <v>1195781</v>
      </c>
      <c r="AB32" s="197">
        <v>1177240</v>
      </c>
    </row>
    <row r="33" spans="1:28">
      <c r="B33" s="6" t="s">
        <v>283</v>
      </c>
      <c r="C33" s="6" t="s">
        <v>283</v>
      </c>
      <c r="D33" s="7">
        <v>4057103</v>
      </c>
      <c r="E33" s="197" t="s">
        <v>175</v>
      </c>
      <c r="F33" s="197" t="s">
        <v>175</v>
      </c>
      <c r="G33" s="197">
        <v>70226</v>
      </c>
      <c r="H33" s="197">
        <v>99379</v>
      </c>
      <c r="I33" s="197">
        <v>98448</v>
      </c>
      <c r="J33" s="197">
        <v>97812</v>
      </c>
      <c r="K33" s="197">
        <v>96986</v>
      </c>
      <c r="L33" s="197">
        <v>96502</v>
      </c>
      <c r="M33" s="197">
        <v>95949</v>
      </c>
      <c r="N33" s="197">
        <v>95590</v>
      </c>
      <c r="O33" s="197">
        <v>95003</v>
      </c>
      <c r="P33" s="197">
        <v>95007</v>
      </c>
      <c r="Q33" s="197">
        <v>95090</v>
      </c>
      <c r="R33" s="197">
        <v>95386</v>
      </c>
      <c r="S33" s="197">
        <v>94782</v>
      </c>
      <c r="T33" s="197">
        <v>93625</v>
      </c>
      <c r="U33" s="197">
        <v>92402</v>
      </c>
      <c r="V33" s="197">
        <v>90613</v>
      </c>
      <c r="W33" s="197">
        <v>88817</v>
      </c>
      <c r="X33" s="197">
        <v>87081</v>
      </c>
      <c r="Y33" s="197">
        <v>85568</v>
      </c>
      <c r="Z33" s="197">
        <v>83362</v>
      </c>
      <c r="AA33" s="197">
        <v>81233</v>
      </c>
      <c r="AB33" s="197">
        <v>78989</v>
      </c>
    </row>
    <row r="34" spans="1:28">
      <c r="B34" s="6" t="s">
        <v>189</v>
      </c>
      <c r="C34" s="6" t="s">
        <v>189</v>
      </c>
      <c r="D34" s="7">
        <v>4057079</v>
      </c>
      <c r="E34" s="197">
        <v>443103</v>
      </c>
      <c r="F34" s="197">
        <v>439337</v>
      </c>
      <c r="G34" s="197">
        <v>434779</v>
      </c>
      <c r="H34" s="197">
        <v>431666</v>
      </c>
      <c r="I34" s="197">
        <v>428037</v>
      </c>
      <c r="J34" s="197">
        <v>424793</v>
      </c>
      <c r="K34" s="197">
        <v>422871</v>
      </c>
      <c r="L34" s="197">
        <v>421664</v>
      </c>
      <c r="M34" s="197">
        <v>419089</v>
      </c>
      <c r="N34" s="197">
        <v>418328</v>
      </c>
      <c r="O34" s="197">
        <v>417466</v>
      </c>
      <c r="P34" s="197">
        <v>418137</v>
      </c>
      <c r="Q34" s="197">
        <v>420435</v>
      </c>
      <c r="R34" s="197">
        <v>424306</v>
      </c>
      <c r="S34" s="197">
        <v>423570</v>
      </c>
      <c r="T34" s="197">
        <v>421167</v>
      </c>
      <c r="U34" s="197">
        <v>418167</v>
      </c>
      <c r="V34" s="197">
        <v>414231</v>
      </c>
      <c r="W34" s="197">
        <v>409932</v>
      </c>
      <c r="X34" s="197">
        <v>405745</v>
      </c>
      <c r="Y34" s="197">
        <v>403688</v>
      </c>
      <c r="Z34" s="197">
        <v>393674</v>
      </c>
      <c r="AA34" s="197">
        <v>384716</v>
      </c>
      <c r="AB34" s="197">
        <v>377204</v>
      </c>
    </row>
    <row r="35" spans="1:28">
      <c r="B35" s="6" t="s">
        <v>284</v>
      </c>
      <c r="C35" s="6" t="s">
        <v>285</v>
      </c>
      <c r="D35" s="7">
        <v>4081251</v>
      </c>
      <c r="E35" s="197" t="s">
        <v>175</v>
      </c>
      <c r="F35" s="197" t="s">
        <v>175</v>
      </c>
      <c r="G35" s="197">
        <v>1272</v>
      </c>
      <c r="H35" s="197">
        <v>1257</v>
      </c>
      <c r="I35" s="197">
        <v>1245</v>
      </c>
      <c r="J35" s="197">
        <v>1237</v>
      </c>
      <c r="K35" s="197">
        <v>1219</v>
      </c>
      <c r="L35" s="197">
        <v>1205</v>
      </c>
      <c r="M35" s="197">
        <v>1202</v>
      </c>
      <c r="N35" s="197">
        <v>1202</v>
      </c>
      <c r="O35" s="197">
        <v>1200</v>
      </c>
      <c r="P35" s="197">
        <v>1190</v>
      </c>
      <c r="Q35" s="197">
        <v>1197</v>
      </c>
      <c r="R35" s="197">
        <v>1200</v>
      </c>
      <c r="S35" s="197">
        <v>1187</v>
      </c>
      <c r="T35" s="197">
        <v>1186</v>
      </c>
      <c r="U35" s="197">
        <v>1196</v>
      </c>
      <c r="V35" s="197">
        <v>1168</v>
      </c>
      <c r="W35" s="197">
        <v>1168</v>
      </c>
      <c r="X35" s="197">
        <v>1164</v>
      </c>
      <c r="Y35" s="197">
        <v>1164</v>
      </c>
      <c r="Z35" s="197">
        <v>1171</v>
      </c>
      <c r="AA35" s="197">
        <v>1149</v>
      </c>
      <c r="AB35" s="197">
        <v>1133</v>
      </c>
    </row>
    <row r="36" spans="1:28">
      <c r="B36" s="6" t="s">
        <v>286</v>
      </c>
      <c r="C36" s="6" t="s">
        <v>286</v>
      </c>
      <c r="D36" s="7">
        <v>4060572</v>
      </c>
      <c r="E36" s="197">
        <v>111656</v>
      </c>
      <c r="F36" s="197" t="s">
        <v>175</v>
      </c>
      <c r="G36" s="197">
        <v>111086</v>
      </c>
      <c r="H36" s="197">
        <v>111464</v>
      </c>
      <c r="I36" s="197">
        <v>111607</v>
      </c>
      <c r="J36" s="197">
        <v>112342</v>
      </c>
      <c r="K36" s="197">
        <v>112023</v>
      </c>
      <c r="L36" s="197">
        <v>112648</v>
      </c>
      <c r="M36" s="197">
        <v>113268</v>
      </c>
      <c r="N36" s="197">
        <v>113310</v>
      </c>
      <c r="O36" s="197">
        <v>113485</v>
      </c>
      <c r="P36" s="197">
        <v>113472</v>
      </c>
      <c r="Q36" s="197">
        <v>113704</v>
      </c>
      <c r="R36" s="197">
        <v>114156</v>
      </c>
      <c r="S36" s="197">
        <v>114601</v>
      </c>
      <c r="T36" s="197">
        <v>115104</v>
      </c>
      <c r="U36" s="197">
        <v>115518</v>
      </c>
      <c r="V36" s="197">
        <v>115758</v>
      </c>
      <c r="W36" s="197">
        <v>115829</v>
      </c>
      <c r="X36" s="197">
        <v>116185</v>
      </c>
      <c r="Y36" s="197">
        <v>116803</v>
      </c>
      <c r="Z36" s="197">
        <v>115374</v>
      </c>
      <c r="AA36" s="197">
        <v>115542</v>
      </c>
      <c r="AB36" s="197">
        <v>114186</v>
      </c>
    </row>
    <row r="37" spans="1:28">
      <c r="B37" s="6" t="s">
        <v>287</v>
      </c>
      <c r="C37" s="6" t="s">
        <v>287</v>
      </c>
      <c r="D37" s="7">
        <v>4083318</v>
      </c>
      <c r="E37" s="197">
        <v>9413</v>
      </c>
      <c r="F37" s="197">
        <v>9427</v>
      </c>
      <c r="G37" s="197">
        <v>9368</v>
      </c>
      <c r="H37" s="197">
        <v>9413</v>
      </c>
      <c r="I37" s="197">
        <v>9461</v>
      </c>
      <c r="J37" s="197">
        <v>9530</v>
      </c>
      <c r="K37" s="197">
        <v>9538</v>
      </c>
      <c r="L37" s="197">
        <v>9572</v>
      </c>
      <c r="M37" s="197">
        <v>9599</v>
      </c>
      <c r="N37" s="197">
        <v>9647</v>
      </c>
      <c r="O37" s="197">
        <v>9694</v>
      </c>
      <c r="P37" s="197">
        <v>9727</v>
      </c>
      <c r="Q37" s="197">
        <v>9723</v>
      </c>
      <c r="R37" s="197">
        <v>9745</v>
      </c>
      <c r="S37" s="197">
        <v>9817</v>
      </c>
      <c r="T37" s="197">
        <v>9937</v>
      </c>
      <c r="U37" s="197">
        <v>10018</v>
      </c>
      <c r="V37" s="197">
        <v>10134</v>
      </c>
      <c r="W37" s="197">
        <v>10242</v>
      </c>
      <c r="X37" s="197">
        <v>10309</v>
      </c>
      <c r="Y37" s="197">
        <v>10253</v>
      </c>
      <c r="Z37" s="197">
        <v>10863</v>
      </c>
      <c r="AA37" s="197">
        <v>11021</v>
      </c>
      <c r="AB37" s="197">
        <v>10347</v>
      </c>
    </row>
    <row r="38" spans="1:28">
      <c r="B38" s="6" t="s">
        <v>288</v>
      </c>
      <c r="C38" s="6" t="s">
        <v>288</v>
      </c>
      <c r="D38" s="7">
        <v>4057125</v>
      </c>
      <c r="E38" s="197">
        <v>633975</v>
      </c>
      <c r="F38" s="197">
        <v>625662</v>
      </c>
      <c r="G38" s="197">
        <v>615854</v>
      </c>
      <c r="H38" s="197">
        <v>608071</v>
      </c>
      <c r="I38" s="197">
        <v>601796</v>
      </c>
      <c r="J38" s="197">
        <v>596121</v>
      </c>
      <c r="K38" s="197">
        <v>588102</v>
      </c>
      <c r="L38" s="197">
        <v>583493</v>
      </c>
      <c r="M38" s="197">
        <v>579322</v>
      </c>
      <c r="N38" s="197">
        <v>573589</v>
      </c>
      <c r="O38" s="197">
        <v>570003</v>
      </c>
      <c r="P38" s="197">
        <v>570115</v>
      </c>
      <c r="Q38" s="197">
        <v>567583</v>
      </c>
      <c r="R38" s="197">
        <v>568291</v>
      </c>
      <c r="S38" s="197">
        <v>568632</v>
      </c>
      <c r="T38" s="197">
        <v>554289</v>
      </c>
      <c r="U38" s="197">
        <v>550107</v>
      </c>
      <c r="V38" s="197">
        <v>542472</v>
      </c>
      <c r="W38" s="197">
        <v>536221</v>
      </c>
      <c r="X38" s="197">
        <v>532687</v>
      </c>
      <c r="Y38" s="197">
        <v>521702</v>
      </c>
      <c r="Z38" s="197">
        <v>563212</v>
      </c>
      <c r="AA38" s="197">
        <v>500215</v>
      </c>
      <c r="AB38" s="197">
        <v>488802</v>
      </c>
    </row>
    <row r="39" spans="1:28">
      <c r="B39" s="6" t="s">
        <v>289</v>
      </c>
      <c r="C39" s="6" t="s">
        <v>289</v>
      </c>
      <c r="D39" s="7">
        <v>4087741</v>
      </c>
      <c r="E39" s="197" t="s">
        <v>175</v>
      </c>
      <c r="F39" s="197" t="s">
        <v>175</v>
      </c>
      <c r="G39" s="197">
        <v>639887</v>
      </c>
      <c r="H39" s="197">
        <v>639409</v>
      </c>
      <c r="I39" s="197">
        <v>638119</v>
      </c>
      <c r="J39" s="197">
        <v>636643</v>
      </c>
      <c r="K39" s="197">
        <v>634980</v>
      </c>
      <c r="L39" s="197">
        <v>634130</v>
      </c>
      <c r="M39" s="197">
        <v>632638</v>
      </c>
      <c r="N39" s="197">
        <v>632796</v>
      </c>
      <c r="O39" s="197">
        <v>632020</v>
      </c>
      <c r="P39" s="197">
        <v>632170</v>
      </c>
      <c r="Q39" s="197">
        <v>632447</v>
      </c>
      <c r="R39" s="197">
        <v>643537</v>
      </c>
      <c r="S39" s="197">
        <v>642227</v>
      </c>
      <c r="T39" s="197">
        <v>643547</v>
      </c>
      <c r="U39" s="197">
        <v>642219</v>
      </c>
      <c r="V39" s="197">
        <v>643647</v>
      </c>
      <c r="W39" s="197">
        <v>642237</v>
      </c>
      <c r="X39" s="197">
        <v>638502</v>
      </c>
      <c r="Y39" s="197">
        <v>635070</v>
      </c>
      <c r="Z39" s="197">
        <v>669256</v>
      </c>
      <c r="AA39" s="197">
        <v>663147</v>
      </c>
      <c r="AB39" s="197">
        <v>658199</v>
      </c>
    </row>
    <row r="40" spans="1:28">
      <c r="B40" s="6" t="s">
        <v>290</v>
      </c>
      <c r="C40" s="6" t="s">
        <v>290</v>
      </c>
      <c r="D40" s="7">
        <v>4059875</v>
      </c>
      <c r="E40" s="197" t="s">
        <v>175</v>
      </c>
      <c r="F40" s="197">
        <v>97621</v>
      </c>
      <c r="G40" s="197">
        <v>95557</v>
      </c>
      <c r="H40" s="197">
        <v>94027</v>
      </c>
      <c r="I40" s="197">
        <v>92815</v>
      </c>
      <c r="J40" s="197">
        <v>90950</v>
      </c>
      <c r="K40" s="197">
        <v>90334</v>
      </c>
      <c r="L40" s="197">
        <v>87021</v>
      </c>
      <c r="M40" s="197">
        <v>86697</v>
      </c>
      <c r="N40" s="197">
        <v>88700</v>
      </c>
      <c r="O40" s="197">
        <v>85070</v>
      </c>
      <c r="P40" s="197">
        <v>85070</v>
      </c>
      <c r="Q40" s="197">
        <v>87466</v>
      </c>
      <c r="R40" s="197">
        <v>87440</v>
      </c>
      <c r="S40" s="197">
        <v>84396</v>
      </c>
      <c r="T40" s="197">
        <v>84081</v>
      </c>
      <c r="U40" s="197">
        <v>83873</v>
      </c>
      <c r="V40" s="197">
        <v>77630</v>
      </c>
      <c r="W40" s="197">
        <v>77494</v>
      </c>
      <c r="X40" s="197">
        <v>77110</v>
      </c>
      <c r="Y40" s="197">
        <v>74959</v>
      </c>
      <c r="Z40" s="197">
        <v>72993</v>
      </c>
      <c r="AA40" s="197">
        <v>73050</v>
      </c>
      <c r="AB40" s="197">
        <v>71111</v>
      </c>
    </row>
    <row r="41" spans="1:28">
      <c r="B41" s="6" t="s">
        <v>190</v>
      </c>
      <c r="C41" s="6" t="s">
        <v>190</v>
      </c>
      <c r="D41" s="7">
        <v>4057090</v>
      </c>
      <c r="E41" s="197">
        <v>331919</v>
      </c>
      <c r="F41" s="197" t="s">
        <v>175</v>
      </c>
      <c r="G41" s="197">
        <v>327941</v>
      </c>
      <c r="H41" s="197">
        <v>325786</v>
      </c>
      <c r="I41" s="197">
        <v>324488</v>
      </c>
      <c r="J41" s="197">
        <v>322525</v>
      </c>
      <c r="K41" s="197">
        <v>321006</v>
      </c>
      <c r="L41" s="197">
        <v>319939</v>
      </c>
      <c r="M41" s="197">
        <v>319070</v>
      </c>
      <c r="N41" s="197">
        <v>318029</v>
      </c>
      <c r="O41" s="197">
        <v>318661</v>
      </c>
      <c r="P41" s="197">
        <v>320567</v>
      </c>
      <c r="Q41" s="197">
        <v>316003</v>
      </c>
      <c r="R41" s="197">
        <v>313842</v>
      </c>
      <c r="S41" s="197">
        <v>325562</v>
      </c>
      <c r="T41" s="197">
        <v>323170</v>
      </c>
      <c r="U41" s="197">
        <v>320305</v>
      </c>
      <c r="V41" s="197">
        <v>316311</v>
      </c>
      <c r="W41" s="197">
        <v>312151</v>
      </c>
      <c r="X41" s="197">
        <v>308344</v>
      </c>
      <c r="Y41" s="197">
        <v>303153</v>
      </c>
      <c r="Z41" s="197">
        <v>297754</v>
      </c>
      <c r="AA41" s="197">
        <v>293218</v>
      </c>
      <c r="AB41" s="197">
        <v>286879</v>
      </c>
    </row>
    <row r="42" spans="1:28">
      <c r="B42" s="6" t="s">
        <v>191</v>
      </c>
      <c r="C42" s="6" t="s">
        <v>191</v>
      </c>
      <c r="D42" s="7">
        <v>4008754</v>
      </c>
      <c r="E42" s="197">
        <v>167774</v>
      </c>
      <c r="F42" s="197">
        <v>165866</v>
      </c>
      <c r="G42" s="197">
        <v>162825</v>
      </c>
      <c r="H42" s="197">
        <v>159665</v>
      </c>
      <c r="I42" s="197">
        <v>156581</v>
      </c>
      <c r="J42" s="197">
        <v>154240</v>
      </c>
      <c r="K42" s="197">
        <v>151080</v>
      </c>
      <c r="L42" s="197">
        <v>148124</v>
      </c>
      <c r="M42" s="197">
        <v>146426</v>
      </c>
      <c r="N42" s="197">
        <v>145080</v>
      </c>
      <c r="O42" s="197">
        <v>144051</v>
      </c>
      <c r="P42" s="197">
        <v>143155</v>
      </c>
      <c r="Q42" s="197">
        <v>142383</v>
      </c>
      <c r="R42" s="197">
        <v>141488</v>
      </c>
      <c r="S42" s="197">
        <v>139131</v>
      </c>
      <c r="T42" s="197">
        <v>137439</v>
      </c>
      <c r="U42" s="197">
        <v>134495</v>
      </c>
      <c r="V42" s="197">
        <v>131674</v>
      </c>
      <c r="W42" s="197">
        <v>128815</v>
      </c>
      <c r="X42" s="197">
        <v>124416</v>
      </c>
      <c r="Y42" s="197">
        <v>117091</v>
      </c>
      <c r="Z42" s="197">
        <v>113784</v>
      </c>
      <c r="AA42" s="197">
        <v>111491</v>
      </c>
      <c r="AB42" s="197">
        <v>108415</v>
      </c>
    </row>
    <row r="43" spans="1:28">
      <c r="B43" s="6" t="s">
        <v>291</v>
      </c>
      <c r="C43" s="6" t="s">
        <v>291</v>
      </c>
      <c r="D43" s="7">
        <v>4061474</v>
      </c>
      <c r="E43" s="197" t="s">
        <v>175</v>
      </c>
      <c r="F43" s="197">
        <v>14831</v>
      </c>
      <c r="G43" s="197">
        <v>14406</v>
      </c>
      <c r="H43" s="197">
        <v>14228</v>
      </c>
      <c r="I43" s="197">
        <v>14088</v>
      </c>
      <c r="J43" s="197">
        <v>13959</v>
      </c>
      <c r="K43" s="197">
        <v>13898</v>
      </c>
      <c r="L43" s="197">
        <v>13774</v>
      </c>
      <c r="M43" s="197">
        <v>13690</v>
      </c>
      <c r="N43" s="197">
        <v>13696</v>
      </c>
      <c r="O43" s="197">
        <v>13796</v>
      </c>
      <c r="P43" s="197">
        <v>13888</v>
      </c>
      <c r="Q43" s="197">
        <v>14002</v>
      </c>
      <c r="R43" s="197">
        <v>14184</v>
      </c>
      <c r="S43" s="197">
        <v>14360</v>
      </c>
      <c r="T43" s="197">
        <v>14777</v>
      </c>
      <c r="U43" s="197">
        <v>15070</v>
      </c>
      <c r="V43" s="197">
        <v>15196</v>
      </c>
      <c r="W43" s="197">
        <v>15449</v>
      </c>
      <c r="X43" s="197">
        <v>12137</v>
      </c>
      <c r="Y43" s="197">
        <v>12044</v>
      </c>
      <c r="Z43" s="197">
        <v>12490</v>
      </c>
      <c r="AA43" s="197">
        <v>12323</v>
      </c>
      <c r="AB43" s="197">
        <v>11979</v>
      </c>
    </row>
    <row r="44" spans="1:28">
      <c r="B44" s="6" t="s">
        <v>292</v>
      </c>
      <c r="C44" s="6" t="s">
        <v>292</v>
      </c>
      <c r="D44" s="7">
        <v>4076679</v>
      </c>
      <c r="E44" s="197">
        <v>18294</v>
      </c>
      <c r="F44" s="197">
        <v>17948</v>
      </c>
      <c r="G44" s="197">
        <v>17435</v>
      </c>
      <c r="H44" s="197">
        <v>17000</v>
      </c>
      <c r="I44" s="197">
        <v>16685</v>
      </c>
      <c r="J44" s="197">
        <v>16330</v>
      </c>
      <c r="K44" s="197">
        <v>15950</v>
      </c>
      <c r="L44" s="197">
        <v>15565</v>
      </c>
      <c r="M44" s="197">
        <v>15332</v>
      </c>
      <c r="N44" s="197">
        <v>15076</v>
      </c>
      <c r="O44" s="197">
        <v>14791</v>
      </c>
      <c r="P44" s="197">
        <v>14601</v>
      </c>
      <c r="Q44" s="197">
        <v>14374</v>
      </c>
      <c r="R44" s="197">
        <v>14208</v>
      </c>
      <c r="S44" s="197">
        <v>13969</v>
      </c>
      <c r="T44" s="197">
        <v>13637</v>
      </c>
      <c r="U44" s="197">
        <v>13277</v>
      </c>
      <c r="V44" s="197">
        <v>12854</v>
      </c>
      <c r="W44" s="197">
        <v>12420</v>
      </c>
      <c r="X44" s="197">
        <v>11914</v>
      </c>
      <c r="Y44" s="197">
        <v>11421</v>
      </c>
      <c r="Z44" s="197">
        <v>11180</v>
      </c>
      <c r="AA44" s="197">
        <v>10669</v>
      </c>
      <c r="AB44" s="197">
        <v>10625</v>
      </c>
    </row>
    <row r="45" spans="1:28">
      <c r="B45" s="6" t="s">
        <v>193</v>
      </c>
      <c r="C45" s="6" t="s">
        <v>193</v>
      </c>
      <c r="D45" s="7">
        <v>4061634</v>
      </c>
      <c r="E45" s="197">
        <v>216034</v>
      </c>
      <c r="F45" s="197" t="s">
        <v>175</v>
      </c>
      <c r="G45" s="197">
        <v>215520</v>
      </c>
      <c r="H45" s="197">
        <v>216334</v>
      </c>
      <c r="I45" s="197">
        <v>216598</v>
      </c>
      <c r="J45" s="197">
        <v>216955</v>
      </c>
      <c r="K45" s="197">
        <v>217741</v>
      </c>
      <c r="L45" s="197">
        <v>218297</v>
      </c>
      <c r="M45" s="197">
        <v>218789</v>
      </c>
      <c r="N45" s="197">
        <v>218828</v>
      </c>
      <c r="O45" s="197">
        <v>220575</v>
      </c>
      <c r="P45" s="197">
        <v>217480</v>
      </c>
      <c r="Q45" s="197">
        <v>216812</v>
      </c>
      <c r="R45" s="197">
        <v>219696</v>
      </c>
      <c r="S45" s="197">
        <v>218981</v>
      </c>
      <c r="T45" s="197">
        <v>221898</v>
      </c>
      <c r="U45" s="197">
        <v>221844</v>
      </c>
      <c r="V45" s="197">
        <v>202850</v>
      </c>
      <c r="W45" s="197">
        <v>204788</v>
      </c>
      <c r="X45" s="197">
        <v>205740</v>
      </c>
      <c r="Y45" s="197">
        <v>206630</v>
      </c>
      <c r="Z45" s="197">
        <v>211411</v>
      </c>
      <c r="AA45" s="197">
        <v>201549</v>
      </c>
      <c r="AB45" s="197">
        <v>203573</v>
      </c>
    </row>
    <row r="46" spans="1:28">
      <c r="B46" s="6" t="s">
        <v>194</v>
      </c>
      <c r="C46" s="6" t="s">
        <v>194</v>
      </c>
      <c r="D46" s="7">
        <v>4061687</v>
      </c>
      <c r="E46" s="197">
        <v>754417</v>
      </c>
      <c r="F46" s="197">
        <v>749424</v>
      </c>
      <c r="G46" s="197">
        <v>743657</v>
      </c>
      <c r="H46" s="197">
        <v>751327</v>
      </c>
      <c r="I46" s="197">
        <v>744863</v>
      </c>
      <c r="J46" s="197">
        <v>742533</v>
      </c>
      <c r="K46" s="197">
        <v>740655</v>
      </c>
      <c r="L46" s="197">
        <v>738407</v>
      </c>
      <c r="M46" s="197">
        <v>735658</v>
      </c>
      <c r="N46" s="197">
        <v>733125</v>
      </c>
      <c r="O46" s="197">
        <v>732045</v>
      </c>
      <c r="P46" s="197">
        <v>729323</v>
      </c>
      <c r="Q46" s="197">
        <v>727440</v>
      </c>
      <c r="R46" s="197">
        <v>727735</v>
      </c>
      <c r="S46" s="197">
        <v>725371</v>
      </c>
      <c r="T46" s="197">
        <v>719244</v>
      </c>
      <c r="U46" s="197">
        <v>733212</v>
      </c>
      <c r="V46" s="197">
        <v>734567</v>
      </c>
      <c r="W46" s="197">
        <v>735360</v>
      </c>
      <c r="X46" s="197">
        <v>736698</v>
      </c>
      <c r="Y46" s="197">
        <v>732604</v>
      </c>
      <c r="Z46" s="197">
        <v>736113</v>
      </c>
      <c r="AA46" s="197">
        <v>745094</v>
      </c>
      <c r="AB46" s="197">
        <v>735546</v>
      </c>
    </row>
    <row r="47" spans="1:28">
      <c r="A47" s="1" t="s">
        <v>275</v>
      </c>
      <c r="B47" s="6" t="s">
        <v>195</v>
      </c>
      <c r="C47" s="6" t="s">
        <v>195</v>
      </c>
      <c r="D47" s="7">
        <v>4061755</v>
      </c>
      <c r="E47" s="197">
        <v>555777</v>
      </c>
      <c r="F47" s="197">
        <v>555777</v>
      </c>
      <c r="G47" s="197">
        <v>547424</v>
      </c>
      <c r="H47" s="197">
        <v>536848</v>
      </c>
      <c r="I47" s="197">
        <v>529545</v>
      </c>
      <c r="J47" s="197">
        <v>520615</v>
      </c>
      <c r="K47" s="197">
        <v>512655</v>
      </c>
      <c r="L47" s="197">
        <v>504661</v>
      </c>
      <c r="M47" s="197">
        <v>498723</v>
      </c>
      <c r="N47" s="197">
        <v>497073</v>
      </c>
      <c r="O47" s="197">
        <v>495383</v>
      </c>
      <c r="P47" s="197">
        <v>490817</v>
      </c>
      <c r="Q47" s="197">
        <v>487197</v>
      </c>
      <c r="R47" s="197">
        <v>483281</v>
      </c>
      <c r="S47" s="197">
        <v>477806</v>
      </c>
      <c r="T47" s="197">
        <v>474392</v>
      </c>
      <c r="U47" s="197">
        <v>465738</v>
      </c>
      <c r="V47" s="197">
        <v>453983</v>
      </c>
      <c r="W47" s="197">
        <v>446837</v>
      </c>
      <c r="X47" s="197">
        <v>437308</v>
      </c>
      <c r="Y47" s="197">
        <v>424076</v>
      </c>
      <c r="Z47" s="197">
        <v>414353</v>
      </c>
      <c r="AA47" s="197">
        <v>399805</v>
      </c>
      <c r="AB47" s="197">
        <v>388074</v>
      </c>
    </row>
    <row r="48" spans="1:28">
      <c r="A48" s="1" t="s">
        <v>275</v>
      </c>
      <c r="B48" s="6" t="s">
        <v>197</v>
      </c>
      <c r="C48" s="6" t="s">
        <v>197</v>
      </c>
      <c r="D48" s="7">
        <v>4004389</v>
      </c>
      <c r="E48" s="197">
        <v>271554</v>
      </c>
      <c r="F48" s="197">
        <v>270211</v>
      </c>
      <c r="G48" s="197">
        <v>268814</v>
      </c>
      <c r="H48" s="197">
        <v>266359</v>
      </c>
      <c r="I48" s="197">
        <v>266359</v>
      </c>
      <c r="J48" s="197">
        <v>264832</v>
      </c>
      <c r="K48" s="197">
        <v>263517</v>
      </c>
      <c r="L48" s="197">
        <v>262669</v>
      </c>
      <c r="M48" s="197">
        <v>261612</v>
      </c>
      <c r="N48" s="197">
        <v>260146</v>
      </c>
      <c r="O48" s="197">
        <v>259849</v>
      </c>
      <c r="P48" s="197">
        <v>259089</v>
      </c>
      <c r="Q48" s="197">
        <v>257842</v>
      </c>
      <c r="R48" s="197">
        <v>255921</v>
      </c>
      <c r="S48" s="197">
        <v>254919</v>
      </c>
      <c r="T48" s="197">
        <v>256212</v>
      </c>
      <c r="U48" s="197">
        <v>254413</v>
      </c>
      <c r="V48" s="197">
        <v>253468</v>
      </c>
      <c r="W48" s="197">
        <v>252691</v>
      </c>
      <c r="X48" s="197">
        <v>251533</v>
      </c>
      <c r="Y48" s="197">
        <v>249639</v>
      </c>
      <c r="Z48" s="197">
        <v>246475</v>
      </c>
      <c r="AA48" s="197">
        <v>243879</v>
      </c>
      <c r="AB48" s="197">
        <v>242508</v>
      </c>
    </row>
    <row r="49" spans="1:28">
      <c r="A49" s="1" t="s">
        <v>275</v>
      </c>
      <c r="B49" s="6" t="s">
        <v>198</v>
      </c>
      <c r="C49" s="6" t="s">
        <v>198</v>
      </c>
      <c r="D49" s="7">
        <v>4057014</v>
      </c>
      <c r="E49" s="197">
        <v>633711</v>
      </c>
      <c r="F49" s="197">
        <v>628906</v>
      </c>
      <c r="G49" s="197">
        <v>623887</v>
      </c>
      <c r="H49" s="197">
        <v>620035</v>
      </c>
      <c r="I49" s="197">
        <v>612808</v>
      </c>
      <c r="J49" s="197">
        <v>608871</v>
      </c>
      <c r="K49" s="197">
        <v>602956</v>
      </c>
      <c r="L49" s="197">
        <v>597730</v>
      </c>
      <c r="M49" s="197">
        <v>593902</v>
      </c>
      <c r="N49" s="197">
        <v>589223</v>
      </c>
      <c r="O49" s="197">
        <v>585749</v>
      </c>
      <c r="P49" s="197">
        <v>582927</v>
      </c>
      <c r="Q49" s="197">
        <v>579682</v>
      </c>
      <c r="R49" s="197">
        <v>575796</v>
      </c>
      <c r="S49" s="197">
        <v>570901</v>
      </c>
      <c r="T49" s="197">
        <v>567461</v>
      </c>
      <c r="U49" s="197">
        <v>566446</v>
      </c>
      <c r="V49" s="197">
        <v>560566</v>
      </c>
      <c r="W49" s="197">
        <v>556869</v>
      </c>
      <c r="X49" s="197">
        <v>551436</v>
      </c>
      <c r="Y49" s="197">
        <v>548021</v>
      </c>
      <c r="Z49" s="197">
        <v>544080</v>
      </c>
      <c r="AA49" s="197">
        <v>538554</v>
      </c>
      <c r="AB49" s="197">
        <v>530634</v>
      </c>
    </row>
    <row r="50" spans="1:28">
      <c r="B50" s="6" t="s">
        <v>199</v>
      </c>
      <c r="C50" s="6" t="s">
        <v>199</v>
      </c>
      <c r="D50" s="7">
        <v>4057130</v>
      </c>
      <c r="E50" s="197">
        <v>163669</v>
      </c>
      <c r="F50" s="197">
        <v>163392</v>
      </c>
      <c r="G50" s="197">
        <v>163031</v>
      </c>
      <c r="H50" s="197">
        <v>162631</v>
      </c>
      <c r="I50" s="197">
        <v>160127</v>
      </c>
      <c r="J50" s="197">
        <v>159659</v>
      </c>
      <c r="K50" s="197">
        <v>158735</v>
      </c>
      <c r="L50" s="197">
        <v>158889</v>
      </c>
      <c r="M50" s="197">
        <v>158530</v>
      </c>
      <c r="N50" s="197">
        <v>158298</v>
      </c>
      <c r="O50" s="197">
        <v>158243</v>
      </c>
      <c r="P50" s="197">
        <v>157852</v>
      </c>
      <c r="Q50" s="197">
        <v>158001</v>
      </c>
      <c r="R50" s="197">
        <v>158254</v>
      </c>
      <c r="S50" s="197">
        <v>157881</v>
      </c>
      <c r="T50" s="197">
        <v>156512</v>
      </c>
      <c r="U50" s="197">
        <v>155511</v>
      </c>
      <c r="V50" s="197">
        <v>153856</v>
      </c>
      <c r="W50" s="197">
        <v>152638</v>
      </c>
      <c r="X50" s="197">
        <v>151548</v>
      </c>
      <c r="Y50" s="197">
        <v>150213</v>
      </c>
      <c r="Z50" s="197">
        <v>149033</v>
      </c>
      <c r="AA50" s="197">
        <v>146606</v>
      </c>
      <c r="AB50" s="197">
        <v>143698</v>
      </c>
    </row>
    <row r="51" spans="1:28">
      <c r="B51" s="6" t="s">
        <v>201</v>
      </c>
      <c r="C51" s="6" t="s">
        <v>201</v>
      </c>
      <c r="D51" s="7">
        <v>4057131</v>
      </c>
      <c r="E51" s="197">
        <v>2252860</v>
      </c>
      <c r="F51" s="197">
        <v>2246468</v>
      </c>
      <c r="G51" s="197">
        <v>2236279</v>
      </c>
      <c r="H51" s="197">
        <v>2226874</v>
      </c>
      <c r="I51" s="197">
        <v>2217563</v>
      </c>
      <c r="J51" s="197">
        <v>2207781</v>
      </c>
      <c r="K51" s="197">
        <v>2198261</v>
      </c>
      <c r="L51" s="197">
        <v>2195078</v>
      </c>
      <c r="M51" s="197">
        <v>2195334</v>
      </c>
      <c r="N51" s="197">
        <v>2187879</v>
      </c>
      <c r="O51" s="197">
        <v>2184888</v>
      </c>
      <c r="P51" s="197">
        <v>2177018</v>
      </c>
      <c r="Q51" s="197">
        <v>2172724</v>
      </c>
      <c r="R51" s="197">
        <v>2173443</v>
      </c>
      <c r="S51" s="197">
        <v>2162713</v>
      </c>
      <c r="T51" s="197">
        <v>2145015</v>
      </c>
      <c r="U51" s="197">
        <v>2106684</v>
      </c>
      <c r="V51" s="197">
        <v>2092607</v>
      </c>
      <c r="W51" s="197">
        <v>2056612</v>
      </c>
      <c r="X51" s="197">
        <v>2023255</v>
      </c>
      <c r="Y51" s="197">
        <v>1991684</v>
      </c>
      <c r="Z51" s="197">
        <v>1962235</v>
      </c>
      <c r="AA51" s="197">
        <v>1929041</v>
      </c>
      <c r="AB51" s="197">
        <v>1898034</v>
      </c>
    </row>
    <row r="52" spans="1:28">
      <c r="B52" s="6" t="s">
        <v>202</v>
      </c>
      <c r="C52" s="6" t="s">
        <v>202</v>
      </c>
      <c r="D52" s="7">
        <v>4012860</v>
      </c>
      <c r="E52" s="197">
        <v>853000</v>
      </c>
      <c r="F52" s="197" t="s">
        <v>175</v>
      </c>
      <c r="G52" s="197">
        <v>833358</v>
      </c>
      <c r="H52" s="197">
        <v>827654</v>
      </c>
      <c r="I52" s="197">
        <v>820527</v>
      </c>
      <c r="J52" s="197">
        <v>819908</v>
      </c>
      <c r="K52" s="197">
        <v>811816</v>
      </c>
      <c r="L52" s="197">
        <v>807211</v>
      </c>
      <c r="M52" s="197">
        <v>803137</v>
      </c>
      <c r="N52" s="197">
        <v>797972</v>
      </c>
      <c r="O52" s="197">
        <v>794981</v>
      </c>
      <c r="P52" s="197">
        <v>795019</v>
      </c>
      <c r="Q52" s="197">
        <v>718305</v>
      </c>
      <c r="R52" s="197">
        <v>719821</v>
      </c>
      <c r="S52" s="197">
        <v>720785</v>
      </c>
      <c r="T52" s="197">
        <v>710473</v>
      </c>
      <c r="U52" s="197">
        <v>764604</v>
      </c>
      <c r="V52" s="197">
        <v>654096</v>
      </c>
      <c r="W52" s="197">
        <v>715066</v>
      </c>
      <c r="X52" s="197">
        <v>735439</v>
      </c>
      <c r="Y52" s="197">
        <v>702194</v>
      </c>
      <c r="Z52" s="197">
        <v>698076</v>
      </c>
      <c r="AA52" s="197">
        <v>691549</v>
      </c>
      <c r="AB52" s="197">
        <v>659531</v>
      </c>
    </row>
    <row r="53" spans="1:28">
      <c r="B53" s="6" t="s">
        <v>204</v>
      </c>
      <c r="C53" s="6" t="s">
        <v>205</v>
      </c>
      <c r="D53" s="7">
        <v>4061925</v>
      </c>
      <c r="E53" s="197">
        <v>119016</v>
      </c>
      <c r="F53" s="197" t="s">
        <v>175</v>
      </c>
      <c r="G53" s="197">
        <v>638400</v>
      </c>
      <c r="H53" s="197">
        <v>631487</v>
      </c>
      <c r="I53" s="197">
        <v>113861</v>
      </c>
      <c r="J53" s="197">
        <v>112785</v>
      </c>
      <c r="K53" s="197">
        <v>111568</v>
      </c>
      <c r="L53" s="197">
        <v>110218</v>
      </c>
      <c r="M53" s="197">
        <v>108776</v>
      </c>
      <c r="N53" s="197">
        <v>107347</v>
      </c>
      <c r="O53" s="197">
        <v>106104</v>
      </c>
      <c r="P53" s="197">
        <v>105947</v>
      </c>
      <c r="Q53" s="197">
        <v>106532</v>
      </c>
      <c r="R53" s="197">
        <v>103837</v>
      </c>
      <c r="S53" s="197">
        <v>96092</v>
      </c>
      <c r="T53" s="197">
        <v>574343</v>
      </c>
      <c r="U53" s="197">
        <v>550045</v>
      </c>
      <c r="V53" s="197">
        <v>542522</v>
      </c>
      <c r="W53" s="197">
        <v>529022</v>
      </c>
      <c r="X53" s="197">
        <v>522217</v>
      </c>
      <c r="Y53" s="197">
        <v>505720</v>
      </c>
      <c r="Z53" s="197">
        <v>493419</v>
      </c>
      <c r="AA53" s="197">
        <v>474425</v>
      </c>
      <c r="AB53" s="197">
        <v>459034</v>
      </c>
    </row>
    <row r="54" spans="1:28">
      <c r="B54" s="6" t="s">
        <v>293</v>
      </c>
      <c r="C54" s="6" t="s">
        <v>293</v>
      </c>
      <c r="D54" s="7">
        <v>4057132</v>
      </c>
      <c r="E54" s="197" t="s">
        <v>175</v>
      </c>
      <c r="F54" s="197" t="s">
        <v>175</v>
      </c>
      <c r="G54" s="197" t="s">
        <v>175</v>
      </c>
      <c r="H54" s="197" t="s">
        <v>175</v>
      </c>
      <c r="I54" s="197">
        <v>731332</v>
      </c>
      <c r="J54" s="197">
        <v>718954</v>
      </c>
      <c r="K54" s="197">
        <v>708021</v>
      </c>
      <c r="L54" s="197">
        <v>699760</v>
      </c>
      <c r="M54" s="197">
        <v>690408</v>
      </c>
      <c r="N54" s="197">
        <v>682744</v>
      </c>
      <c r="O54" s="197">
        <v>676771</v>
      </c>
      <c r="P54" s="197">
        <v>670896</v>
      </c>
      <c r="Q54" s="197">
        <v>665068</v>
      </c>
      <c r="R54" s="197">
        <v>662341</v>
      </c>
      <c r="S54" s="197">
        <v>642046</v>
      </c>
      <c r="T54" s="197" t="s">
        <v>175</v>
      </c>
      <c r="U54" s="197" t="s">
        <v>175</v>
      </c>
      <c r="V54" s="197" t="s">
        <v>175</v>
      </c>
      <c r="W54" s="197" t="s">
        <v>175</v>
      </c>
      <c r="X54" s="197" t="s">
        <v>175</v>
      </c>
      <c r="Y54" s="197" t="s">
        <v>175</v>
      </c>
      <c r="Z54" s="197" t="s">
        <v>175</v>
      </c>
      <c r="AA54" s="197" t="s">
        <v>175</v>
      </c>
      <c r="AB54" s="197" t="s">
        <v>175</v>
      </c>
    </row>
    <row r="55" spans="1:28">
      <c r="A55" s="1" t="s">
        <v>275</v>
      </c>
      <c r="B55" s="6" t="s">
        <v>294</v>
      </c>
      <c r="C55" s="6" t="s">
        <v>294</v>
      </c>
      <c r="D55" s="7">
        <v>4057115</v>
      </c>
      <c r="E55" s="197">
        <v>302223</v>
      </c>
      <c r="F55" s="197">
        <v>300873</v>
      </c>
      <c r="G55" s="197">
        <v>298219</v>
      </c>
      <c r="H55" s="197">
        <v>295134</v>
      </c>
      <c r="I55" s="197">
        <v>291249</v>
      </c>
      <c r="J55" s="197">
        <v>287777</v>
      </c>
      <c r="K55" s="197">
        <v>283909</v>
      </c>
      <c r="L55" s="197">
        <v>280368</v>
      </c>
      <c r="M55" s="197">
        <v>276415</v>
      </c>
      <c r="N55" s="197">
        <v>272804</v>
      </c>
      <c r="O55" s="197">
        <v>270253</v>
      </c>
      <c r="P55" s="197">
        <v>268311</v>
      </c>
      <c r="Q55" s="197">
        <v>266726</v>
      </c>
      <c r="R55" s="197">
        <v>260425</v>
      </c>
      <c r="S55" s="197">
        <v>259381</v>
      </c>
      <c r="T55" s="197">
        <v>257051</v>
      </c>
      <c r="U55" s="197">
        <v>254409</v>
      </c>
      <c r="V55" s="197">
        <v>252576</v>
      </c>
      <c r="W55" s="197">
        <v>250038</v>
      </c>
      <c r="X55" s="197">
        <v>248736</v>
      </c>
      <c r="Y55" s="197">
        <v>246666</v>
      </c>
      <c r="Z55" s="197">
        <v>243854</v>
      </c>
      <c r="AA55" s="197">
        <v>240120</v>
      </c>
      <c r="AB55" s="197">
        <v>237086</v>
      </c>
    </row>
    <row r="56" spans="1:28">
      <c r="B56" s="6" t="s">
        <v>206</v>
      </c>
      <c r="C56" s="6" t="s">
        <v>206</v>
      </c>
      <c r="D56" s="7">
        <v>4064479</v>
      </c>
      <c r="E56" s="197">
        <v>50956</v>
      </c>
      <c r="F56" s="197">
        <v>50617</v>
      </c>
      <c r="G56" s="197">
        <v>49971</v>
      </c>
      <c r="H56" s="197">
        <v>49684</v>
      </c>
      <c r="I56" s="197">
        <v>49432</v>
      </c>
      <c r="J56" s="197">
        <v>49119</v>
      </c>
      <c r="K56" s="197">
        <v>48729</v>
      </c>
      <c r="L56" s="197">
        <v>48326</v>
      </c>
      <c r="M56" s="197">
        <v>48643</v>
      </c>
      <c r="N56" s="197">
        <v>47533</v>
      </c>
      <c r="O56" s="197">
        <v>47024</v>
      </c>
      <c r="P56" s="197">
        <v>46498</v>
      </c>
      <c r="Q56" s="197">
        <v>46415</v>
      </c>
      <c r="R56" s="197">
        <v>46449</v>
      </c>
      <c r="S56" s="197">
        <v>46385</v>
      </c>
      <c r="T56" s="197">
        <v>46191</v>
      </c>
      <c r="U56" s="197">
        <v>45783</v>
      </c>
      <c r="V56" s="197">
        <v>45198</v>
      </c>
      <c r="W56" s="197">
        <v>44645</v>
      </c>
      <c r="X56" s="197">
        <v>43978</v>
      </c>
      <c r="Y56" s="197">
        <v>44172</v>
      </c>
      <c r="Z56" s="197">
        <v>43764</v>
      </c>
      <c r="AA56" s="197">
        <v>42950</v>
      </c>
      <c r="AB56" s="197">
        <v>42288</v>
      </c>
    </row>
    <row r="57" spans="1:28">
      <c r="B57" s="6" t="s">
        <v>295</v>
      </c>
      <c r="C57" s="6" t="s">
        <v>295</v>
      </c>
      <c r="D57" s="7">
        <v>4062025</v>
      </c>
      <c r="E57" s="197">
        <v>29462</v>
      </c>
      <c r="F57" s="197">
        <v>28460</v>
      </c>
      <c r="G57" s="197">
        <v>28460</v>
      </c>
      <c r="H57" s="197">
        <v>24102</v>
      </c>
      <c r="I57" s="197">
        <v>24006</v>
      </c>
      <c r="J57" s="197">
        <v>24177</v>
      </c>
      <c r="K57" s="197">
        <v>23987</v>
      </c>
      <c r="L57" s="197">
        <v>23985</v>
      </c>
      <c r="M57" s="197">
        <v>23804</v>
      </c>
      <c r="N57" s="197">
        <v>23629</v>
      </c>
      <c r="O57" s="197">
        <v>23676</v>
      </c>
      <c r="P57" s="197">
        <v>23656</v>
      </c>
      <c r="Q57" s="197">
        <v>23661</v>
      </c>
      <c r="R57" s="197">
        <v>24003</v>
      </c>
      <c r="S57" s="197">
        <v>24398</v>
      </c>
      <c r="T57" s="197">
        <v>24465</v>
      </c>
      <c r="U57" s="197">
        <v>24728</v>
      </c>
      <c r="V57" s="197">
        <v>24876</v>
      </c>
      <c r="W57" s="197">
        <v>24984</v>
      </c>
      <c r="X57" s="197">
        <v>24997</v>
      </c>
      <c r="Y57" s="197">
        <v>24912</v>
      </c>
      <c r="Z57" s="197">
        <v>24910</v>
      </c>
      <c r="AA57" s="197">
        <v>25021</v>
      </c>
      <c r="AB57" s="197">
        <v>24689</v>
      </c>
    </row>
    <row r="58" spans="1:28">
      <c r="B58" s="6" t="s">
        <v>296</v>
      </c>
      <c r="C58" s="6" t="s">
        <v>296</v>
      </c>
      <c r="D58" s="7">
        <v>4064481</v>
      </c>
      <c r="E58" s="197" t="s">
        <v>175</v>
      </c>
      <c r="F58" s="197" t="s">
        <v>175</v>
      </c>
      <c r="G58" s="197">
        <v>888181</v>
      </c>
      <c r="H58" s="197">
        <v>881042</v>
      </c>
      <c r="I58" s="197">
        <v>875705</v>
      </c>
      <c r="J58" s="197">
        <v>869878</v>
      </c>
      <c r="K58" s="197">
        <v>872105</v>
      </c>
      <c r="L58" s="197">
        <v>866616</v>
      </c>
      <c r="M58" s="197">
        <v>859979</v>
      </c>
      <c r="N58" s="197">
        <v>854247</v>
      </c>
      <c r="O58" s="197">
        <v>849322</v>
      </c>
      <c r="P58" s="197">
        <v>840361</v>
      </c>
      <c r="Q58" s="197">
        <v>848684</v>
      </c>
      <c r="R58" s="197">
        <v>847444</v>
      </c>
      <c r="S58" s="197">
        <v>843946</v>
      </c>
      <c r="T58" s="197">
        <v>788292</v>
      </c>
      <c r="U58" s="197">
        <v>787860</v>
      </c>
      <c r="V58" s="197">
        <v>782094</v>
      </c>
      <c r="W58" s="197">
        <v>780547</v>
      </c>
      <c r="X58" s="197">
        <v>778820</v>
      </c>
      <c r="Y58" s="197">
        <v>769332</v>
      </c>
      <c r="Z58" s="197">
        <v>757724</v>
      </c>
      <c r="AA58" s="197">
        <v>731912</v>
      </c>
      <c r="AB58" s="197">
        <v>749617</v>
      </c>
    </row>
    <row r="59" spans="1:28">
      <c r="A59" s="1" t="s">
        <v>275</v>
      </c>
      <c r="B59" s="6" t="s">
        <v>207</v>
      </c>
      <c r="C59" s="6" t="s">
        <v>207</v>
      </c>
      <c r="D59" s="7">
        <v>4057093</v>
      </c>
      <c r="E59" s="197">
        <v>139917</v>
      </c>
      <c r="F59" s="197">
        <v>138601</v>
      </c>
      <c r="G59" s="197">
        <v>137208</v>
      </c>
      <c r="H59" s="197">
        <v>136118</v>
      </c>
      <c r="I59" s="197">
        <v>135077</v>
      </c>
      <c r="J59" s="197">
        <v>131857</v>
      </c>
      <c r="K59" s="197">
        <v>132603</v>
      </c>
      <c r="L59" s="197">
        <v>131494</v>
      </c>
      <c r="M59" s="197">
        <v>130711</v>
      </c>
      <c r="N59" s="197">
        <v>129871</v>
      </c>
      <c r="O59" s="197">
        <v>129054</v>
      </c>
      <c r="P59" s="197">
        <v>128301</v>
      </c>
      <c r="Q59" s="197">
        <v>127654</v>
      </c>
      <c r="R59" s="197">
        <v>126553</v>
      </c>
      <c r="S59" s="197">
        <v>125545</v>
      </c>
      <c r="T59" s="197">
        <v>125223</v>
      </c>
      <c r="U59" s="197">
        <v>124098</v>
      </c>
      <c r="V59" s="197">
        <v>123577</v>
      </c>
      <c r="W59" s="197">
        <v>122101</v>
      </c>
      <c r="X59" s="197">
        <v>121182</v>
      </c>
      <c r="Y59" s="197">
        <v>119694</v>
      </c>
      <c r="Z59" s="197">
        <v>118698</v>
      </c>
      <c r="AA59" s="197">
        <v>114015</v>
      </c>
      <c r="AB59" s="197">
        <v>115758</v>
      </c>
    </row>
    <row r="60" spans="1:28">
      <c r="B60" s="6" t="s">
        <v>208</v>
      </c>
      <c r="C60" s="6" t="s">
        <v>208</v>
      </c>
      <c r="D60" s="7">
        <v>4004218</v>
      </c>
      <c r="E60" s="197">
        <v>4564044</v>
      </c>
      <c r="F60" s="197" t="s">
        <v>175</v>
      </c>
      <c r="G60" s="197">
        <v>4517926</v>
      </c>
      <c r="H60" s="197">
        <v>4472557</v>
      </c>
      <c r="I60" s="197">
        <v>4494485</v>
      </c>
      <c r="J60" s="197">
        <v>4453482</v>
      </c>
      <c r="K60" s="197">
        <v>4450370</v>
      </c>
      <c r="L60" s="197">
        <v>4395852</v>
      </c>
      <c r="M60" s="197">
        <v>4409573</v>
      </c>
      <c r="N60" s="197">
        <v>4371553</v>
      </c>
      <c r="O60" s="197">
        <v>4346996</v>
      </c>
      <c r="P60" s="197">
        <v>4305935</v>
      </c>
      <c r="Q60" s="197">
        <v>4309570</v>
      </c>
      <c r="R60" s="197">
        <v>4356537</v>
      </c>
      <c r="S60" s="197">
        <v>4305091</v>
      </c>
      <c r="T60" s="197">
        <v>4251192</v>
      </c>
      <c r="U60" s="197">
        <v>4128646</v>
      </c>
      <c r="V60" s="197">
        <v>4030373</v>
      </c>
      <c r="W60" s="197">
        <v>3954719</v>
      </c>
      <c r="X60" s="197">
        <v>3938727</v>
      </c>
      <c r="Y60" s="197">
        <v>3907394</v>
      </c>
      <c r="Z60" s="197">
        <v>3746752</v>
      </c>
      <c r="AA60" s="197">
        <v>3798199</v>
      </c>
      <c r="AB60" s="197">
        <v>3737058</v>
      </c>
    </row>
    <row r="61" spans="1:28">
      <c r="A61" s="1" t="s">
        <v>275</v>
      </c>
      <c r="B61" s="6" t="s">
        <v>297</v>
      </c>
      <c r="C61" s="6" t="s">
        <v>298</v>
      </c>
      <c r="D61" s="7">
        <v>4062222</v>
      </c>
      <c r="E61" s="197">
        <v>540428</v>
      </c>
      <c r="F61" s="197">
        <v>534968</v>
      </c>
      <c r="G61" s="197">
        <v>529814</v>
      </c>
      <c r="H61" s="197">
        <v>522124</v>
      </c>
      <c r="I61" s="197">
        <v>519470</v>
      </c>
      <c r="J61" s="197">
        <v>514158</v>
      </c>
      <c r="K61" s="197">
        <v>508729</v>
      </c>
      <c r="L61" s="197">
        <v>503824</v>
      </c>
      <c r="M61" s="197">
        <v>499343</v>
      </c>
      <c r="N61" s="197">
        <v>495440</v>
      </c>
      <c r="O61" s="197">
        <v>492060</v>
      </c>
      <c r="P61" s="197">
        <v>488588</v>
      </c>
      <c r="Q61" s="197">
        <v>486057</v>
      </c>
      <c r="R61" s="197">
        <v>483457</v>
      </c>
      <c r="S61" s="197">
        <v>478105</v>
      </c>
      <c r="T61" s="197">
        <v>475558</v>
      </c>
      <c r="U61" s="197">
        <v>471988</v>
      </c>
      <c r="V61" s="197">
        <v>464619</v>
      </c>
      <c r="W61" s="197">
        <v>456725</v>
      </c>
      <c r="X61" s="197">
        <v>449108</v>
      </c>
      <c r="Y61" s="197">
        <v>438470</v>
      </c>
      <c r="Z61" s="197">
        <v>430862</v>
      </c>
      <c r="AA61" s="197">
        <v>425682</v>
      </c>
      <c r="AB61" s="197">
        <v>416087</v>
      </c>
    </row>
    <row r="62" spans="1:28">
      <c r="B62" s="6" t="s">
        <v>210</v>
      </c>
      <c r="C62" s="6" t="s">
        <v>211</v>
      </c>
      <c r="D62" s="7">
        <v>4057135</v>
      </c>
      <c r="E62" s="197">
        <v>877348</v>
      </c>
      <c r="F62" s="197">
        <v>871024</v>
      </c>
      <c r="G62" s="197">
        <v>866093</v>
      </c>
      <c r="H62" s="197">
        <v>863314</v>
      </c>
      <c r="I62" s="197">
        <v>846660</v>
      </c>
      <c r="J62" s="197">
        <v>845561</v>
      </c>
      <c r="K62" s="197">
        <v>834929</v>
      </c>
      <c r="L62" s="197">
        <v>831069</v>
      </c>
      <c r="M62" s="197">
        <v>830829</v>
      </c>
      <c r="N62" s="197">
        <v>830791</v>
      </c>
      <c r="O62" s="197">
        <v>827576</v>
      </c>
      <c r="P62" s="197">
        <v>819154</v>
      </c>
      <c r="Q62" s="197">
        <v>821902</v>
      </c>
      <c r="R62" s="197">
        <v>829776</v>
      </c>
      <c r="S62" s="197">
        <v>830184</v>
      </c>
      <c r="T62" s="197">
        <v>818012</v>
      </c>
      <c r="U62" s="197">
        <v>816428</v>
      </c>
      <c r="V62" s="197">
        <v>812705</v>
      </c>
      <c r="W62" s="197">
        <v>818730</v>
      </c>
      <c r="X62" s="197">
        <v>837212</v>
      </c>
      <c r="Y62" s="197">
        <v>845637</v>
      </c>
      <c r="Z62" s="197">
        <v>840561</v>
      </c>
      <c r="AA62" s="197">
        <v>836928</v>
      </c>
      <c r="AB62" s="197">
        <v>832509</v>
      </c>
    </row>
    <row r="63" spans="1:28">
      <c r="B63" s="6" t="s">
        <v>212</v>
      </c>
      <c r="C63" s="6" t="s">
        <v>212</v>
      </c>
      <c r="D63" s="7">
        <v>4063341</v>
      </c>
      <c r="E63" s="197">
        <v>436564</v>
      </c>
      <c r="F63" s="197">
        <v>416346</v>
      </c>
      <c r="G63" s="197">
        <v>398492</v>
      </c>
      <c r="H63" s="197">
        <v>386352</v>
      </c>
      <c r="I63" s="197">
        <v>373615</v>
      </c>
      <c r="J63" s="197">
        <v>370273</v>
      </c>
      <c r="K63" s="197">
        <v>361178</v>
      </c>
      <c r="L63" s="197">
        <v>353903</v>
      </c>
      <c r="M63" s="197">
        <v>347367</v>
      </c>
      <c r="N63" s="197">
        <v>342909</v>
      </c>
      <c r="O63" s="197">
        <v>338840</v>
      </c>
      <c r="P63" s="197">
        <v>336019</v>
      </c>
      <c r="Q63" s="197">
        <v>334447</v>
      </c>
      <c r="R63" s="197">
        <v>335137</v>
      </c>
      <c r="S63" s="197">
        <v>334343</v>
      </c>
      <c r="T63" s="197">
        <v>328082</v>
      </c>
      <c r="U63" s="197">
        <v>318404</v>
      </c>
      <c r="V63" s="197">
        <v>307395</v>
      </c>
      <c r="W63" s="197">
        <v>291911</v>
      </c>
      <c r="X63" s="197">
        <v>277160</v>
      </c>
      <c r="Y63" s="197">
        <v>266326</v>
      </c>
      <c r="Z63" s="197">
        <v>255640</v>
      </c>
      <c r="AA63" s="197">
        <v>246789</v>
      </c>
      <c r="AB63" s="197">
        <v>237335</v>
      </c>
    </row>
    <row r="64" spans="1:28">
      <c r="A64" s="1" t="s">
        <v>275</v>
      </c>
      <c r="B64" s="6" t="s">
        <v>299</v>
      </c>
      <c r="C64" s="6" t="s">
        <v>299</v>
      </c>
      <c r="D64" s="7">
        <v>4083575</v>
      </c>
      <c r="E64" s="197">
        <v>545067</v>
      </c>
      <c r="F64" s="197">
        <v>540293</v>
      </c>
      <c r="G64" s="197">
        <v>529964</v>
      </c>
      <c r="H64" s="197">
        <v>519260</v>
      </c>
      <c r="I64" s="197">
        <v>504541</v>
      </c>
      <c r="J64" s="197">
        <v>502666</v>
      </c>
      <c r="K64" s="197">
        <v>503634</v>
      </c>
      <c r="L64" s="197">
        <v>501305</v>
      </c>
      <c r="M64" s="197">
        <v>506467</v>
      </c>
      <c r="N64" s="197">
        <v>508069</v>
      </c>
      <c r="O64" s="197">
        <v>507874</v>
      </c>
      <c r="P64" s="197">
        <v>508393</v>
      </c>
      <c r="Q64" s="197">
        <v>510086</v>
      </c>
      <c r="R64" s="197">
        <v>510188</v>
      </c>
      <c r="S64" s="197">
        <v>510236</v>
      </c>
      <c r="T64" s="197">
        <v>502804</v>
      </c>
      <c r="U64" s="197">
        <v>506431</v>
      </c>
      <c r="V64" s="197">
        <v>514067</v>
      </c>
      <c r="W64" s="197">
        <v>515020</v>
      </c>
      <c r="X64" s="197">
        <v>520899</v>
      </c>
      <c r="Y64" s="197">
        <v>524892</v>
      </c>
      <c r="Z64" s="197">
        <v>519567</v>
      </c>
      <c r="AA64" s="197">
        <v>523730</v>
      </c>
      <c r="AB64" s="197">
        <v>514968</v>
      </c>
    </row>
    <row r="65" spans="1:28">
      <c r="B65" s="6" t="s">
        <v>300</v>
      </c>
      <c r="C65" s="6" t="s">
        <v>300</v>
      </c>
      <c r="D65" s="7">
        <v>4062303</v>
      </c>
      <c r="E65" s="197">
        <v>1277</v>
      </c>
      <c r="F65" s="197">
        <v>1253</v>
      </c>
      <c r="G65" s="197">
        <v>1244</v>
      </c>
      <c r="H65" s="197">
        <v>1230</v>
      </c>
      <c r="I65" s="197">
        <v>1215</v>
      </c>
      <c r="J65" s="197">
        <v>1217</v>
      </c>
      <c r="K65" s="197">
        <v>1202</v>
      </c>
      <c r="L65" s="197">
        <v>1200</v>
      </c>
      <c r="M65" s="197">
        <v>1197</v>
      </c>
      <c r="N65" s="197">
        <v>1192</v>
      </c>
      <c r="O65" s="197">
        <v>1195</v>
      </c>
      <c r="P65" s="197">
        <v>1193</v>
      </c>
      <c r="Q65" s="197">
        <v>1190</v>
      </c>
      <c r="R65" s="197">
        <v>1182</v>
      </c>
      <c r="S65" s="197">
        <v>1169</v>
      </c>
      <c r="T65" s="197">
        <v>1166</v>
      </c>
      <c r="U65" s="197">
        <v>1154</v>
      </c>
      <c r="V65" s="197">
        <v>1152</v>
      </c>
      <c r="W65" s="197">
        <v>1146</v>
      </c>
      <c r="X65" s="197">
        <v>1134</v>
      </c>
      <c r="Y65" s="197">
        <v>1131</v>
      </c>
      <c r="Z65" s="197">
        <v>1034</v>
      </c>
      <c r="AA65" s="197">
        <v>1035</v>
      </c>
      <c r="AB65" s="197">
        <v>1025</v>
      </c>
    </row>
    <row r="66" spans="1:28">
      <c r="B66" s="6" t="s">
        <v>301</v>
      </c>
      <c r="C66" s="6" t="s">
        <v>301</v>
      </c>
      <c r="D66" s="7">
        <v>4083581</v>
      </c>
      <c r="E66" s="197">
        <v>8782</v>
      </c>
      <c r="F66" s="197">
        <v>7726</v>
      </c>
      <c r="G66" s="197">
        <v>7676</v>
      </c>
      <c r="H66" s="197">
        <v>7615</v>
      </c>
      <c r="I66" s="197">
        <v>7456</v>
      </c>
      <c r="J66" s="197">
        <v>7448</v>
      </c>
      <c r="K66" s="197">
        <v>7353</v>
      </c>
      <c r="L66" s="197">
        <v>7392</v>
      </c>
      <c r="M66" s="197">
        <v>7274</v>
      </c>
      <c r="N66" s="197">
        <v>7115</v>
      </c>
      <c r="O66" s="197">
        <v>7109</v>
      </c>
      <c r="P66" s="197">
        <v>7140</v>
      </c>
      <c r="Q66" s="197">
        <v>7126</v>
      </c>
      <c r="R66" s="197">
        <v>7103</v>
      </c>
      <c r="S66" s="197">
        <v>7150</v>
      </c>
      <c r="T66" s="197">
        <v>7155</v>
      </c>
      <c r="U66" s="197">
        <v>7166</v>
      </c>
      <c r="V66" s="197">
        <v>7116</v>
      </c>
      <c r="W66" s="197">
        <v>6989</v>
      </c>
      <c r="X66" s="197">
        <v>6944</v>
      </c>
      <c r="Y66" s="197">
        <v>6884</v>
      </c>
      <c r="Z66" s="197">
        <v>6805</v>
      </c>
      <c r="AA66" s="197">
        <v>6652</v>
      </c>
      <c r="AB66" s="197">
        <v>6515</v>
      </c>
    </row>
    <row r="67" spans="1:28">
      <c r="B67" s="6" t="s">
        <v>214</v>
      </c>
      <c r="C67" s="6" t="s">
        <v>214</v>
      </c>
      <c r="D67" s="7">
        <v>4057139</v>
      </c>
      <c r="E67" s="197">
        <v>558453</v>
      </c>
      <c r="F67" s="197" t="s">
        <v>175</v>
      </c>
      <c r="G67" s="197">
        <v>582332</v>
      </c>
      <c r="H67" s="197">
        <v>567655</v>
      </c>
      <c r="I67" s="197">
        <v>552993</v>
      </c>
      <c r="J67" s="197">
        <v>539097</v>
      </c>
      <c r="K67" s="197">
        <v>524835</v>
      </c>
      <c r="L67" s="197">
        <v>511265</v>
      </c>
      <c r="M67" s="197">
        <v>499238</v>
      </c>
      <c r="N67" s="197">
        <v>488829</v>
      </c>
      <c r="O67" s="197">
        <v>480280</v>
      </c>
      <c r="P67" s="197">
        <v>472605</v>
      </c>
      <c r="Q67" s="197">
        <v>465796</v>
      </c>
      <c r="R67" s="197">
        <v>458407</v>
      </c>
      <c r="S67" s="197">
        <v>444368</v>
      </c>
      <c r="T67" s="197">
        <v>427426</v>
      </c>
      <c r="U67" s="197">
        <v>407973</v>
      </c>
      <c r="V67" s="197">
        <v>390824</v>
      </c>
      <c r="W67" s="197">
        <v>378511</v>
      </c>
      <c r="X67" s="197">
        <v>367177</v>
      </c>
      <c r="Y67" s="197">
        <v>365478</v>
      </c>
      <c r="Z67" s="197">
        <v>357736</v>
      </c>
      <c r="AA67" s="197">
        <v>342398</v>
      </c>
      <c r="AB67" s="197">
        <v>325844</v>
      </c>
    </row>
    <row r="68" spans="1:28">
      <c r="A68" s="1" t="s">
        <v>275</v>
      </c>
      <c r="B68" s="6" t="s">
        <v>216</v>
      </c>
      <c r="C68" s="6" t="s">
        <v>216</v>
      </c>
      <c r="D68" s="7">
        <v>4057095</v>
      </c>
      <c r="E68" s="197" t="s">
        <v>175</v>
      </c>
      <c r="F68" s="197">
        <v>1865395</v>
      </c>
      <c r="G68" s="197">
        <v>1857011</v>
      </c>
      <c r="H68" s="197">
        <v>1846163</v>
      </c>
      <c r="I68" s="197">
        <v>1831700</v>
      </c>
      <c r="J68" s="197">
        <v>1816251</v>
      </c>
      <c r="K68" s="197">
        <v>1806970</v>
      </c>
      <c r="L68" s="197">
        <v>1797898</v>
      </c>
      <c r="M68" s="197">
        <v>1790212</v>
      </c>
      <c r="N68" s="197">
        <v>1785245</v>
      </c>
      <c r="O68" s="197">
        <v>1778850</v>
      </c>
      <c r="P68" s="197">
        <v>1778336</v>
      </c>
      <c r="Q68" s="197">
        <v>1774042</v>
      </c>
      <c r="R68" s="197">
        <v>1742016</v>
      </c>
      <c r="S68" s="197">
        <v>1732218</v>
      </c>
      <c r="T68" s="197">
        <v>1719986</v>
      </c>
      <c r="U68" s="197">
        <v>1709399</v>
      </c>
      <c r="V68" s="197">
        <v>1693048</v>
      </c>
      <c r="W68" s="197">
        <v>1673702</v>
      </c>
      <c r="X68" s="197">
        <v>1665668</v>
      </c>
      <c r="Y68" s="197">
        <v>1679196</v>
      </c>
      <c r="Z68" s="197">
        <v>1621128</v>
      </c>
      <c r="AA68" s="197">
        <v>1569893</v>
      </c>
      <c r="AB68" s="197">
        <v>1593570</v>
      </c>
    </row>
    <row r="69" spans="1:28">
      <c r="B69" s="6" t="s">
        <v>217</v>
      </c>
      <c r="C69" s="6" t="s">
        <v>217</v>
      </c>
      <c r="D69" s="7">
        <v>4062485</v>
      </c>
      <c r="E69" s="197">
        <v>860438</v>
      </c>
      <c r="F69" s="197">
        <v>850720</v>
      </c>
      <c r="G69" s="197">
        <v>841427</v>
      </c>
      <c r="H69" s="197">
        <v>830781</v>
      </c>
      <c r="I69" s="197">
        <v>819336</v>
      </c>
      <c r="J69" s="197">
        <v>807586</v>
      </c>
      <c r="K69" s="197">
        <v>795013</v>
      </c>
      <c r="L69" s="197">
        <v>781612</v>
      </c>
      <c r="M69" s="197">
        <v>773385</v>
      </c>
      <c r="N69" s="197">
        <v>763655</v>
      </c>
      <c r="O69" s="197">
        <v>756711</v>
      </c>
      <c r="P69" s="197">
        <v>750811</v>
      </c>
      <c r="Q69" s="197">
        <v>746532</v>
      </c>
      <c r="R69" s="197">
        <v>737851</v>
      </c>
      <c r="S69" s="197">
        <v>722003</v>
      </c>
      <c r="T69" s="197">
        <v>703249</v>
      </c>
      <c r="U69" s="197">
        <v>682783</v>
      </c>
      <c r="V69" s="197">
        <v>661739</v>
      </c>
      <c r="W69" s="197">
        <v>633678</v>
      </c>
      <c r="X69" s="197">
        <v>613540</v>
      </c>
      <c r="Y69" s="197">
        <v>597845</v>
      </c>
      <c r="Z69" s="197">
        <v>580292</v>
      </c>
      <c r="AA69" s="197">
        <v>556703</v>
      </c>
      <c r="AB69" s="197">
        <v>532616</v>
      </c>
    </row>
    <row r="70" spans="1:28">
      <c r="B70" s="6" t="s">
        <v>218</v>
      </c>
      <c r="C70" s="6" t="s">
        <v>218</v>
      </c>
      <c r="D70" s="7">
        <v>4057140</v>
      </c>
      <c r="E70" s="197" t="s">
        <v>175</v>
      </c>
      <c r="F70" s="197">
        <v>1100072</v>
      </c>
      <c r="G70" s="197">
        <v>1072685</v>
      </c>
      <c r="H70" s="197">
        <v>1046087</v>
      </c>
      <c r="I70" s="197">
        <v>990924</v>
      </c>
      <c r="J70" s="197">
        <v>999183</v>
      </c>
      <c r="K70" s="197">
        <v>977895</v>
      </c>
      <c r="L70" s="197">
        <v>953796</v>
      </c>
      <c r="M70" s="197">
        <v>938410</v>
      </c>
      <c r="N70" s="197">
        <v>924311</v>
      </c>
      <c r="O70" s="197">
        <v>913437</v>
      </c>
      <c r="P70" s="197">
        <v>903876</v>
      </c>
      <c r="Q70" s="197">
        <v>891349</v>
      </c>
      <c r="R70" s="197">
        <v>881572</v>
      </c>
      <c r="S70" s="197">
        <v>862784</v>
      </c>
      <c r="T70" s="197">
        <v>836193</v>
      </c>
      <c r="U70" s="197">
        <v>824463</v>
      </c>
      <c r="V70" s="197">
        <v>777555</v>
      </c>
      <c r="W70" s="197">
        <v>755075</v>
      </c>
      <c r="X70" s="197">
        <v>735847</v>
      </c>
      <c r="Y70" s="197">
        <v>732756</v>
      </c>
      <c r="Z70" s="197">
        <v>706007</v>
      </c>
      <c r="AA70" s="197">
        <v>671274</v>
      </c>
      <c r="AB70" s="197">
        <v>648444</v>
      </c>
    </row>
    <row r="71" spans="1:28">
      <c r="A71" s="1" t="s">
        <v>275</v>
      </c>
      <c r="B71" s="6" t="s">
        <v>220</v>
      </c>
      <c r="C71" s="6" t="s">
        <v>221</v>
      </c>
      <c r="D71" s="7">
        <v>4057096</v>
      </c>
      <c r="E71" s="197">
        <v>321650</v>
      </c>
      <c r="F71" s="197">
        <v>319738</v>
      </c>
      <c r="G71" s="197">
        <v>317662</v>
      </c>
      <c r="H71" s="197">
        <v>322285</v>
      </c>
      <c r="I71" s="197">
        <v>313043</v>
      </c>
      <c r="J71" s="197">
        <v>310620</v>
      </c>
      <c r="K71" s="197">
        <v>308718</v>
      </c>
      <c r="L71" s="197">
        <v>307217</v>
      </c>
      <c r="M71" s="197">
        <v>305780</v>
      </c>
      <c r="N71" s="197">
        <v>304497</v>
      </c>
      <c r="O71" s="197">
        <v>303038</v>
      </c>
      <c r="P71" s="197">
        <v>301290</v>
      </c>
      <c r="Q71" s="197">
        <v>299130</v>
      </c>
      <c r="R71" s="197">
        <v>297777</v>
      </c>
      <c r="S71" s="197">
        <v>296471</v>
      </c>
      <c r="T71" s="197">
        <v>295374</v>
      </c>
      <c r="U71" s="197">
        <v>294647</v>
      </c>
      <c r="V71" s="197">
        <v>293334</v>
      </c>
      <c r="W71" s="197">
        <v>291686</v>
      </c>
      <c r="X71" s="197">
        <v>289860</v>
      </c>
      <c r="Y71" s="197">
        <v>287688</v>
      </c>
      <c r="Z71" s="197">
        <v>285943</v>
      </c>
      <c r="AA71" s="197">
        <v>287806</v>
      </c>
      <c r="AB71" s="197">
        <v>288204</v>
      </c>
    </row>
    <row r="72" spans="1:28">
      <c r="B72" s="6" t="s">
        <v>302</v>
      </c>
      <c r="C72" s="6" t="s">
        <v>302</v>
      </c>
      <c r="D72" s="7">
        <v>4057097</v>
      </c>
      <c r="E72" s="197" t="s">
        <v>175</v>
      </c>
      <c r="F72" s="197" t="s">
        <v>175</v>
      </c>
      <c r="G72" s="197">
        <v>891930</v>
      </c>
      <c r="H72" s="197">
        <v>886026</v>
      </c>
      <c r="I72" s="197">
        <v>880387</v>
      </c>
      <c r="J72" s="197">
        <v>875462</v>
      </c>
      <c r="K72" s="197">
        <v>970120</v>
      </c>
      <c r="L72" s="197">
        <v>865899</v>
      </c>
      <c r="M72" s="197">
        <v>861987</v>
      </c>
      <c r="N72" s="197">
        <v>856816</v>
      </c>
      <c r="O72" s="197">
        <v>852135</v>
      </c>
      <c r="P72" s="197">
        <v>847306</v>
      </c>
      <c r="Q72" s="197">
        <v>842444</v>
      </c>
      <c r="R72" s="197">
        <v>838857</v>
      </c>
      <c r="S72" s="197">
        <v>835028</v>
      </c>
      <c r="T72" s="197">
        <v>828089</v>
      </c>
      <c r="U72" s="197">
        <v>818117</v>
      </c>
      <c r="V72" s="197">
        <v>805772</v>
      </c>
      <c r="W72" s="197">
        <v>794868</v>
      </c>
      <c r="X72" s="197">
        <v>782530</v>
      </c>
      <c r="Y72" s="197">
        <v>768911</v>
      </c>
      <c r="Z72" s="197">
        <v>756215</v>
      </c>
      <c r="AA72" s="197">
        <v>743432</v>
      </c>
      <c r="AB72" s="197">
        <v>729508</v>
      </c>
    </row>
    <row r="73" spans="1:28">
      <c r="B73" s="6" t="s">
        <v>303</v>
      </c>
      <c r="C73" s="6" t="s">
        <v>303</v>
      </c>
      <c r="D73" s="7">
        <v>4057098</v>
      </c>
      <c r="E73" s="197" t="s">
        <v>175</v>
      </c>
      <c r="F73" s="197" t="s">
        <v>175</v>
      </c>
      <c r="G73" s="197">
        <v>170102</v>
      </c>
      <c r="H73" s="197">
        <v>166539</v>
      </c>
      <c r="I73" s="197">
        <v>163591</v>
      </c>
      <c r="J73" s="197">
        <v>161151</v>
      </c>
      <c r="K73" s="197">
        <v>158199</v>
      </c>
      <c r="L73" s="197">
        <v>155734</v>
      </c>
      <c r="M73" s="197">
        <v>153708</v>
      </c>
      <c r="N73" s="197">
        <v>152530</v>
      </c>
      <c r="O73" s="197">
        <v>151597</v>
      </c>
      <c r="P73" s="197">
        <v>150623</v>
      </c>
      <c r="Q73" s="197">
        <v>149351</v>
      </c>
      <c r="R73" s="197">
        <v>148777</v>
      </c>
      <c r="S73" s="197">
        <v>147025</v>
      </c>
      <c r="T73" s="197">
        <v>142754</v>
      </c>
      <c r="U73" s="197">
        <v>136892</v>
      </c>
      <c r="V73" s="197">
        <v>131272</v>
      </c>
      <c r="W73" s="197">
        <v>126249</v>
      </c>
      <c r="X73" s="197">
        <v>121972</v>
      </c>
      <c r="Y73" s="197">
        <v>116996</v>
      </c>
      <c r="Z73" s="197">
        <v>111945</v>
      </c>
      <c r="AA73" s="197">
        <v>106974</v>
      </c>
      <c r="AB73" s="197">
        <v>102589</v>
      </c>
    </row>
    <row r="74" spans="1:28">
      <c r="A74" s="1" t="s">
        <v>275</v>
      </c>
      <c r="B74" s="6" t="s">
        <v>222</v>
      </c>
      <c r="C74" s="6" t="s">
        <v>222</v>
      </c>
      <c r="D74" s="7">
        <v>4063023</v>
      </c>
      <c r="E74" s="197">
        <v>408237</v>
      </c>
      <c r="F74" s="197" t="s">
        <v>175</v>
      </c>
      <c r="G74" s="197">
        <v>393721</v>
      </c>
      <c r="H74" s="197">
        <v>391983</v>
      </c>
      <c r="I74" s="197">
        <v>380763</v>
      </c>
      <c r="J74" s="197">
        <v>375299</v>
      </c>
      <c r="K74" s="197">
        <v>369704</v>
      </c>
      <c r="L74" s="197">
        <v>363973</v>
      </c>
      <c r="M74" s="197">
        <v>359710</v>
      </c>
      <c r="N74" s="197">
        <v>354445</v>
      </c>
      <c r="O74" s="197">
        <v>348856</v>
      </c>
      <c r="P74" s="197">
        <v>345083</v>
      </c>
      <c r="Q74" s="197">
        <v>341258</v>
      </c>
      <c r="R74" s="197">
        <v>337134</v>
      </c>
      <c r="S74" s="197">
        <v>332506</v>
      </c>
      <c r="T74" s="197">
        <v>351573</v>
      </c>
      <c r="U74" s="197">
        <v>334010</v>
      </c>
      <c r="V74" s="197">
        <v>405376</v>
      </c>
      <c r="W74" s="197">
        <v>414506</v>
      </c>
      <c r="X74" s="197">
        <v>296378</v>
      </c>
      <c r="Y74" s="197">
        <v>330278</v>
      </c>
      <c r="Z74" s="197">
        <v>329912</v>
      </c>
      <c r="AA74" s="197">
        <v>270524</v>
      </c>
      <c r="AB74" s="197">
        <v>274696</v>
      </c>
    </row>
    <row r="75" spans="1:28">
      <c r="B75" s="6" t="s">
        <v>223</v>
      </c>
      <c r="C75" s="6" t="s">
        <v>223</v>
      </c>
      <c r="D75" s="7">
        <v>4057146</v>
      </c>
      <c r="E75" s="197">
        <v>6096866</v>
      </c>
      <c r="F75" s="197" t="s">
        <v>175</v>
      </c>
      <c r="G75" s="197">
        <v>5812235</v>
      </c>
      <c r="H75" s="197">
        <v>5777076</v>
      </c>
      <c r="I75" s="197">
        <v>5744043</v>
      </c>
      <c r="J75" s="197">
        <v>5701384</v>
      </c>
      <c r="K75" s="197">
        <v>5667381</v>
      </c>
      <c r="L75" s="197">
        <v>5638630</v>
      </c>
      <c r="M75" s="197">
        <v>5606346</v>
      </c>
      <c r="N75" s="197">
        <v>5576584</v>
      </c>
      <c r="O75" s="197">
        <v>5549399</v>
      </c>
      <c r="P75" s="197">
        <v>5516867</v>
      </c>
      <c r="Q75" s="197">
        <v>5494958</v>
      </c>
      <c r="R75" s="197">
        <v>5467401</v>
      </c>
      <c r="S75" s="197">
        <v>5445996</v>
      </c>
      <c r="T75" s="197">
        <v>5392165</v>
      </c>
      <c r="U75" s="197">
        <v>5328609</v>
      </c>
      <c r="V75" s="197">
        <v>5266356</v>
      </c>
      <c r="W75" s="197">
        <v>5198353</v>
      </c>
      <c r="X75" s="197">
        <v>5143877</v>
      </c>
      <c r="Y75" s="197">
        <v>5064323</v>
      </c>
      <c r="Z75" s="197">
        <v>5008662</v>
      </c>
      <c r="AA75" s="197">
        <v>4939388</v>
      </c>
      <c r="AB75" s="197">
        <v>4864772</v>
      </c>
    </row>
    <row r="76" spans="1:28">
      <c r="A76" s="1" t="s">
        <v>275</v>
      </c>
      <c r="B76" s="6" t="s">
        <v>224</v>
      </c>
      <c r="C76" s="6" t="s">
        <v>225</v>
      </c>
      <c r="D76" s="7">
        <v>4063060</v>
      </c>
      <c r="E76" s="197">
        <v>206935</v>
      </c>
      <c r="F76" s="197">
        <v>204121</v>
      </c>
      <c r="G76" s="197">
        <v>200329</v>
      </c>
      <c r="H76" s="197">
        <v>198647</v>
      </c>
      <c r="I76" s="197">
        <v>196142</v>
      </c>
      <c r="J76" s="197">
        <v>193817</v>
      </c>
      <c r="K76" s="197">
        <v>189956</v>
      </c>
      <c r="L76" s="197">
        <v>187354</v>
      </c>
      <c r="M76" s="197">
        <v>184472</v>
      </c>
      <c r="N76" s="197">
        <v>180709</v>
      </c>
      <c r="O76" s="197">
        <v>177259</v>
      </c>
      <c r="P76" s="197">
        <v>175592</v>
      </c>
      <c r="Q76" s="197">
        <v>175720</v>
      </c>
      <c r="R76" s="197">
        <v>175024</v>
      </c>
      <c r="S76" s="197">
        <v>174586</v>
      </c>
      <c r="T76" s="197">
        <v>174160</v>
      </c>
      <c r="U76" s="197">
        <v>173639</v>
      </c>
      <c r="V76" s="197">
        <v>170817</v>
      </c>
      <c r="W76" s="197">
        <v>170057</v>
      </c>
      <c r="X76" s="197">
        <v>169319</v>
      </c>
      <c r="Y76" s="197">
        <v>166886</v>
      </c>
      <c r="Z76" s="197">
        <v>166295</v>
      </c>
      <c r="AA76" s="197">
        <v>160630</v>
      </c>
      <c r="AB76" s="197">
        <v>157317</v>
      </c>
    </row>
    <row r="77" spans="1:28">
      <c r="B77" s="6" t="s">
        <v>226</v>
      </c>
      <c r="C77" s="6" t="s">
        <v>226</v>
      </c>
      <c r="D77" s="7">
        <v>4057100</v>
      </c>
      <c r="E77" s="197">
        <v>114671</v>
      </c>
      <c r="F77" s="197">
        <v>114125</v>
      </c>
      <c r="G77" s="197">
        <v>113193</v>
      </c>
      <c r="H77" s="197">
        <v>112776</v>
      </c>
      <c r="I77" s="197">
        <v>112292</v>
      </c>
      <c r="J77" s="197">
        <v>111966</v>
      </c>
      <c r="K77" s="197">
        <v>111281</v>
      </c>
      <c r="L77" s="197">
        <v>111159</v>
      </c>
      <c r="M77" s="197">
        <v>110947</v>
      </c>
      <c r="N77" s="197">
        <v>110512</v>
      </c>
      <c r="O77" s="197">
        <v>110341</v>
      </c>
      <c r="P77" s="197">
        <v>110652</v>
      </c>
      <c r="Q77" s="197">
        <v>110693</v>
      </c>
      <c r="R77" s="197">
        <v>111139</v>
      </c>
      <c r="S77" s="197">
        <v>111718</v>
      </c>
      <c r="T77" s="197">
        <v>111099</v>
      </c>
      <c r="U77" s="197">
        <v>111253</v>
      </c>
      <c r="V77" s="197">
        <v>110737</v>
      </c>
      <c r="W77" s="197">
        <v>110360</v>
      </c>
      <c r="X77" s="197">
        <v>110380</v>
      </c>
      <c r="Y77" s="197">
        <v>109380</v>
      </c>
      <c r="Z77" s="197">
        <v>109459</v>
      </c>
      <c r="AA77" s="197">
        <v>107987</v>
      </c>
      <c r="AB77" s="197">
        <v>106897</v>
      </c>
    </row>
    <row r="78" spans="1:28">
      <c r="B78" s="6" t="s">
        <v>304</v>
      </c>
      <c r="C78" s="6" t="s">
        <v>304</v>
      </c>
      <c r="D78" s="7">
        <v>4064035</v>
      </c>
      <c r="E78" s="197" t="s">
        <v>175</v>
      </c>
      <c r="F78" s="197" t="s">
        <v>175</v>
      </c>
      <c r="G78" s="197">
        <v>18205</v>
      </c>
      <c r="H78" s="197">
        <v>18568</v>
      </c>
      <c r="I78" s="197">
        <v>18441</v>
      </c>
      <c r="J78" s="197">
        <v>18577</v>
      </c>
      <c r="K78" s="197">
        <v>18796</v>
      </c>
      <c r="L78" s="197">
        <v>18951</v>
      </c>
      <c r="M78" s="197">
        <v>19047</v>
      </c>
      <c r="N78" s="197">
        <v>19260</v>
      </c>
      <c r="O78" s="197">
        <v>19434</v>
      </c>
      <c r="P78" s="197">
        <v>19350</v>
      </c>
      <c r="Q78" s="197">
        <v>19545</v>
      </c>
      <c r="R78" s="197">
        <v>19968</v>
      </c>
      <c r="S78" s="197">
        <v>19967</v>
      </c>
      <c r="T78" s="197">
        <v>20347</v>
      </c>
      <c r="U78" s="197">
        <v>20674</v>
      </c>
      <c r="V78" s="197">
        <v>20117</v>
      </c>
      <c r="W78" s="197">
        <v>20977</v>
      </c>
      <c r="X78" s="197">
        <v>21302</v>
      </c>
      <c r="Y78" s="197">
        <v>21031</v>
      </c>
      <c r="Z78" s="197">
        <v>21620</v>
      </c>
      <c r="AA78" s="197">
        <v>21777</v>
      </c>
      <c r="AB78" s="197">
        <v>21523</v>
      </c>
    </row>
    <row r="79" spans="1:28">
      <c r="B79" s="6" t="s">
        <v>305</v>
      </c>
      <c r="C79" s="6" t="s">
        <v>305</v>
      </c>
      <c r="D79" s="7">
        <v>4060957</v>
      </c>
      <c r="E79" s="197" t="s">
        <v>175</v>
      </c>
      <c r="F79" s="197" t="s">
        <v>175</v>
      </c>
      <c r="G79" s="197">
        <v>1176466</v>
      </c>
      <c r="H79" s="197">
        <v>1171829</v>
      </c>
      <c r="I79" s="197">
        <v>1164174</v>
      </c>
      <c r="J79" s="197">
        <v>1155158</v>
      </c>
      <c r="K79" s="197">
        <v>1155004</v>
      </c>
      <c r="L79" s="197">
        <v>647129</v>
      </c>
      <c r="M79" s="197">
        <v>643203</v>
      </c>
      <c r="N79" s="197">
        <v>638152</v>
      </c>
      <c r="O79" s="197">
        <v>638717</v>
      </c>
      <c r="P79" s="197">
        <v>641134</v>
      </c>
      <c r="Q79" s="197">
        <v>642606</v>
      </c>
      <c r="R79" s="197">
        <v>643424</v>
      </c>
      <c r="S79" s="197">
        <v>644113</v>
      </c>
      <c r="T79" s="197">
        <v>643980</v>
      </c>
      <c r="U79" s="197">
        <v>641935</v>
      </c>
      <c r="V79" s="197">
        <v>641770</v>
      </c>
      <c r="W79" s="197">
        <v>640475</v>
      </c>
      <c r="X79" s="197">
        <v>637806</v>
      </c>
      <c r="Y79" s="197">
        <v>635707</v>
      </c>
      <c r="Z79" s="197">
        <v>632024</v>
      </c>
      <c r="AA79" s="197">
        <v>629255</v>
      </c>
      <c r="AB79" s="197">
        <v>624361</v>
      </c>
    </row>
    <row r="80" spans="1:28">
      <c r="B80" s="6" t="s">
        <v>228</v>
      </c>
      <c r="C80" s="6" t="s">
        <v>228</v>
      </c>
      <c r="D80" s="7">
        <v>4063179</v>
      </c>
      <c r="E80" s="197">
        <v>2695</v>
      </c>
      <c r="F80" s="197">
        <v>2695</v>
      </c>
      <c r="G80" s="197">
        <v>2521</v>
      </c>
      <c r="H80" s="197">
        <v>2996</v>
      </c>
      <c r="I80" s="197">
        <v>2997</v>
      </c>
      <c r="J80" s="197">
        <v>2993</v>
      </c>
      <c r="K80" s="197">
        <v>2959</v>
      </c>
      <c r="L80" s="197">
        <v>2927</v>
      </c>
      <c r="M80" s="197">
        <v>2907</v>
      </c>
      <c r="N80" s="197">
        <v>2907</v>
      </c>
      <c r="O80" s="197">
        <v>2897</v>
      </c>
      <c r="P80" s="197">
        <v>2917</v>
      </c>
      <c r="Q80" s="197">
        <v>2959</v>
      </c>
      <c r="R80" s="197">
        <v>3057</v>
      </c>
      <c r="S80" s="197">
        <v>3099</v>
      </c>
      <c r="T80" s="197">
        <v>3141</v>
      </c>
      <c r="U80" s="197">
        <v>3196</v>
      </c>
      <c r="V80" s="197">
        <v>3278</v>
      </c>
      <c r="W80" s="197">
        <v>3321</v>
      </c>
      <c r="X80" s="197">
        <v>3333</v>
      </c>
      <c r="Y80" s="197">
        <v>3377</v>
      </c>
      <c r="Z80" s="197">
        <v>3663</v>
      </c>
      <c r="AA80" s="197">
        <v>3409</v>
      </c>
      <c r="AB80" s="197">
        <v>3375</v>
      </c>
    </row>
    <row r="81" spans="1:28">
      <c r="A81" s="1" t="s">
        <v>275</v>
      </c>
      <c r="B81" s="6" t="s">
        <v>229</v>
      </c>
      <c r="C81" s="6" t="s">
        <v>229</v>
      </c>
      <c r="D81" s="7">
        <v>4063183</v>
      </c>
      <c r="E81" s="197">
        <v>16670</v>
      </c>
      <c r="F81" s="197">
        <v>16443</v>
      </c>
      <c r="G81" s="197">
        <v>16477</v>
      </c>
      <c r="H81" s="197">
        <v>16169</v>
      </c>
      <c r="I81" s="197">
        <v>16169</v>
      </c>
      <c r="J81" s="197">
        <v>16189</v>
      </c>
      <c r="K81" s="197">
        <v>15937</v>
      </c>
      <c r="L81" s="197">
        <v>15796</v>
      </c>
      <c r="M81" s="197">
        <v>15644</v>
      </c>
      <c r="N81" s="197">
        <v>15573</v>
      </c>
      <c r="O81" s="197">
        <v>15505</v>
      </c>
      <c r="P81" s="197">
        <v>15507</v>
      </c>
      <c r="Q81" s="197">
        <v>15457</v>
      </c>
      <c r="R81" s="197">
        <v>15313</v>
      </c>
      <c r="S81" s="197">
        <v>15358</v>
      </c>
      <c r="T81" s="197">
        <v>15259</v>
      </c>
      <c r="U81" s="197">
        <v>15511</v>
      </c>
      <c r="V81" s="197">
        <v>15476</v>
      </c>
      <c r="W81" s="197">
        <v>15474</v>
      </c>
      <c r="X81" s="197">
        <v>15291</v>
      </c>
      <c r="Y81" s="197">
        <v>15251</v>
      </c>
      <c r="Z81" s="197">
        <v>14969</v>
      </c>
      <c r="AA81" s="197">
        <v>14720</v>
      </c>
      <c r="AB81" s="197">
        <v>14428</v>
      </c>
    </row>
    <row r="82" spans="1:28">
      <c r="B82" s="6" t="s">
        <v>230</v>
      </c>
      <c r="C82" s="6" t="s">
        <v>230</v>
      </c>
      <c r="D82" s="7">
        <v>4063281</v>
      </c>
      <c r="E82" s="197">
        <v>12953</v>
      </c>
      <c r="F82" s="197">
        <v>12873</v>
      </c>
      <c r="G82" s="197">
        <v>12814</v>
      </c>
      <c r="H82" s="197">
        <v>12769</v>
      </c>
      <c r="I82" s="197">
        <v>12717</v>
      </c>
      <c r="J82" s="197">
        <v>12652</v>
      </c>
      <c r="K82" s="197">
        <v>12570</v>
      </c>
      <c r="L82" s="197">
        <v>12485</v>
      </c>
      <c r="M82" s="197">
        <v>12432</v>
      </c>
      <c r="N82" s="197">
        <v>12381</v>
      </c>
      <c r="O82" s="197">
        <v>12326</v>
      </c>
      <c r="P82" s="197">
        <v>12326</v>
      </c>
      <c r="Q82" s="197">
        <v>12263</v>
      </c>
      <c r="R82" s="197">
        <v>12160</v>
      </c>
      <c r="S82" s="197">
        <v>12108</v>
      </c>
      <c r="T82" s="197">
        <v>12038</v>
      </c>
      <c r="U82" s="197">
        <v>11979</v>
      </c>
      <c r="V82" s="197">
        <v>11884</v>
      </c>
      <c r="W82" s="197">
        <v>11874</v>
      </c>
      <c r="X82" s="197">
        <v>11775</v>
      </c>
      <c r="Y82" s="197">
        <v>11650</v>
      </c>
      <c r="Z82" s="197">
        <v>11478</v>
      </c>
      <c r="AA82" s="197">
        <v>11379</v>
      </c>
      <c r="AB82" s="197">
        <v>11232</v>
      </c>
    </row>
    <row r="83" spans="1:28">
      <c r="B83" s="6" t="s">
        <v>231</v>
      </c>
      <c r="C83" s="6" t="s">
        <v>231</v>
      </c>
      <c r="D83" s="7">
        <v>4059746</v>
      </c>
      <c r="E83" s="197">
        <v>1219333</v>
      </c>
      <c r="F83" s="197">
        <v>1210083</v>
      </c>
      <c r="G83" s="197">
        <v>1208812</v>
      </c>
      <c r="H83" s="197">
        <v>1205480</v>
      </c>
      <c r="I83" s="197">
        <v>1202978</v>
      </c>
      <c r="J83" s="197">
        <v>1200199</v>
      </c>
      <c r="K83" s="197">
        <v>1193036</v>
      </c>
      <c r="L83" s="197">
        <v>1191380</v>
      </c>
      <c r="M83" s="197">
        <v>1190682</v>
      </c>
      <c r="N83" s="197">
        <v>1190208</v>
      </c>
      <c r="O83" s="197">
        <v>1181939</v>
      </c>
      <c r="P83" s="197">
        <v>1186556</v>
      </c>
      <c r="Q83" s="197">
        <v>1193758</v>
      </c>
      <c r="R83" s="197">
        <v>1201285</v>
      </c>
      <c r="S83" s="197">
        <v>1209821</v>
      </c>
      <c r="T83" s="197">
        <v>1215988</v>
      </c>
      <c r="U83" s="197">
        <v>1218695</v>
      </c>
      <c r="V83" s="197">
        <v>1217546</v>
      </c>
      <c r="W83" s="197">
        <v>1215966</v>
      </c>
      <c r="X83" s="197">
        <v>1213805</v>
      </c>
      <c r="Y83" s="197">
        <v>1221538</v>
      </c>
      <c r="Z83" s="197">
        <v>1234870</v>
      </c>
      <c r="AA83" s="197">
        <v>1201730</v>
      </c>
      <c r="AB83" s="197">
        <v>1171867</v>
      </c>
    </row>
    <row r="84" spans="1:28">
      <c r="A84" s="1" t="s">
        <v>275</v>
      </c>
      <c r="B84" s="6" t="s">
        <v>306</v>
      </c>
      <c r="C84" s="6" t="s">
        <v>306</v>
      </c>
      <c r="D84" s="7">
        <v>4062279</v>
      </c>
      <c r="E84" s="197" t="s">
        <v>175</v>
      </c>
      <c r="F84" s="197" t="s">
        <v>175</v>
      </c>
      <c r="G84" s="197" t="s">
        <v>175</v>
      </c>
      <c r="H84" s="197" t="s">
        <v>175</v>
      </c>
      <c r="I84" s="197">
        <v>169263</v>
      </c>
      <c r="J84" s="197">
        <v>168032</v>
      </c>
      <c r="K84" s="197">
        <v>166713</v>
      </c>
      <c r="L84" s="197">
        <v>165383</v>
      </c>
      <c r="M84" s="197">
        <v>163789</v>
      </c>
      <c r="N84" s="197">
        <v>161432</v>
      </c>
      <c r="O84" s="197">
        <v>159858</v>
      </c>
      <c r="P84" s="197">
        <v>159006</v>
      </c>
      <c r="Q84" s="197">
        <v>159353</v>
      </c>
      <c r="R84" s="197">
        <v>159736</v>
      </c>
      <c r="S84" s="197">
        <v>159586</v>
      </c>
      <c r="T84" s="197">
        <v>160704</v>
      </c>
      <c r="U84" s="197">
        <v>159969</v>
      </c>
      <c r="V84" s="197">
        <v>159242</v>
      </c>
      <c r="W84" s="197">
        <v>158366</v>
      </c>
      <c r="X84" s="197">
        <v>157465</v>
      </c>
      <c r="Y84" s="197">
        <v>156271</v>
      </c>
      <c r="Z84" s="197">
        <v>155994</v>
      </c>
      <c r="AA84" s="197">
        <v>154125</v>
      </c>
      <c r="AB84" s="197">
        <v>147871</v>
      </c>
    </row>
    <row r="85" spans="1:28">
      <c r="A85" s="1" t="s">
        <v>275</v>
      </c>
      <c r="B85" s="6" t="s">
        <v>307</v>
      </c>
      <c r="C85" s="6" t="s">
        <v>307</v>
      </c>
      <c r="D85" s="7">
        <v>4063729</v>
      </c>
      <c r="E85" s="197" t="s">
        <v>175</v>
      </c>
      <c r="F85" s="197" t="s">
        <v>175</v>
      </c>
      <c r="G85" s="197">
        <v>53205</v>
      </c>
      <c r="H85" s="197">
        <v>52356</v>
      </c>
      <c r="I85" s="197">
        <v>51027</v>
      </c>
      <c r="J85" s="197">
        <v>50021</v>
      </c>
      <c r="K85" s="197">
        <v>48978</v>
      </c>
      <c r="L85" s="197">
        <v>47847</v>
      </c>
      <c r="M85" s="197">
        <v>46607</v>
      </c>
      <c r="N85" s="197">
        <v>45491</v>
      </c>
      <c r="O85" s="197">
        <v>44132</v>
      </c>
      <c r="P85" s="197">
        <v>43223</v>
      </c>
      <c r="Q85" s="197">
        <v>42364</v>
      </c>
      <c r="R85" s="197">
        <v>40945</v>
      </c>
      <c r="S85" s="197">
        <v>39900</v>
      </c>
      <c r="T85" s="197">
        <v>38978</v>
      </c>
      <c r="U85" s="197">
        <v>37838</v>
      </c>
      <c r="V85" s="197">
        <v>36699</v>
      </c>
      <c r="W85" s="197">
        <v>35500</v>
      </c>
      <c r="X85" s="197">
        <v>34662</v>
      </c>
      <c r="Y85" s="197">
        <v>33916</v>
      </c>
      <c r="Z85" s="197">
        <v>32887</v>
      </c>
      <c r="AA85" s="197">
        <v>32188</v>
      </c>
      <c r="AB85" s="197">
        <v>30735</v>
      </c>
    </row>
    <row r="86" spans="1:28">
      <c r="B86" s="6" t="s">
        <v>232</v>
      </c>
      <c r="C86" s="6" t="s">
        <v>232</v>
      </c>
      <c r="D86" s="7">
        <v>4063762</v>
      </c>
      <c r="E86" s="197">
        <v>312000</v>
      </c>
      <c r="F86" s="197" t="s">
        <v>175</v>
      </c>
      <c r="G86" s="197">
        <v>300623</v>
      </c>
      <c r="H86" s="197">
        <v>298000</v>
      </c>
      <c r="I86" s="197">
        <v>296062</v>
      </c>
      <c r="J86" s="197">
        <v>293213</v>
      </c>
      <c r="K86" s="197">
        <v>289764</v>
      </c>
      <c r="L86" s="197">
        <v>286484</v>
      </c>
      <c r="M86" s="197">
        <v>283920</v>
      </c>
      <c r="N86" s="197">
        <v>281005</v>
      </c>
      <c r="O86" s="197">
        <v>278175</v>
      </c>
      <c r="P86" s="197">
        <v>275184</v>
      </c>
      <c r="Q86" s="197">
        <v>272740</v>
      </c>
      <c r="R86" s="197">
        <v>271407</v>
      </c>
      <c r="S86" s="197">
        <v>269299</v>
      </c>
      <c r="T86" s="197">
        <v>269746</v>
      </c>
      <c r="U86" s="197">
        <v>266962</v>
      </c>
      <c r="V86" s="197">
        <v>256113</v>
      </c>
      <c r="W86" s="197">
        <v>250971</v>
      </c>
      <c r="X86" s="197">
        <v>245488</v>
      </c>
      <c r="Y86" s="197">
        <v>236605</v>
      </c>
      <c r="Z86" s="197">
        <v>232710</v>
      </c>
      <c r="AA86" s="197">
        <v>224968</v>
      </c>
      <c r="AB86" s="197">
        <v>216124</v>
      </c>
    </row>
    <row r="87" spans="1:28">
      <c r="B87" s="6" t="s">
        <v>234</v>
      </c>
      <c r="C87" s="6" t="s">
        <v>234</v>
      </c>
      <c r="D87" s="7">
        <v>4058284</v>
      </c>
      <c r="E87" s="197">
        <f>F87</f>
        <v>1200837</v>
      </c>
      <c r="F87" s="197">
        <v>1200837</v>
      </c>
      <c r="G87" s="197">
        <v>1188758</v>
      </c>
      <c r="H87" s="197">
        <v>1177330</v>
      </c>
      <c r="I87" s="197">
        <v>1160175</v>
      </c>
      <c r="J87" s="197">
        <v>1144504</v>
      </c>
      <c r="K87" s="197">
        <v>1133084</v>
      </c>
      <c r="L87" s="197">
        <v>1124146</v>
      </c>
      <c r="M87" s="197">
        <v>1110704</v>
      </c>
      <c r="N87" s="197">
        <v>1095115</v>
      </c>
      <c r="O87" s="197">
        <v>1091542</v>
      </c>
      <c r="P87" s="197">
        <v>1079808</v>
      </c>
      <c r="Q87" s="197">
        <v>1074187</v>
      </c>
      <c r="R87" s="197">
        <v>1055630</v>
      </c>
      <c r="S87" s="197">
        <v>1047937</v>
      </c>
      <c r="T87" s="197">
        <v>1031040</v>
      </c>
      <c r="U87" s="197">
        <v>1004553</v>
      </c>
      <c r="V87" s="197">
        <v>980868</v>
      </c>
      <c r="W87" s="197">
        <v>935761</v>
      </c>
      <c r="X87" s="197">
        <v>941456</v>
      </c>
      <c r="Y87" s="197">
        <v>907465</v>
      </c>
      <c r="Z87" s="197">
        <v>868474</v>
      </c>
      <c r="AA87" s="197">
        <v>880014</v>
      </c>
      <c r="AB87" s="197">
        <v>822623</v>
      </c>
    </row>
    <row r="88" spans="1:28">
      <c r="B88" s="6" t="s">
        <v>236</v>
      </c>
      <c r="C88" s="6" t="s">
        <v>236</v>
      </c>
      <c r="D88" s="7">
        <v>4008752</v>
      </c>
      <c r="E88" s="197">
        <v>643970</v>
      </c>
      <c r="F88" s="197">
        <v>644138</v>
      </c>
      <c r="G88" s="197">
        <v>638758</v>
      </c>
      <c r="H88" s="197">
        <v>632794</v>
      </c>
      <c r="I88" s="197">
        <v>626570</v>
      </c>
      <c r="J88" s="197">
        <v>620382</v>
      </c>
      <c r="K88" s="197">
        <v>614491</v>
      </c>
      <c r="L88" s="197">
        <v>608912</v>
      </c>
      <c r="M88" s="197">
        <v>605122</v>
      </c>
      <c r="N88" s="197">
        <v>601970</v>
      </c>
      <c r="O88" s="197">
        <v>599478</v>
      </c>
      <c r="P88" s="197">
        <v>597326</v>
      </c>
      <c r="Q88" s="197">
        <v>594702</v>
      </c>
      <c r="R88" s="197">
        <v>591898</v>
      </c>
      <c r="S88" s="197">
        <v>588266</v>
      </c>
      <c r="T88" s="197">
        <v>584211</v>
      </c>
      <c r="U88" s="197">
        <v>578172</v>
      </c>
      <c r="V88" s="197">
        <v>570927</v>
      </c>
      <c r="W88" s="197">
        <v>562817</v>
      </c>
      <c r="X88" s="197">
        <v>556768</v>
      </c>
      <c r="Y88" s="197">
        <v>548586</v>
      </c>
      <c r="Z88" s="197">
        <v>540679</v>
      </c>
      <c r="AA88" s="197">
        <v>529984</v>
      </c>
      <c r="AB88" s="197">
        <v>521020</v>
      </c>
    </row>
    <row r="89" spans="1:28">
      <c r="B89" s="6" t="s">
        <v>237</v>
      </c>
      <c r="C89" s="6" t="s">
        <v>237</v>
      </c>
      <c r="D89" s="7">
        <v>4008669</v>
      </c>
      <c r="E89" s="197">
        <v>196242</v>
      </c>
      <c r="F89" s="197">
        <v>194159</v>
      </c>
      <c r="G89" s="197">
        <v>191712</v>
      </c>
      <c r="H89" s="197">
        <v>189749</v>
      </c>
      <c r="I89" s="197">
        <v>188117</v>
      </c>
      <c r="J89" s="197">
        <v>186405</v>
      </c>
      <c r="K89" s="197">
        <v>185485</v>
      </c>
      <c r="L89" s="197">
        <v>183818</v>
      </c>
      <c r="M89" s="197">
        <v>182107</v>
      </c>
      <c r="N89" s="197">
        <v>180405</v>
      </c>
      <c r="O89" s="197">
        <v>179256</v>
      </c>
      <c r="P89" s="197">
        <v>178309</v>
      </c>
      <c r="Q89" s="197">
        <v>177389</v>
      </c>
      <c r="R89" s="197">
        <v>176647</v>
      </c>
      <c r="S89" s="197">
        <v>174852</v>
      </c>
      <c r="T89" s="197">
        <v>172684</v>
      </c>
      <c r="U89" s="197">
        <v>172312</v>
      </c>
      <c r="V89" s="197">
        <v>169216</v>
      </c>
      <c r="W89" s="197">
        <v>166961</v>
      </c>
      <c r="X89" s="197">
        <v>165567</v>
      </c>
      <c r="Y89" s="197">
        <v>159515</v>
      </c>
      <c r="Z89" s="197">
        <v>157077</v>
      </c>
      <c r="AA89" s="197">
        <v>153970</v>
      </c>
      <c r="AB89" s="197">
        <v>150657</v>
      </c>
    </row>
    <row r="90" spans="1:28">
      <c r="B90" s="6" t="s">
        <v>308</v>
      </c>
      <c r="C90" s="6" t="s">
        <v>309</v>
      </c>
      <c r="D90" s="7">
        <v>4076892</v>
      </c>
      <c r="E90" s="197">
        <v>6955</v>
      </c>
      <c r="F90" s="197">
        <v>6919</v>
      </c>
      <c r="G90" s="197">
        <v>6884</v>
      </c>
      <c r="H90" s="197">
        <v>6888</v>
      </c>
      <c r="I90" s="197">
        <v>6886</v>
      </c>
      <c r="J90" s="197">
        <v>6855</v>
      </c>
      <c r="K90" s="197">
        <v>6873</v>
      </c>
      <c r="L90" s="197">
        <v>6916</v>
      </c>
      <c r="M90" s="197">
        <v>6905</v>
      </c>
      <c r="N90" s="197">
        <v>6876</v>
      </c>
      <c r="O90" s="197">
        <v>6882</v>
      </c>
      <c r="P90" s="197">
        <v>6852</v>
      </c>
      <c r="Q90" s="197">
        <v>6858</v>
      </c>
      <c r="R90" s="197">
        <v>6814</v>
      </c>
      <c r="S90" s="197">
        <v>6735</v>
      </c>
      <c r="T90" s="197">
        <v>6711</v>
      </c>
      <c r="U90" s="197">
        <v>6741</v>
      </c>
      <c r="V90" s="197">
        <v>6702</v>
      </c>
      <c r="W90" s="197">
        <v>6720</v>
      </c>
      <c r="X90" s="197">
        <v>6765</v>
      </c>
      <c r="Y90" s="197">
        <v>6201</v>
      </c>
      <c r="Z90" s="197">
        <v>6746</v>
      </c>
      <c r="AA90" s="197">
        <v>6771</v>
      </c>
      <c r="AB90" s="197">
        <v>6651</v>
      </c>
    </row>
    <row r="91" spans="1:28">
      <c r="A91" s="1" t="s">
        <v>275</v>
      </c>
      <c r="B91" s="6" t="s">
        <v>238</v>
      </c>
      <c r="C91" s="6" t="s">
        <v>239</v>
      </c>
      <c r="D91" s="7">
        <v>4064141</v>
      </c>
      <c r="E91" s="197">
        <v>247588</v>
      </c>
      <c r="F91" s="197" t="s">
        <v>175</v>
      </c>
      <c r="G91" s="197">
        <v>241063</v>
      </c>
      <c r="H91" s="197">
        <v>233810</v>
      </c>
      <c r="I91" s="197">
        <v>230056</v>
      </c>
      <c r="J91" s="197">
        <v>226436</v>
      </c>
      <c r="K91" s="197">
        <v>222894</v>
      </c>
      <c r="L91" s="197">
        <v>219369</v>
      </c>
      <c r="M91" s="197">
        <v>214694</v>
      </c>
      <c r="N91" s="197">
        <v>211542</v>
      </c>
      <c r="O91" s="197">
        <v>207753</v>
      </c>
      <c r="P91" s="197">
        <v>205886</v>
      </c>
      <c r="Q91" s="197">
        <v>206438</v>
      </c>
      <c r="R91" s="197">
        <v>204835</v>
      </c>
      <c r="S91" s="197">
        <v>202743</v>
      </c>
      <c r="T91" s="197">
        <v>199377</v>
      </c>
      <c r="U91" s="197">
        <v>196870</v>
      </c>
      <c r="V91" s="197">
        <v>194212</v>
      </c>
      <c r="W91" s="197">
        <v>192816</v>
      </c>
      <c r="X91" s="197">
        <v>190984</v>
      </c>
      <c r="Y91" s="197">
        <v>191112</v>
      </c>
      <c r="Z91" s="197">
        <v>185373</v>
      </c>
      <c r="AA91" s="197">
        <v>184711</v>
      </c>
      <c r="AB91" s="197">
        <v>183696</v>
      </c>
    </row>
    <row r="92" spans="1:28">
      <c r="B92" s="6"/>
      <c r="C92" s="6"/>
      <c r="D92" s="7"/>
      <c r="E92" s="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</row>
    <row r="93" spans="1:28">
      <c r="B93" s="6"/>
      <c r="C93" s="6"/>
      <c r="D93" s="7"/>
      <c r="E93" s="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</row>
    <row r="94" spans="1:28">
      <c r="B94" s="6"/>
      <c r="C94" s="6"/>
      <c r="D94" s="7"/>
      <c r="E94" s="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</row>
    <row r="95" spans="1:28">
      <c r="B95" s="6"/>
      <c r="C95" s="6"/>
      <c r="D95" s="7"/>
      <c r="E95" s="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</row>
    <row r="96" spans="1:28">
      <c r="B96" s="6"/>
      <c r="C96" s="6"/>
      <c r="D96" s="7"/>
      <c r="E96" s="7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7"/>
      <c r="U96" s="17"/>
      <c r="V96" s="17"/>
      <c r="W96" s="17"/>
      <c r="X96" s="17"/>
      <c r="Y96" s="17"/>
      <c r="Z96" s="17"/>
      <c r="AA96" s="17"/>
      <c r="AB96" s="17"/>
    </row>
    <row r="97" spans="2:28">
      <c r="B97" s="6"/>
      <c r="C97" s="6"/>
      <c r="D97" s="7"/>
      <c r="E97" s="7"/>
      <c r="F97" s="18"/>
      <c r="G97" s="18"/>
      <c r="H97" s="18"/>
      <c r="I97" s="18"/>
      <c r="J97" s="18"/>
      <c r="K97" s="18"/>
      <c r="L97" s="18"/>
      <c r="M97" s="18"/>
      <c r="N97" s="18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</row>
    <row r="98" spans="2:28">
      <c r="B98" s="6"/>
      <c r="C98" s="7"/>
      <c r="D98" s="19"/>
      <c r="E98" s="19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</row>
    <row r="99" spans="2:28">
      <c r="B99" s="6"/>
      <c r="C99" s="6"/>
      <c r="D99" s="7"/>
      <c r="E99" s="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</row>
    <row r="100" spans="2:28">
      <c r="B100" s="6"/>
      <c r="C100" s="6"/>
      <c r="D100" s="7"/>
      <c r="E100" s="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</row>
    <row r="101" spans="2:28">
      <c r="B101" s="6"/>
      <c r="C101" s="6"/>
      <c r="D101" s="7"/>
      <c r="E101" s="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</row>
    <row r="102" spans="2:28">
      <c r="B102" s="6"/>
      <c r="C102" s="6"/>
      <c r="D102" s="7"/>
      <c r="E102" s="7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7"/>
      <c r="U102" s="17"/>
      <c r="V102" s="17"/>
      <c r="W102" s="17"/>
      <c r="X102" s="17"/>
      <c r="Y102" s="17"/>
      <c r="Z102" s="17"/>
      <c r="AA102" s="17"/>
      <c r="AB102" s="17"/>
    </row>
    <row r="103" spans="2:28">
      <c r="B103" s="6"/>
      <c r="C103" s="6"/>
      <c r="D103" s="7"/>
      <c r="E103" s="7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7"/>
      <c r="U103" s="17"/>
      <c r="V103" s="17"/>
      <c r="W103" s="17"/>
      <c r="X103" s="17"/>
      <c r="Y103" s="17"/>
      <c r="Z103" s="17"/>
      <c r="AA103" s="17"/>
      <c r="AB103" s="17"/>
    </row>
    <row r="104" spans="2:28">
      <c r="B104" s="6"/>
      <c r="C104" s="6"/>
      <c r="D104" s="7"/>
      <c r="E104" s="7"/>
      <c r="F104" s="18"/>
      <c r="G104" s="18"/>
      <c r="H104" s="18"/>
      <c r="I104" s="18"/>
      <c r="J104" s="18"/>
      <c r="K104" s="18"/>
      <c r="L104" s="18"/>
      <c r="M104" s="18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</row>
    <row r="105" spans="2:28">
      <c r="B105" s="6"/>
      <c r="C105" s="6"/>
      <c r="D105" s="7"/>
      <c r="E105" s="7"/>
      <c r="F105" s="17"/>
      <c r="G105" s="17"/>
      <c r="H105" s="17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</row>
    <row r="106" spans="2:28">
      <c r="B106" s="6"/>
      <c r="C106" s="6"/>
      <c r="D106" s="7"/>
      <c r="E106" s="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</row>
    <row r="107" spans="2:28">
      <c r="B107" s="6"/>
      <c r="C107" s="6"/>
      <c r="D107" s="7"/>
      <c r="E107" s="7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7"/>
      <c r="U107" s="17"/>
      <c r="V107" s="17"/>
      <c r="W107" s="17"/>
      <c r="X107" s="17"/>
      <c r="Y107" s="17"/>
      <c r="Z107" s="17"/>
      <c r="AA107" s="17"/>
      <c r="AB107" s="17"/>
    </row>
    <row r="108" spans="2:28">
      <c r="B108" s="6"/>
      <c r="C108" s="6"/>
      <c r="D108" s="7"/>
      <c r="E108" s="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</row>
    <row r="109" spans="2:28">
      <c r="B109" s="6"/>
      <c r="C109" s="6"/>
      <c r="D109" s="7"/>
      <c r="E109" s="7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7"/>
      <c r="U109" s="17"/>
      <c r="V109" s="17"/>
      <c r="W109" s="17"/>
      <c r="X109" s="17"/>
      <c r="Y109" s="17"/>
      <c r="Z109" s="17"/>
      <c r="AA109" s="17"/>
      <c r="AB109" s="17"/>
    </row>
    <row r="110" spans="2:28">
      <c r="B110" s="6"/>
      <c r="C110" s="6"/>
      <c r="D110" s="7"/>
      <c r="E110" s="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</row>
    <row r="111" spans="2:28">
      <c r="B111" s="6"/>
      <c r="C111" s="6"/>
      <c r="D111" s="7"/>
      <c r="E111" s="7"/>
      <c r="F111" s="17"/>
      <c r="G111" s="17"/>
      <c r="H111" s="17"/>
      <c r="I111" s="17"/>
      <c r="J111" s="17"/>
      <c r="K111" s="18"/>
      <c r="L111" s="18"/>
      <c r="M111" s="18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</row>
    <row r="112" spans="2:28">
      <c r="B112" s="6"/>
      <c r="C112" s="6"/>
      <c r="D112" s="7"/>
      <c r="E112" s="7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7"/>
      <c r="U112" s="17"/>
      <c r="V112" s="17"/>
      <c r="W112" s="17"/>
      <c r="X112" s="17"/>
      <c r="Y112" s="17"/>
      <c r="Z112" s="17"/>
      <c r="AA112" s="17"/>
      <c r="AB112" s="17"/>
    </row>
    <row r="113" spans="2:28">
      <c r="B113" s="6"/>
      <c r="C113" s="6"/>
      <c r="D113" s="7"/>
      <c r="E113" s="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</row>
    <row r="114" spans="2:28">
      <c r="B114" s="6"/>
      <c r="C114" s="6"/>
      <c r="D114" s="7"/>
      <c r="E114" s="7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7"/>
      <c r="U114" s="17"/>
      <c r="V114" s="17"/>
      <c r="W114" s="17"/>
      <c r="X114" s="17"/>
      <c r="Y114" s="17"/>
      <c r="Z114" s="17"/>
      <c r="AA114" s="17"/>
      <c r="AB114" s="17"/>
    </row>
    <row r="115" spans="2:28">
      <c r="B115" s="6"/>
      <c r="C115" s="6"/>
      <c r="D115" s="7"/>
      <c r="E115" s="7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7"/>
      <c r="U115" s="17"/>
      <c r="V115" s="17"/>
      <c r="W115" s="17"/>
      <c r="X115" s="17"/>
      <c r="Y115" s="17"/>
      <c r="Z115" s="17"/>
      <c r="AA115" s="17"/>
      <c r="AB115" s="17"/>
    </row>
    <row r="116" spans="2:28">
      <c r="B116" s="6"/>
      <c r="C116" s="6"/>
      <c r="D116" s="7"/>
      <c r="E116" s="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</row>
    <row r="117" spans="2:28">
      <c r="B117" s="6"/>
      <c r="C117" s="6"/>
      <c r="D117" s="7"/>
      <c r="E117" s="7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7"/>
      <c r="U117" s="17"/>
      <c r="V117" s="17"/>
      <c r="W117" s="17"/>
      <c r="X117" s="17"/>
      <c r="Y117" s="17"/>
      <c r="Z117" s="17"/>
      <c r="AA117" s="17"/>
      <c r="AB117" s="17"/>
    </row>
    <row r="118" spans="2:28">
      <c r="B118" s="6"/>
      <c r="C118" s="6"/>
      <c r="D118" s="7"/>
      <c r="E118" s="7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</row>
    <row r="119" spans="2:28">
      <c r="B119" s="6"/>
      <c r="C119" s="6"/>
      <c r="D119" s="7"/>
      <c r="E119" s="7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7"/>
      <c r="U119" s="17"/>
      <c r="V119" s="17"/>
      <c r="W119" s="17"/>
      <c r="X119" s="17"/>
      <c r="Y119" s="17"/>
      <c r="Z119" s="17"/>
      <c r="AA119" s="17"/>
      <c r="AB119" s="17"/>
    </row>
    <row r="120" spans="2:28">
      <c r="B120" s="6"/>
      <c r="C120" s="6"/>
      <c r="D120" s="7"/>
      <c r="E120" s="7"/>
      <c r="F120" s="17"/>
      <c r="G120" s="17"/>
      <c r="H120" s="17"/>
      <c r="I120" s="17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7"/>
      <c r="U120" s="17"/>
      <c r="V120" s="17"/>
      <c r="W120" s="17"/>
      <c r="X120" s="17"/>
      <c r="Y120" s="17"/>
      <c r="Z120" s="17"/>
      <c r="AA120" s="17"/>
      <c r="AB120" s="17"/>
    </row>
    <row r="121" spans="2:28">
      <c r="B121" s="6"/>
      <c r="C121" s="6"/>
      <c r="D121" s="7"/>
      <c r="E121" s="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</row>
    <row r="122" spans="2:28">
      <c r="B122" s="6"/>
      <c r="C122" s="6"/>
      <c r="D122" s="7"/>
      <c r="E122" s="7"/>
      <c r="F122" s="17"/>
      <c r="G122" s="17"/>
      <c r="H122" s="17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7"/>
      <c r="U122" s="17"/>
      <c r="V122" s="17"/>
      <c r="W122" s="17"/>
      <c r="X122" s="17"/>
      <c r="Y122" s="17"/>
      <c r="Z122" s="17"/>
      <c r="AA122" s="17"/>
      <c r="AB122" s="17"/>
    </row>
    <row r="123" spans="2:28">
      <c r="B123" s="6"/>
      <c r="C123" s="6"/>
      <c r="D123" s="7"/>
      <c r="E123" s="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</row>
    <row r="124" spans="2:28">
      <c r="B124" s="6"/>
      <c r="C124" s="6"/>
      <c r="D124" s="7"/>
      <c r="E124" s="7"/>
      <c r="F124" s="18"/>
      <c r="G124" s="18"/>
      <c r="H124" s="18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</row>
    <row r="125" spans="2:28">
      <c r="B125" s="6"/>
      <c r="C125" s="6"/>
      <c r="D125" s="7"/>
      <c r="E125" s="7"/>
      <c r="F125" s="17"/>
      <c r="G125" s="17"/>
      <c r="H125" s="17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7"/>
      <c r="U125" s="17"/>
      <c r="V125" s="17"/>
      <c r="W125" s="17"/>
      <c r="X125" s="17"/>
      <c r="Y125" s="17"/>
      <c r="Z125" s="17"/>
      <c r="AA125" s="17"/>
      <c r="AB125" s="17"/>
    </row>
    <row r="126" spans="2:28">
      <c r="B126" s="6"/>
      <c r="C126" s="6"/>
      <c r="D126" s="7"/>
      <c r="E126" s="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</row>
    <row r="127" spans="2:28">
      <c r="B127" s="6"/>
      <c r="C127" s="6"/>
      <c r="D127" s="7"/>
      <c r="E127" s="7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7"/>
      <c r="U127" s="17"/>
      <c r="V127" s="17"/>
      <c r="W127" s="17"/>
      <c r="X127" s="17"/>
      <c r="Y127" s="17"/>
      <c r="Z127" s="17"/>
      <c r="AA127" s="17"/>
      <c r="AB127" s="17"/>
    </row>
    <row r="128" spans="2:28">
      <c r="B128" s="6"/>
      <c r="C128" s="6"/>
      <c r="D128" s="7"/>
      <c r="E128" s="7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7"/>
      <c r="U128" s="17"/>
      <c r="V128" s="17"/>
      <c r="W128" s="17"/>
      <c r="X128" s="17"/>
      <c r="Y128" s="17"/>
      <c r="Z128" s="17"/>
      <c r="AA128" s="17"/>
      <c r="AB128" s="17"/>
    </row>
    <row r="129" spans="2:28">
      <c r="B129" s="6"/>
      <c r="C129" s="6"/>
      <c r="D129" s="7"/>
      <c r="E129" s="7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7"/>
      <c r="U129" s="17"/>
      <c r="V129" s="17"/>
      <c r="W129" s="17"/>
      <c r="X129" s="17"/>
      <c r="Y129" s="17"/>
      <c r="Z129" s="17"/>
      <c r="AA129" s="17"/>
      <c r="AB129" s="17"/>
    </row>
    <row r="130" spans="2:28">
      <c r="B130" s="6"/>
      <c r="C130" s="6"/>
      <c r="D130" s="7"/>
      <c r="E130" s="7"/>
      <c r="F130" s="17"/>
      <c r="G130" s="17"/>
      <c r="H130" s="17"/>
      <c r="I130" s="18"/>
      <c r="J130" s="18"/>
      <c r="K130" s="18"/>
      <c r="L130" s="18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</row>
    <row r="131" spans="2:28">
      <c r="B131" s="6"/>
      <c r="C131" s="6"/>
      <c r="D131" s="7"/>
      <c r="E131" s="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</row>
    <row r="132" spans="2:28">
      <c r="B132" s="6"/>
      <c r="C132" s="6"/>
      <c r="D132" s="7"/>
      <c r="E132" s="7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7"/>
      <c r="U132" s="17"/>
      <c r="V132" s="17"/>
      <c r="W132" s="17"/>
      <c r="X132" s="17"/>
      <c r="Y132" s="17"/>
      <c r="Z132" s="17"/>
      <c r="AA132" s="17"/>
      <c r="AB132" s="17"/>
    </row>
    <row r="133" spans="2:28">
      <c r="B133" s="6"/>
      <c r="C133" s="6"/>
      <c r="D133" s="7"/>
      <c r="E133" s="7"/>
      <c r="F133" s="17"/>
      <c r="G133" s="17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</row>
    <row r="134" spans="2:28">
      <c r="B134" s="6"/>
      <c r="C134" s="6"/>
      <c r="D134" s="7"/>
      <c r="E134" s="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</row>
    <row r="135" spans="2:28">
      <c r="B135" s="6"/>
      <c r="C135" s="6"/>
      <c r="D135" s="7"/>
      <c r="E135" s="7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7"/>
      <c r="U135" s="17"/>
      <c r="V135" s="17"/>
      <c r="W135" s="17"/>
      <c r="X135" s="17"/>
      <c r="Y135" s="17"/>
      <c r="Z135" s="17"/>
      <c r="AA135" s="17"/>
      <c r="AB135" s="17"/>
    </row>
    <row r="136" spans="2:28">
      <c r="B136" s="6"/>
      <c r="C136" s="6"/>
      <c r="D136" s="7"/>
      <c r="E136" s="7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7"/>
      <c r="U136" s="17"/>
      <c r="V136" s="17"/>
      <c r="W136" s="17"/>
      <c r="X136" s="17"/>
      <c r="Y136" s="17"/>
      <c r="Z136" s="17"/>
      <c r="AA136" s="17"/>
      <c r="AB136" s="17"/>
    </row>
    <row r="137" spans="2:28">
      <c r="B137" s="6"/>
      <c r="C137" s="6"/>
      <c r="D137" s="7"/>
      <c r="E137" s="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</row>
    <row r="138" spans="2:28">
      <c r="B138" s="6"/>
      <c r="C138" s="6"/>
      <c r="D138" s="7"/>
      <c r="E138" s="7"/>
      <c r="F138" s="18"/>
      <c r="G138" s="18"/>
      <c r="H138" s="17"/>
      <c r="I138" s="17"/>
      <c r="J138" s="17"/>
      <c r="K138" s="17"/>
      <c r="L138" s="17"/>
      <c r="M138" s="17"/>
      <c r="N138" s="18"/>
      <c r="O138" s="18"/>
      <c r="P138" s="18"/>
      <c r="Q138" s="18"/>
      <c r="R138" s="18"/>
      <c r="S138" s="18"/>
      <c r="T138" s="17"/>
      <c r="U138" s="17"/>
      <c r="V138" s="17"/>
      <c r="W138" s="17"/>
      <c r="X138" s="17"/>
      <c r="Y138" s="17"/>
      <c r="Z138" s="17"/>
      <c r="AA138" s="17"/>
      <c r="AB138" s="17"/>
    </row>
    <row r="139" spans="2:28">
      <c r="B139" s="6"/>
      <c r="C139" s="6"/>
      <c r="D139" s="7"/>
      <c r="E139" s="7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7"/>
      <c r="U139" s="17"/>
      <c r="V139" s="17"/>
      <c r="W139" s="17"/>
      <c r="X139" s="17"/>
      <c r="Y139" s="17"/>
      <c r="Z139" s="17"/>
      <c r="AA139" s="17"/>
      <c r="AB139" s="17"/>
    </row>
    <row r="140" spans="2:28">
      <c r="B140" s="6"/>
      <c r="C140" s="6"/>
      <c r="D140" s="7"/>
      <c r="E140" s="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</row>
    <row r="141" spans="2:28">
      <c r="B141" s="6"/>
      <c r="C141" s="6"/>
      <c r="D141" s="7"/>
      <c r="E141" s="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</row>
    <row r="142" spans="2:28">
      <c r="B142" s="6"/>
      <c r="C142" s="6"/>
      <c r="D142" s="7"/>
      <c r="E142" s="7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7"/>
      <c r="U142" s="17"/>
      <c r="V142" s="17"/>
      <c r="W142" s="17"/>
      <c r="X142" s="17"/>
      <c r="Y142" s="17"/>
      <c r="Z142" s="17"/>
      <c r="AA142" s="17"/>
      <c r="AB142" s="17"/>
    </row>
    <row r="143" spans="2:28">
      <c r="B143" s="6"/>
      <c r="C143" s="6"/>
      <c r="D143" s="7"/>
      <c r="E143" s="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</row>
    <row r="144" spans="2:28">
      <c r="B144" s="6"/>
      <c r="C144" s="6"/>
      <c r="D144" s="7"/>
      <c r="E144" s="7"/>
      <c r="F144" s="18"/>
      <c r="G144" s="18"/>
      <c r="H144" s="18"/>
      <c r="I144" s="18"/>
      <c r="J144" s="17"/>
      <c r="K144" s="18"/>
      <c r="L144" s="18"/>
      <c r="M144" s="18"/>
      <c r="N144" s="18"/>
      <c r="O144" s="18"/>
      <c r="P144" s="18"/>
      <c r="Q144" s="18"/>
      <c r="R144" s="18"/>
      <c r="S144" s="18"/>
      <c r="T144" s="17"/>
      <c r="U144" s="17"/>
      <c r="V144" s="17"/>
      <c r="W144" s="17"/>
      <c r="X144" s="17"/>
      <c r="Y144" s="17"/>
      <c r="Z144" s="17"/>
      <c r="AA144" s="17"/>
      <c r="AB144" s="17"/>
    </row>
    <row r="145" spans="2:28">
      <c r="B145" s="6"/>
      <c r="C145" s="6"/>
      <c r="D145" s="7"/>
      <c r="E145" s="7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7"/>
      <c r="U145" s="17"/>
      <c r="V145" s="17"/>
      <c r="W145" s="17"/>
      <c r="X145" s="17"/>
      <c r="Y145" s="17"/>
      <c r="Z145" s="17"/>
      <c r="AA145" s="17"/>
      <c r="AB145" s="17"/>
    </row>
    <row r="146" spans="2:28">
      <c r="B146" s="6"/>
      <c r="C146" s="6"/>
      <c r="D146" s="7"/>
      <c r="E146" s="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</row>
    <row r="147" spans="2:28">
      <c r="B147" s="6"/>
      <c r="C147" s="6"/>
      <c r="D147" s="7"/>
      <c r="E147" s="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</row>
    <row r="148" spans="2:28">
      <c r="B148" s="6"/>
      <c r="C148" s="6"/>
      <c r="D148" s="7"/>
      <c r="E148" s="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</row>
    <row r="149" spans="2:28">
      <c r="B149" s="6"/>
      <c r="C149" s="6"/>
      <c r="D149" s="7"/>
      <c r="E149" s="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</row>
    <row r="150" spans="2:28">
      <c r="B150" s="6"/>
      <c r="C150" s="6"/>
      <c r="D150" s="7"/>
      <c r="E150" s="7"/>
      <c r="F150" s="17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7"/>
      <c r="U150" s="17"/>
      <c r="V150" s="17"/>
      <c r="W150" s="17"/>
      <c r="X150" s="17"/>
      <c r="Y150" s="17"/>
      <c r="Z150" s="17"/>
      <c r="AA150" s="17"/>
      <c r="AB150" s="17"/>
    </row>
    <row r="151" spans="2:28">
      <c r="B151" s="6"/>
      <c r="C151" s="6"/>
      <c r="D151" s="7"/>
      <c r="E151" s="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</row>
    <row r="152" spans="2:28">
      <c r="B152" s="6"/>
      <c r="C152" s="6"/>
      <c r="D152" s="7"/>
      <c r="E152" s="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</row>
    <row r="153" spans="2:28">
      <c r="B153" s="6"/>
      <c r="C153" s="6"/>
      <c r="D153" s="7"/>
      <c r="E153" s="7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7"/>
      <c r="U153" s="17"/>
      <c r="V153" s="17"/>
      <c r="W153" s="17"/>
      <c r="X153" s="17"/>
      <c r="Y153" s="17"/>
      <c r="Z153" s="17"/>
      <c r="AA153" s="17"/>
      <c r="AB153" s="17"/>
    </row>
    <row r="154" spans="2:28">
      <c r="B154" s="6"/>
      <c r="C154" s="6"/>
      <c r="D154" s="7"/>
      <c r="E154" s="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</row>
    <row r="155" spans="2:28">
      <c r="B155" s="6"/>
      <c r="C155" s="6"/>
      <c r="D155" s="7"/>
      <c r="E155" s="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</row>
    <row r="156" spans="2:28">
      <c r="B156" s="6"/>
      <c r="C156" s="6"/>
      <c r="D156" s="7"/>
      <c r="E156" s="7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7"/>
      <c r="U156" s="17"/>
      <c r="V156" s="17"/>
      <c r="W156" s="17"/>
      <c r="X156" s="17"/>
      <c r="Y156" s="17"/>
      <c r="Z156" s="17"/>
      <c r="AA156" s="17"/>
      <c r="AB156" s="17"/>
    </row>
    <row r="157" spans="2:28">
      <c r="B157" s="6"/>
      <c r="C157" s="6"/>
      <c r="D157" s="7"/>
      <c r="E157" s="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</row>
    <row r="158" spans="2:28">
      <c r="B158" s="6"/>
      <c r="C158" s="6"/>
      <c r="D158" s="7"/>
      <c r="E158" s="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</row>
    <row r="159" spans="2:28">
      <c r="B159" s="6"/>
      <c r="C159" s="6"/>
      <c r="D159" s="7"/>
      <c r="E159" s="7"/>
      <c r="F159" s="18"/>
      <c r="G159" s="18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</row>
    <row r="160" spans="2:28">
      <c r="B160" s="6"/>
      <c r="C160" s="6"/>
      <c r="D160" s="7"/>
      <c r="E160" s="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</row>
    <row r="161" spans="2:28">
      <c r="B161" s="6"/>
      <c r="C161" s="6"/>
      <c r="D161" s="7"/>
      <c r="E161" s="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</row>
    <row r="162" spans="2:28">
      <c r="B162" s="6"/>
      <c r="C162" s="6"/>
      <c r="D162" s="7"/>
      <c r="E162" s="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</row>
    <row r="163" spans="2:28">
      <c r="B163" s="6"/>
      <c r="C163" s="6"/>
      <c r="D163" s="7"/>
      <c r="E163" s="7"/>
      <c r="F163" s="17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7"/>
      <c r="U163" s="17"/>
      <c r="V163" s="17"/>
      <c r="W163" s="17"/>
      <c r="X163" s="17"/>
      <c r="Y163" s="17"/>
      <c r="Z163" s="17"/>
      <c r="AA163" s="17"/>
      <c r="AB163" s="17"/>
    </row>
    <row r="164" spans="2:28">
      <c r="B164" s="6"/>
      <c r="C164" s="6"/>
      <c r="D164" s="7"/>
      <c r="E164" s="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</row>
    <row r="165" spans="2:28">
      <c r="B165" s="6"/>
      <c r="C165" s="6"/>
      <c r="D165" s="7"/>
      <c r="E165" s="7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7"/>
      <c r="U165" s="17"/>
      <c r="V165" s="17"/>
      <c r="W165" s="17"/>
      <c r="X165" s="17"/>
      <c r="Y165" s="17"/>
      <c r="Z165" s="17"/>
      <c r="AA165" s="17"/>
      <c r="AB165" s="17"/>
    </row>
    <row r="166" spans="2:28">
      <c r="B166" s="6"/>
      <c r="C166" s="6"/>
      <c r="D166" s="7"/>
      <c r="E166" s="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</row>
    <row r="167" spans="2:28">
      <c r="B167" s="6"/>
      <c r="C167" s="6"/>
      <c r="D167" s="7"/>
      <c r="E167" s="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</row>
    <row r="168" spans="2:28">
      <c r="B168" s="6"/>
      <c r="C168" s="6"/>
      <c r="D168" s="7"/>
      <c r="E168" s="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</row>
    <row r="169" spans="2:28">
      <c r="B169" s="6"/>
      <c r="C169" s="6"/>
      <c r="D169" s="7"/>
      <c r="E169" s="7"/>
      <c r="F169" s="17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7"/>
      <c r="U169" s="17"/>
      <c r="V169" s="17"/>
      <c r="W169" s="17"/>
      <c r="X169" s="17"/>
      <c r="Y169" s="17"/>
      <c r="Z169" s="17"/>
      <c r="AA169" s="17"/>
      <c r="AB169" s="17"/>
    </row>
    <row r="170" spans="2:28">
      <c r="B170" s="6"/>
      <c r="C170" s="6"/>
      <c r="D170" s="7"/>
      <c r="E170" s="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</row>
    <row r="171" spans="2:28">
      <c r="B171" s="6"/>
      <c r="C171" s="6"/>
      <c r="D171" s="7"/>
      <c r="E171" s="7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7"/>
      <c r="U171" s="17"/>
      <c r="V171" s="17"/>
      <c r="W171" s="17"/>
      <c r="X171" s="17"/>
      <c r="Y171" s="17"/>
      <c r="Z171" s="17"/>
      <c r="AA171" s="17"/>
      <c r="AB171" s="17"/>
    </row>
    <row r="172" spans="2:28">
      <c r="B172" s="6"/>
      <c r="C172" s="6"/>
      <c r="D172" s="7"/>
      <c r="E172" s="7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7"/>
      <c r="U172" s="17"/>
      <c r="V172" s="17"/>
      <c r="W172" s="17"/>
      <c r="X172" s="17"/>
      <c r="Y172" s="17"/>
      <c r="Z172" s="17"/>
      <c r="AA172" s="17"/>
      <c r="AB172" s="17"/>
    </row>
    <row r="173" spans="2:28">
      <c r="B173" s="6"/>
      <c r="C173" s="6"/>
      <c r="D173" s="7"/>
      <c r="E173" s="7"/>
      <c r="F173" s="18"/>
      <c r="G173" s="18"/>
      <c r="H173" s="18"/>
      <c r="I173" s="18"/>
      <c r="J173" s="18"/>
      <c r="K173" s="17"/>
      <c r="L173" s="17"/>
      <c r="M173" s="17"/>
      <c r="N173" s="17"/>
      <c r="O173" s="17"/>
      <c r="P173" s="17"/>
      <c r="Q173" s="18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</row>
    <row r="174" spans="2:28">
      <c r="B174" s="6"/>
      <c r="C174" s="6"/>
      <c r="D174" s="7"/>
      <c r="E174" s="7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7"/>
      <c r="U174" s="17"/>
      <c r="V174" s="17"/>
      <c r="W174" s="17"/>
      <c r="X174" s="17"/>
      <c r="Y174" s="17"/>
      <c r="Z174" s="17"/>
      <c r="AA174" s="17"/>
      <c r="AB174" s="17"/>
    </row>
    <row r="175" spans="2:28">
      <c r="B175" s="6"/>
      <c r="C175" s="6"/>
      <c r="D175" s="7"/>
      <c r="E175" s="7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7"/>
      <c r="U175" s="17"/>
      <c r="V175" s="17"/>
      <c r="W175" s="17"/>
      <c r="X175" s="17"/>
      <c r="Y175" s="17"/>
      <c r="Z175" s="17"/>
      <c r="AA175" s="17"/>
      <c r="AB175" s="17"/>
    </row>
    <row r="176" spans="2:28">
      <c r="B176" s="6"/>
      <c r="C176" s="6"/>
      <c r="D176" s="7"/>
      <c r="E176" s="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</row>
    <row r="177" spans="2:28">
      <c r="B177" s="6"/>
      <c r="C177" s="6"/>
      <c r="D177" s="7"/>
      <c r="E177" s="7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7"/>
      <c r="U177" s="17"/>
      <c r="V177" s="17"/>
      <c r="W177" s="17"/>
      <c r="X177" s="17"/>
      <c r="Y177" s="17"/>
      <c r="Z177" s="17"/>
      <c r="AA177" s="17"/>
      <c r="AB177" s="17"/>
    </row>
    <row r="178" spans="2:28">
      <c r="B178" s="6"/>
      <c r="C178" s="6"/>
      <c r="D178" s="7"/>
      <c r="E178" s="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</row>
    <row r="179" spans="2:28">
      <c r="B179" s="6"/>
      <c r="C179" s="6"/>
      <c r="D179" s="7"/>
      <c r="E179" s="7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7"/>
      <c r="U179" s="17"/>
      <c r="V179" s="17"/>
      <c r="W179" s="17"/>
      <c r="X179" s="17"/>
      <c r="Y179" s="17"/>
      <c r="Z179" s="17"/>
      <c r="AA179" s="17"/>
      <c r="AB179" s="17"/>
    </row>
    <row r="180" spans="2:28">
      <c r="B180" s="6"/>
      <c r="C180" s="6"/>
      <c r="D180" s="7"/>
      <c r="E180" s="7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7"/>
      <c r="U180" s="17"/>
      <c r="V180" s="17"/>
      <c r="W180" s="17"/>
      <c r="X180" s="17"/>
      <c r="Y180" s="17"/>
      <c r="Z180" s="17"/>
      <c r="AA180" s="17"/>
      <c r="AB180" s="17"/>
    </row>
    <row r="181" spans="2:28">
      <c r="B181" s="6"/>
      <c r="C181" s="6"/>
      <c r="D181" s="7"/>
      <c r="E181" s="7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7"/>
      <c r="U181" s="17"/>
      <c r="V181" s="17"/>
      <c r="W181" s="17"/>
      <c r="X181" s="17"/>
      <c r="Y181" s="17"/>
      <c r="Z181" s="17"/>
      <c r="AA181" s="17"/>
      <c r="AB181" s="17"/>
    </row>
    <row r="182" spans="2:28">
      <c r="B182" s="6"/>
      <c r="C182" s="6"/>
      <c r="D182" s="7"/>
      <c r="E182" s="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</row>
    <row r="183" spans="2:28">
      <c r="B183" s="6"/>
      <c r="C183" s="6"/>
      <c r="D183" s="7"/>
      <c r="E183" s="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</row>
    <row r="184" spans="2:28">
      <c r="B184" s="6"/>
      <c r="C184" s="6"/>
      <c r="D184" s="7"/>
      <c r="E184" s="7"/>
      <c r="F184" s="17"/>
      <c r="G184" s="17"/>
      <c r="H184" s="17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7"/>
      <c r="U184" s="17"/>
      <c r="V184" s="17"/>
      <c r="W184" s="17"/>
      <c r="X184" s="17"/>
      <c r="Y184" s="17"/>
      <c r="Z184" s="17"/>
      <c r="AA184" s="17"/>
      <c r="AB184" s="17"/>
    </row>
    <row r="185" spans="2:28">
      <c r="B185" s="6"/>
      <c r="C185" s="6"/>
      <c r="D185" s="7"/>
      <c r="E185" s="7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7"/>
      <c r="U185" s="17"/>
      <c r="V185" s="17"/>
      <c r="W185" s="17"/>
      <c r="X185" s="17"/>
      <c r="Y185" s="17"/>
      <c r="Z185" s="17"/>
      <c r="AA185" s="17"/>
      <c r="AB185" s="17"/>
    </row>
    <row r="186" spans="2:28">
      <c r="B186" s="6"/>
      <c r="C186" s="6"/>
      <c r="D186" s="7"/>
      <c r="E186" s="7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</row>
    <row r="187" spans="2:28">
      <c r="B187" s="6"/>
      <c r="C187" s="6"/>
      <c r="D187" s="7"/>
      <c r="E187" s="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</row>
    <row r="188" spans="2:28">
      <c r="B188" s="6"/>
      <c r="C188" s="6"/>
      <c r="D188" s="7"/>
      <c r="E188" s="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</row>
    <row r="189" spans="2:28">
      <c r="B189" s="6"/>
      <c r="C189" s="6"/>
      <c r="D189" s="7"/>
      <c r="E189" s="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</row>
    <row r="190" spans="2:28">
      <c r="B190" s="6"/>
      <c r="C190" s="6"/>
      <c r="D190" s="7"/>
      <c r="E190" s="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</row>
    <row r="191" spans="2:28">
      <c r="B191" s="6"/>
      <c r="C191" s="6"/>
      <c r="D191" s="7"/>
      <c r="E191" s="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</row>
    <row r="192" spans="2:28">
      <c r="B192" s="6"/>
      <c r="C192" s="6"/>
      <c r="D192" s="7"/>
      <c r="E192" s="7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7"/>
      <c r="U192" s="17"/>
      <c r="V192" s="17"/>
      <c r="W192" s="17"/>
      <c r="X192" s="17"/>
      <c r="Y192" s="17"/>
      <c r="Z192" s="17"/>
      <c r="AA192" s="17"/>
      <c r="AB192" s="17"/>
    </row>
    <row r="193" spans="2:28">
      <c r="B193" s="6"/>
      <c r="C193" s="6"/>
      <c r="D193" s="7"/>
      <c r="E193" s="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</row>
    <row r="194" spans="2:28">
      <c r="B194" s="6"/>
      <c r="C194" s="6"/>
      <c r="D194" s="7"/>
      <c r="E194" s="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</row>
    <row r="195" spans="2:28">
      <c r="B195" s="6"/>
      <c r="C195" s="6"/>
      <c r="D195" s="7"/>
      <c r="E195" s="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</row>
    <row r="196" spans="2:28">
      <c r="B196" s="6"/>
      <c r="C196" s="6"/>
      <c r="D196" s="7"/>
      <c r="E196" s="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</row>
    <row r="197" spans="2:28">
      <c r="B197" s="6"/>
      <c r="C197" s="6"/>
      <c r="D197" s="7"/>
      <c r="E197" s="7"/>
      <c r="F197" s="17"/>
      <c r="G197" s="17"/>
      <c r="H197" s="17"/>
      <c r="I197" s="17"/>
      <c r="J197" s="17"/>
      <c r="K197" s="18"/>
      <c r="L197" s="18"/>
      <c r="M197" s="18"/>
      <c r="N197" s="18"/>
      <c r="O197" s="18"/>
      <c r="P197" s="18"/>
      <c r="Q197" s="18"/>
      <c r="R197" s="18"/>
      <c r="S197" s="18"/>
      <c r="T197" s="17"/>
      <c r="U197" s="17"/>
      <c r="V197" s="17"/>
      <c r="W197" s="17"/>
      <c r="X197" s="17"/>
      <c r="Y197" s="17"/>
      <c r="Z197" s="17"/>
      <c r="AA197" s="17"/>
      <c r="AB197" s="17"/>
    </row>
    <row r="198" spans="2:28">
      <c r="B198" s="6"/>
      <c r="C198" s="6"/>
      <c r="D198" s="7"/>
      <c r="E198" s="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</row>
    <row r="199" spans="2:28">
      <c r="B199" s="6"/>
      <c r="C199" s="6"/>
      <c r="D199" s="7"/>
      <c r="E199" s="7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7"/>
      <c r="U199" s="17"/>
      <c r="V199" s="17"/>
      <c r="W199" s="17"/>
      <c r="X199" s="17"/>
      <c r="Y199" s="17"/>
      <c r="Z199" s="17"/>
      <c r="AA199" s="17"/>
      <c r="AB199" s="17"/>
    </row>
    <row r="200" spans="2:28">
      <c r="B200" s="6"/>
      <c r="C200" s="6"/>
      <c r="D200" s="7"/>
      <c r="E200" s="7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7"/>
      <c r="U200" s="17"/>
      <c r="V200" s="17"/>
      <c r="W200" s="17"/>
      <c r="X200" s="17"/>
      <c r="Y200" s="17"/>
      <c r="Z200" s="17"/>
      <c r="AA200" s="17"/>
      <c r="AB200" s="17"/>
    </row>
    <row r="201" spans="2:28">
      <c r="B201" s="6"/>
      <c r="C201" s="6"/>
      <c r="D201" s="7"/>
      <c r="E201" s="7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7"/>
      <c r="U201" s="17"/>
      <c r="V201" s="17"/>
      <c r="W201" s="17"/>
      <c r="X201" s="17"/>
      <c r="Y201" s="17"/>
      <c r="Z201" s="17"/>
      <c r="AA201" s="17"/>
      <c r="AB201" s="17"/>
    </row>
    <row r="202" spans="2:28">
      <c r="B202" s="6"/>
      <c r="C202" s="6"/>
      <c r="D202" s="7"/>
      <c r="E202" s="7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7"/>
      <c r="U202" s="17"/>
      <c r="V202" s="17"/>
      <c r="W202" s="17"/>
      <c r="X202" s="17"/>
      <c r="Y202" s="17"/>
      <c r="Z202" s="17"/>
      <c r="AA202" s="17"/>
      <c r="AB202" s="17"/>
    </row>
    <row r="203" spans="2:28">
      <c r="B203" s="6"/>
      <c r="C203" s="6"/>
      <c r="D203" s="7"/>
      <c r="E203" s="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</row>
    <row r="204" spans="2:28">
      <c r="B204" s="6"/>
      <c r="C204" s="6"/>
      <c r="D204" s="7"/>
      <c r="E204" s="7"/>
      <c r="F204" s="17"/>
      <c r="G204" s="17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7"/>
      <c r="U204" s="17"/>
      <c r="V204" s="17"/>
      <c r="W204" s="17"/>
      <c r="X204" s="17"/>
      <c r="Y204" s="17"/>
      <c r="Z204" s="17"/>
      <c r="AA204" s="17"/>
      <c r="AB204" s="17"/>
    </row>
  </sheetData>
  <conditionalFormatting sqref="D98:E98">
    <cfRule type="cellIs" dxfId="5" priority="1" operator="equal">
      <formula>"NA"</formula>
    </cfRule>
  </conditionalFormatting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3:AD91"/>
  <sheetViews>
    <sheetView zoomScale="75" zoomScaleNormal="75" workbookViewId="0">
      <selection activeCell="B10" sqref="A1:XFD1048576"/>
    </sheetView>
  </sheetViews>
  <sheetFormatPr defaultColWidth="9.140625" defaultRowHeight="14.45"/>
  <cols>
    <col min="1" max="1" width="14.28515625" style="1" bestFit="1" customWidth="1"/>
    <col min="2" max="3" width="63.7109375" style="1" bestFit="1" customWidth="1"/>
    <col min="4" max="4" width="22" style="1" bestFit="1" customWidth="1"/>
    <col min="5" max="30" width="17.5703125" style="160" customWidth="1"/>
    <col min="31" max="16384" width="9.140625" style="160"/>
  </cols>
  <sheetData>
    <row r="3" spans="1:30" ht="43.15">
      <c r="E3" s="198" t="s">
        <v>314</v>
      </c>
      <c r="F3" s="198" t="s">
        <v>314</v>
      </c>
      <c r="G3" s="198" t="s">
        <v>314</v>
      </c>
      <c r="H3" s="198" t="s">
        <v>314</v>
      </c>
      <c r="I3" s="198" t="s">
        <v>314</v>
      </c>
      <c r="J3" s="198" t="s">
        <v>314</v>
      </c>
      <c r="K3" s="198" t="s">
        <v>314</v>
      </c>
      <c r="L3" s="198" t="s">
        <v>314</v>
      </c>
      <c r="M3" s="198" t="s">
        <v>314</v>
      </c>
      <c r="N3" s="198" t="s">
        <v>314</v>
      </c>
      <c r="O3" s="198" t="s">
        <v>314</v>
      </c>
      <c r="P3" s="198" t="s">
        <v>314</v>
      </c>
      <c r="Q3" s="198" t="s">
        <v>314</v>
      </c>
      <c r="R3" s="198" t="s">
        <v>314</v>
      </c>
      <c r="S3" s="198" t="s">
        <v>314</v>
      </c>
      <c r="T3" s="198" t="s">
        <v>314</v>
      </c>
      <c r="U3" s="198" t="s">
        <v>314</v>
      </c>
      <c r="V3" s="198" t="s">
        <v>314</v>
      </c>
      <c r="W3" s="198" t="s">
        <v>314</v>
      </c>
      <c r="X3" s="198" t="s">
        <v>314</v>
      </c>
      <c r="Y3" s="198" t="s">
        <v>314</v>
      </c>
      <c r="Z3" s="198" t="s">
        <v>314</v>
      </c>
      <c r="AA3" s="198" t="s">
        <v>314</v>
      </c>
      <c r="AB3" s="198" t="s">
        <v>314</v>
      </c>
      <c r="AC3" s="198" t="s">
        <v>314</v>
      </c>
      <c r="AD3" s="198" t="s">
        <v>314</v>
      </c>
    </row>
    <row r="4" spans="1:30">
      <c r="B4" s="2"/>
      <c r="C4" s="2"/>
      <c r="D4" s="2"/>
      <c r="E4" s="198" t="s">
        <v>315</v>
      </c>
      <c r="F4" s="198" t="s">
        <v>315</v>
      </c>
      <c r="G4" s="198" t="s">
        <v>315</v>
      </c>
      <c r="H4" s="198" t="s">
        <v>315</v>
      </c>
      <c r="I4" s="198" t="s">
        <v>315</v>
      </c>
      <c r="J4" s="198" t="s">
        <v>315</v>
      </c>
      <c r="K4" s="198" t="s">
        <v>315</v>
      </c>
      <c r="L4" s="198" t="s">
        <v>315</v>
      </c>
      <c r="M4" s="198" t="s">
        <v>315</v>
      </c>
      <c r="N4" s="198" t="s">
        <v>315</v>
      </c>
      <c r="O4" s="198" t="s">
        <v>315</v>
      </c>
      <c r="P4" s="198" t="s">
        <v>315</v>
      </c>
      <c r="Q4" s="198" t="s">
        <v>315</v>
      </c>
      <c r="R4" s="198" t="s">
        <v>315</v>
      </c>
      <c r="S4" s="198" t="s">
        <v>315</v>
      </c>
      <c r="T4" s="198" t="s">
        <v>315</v>
      </c>
      <c r="U4" s="198" t="s">
        <v>315</v>
      </c>
      <c r="V4" s="198" t="s">
        <v>315</v>
      </c>
      <c r="W4" s="198" t="s">
        <v>315</v>
      </c>
      <c r="X4" s="198" t="s">
        <v>315</v>
      </c>
      <c r="Y4" s="198" t="s">
        <v>315</v>
      </c>
      <c r="Z4" s="198" t="s">
        <v>315</v>
      </c>
      <c r="AA4" s="198" t="s">
        <v>315</v>
      </c>
      <c r="AB4" s="198" t="s">
        <v>315</v>
      </c>
      <c r="AC4" s="198" t="s">
        <v>315</v>
      </c>
      <c r="AD4" s="198" t="s">
        <v>315</v>
      </c>
    </row>
    <row r="5" spans="1:30">
      <c r="A5" s="3" t="s">
        <v>271</v>
      </c>
      <c r="B5" s="4" t="s">
        <v>272</v>
      </c>
      <c r="C5" s="4" t="s">
        <v>273</v>
      </c>
      <c r="D5" s="5" t="s">
        <v>1</v>
      </c>
      <c r="E5" s="198" t="s">
        <v>141</v>
      </c>
      <c r="F5" s="198" t="s">
        <v>140</v>
      </c>
      <c r="G5" s="198" t="s">
        <v>136</v>
      </c>
      <c r="H5" s="198" t="s">
        <v>135</v>
      </c>
      <c r="I5" s="198" t="s">
        <v>133</v>
      </c>
      <c r="J5" s="198" t="s">
        <v>132</v>
      </c>
      <c r="K5" s="198" t="s">
        <v>130</v>
      </c>
      <c r="L5" s="198" t="s">
        <v>129</v>
      </c>
      <c r="M5" s="198" t="s">
        <v>128</v>
      </c>
      <c r="N5" s="198" t="s">
        <v>127</v>
      </c>
      <c r="O5" s="198" t="s">
        <v>126</v>
      </c>
      <c r="P5" s="198" t="s">
        <v>125</v>
      </c>
      <c r="Q5" s="198" t="s">
        <v>120</v>
      </c>
      <c r="R5" s="198" t="s">
        <v>118</v>
      </c>
      <c r="S5" s="198" t="s">
        <v>117</v>
      </c>
      <c r="T5" s="198" t="s">
        <v>116</v>
      </c>
      <c r="U5" s="198" t="s">
        <v>115</v>
      </c>
      <c r="V5" s="198" t="s">
        <v>114</v>
      </c>
      <c r="W5" s="198" t="s">
        <v>113</v>
      </c>
      <c r="X5" s="198" t="s">
        <v>111</v>
      </c>
      <c r="Y5" s="198" t="s">
        <v>107</v>
      </c>
      <c r="Z5" s="198" t="s">
        <v>106</v>
      </c>
      <c r="AA5" s="198" t="s">
        <v>100</v>
      </c>
      <c r="AB5" s="198" t="s">
        <v>316</v>
      </c>
      <c r="AC5" s="198" t="s">
        <v>317</v>
      </c>
      <c r="AD5" s="198" t="s">
        <v>318</v>
      </c>
    </row>
    <row r="6" spans="1:30">
      <c r="B6" s="2"/>
      <c r="C6" s="2"/>
      <c r="D6" s="2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</row>
    <row r="7" spans="1:30">
      <c r="B7" s="6" t="s">
        <v>274</v>
      </c>
      <c r="C7" s="6" t="s">
        <v>274</v>
      </c>
      <c r="D7" s="7">
        <v>4058513</v>
      </c>
      <c r="E7" s="199" t="s">
        <v>175</v>
      </c>
      <c r="F7" s="199" t="s">
        <v>175</v>
      </c>
      <c r="G7" s="199" t="s">
        <v>175</v>
      </c>
      <c r="H7" s="199">
        <v>128977</v>
      </c>
      <c r="I7" s="199">
        <v>120906</v>
      </c>
      <c r="J7" s="199">
        <v>116358</v>
      </c>
      <c r="K7" s="199">
        <v>109831</v>
      </c>
      <c r="L7" s="199">
        <v>105536</v>
      </c>
      <c r="M7" s="199">
        <v>102290</v>
      </c>
      <c r="N7" s="199">
        <v>98262</v>
      </c>
      <c r="O7" s="199">
        <v>96652</v>
      </c>
      <c r="P7" s="199">
        <v>92308</v>
      </c>
      <c r="Q7" s="199">
        <v>90669</v>
      </c>
      <c r="R7" s="199">
        <v>88650</v>
      </c>
      <c r="S7" s="199">
        <v>85646</v>
      </c>
      <c r="T7" s="199">
        <v>83314</v>
      </c>
      <c r="U7" s="199">
        <v>80735</v>
      </c>
      <c r="V7" s="199">
        <v>63503</v>
      </c>
      <c r="W7" s="199">
        <v>61454</v>
      </c>
      <c r="X7" s="199" t="s">
        <v>175</v>
      </c>
      <c r="Y7" s="199" t="s">
        <v>175</v>
      </c>
      <c r="Z7" s="199" t="s">
        <v>175</v>
      </c>
      <c r="AA7" s="199" t="s">
        <v>175</v>
      </c>
      <c r="AB7" s="199" t="s">
        <v>175</v>
      </c>
      <c r="AC7" s="199" t="s">
        <v>175</v>
      </c>
      <c r="AD7" s="199" t="s">
        <v>175</v>
      </c>
    </row>
    <row r="8" spans="1:30">
      <c r="B8" s="6" t="s">
        <v>98</v>
      </c>
      <c r="C8" s="6" t="s">
        <v>98</v>
      </c>
      <c r="D8" s="7">
        <v>4054707</v>
      </c>
      <c r="E8" s="199">
        <v>4298411</v>
      </c>
      <c r="F8" s="199">
        <v>4142785</v>
      </c>
      <c r="G8" s="199">
        <v>3940130</v>
      </c>
      <c r="H8" s="199">
        <v>3765040</v>
      </c>
      <c r="I8" s="199">
        <v>3589050</v>
      </c>
      <c r="J8" s="199">
        <v>3411677</v>
      </c>
      <c r="K8" s="199">
        <v>3210431</v>
      </c>
      <c r="L8" s="199">
        <v>3060459</v>
      </c>
      <c r="M8" s="199">
        <v>2931312</v>
      </c>
      <c r="N8" s="199">
        <v>2865754</v>
      </c>
      <c r="O8" s="199">
        <v>2723387</v>
      </c>
      <c r="P8" s="199">
        <v>2612180</v>
      </c>
      <c r="Q8" s="199">
        <v>2449306</v>
      </c>
      <c r="R8" s="199">
        <v>2360198</v>
      </c>
      <c r="S8" s="199">
        <v>2299507</v>
      </c>
      <c r="T8" s="199">
        <v>2235159</v>
      </c>
      <c r="U8" s="199">
        <v>2127817</v>
      </c>
      <c r="V8" s="199">
        <v>2005820</v>
      </c>
      <c r="W8" s="199">
        <v>1941213</v>
      </c>
      <c r="X8" s="199">
        <v>1828881</v>
      </c>
      <c r="Y8" s="199">
        <v>1743696</v>
      </c>
      <c r="Z8" s="199">
        <v>1674869</v>
      </c>
      <c r="AA8" s="199">
        <v>1551165</v>
      </c>
      <c r="AB8" s="199">
        <v>1477934</v>
      </c>
      <c r="AC8" s="199">
        <v>1394178</v>
      </c>
      <c r="AD8" s="199">
        <v>1300293</v>
      </c>
    </row>
    <row r="9" spans="1:30">
      <c r="B9" s="6" t="s">
        <v>145</v>
      </c>
      <c r="C9" s="6" t="s">
        <v>145</v>
      </c>
      <c r="D9" s="7">
        <v>4057075</v>
      </c>
      <c r="E9" s="199">
        <v>1284443</v>
      </c>
      <c r="F9" s="199">
        <v>1207392</v>
      </c>
      <c r="G9" s="199">
        <v>1124838</v>
      </c>
      <c r="H9" s="199">
        <v>1032674</v>
      </c>
      <c r="I9" s="199">
        <v>954102</v>
      </c>
      <c r="J9" s="199">
        <v>878792</v>
      </c>
      <c r="K9" s="199">
        <v>810296</v>
      </c>
      <c r="L9" s="199">
        <v>761853</v>
      </c>
      <c r="M9" s="199">
        <v>704623</v>
      </c>
      <c r="N9" s="199">
        <v>683732</v>
      </c>
      <c r="O9" s="199">
        <v>652890</v>
      </c>
      <c r="P9" s="199">
        <v>630546</v>
      </c>
      <c r="Q9" s="199">
        <v>599422</v>
      </c>
      <c r="R9" s="199">
        <v>547114</v>
      </c>
      <c r="S9" s="199">
        <v>502237</v>
      </c>
      <c r="T9" s="199">
        <v>471575</v>
      </c>
      <c r="U9" s="199">
        <v>469415</v>
      </c>
      <c r="V9" s="199">
        <v>449501</v>
      </c>
      <c r="W9" s="199">
        <v>430273</v>
      </c>
      <c r="X9" s="199">
        <v>414422</v>
      </c>
      <c r="Y9" s="199">
        <v>396100</v>
      </c>
      <c r="Z9" s="199">
        <v>372208</v>
      </c>
      <c r="AA9" s="199">
        <v>352332</v>
      </c>
      <c r="AB9" s="199">
        <v>310486</v>
      </c>
      <c r="AC9" s="199">
        <v>302853</v>
      </c>
      <c r="AD9" s="199">
        <v>276295</v>
      </c>
    </row>
    <row r="10" spans="1:30">
      <c r="A10" s="1" t="s">
        <v>275</v>
      </c>
      <c r="B10" s="6" t="s">
        <v>154</v>
      </c>
      <c r="C10" s="6" t="s">
        <v>154</v>
      </c>
      <c r="D10" s="7">
        <v>4007784</v>
      </c>
      <c r="E10" s="199">
        <v>3183762</v>
      </c>
      <c r="F10" s="199">
        <v>2876921</v>
      </c>
      <c r="G10" s="199">
        <v>2505627</v>
      </c>
      <c r="H10" s="199">
        <v>2265054</v>
      </c>
      <c r="I10" s="199">
        <v>2067727</v>
      </c>
      <c r="J10" s="199">
        <v>1853697</v>
      </c>
      <c r="K10" s="199">
        <v>1665849</v>
      </c>
      <c r="L10" s="199">
        <v>1571725</v>
      </c>
      <c r="M10" s="199">
        <v>1465103</v>
      </c>
      <c r="N10" s="199">
        <v>1307437</v>
      </c>
      <c r="O10" s="199">
        <v>1239535</v>
      </c>
      <c r="P10" s="199">
        <v>1187015</v>
      </c>
      <c r="Q10" s="199">
        <v>1152093</v>
      </c>
      <c r="R10" s="199">
        <v>1112176</v>
      </c>
      <c r="S10" s="199">
        <v>1081790</v>
      </c>
      <c r="T10" s="199">
        <v>1053715</v>
      </c>
      <c r="U10" s="199">
        <v>1025611</v>
      </c>
      <c r="V10" s="199">
        <v>1007402</v>
      </c>
      <c r="W10" s="199">
        <v>985953</v>
      </c>
      <c r="X10" s="199">
        <v>962452</v>
      </c>
      <c r="Y10" s="199">
        <v>939292</v>
      </c>
      <c r="Z10" s="199">
        <v>914248</v>
      </c>
      <c r="AA10" s="199">
        <v>868360</v>
      </c>
      <c r="AB10" s="199">
        <v>800567</v>
      </c>
      <c r="AC10" s="199">
        <v>728827</v>
      </c>
      <c r="AD10" s="199">
        <v>646102</v>
      </c>
    </row>
    <row r="11" spans="1:30">
      <c r="A11" s="1" t="s">
        <v>275</v>
      </c>
      <c r="B11" s="6" t="s">
        <v>276</v>
      </c>
      <c r="C11" s="6" t="s">
        <v>277</v>
      </c>
      <c r="D11" s="7">
        <v>4058656</v>
      </c>
      <c r="E11" s="199">
        <v>1873509</v>
      </c>
      <c r="F11" s="199">
        <v>1819347</v>
      </c>
      <c r="G11" s="199">
        <v>1494030</v>
      </c>
      <c r="H11" s="199">
        <v>1383288</v>
      </c>
      <c r="I11" s="199">
        <v>1277733</v>
      </c>
      <c r="J11" s="199">
        <v>1171905</v>
      </c>
      <c r="K11" s="199">
        <v>1115172</v>
      </c>
      <c r="L11" s="199">
        <v>1026799</v>
      </c>
      <c r="M11" s="199">
        <v>1021868</v>
      </c>
      <c r="N11" s="199">
        <v>960222</v>
      </c>
      <c r="O11" s="199">
        <v>914270</v>
      </c>
      <c r="P11" s="199">
        <v>883075</v>
      </c>
      <c r="Q11" s="199">
        <v>841795</v>
      </c>
      <c r="R11" s="199">
        <v>792573</v>
      </c>
      <c r="S11" s="199">
        <v>744977</v>
      </c>
      <c r="T11" s="199">
        <v>691819</v>
      </c>
      <c r="U11" s="199">
        <v>337161</v>
      </c>
      <c r="V11" s="199">
        <v>319622</v>
      </c>
      <c r="W11" s="199">
        <v>298148</v>
      </c>
      <c r="X11" s="199">
        <v>284438</v>
      </c>
      <c r="Y11" s="199" t="s">
        <v>175</v>
      </c>
      <c r="Z11" s="199">
        <v>258132</v>
      </c>
      <c r="AA11" s="199" t="s">
        <v>175</v>
      </c>
      <c r="AB11" s="199" t="s">
        <v>175</v>
      </c>
      <c r="AC11" s="199" t="s">
        <v>175</v>
      </c>
      <c r="AD11" s="199" t="s">
        <v>175</v>
      </c>
    </row>
    <row r="12" spans="1:30">
      <c r="A12" s="1" t="s">
        <v>275</v>
      </c>
      <c r="B12" s="6" t="s">
        <v>162</v>
      </c>
      <c r="C12" s="6" t="s">
        <v>163</v>
      </c>
      <c r="D12" s="7">
        <v>4057110</v>
      </c>
      <c r="E12" s="199">
        <v>106266</v>
      </c>
      <c r="F12" s="199">
        <v>102504</v>
      </c>
      <c r="G12" s="199">
        <v>90838</v>
      </c>
      <c r="H12" s="199">
        <v>86333</v>
      </c>
      <c r="I12" s="199">
        <v>82200</v>
      </c>
      <c r="J12" s="199">
        <v>77397</v>
      </c>
      <c r="K12" s="199">
        <v>75105</v>
      </c>
      <c r="L12" s="199">
        <v>71402</v>
      </c>
      <c r="M12" s="199">
        <v>66003</v>
      </c>
      <c r="N12" s="199">
        <v>62042</v>
      </c>
      <c r="O12" s="199">
        <v>59756</v>
      </c>
      <c r="P12" s="199">
        <v>58093</v>
      </c>
      <c r="Q12" s="199">
        <v>56904</v>
      </c>
      <c r="R12" s="199">
        <v>54704</v>
      </c>
      <c r="S12" s="199">
        <v>53091</v>
      </c>
      <c r="T12" s="199">
        <v>51779</v>
      </c>
      <c r="U12" s="199">
        <v>50101</v>
      </c>
      <c r="V12" s="199">
        <v>48427</v>
      </c>
      <c r="W12" s="199">
        <v>47020</v>
      </c>
      <c r="X12" s="199">
        <v>45592</v>
      </c>
      <c r="Y12" s="199">
        <v>43939</v>
      </c>
      <c r="Z12" s="199">
        <v>45523</v>
      </c>
      <c r="AA12" s="199">
        <v>43857</v>
      </c>
      <c r="AB12" s="199">
        <v>91030</v>
      </c>
      <c r="AC12" s="199">
        <v>85051</v>
      </c>
      <c r="AD12" s="199">
        <v>80162</v>
      </c>
    </row>
    <row r="13" spans="1:30">
      <c r="B13" s="6" t="s">
        <v>165</v>
      </c>
      <c r="C13" s="6" t="s">
        <v>165</v>
      </c>
      <c r="D13" s="7">
        <v>4058516</v>
      </c>
      <c r="E13" s="199">
        <v>329788</v>
      </c>
      <c r="F13" s="199">
        <v>305091</v>
      </c>
      <c r="G13" s="199">
        <v>288018</v>
      </c>
      <c r="H13" s="199">
        <v>272328</v>
      </c>
      <c r="I13" s="199">
        <v>241828</v>
      </c>
      <c r="J13" s="199">
        <v>208299</v>
      </c>
      <c r="K13" s="199">
        <v>184674</v>
      </c>
      <c r="L13" s="199">
        <v>169612</v>
      </c>
      <c r="M13" s="199">
        <v>156344</v>
      </c>
      <c r="N13" s="199">
        <v>141621</v>
      </c>
      <c r="O13" s="199">
        <v>130878</v>
      </c>
      <c r="P13" s="199">
        <v>122891</v>
      </c>
      <c r="Q13" s="199">
        <v>119345</v>
      </c>
      <c r="R13" s="199">
        <v>117412</v>
      </c>
      <c r="S13" s="199">
        <v>112607</v>
      </c>
      <c r="T13" s="199">
        <v>105281</v>
      </c>
      <c r="U13" s="199">
        <v>98571</v>
      </c>
      <c r="V13" s="199">
        <v>94002</v>
      </c>
      <c r="W13" s="199">
        <v>90093</v>
      </c>
      <c r="X13" s="199">
        <v>87180</v>
      </c>
      <c r="Y13" s="199">
        <v>84789</v>
      </c>
      <c r="Z13" s="199">
        <v>112753</v>
      </c>
      <c r="AA13" s="199">
        <v>108976</v>
      </c>
      <c r="AB13" s="199">
        <v>104041</v>
      </c>
      <c r="AC13" s="199">
        <v>97745</v>
      </c>
      <c r="AD13" s="199">
        <v>93372</v>
      </c>
    </row>
    <row r="14" spans="1:30">
      <c r="B14" s="6" t="s">
        <v>167</v>
      </c>
      <c r="C14" s="6" t="s">
        <v>167</v>
      </c>
      <c r="D14" s="7">
        <v>4058793</v>
      </c>
      <c r="E14" s="199">
        <v>15209</v>
      </c>
      <c r="F14" s="199">
        <v>13055</v>
      </c>
      <c r="G14" s="199">
        <v>11697</v>
      </c>
      <c r="H14" s="199">
        <v>9326</v>
      </c>
      <c r="I14" s="199">
        <v>9679</v>
      </c>
      <c r="J14" s="199">
        <v>9214</v>
      </c>
      <c r="K14" s="199">
        <v>8945</v>
      </c>
      <c r="L14" s="199">
        <v>8841</v>
      </c>
      <c r="M14" s="199">
        <v>8799</v>
      </c>
      <c r="N14" s="199">
        <v>8379</v>
      </c>
      <c r="O14" s="199">
        <v>8152</v>
      </c>
      <c r="P14" s="199">
        <v>7950</v>
      </c>
      <c r="Q14" s="199">
        <v>7510</v>
      </c>
      <c r="R14" s="199">
        <v>7221</v>
      </c>
      <c r="S14" s="199">
        <v>6946</v>
      </c>
      <c r="T14" s="199">
        <v>6731</v>
      </c>
      <c r="U14" s="199">
        <v>6282</v>
      </c>
      <c r="V14" s="199">
        <v>5654</v>
      </c>
      <c r="W14" s="199">
        <v>5314</v>
      </c>
      <c r="X14" s="199">
        <v>4913</v>
      </c>
      <c r="Y14" s="199">
        <v>4437</v>
      </c>
      <c r="Z14" s="199">
        <v>4141</v>
      </c>
      <c r="AA14" s="199">
        <v>3722</v>
      </c>
      <c r="AB14" s="199" t="s">
        <v>175</v>
      </c>
      <c r="AC14" s="199" t="s">
        <v>175</v>
      </c>
      <c r="AD14" s="199" t="s">
        <v>175</v>
      </c>
    </row>
    <row r="15" spans="1:30">
      <c r="A15" s="1" t="s">
        <v>275</v>
      </c>
      <c r="B15" s="6" t="s">
        <v>169</v>
      </c>
      <c r="C15" s="6" t="s">
        <v>169</v>
      </c>
      <c r="D15" s="7">
        <v>4057111</v>
      </c>
      <c r="E15" s="199">
        <v>1762077</v>
      </c>
      <c r="F15" s="199">
        <v>1697382</v>
      </c>
      <c r="G15" s="199">
        <v>1553580</v>
      </c>
      <c r="H15" s="199">
        <v>1490636</v>
      </c>
      <c r="I15" s="199">
        <v>1384633</v>
      </c>
      <c r="J15" s="199">
        <v>1371149</v>
      </c>
      <c r="K15" s="199">
        <v>1306636</v>
      </c>
      <c r="L15" s="199">
        <v>1232858</v>
      </c>
      <c r="M15" s="199">
        <v>1194008</v>
      </c>
      <c r="N15" s="199">
        <v>1104252</v>
      </c>
      <c r="O15" s="199">
        <v>1019751</v>
      </c>
      <c r="P15" s="199">
        <v>869974</v>
      </c>
      <c r="Q15" s="199">
        <v>770115</v>
      </c>
      <c r="R15" s="199">
        <v>698979</v>
      </c>
      <c r="S15" s="199">
        <v>652199</v>
      </c>
      <c r="T15" s="199">
        <v>604002</v>
      </c>
      <c r="U15" s="199">
        <v>591516</v>
      </c>
      <c r="V15" s="199">
        <v>535858</v>
      </c>
      <c r="W15" s="199">
        <v>1056834</v>
      </c>
      <c r="X15" s="199">
        <v>963728</v>
      </c>
      <c r="Y15" s="199">
        <v>869935</v>
      </c>
      <c r="Z15" s="199">
        <v>814117</v>
      </c>
      <c r="AA15" s="199">
        <v>770899</v>
      </c>
      <c r="AB15" s="199">
        <v>724048</v>
      </c>
      <c r="AC15" s="199">
        <v>674842</v>
      </c>
      <c r="AD15" s="199">
        <v>628965</v>
      </c>
    </row>
    <row r="16" spans="1:30">
      <c r="A16" s="1" t="s">
        <v>275</v>
      </c>
      <c r="B16" s="6" t="s">
        <v>170</v>
      </c>
      <c r="C16" s="6" t="s">
        <v>170</v>
      </c>
      <c r="D16" s="7">
        <v>4018679</v>
      </c>
      <c r="E16" s="199">
        <v>6056781</v>
      </c>
      <c r="F16" s="199">
        <v>5693498</v>
      </c>
      <c r="G16" s="199">
        <v>4849069</v>
      </c>
      <c r="H16" s="199">
        <v>4249244</v>
      </c>
      <c r="I16" s="199">
        <v>3800745</v>
      </c>
      <c r="J16" s="199">
        <v>3656745</v>
      </c>
      <c r="K16" s="199">
        <v>3446169</v>
      </c>
      <c r="L16" s="199">
        <v>3196294</v>
      </c>
      <c r="M16" s="199">
        <v>3112462</v>
      </c>
      <c r="N16" s="199">
        <v>3006226</v>
      </c>
      <c r="O16" s="199">
        <v>2850055</v>
      </c>
      <c r="P16" s="199">
        <v>2702511</v>
      </c>
      <c r="Q16" s="199">
        <v>2588733</v>
      </c>
      <c r="R16" s="199">
        <v>2417141</v>
      </c>
      <c r="S16" s="199">
        <v>2314850</v>
      </c>
      <c r="T16" s="199">
        <v>2195227</v>
      </c>
      <c r="U16" s="199">
        <v>2102315</v>
      </c>
      <c r="V16" s="199">
        <v>1973656</v>
      </c>
      <c r="W16" s="199">
        <v>1854279</v>
      </c>
      <c r="X16" s="199">
        <v>1751455</v>
      </c>
      <c r="Y16" s="199">
        <v>1685592</v>
      </c>
      <c r="Z16" s="199">
        <v>1603590</v>
      </c>
      <c r="AA16" s="199">
        <v>1518875</v>
      </c>
      <c r="AB16" s="199">
        <v>1452939</v>
      </c>
      <c r="AC16" s="199">
        <v>1386063</v>
      </c>
      <c r="AD16" s="199">
        <v>1296880</v>
      </c>
    </row>
    <row r="17" spans="1:30">
      <c r="B17" s="6" t="s">
        <v>172</v>
      </c>
      <c r="C17" s="6" t="s">
        <v>172</v>
      </c>
      <c r="D17" s="7">
        <v>4057112</v>
      </c>
      <c r="E17" s="199">
        <v>1097470</v>
      </c>
      <c r="F17" s="199">
        <v>1003218</v>
      </c>
      <c r="G17" s="199">
        <v>938699</v>
      </c>
      <c r="H17" s="199">
        <v>864003</v>
      </c>
      <c r="I17" s="199">
        <v>801240</v>
      </c>
      <c r="J17" s="199">
        <v>750455</v>
      </c>
      <c r="K17" s="199">
        <v>700157</v>
      </c>
      <c r="L17" s="199">
        <v>674675</v>
      </c>
      <c r="M17" s="199">
        <v>650754</v>
      </c>
      <c r="N17" s="199">
        <v>623284</v>
      </c>
      <c r="O17" s="199">
        <v>612262</v>
      </c>
      <c r="P17" s="199">
        <v>605744</v>
      </c>
      <c r="Q17" s="199">
        <v>596305</v>
      </c>
      <c r="R17" s="199">
        <v>572919</v>
      </c>
      <c r="S17" s="199">
        <v>552758</v>
      </c>
      <c r="T17" s="199">
        <v>536865</v>
      </c>
      <c r="U17" s="199">
        <v>514397</v>
      </c>
      <c r="V17" s="199">
        <v>479106</v>
      </c>
      <c r="W17" s="199">
        <v>455188</v>
      </c>
      <c r="X17" s="199">
        <v>435850</v>
      </c>
      <c r="Y17" s="199">
        <v>422340</v>
      </c>
      <c r="Z17" s="199">
        <v>408492</v>
      </c>
      <c r="AA17" s="199">
        <v>389794</v>
      </c>
      <c r="AB17" s="199">
        <v>371764</v>
      </c>
      <c r="AC17" s="199">
        <v>348375</v>
      </c>
      <c r="AD17" s="199">
        <v>313981</v>
      </c>
    </row>
    <row r="18" spans="1:30">
      <c r="A18" s="1" t="s">
        <v>275</v>
      </c>
      <c r="B18" s="6" t="s">
        <v>173</v>
      </c>
      <c r="C18" s="6" t="s">
        <v>173</v>
      </c>
      <c r="D18" s="7">
        <v>4057076</v>
      </c>
      <c r="E18" s="199" t="s">
        <v>175</v>
      </c>
      <c r="F18" s="199">
        <v>555806</v>
      </c>
      <c r="G18" s="199">
        <v>507034</v>
      </c>
      <c r="H18" s="199">
        <v>444474</v>
      </c>
      <c r="I18" s="199">
        <v>400854</v>
      </c>
      <c r="J18" s="199">
        <v>360938</v>
      </c>
      <c r="K18" s="199">
        <v>326724</v>
      </c>
      <c r="L18" s="199">
        <v>304469</v>
      </c>
      <c r="M18" s="199">
        <v>270716</v>
      </c>
      <c r="N18" s="199">
        <v>252699</v>
      </c>
      <c r="O18" s="199">
        <v>240247</v>
      </c>
      <c r="P18" s="199">
        <v>230224</v>
      </c>
      <c r="Q18" s="199">
        <v>214171</v>
      </c>
      <c r="R18" s="199">
        <v>200954</v>
      </c>
      <c r="S18" s="199">
        <v>191746</v>
      </c>
      <c r="T18" s="199">
        <v>179702</v>
      </c>
      <c r="U18" s="199">
        <v>168147</v>
      </c>
      <c r="V18" s="199">
        <v>153214</v>
      </c>
      <c r="W18" s="199">
        <v>143692</v>
      </c>
      <c r="X18" s="199">
        <v>135245</v>
      </c>
      <c r="Y18" s="199">
        <v>128712</v>
      </c>
      <c r="Z18" s="199">
        <v>121513</v>
      </c>
      <c r="AA18" s="199">
        <v>115543</v>
      </c>
      <c r="AB18" s="199">
        <v>108717</v>
      </c>
      <c r="AC18" s="199">
        <v>103980</v>
      </c>
      <c r="AD18" s="199">
        <v>100002</v>
      </c>
    </row>
    <row r="19" spans="1:30">
      <c r="B19" s="6" t="s">
        <v>278</v>
      </c>
      <c r="C19" s="6" t="s">
        <v>278</v>
      </c>
      <c r="D19" s="7">
        <v>4059166</v>
      </c>
      <c r="E19" s="199">
        <v>296444</v>
      </c>
      <c r="F19" s="199">
        <v>281383</v>
      </c>
      <c r="G19" s="199">
        <v>233817</v>
      </c>
      <c r="H19" s="199">
        <v>229711</v>
      </c>
      <c r="I19" s="199">
        <v>223107</v>
      </c>
      <c r="J19" s="199">
        <v>213988</v>
      </c>
      <c r="K19" s="199">
        <v>202640</v>
      </c>
      <c r="L19" s="199">
        <v>184939</v>
      </c>
      <c r="M19" s="199">
        <v>179222</v>
      </c>
      <c r="N19" s="199">
        <v>174628</v>
      </c>
      <c r="O19" s="199">
        <v>165127</v>
      </c>
      <c r="P19" s="199">
        <v>163896</v>
      </c>
      <c r="Q19" s="199">
        <v>154228</v>
      </c>
      <c r="R19" s="199">
        <v>150943</v>
      </c>
      <c r="S19" s="199">
        <v>146249</v>
      </c>
      <c r="T19" s="199">
        <v>139787</v>
      </c>
      <c r="U19" s="199">
        <v>137746</v>
      </c>
      <c r="V19" s="199">
        <v>133531</v>
      </c>
      <c r="W19" s="199">
        <v>132140</v>
      </c>
      <c r="X19" s="199">
        <v>130375</v>
      </c>
      <c r="Y19" s="199">
        <v>126193</v>
      </c>
      <c r="Z19" s="199" t="s">
        <v>175</v>
      </c>
      <c r="AA19" s="199" t="s">
        <v>175</v>
      </c>
      <c r="AB19" s="199">
        <v>109326</v>
      </c>
      <c r="AC19" s="199">
        <v>103545</v>
      </c>
      <c r="AD19" s="199">
        <v>97605</v>
      </c>
    </row>
    <row r="20" spans="1:30">
      <c r="B20" s="6" t="s">
        <v>279</v>
      </c>
      <c r="C20" s="6" t="s">
        <v>279</v>
      </c>
      <c r="D20" s="7">
        <v>4059227</v>
      </c>
      <c r="E20" s="199">
        <v>27002</v>
      </c>
      <c r="F20" s="199">
        <v>26354</v>
      </c>
      <c r="G20" s="199">
        <v>25896</v>
      </c>
      <c r="H20" s="199">
        <v>25510</v>
      </c>
      <c r="I20" s="199">
        <v>25120</v>
      </c>
      <c r="J20" s="199">
        <v>24515</v>
      </c>
      <c r="K20" s="199">
        <v>24137</v>
      </c>
      <c r="L20" s="199">
        <v>24091</v>
      </c>
      <c r="M20" s="199">
        <v>23312</v>
      </c>
      <c r="N20" s="199">
        <v>23117</v>
      </c>
      <c r="O20" s="199">
        <v>22823</v>
      </c>
      <c r="P20" s="199">
        <v>22356</v>
      </c>
      <c r="Q20" s="199">
        <v>22156</v>
      </c>
      <c r="R20" s="199">
        <v>21479</v>
      </c>
      <c r="S20" s="199">
        <v>21430</v>
      </c>
      <c r="T20" s="199">
        <v>21125</v>
      </c>
      <c r="U20" s="199" t="s">
        <v>175</v>
      </c>
      <c r="V20" s="199">
        <v>20331</v>
      </c>
      <c r="W20" s="199">
        <v>20046</v>
      </c>
      <c r="X20" s="199" t="s">
        <v>175</v>
      </c>
      <c r="Y20" s="199">
        <v>19098</v>
      </c>
      <c r="Z20" s="199" t="s">
        <v>175</v>
      </c>
      <c r="AA20" s="199" t="s">
        <v>175</v>
      </c>
      <c r="AB20" s="199" t="s">
        <v>175</v>
      </c>
      <c r="AC20" s="199">
        <v>16599</v>
      </c>
      <c r="AD20" s="199">
        <v>15589</v>
      </c>
    </row>
    <row r="21" spans="1:30">
      <c r="A21" s="1" t="s">
        <v>275</v>
      </c>
      <c r="B21" s="6" t="s">
        <v>174</v>
      </c>
      <c r="C21" s="6" t="s">
        <v>174</v>
      </c>
      <c r="D21" s="7">
        <v>4057114</v>
      </c>
      <c r="E21" s="199">
        <v>368622</v>
      </c>
      <c r="F21" s="199">
        <v>335476</v>
      </c>
      <c r="G21" s="199">
        <v>323758</v>
      </c>
      <c r="H21" s="199">
        <v>315941</v>
      </c>
      <c r="I21" s="199">
        <v>310579</v>
      </c>
      <c r="J21" s="199">
        <v>307640</v>
      </c>
      <c r="K21" s="199">
        <v>302670</v>
      </c>
      <c r="L21" s="199">
        <v>294600</v>
      </c>
      <c r="M21" s="199">
        <v>286003</v>
      </c>
      <c r="N21" s="199">
        <v>272165</v>
      </c>
      <c r="O21" s="199">
        <v>258530</v>
      </c>
      <c r="P21" s="199">
        <v>249579</v>
      </c>
      <c r="Q21" s="199">
        <v>237138</v>
      </c>
      <c r="R21" s="199">
        <v>228701</v>
      </c>
      <c r="S21" s="199">
        <v>216942</v>
      </c>
      <c r="T21" s="199">
        <v>210981</v>
      </c>
      <c r="U21" s="199">
        <v>202883</v>
      </c>
      <c r="V21" s="199">
        <v>193273</v>
      </c>
      <c r="W21" s="199">
        <v>396950</v>
      </c>
      <c r="X21" s="199">
        <v>379852</v>
      </c>
      <c r="Y21" s="199">
        <v>357967</v>
      </c>
      <c r="Z21" s="199">
        <v>354136</v>
      </c>
      <c r="AA21" s="199">
        <v>330984</v>
      </c>
      <c r="AB21" s="199">
        <v>308602</v>
      </c>
      <c r="AC21" s="199">
        <v>283606</v>
      </c>
      <c r="AD21" s="199">
        <v>262585</v>
      </c>
    </row>
    <row r="22" spans="1:30">
      <c r="B22" s="6" t="s">
        <v>176</v>
      </c>
      <c r="C22" s="6" t="s">
        <v>176</v>
      </c>
      <c r="D22" s="7">
        <v>4059355</v>
      </c>
      <c r="E22" s="199">
        <v>579684</v>
      </c>
      <c r="F22" s="199">
        <v>526943</v>
      </c>
      <c r="G22" s="199">
        <v>478407</v>
      </c>
      <c r="H22" s="199">
        <v>445905</v>
      </c>
      <c r="I22" s="199">
        <v>415187</v>
      </c>
      <c r="J22" s="199">
        <v>384458</v>
      </c>
      <c r="K22" s="199">
        <v>354917</v>
      </c>
      <c r="L22" s="199">
        <v>327919</v>
      </c>
      <c r="M22" s="199">
        <v>310090</v>
      </c>
      <c r="N22" s="199">
        <v>295096</v>
      </c>
      <c r="O22" s="199">
        <v>282814</v>
      </c>
      <c r="P22" s="199">
        <v>275331</v>
      </c>
      <c r="Q22" s="199">
        <v>265568</v>
      </c>
      <c r="R22" s="199">
        <v>254761</v>
      </c>
      <c r="S22" s="199">
        <v>247385</v>
      </c>
      <c r="T22" s="199">
        <v>238119</v>
      </c>
      <c r="U22" s="199">
        <v>232522</v>
      </c>
      <c r="V22" s="199">
        <v>228320</v>
      </c>
      <c r="W22" s="199">
        <v>223209</v>
      </c>
      <c r="X22" s="199">
        <v>212591</v>
      </c>
      <c r="Y22" s="199">
        <v>203849</v>
      </c>
      <c r="Z22" s="199">
        <v>195708</v>
      </c>
      <c r="AA22" s="199">
        <v>186927</v>
      </c>
      <c r="AB22" s="199">
        <v>178739</v>
      </c>
      <c r="AC22" s="199">
        <v>174808</v>
      </c>
      <c r="AD22" s="199">
        <v>163848</v>
      </c>
    </row>
    <row r="23" spans="1:30">
      <c r="B23" s="6" t="s">
        <v>178</v>
      </c>
      <c r="C23" s="6" t="s">
        <v>178</v>
      </c>
      <c r="D23" s="7">
        <v>4088325</v>
      </c>
      <c r="E23" s="199">
        <v>245278</v>
      </c>
      <c r="F23" s="199">
        <v>227295</v>
      </c>
      <c r="G23" s="199">
        <v>202283</v>
      </c>
      <c r="H23" s="199">
        <v>182631</v>
      </c>
      <c r="I23" s="199">
        <v>166586</v>
      </c>
      <c r="J23" s="199">
        <v>157184</v>
      </c>
      <c r="K23" s="199">
        <v>142799</v>
      </c>
      <c r="L23" s="199">
        <v>131123</v>
      </c>
      <c r="M23" s="199">
        <v>123607</v>
      </c>
      <c r="N23" s="199">
        <v>115299</v>
      </c>
      <c r="O23" s="199">
        <v>108446</v>
      </c>
      <c r="P23" s="199">
        <v>103272</v>
      </c>
      <c r="Q23" s="199">
        <v>94706</v>
      </c>
      <c r="R23" s="199">
        <v>90809</v>
      </c>
      <c r="S23" s="199">
        <v>87330</v>
      </c>
      <c r="T23" s="199">
        <v>83915</v>
      </c>
      <c r="U23" s="199">
        <v>80498</v>
      </c>
      <c r="V23" s="199">
        <v>78141</v>
      </c>
      <c r="W23" s="199">
        <v>78161</v>
      </c>
      <c r="X23" s="199">
        <v>76723</v>
      </c>
      <c r="Y23" s="199">
        <v>73298</v>
      </c>
      <c r="Z23" s="199">
        <v>70505</v>
      </c>
      <c r="AA23" s="199">
        <v>67741</v>
      </c>
      <c r="AB23" s="199">
        <v>63392</v>
      </c>
      <c r="AC23" s="199">
        <v>60386</v>
      </c>
      <c r="AD23" s="199">
        <v>57306</v>
      </c>
    </row>
    <row r="24" spans="1:30">
      <c r="B24" s="6" t="s">
        <v>280</v>
      </c>
      <c r="C24" s="6" t="s">
        <v>280</v>
      </c>
      <c r="D24" s="7">
        <v>4088326</v>
      </c>
      <c r="E24" s="199">
        <v>4820621</v>
      </c>
      <c r="F24" s="199">
        <v>4466803</v>
      </c>
      <c r="G24" s="199">
        <v>4139288</v>
      </c>
      <c r="H24" s="199">
        <v>3847493</v>
      </c>
      <c r="I24" s="199">
        <v>3541464</v>
      </c>
      <c r="J24" s="199">
        <v>3202340</v>
      </c>
      <c r="K24" s="199">
        <v>2950611</v>
      </c>
      <c r="L24" s="199">
        <v>2713470</v>
      </c>
      <c r="M24" s="199">
        <v>2501282</v>
      </c>
      <c r="N24" s="199">
        <v>2303821</v>
      </c>
      <c r="O24" s="199">
        <v>2158135</v>
      </c>
      <c r="P24" s="199">
        <v>2005667</v>
      </c>
      <c r="Q24" s="199">
        <v>1871562</v>
      </c>
      <c r="R24" s="199">
        <v>1719379</v>
      </c>
      <c r="S24" s="199">
        <v>1665073</v>
      </c>
      <c r="T24" s="199">
        <v>1581118</v>
      </c>
      <c r="U24" s="199">
        <v>1532356</v>
      </c>
      <c r="V24" s="199">
        <v>1485302</v>
      </c>
      <c r="W24" s="199">
        <v>1450687</v>
      </c>
      <c r="X24" s="199">
        <v>1395294</v>
      </c>
      <c r="Y24" s="199" t="s">
        <v>175</v>
      </c>
      <c r="Z24" s="199">
        <v>1319724</v>
      </c>
      <c r="AA24" s="199">
        <v>1267971</v>
      </c>
      <c r="AB24" s="199">
        <v>1220769</v>
      </c>
      <c r="AC24" s="199">
        <v>1160183</v>
      </c>
      <c r="AD24" s="199">
        <v>1095955</v>
      </c>
    </row>
    <row r="25" spans="1:30">
      <c r="A25" s="1" t="s">
        <v>275</v>
      </c>
      <c r="B25" s="6" t="s">
        <v>281</v>
      </c>
      <c r="C25" s="6" t="s">
        <v>281</v>
      </c>
      <c r="D25" s="7">
        <v>4059358</v>
      </c>
      <c r="E25" s="199">
        <v>2782243</v>
      </c>
      <c r="F25" s="199">
        <v>2504036</v>
      </c>
      <c r="G25" s="199">
        <v>2269176</v>
      </c>
      <c r="H25" s="199">
        <v>2012819</v>
      </c>
      <c r="I25" s="199">
        <v>1806099</v>
      </c>
      <c r="J25" s="199">
        <v>1610205</v>
      </c>
      <c r="K25" s="199">
        <v>1451516</v>
      </c>
      <c r="L25" s="199">
        <v>1296600</v>
      </c>
      <c r="M25" s="199">
        <v>1159999</v>
      </c>
      <c r="N25" s="199">
        <v>1037908</v>
      </c>
      <c r="O25" s="199">
        <v>950381</v>
      </c>
      <c r="P25" s="199">
        <v>895719</v>
      </c>
      <c r="Q25" s="199">
        <v>821797</v>
      </c>
      <c r="R25" s="199">
        <v>761045</v>
      </c>
      <c r="S25" s="199">
        <v>720630</v>
      </c>
      <c r="T25" s="199">
        <v>680825</v>
      </c>
      <c r="U25" s="199">
        <v>643455</v>
      </c>
      <c r="V25" s="199">
        <v>627889</v>
      </c>
      <c r="W25" s="199">
        <v>610802</v>
      </c>
      <c r="X25" s="199">
        <v>591936</v>
      </c>
      <c r="Y25" s="199">
        <v>566912</v>
      </c>
      <c r="Z25" s="199">
        <v>544746</v>
      </c>
      <c r="AA25" s="199">
        <v>528547</v>
      </c>
      <c r="AB25" s="199">
        <v>502209</v>
      </c>
      <c r="AC25" s="199">
        <v>481397</v>
      </c>
      <c r="AD25" s="199">
        <v>461380</v>
      </c>
    </row>
    <row r="26" spans="1:30">
      <c r="B26" s="6" t="s">
        <v>282</v>
      </c>
      <c r="C26" s="6" t="s">
        <v>282</v>
      </c>
      <c r="D26" s="7">
        <v>4059359</v>
      </c>
      <c r="E26" s="199">
        <v>1448775</v>
      </c>
      <c r="F26" s="199">
        <v>1353881</v>
      </c>
      <c r="G26" s="199">
        <v>1240678</v>
      </c>
      <c r="H26" s="199">
        <v>1164324</v>
      </c>
      <c r="I26" s="199">
        <v>1078728</v>
      </c>
      <c r="J26" s="199">
        <v>985503</v>
      </c>
      <c r="K26" s="199">
        <v>914064</v>
      </c>
      <c r="L26" s="199">
        <v>830106</v>
      </c>
      <c r="M26" s="199">
        <v>753358</v>
      </c>
      <c r="N26" s="199">
        <v>707487</v>
      </c>
      <c r="O26" s="199">
        <v>680063</v>
      </c>
      <c r="P26" s="199">
        <v>618057</v>
      </c>
      <c r="Q26" s="199">
        <v>597876</v>
      </c>
      <c r="R26" s="199">
        <v>571454</v>
      </c>
      <c r="S26" s="199">
        <v>548123</v>
      </c>
      <c r="T26" s="199">
        <v>524712</v>
      </c>
      <c r="U26" s="199">
        <v>499282</v>
      </c>
      <c r="V26" s="199">
        <v>482302</v>
      </c>
      <c r="W26" s="199">
        <v>450599</v>
      </c>
      <c r="X26" s="199">
        <v>433380</v>
      </c>
      <c r="Y26" s="199">
        <v>406549</v>
      </c>
      <c r="Z26" s="199" t="s">
        <v>175</v>
      </c>
      <c r="AA26" s="199">
        <v>354504</v>
      </c>
      <c r="AB26" s="199">
        <v>317332</v>
      </c>
      <c r="AC26" s="199" t="s">
        <v>175</v>
      </c>
      <c r="AD26" s="199" t="s">
        <v>175</v>
      </c>
    </row>
    <row r="27" spans="1:30">
      <c r="A27" s="1" t="s">
        <v>275</v>
      </c>
      <c r="B27" s="6" t="s">
        <v>180</v>
      </c>
      <c r="C27" s="6" t="s">
        <v>180</v>
      </c>
      <c r="D27" s="7">
        <v>4059402</v>
      </c>
      <c r="E27" s="199">
        <v>911424</v>
      </c>
      <c r="F27" s="199">
        <v>885459</v>
      </c>
      <c r="G27" s="199">
        <v>845009</v>
      </c>
      <c r="H27" s="199">
        <v>806122</v>
      </c>
      <c r="I27" s="199">
        <v>770960</v>
      </c>
      <c r="J27" s="199">
        <v>724001</v>
      </c>
      <c r="K27" s="199">
        <v>673903</v>
      </c>
      <c r="L27" s="199">
        <v>635129</v>
      </c>
      <c r="M27" s="199">
        <v>605440</v>
      </c>
      <c r="N27" s="199">
        <v>578600</v>
      </c>
      <c r="O27" s="199">
        <v>557990</v>
      </c>
      <c r="P27" s="199">
        <v>563486</v>
      </c>
      <c r="Q27" s="199">
        <v>552683</v>
      </c>
      <c r="R27" s="199">
        <v>536019</v>
      </c>
      <c r="S27" s="199">
        <v>522066</v>
      </c>
      <c r="T27" s="199">
        <v>503156</v>
      </c>
      <c r="U27" s="199">
        <v>485386</v>
      </c>
      <c r="V27" s="199">
        <v>470045</v>
      </c>
      <c r="W27" s="199">
        <v>454766</v>
      </c>
      <c r="X27" s="199">
        <v>438758</v>
      </c>
      <c r="Y27" s="199">
        <v>394200</v>
      </c>
      <c r="Z27" s="199">
        <v>381965</v>
      </c>
      <c r="AA27" s="199">
        <v>366794</v>
      </c>
      <c r="AB27" s="199">
        <v>347515</v>
      </c>
      <c r="AC27" s="199">
        <v>328047</v>
      </c>
      <c r="AD27" s="199">
        <v>310586</v>
      </c>
    </row>
    <row r="28" spans="1:30">
      <c r="A28" s="1" t="s">
        <v>275</v>
      </c>
      <c r="B28" s="6" t="s">
        <v>182</v>
      </c>
      <c r="C28" s="6" t="s">
        <v>182</v>
      </c>
      <c r="D28" s="7">
        <v>4057080</v>
      </c>
      <c r="E28" s="199">
        <v>8497540</v>
      </c>
      <c r="F28" s="199">
        <v>7959211</v>
      </c>
      <c r="G28" s="199">
        <v>7191048</v>
      </c>
      <c r="H28" s="199">
        <v>6483385</v>
      </c>
      <c r="I28" s="199">
        <v>5891454</v>
      </c>
      <c r="J28" s="199">
        <v>5374273</v>
      </c>
      <c r="K28" s="199">
        <v>4741384</v>
      </c>
      <c r="L28" s="199">
        <v>4249532</v>
      </c>
      <c r="M28" s="199">
        <v>3926889</v>
      </c>
      <c r="N28" s="199">
        <v>3610878</v>
      </c>
      <c r="O28" s="199">
        <v>3301820</v>
      </c>
      <c r="P28" s="199">
        <v>3025520</v>
      </c>
      <c r="Q28" s="199">
        <v>2789532</v>
      </c>
      <c r="R28" s="199">
        <v>2577852</v>
      </c>
      <c r="S28" s="199">
        <v>2445432</v>
      </c>
      <c r="T28" s="199">
        <v>2292855</v>
      </c>
      <c r="U28" s="199">
        <v>2162736</v>
      </c>
      <c r="V28" s="199">
        <v>2030145</v>
      </c>
      <c r="W28" s="199">
        <v>1902805</v>
      </c>
      <c r="X28" s="199">
        <v>1791455</v>
      </c>
      <c r="Y28" s="199">
        <v>1705259</v>
      </c>
      <c r="Z28" s="199">
        <v>1626315</v>
      </c>
      <c r="AA28" s="199">
        <v>1541535</v>
      </c>
      <c r="AB28" s="199">
        <v>1454291</v>
      </c>
      <c r="AC28" s="199">
        <v>1362359</v>
      </c>
      <c r="AD28" s="199">
        <v>1273185</v>
      </c>
    </row>
    <row r="29" spans="1:30">
      <c r="B29" s="6" t="s">
        <v>183</v>
      </c>
      <c r="C29" s="6" t="s">
        <v>183</v>
      </c>
      <c r="D29" s="7">
        <v>4057081</v>
      </c>
      <c r="E29" s="199">
        <v>5701611</v>
      </c>
      <c r="F29" s="199">
        <v>5235428</v>
      </c>
      <c r="G29" s="199">
        <v>4650411</v>
      </c>
      <c r="H29" s="199">
        <v>4181921</v>
      </c>
      <c r="I29" s="199">
        <v>3805705</v>
      </c>
      <c r="J29" s="199">
        <v>3497182</v>
      </c>
      <c r="K29" s="199">
        <v>3239233</v>
      </c>
      <c r="L29" s="199">
        <v>3014718</v>
      </c>
      <c r="M29" s="199">
        <v>2861200</v>
      </c>
      <c r="N29" s="199">
        <v>2742375</v>
      </c>
      <c r="O29" s="199">
        <v>2654410</v>
      </c>
      <c r="P29" s="199">
        <v>2557421</v>
      </c>
      <c r="Q29" s="199">
        <v>2459443</v>
      </c>
      <c r="R29" s="199">
        <v>2285645</v>
      </c>
      <c r="S29" s="199">
        <v>2216516</v>
      </c>
      <c r="T29" s="199">
        <v>2140572</v>
      </c>
      <c r="U29" s="199">
        <v>2056922</v>
      </c>
      <c r="V29" s="199">
        <v>1976032</v>
      </c>
      <c r="W29" s="199">
        <v>1898656</v>
      </c>
      <c r="X29" s="199">
        <v>1806833</v>
      </c>
      <c r="Y29" s="199">
        <v>1722362</v>
      </c>
      <c r="Z29" s="199">
        <v>1650457</v>
      </c>
      <c r="AA29" s="199">
        <v>1570879</v>
      </c>
      <c r="AB29" s="199">
        <v>1491165</v>
      </c>
      <c r="AC29" s="199">
        <v>1408510</v>
      </c>
      <c r="AD29" s="199">
        <v>1325339</v>
      </c>
    </row>
    <row r="30" spans="1:30">
      <c r="A30" s="1" t="s">
        <v>275</v>
      </c>
      <c r="B30" s="6" t="s">
        <v>185</v>
      </c>
      <c r="C30" s="6" t="s">
        <v>185</v>
      </c>
      <c r="D30" s="7">
        <v>4059459</v>
      </c>
      <c r="E30" s="199">
        <v>80630</v>
      </c>
      <c r="F30" s="199">
        <v>76611</v>
      </c>
      <c r="G30" s="199">
        <v>73127</v>
      </c>
      <c r="H30" s="199">
        <v>67307</v>
      </c>
      <c r="I30" s="199">
        <v>63264</v>
      </c>
      <c r="J30" s="199">
        <v>56845</v>
      </c>
      <c r="K30" s="199">
        <v>54825</v>
      </c>
      <c r="L30" s="199">
        <v>48281</v>
      </c>
      <c r="M30" s="199">
        <v>42168</v>
      </c>
      <c r="N30" s="199">
        <v>36568</v>
      </c>
      <c r="O30" s="199">
        <v>32260</v>
      </c>
      <c r="P30" s="199">
        <v>27493</v>
      </c>
      <c r="Q30" s="199">
        <v>23356</v>
      </c>
      <c r="R30" s="199">
        <v>18287</v>
      </c>
      <c r="S30" s="199">
        <v>16909</v>
      </c>
      <c r="T30" s="199">
        <v>15106</v>
      </c>
      <c r="U30" s="199">
        <v>14191</v>
      </c>
      <c r="V30" s="199">
        <v>13625</v>
      </c>
      <c r="W30" s="199">
        <v>12944</v>
      </c>
      <c r="X30" s="199">
        <v>12352</v>
      </c>
      <c r="Y30" s="199">
        <v>11738</v>
      </c>
      <c r="Z30" s="199">
        <v>11238</v>
      </c>
      <c r="AA30" s="199">
        <v>10678</v>
      </c>
      <c r="AB30" s="199">
        <v>9981</v>
      </c>
      <c r="AC30" s="199">
        <v>9487</v>
      </c>
      <c r="AD30" s="199">
        <v>9113</v>
      </c>
    </row>
    <row r="31" spans="1:30">
      <c r="B31" s="6" t="s">
        <v>186</v>
      </c>
      <c r="C31" s="6" t="s">
        <v>186</v>
      </c>
      <c r="D31" s="7">
        <v>4057118</v>
      </c>
      <c r="E31" s="199">
        <v>143466</v>
      </c>
      <c r="F31" s="199">
        <v>138983</v>
      </c>
      <c r="G31" s="199">
        <v>130183</v>
      </c>
      <c r="H31" s="199">
        <v>126218</v>
      </c>
      <c r="I31" s="199">
        <v>123349</v>
      </c>
      <c r="J31" s="199">
        <v>119537</v>
      </c>
      <c r="K31" s="199">
        <v>117226</v>
      </c>
      <c r="L31" s="199">
        <v>113536</v>
      </c>
      <c r="M31" s="199">
        <v>110523</v>
      </c>
      <c r="N31" s="199">
        <v>105608</v>
      </c>
      <c r="O31" s="199">
        <v>103205</v>
      </c>
      <c r="P31" s="199">
        <v>100605</v>
      </c>
      <c r="Q31" s="199">
        <v>98475</v>
      </c>
      <c r="R31" s="199">
        <v>95388</v>
      </c>
      <c r="S31" s="199">
        <v>93391</v>
      </c>
      <c r="T31" s="199">
        <v>90701</v>
      </c>
      <c r="U31" s="199">
        <v>87884</v>
      </c>
      <c r="V31" s="199">
        <v>84971</v>
      </c>
      <c r="W31" s="199">
        <v>80653</v>
      </c>
      <c r="X31" s="199">
        <v>78481</v>
      </c>
      <c r="Y31" s="199">
        <v>75590</v>
      </c>
      <c r="Z31" s="199">
        <v>71662</v>
      </c>
      <c r="AA31" s="199">
        <v>67055</v>
      </c>
      <c r="AB31" s="199">
        <v>60653</v>
      </c>
      <c r="AC31" s="199">
        <v>56770</v>
      </c>
      <c r="AD31" s="199">
        <v>52107</v>
      </c>
    </row>
    <row r="32" spans="1:30">
      <c r="B32" s="6" t="s">
        <v>188</v>
      </c>
      <c r="C32" s="6" t="s">
        <v>188</v>
      </c>
      <c r="D32" s="7">
        <v>4057126</v>
      </c>
      <c r="E32" s="199">
        <v>4366879</v>
      </c>
      <c r="F32" s="199">
        <v>4004366</v>
      </c>
      <c r="G32" s="199">
        <v>3737313</v>
      </c>
      <c r="H32" s="199">
        <v>3448875</v>
      </c>
      <c r="I32" s="199">
        <v>3246667</v>
      </c>
      <c r="J32" s="199">
        <v>3047115</v>
      </c>
      <c r="K32" s="199">
        <v>2906166</v>
      </c>
      <c r="L32" s="199">
        <v>2756975</v>
      </c>
      <c r="M32" s="199">
        <v>2607170</v>
      </c>
      <c r="N32" s="199">
        <v>2526062</v>
      </c>
      <c r="O32" s="199">
        <v>2399854</v>
      </c>
      <c r="P32" s="199">
        <v>2342532</v>
      </c>
      <c r="Q32" s="199">
        <v>2285484</v>
      </c>
      <c r="R32" s="199">
        <v>2191019</v>
      </c>
      <c r="S32" s="199">
        <v>2175136</v>
      </c>
      <c r="T32" s="199">
        <v>2085843</v>
      </c>
      <c r="U32" s="199">
        <v>2019748</v>
      </c>
      <c r="V32" s="199">
        <v>1960876</v>
      </c>
      <c r="W32" s="199">
        <v>1903177</v>
      </c>
      <c r="X32" s="199">
        <v>1852197</v>
      </c>
      <c r="Y32" s="199">
        <v>1794593</v>
      </c>
      <c r="Z32" s="199">
        <v>1723829</v>
      </c>
      <c r="AA32" s="199">
        <v>1661191</v>
      </c>
      <c r="AB32" s="199">
        <v>1604507</v>
      </c>
      <c r="AC32" s="199">
        <v>1544734</v>
      </c>
      <c r="AD32" s="199">
        <v>1455826</v>
      </c>
    </row>
    <row r="33" spans="1:30">
      <c r="B33" s="6" t="s">
        <v>283</v>
      </c>
      <c r="C33" s="6" t="s">
        <v>283</v>
      </c>
      <c r="D33" s="7">
        <v>4057103</v>
      </c>
      <c r="E33" s="199" t="s">
        <v>175</v>
      </c>
      <c r="F33" s="199">
        <v>606476</v>
      </c>
      <c r="G33" s="199">
        <v>546414</v>
      </c>
      <c r="H33" s="199">
        <v>482331</v>
      </c>
      <c r="I33" s="199" t="s">
        <v>175</v>
      </c>
      <c r="J33" s="199">
        <v>431131</v>
      </c>
      <c r="K33" s="199">
        <v>421026</v>
      </c>
      <c r="L33" s="199">
        <v>414138</v>
      </c>
      <c r="M33" s="199">
        <v>406367</v>
      </c>
      <c r="N33" s="199">
        <v>393816</v>
      </c>
      <c r="O33" s="199">
        <v>384146</v>
      </c>
      <c r="P33" s="199">
        <v>368643</v>
      </c>
      <c r="Q33" s="199">
        <v>336617</v>
      </c>
      <c r="R33" s="199">
        <v>311175</v>
      </c>
      <c r="S33" s="199">
        <v>289654</v>
      </c>
      <c r="T33" s="199">
        <v>269283</v>
      </c>
      <c r="U33" s="199">
        <v>249146</v>
      </c>
      <c r="V33" s="199">
        <v>232766</v>
      </c>
      <c r="W33" s="199">
        <v>208746</v>
      </c>
      <c r="X33" s="199">
        <v>190492</v>
      </c>
      <c r="Y33" s="199">
        <v>177315</v>
      </c>
      <c r="Z33" s="199">
        <v>166241</v>
      </c>
      <c r="AA33" s="199">
        <v>157203</v>
      </c>
      <c r="AB33" s="199">
        <v>148218</v>
      </c>
      <c r="AC33" s="199">
        <v>141206</v>
      </c>
      <c r="AD33" s="199">
        <v>133607</v>
      </c>
    </row>
    <row r="34" spans="1:30">
      <c r="B34" s="6" t="s">
        <v>189</v>
      </c>
      <c r="C34" s="6" t="s">
        <v>189</v>
      </c>
      <c r="D34" s="7">
        <v>4057079</v>
      </c>
      <c r="E34" s="199">
        <v>2341981</v>
      </c>
      <c r="F34" s="199">
        <v>2198754</v>
      </c>
      <c r="G34" s="199">
        <v>2065217</v>
      </c>
      <c r="H34" s="199">
        <v>1986438</v>
      </c>
      <c r="I34" s="199">
        <v>1907745</v>
      </c>
      <c r="J34" s="199">
        <v>1847701</v>
      </c>
      <c r="K34" s="199">
        <v>1767289</v>
      </c>
      <c r="L34" s="199">
        <v>1682128</v>
      </c>
      <c r="M34" s="199">
        <v>1589967</v>
      </c>
      <c r="N34" s="199">
        <v>1509713</v>
      </c>
      <c r="O34" s="199">
        <v>1407748</v>
      </c>
      <c r="P34" s="199">
        <v>1303155</v>
      </c>
      <c r="Q34" s="199">
        <v>1207713</v>
      </c>
      <c r="R34" s="199">
        <v>1101969</v>
      </c>
      <c r="S34" s="199">
        <v>1026155</v>
      </c>
      <c r="T34" s="199">
        <v>953899</v>
      </c>
      <c r="U34" s="199">
        <v>884736</v>
      </c>
      <c r="V34" s="199">
        <v>809089</v>
      </c>
      <c r="W34" s="199">
        <v>731835</v>
      </c>
      <c r="X34" s="199">
        <v>673780</v>
      </c>
      <c r="Y34" s="199">
        <v>625993</v>
      </c>
      <c r="Z34" s="199">
        <v>599560</v>
      </c>
      <c r="AA34" s="199">
        <v>571940</v>
      </c>
      <c r="AB34" s="199">
        <v>548002</v>
      </c>
      <c r="AC34" s="199">
        <v>522026</v>
      </c>
      <c r="AD34" s="199">
        <v>504767</v>
      </c>
    </row>
    <row r="35" spans="1:30">
      <c r="B35" s="6" t="s">
        <v>284</v>
      </c>
      <c r="C35" s="6" t="s">
        <v>285</v>
      </c>
      <c r="D35" s="7">
        <v>4081251</v>
      </c>
      <c r="E35" s="199" t="s">
        <v>175</v>
      </c>
      <c r="F35" s="199">
        <v>1802</v>
      </c>
      <c r="G35" s="199">
        <v>1759</v>
      </c>
      <c r="H35" s="199">
        <v>1668</v>
      </c>
      <c r="I35" s="199">
        <v>1632</v>
      </c>
      <c r="J35" s="199">
        <v>1574</v>
      </c>
      <c r="K35" s="199">
        <v>1493</v>
      </c>
      <c r="L35" s="199">
        <v>1409</v>
      </c>
      <c r="M35" s="199">
        <v>1384</v>
      </c>
      <c r="N35" s="199">
        <v>1328</v>
      </c>
      <c r="O35" s="199">
        <v>1275</v>
      </c>
      <c r="P35" s="199">
        <v>1230</v>
      </c>
      <c r="Q35" s="199">
        <v>1207</v>
      </c>
      <c r="R35" s="199">
        <v>1165</v>
      </c>
      <c r="S35" s="199">
        <v>1131</v>
      </c>
      <c r="T35" s="199">
        <v>1125</v>
      </c>
      <c r="U35" s="199">
        <v>1046</v>
      </c>
      <c r="V35" s="199">
        <v>1014</v>
      </c>
      <c r="W35" s="199">
        <v>977</v>
      </c>
      <c r="X35" s="199">
        <v>918</v>
      </c>
      <c r="Y35" s="199">
        <v>899</v>
      </c>
      <c r="Z35" s="199" t="s">
        <v>175</v>
      </c>
      <c r="AA35" s="199" t="s">
        <v>175</v>
      </c>
      <c r="AB35" s="199" t="s">
        <v>175</v>
      </c>
      <c r="AC35" s="199" t="s">
        <v>175</v>
      </c>
      <c r="AD35" s="199" t="s">
        <v>175</v>
      </c>
    </row>
    <row r="36" spans="1:30">
      <c r="B36" s="6" t="s">
        <v>286</v>
      </c>
      <c r="C36" s="6" t="s">
        <v>286</v>
      </c>
      <c r="D36" s="7">
        <v>4060572</v>
      </c>
      <c r="E36" s="199">
        <v>493250</v>
      </c>
      <c r="F36" s="199">
        <v>449339</v>
      </c>
      <c r="G36" s="199">
        <v>413189</v>
      </c>
      <c r="H36" s="199">
        <v>382790</v>
      </c>
      <c r="I36" s="199">
        <v>349637</v>
      </c>
      <c r="J36" s="199">
        <v>312202</v>
      </c>
      <c r="K36" s="199">
        <v>295378</v>
      </c>
      <c r="L36" s="199">
        <v>275407</v>
      </c>
      <c r="M36" s="199">
        <v>268139</v>
      </c>
      <c r="N36" s="199">
        <v>261067</v>
      </c>
      <c r="O36" s="199">
        <v>245522</v>
      </c>
      <c r="P36" s="199">
        <v>238613</v>
      </c>
      <c r="Q36" s="199">
        <v>230947</v>
      </c>
      <c r="R36" s="199">
        <v>223494</v>
      </c>
      <c r="S36" s="199">
        <v>215514</v>
      </c>
      <c r="T36" s="199">
        <v>207529</v>
      </c>
      <c r="U36" s="199">
        <v>202059</v>
      </c>
      <c r="V36" s="199">
        <v>197384</v>
      </c>
      <c r="W36" s="199">
        <v>187969</v>
      </c>
      <c r="X36" s="199">
        <v>180031</v>
      </c>
      <c r="Y36" s="199">
        <v>172116</v>
      </c>
      <c r="Z36" s="199" t="s">
        <v>175</v>
      </c>
      <c r="AA36" s="199" t="s">
        <v>175</v>
      </c>
      <c r="AB36" s="199">
        <v>156493</v>
      </c>
      <c r="AC36" s="199">
        <v>147582</v>
      </c>
      <c r="AD36" s="199">
        <v>140121</v>
      </c>
    </row>
    <row r="37" spans="1:30">
      <c r="B37" s="6" t="s">
        <v>287</v>
      </c>
      <c r="C37" s="6" t="s">
        <v>287</v>
      </c>
      <c r="D37" s="7">
        <v>4083318</v>
      </c>
      <c r="E37" s="199">
        <v>18163</v>
      </c>
      <c r="F37" s="199">
        <v>17677</v>
      </c>
      <c r="G37" s="199">
        <v>17389</v>
      </c>
      <c r="H37" s="199">
        <v>17092</v>
      </c>
      <c r="I37" s="199">
        <v>16942</v>
      </c>
      <c r="J37" s="199">
        <v>16724</v>
      </c>
      <c r="K37" s="199">
        <v>16232</v>
      </c>
      <c r="L37" s="199">
        <v>15908</v>
      </c>
      <c r="M37" s="199">
        <v>15444</v>
      </c>
      <c r="N37" s="199">
        <v>15159</v>
      </c>
      <c r="O37" s="199">
        <v>14877</v>
      </c>
      <c r="P37" s="199">
        <v>14654</v>
      </c>
      <c r="Q37" s="199">
        <v>14469</v>
      </c>
      <c r="R37" s="199">
        <v>14330</v>
      </c>
      <c r="S37" s="199">
        <v>14186</v>
      </c>
      <c r="T37" s="199">
        <v>13997</v>
      </c>
      <c r="U37" s="199">
        <v>13829</v>
      </c>
      <c r="V37" s="199">
        <v>13628</v>
      </c>
      <c r="W37" s="199">
        <v>13242</v>
      </c>
      <c r="X37" s="199" t="s">
        <v>175</v>
      </c>
      <c r="Y37" s="199" t="s">
        <v>175</v>
      </c>
      <c r="Z37" s="199" t="s">
        <v>175</v>
      </c>
      <c r="AA37" s="199" t="s">
        <v>175</v>
      </c>
      <c r="AB37" s="199" t="s">
        <v>175</v>
      </c>
      <c r="AC37" s="199">
        <v>10182</v>
      </c>
      <c r="AD37" s="199">
        <v>8759</v>
      </c>
    </row>
    <row r="38" spans="1:30">
      <c r="B38" s="6" t="s">
        <v>288</v>
      </c>
      <c r="C38" s="6" t="s">
        <v>288</v>
      </c>
      <c r="D38" s="7">
        <v>4057125</v>
      </c>
      <c r="E38" s="199">
        <v>2203157</v>
      </c>
      <c r="F38" s="199">
        <v>2139359</v>
      </c>
      <c r="G38" s="199">
        <v>1842013</v>
      </c>
      <c r="H38" s="199">
        <v>1596323</v>
      </c>
      <c r="I38" s="199">
        <v>1557373</v>
      </c>
      <c r="J38" s="199">
        <v>1503304</v>
      </c>
      <c r="K38" s="199">
        <v>1424710</v>
      </c>
      <c r="L38" s="199">
        <v>1387041</v>
      </c>
      <c r="M38" s="199">
        <v>1339067</v>
      </c>
      <c r="N38" s="199">
        <v>1262374</v>
      </c>
      <c r="O38" s="199">
        <v>1242827</v>
      </c>
      <c r="P38" s="199">
        <v>1222202</v>
      </c>
      <c r="Q38" s="199">
        <v>1136136</v>
      </c>
      <c r="R38" s="199">
        <v>1120778</v>
      </c>
      <c r="S38" s="199">
        <v>1101636</v>
      </c>
      <c r="T38" s="199">
        <v>1079777</v>
      </c>
      <c r="U38" s="199">
        <v>988293</v>
      </c>
      <c r="V38" s="199">
        <v>936124</v>
      </c>
      <c r="W38" s="199">
        <v>912082</v>
      </c>
      <c r="X38" s="199">
        <v>896824</v>
      </c>
      <c r="Y38" s="199">
        <v>830767</v>
      </c>
      <c r="Z38" s="199">
        <v>807196</v>
      </c>
      <c r="AA38" s="199">
        <v>772086</v>
      </c>
      <c r="AB38" s="199">
        <v>740752</v>
      </c>
      <c r="AC38" s="199">
        <v>693932</v>
      </c>
      <c r="AD38" s="199">
        <v>648122</v>
      </c>
    </row>
    <row r="39" spans="1:30">
      <c r="B39" s="6" t="s">
        <v>289</v>
      </c>
      <c r="C39" s="6" t="s">
        <v>289</v>
      </c>
      <c r="D39" s="7">
        <v>4087741</v>
      </c>
      <c r="E39" s="199" t="s">
        <v>175</v>
      </c>
      <c r="F39" s="199" t="s">
        <v>175</v>
      </c>
      <c r="G39" s="199">
        <v>1522865</v>
      </c>
      <c r="H39" s="199">
        <v>1444284</v>
      </c>
      <c r="I39" s="199">
        <v>1382641</v>
      </c>
      <c r="J39" s="199">
        <v>1327505</v>
      </c>
      <c r="K39" s="199">
        <v>1280489</v>
      </c>
      <c r="L39" s="199">
        <v>1233466</v>
      </c>
      <c r="M39" s="199">
        <v>1191748</v>
      </c>
      <c r="N39" s="199">
        <v>1148203</v>
      </c>
      <c r="O39" s="199">
        <v>1118596</v>
      </c>
      <c r="P39" s="199">
        <v>1083815</v>
      </c>
      <c r="Q39" s="199">
        <v>1072309</v>
      </c>
      <c r="R39" s="199">
        <v>1031280</v>
      </c>
      <c r="S39" s="199">
        <v>991663</v>
      </c>
      <c r="T39" s="199">
        <v>950240</v>
      </c>
      <c r="U39" s="199">
        <v>907068</v>
      </c>
      <c r="V39" s="199">
        <v>868110</v>
      </c>
      <c r="W39" s="199">
        <v>823189</v>
      </c>
      <c r="X39" s="199" t="s">
        <v>175</v>
      </c>
      <c r="Y39" s="199">
        <v>745889</v>
      </c>
      <c r="Z39" s="199" t="s">
        <v>175</v>
      </c>
      <c r="AA39" s="199" t="s">
        <v>175</v>
      </c>
      <c r="AB39" s="199" t="s">
        <v>175</v>
      </c>
      <c r="AC39" s="199" t="s">
        <v>175</v>
      </c>
      <c r="AD39" s="199" t="s">
        <v>175</v>
      </c>
    </row>
    <row r="40" spans="1:30">
      <c r="B40" s="6" t="s">
        <v>290</v>
      </c>
      <c r="C40" s="6" t="s">
        <v>290</v>
      </c>
      <c r="D40" s="7">
        <v>4059875</v>
      </c>
      <c r="E40" s="199">
        <v>603816</v>
      </c>
      <c r="F40" s="199">
        <v>523473</v>
      </c>
      <c r="G40" s="199">
        <v>469999</v>
      </c>
      <c r="H40" s="199">
        <v>445561</v>
      </c>
      <c r="I40" s="199">
        <v>415297</v>
      </c>
      <c r="J40" s="199">
        <v>395296</v>
      </c>
      <c r="K40" s="199">
        <v>364156</v>
      </c>
      <c r="L40" s="199">
        <v>143324</v>
      </c>
      <c r="M40" s="199">
        <v>136378</v>
      </c>
      <c r="N40" s="199">
        <v>309972</v>
      </c>
      <c r="O40" s="199">
        <v>299599</v>
      </c>
      <c r="P40" s="199">
        <v>290604</v>
      </c>
      <c r="Q40" s="199">
        <v>272496</v>
      </c>
      <c r="R40" s="199">
        <v>257912</v>
      </c>
      <c r="S40" s="199">
        <v>241489</v>
      </c>
      <c r="T40" s="199">
        <v>221353</v>
      </c>
      <c r="U40" s="199">
        <v>218732</v>
      </c>
      <c r="V40" s="199">
        <v>205924</v>
      </c>
      <c r="W40" s="199">
        <v>181243</v>
      </c>
      <c r="X40" s="199" t="s">
        <v>175</v>
      </c>
      <c r="Y40" s="199">
        <v>155214</v>
      </c>
      <c r="Z40" s="199">
        <v>146178</v>
      </c>
      <c r="AA40" s="199">
        <v>139691</v>
      </c>
      <c r="AB40" s="199">
        <v>129433</v>
      </c>
      <c r="AC40" s="199">
        <v>119719</v>
      </c>
      <c r="AD40" s="199">
        <v>113061</v>
      </c>
    </row>
    <row r="41" spans="1:30">
      <c r="B41" s="6" t="s">
        <v>190</v>
      </c>
      <c r="C41" s="6" t="s">
        <v>190</v>
      </c>
      <c r="D41" s="7">
        <v>4057090</v>
      </c>
      <c r="E41" s="199">
        <v>1075161</v>
      </c>
      <c r="F41" s="199">
        <v>1029149</v>
      </c>
      <c r="G41" s="199">
        <v>984030</v>
      </c>
      <c r="H41" s="199">
        <v>943963</v>
      </c>
      <c r="I41" s="199">
        <v>883475</v>
      </c>
      <c r="J41" s="199">
        <v>818369</v>
      </c>
      <c r="K41" s="199">
        <v>756502</v>
      </c>
      <c r="L41" s="199">
        <v>700841</v>
      </c>
      <c r="M41" s="199">
        <v>645232</v>
      </c>
      <c r="N41" s="199">
        <v>611817</v>
      </c>
      <c r="O41" s="199">
        <v>574219</v>
      </c>
      <c r="P41" s="199">
        <v>544481</v>
      </c>
      <c r="Q41" s="199">
        <v>511329</v>
      </c>
      <c r="R41" s="199">
        <v>464243</v>
      </c>
      <c r="S41" s="199">
        <v>440121</v>
      </c>
      <c r="T41" s="199">
        <v>425927</v>
      </c>
      <c r="U41" s="199">
        <v>404952</v>
      </c>
      <c r="V41" s="199">
        <v>388159</v>
      </c>
      <c r="W41" s="199">
        <v>356807</v>
      </c>
      <c r="X41" s="199">
        <v>332059</v>
      </c>
      <c r="Y41" s="199">
        <v>315583</v>
      </c>
      <c r="Z41" s="199">
        <v>296415</v>
      </c>
      <c r="AA41" s="199">
        <v>273974</v>
      </c>
      <c r="AB41" s="199">
        <v>269758</v>
      </c>
      <c r="AC41" s="199">
        <v>254253</v>
      </c>
      <c r="AD41" s="199">
        <v>239290</v>
      </c>
    </row>
    <row r="42" spans="1:30">
      <c r="B42" s="6" t="s">
        <v>191</v>
      </c>
      <c r="C42" s="6" t="s">
        <v>191</v>
      </c>
      <c r="D42" s="7">
        <v>4008754</v>
      </c>
      <c r="E42" s="199">
        <v>428405</v>
      </c>
      <c r="F42" s="199">
        <v>407795</v>
      </c>
      <c r="G42" s="199">
        <v>389525</v>
      </c>
      <c r="H42" s="199">
        <v>369290</v>
      </c>
      <c r="I42" s="199">
        <v>352252</v>
      </c>
      <c r="J42" s="199">
        <v>338320</v>
      </c>
      <c r="K42" s="199">
        <v>327849</v>
      </c>
      <c r="L42" s="199">
        <v>311909</v>
      </c>
      <c r="M42" s="199">
        <v>296823</v>
      </c>
      <c r="N42" s="199">
        <v>284962</v>
      </c>
      <c r="O42" s="199">
        <v>271383</v>
      </c>
      <c r="P42" s="199">
        <v>262525</v>
      </c>
      <c r="Q42" s="199">
        <v>249629</v>
      </c>
      <c r="R42" s="199">
        <v>240677</v>
      </c>
      <c r="S42" s="199">
        <v>233783</v>
      </c>
      <c r="T42" s="199">
        <v>226161</v>
      </c>
      <c r="U42" s="199">
        <v>217301</v>
      </c>
      <c r="V42" s="199">
        <v>210877</v>
      </c>
      <c r="W42" s="199">
        <v>200983</v>
      </c>
      <c r="X42" s="199">
        <v>186974</v>
      </c>
      <c r="Y42" s="199">
        <v>177083</v>
      </c>
      <c r="Z42" s="199">
        <v>170810</v>
      </c>
      <c r="AA42" s="199">
        <v>166607</v>
      </c>
      <c r="AB42" s="199">
        <v>163880</v>
      </c>
      <c r="AC42" s="199">
        <v>160121</v>
      </c>
      <c r="AD42" s="199">
        <v>156191</v>
      </c>
    </row>
    <row r="43" spans="1:30">
      <c r="B43" s="6" t="s">
        <v>291</v>
      </c>
      <c r="C43" s="6" t="s">
        <v>291</v>
      </c>
      <c r="D43" s="7">
        <v>4061474</v>
      </c>
      <c r="E43" s="199">
        <v>25849</v>
      </c>
      <c r="F43" s="199">
        <v>25013</v>
      </c>
      <c r="G43" s="199">
        <v>24095</v>
      </c>
      <c r="H43" s="199">
        <v>23359</v>
      </c>
      <c r="I43" s="199">
        <v>22722</v>
      </c>
      <c r="J43" s="199">
        <v>22177</v>
      </c>
      <c r="K43" s="199">
        <v>20987</v>
      </c>
      <c r="L43" s="199">
        <v>19984</v>
      </c>
      <c r="M43" s="199">
        <v>19245</v>
      </c>
      <c r="N43" s="199">
        <v>18832</v>
      </c>
      <c r="O43" s="199">
        <v>18459</v>
      </c>
      <c r="P43" s="199">
        <v>17839</v>
      </c>
      <c r="Q43" s="199">
        <v>17311</v>
      </c>
      <c r="R43" s="199">
        <v>16518</v>
      </c>
      <c r="S43" s="199">
        <v>16225</v>
      </c>
      <c r="T43" s="199">
        <v>15887</v>
      </c>
      <c r="U43" s="199">
        <v>15521</v>
      </c>
      <c r="V43" s="199">
        <v>15113</v>
      </c>
      <c r="W43" s="199">
        <v>10759</v>
      </c>
      <c r="X43" s="199" t="s">
        <v>175</v>
      </c>
      <c r="Y43" s="199">
        <v>10110</v>
      </c>
      <c r="Z43" s="199" t="s">
        <v>175</v>
      </c>
      <c r="AA43" s="199" t="s">
        <v>175</v>
      </c>
      <c r="AB43" s="199">
        <v>9189</v>
      </c>
      <c r="AC43" s="199">
        <v>8948</v>
      </c>
      <c r="AD43" s="199">
        <v>8369</v>
      </c>
    </row>
    <row r="44" spans="1:30">
      <c r="B44" s="6" t="s">
        <v>292</v>
      </c>
      <c r="C44" s="6" t="s">
        <v>292</v>
      </c>
      <c r="D44" s="7">
        <v>4076679</v>
      </c>
      <c r="E44" s="199">
        <v>44877</v>
      </c>
      <c r="F44" s="199">
        <v>43016</v>
      </c>
      <c r="G44" s="199">
        <v>40862</v>
      </c>
      <c r="H44" s="199">
        <v>38875</v>
      </c>
      <c r="I44" s="199">
        <v>37250</v>
      </c>
      <c r="J44" s="199">
        <v>35478</v>
      </c>
      <c r="K44" s="199">
        <v>32978</v>
      </c>
      <c r="L44" s="199">
        <v>30651</v>
      </c>
      <c r="M44" s="199">
        <v>29599</v>
      </c>
      <c r="N44" s="199">
        <v>28617</v>
      </c>
      <c r="O44" s="199">
        <v>27532</v>
      </c>
      <c r="P44" s="199">
        <v>26362</v>
      </c>
      <c r="Q44" s="199">
        <v>25520</v>
      </c>
      <c r="R44" s="199">
        <v>24478</v>
      </c>
      <c r="S44" s="199">
        <v>23646</v>
      </c>
      <c r="T44" s="199">
        <v>22060</v>
      </c>
      <c r="U44" s="199">
        <v>20809</v>
      </c>
      <c r="V44" s="199">
        <v>20038</v>
      </c>
      <c r="W44" s="199">
        <v>18759</v>
      </c>
      <c r="X44" s="199">
        <v>16923</v>
      </c>
      <c r="Y44" s="199">
        <v>15998</v>
      </c>
      <c r="Z44" s="199" t="s">
        <v>175</v>
      </c>
      <c r="AA44" s="199" t="s">
        <v>175</v>
      </c>
      <c r="AB44" s="199" t="s">
        <v>175</v>
      </c>
      <c r="AC44" s="199" t="s">
        <v>175</v>
      </c>
      <c r="AD44" s="199" t="s">
        <v>175</v>
      </c>
    </row>
    <row r="45" spans="1:30">
      <c r="B45" s="6" t="s">
        <v>193</v>
      </c>
      <c r="C45" s="6" t="s">
        <v>193</v>
      </c>
      <c r="D45" s="7">
        <v>4061634</v>
      </c>
      <c r="E45" s="199">
        <v>642798</v>
      </c>
      <c r="F45" s="199">
        <v>598152</v>
      </c>
      <c r="G45" s="199">
        <v>546427</v>
      </c>
      <c r="H45" s="199">
        <v>491817</v>
      </c>
      <c r="I45" s="199">
        <v>467665</v>
      </c>
      <c r="J45" s="199">
        <v>450016</v>
      </c>
      <c r="K45" s="199">
        <v>432514</v>
      </c>
      <c r="L45" s="199">
        <v>418827</v>
      </c>
      <c r="M45" s="199">
        <v>408195</v>
      </c>
      <c r="N45" s="199">
        <v>398567</v>
      </c>
      <c r="O45" s="199">
        <v>389071</v>
      </c>
      <c r="P45" s="199">
        <v>374867</v>
      </c>
      <c r="Q45" s="199">
        <v>369712</v>
      </c>
      <c r="R45" s="199">
        <v>358718</v>
      </c>
      <c r="S45" s="199">
        <v>348788</v>
      </c>
      <c r="T45" s="199">
        <v>338990</v>
      </c>
      <c r="U45" s="199">
        <v>289703</v>
      </c>
      <c r="V45" s="199">
        <v>276696</v>
      </c>
      <c r="W45" s="199">
        <v>268403</v>
      </c>
      <c r="X45" s="199">
        <v>258042</v>
      </c>
      <c r="Y45" s="199">
        <v>248801</v>
      </c>
      <c r="Z45" s="199">
        <v>225020</v>
      </c>
      <c r="AA45" s="199">
        <v>217438</v>
      </c>
      <c r="AB45" s="199">
        <v>211245</v>
      </c>
      <c r="AC45" s="199">
        <v>204736</v>
      </c>
      <c r="AD45" s="199">
        <v>197228</v>
      </c>
    </row>
    <row r="46" spans="1:30">
      <c r="B46" s="6" t="s">
        <v>194</v>
      </c>
      <c r="C46" s="6" t="s">
        <v>194</v>
      </c>
      <c r="D46" s="7">
        <v>4061687</v>
      </c>
      <c r="E46" s="199">
        <v>1983301</v>
      </c>
      <c r="F46" s="199">
        <v>1927350</v>
      </c>
      <c r="G46" s="199">
        <v>1873317</v>
      </c>
      <c r="H46" s="199">
        <v>1822483</v>
      </c>
      <c r="I46" s="199">
        <v>1774038</v>
      </c>
      <c r="J46" s="199">
        <v>1720869</v>
      </c>
      <c r="K46" s="199">
        <v>1681269</v>
      </c>
      <c r="L46" s="199">
        <v>1636440</v>
      </c>
      <c r="M46" s="199">
        <v>1603993</v>
      </c>
      <c r="N46" s="199">
        <v>1568635</v>
      </c>
      <c r="O46" s="199">
        <v>1531841</v>
      </c>
      <c r="P46" s="199">
        <v>1492815</v>
      </c>
      <c r="Q46" s="199">
        <v>1460827</v>
      </c>
      <c r="R46" s="199">
        <v>1419719</v>
      </c>
      <c r="S46" s="199">
        <v>1383510</v>
      </c>
      <c r="T46" s="199">
        <v>1344377</v>
      </c>
      <c r="U46" s="199">
        <v>1311186</v>
      </c>
      <c r="V46" s="199">
        <v>1274674</v>
      </c>
      <c r="W46" s="199">
        <v>1232024</v>
      </c>
      <c r="X46" s="199">
        <v>1196417</v>
      </c>
      <c r="Y46" s="199">
        <v>1215470</v>
      </c>
      <c r="Z46" s="199">
        <v>1138954</v>
      </c>
      <c r="AA46" s="199">
        <v>1102672</v>
      </c>
      <c r="AB46" s="199">
        <v>1070455</v>
      </c>
      <c r="AC46" s="199">
        <v>1022575</v>
      </c>
      <c r="AD46" s="199">
        <v>970819</v>
      </c>
    </row>
    <row r="47" spans="1:30">
      <c r="A47" s="1" t="s">
        <v>275</v>
      </c>
      <c r="B47" s="6" t="s">
        <v>195</v>
      </c>
      <c r="C47" s="6" t="s">
        <v>195</v>
      </c>
      <c r="D47" s="7">
        <v>4061755</v>
      </c>
      <c r="E47" s="199">
        <v>2154624</v>
      </c>
      <c r="F47" s="199">
        <v>2020663</v>
      </c>
      <c r="G47" s="199">
        <v>1824373</v>
      </c>
      <c r="H47" s="199">
        <v>1699893</v>
      </c>
      <c r="I47" s="199">
        <v>1556200</v>
      </c>
      <c r="J47" s="199">
        <v>1438374</v>
      </c>
      <c r="K47" s="199">
        <v>1316836</v>
      </c>
      <c r="L47" s="199">
        <v>1227014</v>
      </c>
      <c r="M47" s="199">
        <v>1164165</v>
      </c>
      <c r="N47" s="199">
        <v>1128870</v>
      </c>
      <c r="O47" s="199">
        <v>1052012</v>
      </c>
      <c r="P47" s="199">
        <v>1026985</v>
      </c>
      <c r="Q47" s="199">
        <v>989721</v>
      </c>
      <c r="R47" s="199">
        <v>954367</v>
      </c>
      <c r="S47" s="199">
        <v>924650</v>
      </c>
      <c r="T47" s="199">
        <v>896398</v>
      </c>
      <c r="U47" s="199">
        <v>861044</v>
      </c>
      <c r="V47" s="199">
        <v>822018</v>
      </c>
      <c r="W47" s="199">
        <v>793451</v>
      </c>
      <c r="X47" s="199">
        <v>762959</v>
      </c>
      <c r="Y47" s="199">
        <v>750297</v>
      </c>
      <c r="Z47" s="199">
        <v>712620</v>
      </c>
      <c r="AA47" s="199">
        <v>675001</v>
      </c>
      <c r="AB47" s="199">
        <v>639153</v>
      </c>
      <c r="AC47" s="199">
        <v>603672</v>
      </c>
      <c r="AD47" s="199">
        <v>571125</v>
      </c>
    </row>
    <row r="48" spans="1:30">
      <c r="A48" s="1" t="s">
        <v>275</v>
      </c>
      <c r="B48" s="6" t="s">
        <v>197</v>
      </c>
      <c r="C48" s="6" t="s">
        <v>197</v>
      </c>
      <c r="D48" s="7">
        <v>4004389</v>
      </c>
      <c r="E48" s="199">
        <v>1138047</v>
      </c>
      <c r="F48" s="199">
        <v>1082350</v>
      </c>
      <c r="G48" s="199">
        <v>1006333</v>
      </c>
      <c r="H48" s="199">
        <v>967483</v>
      </c>
      <c r="I48" s="199">
        <v>911637</v>
      </c>
      <c r="J48" s="199">
        <v>871365</v>
      </c>
      <c r="K48" s="199">
        <v>843107</v>
      </c>
      <c r="L48" s="199">
        <v>776258</v>
      </c>
      <c r="M48" s="199">
        <v>746932</v>
      </c>
      <c r="N48" s="199">
        <v>714707</v>
      </c>
      <c r="O48" s="199">
        <v>686547</v>
      </c>
      <c r="P48" s="199">
        <v>668663</v>
      </c>
      <c r="Q48" s="199">
        <v>655340</v>
      </c>
      <c r="R48" s="199">
        <v>632375</v>
      </c>
      <c r="S48" s="199">
        <v>616020</v>
      </c>
      <c r="T48" s="199">
        <v>603054</v>
      </c>
      <c r="U48" s="199">
        <v>590664</v>
      </c>
      <c r="V48" s="199">
        <v>574870</v>
      </c>
      <c r="W48" s="199">
        <v>556263</v>
      </c>
      <c r="X48" s="199">
        <v>539120</v>
      </c>
      <c r="Y48" s="199">
        <v>520539</v>
      </c>
      <c r="Z48" s="199">
        <v>503302</v>
      </c>
      <c r="AA48" s="199">
        <v>480249</v>
      </c>
      <c r="AB48" s="199">
        <v>451349</v>
      </c>
      <c r="AC48" s="199">
        <v>425816</v>
      </c>
      <c r="AD48" s="199">
        <v>393455</v>
      </c>
    </row>
    <row r="49" spans="1:30">
      <c r="A49" s="1" t="s">
        <v>275</v>
      </c>
      <c r="B49" s="6" t="s">
        <v>198</v>
      </c>
      <c r="C49" s="6" t="s">
        <v>198</v>
      </c>
      <c r="D49" s="7">
        <v>4057014</v>
      </c>
      <c r="E49" s="199">
        <v>2368080</v>
      </c>
      <c r="F49" s="199">
        <v>2278325</v>
      </c>
      <c r="G49" s="199">
        <v>2189107</v>
      </c>
      <c r="H49" s="199">
        <v>2100333</v>
      </c>
      <c r="I49" s="199">
        <v>1991269</v>
      </c>
      <c r="J49" s="199">
        <v>1946904</v>
      </c>
      <c r="K49" s="199">
        <v>1846058</v>
      </c>
      <c r="L49" s="199">
        <v>1771511</v>
      </c>
      <c r="M49" s="199">
        <v>1722549</v>
      </c>
      <c r="N49" s="199">
        <v>1680788</v>
      </c>
      <c r="O49" s="199">
        <v>1630157</v>
      </c>
      <c r="P49" s="199">
        <v>1581697</v>
      </c>
      <c r="Q49" s="199">
        <v>1525893</v>
      </c>
      <c r="R49" s="199">
        <v>1468304</v>
      </c>
      <c r="S49" s="199">
        <v>1436544</v>
      </c>
      <c r="T49" s="199">
        <v>1379790</v>
      </c>
      <c r="U49" s="199">
        <v>1307579</v>
      </c>
      <c r="V49" s="199">
        <v>1281724</v>
      </c>
      <c r="W49" s="199">
        <v>1232854</v>
      </c>
      <c r="X49" s="199">
        <v>1229808</v>
      </c>
      <c r="Y49" s="199">
        <v>1194189</v>
      </c>
      <c r="Z49" s="199">
        <v>1146296</v>
      </c>
      <c r="AA49" s="199">
        <v>1080651</v>
      </c>
      <c r="AB49" s="199">
        <v>1040731</v>
      </c>
      <c r="AC49" s="199">
        <v>985177</v>
      </c>
      <c r="AD49" s="199">
        <v>937726</v>
      </c>
    </row>
    <row r="50" spans="1:30">
      <c r="B50" s="6" t="s">
        <v>199</v>
      </c>
      <c r="C50" s="6" t="s">
        <v>199</v>
      </c>
      <c r="D50" s="7">
        <v>4057130</v>
      </c>
      <c r="E50" s="199">
        <v>577515</v>
      </c>
      <c r="F50" s="199">
        <v>560846</v>
      </c>
      <c r="G50" s="199">
        <v>536477</v>
      </c>
      <c r="H50" s="199">
        <v>486023</v>
      </c>
      <c r="I50" s="199">
        <v>460824</v>
      </c>
      <c r="J50" s="199">
        <v>448774</v>
      </c>
      <c r="K50" s="199">
        <v>421449</v>
      </c>
      <c r="L50" s="199">
        <v>394812</v>
      </c>
      <c r="M50" s="199">
        <v>372450</v>
      </c>
      <c r="N50" s="199">
        <v>359629</v>
      </c>
      <c r="O50" s="199">
        <v>355905</v>
      </c>
      <c r="P50" s="199">
        <v>347426</v>
      </c>
      <c r="Q50" s="199">
        <v>343486</v>
      </c>
      <c r="R50" s="199">
        <v>336008</v>
      </c>
      <c r="S50" s="199">
        <v>313689</v>
      </c>
      <c r="T50" s="199">
        <v>302787</v>
      </c>
      <c r="U50" s="199">
        <v>291478</v>
      </c>
      <c r="V50" s="199">
        <v>284812</v>
      </c>
      <c r="W50" s="199">
        <v>279349</v>
      </c>
      <c r="X50" s="199">
        <v>271308</v>
      </c>
      <c r="Y50" s="199">
        <v>265516</v>
      </c>
      <c r="Z50" s="199">
        <v>256150</v>
      </c>
      <c r="AA50" s="199">
        <v>247040</v>
      </c>
      <c r="AB50" s="199">
        <v>237972</v>
      </c>
      <c r="AC50" s="199">
        <v>228075</v>
      </c>
      <c r="AD50" s="199" t="s">
        <v>175</v>
      </c>
    </row>
    <row r="51" spans="1:30">
      <c r="B51" s="6" t="s">
        <v>201</v>
      </c>
      <c r="C51" s="6" t="s">
        <v>201</v>
      </c>
      <c r="D51" s="7">
        <v>4057131</v>
      </c>
      <c r="E51" s="199">
        <v>5556566</v>
      </c>
      <c r="F51" s="199">
        <v>5167315</v>
      </c>
      <c r="G51" s="199">
        <v>4718665</v>
      </c>
      <c r="H51" s="199">
        <v>4371057</v>
      </c>
      <c r="I51" s="199">
        <v>4134797</v>
      </c>
      <c r="J51" s="199">
        <v>3917155</v>
      </c>
      <c r="K51" s="199">
        <v>3687702</v>
      </c>
      <c r="L51" s="199">
        <v>3559561</v>
      </c>
      <c r="M51" s="199">
        <v>3511380</v>
      </c>
      <c r="N51" s="199">
        <v>3413491</v>
      </c>
      <c r="O51" s="199">
        <v>3321232</v>
      </c>
      <c r="P51" s="199">
        <v>3222584</v>
      </c>
      <c r="Q51" s="199">
        <v>3122237</v>
      </c>
      <c r="R51" s="199">
        <v>3014304</v>
      </c>
      <c r="S51" s="199">
        <v>2926410</v>
      </c>
      <c r="T51" s="199">
        <v>2822164</v>
      </c>
      <c r="U51" s="199">
        <v>2651669</v>
      </c>
      <c r="V51" s="199">
        <v>2552582</v>
      </c>
      <c r="W51" s="199">
        <v>2445101</v>
      </c>
      <c r="X51" s="199">
        <v>2355594</v>
      </c>
      <c r="Y51" s="199">
        <v>2256923</v>
      </c>
      <c r="Z51" s="199">
        <v>2178632</v>
      </c>
      <c r="AA51" s="199">
        <v>2104253</v>
      </c>
      <c r="AB51" s="199">
        <v>2041440</v>
      </c>
      <c r="AC51" s="199">
        <v>1971948</v>
      </c>
      <c r="AD51" s="199">
        <v>1899327</v>
      </c>
    </row>
    <row r="52" spans="1:30">
      <c r="B52" s="6" t="s">
        <v>202</v>
      </c>
      <c r="C52" s="6" t="s">
        <v>202</v>
      </c>
      <c r="D52" s="7">
        <v>4012860</v>
      </c>
      <c r="E52" s="199">
        <v>2288079</v>
      </c>
      <c r="F52" s="199">
        <v>2171088</v>
      </c>
      <c r="G52" s="199">
        <v>2038936</v>
      </c>
      <c r="H52" s="199">
        <v>1916919</v>
      </c>
      <c r="I52" s="199">
        <v>1821297</v>
      </c>
      <c r="J52" s="199">
        <v>1703155</v>
      </c>
      <c r="K52" s="199">
        <v>1618467</v>
      </c>
      <c r="L52" s="199">
        <v>1528398</v>
      </c>
      <c r="M52" s="199">
        <v>1464497</v>
      </c>
      <c r="N52" s="199">
        <v>1396279</v>
      </c>
      <c r="O52" s="199">
        <v>1356310</v>
      </c>
      <c r="P52" s="199">
        <v>1221102</v>
      </c>
      <c r="Q52" s="199">
        <v>1192299</v>
      </c>
      <c r="R52" s="199">
        <v>1153626</v>
      </c>
      <c r="S52" s="199">
        <v>1121122</v>
      </c>
      <c r="T52" s="199">
        <v>1079119</v>
      </c>
      <c r="U52" s="199">
        <v>1051384</v>
      </c>
      <c r="V52" s="199">
        <v>1013836</v>
      </c>
      <c r="W52" s="199">
        <v>977287</v>
      </c>
      <c r="X52" s="199">
        <v>950739</v>
      </c>
      <c r="Y52" s="199">
        <v>913099</v>
      </c>
      <c r="Z52" s="199">
        <v>871376</v>
      </c>
      <c r="AA52" s="199">
        <v>844327</v>
      </c>
      <c r="AB52" s="199">
        <v>810472</v>
      </c>
      <c r="AC52" s="199">
        <v>784540</v>
      </c>
      <c r="AD52" s="199">
        <v>746912</v>
      </c>
    </row>
    <row r="53" spans="1:30">
      <c r="B53" s="6" t="s">
        <v>204</v>
      </c>
      <c r="C53" s="6" t="s">
        <v>205</v>
      </c>
      <c r="D53" s="7">
        <v>4061925</v>
      </c>
      <c r="E53" s="199">
        <v>352138</v>
      </c>
      <c r="F53" s="199">
        <v>327525</v>
      </c>
      <c r="G53" s="199">
        <v>310058</v>
      </c>
      <c r="H53" s="199">
        <v>291131</v>
      </c>
      <c r="I53" s="199">
        <v>269375</v>
      </c>
      <c r="J53" s="199">
        <v>250522</v>
      </c>
      <c r="K53" s="199">
        <v>232239</v>
      </c>
      <c r="L53" s="199">
        <v>212664</v>
      </c>
      <c r="M53" s="199">
        <v>201669</v>
      </c>
      <c r="N53" s="199">
        <v>192583</v>
      </c>
      <c r="O53" s="199">
        <v>180060</v>
      </c>
      <c r="P53" s="199">
        <v>170333</v>
      </c>
      <c r="Q53" s="199">
        <v>160826</v>
      </c>
      <c r="R53" s="199">
        <v>157225</v>
      </c>
      <c r="S53" s="199">
        <v>150720</v>
      </c>
      <c r="T53" s="199">
        <v>146316</v>
      </c>
      <c r="U53" s="199">
        <v>138002</v>
      </c>
      <c r="V53" s="199">
        <v>129737</v>
      </c>
      <c r="W53" s="199">
        <v>123251</v>
      </c>
      <c r="X53" s="199">
        <v>118945</v>
      </c>
      <c r="Y53" s="199">
        <v>115310</v>
      </c>
      <c r="Z53" s="199">
        <v>108653</v>
      </c>
      <c r="AA53" s="199">
        <v>103355</v>
      </c>
      <c r="AB53" s="199">
        <v>95728</v>
      </c>
      <c r="AC53" s="199">
        <v>90230</v>
      </c>
      <c r="AD53" s="199">
        <v>84002</v>
      </c>
    </row>
    <row r="54" spans="1:30">
      <c r="B54" s="6" t="s">
        <v>293</v>
      </c>
      <c r="C54" s="6" t="s">
        <v>293</v>
      </c>
      <c r="D54" s="7">
        <v>4057132</v>
      </c>
      <c r="E54" s="199" t="s">
        <v>175</v>
      </c>
      <c r="F54" s="199" t="s">
        <v>175</v>
      </c>
      <c r="G54" s="199" t="s">
        <v>175</v>
      </c>
      <c r="H54" s="199">
        <v>2161775</v>
      </c>
      <c r="I54" s="199">
        <v>2078202</v>
      </c>
      <c r="J54" s="199">
        <v>2003154</v>
      </c>
      <c r="K54" s="199">
        <v>1937177</v>
      </c>
      <c r="L54" s="199">
        <v>1875731</v>
      </c>
      <c r="M54" s="199">
        <v>1820666</v>
      </c>
      <c r="N54" s="199">
        <v>1771064</v>
      </c>
      <c r="O54" s="199">
        <v>1722620</v>
      </c>
      <c r="P54" s="199">
        <v>1684619</v>
      </c>
      <c r="Q54" s="199">
        <v>1632712</v>
      </c>
      <c r="R54" s="199">
        <v>1558717</v>
      </c>
      <c r="S54" s="199">
        <v>1480419</v>
      </c>
      <c r="T54" s="199">
        <v>1399434</v>
      </c>
      <c r="U54" s="199">
        <v>1334548</v>
      </c>
      <c r="V54" s="199" t="s">
        <v>175</v>
      </c>
      <c r="W54" s="199">
        <v>1189492</v>
      </c>
      <c r="X54" s="199">
        <v>1132356</v>
      </c>
      <c r="Y54" s="199">
        <v>1080059</v>
      </c>
      <c r="Z54" s="199">
        <v>1022486</v>
      </c>
      <c r="AA54" s="199">
        <v>964737</v>
      </c>
      <c r="AB54" s="199">
        <v>908282</v>
      </c>
      <c r="AC54" s="199">
        <v>843385</v>
      </c>
      <c r="AD54" s="199">
        <v>781081</v>
      </c>
    </row>
    <row r="55" spans="1:30">
      <c r="A55" s="1" t="s">
        <v>275</v>
      </c>
      <c r="B55" s="6" t="s">
        <v>294</v>
      </c>
      <c r="C55" s="6" t="s">
        <v>294</v>
      </c>
      <c r="D55" s="7">
        <v>4057115</v>
      </c>
      <c r="E55" s="199">
        <v>798096</v>
      </c>
      <c r="F55" s="199">
        <v>718545</v>
      </c>
      <c r="G55" s="199">
        <v>601133</v>
      </c>
      <c r="H55" s="199">
        <v>545117</v>
      </c>
      <c r="I55" s="199">
        <v>496512</v>
      </c>
      <c r="J55" s="199">
        <v>452660</v>
      </c>
      <c r="K55" s="199">
        <v>420550</v>
      </c>
      <c r="L55" s="199">
        <v>428544</v>
      </c>
      <c r="M55" s="199">
        <v>375844</v>
      </c>
      <c r="N55" s="199">
        <v>349276</v>
      </c>
      <c r="O55" s="199">
        <v>331049</v>
      </c>
      <c r="P55" s="199">
        <v>318309</v>
      </c>
      <c r="Q55" s="199">
        <v>300894</v>
      </c>
      <c r="R55" s="199">
        <v>288607</v>
      </c>
      <c r="S55" s="199">
        <v>274617</v>
      </c>
      <c r="T55" s="199">
        <v>262423</v>
      </c>
      <c r="U55" s="199">
        <v>254897</v>
      </c>
      <c r="V55" s="199">
        <v>240919</v>
      </c>
      <c r="W55" s="199">
        <v>229068</v>
      </c>
      <c r="X55" s="199" t="s">
        <v>175</v>
      </c>
      <c r="Y55" s="199">
        <v>209593</v>
      </c>
      <c r="Z55" s="199" t="s">
        <v>175</v>
      </c>
      <c r="AA55" s="199">
        <v>373032</v>
      </c>
      <c r="AB55" s="199">
        <v>356735</v>
      </c>
      <c r="AC55" s="199">
        <v>340194</v>
      </c>
      <c r="AD55" s="199">
        <v>330104</v>
      </c>
    </row>
    <row r="56" spans="1:30">
      <c r="B56" s="6" t="s">
        <v>206</v>
      </c>
      <c r="C56" s="6" t="s">
        <v>206</v>
      </c>
      <c r="D56" s="7">
        <v>4064479</v>
      </c>
      <c r="E56" s="199">
        <v>86509</v>
      </c>
      <c r="F56" s="199">
        <v>83901</v>
      </c>
      <c r="G56" s="199">
        <v>81745</v>
      </c>
      <c r="H56" s="199">
        <v>79539</v>
      </c>
      <c r="I56" s="199">
        <v>77150</v>
      </c>
      <c r="J56" s="199">
        <v>71282</v>
      </c>
      <c r="K56" s="199">
        <v>69284</v>
      </c>
      <c r="L56" s="199">
        <v>67967</v>
      </c>
      <c r="M56" s="199">
        <v>66071</v>
      </c>
      <c r="N56" s="199">
        <v>64382</v>
      </c>
      <c r="O56" s="199">
        <v>62308</v>
      </c>
      <c r="P56" s="199">
        <v>59876</v>
      </c>
      <c r="Q56" s="199">
        <v>58684</v>
      </c>
      <c r="R56" s="199">
        <v>57030</v>
      </c>
      <c r="S56" s="199">
        <v>55648</v>
      </c>
      <c r="T56" s="199">
        <v>53960</v>
      </c>
      <c r="U56" s="199">
        <v>52511</v>
      </c>
      <c r="V56" s="199">
        <v>51063</v>
      </c>
      <c r="W56" s="199">
        <v>49889</v>
      </c>
      <c r="X56" s="199">
        <v>48630</v>
      </c>
      <c r="Y56" s="199">
        <v>47159</v>
      </c>
      <c r="Z56" s="199">
        <v>45708</v>
      </c>
      <c r="AA56" s="199">
        <v>44493</v>
      </c>
      <c r="AB56" s="199">
        <v>43268</v>
      </c>
      <c r="AC56" s="199">
        <v>41607</v>
      </c>
      <c r="AD56" s="199">
        <v>39785</v>
      </c>
    </row>
    <row r="57" spans="1:30">
      <c r="B57" s="6" t="s">
        <v>295</v>
      </c>
      <c r="C57" s="6" t="s">
        <v>295</v>
      </c>
      <c r="D57" s="7">
        <v>4062025</v>
      </c>
      <c r="E57" s="199">
        <v>78256</v>
      </c>
      <c r="F57" s="199">
        <v>69143</v>
      </c>
      <c r="G57" s="199">
        <v>59774</v>
      </c>
      <c r="H57" s="199">
        <v>58072</v>
      </c>
      <c r="I57" s="199">
        <v>55784</v>
      </c>
      <c r="J57" s="199">
        <v>51308</v>
      </c>
      <c r="K57" s="199">
        <v>48941</v>
      </c>
      <c r="L57" s="199">
        <v>43924</v>
      </c>
      <c r="M57" s="199">
        <v>42238</v>
      </c>
      <c r="N57" s="199">
        <v>40707</v>
      </c>
      <c r="O57" s="199">
        <v>39018</v>
      </c>
      <c r="P57" s="199">
        <v>37813</v>
      </c>
      <c r="Q57" s="199">
        <v>36245</v>
      </c>
      <c r="R57" s="199">
        <v>33985</v>
      </c>
      <c r="S57" s="199">
        <v>32108</v>
      </c>
      <c r="T57" s="199">
        <v>30887</v>
      </c>
      <c r="U57" s="199">
        <v>30028</v>
      </c>
      <c r="V57" s="199">
        <v>28312</v>
      </c>
      <c r="W57" s="199">
        <v>27134</v>
      </c>
      <c r="X57" s="199">
        <v>26044</v>
      </c>
      <c r="Y57" s="199">
        <v>24811</v>
      </c>
      <c r="Z57" s="199">
        <v>23892</v>
      </c>
      <c r="AA57" s="199">
        <v>22473</v>
      </c>
      <c r="AB57" s="199">
        <v>20592</v>
      </c>
      <c r="AC57" s="199">
        <v>19608</v>
      </c>
      <c r="AD57" s="199">
        <v>17242</v>
      </c>
    </row>
    <row r="58" spans="1:30">
      <c r="B58" s="6" t="s">
        <v>296</v>
      </c>
      <c r="C58" s="6" t="s">
        <v>296</v>
      </c>
      <c r="D58" s="7">
        <v>4064481</v>
      </c>
      <c r="E58" s="199" t="s">
        <v>175</v>
      </c>
      <c r="F58" s="199" t="s">
        <v>175</v>
      </c>
      <c r="G58" s="199">
        <v>2030612</v>
      </c>
      <c r="H58" s="199">
        <v>1951131</v>
      </c>
      <c r="I58" s="199">
        <v>1861071</v>
      </c>
      <c r="J58" s="199">
        <v>1771168</v>
      </c>
      <c r="K58" s="199">
        <v>1662702</v>
      </c>
      <c r="L58" s="199">
        <v>1567292</v>
      </c>
      <c r="M58" s="199">
        <v>1480511</v>
      </c>
      <c r="N58" s="199">
        <v>1401380</v>
      </c>
      <c r="O58" s="199">
        <v>1332406</v>
      </c>
      <c r="P58" s="199">
        <v>1247104</v>
      </c>
      <c r="Q58" s="199">
        <v>1188515</v>
      </c>
      <c r="R58" s="199">
        <v>1117432</v>
      </c>
      <c r="S58" s="199">
        <v>1051855</v>
      </c>
      <c r="T58" s="199">
        <v>1010012</v>
      </c>
      <c r="U58" s="199">
        <v>960708</v>
      </c>
      <c r="V58" s="199">
        <v>918405</v>
      </c>
      <c r="W58" s="199">
        <v>854002</v>
      </c>
      <c r="X58" s="199">
        <v>832800</v>
      </c>
      <c r="Y58" s="199">
        <v>788371</v>
      </c>
      <c r="Z58" s="199">
        <v>719284</v>
      </c>
      <c r="AA58" s="199">
        <v>706402</v>
      </c>
      <c r="AB58" s="199">
        <v>685080</v>
      </c>
      <c r="AC58" s="199">
        <v>657084</v>
      </c>
      <c r="AD58" s="199" t="s">
        <v>175</v>
      </c>
    </row>
    <row r="59" spans="1:30">
      <c r="A59" s="1" t="s">
        <v>275</v>
      </c>
      <c r="B59" s="6" t="s">
        <v>207</v>
      </c>
      <c r="C59" s="6" t="s">
        <v>207</v>
      </c>
      <c r="D59" s="7">
        <v>4057093</v>
      </c>
      <c r="E59" s="199">
        <v>815531</v>
      </c>
      <c r="F59" s="199">
        <v>777185</v>
      </c>
      <c r="G59" s="199">
        <v>718788</v>
      </c>
      <c r="H59" s="199">
        <v>673496</v>
      </c>
      <c r="I59" s="199">
        <v>628050</v>
      </c>
      <c r="J59" s="199">
        <v>586486</v>
      </c>
      <c r="K59" s="199">
        <v>549379</v>
      </c>
      <c r="L59" s="199">
        <v>525718</v>
      </c>
      <c r="M59" s="199">
        <v>498350</v>
      </c>
      <c r="N59" s="199">
        <v>460606</v>
      </c>
      <c r="O59" s="199">
        <v>433920</v>
      </c>
      <c r="P59" s="199">
        <v>398805</v>
      </c>
      <c r="Q59" s="199">
        <v>378241</v>
      </c>
      <c r="R59" s="199">
        <v>359065</v>
      </c>
      <c r="S59" s="199">
        <v>342381</v>
      </c>
      <c r="T59" s="199">
        <v>324371</v>
      </c>
      <c r="U59" s="199">
        <v>308270</v>
      </c>
      <c r="V59" s="199">
        <v>295865</v>
      </c>
      <c r="W59" s="199">
        <v>280938</v>
      </c>
      <c r="X59" s="199">
        <v>269088</v>
      </c>
      <c r="Y59" s="199">
        <v>257431</v>
      </c>
      <c r="Z59" s="199">
        <v>240705</v>
      </c>
      <c r="AA59" s="199">
        <v>232172</v>
      </c>
      <c r="AB59" s="199">
        <v>218120</v>
      </c>
      <c r="AC59" s="199">
        <v>205676</v>
      </c>
      <c r="AD59" s="199">
        <v>197386</v>
      </c>
    </row>
    <row r="60" spans="1:30">
      <c r="B60" s="6" t="s">
        <v>208</v>
      </c>
      <c r="C60" s="6" t="s">
        <v>208</v>
      </c>
      <c r="D60" s="7">
        <v>4004218</v>
      </c>
      <c r="E60" s="199">
        <v>12938513</v>
      </c>
      <c r="F60" s="199">
        <v>11929220</v>
      </c>
      <c r="G60" s="199">
        <v>11048640</v>
      </c>
      <c r="H60" s="199">
        <v>10153337</v>
      </c>
      <c r="I60" s="199">
        <v>9336286</v>
      </c>
      <c r="J60" s="199">
        <v>8433857</v>
      </c>
      <c r="K60" s="199">
        <v>7789078</v>
      </c>
      <c r="L60" s="199">
        <v>7246771</v>
      </c>
      <c r="M60" s="199">
        <v>6699864</v>
      </c>
      <c r="N60" s="199">
        <v>6282257</v>
      </c>
      <c r="O60" s="199">
        <v>5940938</v>
      </c>
      <c r="P60" s="199">
        <v>5686185</v>
      </c>
      <c r="Q60" s="199">
        <v>5448260</v>
      </c>
      <c r="R60" s="199">
        <v>5217285</v>
      </c>
      <c r="S60" s="199">
        <v>5027707</v>
      </c>
      <c r="T60" s="199">
        <v>4837174</v>
      </c>
      <c r="U60" s="199">
        <v>4634484</v>
      </c>
      <c r="V60" s="199">
        <v>4498999</v>
      </c>
      <c r="W60" s="199">
        <v>4336206</v>
      </c>
      <c r="X60" s="199">
        <v>4169015</v>
      </c>
      <c r="Y60" s="199">
        <v>4023240</v>
      </c>
      <c r="Z60" s="199">
        <v>3888813</v>
      </c>
      <c r="AA60" s="199">
        <v>3749429</v>
      </c>
      <c r="AB60" s="199">
        <v>3774719</v>
      </c>
      <c r="AC60" s="199">
        <v>3555339</v>
      </c>
      <c r="AD60" s="199">
        <v>3378754</v>
      </c>
    </row>
    <row r="61" spans="1:30">
      <c r="A61" s="1" t="s">
        <v>275</v>
      </c>
      <c r="B61" s="6" t="s">
        <v>297</v>
      </c>
      <c r="C61" s="6" t="s">
        <v>298</v>
      </c>
      <c r="D61" s="7">
        <v>4062222</v>
      </c>
      <c r="E61" s="199">
        <v>2964752</v>
      </c>
      <c r="F61" s="199">
        <v>2773265</v>
      </c>
      <c r="G61" s="199">
        <v>2570632</v>
      </c>
      <c r="H61" s="199">
        <v>2399002</v>
      </c>
      <c r="I61" s="199">
        <v>2251658</v>
      </c>
      <c r="J61" s="199">
        <v>2123550</v>
      </c>
      <c r="K61" s="199">
        <v>1994939</v>
      </c>
      <c r="L61" s="199">
        <v>1858572</v>
      </c>
      <c r="M61" s="199">
        <v>1787095</v>
      </c>
      <c r="N61" s="199">
        <v>1719386</v>
      </c>
      <c r="O61" s="199">
        <v>1661672</v>
      </c>
      <c r="P61" s="199">
        <v>1611139</v>
      </c>
      <c r="Q61" s="199">
        <v>1565183</v>
      </c>
      <c r="R61" s="199">
        <v>1518452</v>
      </c>
      <c r="S61" s="199">
        <v>1474549</v>
      </c>
      <c r="T61" s="199">
        <v>1422043</v>
      </c>
      <c r="U61" s="199">
        <v>1376953</v>
      </c>
      <c r="V61" s="199">
        <v>1323620</v>
      </c>
      <c r="W61" s="199">
        <v>1265834</v>
      </c>
      <c r="X61" s="199">
        <v>1229421</v>
      </c>
      <c r="Y61" s="199" t="s">
        <v>175</v>
      </c>
      <c r="Z61" s="199">
        <v>846148</v>
      </c>
      <c r="AA61" s="199">
        <v>842435</v>
      </c>
      <c r="AB61" s="199">
        <v>842293</v>
      </c>
      <c r="AC61" s="199">
        <v>840074</v>
      </c>
      <c r="AD61" s="199">
        <v>828298</v>
      </c>
    </row>
    <row r="62" spans="1:30">
      <c r="B62" s="6" t="s">
        <v>210</v>
      </c>
      <c r="C62" s="6" t="s">
        <v>211</v>
      </c>
      <c r="D62" s="7">
        <v>4057135</v>
      </c>
      <c r="E62" s="199">
        <v>4889714</v>
      </c>
      <c r="F62" s="199">
        <v>4403106</v>
      </c>
      <c r="G62" s="199">
        <v>4021752</v>
      </c>
      <c r="H62" s="199">
        <v>3826155</v>
      </c>
      <c r="I62" s="199">
        <v>3508438</v>
      </c>
      <c r="J62" s="199">
        <v>3325097</v>
      </c>
      <c r="K62" s="199">
        <v>3054042</v>
      </c>
      <c r="L62" s="199">
        <v>2829609</v>
      </c>
      <c r="M62" s="199">
        <v>2555557</v>
      </c>
      <c r="N62" s="199">
        <v>2365701</v>
      </c>
      <c r="O62" s="199">
        <v>2197878</v>
      </c>
      <c r="P62" s="199">
        <v>2036231</v>
      </c>
      <c r="Q62" s="199">
        <v>1995335</v>
      </c>
      <c r="R62" s="199">
        <v>1891171</v>
      </c>
      <c r="S62" s="199">
        <v>1756857</v>
      </c>
      <c r="T62" s="199">
        <v>1677354</v>
      </c>
      <c r="U62" s="199">
        <v>1633603</v>
      </c>
      <c r="V62" s="199">
        <v>1597448</v>
      </c>
      <c r="W62" s="199">
        <v>1575897</v>
      </c>
      <c r="X62" s="199">
        <v>1539749</v>
      </c>
      <c r="Y62" s="199">
        <v>1481850</v>
      </c>
      <c r="Z62" s="199">
        <v>1436973</v>
      </c>
      <c r="AA62" s="199">
        <v>1399780</v>
      </c>
      <c r="AB62" s="199">
        <v>1370131</v>
      </c>
      <c r="AC62" s="199">
        <v>1330735</v>
      </c>
      <c r="AD62" s="199">
        <v>1292140</v>
      </c>
    </row>
    <row r="63" spans="1:30">
      <c r="B63" s="6" t="s">
        <v>212</v>
      </c>
      <c r="C63" s="6" t="s">
        <v>212</v>
      </c>
      <c r="D63" s="7">
        <v>4063341</v>
      </c>
      <c r="E63" s="199">
        <v>2056024</v>
      </c>
      <c r="F63" s="199">
        <v>1847779</v>
      </c>
      <c r="G63" s="199">
        <v>1677614</v>
      </c>
      <c r="H63" s="199">
        <v>1534151</v>
      </c>
      <c r="I63" s="199">
        <v>1429078</v>
      </c>
      <c r="J63" s="199">
        <v>1326146</v>
      </c>
      <c r="K63" s="199">
        <v>1238426</v>
      </c>
      <c r="L63" s="199">
        <v>1175198</v>
      </c>
      <c r="M63" s="199">
        <v>1100724</v>
      </c>
      <c r="N63" s="199">
        <v>1035565</v>
      </c>
      <c r="O63" s="199">
        <v>983845</v>
      </c>
      <c r="P63" s="199">
        <v>955763</v>
      </c>
      <c r="Q63" s="199">
        <v>899768</v>
      </c>
      <c r="R63" s="199">
        <v>808651</v>
      </c>
      <c r="S63" s="199">
        <v>781064</v>
      </c>
      <c r="T63" s="199">
        <v>734677</v>
      </c>
      <c r="U63" s="199">
        <v>710113</v>
      </c>
      <c r="V63" s="199">
        <v>679673</v>
      </c>
      <c r="W63" s="199">
        <v>564642</v>
      </c>
      <c r="X63" s="199">
        <v>571023</v>
      </c>
      <c r="Y63" s="199">
        <v>554666</v>
      </c>
      <c r="Z63" s="199">
        <v>522830</v>
      </c>
      <c r="AA63" s="199">
        <v>455488</v>
      </c>
      <c r="AB63" s="199">
        <v>416392</v>
      </c>
      <c r="AC63" s="199">
        <v>360116</v>
      </c>
      <c r="AD63" s="199">
        <v>342460</v>
      </c>
    </row>
    <row r="64" spans="1:30">
      <c r="A64" s="1" t="s">
        <v>275</v>
      </c>
      <c r="B64" s="6" t="s">
        <v>299</v>
      </c>
      <c r="C64" s="6" t="s">
        <v>299</v>
      </c>
      <c r="D64" s="7">
        <v>4083575</v>
      </c>
      <c r="E64" s="199">
        <v>1767109</v>
      </c>
      <c r="F64" s="199">
        <v>1637659</v>
      </c>
      <c r="G64" s="199">
        <v>1568836</v>
      </c>
      <c r="H64" s="199">
        <v>1480738</v>
      </c>
      <c r="I64" s="199">
        <v>1429087</v>
      </c>
      <c r="J64" s="199">
        <v>1373971</v>
      </c>
      <c r="K64" s="199">
        <v>1346998</v>
      </c>
      <c r="L64" s="199">
        <v>1305573</v>
      </c>
      <c r="M64" s="199">
        <v>1286725</v>
      </c>
      <c r="N64" s="199">
        <v>1262824</v>
      </c>
      <c r="O64" s="199">
        <v>1239387</v>
      </c>
      <c r="P64" s="199">
        <v>1213739</v>
      </c>
      <c r="Q64" s="199">
        <v>1178668</v>
      </c>
      <c r="R64" s="199">
        <v>1144099</v>
      </c>
      <c r="S64" s="199">
        <v>1108029</v>
      </c>
      <c r="T64" s="199">
        <v>1075190</v>
      </c>
      <c r="U64" s="199">
        <v>1043737</v>
      </c>
      <c r="V64" s="199">
        <v>1015759</v>
      </c>
      <c r="W64" s="199">
        <v>986854</v>
      </c>
      <c r="X64" s="199">
        <v>914532</v>
      </c>
      <c r="Y64" s="199" t="s">
        <v>175</v>
      </c>
      <c r="Z64" s="199" t="s">
        <v>175</v>
      </c>
      <c r="AA64" s="199" t="s">
        <v>175</v>
      </c>
      <c r="AB64" s="199" t="s">
        <v>175</v>
      </c>
      <c r="AC64" s="199" t="s">
        <v>175</v>
      </c>
      <c r="AD64" s="199" t="s">
        <v>175</v>
      </c>
    </row>
    <row r="65" spans="1:30">
      <c r="B65" s="6" t="s">
        <v>300</v>
      </c>
      <c r="C65" s="6" t="s">
        <v>300</v>
      </c>
      <c r="D65" s="7">
        <v>4062303</v>
      </c>
      <c r="E65" s="199">
        <v>3057</v>
      </c>
      <c r="F65" s="199">
        <v>2973</v>
      </c>
      <c r="G65" s="199">
        <v>2651</v>
      </c>
      <c r="H65" s="199">
        <v>2537</v>
      </c>
      <c r="I65" s="199" t="s">
        <v>175</v>
      </c>
      <c r="J65" s="199">
        <v>2893</v>
      </c>
      <c r="K65" s="199">
        <v>2764</v>
      </c>
      <c r="L65" s="199">
        <v>2690</v>
      </c>
      <c r="M65" s="199">
        <v>2568</v>
      </c>
      <c r="N65" s="199">
        <v>2077</v>
      </c>
      <c r="O65" s="199">
        <v>2042</v>
      </c>
      <c r="P65" s="199">
        <v>1922</v>
      </c>
      <c r="Q65" s="199">
        <v>1853</v>
      </c>
      <c r="R65" s="199">
        <v>1690</v>
      </c>
      <c r="S65" s="199">
        <v>1557</v>
      </c>
      <c r="T65" s="199">
        <v>1494</v>
      </c>
      <c r="U65" s="199">
        <v>1162</v>
      </c>
      <c r="V65" s="199">
        <v>1101</v>
      </c>
      <c r="W65" s="199">
        <v>1083</v>
      </c>
      <c r="X65" s="199">
        <v>1001</v>
      </c>
      <c r="Y65" s="199">
        <v>902</v>
      </c>
      <c r="Z65" s="199" t="s">
        <v>175</v>
      </c>
      <c r="AA65" s="199" t="s">
        <v>175</v>
      </c>
      <c r="AB65" s="199" t="s">
        <v>175</v>
      </c>
      <c r="AC65" s="199" t="s">
        <v>175</v>
      </c>
      <c r="AD65" s="199" t="s">
        <v>175</v>
      </c>
    </row>
    <row r="66" spans="1:30">
      <c r="B66" s="6" t="s">
        <v>301</v>
      </c>
      <c r="C66" s="6" t="s">
        <v>301</v>
      </c>
      <c r="D66" s="7">
        <v>4083581</v>
      </c>
      <c r="E66" s="199">
        <v>8459</v>
      </c>
      <c r="F66" s="199">
        <v>8161</v>
      </c>
      <c r="G66" s="199">
        <v>7922</v>
      </c>
      <c r="H66" s="199">
        <v>7630</v>
      </c>
      <c r="I66" s="199">
        <v>6890</v>
      </c>
      <c r="J66" s="199">
        <v>6421</v>
      </c>
      <c r="K66" s="199">
        <v>5849</v>
      </c>
      <c r="L66" s="199">
        <v>5874</v>
      </c>
      <c r="M66" s="199">
        <v>5528</v>
      </c>
      <c r="N66" s="199">
        <v>5523</v>
      </c>
      <c r="O66" s="199">
        <v>5516</v>
      </c>
      <c r="P66" s="199">
        <v>5516</v>
      </c>
      <c r="Q66" s="199">
        <v>5505</v>
      </c>
      <c r="R66" s="199">
        <v>5498</v>
      </c>
      <c r="S66" s="199">
        <v>5378</v>
      </c>
      <c r="T66" s="199">
        <v>5329</v>
      </c>
      <c r="U66" s="199">
        <v>5014</v>
      </c>
      <c r="V66" s="199">
        <v>4662</v>
      </c>
      <c r="W66" s="199" t="s">
        <v>175</v>
      </c>
      <c r="X66" s="199">
        <v>4306</v>
      </c>
      <c r="Y66" s="199">
        <v>3880</v>
      </c>
      <c r="Z66" s="199" t="s">
        <v>175</v>
      </c>
      <c r="AA66" s="199" t="s">
        <v>175</v>
      </c>
      <c r="AB66" s="199" t="s">
        <v>175</v>
      </c>
      <c r="AC66" s="199" t="s">
        <v>175</v>
      </c>
      <c r="AD66" s="199" t="s">
        <v>175</v>
      </c>
    </row>
    <row r="67" spans="1:30">
      <c r="B67" s="6" t="s">
        <v>214</v>
      </c>
      <c r="C67" s="6" t="s">
        <v>214</v>
      </c>
      <c r="D67" s="7">
        <v>4057139</v>
      </c>
      <c r="E67" s="199">
        <v>1889107</v>
      </c>
      <c r="F67" s="199">
        <v>1777809</v>
      </c>
      <c r="G67" s="199">
        <v>1587906</v>
      </c>
      <c r="H67" s="199">
        <v>1518938</v>
      </c>
      <c r="I67" s="199">
        <v>1453906</v>
      </c>
      <c r="J67" s="199">
        <v>1360142</v>
      </c>
      <c r="K67" s="199">
        <v>1287258</v>
      </c>
      <c r="L67" s="199">
        <v>1197804</v>
      </c>
      <c r="M67" s="199">
        <v>1156607</v>
      </c>
      <c r="N67" s="199">
        <v>1114563</v>
      </c>
      <c r="O67" s="199">
        <v>1077792</v>
      </c>
      <c r="P67" s="199">
        <v>1046466</v>
      </c>
      <c r="Q67" s="199">
        <v>1020965</v>
      </c>
      <c r="R67" s="199">
        <v>931158</v>
      </c>
      <c r="S67" s="199">
        <v>862739</v>
      </c>
      <c r="T67" s="199">
        <v>792180</v>
      </c>
      <c r="U67" s="199">
        <v>743735</v>
      </c>
      <c r="V67" s="199">
        <v>706523</v>
      </c>
      <c r="W67" s="199">
        <v>670672</v>
      </c>
      <c r="X67" s="199">
        <v>634589</v>
      </c>
      <c r="Y67" s="199">
        <v>582470</v>
      </c>
      <c r="Z67" s="199">
        <v>564485</v>
      </c>
      <c r="AA67" s="199">
        <v>542232</v>
      </c>
      <c r="AB67" s="199">
        <v>504893</v>
      </c>
      <c r="AC67" s="199">
        <v>461312</v>
      </c>
      <c r="AD67" s="199">
        <v>418972</v>
      </c>
    </row>
    <row r="68" spans="1:30">
      <c r="A68" s="1" t="s">
        <v>275</v>
      </c>
      <c r="B68" s="6" t="s">
        <v>216</v>
      </c>
      <c r="C68" s="6" t="s">
        <v>216</v>
      </c>
      <c r="D68" s="7">
        <v>4057095</v>
      </c>
      <c r="E68" s="199" t="s">
        <v>175</v>
      </c>
      <c r="F68" s="199">
        <v>8347906</v>
      </c>
      <c r="G68" s="199">
        <v>7774068</v>
      </c>
      <c r="H68" s="199">
        <v>7043908</v>
      </c>
      <c r="I68" s="199">
        <v>6380422</v>
      </c>
      <c r="J68" s="199">
        <v>5878921</v>
      </c>
      <c r="K68" s="199">
        <v>5488872</v>
      </c>
      <c r="L68" s="199">
        <v>5237998</v>
      </c>
      <c r="M68" s="199">
        <v>5069193</v>
      </c>
      <c r="N68" s="199">
        <v>4857813</v>
      </c>
      <c r="O68" s="199">
        <v>4684259</v>
      </c>
      <c r="P68" s="199">
        <v>4425778</v>
      </c>
      <c r="Q68" s="199">
        <v>4227913</v>
      </c>
      <c r="R68" s="199">
        <v>4033186</v>
      </c>
      <c r="S68" s="199">
        <v>3871857</v>
      </c>
      <c r="T68" s="199">
        <v>3687486</v>
      </c>
      <c r="U68" s="199">
        <v>3444129</v>
      </c>
      <c r="V68" s="199">
        <v>3290070</v>
      </c>
      <c r="W68" s="199">
        <v>3139678</v>
      </c>
      <c r="X68" s="199">
        <v>2992210</v>
      </c>
      <c r="Y68" s="199">
        <v>2860145</v>
      </c>
      <c r="Z68" s="199">
        <v>2731577</v>
      </c>
      <c r="AA68" s="199">
        <v>2607571</v>
      </c>
      <c r="AB68" s="199">
        <v>2472362</v>
      </c>
      <c r="AC68" s="199">
        <v>2357584</v>
      </c>
      <c r="AD68" s="199">
        <v>2250694</v>
      </c>
    </row>
    <row r="69" spans="1:30">
      <c r="B69" s="6" t="s">
        <v>217</v>
      </c>
      <c r="C69" s="6" t="s">
        <v>217</v>
      </c>
      <c r="D69" s="7">
        <v>4062485</v>
      </c>
      <c r="E69" s="199">
        <v>4343497</v>
      </c>
      <c r="F69" s="199">
        <v>4093494</v>
      </c>
      <c r="G69" s="199">
        <v>3850309</v>
      </c>
      <c r="H69" s="199">
        <v>3620622</v>
      </c>
      <c r="I69" s="199">
        <v>3417350</v>
      </c>
      <c r="J69" s="199">
        <v>3233768</v>
      </c>
      <c r="K69" s="199">
        <v>3105837</v>
      </c>
      <c r="L69" s="199">
        <v>2958072</v>
      </c>
      <c r="M69" s="199">
        <v>2828799</v>
      </c>
      <c r="N69" s="199">
        <v>2691047</v>
      </c>
      <c r="O69" s="199">
        <v>2585583</v>
      </c>
      <c r="P69" s="199">
        <v>2483982</v>
      </c>
      <c r="Q69" s="199">
        <v>2321448</v>
      </c>
      <c r="R69" s="199">
        <v>2165598</v>
      </c>
      <c r="S69" s="199">
        <v>1994973</v>
      </c>
      <c r="T69" s="199">
        <v>1708693</v>
      </c>
      <c r="U69" s="199">
        <v>1597767</v>
      </c>
      <c r="V69" s="199">
        <v>1499359</v>
      </c>
      <c r="W69" s="199">
        <v>1417297</v>
      </c>
      <c r="X69" s="199">
        <v>1322933</v>
      </c>
      <c r="Y69" s="199">
        <v>1213627</v>
      </c>
      <c r="Z69" s="199">
        <v>1132712</v>
      </c>
      <c r="AA69" s="199">
        <v>1041832</v>
      </c>
      <c r="AB69" s="199">
        <v>975787</v>
      </c>
      <c r="AC69" s="199">
        <v>953920</v>
      </c>
      <c r="AD69" s="199">
        <v>907148</v>
      </c>
    </row>
    <row r="70" spans="1:30">
      <c r="B70" s="6" t="s">
        <v>218</v>
      </c>
      <c r="C70" s="6" t="s">
        <v>218</v>
      </c>
      <c r="D70" s="7">
        <v>4057140</v>
      </c>
      <c r="E70" s="199">
        <v>2908845</v>
      </c>
      <c r="F70" s="199">
        <v>2806682</v>
      </c>
      <c r="G70" s="199">
        <v>2733447</v>
      </c>
      <c r="H70" s="199">
        <v>2604002</v>
      </c>
      <c r="I70" s="199">
        <v>2456089</v>
      </c>
      <c r="J70" s="199">
        <v>2196798</v>
      </c>
      <c r="K70" s="199">
        <v>2003921</v>
      </c>
      <c r="L70" s="199">
        <v>1861499</v>
      </c>
      <c r="M70" s="199">
        <v>1690524</v>
      </c>
      <c r="N70" s="199">
        <v>1583103</v>
      </c>
      <c r="O70" s="199">
        <v>1490113</v>
      </c>
      <c r="P70" s="199">
        <v>1414078</v>
      </c>
      <c r="Q70" s="199">
        <v>1362904</v>
      </c>
      <c r="R70" s="199">
        <v>1293798</v>
      </c>
      <c r="S70" s="199">
        <v>1174110</v>
      </c>
      <c r="T70" s="199">
        <v>1104430</v>
      </c>
      <c r="U70" s="199">
        <v>1047365</v>
      </c>
      <c r="V70" s="199">
        <v>990984</v>
      </c>
      <c r="W70" s="199">
        <v>941645</v>
      </c>
      <c r="X70" s="199">
        <v>875415</v>
      </c>
      <c r="Y70" s="199">
        <v>818802</v>
      </c>
      <c r="Z70" s="199">
        <v>725874</v>
      </c>
      <c r="AA70" s="199">
        <v>685710</v>
      </c>
      <c r="AB70" s="199">
        <v>641225</v>
      </c>
      <c r="AC70" s="199">
        <v>608571</v>
      </c>
      <c r="AD70" s="199">
        <v>587128</v>
      </c>
    </row>
    <row r="71" spans="1:30">
      <c r="A71" s="1" t="s">
        <v>275</v>
      </c>
      <c r="B71" s="6" t="s">
        <v>220</v>
      </c>
      <c r="C71" s="6" t="s">
        <v>221</v>
      </c>
      <c r="D71" s="7">
        <v>4057096</v>
      </c>
      <c r="E71" s="199">
        <v>1026610</v>
      </c>
      <c r="F71" s="199">
        <v>985645</v>
      </c>
      <c r="G71" s="199">
        <v>903804</v>
      </c>
      <c r="H71" s="199">
        <v>867459</v>
      </c>
      <c r="I71" s="199">
        <v>786839</v>
      </c>
      <c r="J71" s="199">
        <v>754937</v>
      </c>
      <c r="K71" s="199">
        <v>735851</v>
      </c>
      <c r="L71" s="199">
        <v>710934</v>
      </c>
      <c r="M71" s="199">
        <v>686555</v>
      </c>
      <c r="N71" s="199">
        <v>655293</v>
      </c>
      <c r="O71" s="199">
        <v>633956</v>
      </c>
      <c r="P71" s="199">
        <v>616088</v>
      </c>
      <c r="Q71" s="199">
        <v>609603</v>
      </c>
      <c r="R71" s="199">
        <v>595544</v>
      </c>
      <c r="S71" s="199">
        <v>581522</v>
      </c>
      <c r="T71" s="199">
        <v>569794</v>
      </c>
      <c r="U71" s="199">
        <v>554658</v>
      </c>
      <c r="V71" s="199" t="s">
        <v>175</v>
      </c>
      <c r="W71" s="199" t="s">
        <v>175</v>
      </c>
      <c r="X71" s="199">
        <v>492522</v>
      </c>
      <c r="Y71" s="199">
        <v>467095</v>
      </c>
      <c r="Z71" s="199">
        <v>449857</v>
      </c>
      <c r="AA71" s="199">
        <v>431742</v>
      </c>
      <c r="AB71" s="199">
        <v>413656</v>
      </c>
      <c r="AC71" s="199">
        <v>387953</v>
      </c>
      <c r="AD71" s="199">
        <v>379072</v>
      </c>
    </row>
    <row r="72" spans="1:30">
      <c r="B72" s="6" t="s">
        <v>302</v>
      </c>
      <c r="C72" s="6" t="s">
        <v>302</v>
      </c>
      <c r="D72" s="7">
        <v>4057097</v>
      </c>
      <c r="E72" s="199" t="s">
        <v>175</v>
      </c>
      <c r="F72" s="199" t="s">
        <v>175</v>
      </c>
      <c r="G72" s="199">
        <v>1958242</v>
      </c>
      <c r="H72" s="199">
        <v>1778411</v>
      </c>
      <c r="I72" s="199">
        <v>1499320</v>
      </c>
      <c r="J72" s="199">
        <v>1290088</v>
      </c>
      <c r="K72" s="199">
        <v>1213416</v>
      </c>
      <c r="L72" s="199">
        <v>1149498</v>
      </c>
      <c r="M72" s="199">
        <v>1134424</v>
      </c>
      <c r="N72" s="199">
        <v>1094767</v>
      </c>
      <c r="O72" s="199">
        <v>1032669</v>
      </c>
      <c r="P72" s="199">
        <v>959332</v>
      </c>
      <c r="Q72" s="199">
        <v>914742</v>
      </c>
      <c r="R72" s="199">
        <v>912779</v>
      </c>
      <c r="S72" s="199">
        <v>887841</v>
      </c>
      <c r="T72" s="199">
        <v>858955</v>
      </c>
      <c r="U72" s="199">
        <v>811133</v>
      </c>
      <c r="V72" s="199">
        <v>790548</v>
      </c>
      <c r="W72" s="199">
        <v>765448</v>
      </c>
      <c r="X72" s="199">
        <v>743077</v>
      </c>
      <c r="Y72" s="199">
        <v>721708</v>
      </c>
      <c r="Z72" s="199">
        <v>701559</v>
      </c>
      <c r="AA72" s="199">
        <v>677487</v>
      </c>
      <c r="AB72" s="199">
        <v>658272</v>
      </c>
      <c r="AC72" s="199">
        <v>637799</v>
      </c>
      <c r="AD72" s="199">
        <v>615992</v>
      </c>
    </row>
    <row r="73" spans="1:30">
      <c r="B73" s="6" t="s">
        <v>303</v>
      </c>
      <c r="C73" s="6" t="s">
        <v>303</v>
      </c>
      <c r="D73" s="7">
        <v>4057098</v>
      </c>
      <c r="E73" s="199" t="s">
        <v>175</v>
      </c>
      <c r="F73" s="199">
        <v>415279</v>
      </c>
      <c r="G73" s="199">
        <v>401224</v>
      </c>
      <c r="H73" s="199">
        <v>388465</v>
      </c>
      <c r="I73" s="199">
        <v>379565</v>
      </c>
      <c r="J73" s="199">
        <v>372290</v>
      </c>
      <c r="K73" s="199">
        <v>363640</v>
      </c>
      <c r="L73" s="199">
        <v>354520</v>
      </c>
      <c r="M73" s="199">
        <v>339118</v>
      </c>
      <c r="N73" s="199">
        <v>311686</v>
      </c>
      <c r="O73" s="199">
        <v>302961</v>
      </c>
      <c r="P73" s="199">
        <v>294485</v>
      </c>
      <c r="Q73" s="199">
        <v>276798</v>
      </c>
      <c r="R73" s="199">
        <v>264965</v>
      </c>
      <c r="S73" s="199">
        <v>250773</v>
      </c>
      <c r="T73" s="199">
        <v>238917</v>
      </c>
      <c r="U73" s="199">
        <v>226084</v>
      </c>
      <c r="V73" s="199">
        <v>216182</v>
      </c>
      <c r="W73" s="199">
        <v>200120</v>
      </c>
      <c r="X73" s="199" t="s">
        <v>175</v>
      </c>
      <c r="Y73" s="199">
        <v>171885</v>
      </c>
      <c r="Z73" s="199">
        <v>158932</v>
      </c>
      <c r="AA73" s="199">
        <v>151639</v>
      </c>
      <c r="AB73" s="199">
        <v>143552</v>
      </c>
      <c r="AC73" s="199">
        <v>131740</v>
      </c>
      <c r="AD73" s="199">
        <v>122591</v>
      </c>
    </row>
    <row r="74" spans="1:30">
      <c r="A74" s="1" t="s">
        <v>275</v>
      </c>
      <c r="B74" s="6" t="s">
        <v>222</v>
      </c>
      <c r="C74" s="6" t="s">
        <v>222</v>
      </c>
      <c r="D74" s="7">
        <v>4063023</v>
      </c>
      <c r="E74" s="199" t="s">
        <v>175</v>
      </c>
      <c r="F74" s="199">
        <v>2441342</v>
      </c>
      <c r="G74" s="199">
        <v>2213398</v>
      </c>
      <c r="H74" s="199">
        <v>2044991</v>
      </c>
      <c r="I74" s="199">
        <v>1872273</v>
      </c>
      <c r="J74" s="199">
        <v>1701682</v>
      </c>
      <c r="K74" s="199">
        <v>1547214</v>
      </c>
      <c r="L74" s="199">
        <v>1417938</v>
      </c>
      <c r="M74" s="199">
        <v>1299853</v>
      </c>
      <c r="N74" s="199">
        <v>1172547</v>
      </c>
      <c r="O74" s="199">
        <v>1084990</v>
      </c>
      <c r="P74" s="199">
        <v>1021233</v>
      </c>
      <c r="Q74" s="199">
        <v>959837</v>
      </c>
      <c r="R74" s="199">
        <v>919236</v>
      </c>
      <c r="S74" s="199">
        <v>878157</v>
      </c>
      <c r="T74" s="199">
        <v>831847</v>
      </c>
      <c r="U74" s="199">
        <v>781800</v>
      </c>
      <c r="V74" s="199">
        <v>736073</v>
      </c>
      <c r="W74" s="199">
        <v>696912</v>
      </c>
      <c r="X74" s="199">
        <v>658503</v>
      </c>
      <c r="Y74" s="199">
        <v>622702</v>
      </c>
      <c r="Z74" s="199">
        <v>584272</v>
      </c>
      <c r="AA74" s="199">
        <v>549557</v>
      </c>
      <c r="AB74" s="199">
        <v>513535</v>
      </c>
      <c r="AC74" s="199">
        <v>477968</v>
      </c>
      <c r="AD74" s="199">
        <v>445304</v>
      </c>
    </row>
    <row r="75" spans="1:30">
      <c r="B75" s="6" t="s">
        <v>223</v>
      </c>
      <c r="C75" s="6" t="s">
        <v>223</v>
      </c>
      <c r="D75" s="7">
        <v>4057146</v>
      </c>
      <c r="E75" s="199" t="s">
        <v>175</v>
      </c>
      <c r="F75" s="199">
        <v>11397559</v>
      </c>
      <c r="G75" s="199">
        <v>10767621</v>
      </c>
      <c r="H75" s="199">
        <v>10180779</v>
      </c>
      <c r="I75" s="199">
        <v>9452970</v>
      </c>
      <c r="J75" s="199">
        <v>8744904</v>
      </c>
      <c r="K75" s="199">
        <v>8054732</v>
      </c>
      <c r="L75" s="199">
        <v>7548301</v>
      </c>
      <c r="M75" s="199">
        <v>7248972</v>
      </c>
      <c r="N75" s="199">
        <v>6931522</v>
      </c>
      <c r="O75" s="199">
        <v>6473956</v>
      </c>
      <c r="P75" s="199">
        <v>6249766</v>
      </c>
      <c r="Q75" s="199">
        <v>6023217</v>
      </c>
      <c r="R75" s="199">
        <v>5820039</v>
      </c>
      <c r="S75" s="199">
        <v>5589938</v>
      </c>
      <c r="T75" s="199">
        <v>5319299</v>
      </c>
      <c r="U75" s="199">
        <v>5043640</v>
      </c>
      <c r="V75" s="199">
        <v>4839568</v>
      </c>
      <c r="W75" s="199">
        <v>4654819</v>
      </c>
      <c r="X75" s="199">
        <v>4505409</v>
      </c>
      <c r="Y75" s="199">
        <v>4387857</v>
      </c>
      <c r="Z75" s="199">
        <v>4285877</v>
      </c>
      <c r="AA75" s="199">
        <v>4200349</v>
      </c>
      <c r="AB75" s="199">
        <v>4129947</v>
      </c>
      <c r="AC75" s="199">
        <v>4059064</v>
      </c>
      <c r="AD75" s="199" t="s">
        <v>175</v>
      </c>
    </row>
    <row r="76" spans="1:30">
      <c r="A76" s="1" t="s">
        <v>275</v>
      </c>
      <c r="B76" s="6" t="s">
        <v>224</v>
      </c>
      <c r="C76" s="6" t="s">
        <v>225</v>
      </c>
      <c r="D76" s="7">
        <v>4063060</v>
      </c>
      <c r="E76" s="199">
        <v>1014627</v>
      </c>
      <c r="F76" s="199">
        <v>960763</v>
      </c>
      <c r="G76" s="199">
        <v>901383</v>
      </c>
      <c r="H76" s="199">
        <v>851965</v>
      </c>
      <c r="I76" s="199">
        <v>816418</v>
      </c>
      <c r="J76" s="199">
        <v>753459</v>
      </c>
      <c r="K76" s="199">
        <v>698750</v>
      </c>
      <c r="L76" s="199">
        <v>651616</v>
      </c>
      <c r="M76" s="199">
        <v>633105</v>
      </c>
      <c r="N76" s="199">
        <v>599382</v>
      </c>
      <c r="O76" s="199">
        <v>580989</v>
      </c>
      <c r="P76" s="199">
        <v>566309</v>
      </c>
      <c r="Q76" s="199">
        <v>550034</v>
      </c>
      <c r="R76" s="199">
        <v>537067</v>
      </c>
      <c r="S76" s="199">
        <v>519714</v>
      </c>
      <c r="T76" s="199">
        <v>500465</v>
      </c>
      <c r="U76" s="199">
        <v>474888</v>
      </c>
      <c r="V76" s="199">
        <v>459576</v>
      </c>
      <c r="W76" s="199">
        <v>440903</v>
      </c>
      <c r="X76" s="199">
        <v>422761</v>
      </c>
      <c r="Y76" s="199">
        <v>400459</v>
      </c>
      <c r="Z76" s="199" t="s">
        <v>175</v>
      </c>
      <c r="AA76" s="199">
        <v>369400</v>
      </c>
      <c r="AB76" s="199">
        <v>358337</v>
      </c>
      <c r="AC76" s="199">
        <v>336966</v>
      </c>
      <c r="AD76" s="199">
        <v>317989</v>
      </c>
    </row>
    <row r="77" spans="1:30">
      <c r="B77" s="6" t="s">
        <v>226</v>
      </c>
      <c r="C77" s="6" t="s">
        <v>226</v>
      </c>
      <c r="D77" s="7">
        <v>4057100</v>
      </c>
      <c r="E77" s="199">
        <v>399534</v>
      </c>
      <c r="F77" s="199">
        <v>363820</v>
      </c>
      <c r="G77" s="199">
        <v>335724</v>
      </c>
      <c r="H77" s="199">
        <v>298238</v>
      </c>
      <c r="I77" s="199">
        <v>271799</v>
      </c>
      <c r="J77" s="199">
        <v>245847</v>
      </c>
      <c r="K77" s="199">
        <v>218014</v>
      </c>
      <c r="L77" s="199">
        <v>194039</v>
      </c>
      <c r="M77" s="199">
        <v>183004</v>
      </c>
      <c r="N77" s="199">
        <v>175243</v>
      </c>
      <c r="O77" s="199">
        <v>167846</v>
      </c>
      <c r="P77" s="199">
        <v>162203</v>
      </c>
      <c r="Q77" s="199">
        <v>154288</v>
      </c>
      <c r="R77" s="199">
        <v>147378</v>
      </c>
      <c r="S77" s="199">
        <v>142521</v>
      </c>
      <c r="T77" s="199">
        <v>135703</v>
      </c>
      <c r="U77" s="199">
        <v>128513</v>
      </c>
      <c r="V77" s="199">
        <v>124823</v>
      </c>
      <c r="W77" s="199">
        <v>118899</v>
      </c>
      <c r="X77" s="199">
        <v>111484</v>
      </c>
      <c r="Y77" s="199">
        <v>109153</v>
      </c>
      <c r="Z77" s="199">
        <v>105469</v>
      </c>
      <c r="AA77" s="199">
        <v>100643</v>
      </c>
      <c r="AB77" s="199">
        <v>96473</v>
      </c>
      <c r="AC77" s="199">
        <v>92701</v>
      </c>
      <c r="AD77" s="199">
        <v>88839</v>
      </c>
    </row>
    <row r="78" spans="1:30">
      <c r="B78" s="6" t="s">
        <v>304</v>
      </c>
      <c r="C78" s="6" t="s">
        <v>304</v>
      </c>
      <c r="D78" s="7">
        <v>4064035</v>
      </c>
      <c r="E78" s="199" t="s">
        <v>175</v>
      </c>
      <c r="F78" s="199">
        <v>57015</v>
      </c>
      <c r="G78" s="199">
        <v>51183</v>
      </c>
      <c r="H78" s="199">
        <v>48051</v>
      </c>
      <c r="I78" s="199">
        <v>46453</v>
      </c>
      <c r="J78" s="199">
        <v>44182</v>
      </c>
      <c r="K78" s="199">
        <v>42456</v>
      </c>
      <c r="L78" s="199">
        <v>39665</v>
      </c>
      <c r="M78" s="199">
        <v>37291</v>
      </c>
      <c r="N78" s="199">
        <v>36207</v>
      </c>
      <c r="O78" s="199">
        <v>35108</v>
      </c>
      <c r="P78" s="199">
        <v>33890</v>
      </c>
      <c r="Q78" s="199">
        <v>32731</v>
      </c>
      <c r="R78" s="199">
        <v>31091</v>
      </c>
      <c r="S78" s="199">
        <v>29764</v>
      </c>
      <c r="T78" s="199">
        <v>28672</v>
      </c>
      <c r="U78" s="199">
        <v>27720</v>
      </c>
      <c r="V78" s="199">
        <v>26744</v>
      </c>
      <c r="W78" s="199" t="s">
        <v>175</v>
      </c>
      <c r="X78" s="199">
        <v>24597</v>
      </c>
      <c r="Y78" s="199">
        <v>23783</v>
      </c>
      <c r="Z78" s="199" t="s">
        <v>175</v>
      </c>
      <c r="AA78" s="199">
        <v>21178</v>
      </c>
      <c r="AB78" s="199">
        <v>20232</v>
      </c>
      <c r="AC78" s="199">
        <v>19232</v>
      </c>
      <c r="AD78" s="199">
        <v>17570</v>
      </c>
    </row>
    <row r="79" spans="1:30">
      <c r="B79" s="6" t="s">
        <v>305</v>
      </c>
      <c r="C79" s="6" t="s">
        <v>305</v>
      </c>
      <c r="D79" s="7">
        <v>4060957</v>
      </c>
      <c r="E79" s="199">
        <v>2068846</v>
      </c>
      <c r="F79" s="199">
        <v>1936470</v>
      </c>
      <c r="G79" s="199">
        <v>1815945</v>
      </c>
      <c r="H79" s="199">
        <v>1717871</v>
      </c>
      <c r="I79" s="199">
        <v>1578868</v>
      </c>
      <c r="J79" s="199">
        <v>1491649</v>
      </c>
      <c r="K79" s="199">
        <v>1406805</v>
      </c>
      <c r="L79" s="199">
        <v>1346402</v>
      </c>
      <c r="M79" s="199">
        <v>1282522</v>
      </c>
      <c r="N79" s="199">
        <v>1218573</v>
      </c>
      <c r="O79" s="199">
        <v>1169538</v>
      </c>
      <c r="P79" s="199">
        <v>1128055</v>
      </c>
      <c r="Q79" s="199">
        <v>1087076</v>
      </c>
      <c r="R79" s="199">
        <v>1049118</v>
      </c>
      <c r="S79" s="199">
        <v>1012942</v>
      </c>
      <c r="T79" s="199">
        <v>970032</v>
      </c>
      <c r="U79" s="199">
        <v>932343</v>
      </c>
      <c r="V79" s="199">
        <v>896117</v>
      </c>
      <c r="W79" s="199">
        <v>857848</v>
      </c>
      <c r="X79" s="199">
        <v>820786</v>
      </c>
      <c r="Y79" s="199">
        <v>788826</v>
      </c>
      <c r="Z79" s="199">
        <v>755615</v>
      </c>
      <c r="AA79" s="199">
        <v>726810</v>
      </c>
      <c r="AB79" s="199">
        <v>695993</v>
      </c>
      <c r="AC79" s="199">
        <v>664328</v>
      </c>
      <c r="AD79" s="199">
        <v>633716</v>
      </c>
    </row>
    <row r="80" spans="1:30">
      <c r="B80" s="6" t="s">
        <v>228</v>
      </c>
      <c r="C80" s="6" t="s">
        <v>228</v>
      </c>
      <c r="D80" s="7">
        <v>4063179</v>
      </c>
      <c r="E80" s="199">
        <v>7303</v>
      </c>
      <c r="F80" s="199">
        <v>7262</v>
      </c>
      <c r="G80" s="199">
        <v>6850</v>
      </c>
      <c r="H80" s="199">
        <v>6579</v>
      </c>
      <c r="I80" s="199">
        <v>6449</v>
      </c>
      <c r="J80" s="199">
        <v>6305</v>
      </c>
      <c r="K80" s="199">
        <v>6151</v>
      </c>
      <c r="L80" s="199">
        <v>6078</v>
      </c>
      <c r="M80" s="199">
        <v>6015</v>
      </c>
      <c r="N80" s="199">
        <v>6002</v>
      </c>
      <c r="O80" s="199">
        <v>5950</v>
      </c>
      <c r="P80" s="199">
        <v>5671</v>
      </c>
      <c r="Q80" s="199">
        <v>5615</v>
      </c>
      <c r="R80" s="199">
        <v>5571</v>
      </c>
      <c r="S80" s="199">
        <v>5562</v>
      </c>
      <c r="T80" s="199">
        <v>5519</v>
      </c>
      <c r="U80" s="199">
        <v>5531</v>
      </c>
      <c r="V80" s="199">
        <v>5536</v>
      </c>
      <c r="W80" s="199">
        <v>5496</v>
      </c>
      <c r="X80" s="199">
        <v>5447</v>
      </c>
      <c r="Y80" s="199">
        <v>5372</v>
      </c>
      <c r="Z80" s="199">
        <v>5451</v>
      </c>
      <c r="AA80" s="199">
        <v>5395</v>
      </c>
      <c r="AB80" s="199">
        <v>5341</v>
      </c>
      <c r="AC80" s="199">
        <v>4822</v>
      </c>
      <c r="AD80" s="199">
        <v>4708</v>
      </c>
    </row>
    <row r="81" spans="1:30">
      <c r="A81" s="1" t="s">
        <v>275</v>
      </c>
      <c r="B81" s="6" t="s">
        <v>229</v>
      </c>
      <c r="C81" s="6" t="s">
        <v>229</v>
      </c>
      <c r="D81" s="7">
        <v>4063183</v>
      </c>
      <c r="E81" s="199">
        <v>64722</v>
      </c>
      <c r="F81" s="199">
        <v>64755</v>
      </c>
      <c r="G81" s="199">
        <v>86120</v>
      </c>
      <c r="H81" s="199">
        <v>88590</v>
      </c>
      <c r="I81" s="199">
        <v>88909</v>
      </c>
      <c r="J81" s="199">
        <v>89594</v>
      </c>
      <c r="K81" s="199">
        <v>57942</v>
      </c>
      <c r="L81" s="199">
        <v>55155</v>
      </c>
      <c r="M81" s="199">
        <v>42050</v>
      </c>
      <c r="N81" s="199">
        <v>40681</v>
      </c>
      <c r="O81" s="199">
        <v>40140</v>
      </c>
      <c r="P81" s="199">
        <v>39128</v>
      </c>
      <c r="Q81" s="199">
        <v>37777</v>
      </c>
      <c r="R81" s="199">
        <v>37122</v>
      </c>
      <c r="S81" s="199">
        <v>36088</v>
      </c>
      <c r="T81" s="199">
        <v>35616</v>
      </c>
      <c r="U81" s="199">
        <v>35025</v>
      </c>
      <c r="V81" s="199">
        <v>34687</v>
      </c>
      <c r="W81" s="199">
        <v>34301</v>
      </c>
      <c r="X81" s="199">
        <v>33940</v>
      </c>
      <c r="Y81" s="199">
        <v>33504</v>
      </c>
      <c r="Z81" s="199">
        <v>32725</v>
      </c>
      <c r="AA81" s="199">
        <v>32263</v>
      </c>
      <c r="AB81" s="199">
        <v>30187</v>
      </c>
      <c r="AC81" s="199">
        <v>29714</v>
      </c>
      <c r="AD81" s="199">
        <v>28147</v>
      </c>
    </row>
    <row r="82" spans="1:30">
      <c r="B82" s="6" t="s">
        <v>230</v>
      </c>
      <c r="C82" s="6" t="s">
        <v>230</v>
      </c>
      <c r="D82" s="7">
        <v>4063281</v>
      </c>
      <c r="E82" s="199">
        <v>32886</v>
      </c>
      <c r="F82" s="199">
        <v>31529</v>
      </c>
      <c r="G82" s="199">
        <v>29372</v>
      </c>
      <c r="H82" s="199">
        <v>26746</v>
      </c>
      <c r="I82" s="199">
        <v>24782</v>
      </c>
      <c r="J82" s="199">
        <v>23242</v>
      </c>
      <c r="K82" s="199">
        <v>22828</v>
      </c>
      <c r="L82" s="199">
        <v>21960</v>
      </c>
      <c r="M82" s="199">
        <v>20668</v>
      </c>
      <c r="N82" s="199">
        <v>20080</v>
      </c>
      <c r="O82" s="199">
        <v>19593</v>
      </c>
      <c r="P82" s="199">
        <v>19236</v>
      </c>
      <c r="Q82" s="199">
        <v>18716</v>
      </c>
      <c r="R82" s="199">
        <v>18128</v>
      </c>
      <c r="S82" s="199">
        <v>17779</v>
      </c>
      <c r="T82" s="199">
        <v>17345</v>
      </c>
      <c r="U82" s="199">
        <v>16976</v>
      </c>
      <c r="V82" s="199">
        <v>16708</v>
      </c>
      <c r="W82" s="199">
        <v>16235</v>
      </c>
      <c r="X82" s="199">
        <v>15351</v>
      </c>
      <c r="Y82" s="199">
        <v>14968</v>
      </c>
      <c r="Z82" s="199">
        <v>14565</v>
      </c>
      <c r="AA82" s="199">
        <v>14321</v>
      </c>
      <c r="AB82" s="199">
        <v>14047</v>
      </c>
      <c r="AC82" s="199">
        <v>12185</v>
      </c>
      <c r="AD82" s="199">
        <v>11706</v>
      </c>
    </row>
    <row r="83" spans="1:30">
      <c r="B83" s="6" t="s">
        <v>231</v>
      </c>
      <c r="C83" s="6" t="s">
        <v>231</v>
      </c>
      <c r="D83" s="7">
        <v>4059746</v>
      </c>
      <c r="E83" s="199">
        <v>3924822</v>
      </c>
      <c r="F83" s="199">
        <v>3739138</v>
      </c>
      <c r="G83" s="199">
        <v>3436342</v>
      </c>
      <c r="H83" s="199">
        <v>3229218</v>
      </c>
      <c r="I83" s="199">
        <v>2980865</v>
      </c>
      <c r="J83" s="199">
        <v>2734427</v>
      </c>
      <c r="K83" s="199">
        <v>2499020</v>
      </c>
      <c r="L83" s="199">
        <v>2300392</v>
      </c>
      <c r="M83" s="199">
        <v>2093255</v>
      </c>
      <c r="N83" s="199">
        <v>1905414</v>
      </c>
      <c r="O83" s="199">
        <v>1750182</v>
      </c>
      <c r="P83" s="199">
        <v>1609369</v>
      </c>
      <c r="Q83" s="199">
        <v>1499781</v>
      </c>
      <c r="R83" s="199">
        <v>1400672</v>
      </c>
      <c r="S83" s="199">
        <v>1325530</v>
      </c>
      <c r="T83" s="199">
        <v>1265006</v>
      </c>
      <c r="U83" s="199">
        <v>1226310</v>
      </c>
      <c r="V83" s="199">
        <v>1173536</v>
      </c>
      <c r="W83" s="199">
        <v>1114370</v>
      </c>
      <c r="X83" s="199">
        <v>1055071</v>
      </c>
      <c r="Y83" s="199">
        <v>1036541</v>
      </c>
      <c r="Z83" s="199">
        <v>994073</v>
      </c>
      <c r="AA83" s="199">
        <v>960981</v>
      </c>
      <c r="AB83" s="199">
        <v>920762</v>
      </c>
      <c r="AC83" s="199">
        <v>826360</v>
      </c>
      <c r="AD83" s="199">
        <v>794620</v>
      </c>
    </row>
    <row r="84" spans="1:30">
      <c r="A84" s="1" t="s">
        <v>275</v>
      </c>
      <c r="B84" s="6" t="s">
        <v>306</v>
      </c>
      <c r="C84" s="6" t="s">
        <v>306</v>
      </c>
      <c r="D84" s="7">
        <v>4062279</v>
      </c>
      <c r="E84" s="199" t="s">
        <v>175</v>
      </c>
      <c r="F84" s="199" t="s">
        <v>175</v>
      </c>
      <c r="G84" s="199" t="s">
        <v>175</v>
      </c>
      <c r="H84" s="199">
        <v>783122</v>
      </c>
      <c r="I84" s="199">
        <v>739555</v>
      </c>
      <c r="J84" s="199">
        <v>693702</v>
      </c>
      <c r="K84" s="199">
        <v>646603</v>
      </c>
      <c r="L84" s="199">
        <v>611010</v>
      </c>
      <c r="M84" s="199">
        <v>577847</v>
      </c>
      <c r="N84" s="199">
        <v>556731</v>
      </c>
      <c r="O84" s="199">
        <v>534821</v>
      </c>
      <c r="P84" s="199">
        <v>524003</v>
      </c>
      <c r="Q84" s="199">
        <v>509879</v>
      </c>
      <c r="R84" s="199">
        <v>489913</v>
      </c>
      <c r="S84" s="199">
        <v>474201</v>
      </c>
      <c r="T84" s="199">
        <v>461517</v>
      </c>
      <c r="U84" s="199">
        <v>445928</v>
      </c>
      <c r="V84" s="199">
        <v>427033</v>
      </c>
      <c r="W84" s="199">
        <v>408624</v>
      </c>
      <c r="X84" s="199">
        <v>398196</v>
      </c>
      <c r="Y84" s="199">
        <v>375832</v>
      </c>
      <c r="Z84" s="199" t="s">
        <v>175</v>
      </c>
      <c r="AA84" s="199">
        <v>336026</v>
      </c>
      <c r="AB84" s="199">
        <v>317394</v>
      </c>
      <c r="AC84" s="199">
        <v>290717</v>
      </c>
      <c r="AD84" s="199">
        <v>268214</v>
      </c>
    </row>
    <row r="85" spans="1:30">
      <c r="A85" s="1" t="s">
        <v>275</v>
      </c>
      <c r="B85" s="6" t="s">
        <v>307</v>
      </c>
      <c r="C85" s="6" t="s">
        <v>307</v>
      </c>
      <c r="D85" s="7">
        <v>4063729</v>
      </c>
      <c r="E85" s="199" t="s">
        <v>175</v>
      </c>
      <c r="F85" s="199" t="s">
        <v>175</v>
      </c>
      <c r="G85" s="199" t="s">
        <v>175</v>
      </c>
      <c r="H85" s="199">
        <v>184995</v>
      </c>
      <c r="I85" s="199">
        <v>170980</v>
      </c>
      <c r="J85" s="199">
        <v>163387</v>
      </c>
      <c r="K85" s="199">
        <v>154496</v>
      </c>
      <c r="L85" s="199">
        <v>145869</v>
      </c>
      <c r="M85" s="199">
        <v>137402</v>
      </c>
      <c r="N85" s="199">
        <v>129556</v>
      </c>
      <c r="O85" s="199">
        <v>123611</v>
      </c>
      <c r="P85" s="199">
        <v>117075</v>
      </c>
      <c r="Q85" s="199">
        <v>107829</v>
      </c>
      <c r="R85" s="199">
        <v>99483</v>
      </c>
      <c r="S85" s="199">
        <v>92202</v>
      </c>
      <c r="T85" s="199">
        <v>85674</v>
      </c>
      <c r="U85" s="199">
        <v>76030</v>
      </c>
      <c r="V85" s="199">
        <v>66842</v>
      </c>
      <c r="W85" s="199">
        <v>61703</v>
      </c>
      <c r="X85" s="199">
        <v>59013</v>
      </c>
      <c r="Y85" s="199">
        <v>55768</v>
      </c>
      <c r="Z85" s="199">
        <v>52566</v>
      </c>
      <c r="AA85" s="199" t="s">
        <v>175</v>
      </c>
      <c r="AB85" s="199" t="s">
        <v>175</v>
      </c>
      <c r="AC85" s="199">
        <v>42059</v>
      </c>
      <c r="AD85" s="199">
        <v>39273</v>
      </c>
    </row>
    <row r="86" spans="1:30">
      <c r="B86" s="6" t="s">
        <v>232</v>
      </c>
      <c r="C86" s="6" t="s">
        <v>232</v>
      </c>
      <c r="D86" s="7">
        <v>4063762</v>
      </c>
      <c r="E86" s="199">
        <v>1249935</v>
      </c>
      <c r="F86" s="199">
        <v>1024854</v>
      </c>
      <c r="G86" s="199">
        <v>939004</v>
      </c>
      <c r="H86" s="199">
        <v>899989</v>
      </c>
      <c r="I86" s="199">
        <v>855860</v>
      </c>
      <c r="J86" s="199">
        <v>770089</v>
      </c>
      <c r="K86" s="199">
        <v>720731</v>
      </c>
      <c r="L86" s="199">
        <v>705800</v>
      </c>
      <c r="M86" s="199">
        <v>664055</v>
      </c>
      <c r="N86" s="199">
        <v>627878</v>
      </c>
      <c r="O86" s="199">
        <v>575925</v>
      </c>
      <c r="P86" s="199">
        <v>547724</v>
      </c>
      <c r="Q86" s="199">
        <v>524814</v>
      </c>
      <c r="R86" s="199">
        <v>514362</v>
      </c>
      <c r="S86" s="199">
        <v>479382</v>
      </c>
      <c r="T86" s="199">
        <v>471995</v>
      </c>
      <c r="U86" s="199">
        <v>454631</v>
      </c>
      <c r="V86" s="199">
        <v>447769</v>
      </c>
      <c r="W86" s="199">
        <v>420154</v>
      </c>
      <c r="X86" s="199">
        <v>407415</v>
      </c>
      <c r="Y86" s="199">
        <v>404501</v>
      </c>
      <c r="Z86" s="199">
        <v>380479</v>
      </c>
      <c r="AA86" s="199">
        <v>363876</v>
      </c>
      <c r="AB86" s="199">
        <v>343635</v>
      </c>
      <c r="AC86" s="199">
        <v>321424</v>
      </c>
      <c r="AD86" s="199" t="s">
        <v>175</v>
      </c>
    </row>
    <row r="87" spans="1:30">
      <c r="B87" s="6" t="s">
        <v>234</v>
      </c>
      <c r="C87" s="6" t="s">
        <v>234</v>
      </c>
      <c r="D87" s="7">
        <v>4058284</v>
      </c>
      <c r="E87" s="199">
        <v>4635780</v>
      </c>
      <c r="F87" s="199">
        <v>4364147</v>
      </c>
      <c r="G87" s="199">
        <v>4194113</v>
      </c>
      <c r="H87" s="199">
        <v>3967156</v>
      </c>
      <c r="I87" s="199">
        <v>3680573</v>
      </c>
      <c r="J87" s="199">
        <v>3409804</v>
      </c>
      <c r="K87" s="199">
        <v>3180604</v>
      </c>
      <c r="L87" s="199">
        <v>2942346</v>
      </c>
      <c r="M87" s="199">
        <v>2784850</v>
      </c>
      <c r="N87" s="199">
        <v>2672351</v>
      </c>
      <c r="O87" s="199">
        <v>2600605</v>
      </c>
      <c r="P87" s="199">
        <v>2526185</v>
      </c>
      <c r="Q87" s="199">
        <v>2448401</v>
      </c>
      <c r="R87" s="199">
        <v>2353154</v>
      </c>
      <c r="S87" s="199">
        <v>2271180</v>
      </c>
      <c r="T87" s="199">
        <v>2160688</v>
      </c>
      <c r="U87" s="199">
        <v>2093107</v>
      </c>
      <c r="V87" s="199">
        <v>2022730</v>
      </c>
      <c r="W87" s="199">
        <v>1900487</v>
      </c>
      <c r="X87" s="199">
        <v>1831266</v>
      </c>
      <c r="Y87" s="199">
        <v>1724871</v>
      </c>
      <c r="Z87" s="199">
        <v>1630878</v>
      </c>
      <c r="AA87" s="199">
        <v>1555162</v>
      </c>
      <c r="AB87" s="199">
        <v>1464376</v>
      </c>
      <c r="AC87" s="199">
        <v>1370193</v>
      </c>
      <c r="AD87" s="199">
        <v>1246311</v>
      </c>
    </row>
    <row r="88" spans="1:30">
      <c r="B88" s="6" t="s">
        <v>236</v>
      </c>
      <c r="C88" s="6" t="s">
        <v>236</v>
      </c>
      <c r="D88" s="7">
        <v>4008752</v>
      </c>
      <c r="E88" s="199">
        <v>2407670</v>
      </c>
      <c r="F88" s="199">
        <v>2285370</v>
      </c>
      <c r="G88" s="199">
        <v>2140766</v>
      </c>
      <c r="H88" s="199">
        <v>2014531</v>
      </c>
      <c r="I88" s="199">
        <v>1877033</v>
      </c>
      <c r="J88" s="199">
        <v>1774474</v>
      </c>
      <c r="K88" s="199">
        <v>1542369</v>
      </c>
      <c r="L88" s="199">
        <v>1425191</v>
      </c>
      <c r="M88" s="199">
        <v>1324645</v>
      </c>
      <c r="N88" s="199">
        <v>1222177</v>
      </c>
      <c r="O88" s="199">
        <v>1157689</v>
      </c>
      <c r="P88" s="199">
        <v>1103483</v>
      </c>
      <c r="Q88" s="199">
        <v>1054805</v>
      </c>
      <c r="R88" s="199">
        <v>994858</v>
      </c>
      <c r="S88" s="199">
        <v>957925</v>
      </c>
      <c r="T88" s="199">
        <v>927273</v>
      </c>
      <c r="U88" s="199">
        <v>892139</v>
      </c>
      <c r="V88" s="199">
        <v>851969</v>
      </c>
      <c r="W88" s="199">
        <v>816360</v>
      </c>
      <c r="X88" s="199">
        <v>773915</v>
      </c>
      <c r="Y88" s="199">
        <v>747996</v>
      </c>
      <c r="Z88" s="199">
        <v>715124</v>
      </c>
      <c r="AA88" s="199">
        <v>689374</v>
      </c>
      <c r="AB88" s="199">
        <v>664105</v>
      </c>
      <c r="AC88" s="199">
        <v>639784</v>
      </c>
      <c r="AD88" s="199">
        <v>617598</v>
      </c>
    </row>
    <row r="89" spans="1:30">
      <c r="B89" s="6" t="s">
        <v>237</v>
      </c>
      <c r="C89" s="6" t="s">
        <v>237</v>
      </c>
      <c r="D89" s="7">
        <v>4008669</v>
      </c>
      <c r="E89" s="199">
        <v>696859</v>
      </c>
      <c r="F89" s="199">
        <v>642181</v>
      </c>
      <c r="G89" s="199">
        <v>608209</v>
      </c>
      <c r="H89" s="199">
        <v>572015</v>
      </c>
      <c r="I89" s="199">
        <v>537142</v>
      </c>
      <c r="J89" s="199">
        <v>494197</v>
      </c>
      <c r="K89" s="199">
        <v>464020</v>
      </c>
      <c r="L89" s="199">
        <v>445667</v>
      </c>
      <c r="M89" s="199">
        <v>429542</v>
      </c>
      <c r="N89" s="199">
        <v>417620</v>
      </c>
      <c r="O89" s="199">
        <v>404073</v>
      </c>
      <c r="P89" s="199">
        <v>386148</v>
      </c>
      <c r="Q89" s="199">
        <v>362749</v>
      </c>
      <c r="R89" s="199">
        <v>279904</v>
      </c>
      <c r="S89" s="199">
        <v>318969</v>
      </c>
      <c r="T89" s="199">
        <v>307677</v>
      </c>
      <c r="U89" s="199">
        <v>293049</v>
      </c>
      <c r="V89" s="199">
        <v>278921</v>
      </c>
      <c r="W89" s="199">
        <v>263418</v>
      </c>
      <c r="X89" s="199">
        <v>258099</v>
      </c>
      <c r="Y89" s="199">
        <v>250863</v>
      </c>
      <c r="Z89" s="199">
        <v>236673</v>
      </c>
      <c r="AA89" s="199">
        <v>227831</v>
      </c>
      <c r="AB89" s="199">
        <v>221820</v>
      </c>
      <c r="AC89" s="199">
        <v>213306</v>
      </c>
      <c r="AD89" s="199">
        <v>204509</v>
      </c>
    </row>
    <row r="90" spans="1:30">
      <c r="B90" s="6" t="s">
        <v>308</v>
      </c>
      <c r="C90" s="6" t="s">
        <v>309</v>
      </c>
      <c r="D90" s="7">
        <v>4076892</v>
      </c>
      <c r="E90" s="199">
        <v>12673</v>
      </c>
      <c r="F90" s="199">
        <v>12550</v>
      </c>
      <c r="G90" s="199">
        <v>12347</v>
      </c>
      <c r="H90" s="199">
        <v>12257</v>
      </c>
      <c r="I90" s="199">
        <v>12153</v>
      </c>
      <c r="J90" s="199">
        <v>11912</v>
      </c>
      <c r="K90" s="199">
        <v>11729</v>
      </c>
      <c r="L90" s="199">
        <v>11537</v>
      </c>
      <c r="M90" s="199">
        <v>11456</v>
      </c>
      <c r="N90" s="199">
        <v>11262</v>
      </c>
      <c r="O90" s="199">
        <v>10790</v>
      </c>
      <c r="P90" s="199">
        <v>9550</v>
      </c>
      <c r="Q90" s="199">
        <v>9251</v>
      </c>
      <c r="R90" s="199">
        <v>8779</v>
      </c>
      <c r="S90" s="199">
        <v>8224</v>
      </c>
      <c r="T90" s="199">
        <v>8080</v>
      </c>
      <c r="U90" s="199">
        <v>7889</v>
      </c>
      <c r="V90" s="199">
        <v>7759</v>
      </c>
      <c r="W90" s="199">
        <v>7359</v>
      </c>
      <c r="X90" s="199" t="s">
        <v>175</v>
      </c>
      <c r="Y90" s="199" t="s">
        <v>175</v>
      </c>
      <c r="Z90" s="199" t="s">
        <v>175</v>
      </c>
      <c r="AA90" s="199" t="s">
        <v>175</v>
      </c>
      <c r="AB90" s="199" t="s">
        <v>175</v>
      </c>
      <c r="AC90" s="199" t="s">
        <v>175</v>
      </c>
      <c r="AD90" s="199" t="s">
        <v>175</v>
      </c>
    </row>
    <row r="91" spans="1:30">
      <c r="A91" s="1" t="s">
        <v>275</v>
      </c>
      <c r="B91" s="6" t="s">
        <v>238</v>
      </c>
      <c r="C91" s="6" t="s">
        <v>239</v>
      </c>
      <c r="D91" s="7">
        <v>4064141</v>
      </c>
      <c r="E91" s="199">
        <v>2103278</v>
      </c>
      <c r="F91" s="199">
        <v>1932542</v>
      </c>
      <c r="G91" s="199">
        <v>1743530</v>
      </c>
      <c r="H91" s="199">
        <v>1601099</v>
      </c>
      <c r="I91" s="199">
        <v>1489922</v>
      </c>
      <c r="J91" s="199">
        <v>1358745</v>
      </c>
      <c r="K91" s="199">
        <v>1304010</v>
      </c>
      <c r="L91" s="199">
        <v>1207933</v>
      </c>
      <c r="M91" s="199">
        <v>1124061</v>
      </c>
      <c r="N91" s="199">
        <v>1040044</v>
      </c>
      <c r="O91" s="199">
        <v>945406</v>
      </c>
      <c r="P91" s="199">
        <v>890696</v>
      </c>
      <c r="Q91" s="199">
        <v>829638</v>
      </c>
      <c r="R91" s="199">
        <v>774476</v>
      </c>
      <c r="S91" s="199">
        <v>753415</v>
      </c>
      <c r="T91" s="199">
        <v>722815</v>
      </c>
      <c r="U91" s="199">
        <v>688670</v>
      </c>
      <c r="V91" s="199">
        <v>647928</v>
      </c>
      <c r="W91" s="199">
        <v>600431</v>
      </c>
      <c r="X91" s="199">
        <v>556525</v>
      </c>
      <c r="Y91" s="199">
        <v>530802</v>
      </c>
      <c r="Z91" s="199">
        <v>516461</v>
      </c>
      <c r="AA91" s="199">
        <v>498933</v>
      </c>
      <c r="AB91" s="199">
        <v>477617</v>
      </c>
      <c r="AC91" s="199">
        <v>456089</v>
      </c>
      <c r="AD91" s="199">
        <v>445857</v>
      </c>
    </row>
  </sheetData>
  <conditionalFormatting sqref="E7:E97 D98:E98 E99:E204">
    <cfRule type="cellIs" dxfId="4" priority="5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2:AG97"/>
  <sheetViews>
    <sheetView zoomScale="50" zoomScaleNormal="50" workbookViewId="0"/>
  </sheetViews>
  <sheetFormatPr defaultColWidth="9.140625" defaultRowHeight="14.45"/>
  <cols>
    <col min="1" max="1" width="14.28515625" style="1" bestFit="1" customWidth="1"/>
    <col min="2" max="2" width="63.7109375" style="1" bestFit="1" customWidth="1"/>
    <col min="3" max="3" width="63.7109375" style="1" customWidth="1"/>
    <col min="4" max="4" width="22" style="1" customWidth="1"/>
    <col min="5" max="30" width="17.5703125" style="160" customWidth="1"/>
    <col min="31" max="16384" width="9.140625" style="160"/>
  </cols>
  <sheetData>
    <row r="2" spans="1:33" ht="21">
      <c r="B2" s="200"/>
      <c r="C2" s="200"/>
      <c r="D2" s="200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</row>
    <row r="3" spans="1:33" ht="84">
      <c r="B3" s="201"/>
      <c r="C3" s="201"/>
      <c r="D3" s="201"/>
      <c r="E3" s="207" t="s">
        <v>319</v>
      </c>
      <c r="F3" s="207" t="s">
        <v>319</v>
      </c>
      <c r="G3" s="207" t="s">
        <v>319</v>
      </c>
      <c r="H3" s="207" t="s">
        <v>319</v>
      </c>
      <c r="I3" s="207" t="s">
        <v>319</v>
      </c>
      <c r="J3" s="207" t="s">
        <v>319</v>
      </c>
      <c r="K3" s="207" t="s">
        <v>319</v>
      </c>
      <c r="L3" s="207" t="s">
        <v>319</v>
      </c>
      <c r="M3" s="207" t="s">
        <v>319</v>
      </c>
      <c r="N3" s="207" t="s">
        <v>319</v>
      </c>
      <c r="O3" s="207" t="s">
        <v>319</v>
      </c>
      <c r="P3" s="207" t="s">
        <v>319</v>
      </c>
      <c r="Q3" s="207" t="s">
        <v>319</v>
      </c>
      <c r="R3" s="207" t="s">
        <v>319</v>
      </c>
      <c r="S3" s="207" t="s">
        <v>319</v>
      </c>
      <c r="T3" s="207" t="s">
        <v>319</v>
      </c>
      <c r="U3" s="207" t="s">
        <v>319</v>
      </c>
      <c r="V3" s="207" t="s">
        <v>319</v>
      </c>
      <c r="W3" s="207" t="s">
        <v>319</v>
      </c>
      <c r="X3" s="207" t="s">
        <v>319</v>
      </c>
      <c r="Y3" s="207" t="s">
        <v>319</v>
      </c>
      <c r="Z3" s="207" t="s">
        <v>319</v>
      </c>
      <c r="AA3" s="207" t="s">
        <v>319</v>
      </c>
      <c r="AB3" s="208" t="s">
        <v>319</v>
      </c>
      <c r="AC3" s="208" t="s">
        <v>319</v>
      </c>
      <c r="AD3" s="208" t="s">
        <v>319</v>
      </c>
      <c r="AE3" s="175"/>
      <c r="AF3" s="175"/>
      <c r="AG3" s="175"/>
    </row>
    <row r="4" spans="1:33" ht="63">
      <c r="B4" s="202"/>
      <c r="C4" s="202"/>
      <c r="D4" s="202"/>
      <c r="E4" s="207" t="s">
        <v>320</v>
      </c>
      <c r="F4" s="207" t="s">
        <v>320</v>
      </c>
      <c r="G4" s="207" t="s">
        <v>320</v>
      </c>
      <c r="H4" s="207" t="s">
        <v>320</v>
      </c>
      <c r="I4" s="207" t="s">
        <v>320</v>
      </c>
      <c r="J4" s="207" t="s">
        <v>320</v>
      </c>
      <c r="K4" s="207" t="s">
        <v>320</v>
      </c>
      <c r="L4" s="207" t="s">
        <v>320</v>
      </c>
      <c r="M4" s="207" t="s">
        <v>320</v>
      </c>
      <c r="N4" s="207" t="s">
        <v>320</v>
      </c>
      <c r="O4" s="207" t="s">
        <v>320</v>
      </c>
      <c r="P4" s="207" t="s">
        <v>320</v>
      </c>
      <c r="Q4" s="207" t="s">
        <v>320</v>
      </c>
      <c r="R4" s="207" t="s">
        <v>320</v>
      </c>
      <c r="S4" s="207" t="s">
        <v>320</v>
      </c>
      <c r="T4" s="207" t="s">
        <v>320</v>
      </c>
      <c r="U4" s="207" t="s">
        <v>320</v>
      </c>
      <c r="V4" s="207" t="s">
        <v>320</v>
      </c>
      <c r="W4" s="207" t="s">
        <v>320</v>
      </c>
      <c r="X4" s="207" t="s">
        <v>320</v>
      </c>
      <c r="Y4" s="207" t="s">
        <v>320</v>
      </c>
      <c r="Z4" s="207" t="s">
        <v>320</v>
      </c>
      <c r="AA4" s="207" t="s">
        <v>320</v>
      </c>
      <c r="AB4" s="208" t="s">
        <v>320</v>
      </c>
      <c r="AC4" s="208" t="s">
        <v>320</v>
      </c>
      <c r="AD4" s="208" t="s">
        <v>320</v>
      </c>
      <c r="AE4" s="175"/>
      <c r="AF4" s="175"/>
      <c r="AG4" s="175"/>
    </row>
    <row r="5" spans="1:33" ht="21">
      <c r="A5" s="3" t="s">
        <v>271</v>
      </c>
      <c r="B5" s="203" t="s">
        <v>272</v>
      </c>
      <c r="C5" s="203" t="s">
        <v>273</v>
      </c>
      <c r="D5" s="204" t="s">
        <v>1</v>
      </c>
      <c r="E5" s="207" t="s">
        <v>141</v>
      </c>
      <c r="F5" s="207" t="s">
        <v>140</v>
      </c>
      <c r="G5" s="207" t="s">
        <v>136</v>
      </c>
      <c r="H5" s="207" t="s">
        <v>135</v>
      </c>
      <c r="I5" s="207" t="s">
        <v>133</v>
      </c>
      <c r="J5" s="207" t="s">
        <v>132</v>
      </c>
      <c r="K5" s="207" t="s">
        <v>130</v>
      </c>
      <c r="L5" s="207" t="s">
        <v>129</v>
      </c>
      <c r="M5" s="207" t="s">
        <v>128</v>
      </c>
      <c r="N5" s="207" t="s">
        <v>127</v>
      </c>
      <c r="O5" s="207" t="s">
        <v>126</v>
      </c>
      <c r="P5" s="207" t="s">
        <v>125</v>
      </c>
      <c r="Q5" s="207" t="s">
        <v>120</v>
      </c>
      <c r="R5" s="207" t="s">
        <v>118</v>
      </c>
      <c r="S5" s="207" t="s">
        <v>117</v>
      </c>
      <c r="T5" s="207" t="s">
        <v>116</v>
      </c>
      <c r="U5" s="207" t="s">
        <v>115</v>
      </c>
      <c r="V5" s="207" t="s">
        <v>114</v>
      </c>
      <c r="W5" s="207" t="s">
        <v>113</v>
      </c>
      <c r="X5" s="207" t="s">
        <v>111</v>
      </c>
      <c r="Y5" s="207" t="s">
        <v>107</v>
      </c>
      <c r="Z5" s="207" t="s">
        <v>106</v>
      </c>
      <c r="AA5" s="207" t="s">
        <v>100</v>
      </c>
      <c r="AB5" s="208" t="s">
        <v>316</v>
      </c>
      <c r="AC5" s="208" t="s">
        <v>317</v>
      </c>
      <c r="AD5" s="208" t="s">
        <v>318</v>
      </c>
      <c r="AE5" s="175"/>
      <c r="AF5" s="175"/>
      <c r="AG5" s="175"/>
    </row>
    <row r="6" spans="1:33" ht="21">
      <c r="B6" s="202"/>
      <c r="C6" s="202"/>
      <c r="D6" s="202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8"/>
      <c r="AC6" s="208"/>
      <c r="AD6" s="208"/>
      <c r="AE6" s="175"/>
      <c r="AF6" s="175"/>
      <c r="AG6" s="175"/>
    </row>
    <row r="7" spans="1:33" ht="21">
      <c r="B7" s="205" t="s">
        <v>274</v>
      </c>
      <c r="C7" s="205" t="s">
        <v>274</v>
      </c>
      <c r="D7" s="206">
        <v>4058513</v>
      </c>
      <c r="E7" s="209" t="s">
        <v>175</v>
      </c>
      <c r="F7" s="209" t="s">
        <v>175</v>
      </c>
      <c r="G7" s="209" t="s">
        <v>175</v>
      </c>
      <c r="H7" s="209">
        <v>74949</v>
      </c>
      <c r="I7" s="209">
        <v>72095</v>
      </c>
      <c r="J7" s="209">
        <v>68762</v>
      </c>
      <c r="K7" s="209">
        <v>64712</v>
      </c>
      <c r="L7" s="209">
        <v>60939</v>
      </c>
      <c r="M7" s="209">
        <v>57617</v>
      </c>
      <c r="N7" s="209">
        <v>54590</v>
      </c>
      <c r="O7" s="209">
        <v>51830</v>
      </c>
      <c r="P7" s="209">
        <v>48902</v>
      </c>
      <c r="Q7" s="209">
        <v>47776</v>
      </c>
      <c r="R7" s="209">
        <v>45485</v>
      </c>
      <c r="S7" s="209">
        <v>42929</v>
      </c>
      <c r="T7" s="209">
        <v>41277</v>
      </c>
      <c r="U7" s="209" t="s">
        <v>175</v>
      </c>
      <c r="V7" s="209" t="s">
        <v>175</v>
      </c>
      <c r="W7" s="209" t="s">
        <v>175</v>
      </c>
      <c r="X7" s="209">
        <v>0</v>
      </c>
      <c r="Y7" s="209">
        <v>24940</v>
      </c>
      <c r="Z7" s="209">
        <v>23332</v>
      </c>
      <c r="AA7" s="209">
        <v>21777</v>
      </c>
      <c r="AB7" s="210">
        <v>20222</v>
      </c>
      <c r="AC7" s="210">
        <v>18739</v>
      </c>
      <c r="AD7" s="210">
        <v>17596</v>
      </c>
      <c r="AE7" s="175"/>
      <c r="AF7" s="175"/>
      <c r="AG7" s="175"/>
    </row>
    <row r="8" spans="1:33" ht="21">
      <c r="B8" s="205" t="s">
        <v>98</v>
      </c>
      <c r="C8" s="205" t="s">
        <v>98</v>
      </c>
      <c r="D8" s="206">
        <v>4054707</v>
      </c>
      <c r="E8" s="209">
        <v>1500077</v>
      </c>
      <c r="F8" s="209">
        <v>1423907</v>
      </c>
      <c r="G8" s="209">
        <v>1350329</v>
      </c>
      <c r="H8" s="209">
        <v>1293537</v>
      </c>
      <c r="I8" s="209">
        <v>1229893</v>
      </c>
      <c r="J8" s="209">
        <v>1170404</v>
      </c>
      <c r="K8" s="209">
        <v>1146445</v>
      </c>
      <c r="L8" s="209">
        <v>1124693</v>
      </c>
      <c r="M8" s="209">
        <v>1051228</v>
      </c>
      <c r="N8" s="209">
        <v>1008761</v>
      </c>
      <c r="O8" s="209">
        <v>918267</v>
      </c>
      <c r="P8" s="209">
        <v>878304</v>
      </c>
      <c r="Q8" s="209">
        <v>839359</v>
      </c>
      <c r="R8" s="209">
        <v>818382</v>
      </c>
      <c r="S8" s="209">
        <v>793295</v>
      </c>
      <c r="T8" s="209">
        <v>749029</v>
      </c>
      <c r="U8" s="209">
        <f>+T8/(1.0476)</f>
        <v>714995.22718594875</v>
      </c>
      <c r="V8" s="209">
        <f>+U8/(1.0476)</f>
        <v>682507.85336573946</v>
      </c>
      <c r="W8" s="209">
        <f t="shared" ref="W8:AA8" si="0">+V8/(1.0476)</f>
        <v>651496.61451483332</v>
      </c>
      <c r="X8" s="209">
        <f t="shared" si="0"/>
        <v>621894.43920850824</v>
      </c>
      <c r="Y8" s="209">
        <f t="shared" si="0"/>
        <v>593637.30355909525</v>
      </c>
      <c r="Z8" s="209">
        <f t="shared" si="0"/>
        <v>566664.09274445893</v>
      </c>
      <c r="AA8" s="209">
        <f t="shared" si="0"/>
        <v>540916.46882823494</v>
      </c>
      <c r="AB8" s="210" t="s">
        <v>175</v>
      </c>
      <c r="AC8" s="210" t="s">
        <v>175</v>
      </c>
      <c r="AD8" s="210" t="s">
        <v>175</v>
      </c>
      <c r="AE8" s="175"/>
      <c r="AF8" s="175"/>
      <c r="AG8" s="175"/>
    </row>
    <row r="9" spans="1:33" ht="21">
      <c r="B9" s="205"/>
      <c r="C9" s="205"/>
      <c r="D9" s="206"/>
      <c r="E9" s="209"/>
      <c r="F9" s="211">
        <f>+E8/F8-1</f>
        <v>5.3493662156306465E-2</v>
      </c>
      <c r="G9" s="211">
        <f t="shared" ref="G9:T9" si="1">+F8/G8-1</f>
        <v>5.4488943064986417E-2</v>
      </c>
      <c r="H9" s="211">
        <f t="shared" si="1"/>
        <v>4.3904426390586337E-2</v>
      </c>
      <c r="I9" s="211">
        <f t="shared" si="1"/>
        <v>5.1747591050603559E-2</v>
      </c>
      <c r="J9" s="211">
        <f t="shared" si="1"/>
        <v>5.0827748367230363E-2</v>
      </c>
      <c r="K9" s="211">
        <f t="shared" si="1"/>
        <v>2.0898516719074944E-2</v>
      </c>
      <c r="L9" s="211">
        <f t="shared" si="1"/>
        <v>1.9340388888345439E-2</v>
      </c>
      <c r="M9" s="211">
        <f t="shared" si="1"/>
        <v>6.9884934571758039E-2</v>
      </c>
      <c r="N9" s="211">
        <f t="shared" si="1"/>
        <v>4.2098177863735708E-2</v>
      </c>
      <c r="O9" s="211">
        <f t="shared" si="1"/>
        <v>9.8548679196791333E-2</v>
      </c>
      <c r="P9" s="211">
        <f t="shared" si="1"/>
        <v>4.5500191277735302E-2</v>
      </c>
      <c r="Q9" s="211">
        <f t="shared" si="1"/>
        <v>4.6398501713807772E-2</v>
      </c>
      <c r="R9" s="211">
        <f t="shared" si="1"/>
        <v>2.5632284190023835E-2</v>
      </c>
      <c r="S9" s="211">
        <f t="shared" si="1"/>
        <v>3.1623796948171856E-2</v>
      </c>
      <c r="T9" s="211">
        <f t="shared" si="1"/>
        <v>5.9097845343771827E-2</v>
      </c>
      <c r="U9" s="211"/>
      <c r="V9" s="211"/>
      <c r="W9" s="211"/>
      <c r="X9" s="211"/>
      <c r="Y9" s="211"/>
      <c r="Z9" s="211"/>
      <c r="AA9" s="211"/>
      <c r="AB9" s="212"/>
      <c r="AC9" s="212"/>
      <c r="AD9" s="212"/>
      <c r="AE9" s="175"/>
      <c r="AF9" s="175"/>
      <c r="AG9" s="175"/>
    </row>
    <row r="10" spans="1:33" ht="21">
      <c r="B10" s="205"/>
      <c r="C10" s="205"/>
      <c r="D10" s="206"/>
      <c r="E10" s="211">
        <f>AVERAGE(F9:T9)</f>
        <v>4.7565712516195277E-2</v>
      </c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10"/>
      <c r="AC10" s="210"/>
      <c r="AD10" s="210"/>
      <c r="AE10" s="175"/>
      <c r="AF10" s="175"/>
      <c r="AG10" s="175"/>
    </row>
    <row r="11" spans="1:33" ht="21">
      <c r="B11" s="205" t="s">
        <v>145</v>
      </c>
      <c r="C11" s="205" t="s">
        <v>145</v>
      </c>
      <c r="D11" s="206">
        <v>4057075</v>
      </c>
      <c r="E11" s="209">
        <v>377906</v>
      </c>
      <c r="F11" s="209">
        <v>354876</v>
      </c>
      <c r="G11" s="209">
        <v>340260</v>
      </c>
      <c r="H11" s="209">
        <v>321664</v>
      </c>
      <c r="I11" s="209">
        <v>304046</v>
      </c>
      <c r="J11" s="209">
        <v>286927</v>
      </c>
      <c r="K11" s="209">
        <v>269811</v>
      </c>
      <c r="L11" s="209">
        <v>256829</v>
      </c>
      <c r="M11" s="209">
        <v>246430</v>
      </c>
      <c r="N11" s="209">
        <v>235771</v>
      </c>
      <c r="O11" s="209">
        <v>225949</v>
      </c>
      <c r="P11" s="209">
        <v>217067</v>
      </c>
      <c r="Q11" s="209">
        <v>168874</v>
      </c>
      <c r="R11" s="209">
        <v>200085</v>
      </c>
      <c r="S11" s="209">
        <v>187384</v>
      </c>
      <c r="T11" s="209">
        <v>176412</v>
      </c>
      <c r="U11" s="209">
        <v>177996</v>
      </c>
      <c r="V11" s="209">
        <v>165837</v>
      </c>
      <c r="W11" s="209">
        <v>154105</v>
      </c>
      <c r="X11" s="209">
        <v>140639</v>
      </c>
      <c r="Y11" s="209">
        <v>129924</v>
      </c>
      <c r="Z11" s="209">
        <v>120148</v>
      </c>
      <c r="AA11" s="209">
        <v>110633</v>
      </c>
      <c r="AB11" s="210" t="s">
        <v>175</v>
      </c>
      <c r="AC11" s="210">
        <v>93477</v>
      </c>
      <c r="AD11" s="210">
        <v>85667</v>
      </c>
      <c r="AE11" s="175"/>
      <c r="AF11" s="175"/>
      <c r="AG11" s="175"/>
    </row>
    <row r="12" spans="1:33" ht="21">
      <c r="A12" s="1" t="s">
        <v>275</v>
      </c>
      <c r="B12" s="205" t="s">
        <v>154</v>
      </c>
      <c r="C12" s="205" t="s">
        <v>154</v>
      </c>
      <c r="D12" s="206">
        <v>4007784</v>
      </c>
      <c r="E12" s="209">
        <v>604946</v>
      </c>
      <c r="F12" s="209">
        <v>578248</v>
      </c>
      <c r="G12" s="209">
        <v>567189</v>
      </c>
      <c r="H12" s="209">
        <v>545762</v>
      </c>
      <c r="I12" s="209">
        <v>539945</v>
      </c>
      <c r="J12" s="209">
        <v>517475</v>
      </c>
      <c r="K12" s="209">
        <v>491489</v>
      </c>
      <c r="L12" s="209">
        <v>466405</v>
      </c>
      <c r="M12" s="209">
        <v>438695</v>
      </c>
      <c r="N12" s="209">
        <v>416416</v>
      </c>
      <c r="O12" s="209">
        <v>398163</v>
      </c>
      <c r="P12" s="209">
        <v>388386</v>
      </c>
      <c r="Q12" s="209" t="s">
        <v>175</v>
      </c>
      <c r="R12" s="209">
        <v>362463</v>
      </c>
      <c r="S12" s="209">
        <v>342124</v>
      </c>
      <c r="T12" s="209">
        <v>325566</v>
      </c>
      <c r="U12" s="209">
        <v>314052</v>
      </c>
      <c r="V12" s="209">
        <v>304106</v>
      </c>
      <c r="W12" s="209">
        <v>290340</v>
      </c>
      <c r="X12" s="209">
        <v>276593</v>
      </c>
      <c r="Y12" s="209">
        <v>269509</v>
      </c>
      <c r="Z12" s="209">
        <v>265147</v>
      </c>
      <c r="AA12" s="209">
        <v>248262</v>
      </c>
      <c r="AB12" s="210">
        <v>228992</v>
      </c>
      <c r="AC12" s="210">
        <v>212084</v>
      </c>
      <c r="AD12" s="210">
        <v>196622</v>
      </c>
      <c r="AE12" s="175"/>
      <c r="AF12" s="175"/>
      <c r="AG12" s="175"/>
    </row>
    <row r="13" spans="1:33" ht="21">
      <c r="A13" s="1" t="s">
        <v>275</v>
      </c>
      <c r="B13" s="205" t="s">
        <v>276</v>
      </c>
      <c r="C13" s="205" t="s">
        <v>277</v>
      </c>
      <c r="D13" s="206">
        <v>4058656</v>
      </c>
      <c r="E13" s="209" t="s">
        <v>175</v>
      </c>
      <c r="F13" s="209" t="s">
        <v>175</v>
      </c>
      <c r="G13" s="209" t="s">
        <v>175</v>
      </c>
      <c r="H13" s="209" t="s">
        <v>175</v>
      </c>
      <c r="I13" s="209" t="s">
        <v>175</v>
      </c>
      <c r="J13" s="209" t="s">
        <v>175</v>
      </c>
      <c r="K13" s="209" t="s">
        <v>175</v>
      </c>
      <c r="L13" s="209" t="s">
        <v>175</v>
      </c>
      <c r="M13" s="209" t="s">
        <v>175</v>
      </c>
      <c r="N13" s="209" t="s">
        <v>175</v>
      </c>
      <c r="O13" s="209" t="s">
        <v>175</v>
      </c>
      <c r="P13" s="209" t="s">
        <v>175</v>
      </c>
      <c r="Q13" s="209" t="s">
        <v>175</v>
      </c>
      <c r="R13" s="209" t="s">
        <v>175</v>
      </c>
      <c r="S13" s="209" t="s">
        <v>175</v>
      </c>
      <c r="T13" s="209" t="s">
        <v>175</v>
      </c>
      <c r="U13" s="209" t="s">
        <v>175</v>
      </c>
      <c r="V13" s="209" t="s">
        <v>175</v>
      </c>
      <c r="W13" s="209" t="s">
        <v>175</v>
      </c>
      <c r="X13" s="209" t="s">
        <v>175</v>
      </c>
      <c r="Y13" s="209" t="s">
        <v>175</v>
      </c>
      <c r="Z13" s="209" t="s">
        <v>175</v>
      </c>
      <c r="AA13" s="209" t="s">
        <v>175</v>
      </c>
      <c r="AB13" s="210" t="s">
        <v>175</v>
      </c>
      <c r="AC13" s="210" t="s">
        <v>175</v>
      </c>
      <c r="AD13" s="210" t="s">
        <v>175</v>
      </c>
      <c r="AE13" s="175"/>
      <c r="AF13" s="175"/>
      <c r="AG13" s="175"/>
    </row>
    <row r="14" spans="1:33" ht="21">
      <c r="A14" s="1" t="s">
        <v>275</v>
      </c>
      <c r="B14" s="205" t="s">
        <v>162</v>
      </c>
      <c r="C14" s="205" t="s">
        <v>163</v>
      </c>
      <c r="D14" s="206">
        <v>4057110</v>
      </c>
      <c r="E14" s="209" t="s">
        <v>175</v>
      </c>
      <c r="F14" s="209" t="s">
        <v>175</v>
      </c>
      <c r="G14" s="209" t="s">
        <v>175</v>
      </c>
      <c r="H14" s="209" t="s">
        <v>175</v>
      </c>
      <c r="I14" s="209" t="s">
        <v>175</v>
      </c>
      <c r="J14" s="209" t="s">
        <v>175</v>
      </c>
      <c r="K14" s="209" t="s">
        <v>175</v>
      </c>
      <c r="L14" s="209" t="s">
        <v>175</v>
      </c>
      <c r="M14" s="209" t="s">
        <v>175</v>
      </c>
      <c r="N14" s="209" t="s">
        <v>175</v>
      </c>
      <c r="O14" s="209" t="s">
        <v>175</v>
      </c>
      <c r="P14" s="209" t="s">
        <v>175</v>
      </c>
      <c r="Q14" s="209" t="s">
        <v>175</v>
      </c>
      <c r="R14" s="209" t="s">
        <v>175</v>
      </c>
      <c r="S14" s="209" t="s">
        <v>175</v>
      </c>
      <c r="T14" s="209" t="s">
        <v>175</v>
      </c>
      <c r="U14" s="209" t="s">
        <v>175</v>
      </c>
      <c r="V14" s="209" t="s">
        <v>175</v>
      </c>
      <c r="W14" s="209" t="s">
        <v>175</v>
      </c>
      <c r="X14" s="209" t="s">
        <v>175</v>
      </c>
      <c r="Y14" s="209" t="s">
        <v>175</v>
      </c>
      <c r="Z14" s="209" t="s">
        <v>175</v>
      </c>
      <c r="AA14" s="209" t="s">
        <v>175</v>
      </c>
      <c r="AB14" s="210" t="s">
        <v>175</v>
      </c>
      <c r="AC14" s="210" t="s">
        <v>175</v>
      </c>
      <c r="AD14" s="210" t="s">
        <v>175</v>
      </c>
      <c r="AE14" s="175"/>
      <c r="AF14" s="175"/>
      <c r="AG14" s="175"/>
    </row>
    <row r="15" spans="1:33" ht="21">
      <c r="B15" s="205" t="s">
        <v>165</v>
      </c>
      <c r="C15" s="205" t="s">
        <v>165</v>
      </c>
      <c r="D15" s="206">
        <v>4058516</v>
      </c>
      <c r="E15" s="209">
        <v>90953</v>
      </c>
      <c r="F15" s="209">
        <v>83109</v>
      </c>
      <c r="G15" s="209">
        <v>83231</v>
      </c>
      <c r="H15" s="209">
        <v>79851</v>
      </c>
      <c r="I15" s="209">
        <v>68437</v>
      </c>
      <c r="J15" s="209">
        <v>73761</v>
      </c>
      <c r="K15" s="209">
        <v>70110</v>
      </c>
      <c r="L15" s="209">
        <v>67914</v>
      </c>
      <c r="M15" s="209">
        <v>65264</v>
      </c>
      <c r="N15" s="209">
        <v>62200</v>
      </c>
      <c r="O15" s="209">
        <v>59359</v>
      </c>
      <c r="P15" s="209">
        <v>55117</v>
      </c>
      <c r="Q15" s="209">
        <v>52312</v>
      </c>
      <c r="R15" s="209">
        <v>49719</v>
      </c>
      <c r="S15" s="209">
        <v>47471</v>
      </c>
      <c r="T15" s="209">
        <v>45069</v>
      </c>
      <c r="U15" s="209">
        <v>42994</v>
      </c>
      <c r="V15" s="209">
        <v>41287</v>
      </c>
      <c r="W15" s="209">
        <v>39436</v>
      </c>
      <c r="X15" s="209">
        <v>37457</v>
      </c>
      <c r="Y15" s="209">
        <v>35489</v>
      </c>
      <c r="Z15" s="209">
        <v>45779</v>
      </c>
      <c r="AA15" s="209">
        <v>43585</v>
      </c>
      <c r="AB15" s="210">
        <v>41168</v>
      </c>
      <c r="AC15" s="210">
        <v>38772</v>
      </c>
      <c r="AD15" s="210">
        <v>36576</v>
      </c>
      <c r="AE15" s="175"/>
      <c r="AF15" s="175"/>
      <c r="AG15" s="175"/>
    </row>
    <row r="16" spans="1:33" ht="21">
      <c r="B16" s="205" t="s">
        <v>167</v>
      </c>
      <c r="C16" s="205" t="s">
        <v>167</v>
      </c>
      <c r="D16" s="206">
        <v>4058793</v>
      </c>
      <c r="E16" s="209" t="s">
        <v>175</v>
      </c>
      <c r="F16" s="209" t="s">
        <v>175</v>
      </c>
      <c r="G16" s="209" t="s">
        <v>175</v>
      </c>
      <c r="H16" s="209" t="s">
        <v>175</v>
      </c>
      <c r="I16" s="209" t="s">
        <v>175</v>
      </c>
      <c r="J16" s="209" t="s">
        <v>175</v>
      </c>
      <c r="K16" s="209" t="s">
        <v>175</v>
      </c>
      <c r="L16" s="209" t="s">
        <v>175</v>
      </c>
      <c r="M16" s="209" t="s">
        <v>175</v>
      </c>
      <c r="N16" s="209" t="s">
        <v>175</v>
      </c>
      <c r="O16" s="209" t="s">
        <v>175</v>
      </c>
      <c r="P16" s="209" t="s">
        <v>175</v>
      </c>
      <c r="Q16" s="209" t="s">
        <v>175</v>
      </c>
      <c r="R16" s="209">
        <v>1878</v>
      </c>
      <c r="S16" s="209">
        <v>1757</v>
      </c>
      <c r="T16" s="209">
        <v>1749</v>
      </c>
      <c r="U16" s="209">
        <v>1782</v>
      </c>
      <c r="V16" s="209">
        <v>1719</v>
      </c>
      <c r="W16" s="209" t="s">
        <v>175</v>
      </c>
      <c r="X16" s="209" t="s">
        <v>175</v>
      </c>
      <c r="Y16" s="209" t="s">
        <v>175</v>
      </c>
      <c r="Z16" s="209">
        <v>1315</v>
      </c>
      <c r="AA16" s="209">
        <v>1227</v>
      </c>
      <c r="AB16" s="210">
        <v>0</v>
      </c>
      <c r="AC16" s="210">
        <v>988</v>
      </c>
      <c r="AD16" s="210">
        <v>0</v>
      </c>
      <c r="AE16" s="175"/>
      <c r="AF16" s="175"/>
      <c r="AG16" s="175"/>
    </row>
    <row r="17" spans="1:33" ht="21">
      <c r="A17" s="1" t="s">
        <v>275</v>
      </c>
      <c r="B17" s="205" t="s">
        <v>169</v>
      </c>
      <c r="C17" s="205" t="s">
        <v>169</v>
      </c>
      <c r="D17" s="206">
        <v>4057111</v>
      </c>
      <c r="E17" s="209" t="s">
        <v>175</v>
      </c>
      <c r="F17" s="209" t="s">
        <v>175</v>
      </c>
      <c r="G17" s="209" t="s">
        <v>175</v>
      </c>
      <c r="H17" s="209" t="s">
        <v>175</v>
      </c>
      <c r="I17" s="209" t="s">
        <v>175</v>
      </c>
      <c r="J17" s="209" t="s">
        <v>175</v>
      </c>
      <c r="K17" s="209" t="s">
        <v>175</v>
      </c>
      <c r="L17" s="209" t="s">
        <v>175</v>
      </c>
      <c r="M17" s="209" t="s">
        <v>175</v>
      </c>
      <c r="N17" s="209" t="s">
        <v>175</v>
      </c>
      <c r="O17" s="209" t="s">
        <v>175</v>
      </c>
      <c r="P17" s="209" t="s">
        <v>175</v>
      </c>
      <c r="Q17" s="209" t="s">
        <v>175</v>
      </c>
      <c r="R17" s="209" t="s">
        <v>175</v>
      </c>
      <c r="S17" s="209" t="s">
        <v>175</v>
      </c>
      <c r="T17" s="209" t="s">
        <v>175</v>
      </c>
      <c r="U17" s="209" t="s">
        <v>175</v>
      </c>
      <c r="V17" s="209" t="s">
        <v>175</v>
      </c>
      <c r="W17" s="209" t="s">
        <v>175</v>
      </c>
      <c r="X17" s="209" t="s">
        <v>175</v>
      </c>
      <c r="Y17" s="209" t="s">
        <v>175</v>
      </c>
      <c r="Z17" s="209" t="s">
        <v>175</v>
      </c>
      <c r="AA17" s="209" t="s">
        <v>175</v>
      </c>
      <c r="AB17" s="210">
        <v>230310</v>
      </c>
      <c r="AC17" s="210">
        <v>202810</v>
      </c>
      <c r="AD17" s="210">
        <v>177742</v>
      </c>
      <c r="AE17" s="175"/>
      <c r="AF17" s="175"/>
      <c r="AG17" s="175"/>
    </row>
    <row r="18" spans="1:33" ht="21">
      <c r="A18" s="1" t="s">
        <v>275</v>
      </c>
      <c r="B18" s="205" t="s">
        <v>170</v>
      </c>
      <c r="C18" s="205" t="s">
        <v>170</v>
      </c>
      <c r="D18" s="206">
        <v>4018679</v>
      </c>
      <c r="E18" s="209">
        <v>884433</v>
      </c>
      <c r="F18" s="209">
        <v>830889</v>
      </c>
      <c r="G18" s="209">
        <v>908136</v>
      </c>
      <c r="H18" s="209">
        <v>920347</v>
      </c>
      <c r="I18" s="209">
        <v>894049</v>
      </c>
      <c r="J18" s="209">
        <v>948087</v>
      </c>
      <c r="K18" s="209">
        <v>957734</v>
      </c>
      <c r="L18" s="209">
        <v>948172</v>
      </c>
      <c r="M18" s="209">
        <v>880338</v>
      </c>
      <c r="N18" s="209">
        <v>875514</v>
      </c>
      <c r="O18" s="209">
        <v>817471</v>
      </c>
      <c r="P18" s="209">
        <v>765812</v>
      </c>
      <c r="Q18" s="209">
        <v>716513</v>
      </c>
      <c r="R18" s="209">
        <v>665940</v>
      </c>
      <c r="S18" s="209">
        <v>606347</v>
      </c>
      <c r="T18" s="209">
        <v>586107</v>
      </c>
      <c r="U18" s="209">
        <v>549467</v>
      </c>
      <c r="V18" s="209">
        <v>514524</v>
      </c>
      <c r="W18" s="209">
        <v>476214</v>
      </c>
      <c r="X18" s="209">
        <v>444780</v>
      </c>
      <c r="Y18" s="209">
        <v>400567</v>
      </c>
      <c r="Z18" s="209">
        <v>375172</v>
      </c>
      <c r="AA18" s="209">
        <v>343754</v>
      </c>
      <c r="AB18" s="210">
        <v>314321</v>
      </c>
      <c r="AC18" s="210">
        <v>277401</v>
      </c>
      <c r="AD18" s="210">
        <v>252760</v>
      </c>
      <c r="AE18" s="175"/>
      <c r="AF18" s="175"/>
      <c r="AG18" s="175"/>
    </row>
    <row r="19" spans="1:33" ht="21">
      <c r="B19" s="205" t="s">
        <v>172</v>
      </c>
      <c r="C19" s="205" t="s">
        <v>172</v>
      </c>
      <c r="D19" s="206">
        <v>4057112</v>
      </c>
      <c r="E19" s="209">
        <v>464076</v>
      </c>
      <c r="F19" s="209">
        <v>445692</v>
      </c>
      <c r="G19" s="209">
        <v>428550</v>
      </c>
      <c r="H19" s="209">
        <v>420420</v>
      </c>
      <c r="I19" s="209">
        <v>401047</v>
      </c>
      <c r="J19" s="209">
        <v>383849</v>
      </c>
      <c r="K19" s="209">
        <v>363333</v>
      </c>
      <c r="L19" s="209">
        <v>347102</v>
      </c>
      <c r="M19" s="209">
        <v>331934</v>
      </c>
      <c r="N19" s="209">
        <v>316517</v>
      </c>
      <c r="O19" s="209">
        <v>301431</v>
      </c>
      <c r="P19" s="209">
        <v>286359</v>
      </c>
      <c r="Q19" s="209">
        <v>270926</v>
      </c>
      <c r="R19" s="209">
        <v>256816</v>
      </c>
      <c r="S19" s="209">
        <v>242227</v>
      </c>
      <c r="T19" s="209">
        <v>228552</v>
      </c>
      <c r="U19" s="209">
        <v>216083</v>
      </c>
      <c r="V19" s="209">
        <v>202689</v>
      </c>
      <c r="W19" s="209">
        <v>152003</v>
      </c>
      <c r="X19" s="209">
        <v>178860</v>
      </c>
      <c r="Y19" s="209">
        <v>167411</v>
      </c>
      <c r="Z19" s="209">
        <v>156246</v>
      </c>
      <c r="AA19" s="209">
        <v>145598</v>
      </c>
      <c r="AB19" s="210">
        <v>123610</v>
      </c>
      <c r="AC19" s="210">
        <v>113434</v>
      </c>
      <c r="AD19" s="210">
        <v>104174</v>
      </c>
      <c r="AE19" s="175"/>
      <c r="AF19" s="175"/>
      <c r="AG19" s="175"/>
    </row>
    <row r="20" spans="1:33" ht="21">
      <c r="A20" s="1" t="s">
        <v>275</v>
      </c>
      <c r="B20" s="205" t="s">
        <v>173</v>
      </c>
      <c r="C20" s="205" t="s">
        <v>173</v>
      </c>
      <c r="D20" s="206">
        <v>4057076</v>
      </c>
      <c r="E20" s="209" t="s">
        <v>175</v>
      </c>
      <c r="F20" s="209">
        <v>100143</v>
      </c>
      <c r="G20" s="209">
        <v>95576</v>
      </c>
      <c r="H20" s="209">
        <v>92315</v>
      </c>
      <c r="I20" s="209">
        <v>90203</v>
      </c>
      <c r="J20" s="209">
        <v>87192</v>
      </c>
      <c r="K20" s="209">
        <v>84618</v>
      </c>
      <c r="L20" s="209">
        <v>78709</v>
      </c>
      <c r="M20" s="209">
        <v>75443</v>
      </c>
      <c r="N20" s="209">
        <v>71549</v>
      </c>
      <c r="O20" s="209">
        <v>67170</v>
      </c>
      <c r="P20" s="209">
        <v>62761</v>
      </c>
      <c r="Q20" s="209">
        <v>56075</v>
      </c>
      <c r="R20" s="209">
        <v>53593</v>
      </c>
      <c r="S20" s="209">
        <v>52862</v>
      </c>
      <c r="T20" s="209">
        <v>49636</v>
      </c>
      <c r="U20" s="209">
        <v>46729</v>
      </c>
      <c r="V20" s="209">
        <v>44335</v>
      </c>
      <c r="W20" s="209">
        <v>41719</v>
      </c>
      <c r="X20" s="209">
        <v>39224</v>
      </c>
      <c r="Y20" s="209">
        <v>36972</v>
      </c>
      <c r="Z20" s="209">
        <v>34373</v>
      </c>
      <c r="AA20" s="209">
        <v>32003</v>
      </c>
      <c r="AB20" s="210" t="s">
        <v>175</v>
      </c>
      <c r="AC20" s="210">
        <v>28215</v>
      </c>
      <c r="AD20" s="210">
        <v>26366</v>
      </c>
      <c r="AE20" s="175"/>
      <c r="AF20" s="175"/>
      <c r="AG20" s="175"/>
    </row>
    <row r="21" spans="1:33" ht="21">
      <c r="B21" s="205" t="s">
        <v>278</v>
      </c>
      <c r="C21" s="205" t="s">
        <v>278</v>
      </c>
      <c r="D21" s="206">
        <v>4059166</v>
      </c>
      <c r="E21" s="209">
        <v>116466</v>
      </c>
      <c r="F21" s="209">
        <v>111653</v>
      </c>
      <c r="G21" s="209">
        <v>107042</v>
      </c>
      <c r="H21" s="209">
        <v>102606</v>
      </c>
      <c r="I21" s="209">
        <v>100592</v>
      </c>
      <c r="J21" s="209">
        <v>96824</v>
      </c>
      <c r="K21" s="209">
        <v>94491</v>
      </c>
      <c r="L21" s="209">
        <v>94914</v>
      </c>
      <c r="M21" s="209">
        <v>90611</v>
      </c>
      <c r="N21" s="209">
        <v>88348</v>
      </c>
      <c r="O21" s="209">
        <v>85441</v>
      </c>
      <c r="P21" s="209">
        <v>80499</v>
      </c>
      <c r="Q21" s="209">
        <v>75178</v>
      </c>
      <c r="R21" s="209">
        <v>72357</v>
      </c>
      <c r="S21" s="209">
        <v>67686</v>
      </c>
      <c r="T21" s="209">
        <v>63037</v>
      </c>
      <c r="U21" s="209" t="s">
        <v>175</v>
      </c>
      <c r="V21" s="209" t="s">
        <v>175</v>
      </c>
      <c r="W21" s="209" t="s">
        <v>175</v>
      </c>
      <c r="X21" s="209" t="s">
        <v>175</v>
      </c>
      <c r="Y21" s="209">
        <v>42287</v>
      </c>
      <c r="Z21" s="209" t="s">
        <v>175</v>
      </c>
      <c r="AA21" s="209" t="s">
        <v>175</v>
      </c>
      <c r="AB21" s="210">
        <v>32493</v>
      </c>
      <c r="AC21" s="210">
        <v>29211</v>
      </c>
      <c r="AD21" s="210">
        <v>26445</v>
      </c>
      <c r="AE21" s="175"/>
      <c r="AF21" s="175"/>
      <c r="AG21" s="175"/>
    </row>
    <row r="22" spans="1:33" ht="21">
      <c r="B22" s="205" t="s">
        <v>279</v>
      </c>
      <c r="C22" s="205" t="s">
        <v>279</v>
      </c>
      <c r="D22" s="206">
        <v>4059227</v>
      </c>
      <c r="E22" s="209" t="s">
        <v>175</v>
      </c>
      <c r="F22" s="209" t="s">
        <v>175</v>
      </c>
      <c r="G22" s="209" t="s">
        <v>175</v>
      </c>
      <c r="H22" s="209" t="s">
        <v>175</v>
      </c>
      <c r="I22" s="209" t="s">
        <v>175</v>
      </c>
      <c r="J22" s="209" t="s">
        <v>175</v>
      </c>
      <c r="K22" s="209" t="s">
        <v>175</v>
      </c>
      <c r="L22" s="209" t="s">
        <v>175</v>
      </c>
      <c r="M22" s="209" t="s">
        <v>175</v>
      </c>
      <c r="N22" s="209" t="s">
        <v>175</v>
      </c>
      <c r="O22" s="209" t="s">
        <v>175</v>
      </c>
      <c r="P22" s="209" t="s">
        <v>175</v>
      </c>
      <c r="Q22" s="209" t="s">
        <v>175</v>
      </c>
      <c r="R22" s="209" t="s">
        <v>175</v>
      </c>
      <c r="S22" s="209" t="s">
        <v>175</v>
      </c>
      <c r="T22" s="209" t="s">
        <v>175</v>
      </c>
      <c r="U22" s="209" t="s">
        <v>175</v>
      </c>
      <c r="V22" s="209" t="s">
        <v>175</v>
      </c>
      <c r="W22" s="209" t="s">
        <v>175</v>
      </c>
      <c r="X22" s="209" t="s">
        <v>175</v>
      </c>
      <c r="Y22" s="209" t="s">
        <v>175</v>
      </c>
      <c r="Z22" s="209" t="s">
        <v>175</v>
      </c>
      <c r="AA22" s="209" t="s">
        <v>175</v>
      </c>
      <c r="AB22" s="210" t="s">
        <v>175</v>
      </c>
      <c r="AC22" s="210">
        <v>7709</v>
      </c>
      <c r="AD22" s="210">
        <v>7768</v>
      </c>
      <c r="AE22" s="175"/>
      <c r="AF22" s="175"/>
      <c r="AG22" s="175"/>
    </row>
    <row r="23" spans="1:33" ht="21">
      <c r="A23" s="1" t="s">
        <v>275</v>
      </c>
      <c r="B23" s="205" t="s">
        <v>174</v>
      </c>
      <c r="C23" s="205" t="s">
        <v>174</v>
      </c>
      <c r="D23" s="206">
        <v>4057114</v>
      </c>
      <c r="E23" s="209" t="s">
        <v>175</v>
      </c>
      <c r="F23" s="209" t="s">
        <v>175</v>
      </c>
      <c r="G23" s="209" t="s">
        <v>175</v>
      </c>
      <c r="H23" s="209" t="s">
        <v>175</v>
      </c>
      <c r="I23" s="209" t="s">
        <v>175</v>
      </c>
      <c r="J23" s="209" t="s">
        <v>175</v>
      </c>
      <c r="K23" s="209" t="s">
        <v>175</v>
      </c>
      <c r="L23" s="209" t="s">
        <v>175</v>
      </c>
      <c r="M23" s="209" t="s">
        <v>175</v>
      </c>
      <c r="N23" s="209" t="s">
        <v>175</v>
      </c>
      <c r="O23" s="209" t="s">
        <v>175</v>
      </c>
      <c r="P23" s="209" t="s">
        <v>175</v>
      </c>
      <c r="Q23" s="209" t="s">
        <v>175</v>
      </c>
      <c r="R23" s="209" t="s">
        <v>175</v>
      </c>
      <c r="S23" s="209" t="s">
        <v>175</v>
      </c>
      <c r="T23" s="209" t="s">
        <v>175</v>
      </c>
      <c r="U23" s="209" t="s">
        <v>175</v>
      </c>
      <c r="V23" s="209" t="s">
        <v>175</v>
      </c>
      <c r="W23" s="209" t="s">
        <v>175</v>
      </c>
      <c r="X23" s="209" t="s">
        <v>175</v>
      </c>
      <c r="Y23" s="209" t="s">
        <v>175</v>
      </c>
      <c r="Z23" s="209" t="s">
        <v>175</v>
      </c>
      <c r="AA23" s="209" t="s">
        <v>175</v>
      </c>
      <c r="AB23" s="210" t="s">
        <v>175</v>
      </c>
      <c r="AC23" s="210" t="s">
        <v>175</v>
      </c>
      <c r="AD23" s="210" t="s">
        <v>175</v>
      </c>
      <c r="AE23" s="175"/>
      <c r="AF23" s="175"/>
      <c r="AG23" s="175"/>
    </row>
    <row r="24" spans="1:33" ht="21">
      <c r="B24" s="205" t="s">
        <v>176</v>
      </c>
      <c r="C24" s="205" t="s">
        <v>176</v>
      </c>
      <c r="D24" s="206">
        <v>4059355</v>
      </c>
      <c r="E24" s="209">
        <v>161472</v>
      </c>
      <c r="F24" s="209">
        <v>157411</v>
      </c>
      <c r="G24" s="209">
        <v>152230</v>
      </c>
      <c r="H24" s="209">
        <v>146970</v>
      </c>
      <c r="I24" s="209">
        <v>140752</v>
      </c>
      <c r="J24" s="209">
        <v>137047</v>
      </c>
      <c r="K24" s="209">
        <v>132046</v>
      </c>
      <c r="L24" s="209">
        <v>129304</v>
      </c>
      <c r="M24" s="209">
        <v>126822</v>
      </c>
      <c r="N24" s="209">
        <v>124253</v>
      </c>
      <c r="O24" s="209">
        <v>120907</v>
      </c>
      <c r="P24" s="209">
        <v>116859</v>
      </c>
      <c r="Q24" s="209">
        <v>115070</v>
      </c>
      <c r="R24" s="209">
        <v>112207</v>
      </c>
      <c r="S24" s="209">
        <v>109630</v>
      </c>
      <c r="T24" s="209">
        <v>106587</v>
      </c>
      <c r="U24" s="209">
        <v>103376</v>
      </c>
      <c r="V24" s="209">
        <v>103190</v>
      </c>
      <c r="W24" s="209">
        <v>100934</v>
      </c>
      <c r="X24" s="209">
        <v>94318</v>
      </c>
      <c r="Y24" s="209" t="s">
        <v>175</v>
      </c>
      <c r="Z24" s="209">
        <v>83207</v>
      </c>
      <c r="AA24" s="209">
        <v>77619</v>
      </c>
      <c r="AB24" s="210">
        <v>72845</v>
      </c>
      <c r="AC24" s="210">
        <v>67855</v>
      </c>
      <c r="AD24" s="210">
        <v>63047</v>
      </c>
      <c r="AE24" s="175"/>
      <c r="AF24" s="175"/>
      <c r="AG24" s="175"/>
    </row>
    <row r="25" spans="1:33" ht="21">
      <c r="B25" s="205" t="s">
        <v>178</v>
      </c>
      <c r="C25" s="205" t="s">
        <v>178</v>
      </c>
      <c r="D25" s="206">
        <v>4088325</v>
      </c>
      <c r="E25" s="209">
        <v>59959</v>
      </c>
      <c r="F25" s="209">
        <v>57307</v>
      </c>
      <c r="G25" s="209">
        <v>54223</v>
      </c>
      <c r="H25" s="209">
        <v>51742</v>
      </c>
      <c r="I25" s="209">
        <v>50168</v>
      </c>
      <c r="J25" s="209">
        <v>48866</v>
      </c>
      <c r="K25" s="209">
        <v>46704</v>
      </c>
      <c r="L25" s="209">
        <v>45645</v>
      </c>
      <c r="M25" s="209">
        <v>45096</v>
      </c>
      <c r="N25" s="209">
        <v>43960</v>
      </c>
      <c r="O25" s="209">
        <v>43718</v>
      </c>
      <c r="P25" s="209">
        <v>43251</v>
      </c>
      <c r="Q25" s="209">
        <v>42735</v>
      </c>
      <c r="R25" s="209">
        <v>41417</v>
      </c>
      <c r="S25" s="209">
        <v>40227</v>
      </c>
      <c r="T25" s="209">
        <v>38321</v>
      </c>
      <c r="U25" s="209">
        <v>36733</v>
      </c>
      <c r="V25" s="209">
        <v>35195</v>
      </c>
      <c r="W25" s="209" t="s">
        <v>175</v>
      </c>
      <c r="X25" s="209" t="s">
        <v>175</v>
      </c>
      <c r="Y25" s="209" t="s">
        <v>175</v>
      </c>
      <c r="Z25" s="209">
        <v>29035</v>
      </c>
      <c r="AA25" s="209">
        <v>27613</v>
      </c>
      <c r="AB25" s="210">
        <v>26622</v>
      </c>
      <c r="AC25" s="210">
        <v>24969</v>
      </c>
      <c r="AD25" s="210">
        <v>23341</v>
      </c>
      <c r="AE25" s="175"/>
      <c r="AF25" s="175"/>
      <c r="AG25" s="175"/>
    </row>
    <row r="26" spans="1:33" ht="21">
      <c r="B26" s="205" t="s">
        <v>280</v>
      </c>
      <c r="C26" s="205" t="s">
        <v>280</v>
      </c>
      <c r="D26" s="206">
        <v>4088326</v>
      </c>
      <c r="E26" s="209">
        <v>1216654</v>
      </c>
      <c r="F26" s="209">
        <v>1144140</v>
      </c>
      <c r="G26" s="209">
        <v>1066738</v>
      </c>
      <c r="H26" s="209">
        <v>992013</v>
      </c>
      <c r="I26" s="209">
        <v>941248</v>
      </c>
      <c r="J26" s="209">
        <v>912285</v>
      </c>
      <c r="K26" s="209">
        <v>857508</v>
      </c>
      <c r="L26" s="209">
        <v>817111</v>
      </c>
      <c r="M26" s="209">
        <v>786624</v>
      </c>
      <c r="N26" s="209">
        <v>752005</v>
      </c>
      <c r="O26" s="209">
        <v>734850</v>
      </c>
      <c r="P26" s="209">
        <v>698185</v>
      </c>
      <c r="Q26" s="209">
        <v>665062</v>
      </c>
      <c r="R26" s="209">
        <v>636129</v>
      </c>
      <c r="S26" s="209">
        <v>606075</v>
      </c>
      <c r="T26" s="209">
        <v>577138</v>
      </c>
      <c r="U26" s="209">
        <v>550159</v>
      </c>
      <c r="V26" s="209">
        <v>548073</v>
      </c>
      <c r="W26" s="209">
        <v>549648</v>
      </c>
      <c r="X26" s="209">
        <v>552586</v>
      </c>
      <c r="Y26" s="209" t="s">
        <v>175</v>
      </c>
      <c r="Z26" s="209">
        <v>554664</v>
      </c>
      <c r="AA26" s="209">
        <v>566971</v>
      </c>
      <c r="AB26" s="210">
        <v>537393</v>
      </c>
      <c r="AC26" s="210">
        <v>503527</v>
      </c>
      <c r="AD26" s="210">
        <v>476408</v>
      </c>
      <c r="AE26" s="175"/>
      <c r="AF26" s="175"/>
      <c r="AG26" s="175"/>
    </row>
    <row r="27" spans="1:33" ht="21">
      <c r="A27" s="1" t="s">
        <v>275</v>
      </c>
      <c r="B27" s="205" t="s">
        <v>281</v>
      </c>
      <c r="C27" s="205" t="s">
        <v>281</v>
      </c>
      <c r="D27" s="206">
        <v>4059358</v>
      </c>
      <c r="E27" s="209" t="s">
        <v>175</v>
      </c>
      <c r="F27" s="209" t="s">
        <v>175</v>
      </c>
      <c r="G27" s="209" t="s">
        <v>175</v>
      </c>
      <c r="H27" s="209" t="s">
        <v>175</v>
      </c>
      <c r="I27" s="209" t="s">
        <v>175</v>
      </c>
      <c r="J27" s="209" t="s">
        <v>175</v>
      </c>
      <c r="K27" s="209" t="s">
        <v>175</v>
      </c>
      <c r="L27" s="209" t="s">
        <v>175</v>
      </c>
      <c r="M27" s="209" t="s">
        <v>175</v>
      </c>
      <c r="N27" s="209" t="s">
        <v>175</v>
      </c>
      <c r="O27" s="209" t="s">
        <v>175</v>
      </c>
      <c r="P27" s="209" t="s">
        <v>175</v>
      </c>
      <c r="Q27" s="209" t="s">
        <v>175</v>
      </c>
      <c r="R27" s="209" t="s">
        <v>175</v>
      </c>
      <c r="S27" s="209" t="s">
        <v>175</v>
      </c>
      <c r="T27" s="209" t="s">
        <v>175</v>
      </c>
      <c r="U27" s="209" t="s">
        <v>175</v>
      </c>
      <c r="V27" s="209" t="s">
        <v>175</v>
      </c>
      <c r="W27" s="209" t="s">
        <v>175</v>
      </c>
      <c r="X27" s="209" t="s">
        <v>175</v>
      </c>
      <c r="Y27" s="209">
        <v>612</v>
      </c>
      <c r="Z27" s="209" t="s">
        <v>175</v>
      </c>
      <c r="AA27" s="209" t="s">
        <v>175</v>
      </c>
      <c r="AB27" s="210" t="s">
        <v>175</v>
      </c>
      <c r="AC27" s="210" t="s">
        <v>175</v>
      </c>
      <c r="AD27" s="210" t="s">
        <v>175</v>
      </c>
      <c r="AE27" s="175"/>
      <c r="AF27" s="175"/>
      <c r="AG27" s="175"/>
    </row>
    <row r="28" spans="1:33" ht="21">
      <c r="B28" s="205" t="s">
        <v>282</v>
      </c>
      <c r="C28" s="205" t="s">
        <v>282</v>
      </c>
      <c r="D28" s="206">
        <v>4059359</v>
      </c>
      <c r="E28" s="209">
        <v>386977</v>
      </c>
      <c r="F28" s="209">
        <v>365219</v>
      </c>
      <c r="G28" s="209">
        <v>342787</v>
      </c>
      <c r="H28" s="209">
        <v>1647</v>
      </c>
      <c r="I28" s="209">
        <v>297907</v>
      </c>
      <c r="J28" s="209">
        <v>277290</v>
      </c>
      <c r="K28" s="209">
        <v>258318</v>
      </c>
      <c r="L28" s="209">
        <v>240514</v>
      </c>
      <c r="M28" s="209">
        <v>224078</v>
      </c>
      <c r="N28" s="209">
        <v>209921</v>
      </c>
      <c r="O28" s="209">
        <v>195393</v>
      </c>
      <c r="P28" s="209">
        <v>182478</v>
      </c>
      <c r="Q28" s="209">
        <v>169617</v>
      </c>
      <c r="R28" s="209">
        <v>157734</v>
      </c>
      <c r="S28" s="209">
        <v>147230</v>
      </c>
      <c r="T28" s="209">
        <v>136362</v>
      </c>
      <c r="U28" s="209">
        <v>124789</v>
      </c>
      <c r="V28" s="209" t="s">
        <v>175</v>
      </c>
      <c r="W28" s="209" t="s">
        <v>175</v>
      </c>
      <c r="X28" s="209" t="s">
        <v>175</v>
      </c>
      <c r="Y28" s="209" t="s">
        <v>175</v>
      </c>
      <c r="Z28" s="209" t="s">
        <v>175</v>
      </c>
      <c r="AA28" s="209">
        <v>74437</v>
      </c>
      <c r="AB28" s="210">
        <v>68964</v>
      </c>
      <c r="AC28" s="210" t="s">
        <v>175</v>
      </c>
      <c r="AD28" s="210" t="s">
        <v>175</v>
      </c>
      <c r="AE28" s="175"/>
      <c r="AF28" s="175"/>
      <c r="AG28" s="175"/>
    </row>
    <row r="29" spans="1:33" ht="21">
      <c r="A29" s="1" t="s">
        <v>275</v>
      </c>
      <c r="B29" s="205" t="s">
        <v>180</v>
      </c>
      <c r="C29" s="205" t="s">
        <v>180</v>
      </c>
      <c r="D29" s="206">
        <v>4059402</v>
      </c>
      <c r="E29" s="209">
        <v>505292</v>
      </c>
      <c r="F29" s="209">
        <v>486016</v>
      </c>
      <c r="G29" s="209">
        <v>460098</v>
      </c>
      <c r="H29" s="209">
        <v>449483</v>
      </c>
      <c r="I29" s="209" t="s">
        <v>175</v>
      </c>
      <c r="J29" s="209">
        <v>398814</v>
      </c>
      <c r="K29" s="209">
        <v>375907</v>
      </c>
      <c r="L29" s="209">
        <v>356209</v>
      </c>
      <c r="M29" s="209">
        <v>333099</v>
      </c>
      <c r="N29" s="209">
        <v>312911</v>
      </c>
      <c r="O29" s="209">
        <v>294936</v>
      </c>
      <c r="P29" s="209">
        <v>284015</v>
      </c>
      <c r="Q29" s="209">
        <v>257375</v>
      </c>
      <c r="R29" s="209">
        <v>243375</v>
      </c>
      <c r="S29" s="209">
        <v>232887</v>
      </c>
      <c r="T29" s="209">
        <v>215612</v>
      </c>
      <c r="U29" s="209">
        <v>207297</v>
      </c>
      <c r="V29" s="209">
        <v>191074</v>
      </c>
      <c r="W29" s="209" t="s">
        <v>175</v>
      </c>
      <c r="X29" s="209" t="s">
        <v>175</v>
      </c>
      <c r="Y29" s="209" t="s">
        <v>175</v>
      </c>
      <c r="Z29" s="209">
        <v>132849</v>
      </c>
      <c r="AA29" s="209">
        <v>121908</v>
      </c>
      <c r="AB29" s="210">
        <v>109682</v>
      </c>
      <c r="AC29" s="210">
        <v>99005</v>
      </c>
      <c r="AD29" s="210">
        <v>89449</v>
      </c>
      <c r="AE29" s="175"/>
      <c r="AF29" s="175"/>
      <c r="AG29" s="175"/>
    </row>
    <row r="30" spans="1:33" ht="21">
      <c r="A30" s="1" t="s">
        <v>275</v>
      </c>
      <c r="B30" s="205" t="s">
        <v>182</v>
      </c>
      <c r="C30" s="205" t="s">
        <v>182</v>
      </c>
      <c r="D30" s="206">
        <v>4057080</v>
      </c>
      <c r="E30" s="209">
        <v>1395185</v>
      </c>
      <c r="F30" s="209">
        <v>1276174</v>
      </c>
      <c r="G30" s="209">
        <v>1212731</v>
      </c>
      <c r="H30" s="209">
        <v>1128699</v>
      </c>
      <c r="I30" s="209">
        <v>1109522</v>
      </c>
      <c r="J30" s="209">
        <v>1053743</v>
      </c>
      <c r="K30" s="209">
        <v>1004884</v>
      </c>
      <c r="L30" s="209">
        <v>952542</v>
      </c>
      <c r="M30" s="209">
        <v>882724</v>
      </c>
      <c r="N30" s="209">
        <v>811630</v>
      </c>
      <c r="O30" s="209">
        <v>749635</v>
      </c>
      <c r="P30" s="209">
        <v>697168</v>
      </c>
      <c r="Q30" s="209">
        <v>654655</v>
      </c>
      <c r="R30" s="209">
        <v>618997</v>
      </c>
      <c r="S30" s="209">
        <v>579904</v>
      </c>
      <c r="T30" s="209">
        <v>537924</v>
      </c>
      <c r="U30" s="209">
        <v>500384</v>
      </c>
      <c r="V30" s="209">
        <v>462602</v>
      </c>
      <c r="W30" s="209">
        <v>431102</v>
      </c>
      <c r="X30" s="209">
        <v>404890</v>
      </c>
      <c r="Y30" s="209">
        <v>377575</v>
      </c>
      <c r="Z30" s="209">
        <v>348410</v>
      </c>
      <c r="AA30" s="209">
        <v>318915</v>
      </c>
      <c r="AB30" s="210">
        <v>291426</v>
      </c>
      <c r="AC30" s="210">
        <v>268640</v>
      </c>
      <c r="AD30" s="210">
        <v>245351</v>
      </c>
      <c r="AE30" s="175"/>
      <c r="AF30" s="175"/>
      <c r="AG30" s="175"/>
    </row>
    <row r="31" spans="1:33" ht="21">
      <c r="B31" s="205" t="s">
        <v>183</v>
      </c>
      <c r="C31" s="205" t="s">
        <v>183</v>
      </c>
      <c r="D31" s="206">
        <v>4057081</v>
      </c>
      <c r="E31" s="209">
        <v>2413834</v>
      </c>
      <c r="F31" s="209">
        <v>2295251</v>
      </c>
      <c r="G31" s="209">
        <v>2178057</v>
      </c>
      <c r="H31" s="209">
        <v>2074548</v>
      </c>
      <c r="I31" s="209">
        <v>1984804</v>
      </c>
      <c r="J31" s="209">
        <v>1905140</v>
      </c>
      <c r="K31" s="209">
        <v>1836225</v>
      </c>
      <c r="L31" s="209">
        <v>1776417</v>
      </c>
      <c r="M31" s="209">
        <v>1714727</v>
      </c>
      <c r="N31" s="209">
        <v>1647763</v>
      </c>
      <c r="O31" s="209">
        <v>1586520</v>
      </c>
      <c r="P31" s="209">
        <v>1528832</v>
      </c>
      <c r="Q31" s="209">
        <v>1478542</v>
      </c>
      <c r="R31" s="209">
        <v>1402450</v>
      </c>
      <c r="S31" s="209">
        <v>1468887</v>
      </c>
      <c r="T31" s="209">
        <v>1397984</v>
      </c>
      <c r="U31" s="209">
        <v>1328511</v>
      </c>
      <c r="V31" s="209">
        <v>1263590</v>
      </c>
      <c r="W31" s="209">
        <v>1180196</v>
      </c>
      <c r="X31" s="209">
        <v>1098892</v>
      </c>
      <c r="Y31" s="209">
        <v>1023095</v>
      </c>
      <c r="Z31" s="209">
        <v>962316</v>
      </c>
      <c r="AA31" s="209">
        <v>893628</v>
      </c>
      <c r="AB31" s="210">
        <v>835087</v>
      </c>
      <c r="AC31" s="210">
        <v>778863</v>
      </c>
      <c r="AD31" s="210">
        <v>731258</v>
      </c>
      <c r="AE31" s="175"/>
      <c r="AF31" s="175"/>
      <c r="AG31" s="175"/>
    </row>
    <row r="32" spans="1:33" ht="21">
      <c r="A32" s="1" t="s">
        <v>275</v>
      </c>
      <c r="B32" s="205" t="s">
        <v>185</v>
      </c>
      <c r="C32" s="205" t="s">
        <v>185</v>
      </c>
      <c r="D32" s="206">
        <v>4059459</v>
      </c>
      <c r="E32" s="209">
        <v>7587</v>
      </c>
      <c r="F32" s="209">
        <v>7145</v>
      </c>
      <c r="G32" s="209">
        <v>6688</v>
      </c>
      <c r="H32" s="209">
        <v>6228</v>
      </c>
      <c r="I32" s="209">
        <v>9450</v>
      </c>
      <c r="J32" s="209">
        <v>12520</v>
      </c>
      <c r="K32" s="209">
        <v>11660</v>
      </c>
      <c r="L32" s="209">
        <v>11049</v>
      </c>
      <c r="M32" s="209">
        <v>9146</v>
      </c>
      <c r="N32" s="209">
        <v>7704</v>
      </c>
      <c r="O32" s="209">
        <v>6372</v>
      </c>
      <c r="P32" s="209">
        <v>5815</v>
      </c>
      <c r="Q32" s="209">
        <v>5174</v>
      </c>
      <c r="R32" s="209">
        <v>4861</v>
      </c>
      <c r="S32" s="209">
        <v>4561</v>
      </c>
      <c r="T32" s="209">
        <v>4323</v>
      </c>
      <c r="U32" s="209">
        <v>4099</v>
      </c>
      <c r="V32" s="209">
        <v>3919</v>
      </c>
      <c r="W32" s="209">
        <v>3695</v>
      </c>
      <c r="X32" s="209">
        <v>3508</v>
      </c>
      <c r="Y32" s="209">
        <v>3302</v>
      </c>
      <c r="Z32" s="209">
        <v>3081</v>
      </c>
      <c r="AA32" s="209">
        <v>2904</v>
      </c>
      <c r="AB32" s="210">
        <v>2712</v>
      </c>
      <c r="AC32" s="210">
        <v>2546</v>
      </c>
      <c r="AD32" s="210">
        <v>2381</v>
      </c>
      <c r="AE32" s="175"/>
      <c r="AF32" s="175"/>
      <c r="AG32" s="175"/>
    </row>
    <row r="33" spans="2:33" ht="21">
      <c r="B33" s="205" t="s">
        <v>186</v>
      </c>
      <c r="C33" s="205" t="s">
        <v>186</v>
      </c>
      <c r="D33" s="206">
        <v>4057118</v>
      </c>
      <c r="E33" s="209">
        <v>58500</v>
      </c>
      <c r="F33" s="209">
        <v>58547</v>
      </c>
      <c r="G33" s="209">
        <v>58542</v>
      </c>
      <c r="H33" s="209">
        <v>52414</v>
      </c>
      <c r="I33" s="209">
        <v>50268</v>
      </c>
      <c r="J33" s="209">
        <v>47346</v>
      </c>
      <c r="K33" s="209">
        <v>44842</v>
      </c>
      <c r="L33" s="209">
        <v>41612</v>
      </c>
      <c r="M33" s="209">
        <v>39126</v>
      </c>
      <c r="N33" s="209">
        <v>36923</v>
      </c>
      <c r="O33" s="209">
        <v>34617</v>
      </c>
      <c r="P33" s="209">
        <v>33818</v>
      </c>
      <c r="Q33" s="209">
        <v>32965</v>
      </c>
      <c r="R33" s="209">
        <v>32424</v>
      </c>
      <c r="S33" s="209">
        <v>30164</v>
      </c>
      <c r="T33" s="209">
        <v>27911</v>
      </c>
      <c r="U33" s="209">
        <v>25847</v>
      </c>
      <c r="V33" s="209">
        <v>24640</v>
      </c>
      <c r="W33" s="209">
        <v>22667</v>
      </c>
      <c r="X33" s="209">
        <v>21050</v>
      </c>
      <c r="Y33" s="209">
        <v>19340</v>
      </c>
      <c r="Z33" s="209">
        <v>17844</v>
      </c>
      <c r="AA33" s="209">
        <v>16184</v>
      </c>
      <c r="AB33" s="210">
        <v>14974</v>
      </c>
      <c r="AC33" s="210">
        <v>13763</v>
      </c>
      <c r="AD33" s="210">
        <v>12577</v>
      </c>
      <c r="AE33" s="175"/>
      <c r="AF33" s="175"/>
      <c r="AG33" s="175"/>
    </row>
    <row r="34" spans="2:33" ht="21">
      <c r="B34" s="205" t="s">
        <v>188</v>
      </c>
      <c r="C34" s="205" t="s">
        <v>188</v>
      </c>
      <c r="D34" s="206">
        <v>4057126</v>
      </c>
      <c r="E34" s="209">
        <v>1551375</v>
      </c>
      <c r="F34" s="209">
        <v>1537280</v>
      </c>
      <c r="G34" s="209">
        <v>1520250</v>
      </c>
      <c r="H34" s="209">
        <v>1488262</v>
      </c>
      <c r="I34" s="209">
        <v>1445931</v>
      </c>
      <c r="J34" s="209">
        <v>1431410</v>
      </c>
      <c r="K34" s="209">
        <v>1411153</v>
      </c>
      <c r="L34" s="209">
        <v>1404631</v>
      </c>
      <c r="M34" s="209">
        <v>1379765</v>
      </c>
      <c r="N34" s="209">
        <v>1363076</v>
      </c>
      <c r="O34" s="209">
        <v>1337175</v>
      </c>
      <c r="P34" s="209">
        <v>1324505</v>
      </c>
      <c r="Q34" s="209">
        <v>1298639</v>
      </c>
      <c r="R34" s="209">
        <v>1303573</v>
      </c>
      <c r="S34" s="209">
        <v>1253416</v>
      </c>
      <c r="T34" s="209">
        <v>1294393</v>
      </c>
      <c r="U34" s="209">
        <v>1247606</v>
      </c>
      <c r="V34" s="209">
        <v>1184337</v>
      </c>
      <c r="W34" s="209">
        <v>1126677</v>
      </c>
      <c r="X34" s="209">
        <v>1070361</v>
      </c>
      <c r="Y34" s="209">
        <v>1019549</v>
      </c>
      <c r="Z34" s="209">
        <v>966931</v>
      </c>
      <c r="AA34" s="209">
        <v>918679</v>
      </c>
      <c r="AB34" s="210">
        <v>867997</v>
      </c>
      <c r="AC34" s="210">
        <v>804549</v>
      </c>
      <c r="AD34" s="210">
        <v>745342</v>
      </c>
      <c r="AE34" s="175"/>
      <c r="AF34" s="175"/>
      <c r="AG34" s="175"/>
    </row>
    <row r="35" spans="2:33" ht="21">
      <c r="B35" s="205" t="s">
        <v>283</v>
      </c>
      <c r="C35" s="205" t="s">
        <v>283</v>
      </c>
      <c r="D35" s="206">
        <v>4057103</v>
      </c>
      <c r="E35" s="209" t="s">
        <v>175</v>
      </c>
      <c r="F35" s="209">
        <v>161066</v>
      </c>
      <c r="G35" s="209">
        <v>159406</v>
      </c>
      <c r="H35" s="209">
        <v>155335</v>
      </c>
      <c r="I35" s="209" t="s">
        <v>175</v>
      </c>
      <c r="J35" s="209">
        <v>143043</v>
      </c>
      <c r="K35" s="209">
        <v>134241</v>
      </c>
      <c r="L35" s="209">
        <v>126370</v>
      </c>
      <c r="M35" s="209">
        <v>118199</v>
      </c>
      <c r="N35" s="209">
        <v>111826</v>
      </c>
      <c r="O35" s="209">
        <v>103582</v>
      </c>
      <c r="P35" s="209">
        <v>98459</v>
      </c>
      <c r="Q35" s="209">
        <v>93099</v>
      </c>
      <c r="R35" s="209">
        <v>89078</v>
      </c>
      <c r="S35" s="209">
        <v>85141</v>
      </c>
      <c r="T35" s="209">
        <v>83083</v>
      </c>
      <c r="U35" s="209">
        <v>77354</v>
      </c>
      <c r="V35" s="209">
        <v>72910</v>
      </c>
      <c r="W35" s="209">
        <v>67866</v>
      </c>
      <c r="X35" s="209" t="s">
        <v>175</v>
      </c>
      <c r="Y35" s="209" t="s">
        <v>175</v>
      </c>
      <c r="Z35" s="209">
        <v>55160</v>
      </c>
      <c r="AA35" s="209">
        <v>51412</v>
      </c>
      <c r="AB35" s="210">
        <v>47425</v>
      </c>
      <c r="AC35" s="210">
        <v>43567</v>
      </c>
      <c r="AD35" s="210">
        <v>40142</v>
      </c>
      <c r="AE35" s="175"/>
      <c r="AF35" s="175"/>
      <c r="AG35" s="175"/>
    </row>
    <row r="36" spans="2:33" ht="21">
      <c r="B36" s="205" t="s">
        <v>189</v>
      </c>
      <c r="C36" s="205" t="s">
        <v>189</v>
      </c>
      <c r="D36" s="206">
        <v>4057079</v>
      </c>
      <c r="E36" s="209">
        <v>674286</v>
      </c>
      <c r="F36" s="209">
        <v>631110</v>
      </c>
      <c r="G36" s="209">
        <v>586276</v>
      </c>
      <c r="H36" s="209">
        <v>567172</v>
      </c>
      <c r="I36" s="209">
        <v>529763</v>
      </c>
      <c r="J36" s="209">
        <v>503566</v>
      </c>
      <c r="K36" s="209">
        <v>472311</v>
      </c>
      <c r="L36" s="209">
        <v>441865</v>
      </c>
      <c r="M36" s="209">
        <v>415020</v>
      </c>
      <c r="N36" s="209">
        <v>395902</v>
      </c>
      <c r="O36" s="209">
        <v>370906</v>
      </c>
      <c r="P36" s="209">
        <v>347596</v>
      </c>
      <c r="Q36" s="209">
        <v>328069</v>
      </c>
      <c r="R36" s="209">
        <v>307655</v>
      </c>
      <c r="S36" s="209">
        <v>287826</v>
      </c>
      <c r="T36" s="209">
        <v>269895</v>
      </c>
      <c r="U36" s="209">
        <v>254562</v>
      </c>
      <c r="V36" s="209">
        <v>241907</v>
      </c>
      <c r="W36" s="209">
        <v>228812</v>
      </c>
      <c r="X36" s="209">
        <v>217180</v>
      </c>
      <c r="Y36" s="209">
        <v>204271</v>
      </c>
      <c r="Z36" s="209">
        <v>188930</v>
      </c>
      <c r="AA36" s="209">
        <v>175009</v>
      </c>
      <c r="AB36" s="210">
        <v>165561</v>
      </c>
      <c r="AC36" s="210">
        <v>153000</v>
      </c>
      <c r="AD36" s="210">
        <v>140721</v>
      </c>
      <c r="AE36" s="175"/>
      <c r="AF36" s="175"/>
      <c r="AG36" s="175"/>
    </row>
    <row r="37" spans="2:33" ht="21">
      <c r="B37" s="205" t="s">
        <v>284</v>
      </c>
      <c r="C37" s="205" t="s">
        <v>285</v>
      </c>
      <c r="D37" s="206">
        <v>4081251</v>
      </c>
      <c r="E37" s="209" t="s">
        <v>175</v>
      </c>
      <c r="F37" s="209" t="s">
        <v>175</v>
      </c>
      <c r="G37" s="209" t="s">
        <v>175</v>
      </c>
      <c r="H37" s="209" t="s">
        <v>175</v>
      </c>
      <c r="I37" s="209" t="s">
        <v>175</v>
      </c>
      <c r="J37" s="209" t="s">
        <v>175</v>
      </c>
      <c r="K37" s="209" t="s">
        <v>175</v>
      </c>
      <c r="L37" s="209" t="s">
        <v>175</v>
      </c>
      <c r="M37" s="209" t="s">
        <v>175</v>
      </c>
      <c r="N37" s="209" t="s">
        <v>175</v>
      </c>
      <c r="O37" s="209" t="s">
        <v>175</v>
      </c>
      <c r="P37" s="209" t="s">
        <v>175</v>
      </c>
      <c r="Q37" s="209" t="s">
        <v>175</v>
      </c>
      <c r="R37" s="209" t="s">
        <v>175</v>
      </c>
      <c r="S37" s="209" t="s">
        <v>175</v>
      </c>
      <c r="T37" s="209" t="s">
        <v>175</v>
      </c>
      <c r="U37" s="209" t="s">
        <v>175</v>
      </c>
      <c r="V37" s="209" t="s">
        <v>175</v>
      </c>
      <c r="W37" s="209" t="s">
        <v>175</v>
      </c>
      <c r="X37" s="209" t="s">
        <v>175</v>
      </c>
      <c r="Y37" s="209" t="s">
        <v>175</v>
      </c>
      <c r="Z37" s="209" t="s">
        <v>175</v>
      </c>
      <c r="AA37" s="209" t="s">
        <v>175</v>
      </c>
      <c r="AB37" s="210" t="s">
        <v>175</v>
      </c>
      <c r="AC37" s="210" t="s">
        <v>175</v>
      </c>
      <c r="AD37" s="210" t="s">
        <v>175</v>
      </c>
      <c r="AE37" s="175"/>
      <c r="AF37" s="175"/>
      <c r="AG37" s="175"/>
    </row>
    <row r="38" spans="2:33" ht="21">
      <c r="B38" s="205" t="s">
        <v>286</v>
      </c>
      <c r="C38" s="205" t="s">
        <v>286</v>
      </c>
      <c r="D38" s="206">
        <v>4060572</v>
      </c>
      <c r="E38" s="209">
        <v>146121</v>
      </c>
      <c r="F38" s="209">
        <v>141531</v>
      </c>
      <c r="G38" s="209">
        <v>137454</v>
      </c>
      <c r="H38" s="209">
        <v>133622</v>
      </c>
      <c r="I38" s="209">
        <v>129728</v>
      </c>
      <c r="J38" s="209">
        <v>122116</v>
      </c>
      <c r="K38" s="209">
        <v>117225</v>
      </c>
      <c r="L38" s="209">
        <v>113758</v>
      </c>
      <c r="M38" s="209">
        <v>109832</v>
      </c>
      <c r="N38" s="209">
        <v>106410</v>
      </c>
      <c r="O38" s="209">
        <v>98377</v>
      </c>
      <c r="P38" s="209">
        <v>93036</v>
      </c>
      <c r="Q38" s="209">
        <v>88618</v>
      </c>
      <c r="R38" s="209">
        <v>85021</v>
      </c>
      <c r="S38" s="209">
        <v>78649</v>
      </c>
      <c r="T38" s="209">
        <v>74750</v>
      </c>
      <c r="U38" s="209">
        <v>77723</v>
      </c>
      <c r="V38" s="209">
        <v>75632</v>
      </c>
      <c r="W38" s="209" t="s">
        <v>175</v>
      </c>
      <c r="X38" s="209" t="s">
        <v>175</v>
      </c>
      <c r="Y38" s="209" t="s">
        <v>175</v>
      </c>
      <c r="Z38" s="209" t="s">
        <v>175</v>
      </c>
      <c r="AA38" s="209" t="s">
        <v>175</v>
      </c>
      <c r="AB38" s="210">
        <v>61172</v>
      </c>
      <c r="AC38" s="210">
        <v>59194</v>
      </c>
      <c r="AD38" s="210" t="s">
        <v>175</v>
      </c>
      <c r="AE38" s="175"/>
      <c r="AF38" s="175"/>
      <c r="AG38" s="175"/>
    </row>
    <row r="39" spans="2:33" ht="21">
      <c r="B39" s="205" t="s">
        <v>287</v>
      </c>
      <c r="C39" s="205" t="s">
        <v>287</v>
      </c>
      <c r="D39" s="206">
        <v>4083318</v>
      </c>
      <c r="E39" s="209">
        <v>13919</v>
      </c>
      <c r="F39" s="209">
        <v>13425</v>
      </c>
      <c r="G39" s="209">
        <v>12924</v>
      </c>
      <c r="H39" s="209">
        <v>12428</v>
      </c>
      <c r="I39" s="209">
        <v>11944</v>
      </c>
      <c r="J39" s="209">
        <v>11481</v>
      </c>
      <c r="K39" s="209">
        <v>10995</v>
      </c>
      <c r="L39" s="209">
        <v>10532</v>
      </c>
      <c r="M39" s="209">
        <v>10084</v>
      </c>
      <c r="N39" s="209">
        <v>9229</v>
      </c>
      <c r="O39" s="209">
        <v>9229</v>
      </c>
      <c r="P39" s="209">
        <v>8801</v>
      </c>
      <c r="Q39" s="209">
        <v>8382</v>
      </c>
      <c r="R39" s="209" t="s">
        <v>175</v>
      </c>
      <c r="S39" s="209" t="s">
        <v>175</v>
      </c>
      <c r="T39" s="209" t="s">
        <v>175</v>
      </c>
      <c r="U39" s="209">
        <v>6748</v>
      </c>
      <c r="V39" s="209">
        <v>6367</v>
      </c>
      <c r="W39" s="209">
        <v>5970</v>
      </c>
      <c r="X39" s="209" t="s">
        <v>175</v>
      </c>
      <c r="Y39" s="209" t="s">
        <v>175</v>
      </c>
      <c r="Z39" s="209" t="s">
        <v>175</v>
      </c>
      <c r="AA39" s="209" t="s">
        <v>175</v>
      </c>
      <c r="AB39" s="210" t="s">
        <v>175</v>
      </c>
      <c r="AC39" s="210">
        <v>4196</v>
      </c>
      <c r="AD39" s="210">
        <v>2988</v>
      </c>
      <c r="AE39" s="175"/>
      <c r="AF39" s="175"/>
      <c r="AG39" s="175"/>
    </row>
    <row r="40" spans="2:33" ht="21">
      <c r="B40" s="205" t="s">
        <v>288</v>
      </c>
      <c r="C40" s="205" t="s">
        <v>288</v>
      </c>
      <c r="D40" s="206">
        <v>4057125</v>
      </c>
      <c r="E40" s="209" t="s">
        <v>175</v>
      </c>
      <c r="F40" s="209" t="s">
        <v>175</v>
      </c>
      <c r="G40" s="209" t="s">
        <v>175</v>
      </c>
      <c r="H40" s="209" t="s">
        <v>175</v>
      </c>
      <c r="I40" s="209" t="s">
        <v>175</v>
      </c>
      <c r="J40" s="209" t="s">
        <v>175</v>
      </c>
      <c r="K40" s="209" t="s">
        <v>175</v>
      </c>
      <c r="L40" s="209" t="s">
        <v>175</v>
      </c>
      <c r="M40" s="209" t="s">
        <v>175</v>
      </c>
      <c r="N40" s="209" t="s">
        <v>175</v>
      </c>
      <c r="O40" s="209" t="s">
        <v>175</v>
      </c>
      <c r="P40" s="209" t="s">
        <v>175</v>
      </c>
      <c r="Q40" s="209" t="s">
        <v>175</v>
      </c>
      <c r="R40" s="209" t="s">
        <v>175</v>
      </c>
      <c r="S40" s="209" t="s">
        <v>175</v>
      </c>
      <c r="T40" s="209" t="s">
        <v>175</v>
      </c>
      <c r="U40" s="209" t="s">
        <v>175</v>
      </c>
      <c r="V40" s="209" t="s">
        <v>175</v>
      </c>
      <c r="W40" s="209" t="s">
        <v>175</v>
      </c>
      <c r="X40" s="209" t="s">
        <v>175</v>
      </c>
      <c r="Y40" s="209" t="s">
        <v>175</v>
      </c>
      <c r="Z40" s="209" t="s">
        <v>175</v>
      </c>
      <c r="AA40" s="209" t="s">
        <v>175</v>
      </c>
      <c r="AB40" s="210" t="s">
        <v>175</v>
      </c>
      <c r="AC40" s="210" t="s">
        <v>175</v>
      </c>
      <c r="AD40" s="210" t="s">
        <v>175</v>
      </c>
      <c r="AE40" s="175"/>
      <c r="AF40" s="175"/>
      <c r="AG40" s="175"/>
    </row>
    <row r="41" spans="2:33" ht="21">
      <c r="B41" s="205" t="s">
        <v>289</v>
      </c>
      <c r="C41" s="205" t="s">
        <v>289</v>
      </c>
      <c r="D41" s="206">
        <v>4087741</v>
      </c>
      <c r="E41" s="209" t="s">
        <v>175</v>
      </c>
      <c r="F41" s="209" t="s">
        <v>175</v>
      </c>
      <c r="G41" s="209">
        <v>490300</v>
      </c>
      <c r="H41" s="209">
        <v>474438</v>
      </c>
      <c r="I41" s="209">
        <v>464233</v>
      </c>
      <c r="J41" s="209">
        <v>463947</v>
      </c>
      <c r="K41" s="209">
        <v>456002</v>
      </c>
      <c r="L41" s="209">
        <v>452326</v>
      </c>
      <c r="M41" s="209">
        <v>440996</v>
      </c>
      <c r="N41" s="209">
        <v>428577</v>
      </c>
      <c r="O41" s="209">
        <v>418442</v>
      </c>
      <c r="P41" s="209">
        <v>407824</v>
      </c>
      <c r="Q41" s="209">
        <v>414625</v>
      </c>
      <c r="R41" s="209">
        <v>394246</v>
      </c>
      <c r="S41" s="209">
        <v>374213</v>
      </c>
      <c r="T41" s="209">
        <v>351935</v>
      </c>
      <c r="U41" s="209">
        <v>327907</v>
      </c>
      <c r="V41" s="209">
        <v>305414</v>
      </c>
      <c r="W41" s="209">
        <v>283117</v>
      </c>
      <c r="X41" s="209" t="s">
        <v>175</v>
      </c>
      <c r="Y41" s="209">
        <v>248275</v>
      </c>
      <c r="Z41" s="209" t="s">
        <v>175</v>
      </c>
      <c r="AA41" s="209" t="s">
        <v>175</v>
      </c>
      <c r="AB41" s="210" t="s">
        <v>175</v>
      </c>
      <c r="AC41" s="210" t="s">
        <v>175</v>
      </c>
      <c r="AD41" s="210" t="s">
        <v>175</v>
      </c>
      <c r="AE41" s="175"/>
      <c r="AF41" s="175"/>
      <c r="AG41" s="175"/>
    </row>
    <row r="42" spans="2:33" ht="21">
      <c r="B42" s="205" t="s">
        <v>290</v>
      </c>
      <c r="C42" s="205" t="s">
        <v>290</v>
      </c>
      <c r="D42" s="206">
        <v>4059875</v>
      </c>
      <c r="E42" s="209">
        <v>179382</v>
      </c>
      <c r="F42" s="209">
        <v>214534</v>
      </c>
      <c r="G42" s="209">
        <v>156339</v>
      </c>
      <c r="H42" s="209">
        <v>161324</v>
      </c>
      <c r="I42" s="209">
        <v>114504</v>
      </c>
      <c r="J42" s="209">
        <v>106495</v>
      </c>
      <c r="K42" s="209">
        <v>101268</v>
      </c>
      <c r="L42" s="209">
        <v>88694</v>
      </c>
      <c r="M42" s="209" t="s">
        <v>175</v>
      </c>
      <c r="N42" s="209" t="s">
        <v>175</v>
      </c>
      <c r="O42" s="209" t="s">
        <v>175</v>
      </c>
      <c r="P42" s="209" t="s">
        <v>175</v>
      </c>
      <c r="Q42" s="209" t="s">
        <v>175</v>
      </c>
      <c r="R42" s="209" t="s">
        <v>175</v>
      </c>
      <c r="S42" s="209" t="s">
        <v>175</v>
      </c>
      <c r="T42" s="209" t="s">
        <v>175</v>
      </c>
      <c r="U42" s="209" t="s">
        <v>175</v>
      </c>
      <c r="V42" s="209">
        <v>2853</v>
      </c>
      <c r="W42" s="209" t="s">
        <v>175</v>
      </c>
      <c r="X42" s="209" t="s">
        <v>175</v>
      </c>
      <c r="Y42" s="209" t="s">
        <v>175</v>
      </c>
      <c r="Z42" s="209" t="s">
        <v>175</v>
      </c>
      <c r="AA42" s="209" t="s">
        <v>175</v>
      </c>
      <c r="AB42" s="210" t="s">
        <v>175</v>
      </c>
      <c r="AC42" s="210" t="s">
        <v>175</v>
      </c>
      <c r="AD42" s="210" t="s">
        <v>175</v>
      </c>
      <c r="AE42" s="175"/>
      <c r="AF42" s="175"/>
      <c r="AG42" s="175"/>
    </row>
    <row r="43" spans="2:33" ht="21">
      <c r="B43" s="205" t="s">
        <v>190</v>
      </c>
      <c r="C43" s="205" t="s">
        <v>190</v>
      </c>
      <c r="D43" s="206">
        <v>4057090</v>
      </c>
      <c r="E43" s="209">
        <v>318257</v>
      </c>
      <c r="F43" s="209">
        <v>302468</v>
      </c>
      <c r="G43" s="209">
        <v>286112</v>
      </c>
      <c r="H43" s="209">
        <v>267951</v>
      </c>
      <c r="I43" s="209">
        <v>249222</v>
      </c>
      <c r="J43" s="209">
        <v>234892</v>
      </c>
      <c r="K43" s="209">
        <v>220610</v>
      </c>
      <c r="L43" s="209">
        <v>210147</v>
      </c>
      <c r="M43" s="209">
        <v>201131</v>
      </c>
      <c r="N43" s="209">
        <v>189161</v>
      </c>
      <c r="O43" s="209">
        <v>54833</v>
      </c>
      <c r="P43" s="209">
        <v>169707</v>
      </c>
      <c r="Q43" s="209">
        <v>167528</v>
      </c>
      <c r="R43" s="209">
        <v>156229</v>
      </c>
      <c r="S43" s="209">
        <v>146047</v>
      </c>
      <c r="T43" s="209">
        <v>137543</v>
      </c>
      <c r="U43" s="209">
        <v>127007</v>
      </c>
      <c r="V43" s="209">
        <v>116219</v>
      </c>
      <c r="W43" s="209">
        <v>113995</v>
      </c>
      <c r="X43" s="209">
        <v>106369</v>
      </c>
      <c r="Y43" s="209">
        <v>98673</v>
      </c>
      <c r="Z43" s="209">
        <v>91914</v>
      </c>
      <c r="AA43" s="209">
        <v>88978</v>
      </c>
      <c r="AB43" s="210">
        <v>83094</v>
      </c>
      <c r="AC43" s="210">
        <v>77430</v>
      </c>
      <c r="AD43" s="210" t="s">
        <v>175</v>
      </c>
      <c r="AE43" s="175"/>
      <c r="AF43" s="175"/>
      <c r="AG43" s="175"/>
    </row>
    <row r="44" spans="2:33" ht="21">
      <c r="B44" s="205" t="s">
        <v>191</v>
      </c>
      <c r="C44" s="205" t="s">
        <v>191</v>
      </c>
      <c r="D44" s="206">
        <v>4008754</v>
      </c>
      <c r="E44" s="209">
        <v>179298</v>
      </c>
      <c r="F44" s="209">
        <v>175337</v>
      </c>
      <c r="G44" s="209">
        <v>170808</v>
      </c>
      <c r="H44" s="209">
        <v>167411</v>
      </c>
      <c r="I44" s="209">
        <v>163925</v>
      </c>
      <c r="J44" s="209">
        <v>159891</v>
      </c>
      <c r="K44" s="209">
        <v>160010</v>
      </c>
      <c r="L44" s="209">
        <v>159181</v>
      </c>
      <c r="M44" s="209">
        <v>157591</v>
      </c>
      <c r="N44" s="209">
        <v>155247</v>
      </c>
      <c r="O44" s="209">
        <v>153616</v>
      </c>
      <c r="P44" s="209">
        <v>151858</v>
      </c>
      <c r="Q44" s="209">
        <v>146572</v>
      </c>
      <c r="R44" s="209">
        <v>140280</v>
      </c>
      <c r="S44" s="209">
        <v>133885</v>
      </c>
      <c r="T44" s="209">
        <v>126627</v>
      </c>
      <c r="U44" s="209">
        <v>119741</v>
      </c>
      <c r="V44" s="209">
        <v>114410</v>
      </c>
      <c r="W44" s="209">
        <v>108754</v>
      </c>
      <c r="X44" s="209">
        <v>103015</v>
      </c>
      <c r="Y44" s="209">
        <v>95438</v>
      </c>
      <c r="Z44" s="209">
        <v>90348</v>
      </c>
      <c r="AA44" s="209">
        <v>85563</v>
      </c>
      <c r="AB44" s="210">
        <v>80883</v>
      </c>
      <c r="AC44" s="210">
        <v>75723</v>
      </c>
      <c r="AD44" s="210">
        <v>70821</v>
      </c>
      <c r="AE44" s="175"/>
      <c r="AF44" s="175"/>
      <c r="AG44" s="175"/>
    </row>
    <row r="45" spans="2:33" ht="21">
      <c r="B45" s="205" t="s">
        <v>291</v>
      </c>
      <c r="C45" s="205" t="s">
        <v>291</v>
      </c>
      <c r="D45" s="206">
        <v>4061474</v>
      </c>
      <c r="E45" s="209" t="s">
        <v>175</v>
      </c>
      <c r="F45" s="209" t="s">
        <v>175</v>
      </c>
      <c r="G45" s="209" t="s">
        <v>175</v>
      </c>
      <c r="H45" s="209" t="s">
        <v>175</v>
      </c>
      <c r="I45" s="209" t="s">
        <v>175</v>
      </c>
      <c r="J45" s="209" t="s">
        <v>175</v>
      </c>
      <c r="K45" s="209" t="s">
        <v>175</v>
      </c>
      <c r="L45" s="209" t="s">
        <v>175</v>
      </c>
      <c r="M45" s="209" t="s">
        <v>175</v>
      </c>
      <c r="N45" s="209" t="s">
        <v>175</v>
      </c>
      <c r="O45" s="209" t="s">
        <v>175</v>
      </c>
      <c r="P45" s="209" t="s">
        <v>175</v>
      </c>
      <c r="Q45" s="209" t="s">
        <v>175</v>
      </c>
      <c r="R45" s="209" t="s">
        <v>175</v>
      </c>
      <c r="S45" s="209" t="s">
        <v>175</v>
      </c>
      <c r="T45" s="209" t="s">
        <v>175</v>
      </c>
      <c r="U45" s="209" t="s">
        <v>175</v>
      </c>
      <c r="V45" s="209" t="s">
        <v>175</v>
      </c>
      <c r="W45" s="209" t="s">
        <v>175</v>
      </c>
      <c r="X45" s="209" t="s">
        <v>175</v>
      </c>
      <c r="Y45" s="209" t="s">
        <v>175</v>
      </c>
      <c r="Z45" s="209" t="s">
        <v>175</v>
      </c>
      <c r="AA45" s="209" t="s">
        <v>175</v>
      </c>
      <c r="AB45" s="210" t="s">
        <v>175</v>
      </c>
      <c r="AC45" s="210" t="s">
        <v>175</v>
      </c>
      <c r="AD45" s="210" t="s">
        <v>175</v>
      </c>
      <c r="AE45" s="175"/>
      <c r="AF45" s="175"/>
      <c r="AG45" s="175"/>
    </row>
    <row r="46" spans="2:33" ht="21">
      <c r="B46" s="205" t="s">
        <v>292</v>
      </c>
      <c r="C46" s="205" t="s">
        <v>292</v>
      </c>
      <c r="D46" s="206">
        <v>4076679</v>
      </c>
      <c r="E46" s="209">
        <v>22884</v>
      </c>
      <c r="F46" s="209">
        <v>21483</v>
      </c>
      <c r="G46" s="209">
        <v>20142</v>
      </c>
      <c r="H46" s="209">
        <v>18873</v>
      </c>
      <c r="I46" s="209">
        <v>17737</v>
      </c>
      <c r="J46" s="209">
        <v>16615</v>
      </c>
      <c r="K46" s="209">
        <v>16344</v>
      </c>
      <c r="L46" s="209">
        <v>15333</v>
      </c>
      <c r="M46" s="209">
        <v>14458</v>
      </c>
      <c r="N46" s="209">
        <v>13517</v>
      </c>
      <c r="O46" s="209">
        <v>12683</v>
      </c>
      <c r="P46" s="209">
        <v>11833</v>
      </c>
      <c r="Q46" s="209">
        <v>11004</v>
      </c>
      <c r="R46" s="209">
        <v>10178</v>
      </c>
      <c r="S46" s="209">
        <v>9398</v>
      </c>
      <c r="T46" s="209">
        <v>8696</v>
      </c>
      <c r="U46" s="209">
        <v>8005</v>
      </c>
      <c r="V46" s="209">
        <v>7356</v>
      </c>
      <c r="W46" s="209">
        <v>6752</v>
      </c>
      <c r="X46" s="209">
        <v>6160</v>
      </c>
      <c r="Y46" s="209">
        <v>5610</v>
      </c>
      <c r="Z46" s="209" t="s">
        <v>175</v>
      </c>
      <c r="AA46" s="209" t="s">
        <v>175</v>
      </c>
      <c r="AB46" s="210" t="s">
        <v>175</v>
      </c>
      <c r="AC46" s="210" t="s">
        <v>175</v>
      </c>
      <c r="AD46" s="210" t="s">
        <v>175</v>
      </c>
      <c r="AE46" s="175"/>
      <c r="AF46" s="175"/>
      <c r="AG46" s="175"/>
    </row>
    <row r="47" spans="2:33" ht="21">
      <c r="B47" s="205" t="s">
        <v>193</v>
      </c>
      <c r="C47" s="205" t="s">
        <v>193</v>
      </c>
      <c r="D47" s="206">
        <v>4061634</v>
      </c>
      <c r="E47" s="209">
        <v>296436</v>
      </c>
      <c r="F47" s="209">
        <v>285654</v>
      </c>
      <c r="G47" s="209">
        <v>274798</v>
      </c>
      <c r="H47" s="209">
        <v>268482</v>
      </c>
      <c r="I47" s="209">
        <v>259270</v>
      </c>
      <c r="J47" s="209">
        <v>250736</v>
      </c>
      <c r="K47" s="209">
        <v>240343</v>
      </c>
      <c r="L47" s="209">
        <v>229840</v>
      </c>
      <c r="M47" s="209">
        <v>219839</v>
      </c>
      <c r="N47" s="209">
        <v>210720</v>
      </c>
      <c r="O47" s="209">
        <v>201782</v>
      </c>
      <c r="P47" s="209">
        <v>194603</v>
      </c>
      <c r="Q47" s="209">
        <v>191857</v>
      </c>
      <c r="R47" s="209" t="s">
        <v>175</v>
      </c>
      <c r="S47" s="209" t="s">
        <v>175</v>
      </c>
      <c r="T47" s="209" t="s">
        <v>175</v>
      </c>
      <c r="U47" s="209">
        <v>143255</v>
      </c>
      <c r="V47" s="209" t="s">
        <v>175</v>
      </c>
      <c r="W47" s="209" t="s">
        <v>175</v>
      </c>
      <c r="X47" s="209" t="s">
        <v>175</v>
      </c>
      <c r="Y47" s="209" t="s">
        <v>175</v>
      </c>
      <c r="Z47" s="209">
        <v>103705</v>
      </c>
      <c r="AA47" s="209">
        <v>97658</v>
      </c>
      <c r="AB47" s="210">
        <v>92679</v>
      </c>
      <c r="AC47" s="210">
        <v>88863</v>
      </c>
      <c r="AD47" s="210">
        <v>84378</v>
      </c>
      <c r="AE47" s="175"/>
      <c r="AF47" s="175"/>
      <c r="AG47" s="175"/>
    </row>
    <row r="48" spans="2:33" ht="21">
      <c r="B48" s="205" t="s">
        <v>194</v>
      </c>
      <c r="C48" s="205" t="s">
        <v>194</v>
      </c>
      <c r="D48" s="206">
        <v>4061687</v>
      </c>
      <c r="E48" s="209">
        <v>773543</v>
      </c>
      <c r="F48" s="209">
        <v>748514</v>
      </c>
      <c r="G48" s="209">
        <v>725939</v>
      </c>
      <c r="H48" s="209">
        <v>701909</v>
      </c>
      <c r="I48" s="209">
        <v>679083</v>
      </c>
      <c r="J48" s="209">
        <v>656825</v>
      </c>
      <c r="K48" s="209">
        <v>634858</v>
      </c>
      <c r="L48" s="209">
        <v>609331</v>
      </c>
      <c r="M48" s="209">
        <v>578188</v>
      </c>
      <c r="N48" s="209">
        <v>562862</v>
      </c>
      <c r="O48" s="209">
        <v>539014</v>
      </c>
      <c r="P48" s="209">
        <v>517248</v>
      </c>
      <c r="Q48" s="209">
        <v>495063</v>
      </c>
      <c r="R48" s="209">
        <v>473629</v>
      </c>
      <c r="S48" s="209">
        <v>452594</v>
      </c>
      <c r="T48" s="209">
        <v>433559</v>
      </c>
      <c r="U48" s="209">
        <v>409857</v>
      </c>
      <c r="V48" s="209">
        <v>385956</v>
      </c>
      <c r="W48" s="209">
        <v>364851</v>
      </c>
      <c r="X48" s="209">
        <v>245661</v>
      </c>
      <c r="Y48" s="209" t="s">
        <v>175</v>
      </c>
      <c r="Z48" s="209">
        <v>302879</v>
      </c>
      <c r="AA48" s="209">
        <v>283296</v>
      </c>
      <c r="AB48" s="210">
        <v>268271</v>
      </c>
      <c r="AC48" s="210">
        <v>254282</v>
      </c>
      <c r="AD48" s="210">
        <v>235263</v>
      </c>
      <c r="AE48" s="175"/>
      <c r="AF48" s="175"/>
      <c r="AG48" s="175"/>
    </row>
    <row r="49" spans="1:33" ht="21">
      <c r="A49" s="1" t="s">
        <v>275</v>
      </c>
      <c r="B49" s="205" t="s">
        <v>195</v>
      </c>
      <c r="C49" s="205" t="s">
        <v>195</v>
      </c>
      <c r="D49" s="206">
        <v>4061755</v>
      </c>
      <c r="E49" s="209">
        <v>325629</v>
      </c>
      <c r="F49" s="209">
        <v>319038</v>
      </c>
      <c r="G49" s="209">
        <v>326661</v>
      </c>
      <c r="H49" s="209">
        <v>334259</v>
      </c>
      <c r="I49" s="209">
        <v>347931</v>
      </c>
      <c r="J49" s="209">
        <v>363585</v>
      </c>
      <c r="K49" s="209">
        <v>354004</v>
      </c>
      <c r="L49" s="209">
        <v>356226</v>
      </c>
      <c r="M49" s="209">
        <v>366751</v>
      </c>
      <c r="N49" s="209">
        <v>367819</v>
      </c>
      <c r="O49" s="209">
        <v>348492</v>
      </c>
      <c r="P49" s="209">
        <v>348492</v>
      </c>
      <c r="Q49" s="209">
        <v>335143</v>
      </c>
      <c r="R49" s="209">
        <v>317443</v>
      </c>
      <c r="S49" s="209">
        <v>298826</v>
      </c>
      <c r="T49" s="209">
        <v>294231</v>
      </c>
      <c r="U49" s="209">
        <v>276407</v>
      </c>
      <c r="V49" s="209">
        <v>184568</v>
      </c>
      <c r="W49" s="209">
        <v>239388</v>
      </c>
      <c r="X49" s="209">
        <v>223180</v>
      </c>
      <c r="Y49" s="209">
        <v>208441</v>
      </c>
      <c r="Z49" s="209">
        <v>192903</v>
      </c>
      <c r="AA49" s="209">
        <v>180295</v>
      </c>
      <c r="AB49" s="210">
        <v>166826</v>
      </c>
      <c r="AC49" s="210">
        <v>153966</v>
      </c>
      <c r="AD49" s="210">
        <v>141535</v>
      </c>
      <c r="AE49" s="175"/>
      <c r="AF49" s="175"/>
      <c r="AG49" s="175"/>
    </row>
    <row r="50" spans="1:33" ht="21">
      <c r="A50" s="1" t="s">
        <v>275</v>
      </c>
      <c r="B50" s="205" t="s">
        <v>197</v>
      </c>
      <c r="C50" s="205" t="s">
        <v>197</v>
      </c>
      <c r="D50" s="206">
        <v>4004389</v>
      </c>
      <c r="E50" s="209">
        <v>379322</v>
      </c>
      <c r="F50" s="209">
        <v>366663</v>
      </c>
      <c r="G50" s="209">
        <v>354890</v>
      </c>
      <c r="H50" s="209">
        <v>333524</v>
      </c>
      <c r="I50" s="209">
        <v>321680</v>
      </c>
      <c r="J50" s="209">
        <v>316925</v>
      </c>
      <c r="K50" s="209">
        <v>305419</v>
      </c>
      <c r="L50" s="209">
        <v>283876</v>
      </c>
      <c r="M50" s="209">
        <v>272699</v>
      </c>
      <c r="N50" s="209">
        <v>260806</v>
      </c>
      <c r="O50" s="209">
        <v>248677</v>
      </c>
      <c r="P50" s="209">
        <v>237049</v>
      </c>
      <c r="Q50" s="209">
        <v>223428</v>
      </c>
      <c r="R50" s="209">
        <v>210758</v>
      </c>
      <c r="S50" s="209">
        <v>197519</v>
      </c>
      <c r="T50" s="209">
        <v>186576</v>
      </c>
      <c r="U50" s="209">
        <v>175327</v>
      </c>
      <c r="V50" s="209">
        <v>165793</v>
      </c>
      <c r="W50" s="209">
        <v>161184</v>
      </c>
      <c r="X50" s="209">
        <v>152464</v>
      </c>
      <c r="Y50" s="209" t="s">
        <v>175</v>
      </c>
      <c r="Z50" s="209">
        <v>134578</v>
      </c>
      <c r="AA50" s="209">
        <v>126733</v>
      </c>
      <c r="AB50" s="210">
        <v>118609</v>
      </c>
      <c r="AC50" s="210">
        <v>111549</v>
      </c>
      <c r="AD50" s="210">
        <v>105387</v>
      </c>
      <c r="AE50" s="175"/>
      <c r="AF50" s="175"/>
      <c r="AG50" s="175"/>
    </row>
    <row r="51" spans="1:33" ht="21">
      <c r="A51" s="1" t="s">
        <v>275</v>
      </c>
      <c r="B51" s="205" t="s">
        <v>198</v>
      </c>
      <c r="C51" s="205" t="s">
        <v>198</v>
      </c>
      <c r="D51" s="206">
        <v>4057014</v>
      </c>
      <c r="E51" s="209">
        <v>852599</v>
      </c>
      <c r="F51" s="209">
        <v>819260</v>
      </c>
      <c r="G51" s="209">
        <v>793728</v>
      </c>
      <c r="H51" s="209">
        <v>768267</v>
      </c>
      <c r="I51" s="209">
        <v>715306</v>
      </c>
      <c r="J51" s="209">
        <v>708737</v>
      </c>
      <c r="K51" s="209">
        <v>680206</v>
      </c>
      <c r="L51" s="209">
        <v>670201</v>
      </c>
      <c r="M51" s="209">
        <v>640257</v>
      </c>
      <c r="N51" s="209">
        <v>610795</v>
      </c>
      <c r="O51" s="209">
        <v>585952</v>
      </c>
      <c r="P51" s="209">
        <v>566170</v>
      </c>
      <c r="Q51" s="209">
        <v>541008</v>
      </c>
      <c r="R51" s="209">
        <v>516989</v>
      </c>
      <c r="S51" s="209">
        <v>507494</v>
      </c>
      <c r="T51" s="209">
        <v>477715</v>
      </c>
      <c r="U51" s="209">
        <v>452988</v>
      </c>
      <c r="V51" s="209">
        <v>430831</v>
      </c>
      <c r="W51" s="209">
        <v>406833</v>
      </c>
      <c r="X51" s="209">
        <v>402453</v>
      </c>
      <c r="Y51" s="209">
        <v>385008</v>
      </c>
      <c r="Z51" s="209">
        <v>363090</v>
      </c>
      <c r="AA51" s="209">
        <f>+(Z51+AB51)/2</f>
        <v>338949.5</v>
      </c>
      <c r="AB51" s="210">
        <v>314809</v>
      </c>
      <c r="AC51" s="210">
        <v>292139</v>
      </c>
      <c r="AD51" s="210">
        <v>272055</v>
      </c>
      <c r="AE51" s="175"/>
      <c r="AF51" s="175"/>
      <c r="AG51" s="175"/>
    </row>
    <row r="52" spans="1:33" ht="21">
      <c r="B52" s="205" t="s">
        <v>199</v>
      </c>
      <c r="C52" s="205" t="s">
        <v>199</v>
      </c>
      <c r="D52" s="206">
        <v>4057130</v>
      </c>
      <c r="E52" s="209">
        <v>209645</v>
      </c>
      <c r="F52" s="209">
        <v>198985</v>
      </c>
      <c r="G52" s="209">
        <v>188787</v>
      </c>
      <c r="H52" s="209">
        <v>171669</v>
      </c>
      <c r="I52" s="209">
        <v>166455</v>
      </c>
      <c r="J52" s="209">
        <v>162583</v>
      </c>
      <c r="K52" s="209">
        <v>158990</v>
      </c>
      <c r="L52" s="209">
        <v>155548</v>
      </c>
      <c r="M52" s="209">
        <v>150719</v>
      </c>
      <c r="N52" s="209">
        <v>145474</v>
      </c>
      <c r="O52" s="209">
        <v>140663</v>
      </c>
      <c r="P52" s="209">
        <v>134822</v>
      </c>
      <c r="Q52" s="209">
        <v>132473</v>
      </c>
      <c r="R52" s="209">
        <v>127799</v>
      </c>
      <c r="S52" s="209">
        <v>124453</v>
      </c>
      <c r="T52" s="209">
        <v>119745</v>
      </c>
      <c r="U52" s="209">
        <v>116771</v>
      </c>
      <c r="V52" s="209">
        <v>112894</v>
      </c>
      <c r="W52" s="209">
        <v>109058</v>
      </c>
      <c r="X52" s="209">
        <v>105452</v>
      </c>
      <c r="Y52" s="209">
        <v>101270</v>
      </c>
      <c r="Z52" s="209">
        <v>96082</v>
      </c>
      <c r="AA52" s="209">
        <v>90389</v>
      </c>
      <c r="AB52" s="210">
        <v>84899</v>
      </c>
      <c r="AC52" s="210">
        <v>79702</v>
      </c>
      <c r="AD52" s="210" t="s">
        <v>175</v>
      </c>
      <c r="AE52" s="175"/>
      <c r="AF52" s="175"/>
      <c r="AG52" s="175"/>
    </row>
    <row r="53" spans="1:33" ht="21">
      <c r="B53" s="205" t="s">
        <v>201</v>
      </c>
      <c r="C53" s="205" t="s">
        <v>201</v>
      </c>
      <c r="D53" s="206">
        <v>4057131</v>
      </c>
      <c r="E53" s="209">
        <v>2789253</v>
      </c>
      <c r="F53" s="209">
        <v>2710187</v>
      </c>
      <c r="G53" s="209">
        <v>2639154</v>
      </c>
      <c r="H53" s="209">
        <v>2573746</v>
      </c>
      <c r="I53" s="209">
        <v>2524941</v>
      </c>
      <c r="J53" s="209">
        <v>2471127</v>
      </c>
      <c r="K53" s="209">
        <v>2423803</v>
      </c>
      <c r="L53" s="209">
        <v>2349285</v>
      </c>
      <c r="M53" s="209">
        <v>2116200</v>
      </c>
      <c r="N53" s="209">
        <v>2016234</v>
      </c>
      <c r="O53" s="209">
        <v>1924415</v>
      </c>
      <c r="P53" s="209">
        <v>1832394</v>
      </c>
      <c r="Q53" s="209">
        <v>1754092</v>
      </c>
      <c r="R53" s="209">
        <v>1675408</v>
      </c>
      <c r="S53" s="209">
        <v>1588374</v>
      </c>
      <c r="T53" s="209">
        <v>1501953</v>
      </c>
      <c r="U53" s="209">
        <v>1507331</v>
      </c>
      <c r="V53" s="209">
        <v>1423003</v>
      </c>
      <c r="W53" s="209">
        <v>1344731</v>
      </c>
      <c r="X53" s="209">
        <v>1268622</v>
      </c>
      <c r="Y53" s="209">
        <v>1181107</v>
      </c>
      <c r="Z53" s="209">
        <v>1107660</v>
      </c>
      <c r="AA53" s="209">
        <v>1040376</v>
      </c>
      <c r="AB53" s="210">
        <v>966695</v>
      </c>
      <c r="AC53" s="210">
        <v>894951</v>
      </c>
      <c r="AD53" s="210">
        <v>827017</v>
      </c>
      <c r="AE53" s="175"/>
      <c r="AF53" s="175"/>
      <c r="AG53" s="175"/>
    </row>
    <row r="54" spans="1:33" ht="21">
      <c r="B54" s="205" t="s">
        <v>202</v>
      </c>
      <c r="C54" s="205" t="s">
        <v>202</v>
      </c>
      <c r="D54" s="206">
        <v>4012860</v>
      </c>
      <c r="E54" s="209">
        <v>1182511</v>
      </c>
      <c r="F54" s="209">
        <v>1168899</v>
      </c>
      <c r="G54" s="209">
        <v>1142437</v>
      </c>
      <c r="H54" s="209">
        <v>1144589</v>
      </c>
      <c r="I54" s="209">
        <v>1165320</v>
      </c>
      <c r="J54" s="209">
        <v>1187830</v>
      </c>
      <c r="K54" s="209">
        <v>1203051</v>
      </c>
      <c r="L54" s="209">
        <v>1213218</v>
      </c>
      <c r="M54" s="209">
        <v>1240285</v>
      </c>
      <c r="N54" s="209">
        <v>1256274</v>
      </c>
      <c r="O54" s="209">
        <v>1198204</v>
      </c>
      <c r="P54" s="209">
        <v>1143360</v>
      </c>
      <c r="Q54" s="209">
        <v>1081021</v>
      </c>
      <c r="R54" s="209">
        <v>1010440</v>
      </c>
      <c r="S54" s="209">
        <v>949185</v>
      </c>
      <c r="T54" s="209">
        <v>890318</v>
      </c>
      <c r="U54" s="209">
        <v>832691</v>
      </c>
      <c r="V54" s="209">
        <v>776416</v>
      </c>
      <c r="W54" s="209">
        <v>724461</v>
      </c>
      <c r="X54" s="209">
        <v>740726</v>
      </c>
      <c r="Y54" s="209">
        <v>624198</v>
      </c>
      <c r="Z54" s="209">
        <v>576582</v>
      </c>
      <c r="AA54" s="209">
        <v>532951</v>
      </c>
      <c r="AB54" s="210">
        <v>488080</v>
      </c>
      <c r="AC54" s="210">
        <v>444631</v>
      </c>
      <c r="AD54" s="210">
        <v>403829</v>
      </c>
      <c r="AE54" s="175"/>
      <c r="AF54" s="175"/>
      <c r="AG54" s="175"/>
    </row>
    <row r="55" spans="1:33" ht="21">
      <c r="B55" s="205" t="s">
        <v>204</v>
      </c>
      <c r="C55" s="205" t="s">
        <v>205</v>
      </c>
      <c r="D55" s="206">
        <v>4061925</v>
      </c>
      <c r="E55" s="209">
        <v>166579</v>
      </c>
      <c r="F55" s="209">
        <v>158478</v>
      </c>
      <c r="G55" s="209">
        <v>150417</v>
      </c>
      <c r="H55" s="209">
        <v>143328</v>
      </c>
      <c r="I55" s="209">
        <v>138105</v>
      </c>
      <c r="J55" s="209">
        <v>133090</v>
      </c>
      <c r="K55" s="209">
        <v>127059</v>
      </c>
      <c r="L55" s="209">
        <v>121224</v>
      </c>
      <c r="M55" s="209">
        <v>114575</v>
      </c>
      <c r="N55" s="209">
        <v>108108</v>
      </c>
      <c r="O55" s="209">
        <v>102130</v>
      </c>
      <c r="P55" s="209">
        <v>94963</v>
      </c>
      <c r="Q55" s="209">
        <v>89674</v>
      </c>
      <c r="R55" s="209">
        <v>84375</v>
      </c>
      <c r="S55" s="209">
        <v>78931</v>
      </c>
      <c r="T55" s="209">
        <v>74054</v>
      </c>
      <c r="U55" s="209">
        <v>69053</v>
      </c>
      <c r="V55" s="209">
        <v>63727</v>
      </c>
      <c r="W55" s="209">
        <v>59655</v>
      </c>
      <c r="X55" s="209">
        <v>55568</v>
      </c>
      <c r="Y55" s="209">
        <v>51310</v>
      </c>
      <c r="Z55" s="209">
        <v>47841</v>
      </c>
      <c r="AA55" s="209">
        <v>44476</v>
      </c>
      <c r="AB55" s="210">
        <v>40372</v>
      </c>
      <c r="AC55" s="210">
        <v>36790</v>
      </c>
      <c r="AD55" s="210">
        <v>33471</v>
      </c>
      <c r="AE55" s="175"/>
      <c r="AF55" s="175"/>
      <c r="AG55" s="175"/>
    </row>
    <row r="56" spans="1:33" ht="21">
      <c r="B56" s="205" t="s">
        <v>293</v>
      </c>
      <c r="C56" s="205" t="s">
        <v>293</v>
      </c>
      <c r="D56" s="206">
        <v>4057132</v>
      </c>
      <c r="E56" s="209" t="s">
        <v>175</v>
      </c>
      <c r="F56" s="209" t="s">
        <v>175</v>
      </c>
      <c r="G56" s="209" t="s">
        <v>175</v>
      </c>
      <c r="H56" s="209">
        <v>1030346</v>
      </c>
      <c r="I56" s="209">
        <v>981401</v>
      </c>
      <c r="J56" s="209">
        <v>943450</v>
      </c>
      <c r="K56" s="209">
        <v>903901</v>
      </c>
      <c r="L56" s="209">
        <v>869551</v>
      </c>
      <c r="M56" s="209">
        <v>830897</v>
      </c>
      <c r="N56" s="209">
        <v>795422</v>
      </c>
      <c r="O56" s="209">
        <v>756342</v>
      </c>
      <c r="P56" s="209">
        <v>720918</v>
      </c>
      <c r="Q56" s="209">
        <v>692897</v>
      </c>
      <c r="R56" s="209" t="s">
        <v>175</v>
      </c>
      <c r="S56" s="209" t="s">
        <v>175</v>
      </c>
      <c r="T56" s="209" t="s">
        <v>175</v>
      </c>
      <c r="U56" s="209" t="s">
        <v>175</v>
      </c>
      <c r="V56" s="209" t="s">
        <v>175</v>
      </c>
      <c r="W56" s="209">
        <v>446317</v>
      </c>
      <c r="X56" s="209">
        <v>412142</v>
      </c>
      <c r="Y56" s="209">
        <v>380213</v>
      </c>
      <c r="Z56" s="209">
        <v>350155</v>
      </c>
      <c r="AA56" s="209">
        <v>322805</v>
      </c>
      <c r="AB56" s="210">
        <v>295290</v>
      </c>
      <c r="AC56" s="210">
        <v>270027</v>
      </c>
      <c r="AD56" s="210">
        <v>246120</v>
      </c>
      <c r="AE56" s="175"/>
      <c r="AF56" s="175"/>
      <c r="AG56" s="175"/>
    </row>
    <row r="57" spans="1:33" ht="21">
      <c r="A57" s="1" t="s">
        <v>275</v>
      </c>
      <c r="B57" s="205" t="s">
        <v>294</v>
      </c>
      <c r="C57" s="205" t="s">
        <v>294</v>
      </c>
      <c r="D57" s="206">
        <v>4057115</v>
      </c>
      <c r="E57" s="209" t="s">
        <v>175</v>
      </c>
      <c r="F57" s="209" t="s">
        <v>175</v>
      </c>
      <c r="G57" s="209" t="s">
        <v>175</v>
      </c>
      <c r="H57" s="209" t="s">
        <v>175</v>
      </c>
      <c r="I57" s="209" t="s">
        <v>175</v>
      </c>
      <c r="J57" s="209" t="s">
        <v>175</v>
      </c>
      <c r="K57" s="209" t="s">
        <v>175</v>
      </c>
      <c r="L57" s="209" t="s">
        <v>175</v>
      </c>
      <c r="M57" s="209" t="s">
        <v>175</v>
      </c>
      <c r="N57" s="209" t="s">
        <v>175</v>
      </c>
      <c r="O57" s="209" t="s">
        <v>175</v>
      </c>
      <c r="P57" s="209" t="s">
        <v>175</v>
      </c>
      <c r="Q57" s="209" t="s">
        <v>175</v>
      </c>
      <c r="R57" s="209" t="s">
        <v>175</v>
      </c>
      <c r="S57" s="209" t="s">
        <v>175</v>
      </c>
      <c r="T57" s="209" t="s">
        <v>175</v>
      </c>
      <c r="U57" s="209" t="s">
        <v>175</v>
      </c>
      <c r="V57" s="209" t="s">
        <v>175</v>
      </c>
      <c r="W57" s="209" t="s">
        <v>175</v>
      </c>
      <c r="X57" s="209" t="s">
        <v>175</v>
      </c>
      <c r="Y57" s="209" t="s">
        <v>175</v>
      </c>
      <c r="Z57" s="209" t="s">
        <v>175</v>
      </c>
      <c r="AA57" s="209" t="s">
        <v>175</v>
      </c>
      <c r="AB57" s="210" t="s">
        <v>175</v>
      </c>
      <c r="AC57" s="210" t="s">
        <v>175</v>
      </c>
      <c r="AD57" s="210" t="s">
        <v>175</v>
      </c>
      <c r="AE57" s="175"/>
      <c r="AF57" s="175"/>
      <c r="AG57" s="175"/>
    </row>
    <row r="58" spans="1:33" ht="21">
      <c r="B58" s="205" t="s">
        <v>206</v>
      </c>
      <c r="C58" s="205" t="s">
        <v>206</v>
      </c>
      <c r="D58" s="206">
        <v>4064479</v>
      </c>
      <c r="E58" s="209">
        <v>58845</v>
      </c>
      <c r="F58" s="209">
        <v>57127</v>
      </c>
      <c r="G58" s="209">
        <v>54935</v>
      </c>
      <c r="H58" s="209">
        <v>52807</v>
      </c>
      <c r="I58" s="209">
        <v>50183</v>
      </c>
      <c r="J58" s="209">
        <v>46290</v>
      </c>
      <c r="K58" s="209">
        <v>44646</v>
      </c>
      <c r="L58" s="209">
        <v>42905</v>
      </c>
      <c r="M58" s="209">
        <v>41400</v>
      </c>
      <c r="N58" s="209">
        <v>39886</v>
      </c>
      <c r="O58" s="209">
        <v>38231</v>
      </c>
      <c r="P58" s="209">
        <v>36604</v>
      </c>
      <c r="Q58" s="209">
        <v>35048</v>
      </c>
      <c r="R58" s="209">
        <v>33592</v>
      </c>
      <c r="S58" s="209">
        <v>32120</v>
      </c>
      <c r="T58" s="209">
        <v>30695</v>
      </c>
      <c r="U58" s="209">
        <v>29337</v>
      </c>
      <c r="V58" s="209">
        <v>28327</v>
      </c>
      <c r="W58" s="209">
        <v>27003</v>
      </c>
      <c r="X58" s="209">
        <v>25562</v>
      </c>
      <c r="Y58" s="209">
        <v>24148</v>
      </c>
      <c r="Z58" s="209">
        <v>22769</v>
      </c>
      <c r="AA58" s="209">
        <v>21517</v>
      </c>
      <c r="AB58" s="210">
        <v>20263</v>
      </c>
      <c r="AC58" s="210">
        <v>19078</v>
      </c>
      <c r="AD58" s="210">
        <v>18003</v>
      </c>
      <c r="AE58" s="175"/>
      <c r="AF58" s="175"/>
      <c r="AG58" s="175"/>
    </row>
    <row r="59" spans="1:33" ht="21">
      <c r="B59" s="205" t="s">
        <v>295</v>
      </c>
      <c r="C59" s="205" t="s">
        <v>295</v>
      </c>
      <c r="D59" s="206">
        <v>4062025</v>
      </c>
      <c r="E59" s="209" t="s">
        <v>175</v>
      </c>
      <c r="F59" s="209" t="s">
        <v>175</v>
      </c>
      <c r="G59" s="209" t="s">
        <v>175</v>
      </c>
      <c r="H59" s="209" t="s">
        <v>175</v>
      </c>
      <c r="I59" s="209" t="s">
        <v>175</v>
      </c>
      <c r="J59" s="209" t="s">
        <v>175</v>
      </c>
      <c r="K59" s="209" t="s">
        <v>175</v>
      </c>
      <c r="L59" s="209" t="s">
        <v>175</v>
      </c>
      <c r="M59" s="209" t="s">
        <v>175</v>
      </c>
      <c r="N59" s="209" t="s">
        <v>175</v>
      </c>
      <c r="O59" s="209" t="s">
        <v>175</v>
      </c>
      <c r="P59" s="209" t="s">
        <v>175</v>
      </c>
      <c r="Q59" s="209" t="s">
        <v>175</v>
      </c>
      <c r="R59" s="209" t="s">
        <v>175</v>
      </c>
      <c r="S59" s="209" t="s">
        <v>175</v>
      </c>
      <c r="T59" s="209" t="s">
        <v>175</v>
      </c>
      <c r="U59" s="209" t="s">
        <v>175</v>
      </c>
      <c r="V59" s="209" t="s">
        <v>175</v>
      </c>
      <c r="W59" s="209" t="s">
        <v>175</v>
      </c>
      <c r="X59" s="209" t="s">
        <v>175</v>
      </c>
      <c r="Y59" s="209" t="s">
        <v>175</v>
      </c>
      <c r="Z59" s="209" t="s">
        <v>175</v>
      </c>
      <c r="AA59" s="209" t="s">
        <v>175</v>
      </c>
      <c r="AB59" s="210" t="s">
        <v>175</v>
      </c>
      <c r="AC59" s="210" t="s">
        <v>175</v>
      </c>
      <c r="AD59" s="210" t="s">
        <v>175</v>
      </c>
      <c r="AE59" s="175"/>
      <c r="AF59" s="175"/>
      <c r="AG59" s="175"/>
    </row>
    <row r="60" spans="1:33" ht="21">
      <c r="B60" s="205" t="s">
        <v>296</v>
      </c>
      <c r="C60" s="205" t="s">
        <v>296</v>
      </c>
      <c r="D60" s="206">
        <v>4064481</v>
      </c>
      <c r="E60" s="209" t="s">
        <v>175</v>
      </c>
      <c r="F60" s="209" t="s">
        <v>175</v>
      </c>
      <c r="G60" s="209">
        <v>679607</v>
      </c>
      <c r="H60" s="209">
        <v>647566</v>
      </c>
      <c r="I60" s="209">
        <v>619953</v>
      </c>
      <c r="J60" s="209">
        <v>594234</v>
      </c>
      <c r="K60" s="209">
        <v>566418</v>
      </c>
      <c r="L60" s="209">
        <v>539580</v>
      </c>
      <c r="M60" s="209">
        <v>516584</v>
      </c>
      <c r="N60" s="209">
        <v>490334</v>
      </c>
      <c r="O60" s="209">
        <v>466273</v>
      </c>
      <c r="P60" s="209">
        <v>444965</v>
      </c>
      <c r="Q60" s="209">
        <v>422783</v>
      </c>
      <c r="R60" s="209">
        <v>407928</v>
      </c>
      <c r="S60" s="209">
        <v>392273</v>
      </c>
      <c r="T60" s="209">
        <v>374538</v>
      </c>
      <c r="U60" s="209">
        <v>358725</v>
      </c>
      <c r="V60" s="209">
        <v>339386</v>
      </c>
      <c r="W60" s="209">
        <v>325559</v>
      </c>
      <c r="X60" s="209">
        <v>313984</v>
      </c>
      <c r="Y60" s="209">
        <v>297753</v>
      </c>
      <c r="Z60" s="209">
        <v>268743</v>
      </c>
      <c r="AA60" s="209">
        <v>267162</v>
      </c>
      <c r="AB60" s="210">
        <v>250625</v>
      </c>
      <c r="AC60" s="210" t="s">
        <v>175</v>
      </c>
      <c r="AD60" s="210" t="s">
        <v>175</v>
      </c>
      <c r="AE60" s="175"/>
      <c r="AF60" s="175"/>
      <c r="AG60" s="175"/>
    </row>
    <row r="61" spans="1:33" ht="21">
      <c r="A61" s="1" t="s">
        <v>275</v>
      </c>
      <c r="B61" s="205" t="s">
        <v>207</v>
      </c>
      <c r="C61" s="205" t="s">
        <v>207</v>
      </c>
      <c r="D61" s="206">
        <v>4057093</v>
      </c>
      <c r="E61" s="209">
        <v>248466</v>
      </c>
      <c r="F61" s="209">
        <v>232409</v>
      </c>
      <c r="G61" s="209">
        <v>218345</v>
      </c>
      <c r="H61" s="209">
        <v>204495</v>
      </c>
      <c r="I61" s="209">
        <v>192952</v>
      </c>
      <c r="J61" s="209">
        <v>182850</v>
      </c>
      <c r="K61" s="209">
        <v>172524</v>
      </c>
      <c r="L61" s="209">
        <v>160680</v>
      </c>
      <c r="M61" s="209">
        <v>150997</v>
      </c>
      <c r="N61" s="209">
        <v>141399</v>
      </c>
      <c r="O61" s="209">
        <v>132175</v>
      </c>
      <c r="P61" s="209">
        <v>125793</v>
      </c>
      <c r="Q61" s="209">
        <v>118144</v>
      </c>
      <c r="R61" s="209">
        <v>111909</v>
      </c>
      <c r="S61" s="209">
        <v>105825</v>
      </c>
      <c r="T61" s="209">
        <v>100043</v>
      </c>
      <c r="U61" s="209">
        <v>94346</v>
      </c>
      <c r="V61" s="209">
        <v>91707</v>
      </c>
      <c r="W61" s="209">
        <v>86088</v>
      </c>
      <c r="X61" s="209">
        <v>80826</v>
      </c>
      <c r="Y61" s="209">
        <v>75818</v>
      </c>
      <c r="Z61" s="209">
        <v>79136</v>
      </c>
      <c r="AA61" s="209">
        <v>76852</v>
      </c>
      <c r="AB61" s="210">
        <v>71856</v>
      </c>
      <c r="AC61" s="210">
        <v>67237</v>
      </c>
      <c r="AD61" s="210">
        <v>62650</v>
      </c>
      <c r="AE61" s="175"/>
      <c r="AF61" s="175"/>
      <c r="AG61" s="175"/>
    </row>
    <row r="62" spans="1:33" ht="21">
      <c r="B62" s="205" t="s">
        <v>208</v>
      </c>
      <c r="C62" s="205" t="s">
        <v>208</v>
      </c>
      <c r="D62" s="206">
        <v>4004218</v>
      </c>
      <c r="E62" s="209">
        <v>5894624</v>
      </c>
      <c r="F62" s="209">
        <v>5623609</v>
      </c>
      <c r="G62" s="209">
        <v>5344337</v>
      </c>
      <c r="H62" s="209">
        <v>5099734</v>
      </c>
      <c r="I62" s="209">
        <v>4849089</v>
      </c>
      <c r="J62" s="209">
        <v>4600948</v>
      </c>
      <c r="K62" s="209">
        <v>4370240</v>
      </c>
      <c r="L62" s="209">
        <v>4183610</v>
      </c>
      <c r="M62" s="209">
        <v>4020208</v>
      </c>
      <c r="N62" s="209">
        <v>3866243</v>
      </c>
      <c r="O62" s="209">
        <v>3684266</v>
      </c>
      <c r="P62" s="209">
        <v>3531979</v>
      </c>
      <c r="Q62" s="209">
        <v>3398647</v>
      </c>
      <c r="R62" s="209">
        <v>3269324</v>
      </c>
      <c r="S62" s="209">
        <v>3129244</v>
      </c>
      <c r="T62" s="209">
        <v>3005126</v>
      </c>
      <c r="U62" s="209">
        <v>2860618</v>
      </c>
      <c r="V62" s="209">
        <v>1863258</v>
      </c>
      <c r="W62" s="209">
        <v>2659445</v>
      </c>
      <c r="X62" s="209">
        <v>2500812</v>
      </c>
      <c r="Y62" s="209">
        <v>2352959</v>
      </c>
      <c r="Z62" s="209">
        <v>2207806</v>
      </c>
      <c r="AA62" s="209">
        <v>2096630</v>
      </c>
      <c r="AB62" s="210">
        <v>2060491</v>
      </c>
      <c r="AC62" s="210">
        <v>1922742</v>
      </c>
      <c r="AD62" s="210">
        <v>1788439</v>
      </c>
      <c r="AE62" s="175"/>
      <c r="AF62" s="175"/>
      <c r="AG62" s="175"/>
    </row>
    <row r="63" spans="1:33" ht="21">
      <c r="A63" s="1" t="s">
        <v>275</v>
      </c>
      <c r="B63" s="205" t="s">
        <v>297</v>
      </c>
      <c r="C63" s="205" t="s">
        <v>298</v>
      </c>
      <c r="D63" s="206">
        <v>4062222</v>
      </c>
      <c r="E63" s="209" t="s">
        <v>175</v>
      </c>
      <c r="F63" s="209" t="s">
        <v>175</v>
      </c>
      <c r="G63" s="209" t="s">
        <v>175</v>
      </c>
      <c r="H63" s="209" t="s">
        <v>175</v>
      </c>
      <c r="I63" s="209" t="s">
        <v>175</v>
      </c>
      <c r="J63" s="209" t="s">
        <v>175</v>
      </c>
      <c r="K63" s="209" t="s">
        <v>175</v>
      </c>
      <c r="L63" s="209" t="s">
        <v>175</v>
      </c>
      <c r="M63" s="209" t="s">
        <v>175</v>
      </c>
      <c r="N63" s="209" t="s">
        <v>175</v>
      </c>
      <c r="O63" s="209" t="s">
        <v>175</v>
      </c>
      <c r="P63" s="209" t="s">
        <v>175</v>
      </c>
      <c r="Q63" s="209" t="s">
        <v>175</v>
      </c>
      <c r="R63" s="209" t="s">
        <v>175</v>
      </c>
      <c r="S63" s="209" t="s">
        <v>175</v>
      </c>
      <c r="T63" s="209" t="s">
        <v>175</v>
      </c>
      <c r="U63" s="209" t="s">
        <v>175</v>
      </c>
      <c r="V63" s="209" t="s">
        <v>175</v>
      </c>
      <c r="W63" s="209" t="s">
        <v>175</v>
      </c>
      <c r="X63" s="209" t="s">
        <v>175</v>
      </c>
      <c r="Y63" s="209" t="s">
        <v>175</v>
      </c>
      <c r="Z63" s="209" t="s">
        <v>175</v>
      </c>
      <c r="AA63" s="209" t="s">
        <v>175</v>
      </c>
      <c r="AB63" s="210" t="s">
        <v>175</v>
      </c>
      <c r="AC63" s="210" t="s">
        <v>175</v>
      </c>
      <c r="AD63" s="210" t="s">
        <v>175</v>
      </c>
      <c r="AE63" s="175"/>
      <c r="AF63" s="175"/>
      <c r="AG63" s="175"/>
    </row>
    <row r="64" spans="1:33" ht="21">
      <c r="B64" s="205" t="s">
        <v>210</v>
      </c>
      <c r="C64" s="205" t="s">
        <v>211</v>
      </c>
      <c r="D64" s="206">
        <v>4057135</v>
      </c>
      <c r="E64" s="209">
        <v>1239365</v>
      </c>
      <c r="F64" s="209">
        <v>1175936</v>
      </c>
      <c r="G64" s="209">
        <v>1103891</v>
      </c>
      <c r="H64" s="209">
        <v>1015905</v>
      </c>
      <c r="I64" s="209">
        <v>954359</v>
      </c>
      <c r="J64" s="209">
        <v>908933</v>
      </c>
      <c r="K64" s="209">
        <v>883686</v>
      </c>
      <c r="L64" s="209">
        <v>853597</v>
      </c>
      <c r="M64" s="209">
        <v>822936</v>
      </c>
      <c r="N64" s="209">
        <v>803704</v>
      </c>
      <c r="O64" s="209">
        <v>778105</v>
      </c>
      <c r="P64" s="209">
        <v>732535</v>
      </c>
      <c r="Q64" s="209">
        <v>709147</v>
      </c>
      <c r="R64" s="209">
        <v>682590</v>
      </c>
      <c r="S64" s="209">
        <v>666881</v>
      </c>
      <c r="T64" s="209">
        <v>635733</v>
      </c>
      <c r="U64" s="209">
        <v>612763</v>
      </c>
      <c r="V64" s="209">
        <v>588522</v>
      </c>
      <c r="W64" s="209">
        <v>565543</v>
      </c>
      <c r="X64" s="209">
        <v>544737</v>
      </c>
      <c r="Y64" s="209">
        <v>520985</v>
      </c>
      <c r="Z64" s="209">
        <v>491646</v>
      </c>
      <c r="AA64" s="209">
        <v>461009</v>
      </c>
      <c r="AB64" s="210">
        <v>431197</v>
      </c>
      <c r="AC64" s="210">
        <v>401505</v>
      </c>
      <c r="AD64" s="210">
        <v>375575</v>
      </c>
      <c r="AE64" s="175"/>
      <c r="AF64" s="175"/>
      <c r="AG64" s="175"/>
    </row>
    <row r="65" spans="1:33" ht="21">
      <c r="B65" s="205" t="s">
        <v>212</v>
      </c>
      <c r="C65" s="205" t="s">
        <v>212</v>
      </c>
      <c r="D65" s="206">
        <v>4063341</v>
      </c>
      <c r="E65" s="209">
        <v>761968</v>
      </c>
      <c r="F65" s="209">
        <v>737863</v>
      </c>
      <c r="G65" s="209">
        <v>716667</v>
      </c>
      <c r="H65" s="209">
        <v>683169</v>
      </c>
      <c r="I65" s="209">
        <v>659288</v>
      </c>
      <c r="J65" s="209">
        <v>632212</v>
      </c>
      <c r="K65" s="209">
        <v>591363</v>
      </c>
      <c r="L65" s="209">
        <v>553400</v>
      </c>
      <c r="M65" s="209">
        <v>536373</v>
      </c>
      <c r="N65" s="209">
        <v>473465</v>
      </c>
      <c r="O65" s="209">
        <v>439314</v>
      </c>
      <c r="P65" s="209">
        <v>404540</v>
      </c>
      <c r="Q65" s="209">
        <v>372292</v>
      </c>
      <c r="R65" s="209">
        <v>375308</v>
      </c>
      <c r="S65" s="209">
        <v>317020</v>
      </c>
      <c r="T65" s="209">
        <v>292024</v>
      </c>
      <c r="U65" s="209">
        <v>272786</v>
      </c>
      <c r="V65" s="209">
        <v>253590</v>
      </c>
      <c r="W65" s="209">
        <v>217568</v>
      </c>
      <c r="X65" s="209" t="s">
        <v>175</v>
      </c>
      <c r="Y65" s="209" t="s">
        <v>175</v>
      </c>
      <c r="Z65" s="209">
        <v>187152</v>
      </c>
      <c r="AA65" s="209">
        <v>172412</v>
      </c>
      <c r="AB65" s="210" t="s">
        <v>175</v>
      </c>
      <c r="AC65" s="210" t="s">
        <v>175</v>
      </c>
      <c r="AD65" s="210" t="s">
        <v>175</v>
      </c>
      <c r="AE65" s="175"/>
      <c r="AF65" s="175"/>
      <c r="AG65" s="175"/>
    </row>
    <row r="66" spans="1:33" ht="21">
      <c r="A66" s="1" t="s">
        <v>275</v>
      </c>
      <c r="B66" s="205" t="s">
        <v>299</v>
      </c>
      <c r="C66" s="205" t="s">
        <v>299</v>
      </c>
      <c r="D66" s="206">
        <v>4083575</v>
      </c>
      <c r="E66" s="209" t="s">
        <v>175</v>
      </c>
      <c r="F66" s="209" t="s">
        <v>175</v>
      </c>
      <c r="G66" s="209" t="s">
        <v>175</v>
      </c>
      <c r="H66" s="209" t="s">
        <v>175</v>
      </c>
      <c r="I66" s="209" t="s">
        <v>175</v>
      </c>
      <c r="J66" s="209" t="s">
        <v>175</v>
      </c>
      <c r="K66" s="209" t="s">
        <v>175</v>
      </c>
      <c r="L66" s="209" t="s">
        <v>175</v>
      </c>
      <c r="M66" s="209" t="s">
        <v>175</v>
      </c>
      <c r="N66" s="209" t="s">
        <v>175</v>
      </c>
      <c r="O66" s="209" t="s">
        <v>175</v>
      </c>
      <c r="P66" s="209" t="s">
        <v>175</v>
      </c>
      <c r="Q66" s="209" t="s">
        <v>175</v>
      </c>
      <c r="R66" s="209" t="s">
        <v>175</v>
      </c>
      <c r="S66" s="209" t="s">
        <v>175</v>
      </c>
      <c r="T66" s="209" t="s">
        <v>175</v>
      </c>
      <c r="U66" s="209" t="s">
        <v>175</v>
      </c>
      <c r="V66" s="209" t="s">
        <v>175</v>
      </c>
      <c r="W66" s="209" t="s">
        <v>175</v>
      </c>
      <c r="X66" s="209" t="s">
        <v>175</v>
      </c>
      <c r="Y66" s="209" t="s">
        <v>175</v>
      </c>
      <c r="Z66" s="209" t="s">
        <v>175</v>
      </c>
      <c r="AA66" s="209" t="s">
        <v>175</v>
      </c>
      <c r="AB66" s="210" t="s">
        <v>175</v>
      </c>
      <c r="AC66" s="210" t="s">
        <v>175</v>
      </c>
      <c r="AD66" s="210" t="s">
        <v>175</v>
      </c>
      <c r="AE66" s="175"/>
      <c r="AF66" s="175"/>
      <c r="AG66" s="175"/>
    </row>
    <row r="67" spans="1:33" ht="21">
      <c r="B67" s="205" t="s">
        <v>300</v>
      </c>
      <c r="C67" s="205" t="s">
        <v>300</v>
      </c>
      <c r="D67" s="206">
        <v>4062303</v>
      </c>
      <c r="E67" s="209" t="s">
        <v>175</v>
      </c>
      <c r="F67" s="209" t="s">
        <v>175</v>
      </c>
      <c r="G67" s="209" t="s">
        <v>175</v>
      </c>
      <c r="H67" s="209" t="s">
        <v>175</v>
      </c>
      <c r="I67" s="209" t="s">
        <v>175</v>
      </c>
      <c r="J67" s="209" t="s">
        <v>175</v>
      </c>
      <c r="K67" s="209" t="s">
        <v>175</v>
      </c>
      <c r="L67" s="209" t="s">
        <v>175</v>
      </c>
      <c r="M67" s="209" t="s">
        <v>175</v>
      </c>
      <c r="N67" s="209" t="s">
        <v>175</v>
      </c>
      <c r="O67" s="209" t="s">
        <v>175</v>
      </c>
      <c r="P67" s="209" t="s">
        <v>175</v>
      </c>
      <c r="Q67" s="209" t="s">
        <v>175</v>
      </c>
      <c r="R67" s="209" t="s">
        <v>175</v>
      </c>
      <c r="S67" s="209" t="s">
        <v>175</v>
      </c>
      <c r="T67" s="209" t="s">
        <v>175</v>
      </c>
      <c r="U67" s="209" t="s">
        <v>175</v>
      </c>
      <c r="V67" s="209" t="s">
        <v>175</v>
      </c>
      <c r="W67" s="209" t="s">
        <v>175</v>
      </c>
      <c r="X67" s="209" t="s">
        <v>175</v>
      </c>
      <c r="Y67" s="209" t="s">
        <v>175</v>
      </c>
      <c r="Z67" s="209" t="s">
        <v>175</v>
      </c>
      <c r="AA67" s="209" t="s">
        <v>175</v>
      </c>
      <c r="AB67" s="210" t="s">
        <v>175</v>
      </c>
      <c r="AC67" s="210" t="s">
        <v>175</v>
      </c>
      <c r="AD67" s="210" t="s">
        <v>175</v>
      </c>
      <c r="AE67" s="175"/>
      <c r="AF67" s="175"/>
      <c r="AG67" s="175"/>
    </row>
    <row r="68" spans="1:33" ht="21">
      <c r="B68" s="205" t="s">
        <v>301</v>
      </c>
      <c r="C68" s="205" t="s">
        <v>301</v>
      </c>
      <c r="D68" s="206">
        <v>4083581</v>
      </c>
      <c r="E68" s="209">
        <v>1923</v>
      </c>
      <c r="F68" s="209">
        <v>1640</v>
      </c>
      <c r="G68" s="209">
        <v>1368</v>
      </c>
      <c r="H68" s="209">
        <v>1102</v>
      </c>
      <c r="I68" s="209">
        <v>858</v>
      </c>
      <c r="J68" s="209">
        <v>634</v>
      </c>
      <c r="K68" s="209">
        <v>429</v>
      </c>
      <c r="L68" s="209">
        <v>3542</v>
      </c>
      <c r="M68" s="209">
        <v>3542</v>
      </c>
      <c r="N68" s="209">
        <v>3475</v>
      </c>
      <c r="O68" s="209">
        <v>3368</v>
      </c>
      <c r="P68" s="209">
        <v>3235</v>
      </c>
      <c r="Q68" s="209">
        <v>3103</v>
      </c>
      <c r="R68" s="209">
        <v>2971</v>
      </c>
      <c r="S68" s="209">
        <v>2843</v>
      </c>
      <c r="T68" s="209">
        <v>2737</v>
      </c>
      <c r="U68" s="209">
        <v>2594</v>
      </c>
      <c r="V68" s="209">
        <v>2470</v>
      </c>
      <c r="W68" s="209">
        <v>2340</v>
      </c>
      <c r="X68" s="209">
        <v>2232</v>
      </c>
      <c r="Y68" s="209" t="s">
        <v>175</v>
      </c>
      <c r="Z68" s="209" t="s">
        <v>175</v>
      </c>
      <c r="AA68" s="209" t="s">
        <v>175</v>
      </c>
      <c r="AB68" s="210" t="s">
        <v>175</v>
      </c>
      <c r="AC68" s="210" t="s">
        <v>175</v>
      </c>
      <c r="AD68" s="210" t="s">
        <v>175</v>
      </c>
      <c r="AE68" s="175"/>
      <c r="AF68" s="175"/>
      <c r="AG68" s="175"/>
    </row>
    <row r="69" spans="1:33" ht="21">
      <c r="B69" s="205" t="s">
        <v>214</v>
      </c>
      <c r="C69" s="205" t="s">
        <v>214</v>
      </c>
      <c r="D69" s="206">
        <v>4057139</v>
      </c>
      <c r="E69" s="209">
        <v>717734</v>
      </c>
      <c r="F69" s="209">
        <v>679096</v>
      </c>
      <c r="G69" s="209">
        <v>648858</v>
      </c>
      <c r="H69" s="209">
        <v>620171</v>
      </c>
      <c r="I69" s="209">
        <v>594714</v>
      </c>
      <c r="J69" s="209">
        <v>565253</v>
      </c>
      <c r="K69" s="209">
        <v>531482</v>
      </c>
      <c r="L69" s="209">
        <v>261740</v>
      </c>
      <c r="M69" s="209">
        <v>244495</v>
      </c>
      <c r="N69" s="209">
        <v>228187</v>
      </c>
      <c r="O69" s="209">
        <v>214896</v>
      </c>
      <c r="P69" s="209">
        <v>199152</v>
      </c>
      <c r="Q69" s="209">
        <v>183712</v>
      </c>
      <c r="R69" s="209">
        <v>163342</v>
      </c>
      <c r="S69" s="209">
        <v>152479</v>
      </c>
      <c r="T69" s="209">
        <v>138825</v>
      </c>
      <c r="U69" s="209">
        <v>253508</v>
      </c>
      <c r="V69" s="209">
        <v>234508</v>
      </c>
      <c r="W69" s="209">
        <v>213211</v>
      </c>
      <c r="X69" s="209">
        <v>194158</v>
      </c>
      <c r="Y69" s="209">
        <v>177315</v>
      </c>
      <c r="Z69" s="209">
        <v>161949</v>
      </c>
      <c r="AA69" s="209">
        <v>147033</v>
      </c>
      <c r="AB69" s="210">
        <v>133260</v>
      </c>
      <c r="AC69" s="210">
        <v>119038</v>
      </c>
      <c r="AD69" s="210">
        <v>107425</v>
      </c>
      <c r="AE69" s="175"/>
      <c r="AF69" s="175"/>
      <c r="AG69" s="175"/>
    </row>
    <row r="70" spans="1:33" ht="21">
      <c r="A70" s="1" t="s">
        <v>275</v>
      </c>
      <c r="B70" s="205" t="s">
        <v>216</v>
      </c>
      <c r="C70" s="205" t="s">
        <v>216</v>
      </c>
      <c r="D70" s="206">
        <v>4057095</v>
      </c>
      <c r="E70" s="209" t="s">
        <v>175</v>
      </c>
      <c r="F70" s="209">
        <v>2127524</v>
      </c>
      <c r="G70" s="209">
        <v>2103981</v>
      </c>
      <c r="H70" s="209">
        <v>2086009</v>
      </c>
      <c r="I70" s="209">
        <v>2065479</v>
      </c>
      <c r="J70" s="209">
        <v>2043957</v>
      </c>
      <c r="K70" s="209">
        <v>1984623</v>
      </c>
      <c r="L70" s="209">
        <v>1931747</v>
      </c>
      <c r="M70" s="209">
        <v>1853589</v>
      </c>
      <c r="N70" s="209">
        <v>1815936</v>
      </c>
      <c r="O70" s="209">
        <v>1755201</v>
      </c>
      <c r="P70" s="209">
        <v>1714882</v>
      </c>
      <c r="Q70" s="209">
        <v>1686050</v>
      </c>
      <c r="R70" s="209">
        <v>1632574</v>
      </c>
      <c r="S70" s="209">
        <v>1580252</v>
      </c>
      <c r="T70" s="209">
        <v>1561891</v>
      </c>
      <c r="U70" s="209">
        <v>1480514</v>
      </c>
      <c r="V70" s="209">
        <v>1402820</v>
      </c>
      <c r="W70" s="209">
        <v>1330164</v>
      </c>
      <c r="X70" s="209">
        <v>1240309</v>
      </c>
      <c r="Y70" s="209">
        <v>1190833</v>
      </c>
      <c r="Z70" s="209">
        <v>1128002</v>
      </c>
      <c r="AA70" s="209">
        <f>+Z70/(1+Z71)</f>
        <v>1068486.1034284404</v>
      </c>
      <c r="AB70" s="210" t="s">
        <v>175</v>
      </c>
      <c r="AC70" s="210" t="s">
        <v>175</v>
      </c>
      <c r="AD70" s="210" t="s">
        <v>175</v>
      </c>
      <c r="AE70" s="175"/>
      <c r="AF70" s="175"/>
      <c r="AG70" s="175"/>
    </row>
    <row r="71" spans="1:33" ht="21">
      <c r="B71" s="205"/>
      <c r="C71" s="205"/>
      <c r="D71" s="206"/>
      <c r="E71" s="211"/>
      <c r="F71" s="211"/>
      <c r="G71" s="211">
        <f t="shared" ref="G71:Y71" si="2">+F70/G70-1</f>
        <v>1.1189739831300782E-2</v>
      </c>
      <c r="H71" s="211">
        <f t="shared" si="2"/>
        <v>8.615494947529001E-3</v>
      </c>
      <c r="I71" s="211">
        <f t="shared" si="2"/>
        <v>9.9395830216622016E-3</v>
      </c>
      <c r="J71" s="211">
        <f t="shared" si="2"/>
        <v>1.052957572003721E-2</v>
      </c>
      <c r="K71" s="211">
        <f t="shared" si="2"/>
        <v>2.9896862023669035E-2</v>
      </c>
      <c r="L71" s="211">
        <f t="shared" si="2"/>
        <v>2.7372114464264685E-2</v>
      </c>
      <c r="M71" s="211">
        <f t="shared" si="2"/>
        <v>4.2165765981563297E-2</v>
      </c>
      <c r="N71" s="211">
        <f t="shared" si="2"/>
        <v>2.0734761577500427E-2</v>
      </c>
      <c r="O71" s="211">
        <f t="shared" si="2"/>
        <v>3.4602874542573714E-2</v>
      </c>
      <c r="P71" s="211">
        <f t="shared" si="2"/>
        <v>2.3511238674147839E-2</v>
      </c>
      <c r="Q71" s="211">
        <f t="shared" si="2"/>
        <v>1.7100323240710535E-2</v>
      </c>
      <c r="R71" s="211">
        <f t="shared" si="2"/>
        <v>3.2755636191682536E-2</v>
      </c>
      <c r="S71" s="211">
        <f t="shared" si="2"/>
        <v>3.3109909052480235E-2</v>
      </c>
      <c r="T71" s="211">
        <f t="shared" si="2"/>
        <v>1.175562187118051E-2</v>
      </c>
      <c r="U71" s="211">
        <f t="shared" si="2"/>
        <v>5.4965370134966607E-2</v>
      </c>
      <c r="V71" s="211">
        <f t="shared" si="2"/>
        <v>5.5384154773955308E-2</v>
      </c>
      <c r="W71" s="211">
        <f t="shared" si="2"/>
        <v>5.4621836104420174E-2</v>
      </c>
      <c r="X71" s="211">
        <f t="shared" si="2"/>
        <v>7.2445656687164295E-2</v>
      </c>
      <c r="Y71" s="211">
        <f t="shared" si="2"/>
        <v>4.1547387417043335E-2</v>
      </c>
      <c r="Z71" s="211">
        <f>+Y70/Z70-1</f>
        <v>5.5701142373861146E-2</v>
      </c>
      <c r="AA71" s="211"/>
      <c r="AB71" s="210"/>
      <c r="AC71" s="210"/>
      <c r="AD71" s="210"/>
      <c r="AE71" s="175"/>
      <c r="AF71" s="175"/>
      <c r="AG71" s="175"/>
    </row>
    <row r="72" spans="1:33" ht="21">
      <c r="B72" s="205" t="s">
        <v>217</v>
      </c>
      <c r="C72" s="205" t="s">
        <v>217</v>
      </c>
      <c r="D72" s="206">
        <v>4062485</v>
      </c>
      <c r="E72" s="209">
        <v>1639878</v>
      </c>
      <c r="F72" s="209">
        <v>1553327</v>
      </c>
      <c r="G72" s="209">
        <v>1473933</v>
      </c>
      <c r="H72" s="209">
        <v>1393434</v>
      </c>
      <c r="I72" s="209">
        <v>1311631</v>
      </c>
      <c r="J72" s="209">
        <v>1226432</v>
      </c>
      <c r="K72" s="209">
        <v>1150266</v>
      </c>
      <c r="L72" s="209">
        <v>1069057</v>
      </c>
      <c r="M72" s="209">
        <v>994151</v>
      </c>
      <c r="N72" s="209">
        <v>922399</v>
      </c>
      <c r="O72" s="209">
        <v>851599</v>
      </c>
      <c r="P72" s="209">
        <v>786975</v>
      </c>
      <c r="Q72" s="209">
        <v>716169</v>
      </c>
      <c r="R72" s="209">
        <v>656461</v>
      </c>
      <c r="S72" s="209">
        <v>619110</v>
      </c>
      <c r="T72" s="209">
        <v>542830</v>
      </c>
      <c r="U72" s="209">
        <v>503283</v>
      </c>
      <c r="V72" s="209">
        <v>466465</v>
      </c>
      <c r="W72" s="209">
        <v>430524</v>
      </c>
      <c r="X72" s="209">
        <v>397916</v>
      </c>
      <c r="Y72" s="209">
        <v>364000</v>
      </c>
      <c r="Z72" s="209">
        <v>331377</v>
      </c>
      <c r="AA72" s="209">
        <v>301426</v>
      </c>
      <c r="AB72" s="210">
        <v>282734</v>
      </c>
      <c r="AC72" s="210">
        <v>257371</v>
      </c>
      <c r="AD72" s="210">
        <v>235287</v>
      </c>
      <c r="AE72" s="175"/>
      <c r="AF72" s="175"/>
      <c r="AG72" s="175"/>
    </row>
    <row r="73" spans="1:33" ht="21">
      <c r="B73" s="205" t="s">
        <v>218</v>
      </c>
      <c r="C73" s="205" t="s">
        <v>218</v>
      </c>
      <c r="D73" s="206">
        <v>4057140</v>
      </c>
      <c r="E73" s="209">
        <v>646656</v>
      </c>
      <c r="F73" s="209">
        <v>610409</v>
      </c>
      <c r="G73" s="209">
        <v>589325</v>
      </c>
      <c r="H73" s="209">
        <v>540355</v>
      </c>
      <c r="I73" s="209">
        <v>511866</v>
      </c>
      <c r="J73" s="209">
        <v>673339</v>
      </c>
      <c r="K73" s="209">
        <v>575781</v>
      </c>
      <c r="L73" s="209">
        <v>565922</v>
      </c>
      <c r="M73" s="209">
        <v>561919</v>
      </c>
      <c r="N73" s="209">
        <v>543446</v>
      </c>
      <c r="O73" s="209">
        <v>610228</v>
      </c>
      <c r="P73" s="209">
        <v>482581</v>
      </c>
      <c r="Q73" s="209">
        <v>451920</v>
      </c>
      <c r="R73" s="209">
        <v>470582</v>
      </c>
      <c r="S73" s="209">
        <v>440179</v>
      </c>
      <c r="T73" s="209">
        <v>413998</v>
      </c>
      <c r="U73" s="209">
        <v>382038</v>
      </c>
      <c r="V73" s="209">
        <v>351229</v>
      </c>
      <c r="W73" s="209" t="s">
        <v>175</v>
      </c>
      <c r="X73" s="209">
        <v>84751</v>
      </c>
      <c r="Y73" s="209">
        <v>292616</v>
      </c>
      <c r="Z73" s="209">
        <v>271133</v>
      </c>
      <c r="AA73" s="209">
        <v>249659</v>
      </c>
      <c r="AB73" s="210">
        <v>233346</v>
      </c>
      <c r="AC73" s="210">
        <v>215405</v>
      </c>
      <c r="AD73" s="210">
        <v>202981</v>
      </c>
      <c r="AE73" s="175"/>
      <c r="AF73" s="175"/>
      <c r="AG73" s="175"/>
    </row>
    <row r="74" spans="1:33" ht="21">
      <c r="A74" s="1" t="s">
        <v>275</v>
      </c>
      <c r="B74" s="205" t="s">
        <v>220</v>
      </c>
      <c r="C74" s="205" t="s">
        <v>221</v>
      </c>
      <c r="D74" s="206">
        <v>4057096</v>
      </c>
      <c r="E74" s="209">
        <v>379939</v>
      </c>
      <c r="F74" s="209">
        <v>362148</v>
      </c>
      <c r="G74" s="209">
        <v>348281</v>
      </c>
      <c r="H74" s="209">
        <v>333608</v>
      </c>
      <c r="I74" s="209">
        <v>316284</v>
      </c>
      <c r="J74" s="209">
        <v>307261</v>
      </c>
      <c r="K74" s="209">
        <v>289087</v>
      </c>
      <c r="L74" s="209">
        <v>277246</v>
      </c>
      <c r="M74" s="209">
        <v>265070</v>
      </c>
      <c r="N74" s="209">
        <v>253374</v>
      </c>
      <c r="O74" s="209">
        <v>241400</v>
      </c>
      <c r="P74" s="209">
        <v>230003</v>
      </c>
      <c r="Q74" s="209">
        <v>221065</v>
      </c>
      <c r="R74" s="209">
        <v>215621</v>
      </c>
      <c r="S74" s="209">
        <v>205393</v>
      </c>
      <c r="T74" s="209">
        <v>196916</v>
      </c>
      <c r="U74" s="209">
        <v>185843</v>
      </c>
      <c r="V74" s="209" t="s">
        <v>175</v>
      </c>
      <c r="W74" s="209" t="s">
        <v>175</v>
      </c>
      <c r="X74" s="209">
        <v>167597</v>
      </c>
      <c r="Y74" s="209">
        <v>166496</v>
      </c>
      <c r="Z74" s="209">
        <v>160814</v>
      </c>
      <c r="AA74" s="209">
        <v>154687</v>
      </c>
      <c r="AB74" s="210">
        <v>147222</v>
      </c>
      <c r="AC74" s="210">
        <v>139563</v>
      </c>
      <c r="AD74" s="210">
        <v>133768</v>
      </c>
      <c r="AE74" s="175"/>
      <c r="AF74" s="175"/>
      <c r="AG74" s="175"/>
    </row>
    <row r="75" spans="1:33" ht="21">
      <c r="B75" s="205" t="s">
        <v>302</v>
      </c>
      <c r="C75" s="205" t="s">
        <v>302</v>
      </c>
      <c r="D75" s="206">
        <v>4057097</v>
      </c>
      <c r="E75" s="209" t="s">
        <v>175</v>
      </c>
      <c r="F75" s="209" t="s">
        <v>175</v>
      </c>
      <c r="G75" s="209">
        <v>618450</v>
      </c>
      <c r="H75" s="209">
        <v>590958</v>
      </c>
      <c r="I75" s="209">
        <v>563509</v>
      </c>
      <c r="J75" s="209">
        <v>536428</v>
      </c>
      <c r="K75" s="209">
        <v>518727</v>
      </c>
      <c r="L75" s="209">
        <v>497322</v>
      </c>
      <c r="M75" s="209">
        <v>469712</v>
      </c>
      <c r="N75" s="209">
        <v>449819</v>
      </c>
      <c r="O75" s="209">
        <v>424289</v>
      </c>
      <c r="P75" s="209">
        <v>408051</v>
      </c>
      <c r="Q75" s="209">
        <v>395866</v>
      </c>
      <c r="R75" s="209">
        <v>349054</v>
      </c>
      <c r="S75" s="209">
        <v>333558</v>
      </c>
      <c r="T75" s="209">
        <v>319628</v>
      </c>
      <c r="U75" s="209">
        <v>515312</v>
      </c>
      <c r="V75" s="209">
        <v>492311</v>
      </c>
      <c r="W75" s="209">
        <v>473183</v>
      </c>
      <c r="X75" s="209">
        <v>450271</v>
      </c>
      <c r="Y75" s="209">
        <v>425520</v>
      </c>
      <c r="Z75" s="209">
        <v>401189</v>
      </c>
      <c r="AA75" s="209">
        <v>377401</v>
      </c>
      <c r="AB75" s="210">
        <v>350791</v>
      </c>
      <c r="AC75" s="210">
        <v>325898</v>
      </c>
      <c r="AD75" s="210">
        <v>301247</v>
      </c>
      <c r="AE75" s="175"/>
      <c r="AF75" s="175"/>
      <c r="AG75" s="175"/>
    </row>
    <row r="76" spans="1:33" ht="21">
      <c r="B76" s="205" t="s">
        <v>303</v>
      </c>
      <c r="C76" s="205" t="s">
        <v>303</v>
      </c>
      <c r="D76" s="206">
        <v>4057098</v>
      </c>
      <c r="E76" s="209" t="s">
        <v>175</v>
      </c>
      <c r="F76" s="209">
        <v>188820</v>
      </c>
      <c r="G76" s="209">
        <v>181675</v>
      </c>
      <c r="H76" s="209">
        <v>176121</v>
      </c>
      <c r="I76" s="209">
        <v>168539</v>
      </c>
      <c r="J76" s="209">
        <v>160850</v>
      </c>
      <c r="K76" s="209">
        <v>155816</v>
      </c>
      <c r="L76" s="209">
        <v>149197</v>
      </c>
      <c r="M76" s="209">
        <v>141560</v>
      </c>
      <c r="N76" s="209">
        <v>134043</v>
      </c>
      <c r="O76" s="209">
        <v>126587</v>
      </c>
      <c r="P76" s="209">
        <v>108598</v>
      </c>
      <c r="Q76" s="209">
        <v>102481</v>
      </c>
      <c r="R76" s="209">
        <v>96594</v>
      </c>
      <c r="S76" s="209">
        <v>92820</v>
      </c>
      <c r="T76" s="209">
        <v>86772</v>
      </c>
      <c r="U76" s="209">
        <v>80631</v>
      </c>
      <c r="V76" s="209">
        <v>53543</v>
      </c>
      <c r="W76" s="209">
        <v>68549</v>
      </c>
      <c r="X76" s="209" t="s">
        <v>175</v>
      </c>
      <c r="Y76" s="209">
        <v>58117</v>
      </c>
      <c r="Z76" s="209">
        <v>53277</v>
      </c>
      <c r="AA76" s="209">
        <v>48943</v>
      </c>
      <c r="AB76" s="210">
        <v>44823</v>
      </c>
      <c r="AC76" s="210">
        <v>41154</v>
      </c>
      <c r="AD76" s="210" t="s">
        <v>175</v>
      </c>
      <c r="AE76" s="175"/>
      <c r="AF76" s="175"/>
      <c r="AG76" s="175"/>
    </row>
    <row r="77" spans="1:33" ht="21">
      <c r="A77" s="1" t="s">
        <v>275</v>
      </c>
      <c r="B77" s="205" t="s">
        <v>222</v>
      </c>
      <c r="C77" s="205" t="s">
        <v>222</v>
      </c>
      <c r="D77" s="206">
        <v>4063023</v>
      </c>
      <c r="E77" s="209" t="s">
        <v>175</v>
      </c>
      <c r="F77" s="209">
        <v>392979</v>
      </c>
      <c r="G77" s="209">
        <v>369649</v>
      </c>
      <c r="H77" s="209">
        <v>353341</v>
      </c>
      <c r="I77" s="209">
        <v>343925</v>
      </c>
      <c r="J77" s="209">
        <v>329600</v>
      </c>
      <c r="K77" s="209">
        <v>312399</v>
      </c>
      <c r="L77" s="209">
        <v>300958</v>
      </c>
      <c r="M77" s="209">
        <v>286695</v>
      </c>
      <c r="N77" s="209">
        <v>269608</v>
      </c>
      <c r="O77" s="209">
        <v>253534</v>
      </c>
      <c r="P77" s="209">
        <v>236795</v>
      </c>
      <c r="Q77" s="209">
        <v>222276</v>
      </c>
      <c r="R77" s="209">
        <v>207527</v>
      </c>
      <c r="S77" s="209">
        <v>193496</v>
      </c>
      <c r="T77" s="209">
        <v>180071</v>
      </c>
      <c r="U77" s="209">
        <v>165673</v>
      </c>
      <c r="V77" s="209">
        <v>198766</v>
      </c>
      <c r="W77" s="209">
        <v>184972</v>
      </c>
      <c r="X77" s="209">
        <v>172896</v>
      </c>
      <c r="Y77" s="209">
        <v>162149</v>
      </c>
      <c r="Z77" s="209">
        <v>150323</v>
      </c>
      <c r="AA77" s="209">
        <v>139892</v>
      </c>
      <c r="AB77" s="210">
        <v>130149</v>
      </c>
      <c r="AC77" s="210">
        <v>121664</v>
      </c>
      <c r="AD77" s="210">
        <v>112783</v>
      </c>
      <c r="AE77" s="175"/>
      <c r="AF77" s="175"/>
      <c r="AG77" s="175"/>
    </row>
    <row r="78" spans="1:33" ht="21">
      <c r="B78" s="205" t="s">
        <v>223</v>
      </c>
      <c r="C78" s="205" t="s">
        <v>223</v>
      </c>
      <c r="D78" s="206">
        <v>4057146</v>
      </c>
      <c r="E78" s="209" t="s">
        <v>175</v>
      </c>
      <c r="F78" s="209">
        <v>3677301</v>
      </c>
      <c r="G78" s="209">
        <v>3482276</v>
      </c>
      <c r="H78" s="209">
        <v>3344614</v>
      </c>
      <c r="I78" s="209">
        <v>3198494</v>
      </c>
      <c r="J78" s="209">
        <v>3090323</v>
      </c>
      <c r="K78" s="209">
        <v>2958030</v>
      </c>
      <c r="L78" s="209">
        <v>2811114</v>
      </c>
      <c r="M78" s="209">
        <v>2807443</v>
      </c>
      <c r="N78" s="209">
        <v>2637203</v>
      </c>
      <c r="O78" s="209">
        <v>2473715</v>
      </c>
      <c r="P78" s="209">
        <v>2368859</v>
      </c>
      <c r="Q78" s="209">
        <v>2197951</v>
      </c>
      <c r="R78" s="209">
        <v>2159445</v>
      </c>
      <c r="S78" s="209">
        <v>2095799</v>
      </c>
      <c r="T78" s="209">
        <v>2018755</v>
      </c>
      <c r="U78" s="209">
        <v>3085745</v>
      </c>
      <c r="V78" s="209">
        <v>2967760</v>
      </c>
      <c r="W78" s="209">
        <v>2817573</v>
      </c>
      <c r="X78" s="209">
        <v>2664859</v>
      </c>
      <c r="Y78" s="209">
        <v>2508327</v>
      </c>
      <c r="Z78" s="209">
        <v>2359644</v>
      </c>
      <c r="AA78" s="209">
        <v>2198338</v>
      </c>
      <c r="AB78" s="210">
        <v>2048783</v>
      </c>
      <c r="AC78" s="210" t="s">
        <v>175</v>
      </c>
      <c r="AD78" s="210" t="s">
        <v>175</v>
      </c>
      <c r="AE78" s="175"/>
      <c r="AF78" s="175"/>
      <c r="AG78" s="175"/>
    </row>
    <row r="79" spans="1:33" ht="21">
      <c r="A79" s="1" t="s">
        <v>275</v>
      </c>
      <c r="B79" s="205" t="s">
        <v>224</v>
      </c>
      <c r="C79" s="205" t="s">
        <v>225</v>
      </c>
      <c r="D79" s="206">
        <v>4063060</v>
      </c>
      <c r="E79" s="209">
        <v>361896</v>
      </c>
      <c r="F79" s="209">
        <v>344935</v>
      </c>
      <c r="G79" s="209">
        <v>325116</v>
      </c>
      <c r="H79" s="209">
        <v>316286</v>
      </c>
      <c r="I79" s="209">
        <v>305546</v>
      </c>
      <c r="J79" s="209">
        <v>289605</v>
      </c>
      <c r="K79" s="209">
        <v>275715</v>
      </c>
      <c r="L79" s="209">
        <v>259052</v>
      </c>
      <c r="M79" s="209">
        <v>268871</v>
      </c>
      <c r="N79" s="209">
        <v>252807</v>
      </c>
      <c r="O79" s="209">
        <v>243628</v>
      </c>
      <c r="P79" s="209">
        <v>234072</v>
      </c>
      <c r="Q79" s="209">
        <v>213241</v>
      </c>
      <c r="R79" s="209">
        <v>204864</v>
      </c>
      <c r="S79" s="209">
        <v>196343</v>
      </c>
      <c r="T79" s="209">
        <v>186923</v>
      </c>
      <c r="U79" s="209">
        <v>187598</v>
      </c>
      <c r="V79" s="209">
        <v>174494</v>
      </c>
      <c r="W79" s="209">
        <v>164620</v>
      </c>
      <c r="X79" s="209">
        <v>155339</v>
      </c>
      <c r="Y79" s="209">
        <v>146272</v>
      </c>
      <c r="Z79" s="209" t="s">
        <v>175</v>
      </c>
      <c r="AA79" s="209">
        <v>124149</v>
      </c>
      <c r="AB79" s="210">
        <v>116344</v>
      </c>
      <c r="AC79" s="210">
        <v>105164</v>
      </c>
      <c r="AD79" s="210">
        <v>95006</v>
      </c>
      <c r="AE79" s="175"/>
      <c r="AF79" s="175"/>
      <c r="AG79" s="175"/>
    </row>
    <row r="80" spans="1:33" ht="21">
      <c r="B80" s="205" t="s">
        <v>226</v>
      </c>
      <c r="C80" s="205" t="s">
        <v>226</v>
      </c>
      <c r="D80" s="206">
        <v>4057100</v>
      </c>
      <c r="E80" s="209">
        <v>119934</v>
      </c>
      <c r="F80" s="209" t="s">
        <v>175</v>
      </c>
      <c r="G80" s="209">
        <v>104380</v>
      </c>
      <c r="H80" s="209">
        <v>97857</v>
      </c>
      <c r="I80" s="209">
        <v>92450</v>
      </c>
      <c r="J80" s="209">
        <v>87364</v>
      </c>
      <c r="K80" s="209">
        <v>84523</v>
      </c>
      <c r="L80" s="209">
        <v>81300</v>
      </c>
      <c r="M80" s="209">
        <v>77555</v>
      </c>
      <c r="N80" s="209">
        <v>74076</v>
      </c>
      <c r="O80" s="209">
        <v>71320</v>
      </c>
      <c r="P80" s="209">
        <v>68167</v>
      </c>
      <c r="Q80" s="209">
        <v>65386</v>
      </c>
      <c r="R80" s="209">
        <v>63079</v>
      </c>
      <c r="S80" s="209">
        <v>60000</v>
      </c>
      <c r="T80" s="209">
        <v>55435</v>
      </c>
      <c r="U80" s="209">
        <v>54559</v>
      </c>
      <c r="V80" s="209">
        <v>52431</v>
      </c>
      <c r="W80" s="209">
        <v>49467</v>
      </c>
      <c r="X80" s="209">
        <v>47829</v>
      </c>
      <c r="Y80" s="209">
        <v>44809</v>
      </c>
      <c r="Z80" s="209">
        <v>42676</v>
      </c>
      <c r="AA80" s="209">
        <v>40959</v>
      </c>
      <c r="AB80" s="210">
        <v>38643</v>
      </c>
      <c r="AC80" s="210">
        <v>36493</v>
      </c>
      <c r="AD80" s="210">
        <v>34779</v>
      </c>
      <c r="AE80" s="175"/>
      <c r="AF80" s="175"/>
      <c r="AG80" s="175"/>
    </row>
    <row r="81" spans="1:33" ht="21">
      <c r="B81" s="205" t="s">
        <v>304</v>
      </c>
      <c r="C81" s="205" t="s">
        <v>304</v>
      </c>
      <c r="D81" s="206">
        <v>4064035</v>
      </c>
      <c r="E81" s="209" t="s">
        <v>175</v>
      </c>
      <c r="F81" s="209">
        <v>24390</v>
      </c>
      <c r="G81" s="209">
        <v>23749</v>
      </c>
      <c r="H81" s="209">
        <v>23155</v>
      </c>
      <c r="I81" s="209">
        <v>22485</v>
      </c>
      <c r="J81" s="209">
        <v>21908</v>
      </c>
      <c r="K81" s="209">
        <v>21431</v>
      </c>
      <c r="L81" s="209">
        <v>20935</v>
      </c>
      <c r="M81" s="209">
        <v>21058</v>
      </c>
      <c r="N81" s="209">
        <v>20059</v>
      </c>
      <c r="O81" s="209">
        <v>19090</v>
      </c>
      <c r="P81" s="209">
        <v>18150</v>
      </c>
      <c r="Q81" s="209">
        <v>17246</v>
      </c>
      <c r="R81" s="209">
        <v>16391</v>
      </c>
      <c r="S81" s="209" t="s">
        <v>175</v>
      </c>
      <c r="T81" s="209">
        <v>14824</v>
      </c>
      <c r="U81" s="209">
        <v>14097</v>
      </c>
      <c r="V81" s="209" t="s">
        <v>175</v>
      </c>
      <c r="W81" s="209" t="s">
        <v>175</v>
      </c>
      <c r="X81" s="209">
        <v>12111</v>
      </c>
      <c r="Y81" s="209" t="s">
        <v>175</v>
      </c>
      <c r="Z81" s="209" t="s">
        <v>175</v>
      </c>
      <c r="AA81" s="209" t="s">
        <v>175</v>
      </c>
      <c r="AB81" s="210" t="s">
        <v>175</v>
      </c>
      <c r="AC81" s="210" t="s">
        <v>175</v>
      </c>
      <c r="AD81" s="210" t="s">
        <v>175</v>
      </c>
      <c r="AE81" s="175"/>
      <c r="AF81" s="175"/>
      <c r="AG81" s="175"/>
    </row>
    <row r="82" spans="1:33" ht="21">
      <c r="B82" s="205" t="s">
        <v>305</v>
      </c>
      <c r="C82" s="205" t="s">
        <v>305</v>
      </c>
      <c r="D82" s="206">
        <v>4060957</v>
      </c>
      <c r="E82" s="209">
        <v>502469</v>
      </c>
      <c r="F82" s="209">
        <v>489306</v>
      </c>
      <c r="G82" s="209">
        <v>474783</v>
      </c>
      <c r="H82" s="209">
        <v>460358</v>
      </c>
      <c r="I82" s="209">
        <v>446987</v>
      </c>
      <c r="J82" s="209">
        <v>434480</v>
      </c>
      <c r="K82" s="209">
        <v>418426</v>
      </c>
      <c r="L82" s="209">
        <v>404850</v>
      </c>
      <c r="M82" s="209">
        <v>386156</v>
      </c>
      <c r="N82" s="209">
        <v>371281</v>
      </c>
      <c r="O82" s="209">
        <v>354163</v>
      </c>
      <c r="P82" s="209">
        <v>337183</v>
      </c>
      <c r="Q82" s="209">
        <v>321217</v>
      </c>
      <c r="R82" s="209">
        <v>312117</v>
      </c>
      <c r="S82" s="209">
        <v>301895</v>
      </c>
      <c r="T82" s="209">
        <v>338044</v>
      </c>
      <c r="U82" s="209">
        <v>333350</v>
      </c>
      <c r="V82" s="209">
        <v>329500</v>
      </c>
      <c r="W82" s="209">
        <v>322148</v>
      </c>
      <c r="X82" s="209">
        <v>313121</v>
      </c>
      <c r="Y82" s="209">
        <v>304705</v>
      </c>
      <c r="Z82" s="209">
        <v>296639</v>
      </c>
      <c r="AA82" s="209">
        <v>287785</v>
      </c>
      <c r="AB82" s="210">
        <v>273373</v>
      </c>
      <c r="AC82" s="210">
        <v>258086</v>
      </c>
      <c r="AD82" s="210">
        <v>244516</v>
      </c>
      <c r="AE82" s="175"/>
      <c r="AF82" s="175"/>
      <c r="AG82" s="175"/>
    </row>
    <row r="83" spans="1:33" ht="21">
      <c r="B83" s="205" t="s">
        <v>228</v>
      </c>
      <c r="C83" s="205" t="s">
        <v>228</v>
      </c>
      <c r="D83" s="206">
        <v>4063179</v>
      </c>
      <c r="E83" s="209">
        <v>5071</v>
      </c>
      <c r="F83" s="209" t="s">
        <v>175</v>
      </c>
      <c r="G83" s="209">
        <v>4806</v>
      </c>
      <c r="H83" s="209">
        <v>4659</v>
      </c>
      <c r="I83" s="209">
        <v>4465</v>
      </c>
      <c r="J83" s="209">
        <v>4265</v>
      </c>
      <c r="K83" s="209">
        <v>4069</v>
      </c>
      <c r="L83" s="209">
        <v>3897</v>
      </c>
      <c r="M83" s="209">
        <v>3699</v>
      </c>
      <c r="N83" s="209">
        <v>3543</v>
      </c>
      <c r="O83" s="209">
        <v>3379</v>
      </c>
      <c r="P83" s="209">
        <v>3222</v>
      </c>
      <c r="Q83" s="209">
        <v>3079</v>
      </c>
      <c r="R83" s="209">
        <v>2937</v>
      </c>
      <c r="S83" s="209">
        <v>2791</v>
      </c>
      <c r="T83" s="209">
        <v>2628</v>
      </c>
      <c r="U83" s="209">
        <v>2496</v>
      </c>
      <c r="V83" s="209">
        <v>2387</v>
      </c>
      <c r="W83" s="209">
        <v>2219</v>
      </c>
      <c r="X83" s="209" t="s">
        <v>175</v>
      </c>
      <c r="Y83" s="209" t="s">
        <v>175</v>
      </c>
      <c r="Z83" s="209">
        <v>1806</v>
      </c>
      <c r="AA83" s="209">
        <v>1631</v>
      </c>
      <c r="AB83" s="210">
        <v>1488</v>
      </c>
      <c r="AC83" s="210" t="s">
        <v>175</v>
      </c>
      <c r="AD83" s="210" t="s">
        <v>175</v>
      </c>
      <c r="AE83" s="175"/>
      <c r="AF83" s="175"/>
      <c r="AG83" s="175"/>
    </row>
    <row r="84" spans="1:33" ht="21">
      <c r="A84" s="1" t="s">
        <v>275</v>
      </c>
      <c r="B84" s="205" t="s">
        <v>229</v>
      </c>
      <c r="C84" s="205" t="s">
        <v>229</v>
      </c>
      <c r="D84" s="206">
        <v>4063183</v>
      </c>
      <c r="E84" s="209">
        <v>28377</v>
      </c>
      <c r="F84" s="209">
        <v>26977</v>
      </c>
      <c r="G84" s="209">
        <v>25692</v>
      </c>
      <c r="H84" s="209" t="s">
        <v>175</v>
      </c>
      <c r="I84" s="209">
        <v>24081</v>
      </c>
      <c r="J84" s="209">
        <v>23580</v>
      </c>
      <c r="K84" s="209">
        <v>22673</v>
      </c>
      <c r="L84" s="209">
        <v>21856</v>
      </c>
      <c r="M84" s="209">
        <v>21139</v>
      </c>
      <c r="N84" s="209">
        <v>20919</v>
      </c>
      <c r="O84" s="209">
        <v>20337</v>
      </c>
      <c r="P84" s="209">
        <v>19678</v>
      </c>
      <c r="Q84" s="209">
        <v>19190</v>
      </c>
      <c r="R84" s="209">
        <v>18649</v>
      </c>
      <c r="S84" s="209">
        <v>18071</v>
      </c>
      <c r="T84" s="209">
        <v>17185</v>
      </c>
      <c r="U84" s="209">
        <v>16346</v>
      </c>
      <c r="V84" s="209">
        <v>15533</v>
      </c>
      <c r="W84" s="209">
        <v>14627</v>
      </c>
      <c r="X84" s="209">
        <v>13757</v>
      </c>
      <c r="Y84" s="209">
        <v>12962</v>
      </c>
      <c r="Z84" s="209">
        <v>12063</v>
      </c>
      <c r="AA84" s="209">
        <v>11143</v>
      </c>
      <c r="AB84" s="210" t="s">
        <v>175</v>
      </c>
      <c r="AC84" s="210">
        <v>9191</v>
      </c>
      <c r="AD84" s="210">
        <v>8275</v>
      </c>
      <c r="AE84" s="175"/>
      <c r="AF84" s="175"/>
      <c r="AG84" s="175"/>
    </row>
    <row r="85" spans="1:33" ht="21">
      <c r="B85" s="205" t="s">
        <v>230</v>
      </c>
      <c r="C85" s="205" t="s">
        <v>230</v>
      </c>
      <c r="D85" s="206">
        <v>4063281</v>
      </c>
      <c r="E85" s="209">
        <v>19590</v>
      </c>
      <c r="F85" s="209">
        <v>18624</v>
      </c>
      <c r="G85" s="209">
        <v>17587</v>
      </c>
      <c r="H85" s="209">
        <v>16773</v>
      </c>
      <c r="I85" s="209">
        <v>15821</v>
      </c>
      <c r="J85" s="209">
        <v>15137</v>
      </c>
      <c r="K85" s="209">
        <v>14424</v>
      </c>
      <c r="L85" s="209">
        <v>13849</v>
      </c>
      <c r="M85" s="209">
        <v>13304</v>
      </c>
      <c r="N85" s="209">
        <v>12633</v>
      </c>
      <c r="O85" s="209">
        <v>12109</v>
      </c>
      <c r="P85" s="209">
        <v>11468</v>
      </c>
      <c r="Q85" s="209">
        <v>10866</v>
      </c>
      <c r="R85" s="209">
        <v>10337</v>
      </c>
      <c r="S85" s="209">
        <v>9786</v>
      </c>
      <c r="T85" s="209">
        <v>9200</v>
      </c>
      <c r="U85" s="209">
        <v>8683</v>
      </c>
      <c r="V85" s="209">
        <v>8152</v>
      </c>
      <c r="W85" s="209">
        <v>7719</v>
      </c>
      <c r="X85" s="209">
        <v>7237</v>
      </c>
      <c r="Y85" s="209">
        <v>6718</v>
      </c>
      <c r="Z85" s="209">
        <v>6236</v>
      </c>
      <c r="AA85" s="209">
        <v>5923</v>
      </c>
      <c r="AB85" s="210">
        <v>5515</v>
      </c>
      <c r="AC85" s="210">
        <v>5159</v>
      </c>
      <c r="AD85" s="210">
        <v>4862</v>
      </c>
      <c r="AE85" s="175"/>
      <c r="AF85" s="175"/>
      <c r="AG85" s="175"/>
    </row>
    <row r="86" spans="1:33" ht="21">
      <c r="B86" s="205" t="s">
        <v>231</v>
      </c>
      <c r="C86" s="205" t="s">
        <v>231</v>
      </c>
      <c r="D86" s="206">
        <v>4059746</v>
      </c>
      <c r="E86" s="209">
        <v>1167722</v>
      </c>
      <c r="F86" s="209">
        <v>1085232</v>
      </c>
      <c r="G86" s="209">
        <v>1052807</v>
      </c>
      <c r="H86" s="209">
        <v>992652</v>
      </c>
      <c r="I86" s="209">
        <v>927820</v>
      </c>
      <c r="J86" s="209">
        <v>869611</v>
      </c>
      <c r="K86" s="209">
        <v>818318</v>
      </c>
      <c r="L86" s="209">
        <v>769372</v>
      </c>
      <c r="M86" s="209">
        <v>723495</v>
      </c>
      <c r="N86" s="209">
        <v>681706</v>
      </c>
      <c r="O86" s="209">
        <v>642201</v>
      </c>
      <c r="P86" s="209">
        <v>603245</v>
      </c>
      <c r="Q86" s="209">
        <v>567057</v>
      </c>
      <c r="R86" s="209">
        <v>513518</v>
      </c>
      <c r="S86" s="209">
        <v>478599</v>
      </c>
      <c r="T86" s="209">
        <v>450655</v>
      </c>
      <c r="U86" s="209">
        <v>438381</v>
      </c>
      <c r="V86" s="209">
        <v>411484</v>
      </c>
      <c r="W86" s="209">
        <v>380465</v>
      </c>
      <c r="X86" s="209">
        <v>412027</v>
      </c>
      <c r="Y86" s="209">
        <v>410935</v>
      </c>
      <c r="Z86" s="209">
        <v>392864</v>
      </c>
      <c r="AA86" s="209">
        <v>373335</v>
      </c>
      <c r="AB86" s="210">
        <v>354784</v>
      </c>
      <c r="AC86" s="210">
        <v>292124</v>
      </c>
      <c r="AD86" s="210" t="s">
        <v>175</v>
      </c>
      <c r="AE86" s="175"/>
      <c r="AF86" s="175"/>
      <c r="AG86" s="175"/>
    </row>
    <row r="87" spans="1:33" ht="21">
      <c r="A87" s="1" t="s">
        <v>275</v>
      </c>
      <c r="B87" s="205" t="s">
        <v>306</v>
      </c>
      <c r="C87" s="205" t="s">
        <v>306</v>
      </c>
      <c r="D87" s="206">
        <v>4062279</v>
      </c>
      <c r="E87" s="209" t="s">
        <v>175</v>
      </c>
      <c r="F87" s="209" t="s">
        <v>175</v>
      </c>
      <c r="G87" s="209" t="s">
        <v>175</v>
      </c>
      <c r="H87" s="209" t="s">
        <v>175</v>
      </c>
      <c r="I87" s="209" t="s">
        <v>175</v>
      </c>
      <c r="J87" s="209" t="s">
        <v>175</v>
      </c>
      <c r="K87" s="209" t="s">
        <v>175</v>
      </c>
      <c r="L87" s="209" t="s">
        <v>175</v>
      </c>
      <c r="M87" s="209" t="s">
        <v>175</v>
      </c>
      <c r="N87" s="209" t="s">
        <v>175</v>
      </c>
      <c r="O87" s="209" t="s">
        <v>175</v>
      </c>
      <c r="P87" s="209" t="s">
        <v>175</v>
      </c>
      <c r="Q87" s="209" t="s">
        <v>175</v>
      </c>
      <c r="R87" s="209" t="s">
        <v>175</v>
      </c>
      <c r="S87" s="209" t="s">
        <v>175</v>
      </c>
      <c r="T87" s="209" t="s">
        <v>175</v>
      </c>
      <c r="U87" s="209" t="s">
        <v>175</v>
      </c>
      <c r="V87" s="209" t="s">
        <v>175</v>
      </c>
      <c r="W87" s="209" t="s">
        <v>175</v>
      </c>
      <c r="X87" s="209" t="s">
        <v>175</v>
      </c>
      <c r="Y87" s="209" t="s">
        <v>175</v>
      </c>
      <c r="Z87" s="209" t="s">
        <v>175</v>
      </c>
      <c r="AA87" s="209" t="s">
        <v>175</v>
      </c>
      <c r="AB87" s="210" t="s">
        <v>175</v>
      </c>
      <c r="AC87" s="210" t="s">
        <v>175</v>
      </c>
      <c r="AD87" s="210" t="s">
        <v>175</v>
      </c>
      <c r="AE87" s="175"/>
      <c r="AF87" s="175"/>
      <c r="AG87" s="175"/>
    </row>
    <row r="88" spans="1:33" ht="21">
      <c r="A88" s="1" t="s">
        <v>275</v>
      </c>
      <c r="B88" s="205" t="s">
        <v>307</v>
      </c>
      <c r="C88" s="205" t="s">
        <v>307</v>
      </c>
      <c r="D88" s="206">
        <v>4063729</v>
      </c>
      <c r="E88" s="209" t="s">
        <v>175</v>
      </c>
      <c r="F88" s="209" t="s">
        <v>175</v>
      </c>
      <c r="G88" s="209" t="s">
        <v>175</v>
      </c>
      <c r="H88" s="209">
        <v>65633</v>
      </c>
      <c r="I88" s="209">
        <v>62325</v>
      </c>
      <c r="J88" s="209">
        <v>59743</v>
      </c>
      <c r="K88" s="209">
        <v>40553</v>
      </c>
      <c r="L88" s="209">
        <v>38326</v>
      </c>
      <c r="M88" s="209">
        <v>36254</v>
      </c>
      <c r="N88" s="209">
        <v>34690</v>
      </c>
      <c r="O88" s="209">
        <v>32960</v>
      </c>
      <c r="P88" s="209">
        <v>32363</v>
      </c>
      <c r="Q88" s="209">
        <v>31645</v>
      </c>
      <c r="R88" s="209">
        <v>30632</v>
      </c>
      <c r="S88" s="209">
        <v>29059</v>
      </c>
      <c r="T88" s="209">
        <v>30586</v>
      </c>
      <c r="U88" s="209">
        <v>28222</v>
      </c>
      <c r="V88" s="209">
        <v>25390</v>
      </c>
      <c r="W88" s="209">
        <v>22898</v>
      </c>
      <c r="X88" s="209">
        <v>20942</v>
      </c>
      <c r="Y88" s="209">
        <v>18949</v>
      </c>
      <c r="Z88" s="209">
        <v>17315</v>
      </c>
      <c r="AA88" s="209" t="s">
        <v>175</v>
      </c>
      <c r="AB88" s="210" t="s">
        <v>175</v>
      </c>
      <c r="AC88" s="210">
        <v>12918</v>
      </c>
      <c r="AD88" s="210">
        <v>12710</v>
      </c>
      <c r="AE88" s="175"/>
      <c r="AF88" s="175"/>
      <c r="AG88" s="175"/>
    </row>
    <row r="89" spans="1:33" ht="21">
      <c r="B89" s="205" t="s">
        <v>232</v>
      </c>
      <c r="C89" s="205" t="s">
        <v>232</v>
      </c>
      <c r="D89" s="206">
        <v>4063762</v>
      </c>
      <c r="E89" s="209">
        <v>343137</v>
      </c>
      <c r="F89" s="209">
        <v>326945</v>
      </c>
      <c r="G89" s="209">
        <v>305830</v>
      </c>
      <c r="H89" s="209">
        <v>293293</v>
      </c>
      <c r="I89" s="209">
        <v>276400</v>
      </c>
      <c r="J89" s="209">
        <v>261125</v>
      </c>
      <c r="K89" s="209">
        <v>245119</v>
      </c>
      <c r="L89" s="209">
        <v>259713</v>
      </c>
      <c r="M89" s="209">
        <v>217655</v>
      </c>
      <c r="N89" s="209">
        <v>216848</v>
      </c>
      <c r="O89" s="209">
        <v>218254</v>
      </c>
      <c r="P89" s="209">
        <v>211102</v>
      </c>
      <c r="Q89" s="209">
        <v>195941</v>
      </c>
      <c r="R89" s="209">
        <v>184077</v>
      </c>
      <c r="S89" s="209">
        <v>176698</v>
      </c>
      <c r="T89" s="209">
        <v>166341</v>
      </c>
      <c r="U89" s="209">
        <v>154445</v>
      </c>
      <c r="V89" s="209">
        <v>147405</v>
      </c>
      <c r="W89" s="209">
        <v>136878</v>
      </c>
      <c r="X89" s="209">
        <v>126609</v>
      </c>
      <c r="Y89" s="209">
        <v>116116</v>
      </c>
      <c r="Z89" s="209">
        <v>108979</v>
      </c>
      <c r="AA89" s="209">
        <v>102126</v>
      </c>
      <c r="AB89" s="210">
        <v>93546</v>
      </c>
      <c r="AC89" s="210">
        <v>84328</v>
      </c>
      <c r="AD89" s="210" t="s">
        <v>175</v>
      </c>
      <c r="AE89" s="175"/>
      <c r="AF89" s="175"/>
      <c r="AG89" s="175"/>
    </row>
    <row r="90" spans="1:33" ht="21">
      <c r="B90" s="205" t="s">
        <v>234</v>
      </c>
      <c r="C90" s="205" t="s">
        <v>234</v>
      </c>
      <c r="D90" s="206">
        <v>4058284</v>
      </c>
      <c r="E90" s="209">
        <v>1468249</v>
      </c>
      <c r="F90" s="209">
        <v>1423348</v>
      </c>
      <c r="G90" s="209">
        <v>1379730</v>
      </c>
      <c r="H90" s="209">
        <v>1344533</v>
      </c>
      <c r="I90" s="209">
        <v>1309409</v>
      </c>
      <c r="J90" s="209">
        <v>1270757</v>
      </c>
      <c r="K90" s="209">
        <v>1238412</v>
      </c>
      <c r="L90" s="209">
        <v>1206131</v>
      </c>
      <c r="M90" s="209">
        <v>1170261</v>
      </c>
      <c r="N90" s="209">
        <v>1132245</v>
      </c>
      <c r="O90" s="209">
        <v>1101839</v>
      </c>
      <c r="P90" s="209">
        <v>1054085</v>
      </c>
      <c r="Q90" s="209">
        <v>1030643</v>
      </c>
      <c r="R90" s="209">
        <v>972645</v>
      </c>
      <c r="S90" s="209">
        <v>905173</v>
      </c>
      <c r="T90" s="209">
        <v>907746</v>
      </c>
      <c r="U90" s="209">
        <v>850473</v>
      </c>
      <c r="V90" s="209">
        <v>796906</v>
      </c>
      <c r="W90" s="209">
        <v>699841</v>
      </c>
      <c r="X90" s="209">
        <v>653273</v>
      </c>
      <c r="Y90" s="209">
        <v>608657</v>
      </c>
      <c r="Z90" s="209">
        <v>567146</v>
      </c>
      <c r="AA90" s="209">
        <v>532122</v>
      </c>
      <c r="AB90" s="210">
        <v>497291</v>
      </c>
      <c r="AC90" s="210">
        <v>463543</v>
      </c>
      <c r="AD90" s="210">
        <v>426547</v>
      </c>
      <c r="AE90" s="175"/>
      <c r="AF90" s="175"/>
      <c r="AG90" s="175"/>
    </row>
    <row r="91" spans="1:33" ht="21">
      <c r="B91" s="205" t="s">
        <v>236</v>
      </c>
      <c r="C91" s="205" t="s">
        <v>236</v>
      </c>
      <c r="D91" s="206">
        <v>4008752</v>
      </c>
      <c r="E91" s="209">
        <v>884905</v>
      </c>
      <c r="F91" s="209">
        <v>855980</v>
      </c>
      <c r="G91" s="209">
        <v>827324</v>
      </c>
      <c r="H91" s="209">
        <v>796100</v>
      </c>
      <c r="I91" s="209">
        <v>771390</v>
      </c>
      <c r="J91" s="209">
        <v>744491</v>
      </c>
      <c r="K91" s="209">
        <v>721830</v>
      </c>
      <c r="L91" s="209">
        <v>713860</v>
      </c>
      <c r="M91" s="209">
        <v>706628</v>
      </c>
      <c r="N91" s="209">
        <v>692456</v>
      </c>
      <c r="O91" s="209">
        <v>681627</v>
      </c>
      <c r="P91" s="209">
        <v>664392</v>
      </c>
      <c r="Q91" s="209">
        <v>635599</v>
      </c>
      <c r="R91" s="209">
        <v>607631</v>
      </c>
      <c r="S91" s="209">
        <v>580474</v>
      </c>
      <c r="T91" s="209">
        <v>554660</v>
      </c>
      <c r="U91" s="209">
        <v>527267</v>
      </c>
      <c r="V91" s="209">
        <v>500793</v>
      </c>
      <c r="W91" s="209">
        <v>475458</v>
      </c>
      <c r="X91" s="209">
        <v>451255</v>
      </c>
      <c r="Y91" s="209">
        <v>426166</v>
      </c>
      <c r="Z91" s="209">
        <v>403354</v>
      </c>
      <c r="AA91" s="209">
        <v>380917</v>
      </c>
      <c r="AB91" s="210">
        <v>358762</v>
      </c>
      <c r="AC91" s="210">
        <v>338040</v>
      </c>
      <c r="AD91" s="210">
        <v>319209</v>
      </c>
      <c r="AE91" s="175"/>
      <c r="AF91" s="175"/>
      <c r="AG91" s="175"/>
    </row>
    <row r="92" spans="1:33" ht="21">
      <c r="B92" s="205" t="s">
        <v>237</v>
      </c>
      <c r="C92" s="205" t="s">
        <v>237</v>
      </c>
      <c r="D92" s="206">
        <v>4008669</v>
      </c>
      <c r="E92" s="209">
        <v>256143</v>
      </c>
      <c r="F92" s="209">
        <v>250414</v>
      </c>
      <c r="G92" s="209">
        <v>243533</v>
      </c>
      <c r="H92" s="209">
        <v>237748</v>
      </c>
      <c r="I92" s="209">
        <v>232253</v>
      </c>
      <c r="J92" s="209">
        <v>226706</v>
      </c>
      <c r="K92" s="209">
        <v>219574</v>
      </c>
      <c r="L92" s="209">
        <v>212135</v>
      </c>
      <c r="M92" s="209">
        <v>205134</v>
      </c>
      <c r="N92" s="209">
        <v>197584</v>
      </c>
      <c r="O92" s="209">
        <v>189801</v>
      </c>
      <c r="P92" s="209">
        <v>184575</v>
      </c>
      <c r="Q92" s="209">
        <v>177176</v>
      </c>
      <c r="R92" s="209">
        <v>171380</v>
      </c>
      <c r="S92" s="209">
        <v>166490</v>
      </c>
      <c r="T92" s="209">
        <v>156022</v>
      </c>
      <c r="U92" s="209">
        <v>147410</v>
      </c>
      <c r="V92" s="209">
        <v>141966</v>
      </c>
      <c r="W92" s="209">
        <v>132894</v>
      </c>
      <c r="X92" s="209">
        <v>124486</v>
      </c>
      <c r="Y92" s="209">
        <v>119306</v>
      </c>
      <c r="Z92" s="209">
        <v>112341</v>
      </c>
      <c r="AA92" s="209">
        <v>103974</v>
      </c>
      <c r="AB92" s="210">
        <v>96766</v>
      </c>
      <c r="AC92" s="210">
        <v>91130</v>
      </c>
      <c r="AD92" s="210">
        <v>83883</v>
      </c>
      <c r="AE92" s="175"/>
      <c r="AF92" s="175"/>
      <c r="AG92" s="175"/>
    </row>
    <row r="93" spans="1:33" ht="21">
      <c r="B93" s="205" t="s">
        <v>308</v>
      </c>
      <c r="C93" s="205" t="s">
        <v>309</v>
      </c>
      <c r="D93" s="206">
        <v>4076892</v>
      </c>
      <c r="E93" s="209">
        <v>7235</v>
      </c>
      <c r="F93" s="209">
        <v>7010</v>
      </c>
      <c r="G93" s="209">
        <v>6790</v>
      </c>
      <c r="H93" s="209">
        <v>6561</v>
      </c>
      <c r="I93" s="209">
        <v>6316</v>
      </c>
      <c r="J93" s="209">
        <v>6073</v>
      </c>
      <c r="K93" s="209">
        <v>5849</v>
      </c>
      <c r="L93" s="209">
        <v>5622</v>
      </c>
      <c r="M93" s="209">
        <v>5400</v>
      </c>
      <c r="N93" s="209">
        <v>5184</v>
      </c>
      <c r="O93" s="209">
        <v>4992</v>
      </c>
      <c r="P93" s="209">
        <v>4532</v>
      </c>
      <c r="Q93" s="209">
        <v>4341</v>
      </c>
      <c r="R93" s="209">
        <v>4155</v>
      </c>
      <c r="S93" s="209">
        <v>3992</v>
      </c>
      <c r="T93" s="209">
        <v>3822</v>
      </c>
      <c r="U93" s="209">
        <v>3656</v>
      </c>
      <c r="V93" s="209">
        <v>3493</v>
      </c>
      <c r="W93" s="209" t="s">
        <v>175</v>
      </c>
      <c r="X93" s="209" t="s">
        <v>175</v>
      </c>
      <c r="Y93" s="209" t="s">
        <v>175</v>
      </c>
      <c r="Z93" s="209" t="s">
        <v>175</v>
      </c>
      <c r="AA93" s="209" t="s">
        <v>175</v>
      </c>
      <c r="AB93" s="210" t="s">
        <v>175</v>
      </c>
      <c r="AC93" s="210" t="s">
        <v>175</v>
      </c>
      <c r="AD93" s="210" t="s">
        <v>175</v>
      </c>
      <c r="AE93" s="175"/>
      <c r="AF93" s="175"/>
      <c r="AG93" s="175"/>
    </row>
    <row r="94" spans="1:33" ht="21">
      <c r="A94" s="1" t="s">
        <v>275</v>
      </c>
      <c r="B94" s="205" t="s">
        <v>238</v>
      </c>
      <c r="C94" s="205" t="s">
        <v>239</v>
      </c>
      <c r="D94" s="206">
        <v>4064141</v>
      </c>
      <c r="E94" s="209">
        <v>416963</v>
      </c>
      <c r="F94" s="209">
        <v>406803</v>
      </c>
      <c r="G94" s="209">
        <v>396041</v>
      </c>
      <c r="H94" s="209">
        <v>392198</v>
      </c>
      <c r="I94" s="209">
        <v>371835</v>
      </c>
      <c r="J94" s="209">
        <v>360182</v>
      </c>
      <c r="K94" s="209">
        <v>358461</v>
      </c>
      <c r="L94" s="209">
        <v>341546</v>
      </c>
      <c r="M94" s="209">
        <v>332567</v>
      </c>
      <c r="N94" s="209">
        <v>321804</v>
      </c>
      <c r="O94" s="209">
        <v>311925</v>
      </c>
      <c r="P94" s="209">
        <v>298403</v>
      </c>
      <c r="Q94" s="209">
        <v>284869</v>
      </c>
      <c r="R94" s="209">
        <v>274709</v>
      </c>
      <c r="S94" s="209">
        <v>273337</v>
      </c>
      <c r="T94" s="209">
        <v>262207</v>
      </c>
      <c r="U94" s="209">
        <v>268255</v>
      </c>
      <c r="V94" s="209">
        <v>257621</v>
      </c>
      <c r="W94" s="209">
        <v>247837</v>
      </c>
      <c r="X94" s="209" t="s">
        <v>175</v>
      </c>
      <c r="Y94" s="209" t="s">
        <v>175</v>
      </c>
      <c r="Z94" s="209">
        <v>204357</v>
      </c>
      <c r="AA94" s="209">
        <v>189588</v>
      </c>
      <c r="AB94" s="210">
        <v>176128</v>
      </c>
      <c r="AC94" s="210">
        <v>163170</v>
      </c>
      <c r="AD94" s="210">
        <v>158247</v>
      </c>
      <c r="AE94" s="175"/>
      <c r="AF94" s="175"/>
      <c r="AG94" s="175"/>
    </row>
    <row r="95" spans="1:33" ht="21">
      <c r="B95" s="201"/>
      <c r="C95" s="201"/>
      <c r="D95" s="201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175"/>
      <c r="AC95" s="175"/>
      <c r="AD95" s="175"/>
      <c r="AE95" s="175"/>
      <c r="AF95" s="175"/>
      <c r="AG95" s="175"/>
    </row>
    <row r="96" spans="1:33" ht="21">
      <c r="B96" s="200"/>
      <c r="C96" s="200"/>
      <c r="D96" s="200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</row>
    <row r="97" spans="2:33" ht="21">
      <c r="B97" s="200"/>
      <c r="C97" s="200"/>
      <c r="D97" s="200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</row>
  </sheetData>
  <conditionalFormatting sqref="E7:E207 D101">
    <cfRule type="cellIs" dxfId="3" priority="6" operator="equal">
      <formula>"NA"</formula>
    </cfRule>
  </conditionalFormatting>
  <pageMargins left="0.7" right="0.7" top="0.75" bottom="0.75" header="0.3" footer="0.3"/>
  <pageSetup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3:AD91"/>
  <sheetViews>
    <sheetView zoomScale="75" zoomScaleNormal="75" workbookViewId="0">
      <selection sqref="A1:XFD1048576"/>
    </sheetView>
  </sheetViews>
  <sheetFormatPr defaultColWidth="9.140625" defaultRowHeight="14.45"/>
  <cols>
    <col min="1" max="1" width="14.28515625" style="1" bestFit="1" customWidth="1"/>
    <col min="2" max="3" width="63.7109375" style="1" bestFit="1" customWidth="1"/>
    <col min="4" max="4" width="22" style="1" bestFit="1" customWidth="1"/>
    <col min="5" max="30" width="17.5703125" style="160" customWidth="1"/>
    <col min="31" max="16384" width="9.140625" style="160"/>
  </cols>
  <sheetData>
    <row r="3" spans="1:30" ht="28.9">
      <c r="E3" s="198" t="s">
        <v>321</v>
      </c>
      <c r="F3" s="198" t="s">
        <v>321</v>
      </c>
      <c r="G3" s="198" t="s">
        <v>321</v>
      </c>
      <c r="H3" s="198" t="s">
        <v>321</v>
      </c>
      <c r="I3" s="198" t="s">
        <v>321</v>
      </c>
      <c r="J3" s="198" t="s">
        <v>321</v>
      </c>
      <c r="K3" s="198" t="s">
        <v>321</v>
      </c>
      <c r="L3" s="198" t="s">
        <v>321</v>
      </c>
      <c r="M3" s="198" t="s">
        <v>321</v>
      </c>
      <c r="N3" s="198" t="s">
        <v>321</v>
      </c>
      <c r="O3" s="198" t="s">
        <v>321</v>
      </c>
      <c r="P3" s="198" t="s">
        <v>321</v>
      </c>
      <c r="Q3" s="198" t="s">
        <v>321</v>
      </c>
      <c r="R3" s="198" t="s">
        <v>321</v>
      </c>
      <c r="S3" s="198" t="s">
        <v>321</v>
      </c>
      <c r="T3" s="198" t="s">
        <v>321</v>
      </c>
      <c r="U3" s="198" t="s">
        <v>321</v>
      </c>
      <c r="V3" s="198" t="s">
        <v>321</v>
      </c>
      <c r="W3" s="198" t="s">
        <v>321</v>
      </c>
      <c r="X3" s="198" t="s">
        <v>321</v>
      </c>
      <c r="Y3" s="198" t="s">
        <v>321</v>
      </c>
      <c r="Z3" s="198" t="s">
        <v>321</v>
      </c>
      <c r="AA3" s="198" t="s">
        <v>321</v>
      </c>
      <c r="AB3" s="198" t="s">
        <v>321</v>
      </c>
      <c r="AC3" s="198" t="s">
        <v>321</v>
      </c>
      <c r="AD3" s="198" t="s">
        <v>321</v>
      </c>
    </row>
    <row r="4" spans="1:30" ht="28.9">
      <c r="B4" s="2"/>
      <c r="C4" s="2"/>
      <c r="D4" s="2"/>
      <c r="E4" s="198" t="s">
        <v>322</v>
      </c>
      <c r="F4" s="198" t="s">
        <v>322</v>
      </c>
      <c r="G4" s="198" t="s">
        <v>322</v>
      </c>
      <c r="H4" s="198" t="s">
        <v>322</v>
      </c>
      <c r="I4" s="198" t="s">
        <v>322</v>
      </c>
      <c r="J4" s="198" t="s">
        <v>322</v>
      </c>
      <c r="K4" s="198" t="s">
        <v>322</v>
      </c>
      <c r="L4" s="198" t="s">
        <v>322</v>
      </c>
      <c r="M4" s="198" t="s">
        <v>322</v>
      </c>
      <c r="N4" s="198" t="s">
        <v>322</v>
      </c>
      <c r="O4" s="198" t="s">
        <v>322</v>
      </c>
      <c r="P4" s="198" t="s">
        <v>322</v>
      </c>
      <c r="Q4" s="198" t="s">
        <v>322</v>
      </c>
      <c r="R4" s="198" t="s">
        <v>322</v>
      </c>
      <c r="S4" s="198" t="s">
        <v>322</v>
      </c>
      <c r="T4" s="198" t="s">
        <v>322</v>
      </c>
      <c r="U4" s="198" t="s">
        <v>322</v>
      </c>
      <c r="V4" s="198" t="s">
        <v>322</v>
      </c>
      <c r="W4" s="198" t="s">
        <v>322</v>
      </c>
      <c r="X4" s="198" t="s">
        <v>322</v>
      </c>
      <c r="Y4" s="198" t="s">
        <v>322</v>
      </c>
      <c r="Z4" s="198" t="s">
        <v>322</v>
      </c>
      <c r="AA4" s="198" t="s">
        <v>322</v>
      </c>
      <c r="AB4" s="198" t="s">
        <v>322</v>
      </c>
      <c r="AC4" s="198" t="s">
        <v>322</v>
      </c>
      <c r="AD4" s="198" t="s">
        <v>322</v>
      </c>
    </row>
    <row r="5" spans="1:30">
      <c r="A5" s="3" t="s">
        <v>271</v>
      </c>
      <c r="B5" s="4" t="s">
        <v>272</v>
      </c>
      <c r="C5" s="4" t="s">
        <v>273</v>
      </c>
      <c r="D5" s="5" t="s">
        <v>1</v>
      </c>
      <c r="E5" s="198" t="s">
        <v>141</v>
      </c>
      <c r="F5" s="198" t="s">
        <v>140</v>
      </c>
      <c r="G5" s="198" t="s">
        <v>136</v>
      </c>
      <c r="H5" s="198" t="s">
        <v>135</v>
      </c>
      <c r="I5" s="198" t="s">
        <v>133</v>
      </c>
      <c r="J5" s="198" t="s">
        <v>132</v>
      </c>
      <c r="K5" s="198" t="s">
        <v>130</v>
      </c>
      <c r="L5" s="198" t="s">
        <v>129</v>
      </c>
      <c r="M5" s="198" t="s">
        <v>128</v>
      </c>
      <c r="N5" s="198" t="s">
        <v>127</v>
      </c>
      <c r="O5" s="198" t="s">
        <v>126</v>
      </c>
      <c r="P5" s="198" t="s">
        <v>125</v>
      </c>
      <c r="Q5" s="198" t="s">
        <v>120</v>
      </c>
      <c r="R5" s="198" t="s">
        <v>118</v>
      </c>
      <c r="S5" s="198" t="s">
        <v>117</v>
      </c>
      <c r="T5" s="198" t="s">
        <v>116</v>
      </c>
      <c r="U5" s="198" t="s">
        <v>115</v>
      </c>
      <c r="V5" s="198" t="s">
        <v>114</v>
      </c>
      <c r="W5" s="198" t="s">
        <v>113</v>
      </c>
      <c r="X5" s="198" t="s">
        <v>111</v>
      </c>
      <c r="Y5" s="198" t="s">
        <v>107</v>
      </c>
      <c r="Z5" s="198" t="s">
        <v>106</v>
      </c>
      <c r="AA5" s="198" t="s">
        <v>100</v>
      </c>
      <c r="AB5" s="198" t="s">
        <v>316</v>
      </c>
      <c r="AC5" s="198" t="s">
        <v>317</v>
      </c>
      <c r="AD5" s="198" t="s">
        <v>318</v>
      </c>
    </row>
    <row r="6" spans="1:30">
      <c r="B6" s="2"/>
      <c r="C6" s="2"/>
      <c r="D6" s="2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</row>
    <row r="7" spans="1:30">
      <c r="B7" s="6" t="s">
        <v>274</v>
      </c>
      <c r="C7" s="6" t="s">
        <v>274</v>
      </c>
      <c r="D7" s="7">
        <v>4058513</v>
      </c>
      <c r="E7" s="199" t="s">
        <v>175</v>
      </c>
      <c r="F7" s="199" t="s">
        <v>175</v>
      </c>
      <c r="G7" s="199" t="s">
        <v>175</v>
      </c>
      <c r="H7" s="199">
        <v>23985</v>
      </c>
      <c r="I7" s="199">
        <v>22863</v>
      </c>
      <c r="J7" s="199">
        <v>21600</v>
      </c>
      <c r="K7" s="199">
        <v>20874</v>
      </c>
      <c r="L7" s="199">
        <v>18722</v>
      </c>
      <c r="M7" s="199">
        <v>17490</v>
      </c>
      <c r="N7" s="199">
        <v>16781</v>
      </c>
      <c r="O7" s="199">
        <v>16599</v>
      </c>
      <c r="P7" s="199">
        <v>15498</v>
      </c>
      <c r="Q7" s="199">
        <v>15260</v>
      </c>
      <c r="R7" s="199">
        <v>15110</v>
      </c>
      <c r="S7" s="199">
        <v>14961</v>
      </c>
      <c r="T7" s="199">
        <v>14895</v>
      </c>
      <c r="U7" s="199">
        <v>14078</v>
      </c>
      <c r="V7" s="199">
        <v>13674</v>
      </c>
      <c r="W7" s="199">
        <v>13950</v>
      </c>
      <c r="X7" s="199" t="s">
        <v>175</v>
      </c>
      <c r="Y7" s="199" t="s">
        <v>175</v>
      </c>
      <c r="Z7" s="199" t="s">
        <v>175</v>
      </c>
      <c r="AA7" s="199" t="s">
        <v>175</v>
      </c>
      <c r="AB7" s="199" t="s">
        <v>175</v>
      </c>
      <c r="AC7" s="199" t="s">
        <v>175</v>
      </c>
      <c r="AD7" s="199" t="s">
        <v>175</v>
      </c>
    </row>
    <row r="8" spans="1:30">
      <c r="B8" s="6" t="s">
        <v>98</v>
      </c>
      <c r="C8" s="6" t="s">
        <v>98</v>
      </c>
      <c r="D8" s="7">
        <v>4054707</v>
      </c>
      <c r="E8" s="199">
        <v>239943</v>
      </c>
      <c r="F8" s="199">
        <v>281881</v>
      </c>
      <c r="G8" s="199">
        <v>257478</v>
      </c>
      <c r="H8" s="199">
        <v>223182</v>
      </c>
      <c r="I8" s="199">
        <v>231163</v>
      </c>
      <c r="J8" s="199">
        <v>208993</v>
      </c>
      <c r="K8" s="199">
        <v>199499</v>
      </c>
      <c r="L8" s="199">
        <v>183527</v>
      </c>
      <c r="M8" s="199">
        <v>167876</v>
      </c>
      <c r="N8" s="199">
        <v>165392</v>
      </c>
      <c r="O8" s="199">
        <v>154932</v>
      </c>
      <c r="P8" s="199">
        <v>155561</v>
      </c>
      <c r="Q8" s="199">
        <v>149244</v>
      </c>
      <c r="R8" s="199">
        <v>135388</v>
      </c>
      <c r="S8" s="199">
        <v>121412</v>
      </c>
      <c r="T8" s="199">
        <v>118393</v>
      </c>
      <c r="U8" s="199">
        <v>117308</v>
      </c>
      <c r="V8" s="199">
        <v>124963</v>
      </c>
      <c r="W8" s="199">
        <v>152452</v>
      </c>
      <c r="X8" s="199">
        <v>155471</v>
      </c>
      <c r="Y8" s="199">
        <v>171198</v>
      </c>
      <c r="Z8" s="199">
        <v>167294</v>
      </c>
      <c r="AA8" s="199">
        <v>161605</v>
      </c>
      <c r="AB8" s="199">
        <v>177058</v>
      </c>
      <c r="AC8" s="199">
        <v>173565</v>
      </c>
      <c r="AD8" s="199">
        <v>231532</v>
      </c>
    </row>
    <row r="9" spans="1:30">
      <c r="B9" s="6" t="s">
        <v>145</v>
      </c>
      <c r="C9" s="6" t="s">
        <v>145</v>
      </c>
      <c r="D9" s="7">
        <v>4057075</v>
      </c>
      <c r="E9" s="199">
        <v>70276</v>
      </c>
      <c r="F9" s="199">
        <v>69191</v>
      </c>
      <c r="G9" s="199">
        <v>61968</v>
      </c>
      <c r="H9" s="199">
        <v>43949</v>
      </c>
      <c r="I9" s="199">
        <v>39141</v>
      </c>
      <c r="J9" s="199">
        <v>37036</v>
      </c>
      <c r="K9" s="199">
        <v>34391</v>
      </c>
      <c r="L9" s="199">
        <v>31929</v>
      </c>
      <c r="M9" s="199">
        <v>28704</v>
      </c>
      <c r="N9" s="199">
        <v>27108</v>
      </c>
      <c r="O9" s="199">
        <v>25068</v>
      </c>
      <c r="P9" s="199">
        <v>22672</v>
      </c>
      <c r="Q9" s="199">
        <v>20364</v>
      </c>
      <c r="R9" s="199">
        <v>18646</v>
      </c>
      <c r="S9" s="199">
        <v>18537</v>
      </c>
      <c r="T9" s="199">
        <v>15639</v>
      </c>
      <c r="U9" s="199">
        <v>14965</v>
      </c>
      <c r="V9" s="199">
        <v>13164</v>
      </c>
      <c r="W9" s="199">
        <v>13006</v>
      </c>
      <c r="X9" s="199">
        <v>13042</v>
      </c>
      <c r="Y9" s="199">
        <v>12732</v>
      </c>
      <c r="Z9" s="199">
        <v>11635</v>
      </c>
      <c r="AA9" s="199">
        <v>11042</v>
      </c>
      <c r="AB9" s="199">
        <v>6707</v>
      </c>
      <c r="AC9" s="199">
        <v>9584</v>
      </c>
      <c r="AD9" s="199">
        <v>9194</v>
      </c>
    </row>
    <row r="10" spans="1:30">
      <c r="A10" s="1" t="s">
        <v>275</v>
      </c>
      <c r="B10" s="6" t="s">
        <v>154</v>
      </c>
      <c r="C10" s="6" t="s">
        <v>154</v>
      </c>
      <c r="D10" s="7">
        <v>4007784</v>
      </c>
      <c r="E10" s="199">
        <v>30669</v>
      </c>
      <c r="F10" s="199">
        <v>23194</v>
      </c>
      <c r="G10" s="199">
        <v>21687</v>
      </c>
      <c r="H10" s="199">
        <v>19509</v>
      </c>
      <c r="I10" s="199">
        <v>18275</v>
      </c>
      <c r="J10" s="199">
        <v>12372</v>
      </c>
      <c r="K10" s="199">
        <v>11556</v>
      </c>
      <c r="L10" s="199">
        <v>10979</v>
      </c>
      <c r="M10" s="199">
        <v>10795</v>
      </c>
      <c r="N10" s="199">
        <v>9117</v>
      </c>
      <c r="O10" s="199">
        <v>9450</v>
      </c>
      <c r="P10" s="199">
        <v>7854</v>
      </c>
      <c r="Q10" s="199">
        <v>7340</v>
      </c>
      <c r="R10" s="199">
        <v>7028</v>
      </c>
      <c r="S10" s="199">
        <v>6462</v>
      </c>
      <c r="T10" s="199">
        <v>5862</v>
      </c>
      <c r="U10" s="199">
        <v>4795</v>
      </c>
      <c r="V10" s="199">
        <v>4667</v>
      </c>
      <c r="W10" s="199">
        <v>4864</v>
      </c>
      <c r="X10" s="199">
        <v>4353</v>
      </c>
      <c r="Y10" s="199">
        <v>5663</v>
      </c>
      <c r="Z10" s="199">
        <v>6007</v>
      </c>
      <c r="AA10" s="199">
        <v>6009</v>
      </c>
      <c r="AB10" s="199">
        <v>5517</v>
      </c>
      <c r="AC10" s="199">
        <v>5467</v>
      </c>
      <c r="AD10" s="199">
        <v>4650</v>
      </c>
    </row>
    <row r="11" spans="1:30">
      <c r="A11" s="1" t="s">
        <v>275</v>
      </c>
      <c r="B11" s="6" t="s">
        <v>276</v>
      </c>
      <c r="C11" s="6" t="s">
        <v>277</v>
      </c>
      <c r="D11" s="7">
        <v>4058656</v>
      </c>
      <c r="E11" s="199">
        <v>44884</v>
      </c>
      <c r="F11" s="199">
        <v>43583</v>
      </c>
      <c r="G11" s="199">
        <v>45749</v>
      </c>
      <c r="H11" s="199">
        <v>44142</v>
      </c>
      <c r="I11" s="199">
        <v>41439</v>
      </c>
      <c r="J11" s="199">
        <v>35705</v>
      </c>
      <c r="K11" s="199">
        <v>33649</v>
      </c>
      <c r="L11" s="199">
        <v>35587</v>
      </c>
      <c r="M11" s="199">
        <v>32435</v>
      </c>
      <c r="N11" s="199">
        <v>27685</v>
      </c>
      <c r="O11" s="199">
        <v>24652</v>
      </c>
      <c r="P11" s="199">
        <v>24391</v>
      </c>
      <c r="Q11" s="199">
        <v>22400</v>
      </c>
      <c r="R11" s="199">
        <v>27427</v>
      </c>
      <c r="S11" s="199">
        <v>25702</v>
      </c>
      <c r="T11" s="199">
        <v>30831</v>
      </c>
      <c r="U11" s="199">
        <v>39150</v>
      </c>
      <c r="V11" s="199">
        <v>45357</v>
      </c>
      <c r="W11" s="199">
        <v>45494</v>
      </c>
      <c r="X11" s="199">
        <v>45726</v>
      </c>
      <c r="Y11" s="199">
        <v>46722</v>
      </c>
      <c r="Z11" s="199">
        <v>57982</v>
      </c>
      <c r="AA11" s="199">
        <v>51301</v>
      </c>
      <c r="AB11" s="199">
        <v>50404</v>
      </c>
      <c r="AC11" s="199">
        <v>70640</v>
      </c>
      <c r="AD11" s="199" t="s">
        <v>175</v>
      </c>
    </row>
    <row r="12" spans="1:30">
      <c r="A12" s="1" t="s">
        <v>275</v>
      </c>
      <c r="B12" s="6" t="s">
        <v>162</v>
      </c>
      <c r="C12" s="6" t="s">
        <v>163</v>
      </c>
      <c r="D12" s="7">
        <v>4057110</v>
      </c>
      <c r="E12" s="199">
        <v>38930</v>
      </c>
      <c r="F12" s="199">
        <v>37389</v>
      </c>
      <c r="G12" s="199">
        <v>35839</v>
      </c>
      <c r="H12" s="199">
        <v>32693</v>
      </c>
      <c r="I12" s="199">
        <v>26345</v>
      </c>
      <c r="J12" s="199">
        <v>19283</v>
      </c>
      <c r="K12" s="199">
        <v>17882</v>
      </c>
      <c r="L12" s="199">
        <v>16618</v>
      </c>
      <c r="M12" s="199">
        <v>13422</v>
      </c>
      <c r="N12" s="199">
        <v>13411</v>
      </c>
      <c r="O12" s="199">
        <v>12012</v>
      </c>
      <c r="P12" s="199">
        <v>12311</v>
      </c>
      <c r="Q12" s="199">
        <v>11888</v>
      </c>
      <c r="R12" s="199">
        <v>11183</v>
      </c>
      <c r="S12" s="199">
        <v>10340</v>
      </c>
      <c r="T12" s="199">
        <v>9813</v>
      </c>
      <c r="U12" s="199">
        <v>9209</v>
      </c>
      <c r="V12" s="199">
        <v>9257</v>
      </c>
      <c r="W12" s="199">
        <v>8710</v>
      </c>
      <c r="X12" s="199">
        <v>8341</v>
      </c>
      <c r="Y12" s="199">
        <v>8374</v>
      </c>
      <c r="Z12" s="199">
        <v>8251</v>
      </c>
      <c r="AA12" s="199">
        <v>9239</v>
      </c>
      <c r="AB12" s="199">
        <v>9338</v>
      </c>
      <c r="AC12" s="199">
        <v>9485</v>
      </c>
      <c r="AD12" s="199">
        <v>9640</v>
      </c>
    </row>
    <row r="13" spans="1:30">
      <c r="B13" s="6" t="s">
        <v>165</v>
      </c>
      <c r="C13" s="6" t="s">
        <v>165</v>
      </c>
      <c r="D13" s="7">
        <v>4058516</v>
      </c>
      <c r="E13" s="199">
        <v>57947</v>
      </c>
      <c r="F13" s="199">
        <v>43679</v>
      </c>
      <c r="G13" s="199">
        <v>41833</v>
      </c>
      <c r="H13" s="199">
        <v>41697</v>
      </c>
      <c r="I13" s="199">
        <v>42517</v>
      </c>
      <c r="J13" s="199">
        <v>39000</v>
      </c>
      <c r="K13" s="199">
        <v>36172</v>
      </c>
      <c r="L13" s="199">
        <v>33417</v>
      </c>
      <c r="M13" s="199">
        <v>30650</v>
      </c>
      <c r="N13" s="199">
        <v>30394</v>
      </c>
      <c r="O13" s="199">
        <v>31679</v>
      </c>
      <c r="P13" s="199">
        <v>28495</v>
      </c>
      <c r="Q13" s="199">
        <v>27139</v>
      </c>
      <c r="R13" s="199">
        <v>30270</v>
      </c>
      <c r="S13" s="199">
        <v>28695</v>
      </c>
      <c r="T13" s="199">
        <v>27269</v>
      </c>
      <c r="U13" s="199">
        <v>26646</v>
      </c>
      <c r="V13" s="199">
        <v>27003</v>
      </c>
      <c r="W13" s="199">
        <v>25999</v>
      </c>
      <c r="X13" s="199">
        <v>24497</v>
      </c>
      <c r="Y13" s="199">
        <v>24273</v>
      </c>
      <c r="Z13" s="199">
        <v>28439</v>
      </c>
      <c r="AA13" s="199">
        <v>27016</v>
      </c>
      <c r="AB13" s="199">
        <v>25682</v>
      </c>
      <c r="AC13" s="199">
        <v>25109</v>
      </c>
      <c r="AD13" s="199">
        <v>21432</v>
      </c>
    </row>
    <row r="14" spans="1:30">
      <c r="B14" s="6" t="s">
        <v>167</v>
      </c>
      <c r="C14" s="6" t="s">
        <v>167</v>
      </c>
      <c r="D14" s="7">
        <v>4058793</v>
      </c>
      <c r="E14" s="199">
        <v>1788</v>
      </c>
      <c r="F14" s="199">
        <v>1742</v>
      </c>
      <c r="G14" s="199">
        <v>1628</v>
      </c>
      <c r="H14" s="199">
        <v>1608</v>
      </c>
      <c r="I14" s="199">
        <v>1555</v>
      </c>
      <c r="J14" s="199">
        <v>1386</v>
      </c>
      <c r="K14" s="199">
        <v>1326</v>
      </c>
      <c r="L14" s="199">
        <v>1326</v>
      </c>
      <c r="M14" s="199">
        <v>1212</v>
      </c>
      <c r="N14" s="199">
        <v>1167</v>
      </c>
      <c r="O14" s="199">
        <v>1141</v>
      </c>
      <c r="P14" s="199">
        <v>1140</v>
      </c>
      <c r="Q14" s="199">
        <v>1148</v>
      </c>
      <c r="R14" s="199">
        <v>1058</v>
      </c>
      <c r="S14" s="199">
        <v>996</v>
      </c>
      <c r="T14" s="199">
        <v>993</v>
      </c>
      <c r="U14" s="199">
        <v>1042</v>
      </c>
      <c r="V14" s="199">
        <v>1124</v>
      </c>
      <c r="W14" s="199">
        <v>1002</v>
      </c>
      <c r="X14" s="199">
        <v>957</v>
      </c>
      <c r="Y14" s="199">
        <v>925</v>
      </c>
      <c r="Z14" s="199">
        <v>819</v>
      </c>
      <c r="AA14" s="199">
        <v>803</v>
      </c>
      <c r="AB14" s="199" t="s">
        <v>175</v>
      </c>
      <c r="AC14" s="199" t="s">
        <v>175</v>
      </c>
      <c r="AD14" s="199" t="s">
        <v>175</v>
      </c>
    </row>
    <row r="15" spans="1:30">
      <c r="A15" s="1" t="s">
        <v>275</v>
      </c>
      <c r="B15" s="6" t="s">
        <v>169</v>
      </c>
      <c r="C15" s="6" t="s">
        <v>169</v>
      </c>
      <c r="D15" s="7">
        <v>4057111</v>
      </c>
      <c r="E15" s="199">
        <v>89394</v>
      </c>
      <c r="F15" s="199">
        <v>81710</v>
      </c>
      <c r="G15" s="199">
        <v>76882</v>
      </c>
      <c r="H15" s="199">
        <v>75725</v>
      </c>
      <c r="I15" s="199">
        <v>85765</v>
      </c>
      <c r="J15" s="199">
        <v>75152</v>
      </c>
      <c r="K15" s="199">
        <v>65679</v>
      </c>
      <c r="L15" s="199">
        <v>62522</v>
      </c>
      <c r="M15" s="199">
        <v>55679</v>
      </c>
      <c r="N15" s="199">
        <v>53311</v>
      </c>
      <c r="O15" s="199">
        <v>51645</v>
      </c>
      <c r="P15" s="199">
        <v>49227</v>
      </c>
      <c r="Q15" s="199">
        <v>45993</v>
      </c>
      <c r="R15" s="199">
        <v>39428</v>
      </c>
      <c r="S15" s="199">
        <v>42743</v>
      </c>
      <c r="T15" s="199">
        <v>31989</v>
      </c>
      <c r="U15" s="199">
        <v>27572</v>
      </c>
      <c r="V15" s="199">
        <v>33940</v>
      </c>
      <c r="W15" s="199">
        <v>33562</v>
      </c>
      <c r="X15" s="199">
        <v>30363</v>
      </c>
      <c r="Y15" s="199">
        <v>24433</v>
      </c>
      <c r="Z15" s="199">
        <v>34901</v>
      </c>
      <c r="AA15" s="199">
        <v>40673</v>
      </c>
      <c r="AB15" s="199">
        <v>41876</v>
      </c>
      <c r="AC15" s="199">
        <v>40820</v>
      </c>
      <c r="AD15" s="199">
        <v>40370</v>
      </c>
    </row>
    <row r="16" spans="1:30">
      <c r="A16" s="1" t="s">
        <v>275</v>
      </c>
      <c r="B16" s="6" t="s">
        <v>170</v>
      </c>
      <c r="C16" s="6" t="s">
        <v>170</v>
      </c>
      <c r="D16" s="7">
        <v>4018679</v>
      </c>
      <c r="E16" s="199">
        <v>205157</v>
      </c>
      <c r="F16" s="199">
        <v>195655</v>
      </c>
      <c r="G16" s="199">
        <v>179622</v>
      </c>
      <c r="H16" s="199">
        <v>165686</v>
      </c>
      <c r="I16" s="199">
        <v>162914</v>
      </c>
      <c r="J16" s="199">
        <v>154460</v>
      </c>
      <c r="K16" s="199">
        <v>138522</v>
      </c>
      <c r="L16" s="199">
        <v>129731</v>
      </c>
      <c r="M16" s="199">
        <v>124006</v>
      </c>
      <c r="N16" s="199">
        <v>126610</v>
      </c>
      <c r="O16" s="199">
        <v>134150</v>
      </c>
      <c r="P16" s="199">
        <v>128026</v>
      </c>
      <c r="Q16" s="199">
        <v>133394</v>
      </c>
      <c r="R16" s="199">
        <v>145116</v>
      </c>
      <c r="S16" s="199">
        <v>149144</v>
      </c>
      <c r="T16" s="199">
        <v>156446</v>
      </c>
      <c r="U16" s="199">
        <v>155606</v>
      </c>
      <c r="V16" s="199">
        <v>182410</v>
      </c>
      <c r="W16" s="199">
        <v>179780</v>
      </c>
      <c r="X16" s="199">
        <v>175053</v>
      </c>
      <c r="Y16" s="199">
        <v>177279</v>
      </c>
      <c r="Z16" s="199">
        <v>174452</v>
      </c>
      <c r="AA16" s="199">
        <v>168775</v>
      </c>
      <c r="AB16" s="199">
        <v>164165</v>
      </c>
      <c r="AC16" s="199">
        <v>167111</v>
      </c>
      <c r="AD16" s="199">
        <v>166742</v>
      </c>
    </row>
    <row r="17" spans="1:30">
      <c r="B17" s="6" t="s">
        <v>172</v>
      </c>
      <c r="C17" s="6" t="s">
        <v>172</v>
      </c>
      <c r="D17" s="7">
        <v>4057112</v>
      </c>
      <c r="E17" s="199">
        <v>78091</v>
      </c>
      <c r="F17" s="199">
        <v>75039</v>
      </c>
      <c r="G17" s="199">
        <v>70302</v>
      </c>
      <c r="H17" s="199">
        <v>66262</v>
      </c>
      <c r="I17" s="199">
        <v>64131</v>
      </c>
      <c r="J17" s="199">
        <v>62440</v>
      </c>
      <c r="K17" s="199">
        <v>55532</v>
      </c>
      <c r="L17" s="199">
        <v>52782</v>
      </c>
      <c r="M17" s="199">
        <v>51956</v>
      </c>
      <c r="N17" s="199">
        <v>49649</v>
      </c>
      <c r="O17" s="199">
        <v>48268</v>
      </c>
      <c r="P17" s="199">
        <v>51005</v>
      </c>
      <c r="Q17" s="199">
        <v>53096</v>
      </c>
      <c r="R17" s="199">
        <v>51512</v>
      </c>
      <c r="S17" s="199">
        <v>49570</v>
      </c>
      <c r="T17" s="199">
        <v>49759</v>
      </c>
      <c r="U17" s="199">
        <v>47716</v>
      </c>
      <c r="V17" s="199">
        <v>44766</v>
      </c>
      <c r="W17" s="199">
        <v>41405</v>
      </c>
      <c r="X17" s="199">
        <v>39958</v>
      </c>
      <c r="Y17" s="199">
        <v>35592</v>
      </c>
      <c r="Z17" s="199">
        <v>35194</v>
      </c>
      <c r="AA17" s="199">
        <v>35624</v>
      </c>
      <c r="AB17" s="199">
        <v>35597</v>
      </c>
      <c r="AC17" s="199">
        <v>34084</v>
      </c>
      <c r="AD17" s="199">
        <v>33162</v>
      </c>
    </row>
    <row r="18" spans="1:30">
      <c r="A18" s="1" t="s">
        <v>275</v>
      </c>
      <c r="B18" s="6" t="s">
        <v>173</v>
      </c>
      <c r="C18" s="6" t="s">
        <v>173</v>
      </c>
      <c r="D18" s="7">
        <v>4057076</v>
      </c>
      <c r="E18" s="199" t="s">
        <v>175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</row>
    <row r="19" spans="1:30">
      <c r="B19" s="6" t="s">
        <v>278</v>
      </c>
      <c r="C19" s="6" t="s">
        <v>278</v>
      </c>
      <c r="D19" s="7">
        <v>4059166</v>
      </c>
      <c r="E19" s="199">
        <v>15733</v>
      </c>
      <c r="F19" s="199">
        <v>16116</v>
      </c>
      <c r="G19" s="199">
        <v>12551</v>
      </c>
      <c r="H19" s="199">
        <v>13012</v>
      </c>
      <c r="I19" s="199">
        <v>8627</v>
      </c>
      <c r="J19" s="199">
        <v>8233</v>
      </c>
      <c r="K19" s="199">
        <v>7550</v>
      </c>
      <c r="L19" s="199">
        <v>6753</v>
      </c>
      <c r="M19" s="199">
        <v>5633</v>
      </c>
      <c r="N19" s="199">
        <v>5294</v>
      </c>
      <c r="O19" s="199">
        <v>4685</v>
      </c>
      <c r="P19" s="199">
        <v>4427</v>
      </c>
      <c r="Q19" s="199">
        <v>3514</v>
      </c>
      <c r="R19" s="199">
        <v>2161</v>
      </c>
      <c r="S19" s="199">
        <v>3020</v>
      </c>
      <c r="T19" s="199">
        <v>2116</v>
      </c>
      <c r="U19" s="199">
        <v>2039</v>
      </c>
      <c r="V19" s="199">
        <v>2974</v>
      </c>
      <c r="W19" s="199">
        <v>3517</v>
      </c>
      <c r="X19" s="199">
        <v>3615</v>
      </c>
      <c r="Y19" s="199">
        <v>6878</v>
      </c>
      <c r="Z19" s="199" t="s">
        <v>175</v>
      </c>
      <c r="AA19" s="199" t="s">
        <v>175</v>
      </c>
      <c r="AB19" s="199">
        <v>9477</v>
      </c>
      <c r="AC19" s="199">
        <v>9828</v>
      </c>
      <c r="AD19" s="199">
        <v>9714</v>
      </c>
    </row>
    <row r="20" spans="1:30">
      <c r="B20" s="6" t="s">
        <v>279</v>
      </c>
      <c r="C20" s="6" t="s">
        <v>279</v>
      </c>
      <c r="D20" s="7">
        <v>4059227</v>
      </c>
      <c r="E20" s="199">
        <v>6902</v>
      </c>
      <c r="F20" s="199">
        <v>6797</v>
      </c>
      <c r="G20" s="199">
        <v>6953</v>
      </c>
      <c r="H20" s="199">
        <v>6145</v>
      </c>
      <c r="I20" s="199">
        <v>6082</v>
      </c>
      <c r="J20" s="199">
        <v>5907</v>
      </c>
      <c r="K20" s="199">
        <v>5729</v>
      </c>
      <c r="L20" s="199">
        <v>5573</v>
      </c>
      <c r="M20" s="199">
        <v>5676</v>
      </c>
      <c r="N20" s="199">
        <v>5660</v>
      </c>
      <c r="O20" s="199">
        <v>5667</v>
      </c>
      <c r="P20" s="199">
        <v>5752</v>
      </c>
      <c r="Q20" s="199">
        <v>5870</v>
      </c>
      <c r="R20" s="199">
        <v>5756</v>
      </c>
      <c r="S20" s="199">
        <v>5917</v>
      </c>
      <c r="T20" s="199">
        <v>5879</v>
      </c>
      <c r="U20" s="199" t="s">
        <v>175</v>
      </c>
      <c r="V20" s="199">
        <v>5809</v>
      </c>
      <c r="W20" s="199">
        <v>5880</v>
      </c>
      <c r="X20" s="199" t="s">
        <v>175</v>
      </c>
      <c r="Y20" s="199">
        <v>5563</v>
      </c>
      <c r="Z20" s="199" t="s">
        <v>175</v>
      </c>
      <c r="AA20" s="199" t="s">
        <v>175</v>
      </c>
      <c r="AB20" s="199" t="s">
        <v>175</v>
      </c>
      <c r="AC20" s="199">
        <v>2223</v>
      </c>
      <c r="AD20" s="199">
        <v>2668</v>
      </c>
    </row>
    <row r="21" spans="1:30">
      <c r="A21" s="1" t="s">
        <v>275</v>
      </c>
      <c r="B21" s="6" t="s">
        <v>174</v>
      </c>
      <c r="C21" s="6" t="s">
        <v>174</v>
      </c>
      <c r="D21" s="7">
        <v>4057114</v>
      </c>
      <c r="E21" s="199">
        <v>25763</v>
      </c>
      <c r="F21" s="199">
        <v>24018</v>
      </c>
      <c r="G21" s="199">
        <v>23781</v>
      </c>
      <c r="H21" s="199">
        <v>22661</v>
      </c>
      <c r="I21" s="199">
        <v>21530</v>
      </c>
      <c r="J21" s="199">
        <v>23819</v>
      </c>
      <c r="K21" s="199">
        <v>21590</v>
      </c>
      <c r="L21" s="199">
        <v>19991</v>
      </c>
      <c r="M21" s="199">
        <v>19004</v>
      </c>
      <c r="N21" s="199">
        <v>19754</v>
      </c>
      <c r="O21" s="199">
        <v>19756</v>
      </c>
      <c r="P21" s="199">
        <v>21342</v>
      </c>
      <c r="Q21" s="199">
        <v>19757</v>
      </c>
      <c r="R21" s="199">
        <v>16912</v>
      </c>
      <c r="S21" s="199">
        <v>15916</v>
      </c>
      <c r="T21" s="199">
        <v>14506</v>
      </c>
      <c r="U21" s="199">
        <v>15550</v>
      </c>
      <c r="V21" s="199">
        <v>14070</v>
      </c>
      <c r="W21" s="199">
        <v>16221</v>
      </c>
      <c r="X21" s="199">
        <v>15567</v>
      </c>
      <c r="Y21" s="199">
        <v>14602</v>
      </c>
      <c r="Z21" s="199">
        <v>14311</v>
      </c>
      <c r="AA21" s="199">
        <v>19804</v>
      </c>
      <c r="AB21" s="199">
        <v>15937</v>
      </c>
      <c r="AC21" s="199">
        <v>15009</v>
      </c>
      <c r="AD21" s="199">
        <v>13976</v>
      </c>
    </row>
    <row r="22" spans="1:30">
      <c r="B22" s="6" t="s">
        <v>176</v>
      </c>
      <c r="C22" s="6" t="s">
        <v>176</v>
      </c>
      <c r="D22" s="7">
        <v>4059355</v>
      </c>
      <c r="E22" s="199">
        <v>6247</v>
      </c>
      <c r="F22" s="199">
        <v>6169</v>
      </c>
      <c r="G22" s="199">
        <v>5975</v>
      </c>
      <c r="H22" s="199">
        <v>5750</v>
      </c>
      <c r="I22" s="199">
        <v>4938</v>
      </c>
      <c r="J22" s="199">
        <v>4825</v>
      </c>
      <c r="K22" s="199">
        <v>4434</v>
      </c>
      <c r="L22" s="199">
        <v>5201</v>
      </c>
      <c r="M22" s="199">
        <v>5302</v>
      </c>
      <c r="N22" s="199">
        <v>5133</v>
      </c>
      <c r="O22" s="199">
        <v>4478</v>
      </c>
      <c r="P22" s="199">
        <v>4436</v>
      </c>
      <c r="Q22" s="199">
        <v>4667</v>
      </c>
      <c r="R22" s="199">
        <v>4312</v>
      </c>
      <c r="S22" s="199">
        <v>4904</v>
      </c>
      <c r="T22" s="199">
        <v>4811</v>
      </c>
      <c r="U22" s="199">
        <v>5280</v>
      </c>
      <c r="V22" s="199">
        <v>5218</v>
      </c>
      <c r="W22" s="199">
        <v>5290</v>
      </c>
      <c r="X22" s="199">
        <v>5059</v>
      </c>
      <c r="Y22" s="199">
        <v>5102</v>
      </c>
      <c r="Z22" s="199">
        <v>5078</v>
      </c>
      <c r="AA22" s="199">
        <v>5084</v>
      </c>
      <c r="AB22" s="199">
        <v>4879</v>
      </c>
      <c r="AC22" s="199">
        <v>5575</v>
      </c>
      <c r="AD22" s="199">
        <v>3219</v>
      </c>
    </row>
    <row r="23" spans="1:30">
      <c r="B23" s="6" t="s">
        <v>178</v>
      </c>
      <c r="C23" s="6" t="s">
        <v>178</v>
      </c>
      <c r="D23" s="7">
        <v>4088325</v>
      </c>
      <c r="E23" s="199">
        <v>3174</v>
      </c>
      <c r="F23" s="199">
        <v>2945</v>
      </c>
      <c r="G23" s="199">
        <v>2336</v>
      </c>
      <c r="H23" s="199">
        <v>2321</v>
      </c>
      <c r="I23" s="199">
        <v>2151</v>
      </c>
      <c r="J23" s="199">
        <v>2114</v>
      </c>
      <c r="K23" s="199">
        <v>1993</v>
      </c>
      <c r="L23" s="199">
        <v>1880</v>
      </c>
      <c r="M23" s="199">
        <v>1741</v>
      </c>
      <c r="N23" s="199">
        <v>1676</v>
      </c>
      <c r="O23" s="199">
        <v>1469</v>
      </c>
      <c r="P23" s="199">
        <v>1401</v>
      </c>
      <c r="Q23" s="199">
        <v>1570</v>
      </c>
      <c r="R23" s="199">
        <v>1351</v>
      </c>
      <c r="S23" s="199">
        <v>1442</v>
      </c>
      <c r="T23" s="199">
        <v>1459</v>
      </c>
      <c r="U23" s="199">
        <v>1487</v>
      </c>
      <c r="V23" s="199">
        <v>1429</v>
      </c>
      <c r="W23" s="199">
        <v>1451</v>
      </c>
      <c r="X23" s="199">
        <v>1199</v>
      </c>
      <c r="Y23" s="199">
        <v>1182</v>
      </c>
      <c r="Z23" s="199">
        <v>1061</v>
      </c>
      <c r="AA23" s="199">
        <v>1018</v>
      </c>
      <c r="AB23" s="199">
        <v>996</v>
      </c>
      <c r="AC23" s="199">
        <v>979</v>
      </c>
      <c r="AD23" s="199">
        <v>1092</v>
      </c>
    </row>
    <row r="24" spans="1:30">
      <c r="B24" s="6" t="s">
        <v>280</v>
      </c>
      <c r="C24" s="6" t="s">
        <v>280</v>
      </c>
      <c r="D24" s="7">
        <v>4088326</v>
      </c>
      <c r="E24" s="199">
        <v>75648</v>
      </c>
      <c r="F24" s="199">
        <v>72657</v>
      </c>
      <c r="G24" s="199">
        <v>75188</v>
      </c>
      <c r="H24" s="199">
        <v>74714</v>
      </c>
      <c r="I24" s="199">
        <v>71542</v>
      </c>
      <c r="J24" s="199">
        <v>74250</v>
      </c>
      <c r="K24" s="199">
        <v>71030</v>
      </c>
      <c r="L24" s="199">
        <v>47202</v>
      </c>
      <c r="M24" s="199">
        <v>46734</v>
      </c>
      <c r="N24" s="199">
        <v>46225</v>
      </c>
      <c r="O24" s="199">
        <v>39351</v>
      </c>
      <c r="P24" s="199">
        <v>39587</v>
      </c>
      <c r="Q24" s="199">
        <v>39405</v>
      </c>
      <c r="R24" s="199">
        <v>38811</v>
      </c>
      <c r="S24" s="199">
        <v>39502</v>
      </c>
      <c r="T24" s="199">
        <v>40542</v>
      </c>
      <c r="U24" s="199">
        <v>42048</v>
      </c>
      <c r="V24" s="199">
        <v>45675</v>
      </c>
      <c r="W24" s="199">
        <v>49540</v>
      </c>
      <c r="X24" s="199">
        <v>48359</v>
      </c>
      <c r="Y24" s="199" t="s">
        <v>175</v>
      </c>
      <c r="Z24" s="199">
        <v>50795</v>
      </c>
      <c r="AA24" s="199">
        <v>61304</v>
      </c>
      <c r="AB24" s="199">
        <v>51034</v>
      </c>
      <c r="AC24" s="199">
        <v>46325</v>
      </c>
      <c r="AD24" s="199">
        <v>41412</v>
      </c>
    </row>
    <row r="25" spans="1:30">
      <c r="A25" s="1" t="s">
        <v>275</v>
      </c>
      <c r="B25" s="6" t="s">
        <v>281</v>
      </c>
      <c r="C25" s="6" t="s">
        <v>281</v>
      </c>
      <c r="D25" s="7">
        <v>4059358</v>
      </c>
      <c r="E25" s="199">
        <v>28364</v>
      </c>
      <c r="F25" s="199">
        <v>28735</v>
      </c>
      <c r="G25" s="199">
        <v>27923</v>
      </c>
      <c r="H25" s="199">
        <v>27947</v>
      </c>
      <c r="I25" s="199">
        <v>25581</v>
      </c>
      <c r="J25" s="199">
        <v>25651</v>
      </c>
      <c r="K25" s="199">
        <v>25536</v>
      </c>
      <c r="L25" s="199">
        <v>25013</v>
      </c>
      <c r="M25" s="199">
        <v>24603</v>
      </c>
      <c r="N25" s="199">
        <v>24403</v>
      </c>
      <c r="O25" s="199">
        <v>22476</v>
      </c>
      <c r="P25" s="199">
        <v>21892</v>
      </c>
      <c r="Q25" s="199">
        <v>22498</v>
      </c>
      <c r="R25" s="199">
        <v>20335</v>
      </c>
      <c r="S25" s="199">
        <v>21324</v>
      </c>
      <c r="T25" s="199">
        <v>22036</v>
      </c>
      <c r="U25" s="199">
        <v>23357</v>
      </c>
      <c r="V25" s="199">
        <v>22859</v>
      </c>
      <c r="W25" s="199">
        <v>23443</v>
      </c>
      <c r="X25" s="199">
        <v>22929</v>
      </c>
      <c r="Y25" s="199">
        <v>22489</v>
      </c>
      <c r="Z25" s="199">
        <v>19914</v>
      </c>
      <c r="AA25" s="199">
        <v>17979</v>
      </c>
      <c r="AB25" s="199">
        <v>18540</v>
      </c>
      <c r="AC25" s="199">
        <v>13539</v>
      </c>
      <c r="AD25" s="199">
        <v>12001</v>
      </c>
    </row>
    <row r="26" spans="1:30">
      <c r="B26" s="6" t="s">
        <v>282</v>
      </c>
      <c r="C26" s="6" t="s">
        <v>282</v>
      </c>
      <c r="D26" s="7">
        <v>4059359</v>
      </c>
      <c r="E26" s="199">
        <v>13282</v>
      </c>
      <c r="F26" s="199">
        <v>13733</v>
      </c>
      <c r="G26" s="199">
        <v>13443</v>
      </c>
      <c r="H26" s="199">
        <v>12681</v>
      </c>
      <c r="I26" s="199">
        <v>12154</v>
      </c>
      <c r="J26" s="199">
        <v>12613</v>
      </c>
      <c r="K26" s="199">
        <v>11873</v>
      </c>
      <c r="L26" s="199">
        <v>11673</v>
      </c>
      <c r="M26" s="199">
        <v>11329</v>
      </c>
      <c r="N26" s="199">
        <v>11369</v>
      </c>
      <c r="O26" s="199">
        <v>10693</v>
      </c>
      <c r="P26" s="199">
        <v>10496</v>
      </c>
      <c r="Q26" s="199">
        <v>10673</v>
      </c>
      <c r="R26" s="199">
        <v>10272</v>
      </c>
      <c r="S26" s="199">
        <v>10753</v>
      </c>
      <c r="T26" s="199">
        <v>11137</v>
      </c>
      <c r="U26" s="199">
        <v>10923</v>
      </c>
      <c r="V26" s="199">
        <v>12512</v>
      </c>
      <c r="W26" s="199">
        <v>12510</v>
      </c>
      <c r="X26" s="199">
        <v>12487</v>
      </c>
      <c r="Y26" s="199">
        <v>12081</v>
      </c>
      <c r="Z26" s="199" t="s">
        <v>175</v>
      </c>
      <c r="AA26" s="199">
        <v>10811</v>
      </c>
      <c r="AB26" s="199">
        <v>9502</v>
      </c>
      <c r="AC26" s="199" t="s">
        <v>175</v>
      </c>
      <c r="AD26" s="199" t="s">
        <v>175</v>
      </c>
    </row>
    <row r="27" spans="1:30">
      <c r="A27" s="1" t="s">
        <v>275</v>
      </c>
      <c r="B27" s="6" t="s">
        <v>180</v>
      </c>
      <c r="C27" s="6" t="s">
        <v>180</v>
      </c>
      <c r="D27" s="7">
        <v>4059402</v>
      </c>
      <c r="E27" s="199">
        <v>64136</v>
      </c>
      <c r="F27" s="199">
        <v>61263</v>
      </c>
      <c r="G27" s="199">
        <v>57088</v>
      </c>
      <c r="H27" s="199">
        <v>53292</v>
      </c>
      <c r="I27" s="199">
        <v>52167</v>
      </c>
      <c r="J27" s="199">
        <v>47903</v>
      </c>
      <c r="K27" s="199">
        <v>41371</v>
      </c>
      <c r="L27" s="199">
        <v>41641</v>
      </c>
      <c r="M27" s="199">
        <v>41804</v>
      </c>
      <c r="N27" s="199">
        <v>41140</v>
      </c>
      <c r="O27" s="199">
        <v>41723</v>
      </c>
      <c r="P27" s="199">
        <v>27539</v>
      </c>
      <c r="Q27" s="199">
        <v>28499</v>
      </c>
      <c r="R27" s="199">
        <v>27720</v>
      </c>
      <c r="S27" s="199">
        <v>25742</v>
      </c>
      <c r="T27" s="199">
        <v>25663</v>
      </c>
      <c r="U27" s="199">
        <v>24278</v>
      </c>
      <c r="V27" s="199">
        <v>45485</v>
      </c>
      <c r="W27" s="199">
        <v>48934</v>
      </c>
      <c r="X27" s="199">
        <v>50695</v>
      </c>
      <c r="Y27" s="199">
        <v>50487</v>
      </c>
      <c r="Z27" s="199">
        <v>50956</v>
      </c>
      <c r="AA27" s="199">
        <v>47230</v>
      </c>
      <c r="AB27" s="199">
        <v>42679</v>
      </c>
      <c r="AC27" s="199">
        <v>42478</v>
      </c>
      <c r="AD27" s="199">
        <v>44143</v>
      </c>
    </row>
    <row r="28" spans="1:30">
      <c r="A28" s="1" t="s">
        <v>275</v>
      </c>
      <c r="B28" s="6" t="s">
        <v>182</v>
      </c>
      <c r="C28" s="6" t="s">
        <v>182</v>
      </c>
      <c r="D28" s="7">
        <v>4057080</v>
      </c>
      <c r="E28" s="199">
        <v>16245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</row>
    <row r="29" spans="1:30">
      <c r="B29" s="6" t="s">
        <v>183</v>
      </c>
      <c r="C29" s="6" t="s">
        <v>183</v>
      </c>
      <c r="D29" s="7">
        <v>4057081</v>
      </c>
      <c r="E29" s="199">
        <v>249931</v>
      </c>
      <c r="F29" s="199">
        <v>235646</v>
      </c>
      <c r="G29" s="199">
        <v>224020</v>
      </c>
      <c r="H29" s="199">
        <v>207527</v>
      </c>
      <c r="I29" s="199">
        <v>197868</v>
      </c>
      <c r="J29" s="199">
        <v>169876</v>
      </c>
      <c r="K29" s="199">
        <v>131699</v>
      </c>
      <c r="L29" s="199">
        <v>94751</v>
      </c>
      <c r="M29" s="199">
        <v>69584</v>
      </c>
      <c r="N29" s="199">
        <v>67556</v>
      </c>
      <c r="O29" s="199">
        <v>63738</v>
      </c>
      <c r="P29" s="199">
        <v>66471</v>
      </c>
      <c r="Q29" s="199">
        <v>61995</v>
      </c>
      <c r="R29" s="199">
        <v>62226</v>
      </c>
      <c r="S29" s="199">
        <v>52355</v>
      </c>
      <c r="T29" s="199">
        <v>56320</v>
      </c>
      <c r="U29" s="199">
        <v>53853</v>
      </c>
      <c r="V29" s="199">
        <v>70914</v>
      </c>
      <c r="W29" s="199">
        <v>71374</v>
      </c>
      <c r="X29" s="199">
        <v>60786</v>
      </c>
      <c r="Y29" s="199">
        <v>64797</v>
      </c>
      <c r="Z29" s="199">
        <v>52280</v>
      </c>
      <c r="AA29" s="199">
        <v>51099</v>
      </c>
      <c r="AB29" s="199">
        <v>49401</v>
      </c>
      <c r="AC29" s="199">
        <v>47469</v>
      </c>
      <c r="AD29" s="199">
        <v>47593</v>
      </c>
    </row>
    <row r="30" spans="1:30">
      <c r="A30" s="1" t="s">
        <v>275</v>
      </c>
      <c r="B30" s="6" t="s">
        <v>185</v>
      </c>
      <c r="C30" s="6" t="s">
        <v>185</v>
      </c>
      <c r="D30" s="7">
        <v>4059459</v>
      </c>
      <c r="E30" s="199">
        <v>12071</v>
      </c>
      <c r="F30" s="199">
        <v>11830</v>
      </c>
      <c r="G30" s="199">
        <v>11877</v>
      </c>
      <c r="H30" s="199">
        <v>11308</v>
      </c>
      <c r="I30" s="199">
        <v>10837</v>
      </c>
      <c r="J30" s="199">
        <v>10756</v>
      </c>
      <c r="K30" s="199">
        <v>10460</v>
      </c>
      <c r="L30" s="199">
        <v>9589</v>
      </c>
      <c r="M30" s="199">
        <v>8792</v>
      </c>
      <c r="N30" s="199">
        <v>8100</v>
      </c>
      <c r="O30" s="199">
        <v>7843</v>
      </c>
      <c r="P30" s="199">
        <v>7673</v>
      </c>
      <c r="Q30" s="199">
        <v>7635</v>
      </c>
      <c r="R30" s="199">
        <v>7497</v>
      </c>
      <c r="S30" s="199">
        <v>7233</v>
      </c>
      <c r="T30" s="199">
        <v>7182</v>
      </c>
      <c r="U30" s="199">
        <v>7090</v>
      </c>
      <c r="V30" s="199">
        <v>7010</v>
      </c>
      <c r="W30" s="199">
        <v>7080</v>
      </c>
      <c r="X30" s="199">
        <v>6972</v>
      </c>
      <c r="Y30" s="199">
        <v>6826</v>
      </c>
      <c r="Z30" s="199">
        <v>6661</v>
      </c>
      <c r="AA30" s="199">
        <v>6979</v>
      </c>
      <c r="AB30" s="199">
        <v>6832</v>
      </c>
      <c r="AC30" s="199">
        <v>6582</v>
      </c>
      <c r="AD30" s="199">
        <v>6654</v>
      </c>
    </row>
    <row r="31" spans="1:30">
      <c r="B31" s="6" t="s">
        <v>186</v>
      </c>
      <c r="C31" s="6" t="s">
        <v>186</v>
      </c>
      <c r="D31" s="7">
        <v>4057118</v>
      </c>
      <c r="E31" s="199">
        <v>19759</v>
      </c>
      <c r="F31" s="199">
        <v>19996</v>
      </c>
      <c r="G31" s="199">
        <v>23181</v>
      </c>
      <c r="H31" s="199">
        <v>24267</v>
      </c>
      <c r="I31" s="199">
        <v>23888</v>
      </c>
      <c r="J31" s="199">
        <v>23644</v>
      </c>
      <c r="K31" s="199">
        <v>23033</v>
      </c>
      <c r="L31" s="199">
        <v>22782</v>
      </c>
      <c r="M31" s="199">
        <v>22596</v>
      </c>
      <c r="N31" s="199">
        <v>22579</v>
      </c>
      <c r="O31" s="199">
        <v>21966</v>
      </c>
      <c r="P31" s="199">
        <v>21242</v>
      </c>
      <c r="Q31" s="199">
        <v>20825</v>
      </c>
      <c r="R31" s="199">
        <v>20231</v>
      </c>
      <c r="S31" s="199">
        <v>19294</v>
      </c>
      <c r="T31" s="199">
        <v>19077</v>
      </c>
      <c r="U31" s="199">
        <v>19046</v>
      </c>
      <c r="V31" s="199">
        <v>18941</v>
      </c>
      <c r="W31" s="199">
        <v>17803</v>
      </c>
      <c r="X31" s="199">
        <v>15894</v>
      </c>
      <c r="Y31" s="199">
        <v>15368</v>
      </c>
      <c r="Z31" s="199">
        <v>15239</v>
      </c>
      <c r="AA31" s="199">
        <v>14554</v>
      </c>
      <c r="AB31" s="199">
        <v>13822</v>
      </c>
      <c r="AC31" s="199">
        <v>12913</v>
      </c>
      <c r="AD31" s="199">
        <v>11191</v>
      </c>
    </row>
    <row r="32" spans="1:30">
      <c r="B32" s="6" t="s">
        <v>188</v>
      </c>
      <c r="C32" s="6" t="s">
        <v>188</v>
      </c>
      <c r="D32" s="7">
        <v>4057126</v>
      </c>
      <c r="E32" s="199">
        <v>322659</v>
      </c>
      <c r="F32" s="199">
        <v>307929</v>
      </c>
      <c r="G32" s="199">
        <v>260249</v>
      </c>
      <c r="H32" s="199">
        <v>221693</v>
      </c>
      <c r="I32" s="199">
        <v>213761</v>
      </c>
      <c r="J32" s="199">
        <v>206941</v>
      </c>
      <c r="K32" s="199">
        <v>202494</v>
      </c>
      <c r="L32" s="199">
        <v>187002</v>
      </c>
      <c r="M32" s="199">
        <v>183292</v>
      </c>
      <c r="N32" s="199">
        <v>183536</v>
      </c>
      <c r="O32" s="199">
        <v>177530</v>
      </c>
      <c r="P32" s="199">
        <v>201518</v>
      </c>
      <c r="Q32" s="199">
        <v>250232</v>
      </c>
      <c r="R32" s="199">
        <v>222157</v>
      </c>
      <c r="S32" s="199">
        <v>231062</v>
      </c>
      <c r="T32" s="199">
        <v>233946</v>
      </c>
      <c r="U32" s="199">
        <v>236881</v>
      </c>
      <c r="V32" s="199">
        <v>246974</v>
      </c>
      <c r="W32" s="199">
        <v>331641</v>
      </c>
      <c r="X32" s="199">
        <v>327207</v>
      </c>
      <c r="Y32" s="199">
        <v>323435</v>
      </c>
      <c r="Z32" s="199">
        <v>312886</v>
      </c>
      <c r="AA32" s="199">
        <v>292000</v>
      </c>
      <c r="AB32" s="199">
        <v>248778</v>
      </c>
      <c r="AC32" s="199">
        <v>247418</v>
      </c>
      <c r="AD32" s="199">
        <v>229403</v>
      </c>
    </row>
    <row r="33" spans="1:30">
      <c r="B33" s="6" t="s">
        <v>283</v>
      </c>
      <c r="C33" s="6" t="s">
        <v>283</v>
      </c>
      <c r="D33" s="7">
        <v>4057103</v>
      </c>
      <c r="E33" s="199" t="s">
        <v>175</v>
      </c>
      <c r="F33" s="199">
        <v>13290</v>
      </c>
      <c r="G33" s="199">
        <v>11788</v>
      </c>
      <c r="H33" s="199">
        <v>1798</v>
      </c>
      <c r="I33" s="199" t="s">
        <v>175</v>
      </c>
      <c r="J33" s="199">
        <v>3207</v>
      </c>
      <c r="K33" s="199">
        <v>3159</v>
      </c>
      <c r="L33" s="199">
        <v>3048</v>
      </c>
      <c r="M33" s="199">
        <v>3286</v>
      </c>
      <c r="N33" s="199">
        <v>3203</v>
      </c>
      <c r="O33" s="199">
        <v>3158</v>
      </c>
      <c r="P33" s="199">
        <v>3000</v>
      </c>
      <c r="Q33" s="199">
        <v>2100</v>
      </c>
      <c r="R33" s="199">
        <v>1979</v>
      </c>
      <c r="S33" s="199">
        <v>1974</v>
      </c>
      <c r="T33" s="199">
        <v>1942</v>
      </c>
      <c r="U33" s="199">
        <v>1922</v>
      </c>
      <c r="V33" s="199">
        <v>1873</v>
      </c>
      <c r="W33" s="199">
        <v>2125</v>
      </c>
      <c r="X33" s="199">
        <v>2717</v>
      </c>
      <c r="Y33" s="199">
        <v>3725</v>
      </c>
      <c r="Z33" s="199">
        <v>3275</v>
      </c>
      <c r="AA33" s="199">
        <v>3389</v>
      </c>
      <c r="AB33" s="199">
        <v>3553</v>
      </c>
      <c r="AC33" s="199">
        <v>3652</v>
      </c>
      <c r="AD33" s="199">
        <v>3639</v>
      </c>
    </row>
    <row r="34" spans="1:30">
      <c r="B34" s="6" t="s">
        <v>189</v>
      </c>
      <c r="C34" s="6" t="s">
        <v>189</v>
      </c>
      <c r="D34" s="7">
        <v>4057079</v>
      </c>
      <c r="E34" s="199">
        <v>87731</v>
      </c>
      <c r="F34" s="199">
        <v>73276</v>
      </c>
      <c r="G34" s="199">
        <v>64078</v>
      </c>
      <c r="H34" s="199">
        <v>54320</v>
      </c>
      <c r="I34" s="199">
        <v>52894</v>
      </c>
      <c r="J34" s="199">
        <v>52808</v>
      </c>
      <c r="K34" s="199">
        <v>50959</v>
      </c>
      <c r="L34" s="199">
        <v>48017</v>
      </c>
      <c r="M34" s="199">
        <v>40995</v>
      </c>
      <c r="N34" s="199">
        <v>14005</v>
      </c>
      <c r="O34" s="199">
        <v>13067</v>
      </c>
      <c r="P34" s="199">
        <v>12378</v>
      </c>
      <c r="Q34" s="199">
        <v>11394</v>
      </c>
      <c r="R34" s="199">
        <v>11211</v>
      </c>
      <c r="S34" s="199">
        <v>10811</v>
      </c>
      <c r="T34" s="199">
        <v>10689</v>
      </c>
      <c r="U34" s="199">
        <v>10476</v>
      </c>
      <c r="V34" s="199">
        <v>9063</v>
      </c>
      <c r="W34" s="199">
        <v>10565</v>
      </c>
      <c r="X34" s="199">
        <v>11930</v>
      </c>
      <c r="Y34" s="199">
        <v>13855</v>
      </c>
      <c r="Z34" s="199">
        <v>12337</v>
      </c>
      <c r="AA34" s="199">
        <v>12794</v>
      </c>
      <c r="AB34" s="199">
        <v>13706</v>
      </c>
      <c r="AC34" s="199">
        <v>14036</v>
      </c>
      <c r="AD34" s="199">
        <v>13894</v>
      </c>
    </row>
    <row r="35" spans="1:30">
      <c r="B35" s="6" t="s">
        <v>284</v>
      </c>
      <c r="C35" s="6" t="s">
        <v>285</v>
      </c>
      <c r="D35" s="7">
        <v>4081251</v>
      </c>
      <c r="E35" s="199" t="s">
        <v>175</v>
      </c>
      <c r="F35" s="199">
        <v>495</v>
      </c>
      <c r="G35" s="199">
        <v>463</v>
      </c>
      <c r="H35" s="199">
        <v>455</v>
      </c>
      <c r="I35" s="199">
        <v>431</v>
      </c>
      <c r="J35" s="199">
        <v>458</v>
      </c>
      <c r="K35" s="199">
        <v>392</v>
      </c>
      <c r="L35" s="199">
        <v>306</v>
      </c>
      <c r="M35" s="199">
        <v>306</v>
      </c>
      <c r="N35" s="199">
        <v>306</v>
      </c>
      <c r="O35" s="199">
        <v>303</v>
      </c>
      <c r="P35" s="199">
        <v>327</v>
      </c>
      <c r="Q35" s="199">
        <v>322</v>
      </c>
      <c r="R35" s="199">
        <v>325</v>
      </c>
      <c r="S35" s="199">
        <v>289</v>
      </c>
      <c r="T35" s="199">
        <v>254</v>
      </c>
      <c r="U35" s="199">
        <v>172</v>
      </c>
      <c r="V35" s="199">
        <v>149</v>
      </c>
      <c r="W35" s="199">
        <v>148</v>
      </c>
      <c r="X35" s="199">
        <v>146</v>
      </c>
      <c r="Y35" s="199">
        <v>159</v>
      </c>
      <c r="Z35" s="199" t="s">
        <v>175</v>
      </c>
      <c r="AA35" s="199" t="s">
        <v>175</v>
      </c>
      <c r="AB35" s="199" t="s">
        <v>175</v>
      </c>
      <c r="AC35" s="199" t="s">
        <v>175</v>
      </c>
      <c r="AD35" s="199" t="s">
        <v>175</v>
      </c>
    </row>
    <row r="36" spans="1:30">
      <c r="B36" s="6" t="s">
        <v>286</v>
      </c>
      <c r="C36" s="6" t="s">
        <v>286</v>
      </c>
      <c r="D36" s="7">
        <v>4060572</v>
      </c>
      <c r="E36" s="199">
        <v>17638</v>
      </c>
      <c r="F36" s="199">
        <v>15170</v>
      </c>
      <c r="G36" s="199">
        <v>15671</v>
      </c>
      <c r="H36" s="199">
        <v>14892</v>
      </c>
      <c r="I36" s="199">
        <v>12235</v>
      </c>
      <c r="J36" s="199">
        <v>12292</v>
      </c>
      <c r="K36" s="199">
        <v>11287</v>
      </c>
      <c r="L36" s="199">
        <v>11301</v>
      </c>
      <c r="M36" s="199">
        <v>10696</v>
      </c>
      <c r="N36" s="199">
        <v>9134</v>
      </c>
      <c r="O36" s="199">
        <v>8542</v>
      </c>
      <c r="P36" s="199">
        <v>8518</v>
      </c>
      <c r="Q36" s="199">
        <v>7996</v>
      </c>
      <c r="R36" s="199">
        <v>7883</v>
      </c>
      <c r="S36" s="199">
        <v>8246</v>
      </c>
      <c r="T36" s="199">
        <v>11060</v>
      </c>
      <c r="U36" s="199">
        <v>11200</v>
      </c>
      <c r="V36" s="199">
        <v>10709</v>
      </c>
      <c r="W36" s="199">
        <v>10251</v>
      </c>
      <c r="X36" s="199">
        <v>9972</v>
      </c>
      <c r="Y36" s="199">
        <v>11528</v>
      </c>
      <c r="Z36" s="199" t="s">
        <v>175</v>
      </c>
      <c r="AA36" s="199" t="s">
        <v>175</v>
      </c>
      <c r="AB36" s="199">
        <v>14063</v>
      </c>
      <c r="AC36" s="199">
        <v>9893</v>
      </c>
      <c r="AD36" s="199">
        <v>9423</v>
      </c>
    </row>
    <row r="37" spans="1:30">
      <c r="B37" s="6" t="s">
        <v>287</v>
      </c>
      <c r="C37" s="6" t="s">
        <v>287</v>
      </c>
      <c r="D37" s="7">
        <v>4083318</v>
      </c>
      <c r="E37" s="199">
        <v>3146</v>
      </c>
      <c r="F37" s="199">
        <v>2999</v>
      </c>
      <c r="G37" s="199">
        <v>3454</v>
      </c>
      <c r="H37" s="199">
        <v>3641</v>
      </c>
      <c r="I37" s="199">
        <v>3334</v>
      </c>
      <c r="J37" s="199">
        <v>3098</v>
      </c>
      <c r="K37" s="199">
        <v>2650</v>
      </c>
      <c r="L37" s="199">
        <v>2496</v>
      </c>
      <c r="M37" s="199">
        <v>2315</v>
      </c>
      <c r="N37" s="199">
        <v>2161</v>
      </c>
      <c r="O37" s="199">
        <v>2074</v>
      </c>
      <c r="P37" s="199">
        <v>1941</v>
      </c>
      <c r="Q37" s="199">
        <v>1872</v>
      </c>
      <c r="R37" s="199">
        <v>1854</v>
      </c>
      <c r="S37" s="199">
        <v>1818</v>
      </c>
      <c r="T37" s="199">
        <v>1652</v>
      </c>
      <c r="U37" s="199">
        <v>1704</v>
      </c>
      <c r="V37" s="199">
        <v>1681</v>
      </c>
      <c r="W37" s="199">
        <v>1906</v>
      </c>
      <c r="X37" s="199" t="s">
        <v>175</v>
      </c>
      <c r="Y37" s="199" t="s">
        <v>175</v>
      </c>
      <c r="Z37" s="199" t="s">
        <v>175</v>
      </c>
      <c r="AA37" s="199" t="s">
        <v>175</v>
      </c>
      <c r="AB37" s="199" t="s">
        <v>175</v>
      </c>
      <c r="AC37" s="199">
        <v>1075</v>
      </c>
      <c r="AD37" s="199">
        <v>928</v>
      </c>
    </row>
    <row r="38" spans="1:30">
      <c r="B38" s="6" t="s">
        <v>288</v>
      </c>
      <c r="C38" s="6" t="s">
        <v>288</v>
      </c>
      <c r="D38" s="7">
        <v>4057125</v>
      </c>
      <c r="E38" s="199">
        <v>105759</v>
      </c>
      <c r="F38" s="199">
        <v>105619</v>
      </c>
      <c r="G38" s="199">
        <v>98374</v>
      </c>
      <c r="H38" s="199">
        <v>77743</v>
      </c>
      <c r="I38" s="199">
        <v>76663</v>
      </c>
      <c r="J38" s="199">
        <v>74624</v>
      </c>
      <c r="K38" s="199">
        <v>67618</v>
      </c>
      <c r="L38" s="199">
        <v>64626</v>
      </c>
      <c r="M38" s="199">
        <v>64309</v>
      </c>
      <c r="N38" s="199">
        <v>58071</v>
      </c>
      <c r="O38" s="199">
        <v>58228</v>
      </c>
      <c r="P38" s="199">
        <v>58545</v>
      </c>
      <c r="Q38" s="199">
        <v>54192</v>
      </c>
      <c r="R38" s="199">
        <v>52931</v>
      </c>
      <c r="S38" s="199">
        <v>49259</v>
      </c>
      <c r="T38" s="199">
        <v>49714</v>
      </c>
      <c r="U38" s="199">
        <v>48145</v>
      </c>
      <c r="V38" s="199">
        <v>44604</v>
      </c>
      <c r="W38" s="199">
        <v>44859</v>
      </c>
      <c r="X38" s="199">
        <v>46393</v>
      </c>
      <c r="Y38" s="199">
        <v>44717</v>
      </c>
      <c r="Z38" s="199">
        <v>44451</v>
      </c>
      <c r="AA38" s="199">
        <v>45849</v>
      </c>
      <c r="AB38" s="199">
        <v>60915</v>
      </c>
      <c r="AC38" s="199">
        <v>91935</v>
      </c>
      <c r="AD38" s="199">
        <v>85271</v>
      </c>
    </row>
    <row r="39" spans="1:30">
      <c r="B39" s="6" t="s">
        <v>289</v>
      </c>
      <c r="C39" s="6" t="s">
        <v>289</v>
      </c>
      <c r="D39" s="7">
        <v>4087741</v>
      </c>
      <c r="E39" s="199" t="s">
        <v>175</v>
      </c>
      <c r="F39" s="199" t="s">
        <v>175</v>
      </c>
      <c r="G39" s="199">
        <v>122162</v>
      </c>
      <c r="H39" s="199">
        <v>112757</v>
      </c>
      <c r="I39" s="199">
        <v>109120</v>
      </c>
      <c r="J39" s="199">
        <v>107290</v>
      </c>
      <c r="K39" s="199">
        <v>107277</v>
      </c>
      <c r="L39" s="199">
        <v>101596</v>
      </c>
      <c r="M39" s="199">
        <v>99414</v>
      </c>
      <c r="N39" s="199">
        <v>93064</v>
      </c>
      <c r="O39" s="199">
        <v>90233</v>
      </c>
      <c r="P39" s="199">
        <v>85011</v>
      </c>
      <c r="Q39" s="199">
        <v>82765</v>
      </c>
      <c r="R39" s="199">
        <v>78814</v>
      </c>
      <c r="S39" s="199">
        <v>90357</v>
      </c>
      <c r="T39" s="199">
        <v>90869</v>
      </c>
      <c r="U39" s="199">
        <v>87517</v>
      </c>
      <c r="V39" s="199">
        <v>77823</v>
      </c>
      <c r="W39" s="199">
        <v>75574</v>
      </c>
      <c r="X39" s="199" t="s">
        <v>175</v>
      </c>
      <c r="Y39" s="199">
        <v>69817</v>
      </c>
      <c r="Z39" s="199" t="s">
        <v>175</v>
      </c>
      <c r="AA39" s="199" t="s">
        <v>175</v>
      </c>
      <c r="AB39" s="199" t="s">
        <v>175</v>
      </c>
      <c r="AC39" s="199" t="s">
        <v>175</v>
      </c>
      <c r="AD39" s="199" t="s">
        <v>175</v>
      </c>
    </row>
    <row r="40" spans="1:30">
      <c r="B40" s="6" t="s">
        <v>290</v>
      </c>
      <c r="C40" s="6" t="s">
        <v>290</v>
      </c>
      <c r="D40" s="7">
        <v>4059875</v>
      </c>
      <c r="E40" s="199">
        <v>44408</v>
      </c>
      <c r="F40" s="199">
        <v>35939</v>
      </c>
      <c r="G40" s="199">
        <v>29522</v>
      </c>
      <c r="H40" s="199">
        <v>24927</v>
      </c>
      <c r="I40" s="199">
        <v>23326</v>
      </c>
      <c r="J40" s="199">
        <v>18670</v>
      </c>
      <c r="K40" s="199">
        <v>10591</v>
      </c>
      <c r="L40" s="199">
        <v>9474</v>
      </c>
      <c r="M40" s="199">
        <v>8146</v>
      </c>
      <c r="N40" s="199">
        <v>16197</v>
      </c>
      <c r="O40" s="199">
        <v>16061</v>
      </c>
      <c r="P40" s="199">
        <v>16049</v>
      </c>
      <c r="Q40" s="199">
        <v>15098</v>
      </c>
      <c r="R40" s="199">
        <v>12089</v>
      </c>
      <c r="S40" s="199">
        <v>11333</v>
      </c>
      <c r="T40" s="199">
        <v>10220</v>
      </c>
      <c r="U40" s="199">
        <v>10444</v>
      </c>
      <c r="V40" s="199">
        <v>11582</v>
      </c>
      <c r="W40" s="199">
        <v>20388</v>
      </c>
      <c r="X40" s="199" t="s">
        <v>175</v>
      </c>
      <c r="Y40" s="199">
        <v>11051</v>
      </c>
      <c r="Z40" s="199">
        <v>10976</v>
      </c>
      <c r="AA40" s="199">
        <v>9221</v>
      </c>
      <c r="AB40" s="199">
        <v>8948</v>
      </c>
      <c r="AC40" s="199">
        <v>8666</v>
      </c>
      <c r="AD40" s="199">
        <v>8021</v>
      </c>
    </row>
    <row r="41" spans="1:30">
      <c r="B41" s="6" t="s">
        <v>190</v>
      </c>
      <c r="C41" s="6" t="s">
        <v>190</v>
      </c>
      <c r="D41" s="7">
        <v>4057090</v>
      </c>
      <c r="E41" s="199">
        <v>15890</v>
      </c>
      <c r="F41" s="199">
        <v>14848</v>
      </c>
      <c r="G41" s="199">
        <v>13897</v>
      </c>
      <c r="H41" s="199">
        <v>12382</v>
      </c>
      <c r="I41" s="199">
        <v>12101</v>
      </c>
      <c r="J41" s="199">
        <v>11065</v>
      </c>
      <c r="K41" s="199">
        <v>10992</v>
      </c>
      <c r="L41" s="199">
        <v>9476</v>
      </c>
      <c r="M41" s="199">
        <v>9274</v>
      </c>
      <c r="N41" s="199">
        <v>8467</v>
      </c>
      <c r="O41" s="199">
        <v>9305</v>
      </c>
      <c r="P41" s="199">
        <v>9226</v>
      </c>
      <c r="Q41" s="199">
        <v>9038</v>
      </c>
      <c r="R41" s="199">
        <v>9033</v>
      </c>
      <c r="S41" s="199">
        <v>10346</v>
      </c>
      <c r="T41" s="199">
        <v>9747</v>
      </c>
      <c r="U41" s="199">
        <v>9273</v>
      </c>
      <c r="V41" s="199">
        <v>8822</v>
      </c>
      <c r="W41" s="199">
        <v>8983</v>
      </c>
      <c r="X41" s="199">
        <v>10342</v>
      </c>
      <c r="Y41" s="199">
        <v>10926</v>
      </c>
      <c r="Z41" s="199">
        <v>10583</v>
      </c>
      <c r="AA41" s="199">
        <v>10092</v>
      </c>
      <c r="AB41" s="199">
        <v>11387</v>
      </c>
      <c r="AC41" s="199">
        <v>11103</v>
      </c>
      <c r="AD41" s="199">
        <v>10798</v>
      </c>
    </row>
    <row r="42" spans="1:30">
      <c r="B42" s="6" t="s">
        <v>191</v>
      </c>
      <c r="C42" s="6" t="s">
        <v>191</v>
      </c>
      <c r="D42" s="7">
        <v>4008754</v>
      </c>
      <c r="E42" s="199">
        <v>6091</v>
      </c>
      <c r="F42" s="199">
        <v>5626</v>
      </c>
      <c r="G42" s="199">
        <v>3569</v>
      </c>
      <c r="H42" s="199">
        <v>3368</v>
      </c>
      <c r="I42" s="199">
        <v>3304</v>
      </c>
      <c r="J42" s="199">
        <v>4783</v>
      </c>
      <c r="K42" s="199">
        <v>4589</v>
      </c>
      <c r="L42" s="199">
        <v>4413</v>
      </c>
      <c r="M42" s="199">
        <v>4173</v>
      </c>
      <c r="N42" s="199">
        <v>4137</v>
      </c>
      <c r="O42" s="199">
        <v>4041</v>
      </c>
      <c r="P42" s="199">
        <v>4005</v>
      </c>
      <c r="Q42" s="199">
        <v>3827</v>
      </c>
      <c r="R42" s="199">
        <v>3660</v>
      </c>
      <c r="S42" s="199">
        <v>3524</v>
      </c>
      <c r="T42" s="199">
        <v>3421</v>
      </c>
      <c r="U42" s="199">
        <v>3392</v>
      </c>
      <c r="V42" s="199">
        <v>3304</v>
      </c>
      <c r="W42" s="199">
        <v>3042</v>
      </c>
      <c r="X42" s="199">
        <v>2952</v>
      </c>
      <c r="Y42" s="199">
        <v>2644</v>
      </c>
      <c r="Z42" s="199">
        <v>2522</v>
      </c>
      <c r="AA42" s="199">
        <v>2440</v>
      </c>
      <c r="AB42" s="199">
        <v>2364</v>
      </c>
      <c r="AC42" s="199">
        <v>2865</v>
      </c>
      <c r="AD42" s="199">
        <v>2547</v>
      </c>
    </row>
    <row r="43" spans="1:30">
      <c r="B43" s="6" t="s">
        <v>291</v>
      </c>
      <c r="C43" s="6" t="s">
        <v>291</v>
      </c>
      <c r="D43" s="7">
        <v>4061474</v>
      </c>
      <c r="E43" s="199">
        <v>5149</v>
      </c>
      <c r="F43" s="199">
        <v>5108</v>
      </c>
      <c r="G43" s="199">
        <v>4847</v>
      </c>
      <c r="H43" s="199">
        <v>4701</v>
      </c>
      <c r="I43" s="199">
        <v>4640</v>
      </c>
      <c r="J43" s="199">
        <v>4630</v>
      </c>
      <c r="K43" s="199">
        <v>4556</v>
      </c>
      <c r="L43" s="199">
        <v>4261</v>
      </c>
      <c r="M43" s="199">
        <v>4153</v>
      </c>
      <c r="N43" s="199">
        <v>3946</v>
      </c>
      <c r="O43" s="199">
        <v>2941</v>
      </c>
      <c r="P43" s="199">
        <v>2409</v>
      </c>
      <c r="Q43" s="199">
        <v>2270</v>
      </c>
      <c r="R43" s="199">
        <v>2192</v>
      </c>
      <c r="S43" s="199">
        <v>2123</v>
      </c>
      <c r="T43" s="199">
        <v>1477</v>
      </c>
      <c r="U43" s="199">
        <v>1425</v>
      </c>
      <c r="V43" s="199">
        <v>1432</v>
      </c>
      <c r="W43" s="199">
        <v>1376</v>
      </c>
      <c r="X43" s="199" t="s">
        <v>175</v>
      </c>
      <c r="Y43" s="199">
        <v>1347</v>
      </c>
      <c r="Z43" s="199" t="s">
        <v>175</v>
      </c>
      <c r="AA43" s="199" t="s">
        <v>175</v>
      </c>
      <c r="AB43" s="199">
        <v>1205</v>
      </c>
      <c r="AC43" s="199">
        <v>1172</v>
      </c>
      <c r="AD43" s="199">
        <v>1101</v>
      </c>
    </row>
    <row r="44" spans="1:30">
      <c r="B44" s="6" t="s">
        <v>292</v>
      </c>
      <c r="C44" s="6" t="s">
        <v>292</v>
      </c>
      <c r="D44" s="7">
        <v>4076679</v>
      </c>
      <c r="E44" s="199">
        <v>3744</v>
      </c>
      <c r="F44" s="199">
        <v>3038</v>
      </c>
      <c r="G44" s="199">
        <v>2868</v>
      </c>
      <c r="H44" s="199">
        <v>2829</v>
      </c>
      <c r="I44" s="199">
        <v>2479</v>
      </c>
      <c r="J44" s="199">
        <v>2376</v>
      </c>
      <c r="K44" s="199">
        <v>2252</v>
      </c>
      <c r="L44" s="199">
        <v>2130</v>
      </c>
      <c r="M44" s="199">
        <v>2009</v>
      </c>
      <c r="N44" s="199">
        <v>1874</v>
      </c>
      <c r="O44" s="199">
        <v>1571</v>
      </c>
      <c r="P44" s="199">
        <v>1496</v>
      </c>
      <c r="Q44" s="199">
        <v>1420</v>
      </c>
      <c r="R44" s="199">
        <v>1394</v>
      </c>
      <c r="S44" s="199">
        <v>1315</v>
      </c>
      <c r="T44" s="199">
        <v>1298</v>
      </c>
      <c r="U44" s="199">
        <v>1080</v>
      </c>
      <c r="V44" s="199">
        <v>1008</v>
      </c>
      <c r="W44" s="199">
        <v>914</v>
      </c>
      <c r="X44" s="199">
        <v>856</v>
      </c>
      <c r="Y44" s="199">
        <v>744</v>
      </c>
      <c r="Z44" s="199" t="s">
        <v>175</v>
      </c>
      <c r="AA44" s="199" t="s">
        <v>175</v>
      </c>
      <c r="AB44" s="199" t="s">
        <v>175</v>
      </c>
      <c r="AC44" s="199" t="s">
        <v>175</v>
      </c>
      <c r="AD44" s="199" t="s">
        <v>175</v>
      </c>
    </row>
    <row r="45" spans="1:30">
      <c r="B45" s="6" t="s">
        <v>193</v>
      </c>
      <c r="C45" s="6" t="s">
        <v>193</v>
      </c>
      <c r="D45" s="7">
        <v>4061634</v>
      </c>
      <c r="E45" s="199">
        <v>36377</v>
      </c>
      <c r="F45" s="199">
        <v>34782</v>
      </c>
      <c r="G45" s="199">
        <v>34711</v>
      </c>
      <c r="H45" s="199">
        <v>33370</v>
      </c>
      <c r="I45" s="199">
        <v>32078</v>
      </c>
      <c r="J45" s="199">
        <v>34910</v>
      </c>
      <c r="K45" s="199">
        <v>34405</v>
      </c>
      <c r="L45" s="199">
        <v>28250</v>
      </c>
      <c r="M45" s="199">
        <v>24804</v>
      </c>
      <c r="N45" s="199">
        <v>25300</v>
      </c>
      <c r="O45" s="199">
        <v>26230</v>
      </c>
      <c r="P45" s="199">
        <v>21132</v>
      </c>
      <c r="Q45" s="199">
        <v>21130</v>
      </c>
      <c r="R45" s="199">
        <v>21545</v>
      </c>
      <c r="S45" s="199">
        <v>37218</v>
      </c>
      <c r="T45" s="199">
        <v>36431</v>
      </c>
      <c r="U45" s="199">
        <v>35516</v>
      </c>
      <c r="V45" s="199">
        <v>36312</v>
      </c>
      <c r="W45" s="199">
        <v>37202</v>
      </c>
      <c r="X45" s="199">
        <v>38525</v>
      </c>
      <c r="Y45" s="199">
        <v>31778</v>
      </c>
      <c r="Z45" s="199">
        <v>28814</v>
      </c>
      <c r="AA45" s="199">
        <v>24710</v>
      </c>
      <c r="AB45" s="199">
        <v>21760</v>
      </c>
      <c r="AC45" s="199">
        <v>18453</v>
      </c>
      <c r="AD45" s="199">
        <v>17544</v>
      </c>
    </row>
    <row r="46" spans="1:30">
      <c r="B46" s="6" t="s">
        <v>194</v>
      </c>
      <c r="C46" s="6" t="s">
        <v>194</v>
      </c>
      <c r="D46" s="7">
        <v>4061687</v>
      </c>
      <c r="E46" s="199">
        <v>108712</v>
      </c>
      <c r="F46" s="199">
        <v>101354</v>
      </c>
      <c r="G46" s="199">
        <v>100616</v>
      </c>
      <c r="H46" s="199">
        <v>98233</v>
      </c>
      <c r="I46" s="199">
        <v>93775</v>
      </c>
      <c r="J46" s="199">
        <v>89620</v>
      </c>
      <c r="K46" s="199">
        <v>82922</v>
      </c>
      <c r="L46" s="199">
        <v>73357</v>
      </c>
      <c r="M46" s="199">
        <v>72464</v>
      </c>
      <c r="N46" s="199">
        <v>71185</v>
      </c>
      <c r="O46" s="199">
        <v>66186</v>
      </c>
      <c r="P46" s="199">
        <v>63872</v>
      </c>
      <c r="Q46" s="199">
        <v>63133</v>
      </c>
      <c r="R46" s="199">
        <v>60226</v>
      </c>
      <c r="S46" s="199">
        <v>49221</v>
      </c>
      <c r="T46" s="199">
        <v>56937</v>
      </c>
      <c r="U46" s="199">
        <v>56139</v>
      </c>
      <c r="V46" s="199">
        <v>52459</v>
      </c>
      <c r="W46" s="199">
        <v>53332</v>
      </c>
      <c r="X46" s="199">
        <v>53276</v>
      </c>
      <c r="Y46" s="199">
        <v>64706</v>
      </c>
      <c r="Z46" s="199">
        <v>54069</v>
      </c>
      <c r="AA46" s="199">
        <v>53228</v>
      </c>
      <c r="AB46" s="199">
        <v>54005</v>
      </c>
      <c r="AC46" s="199">
        <v>56015</v>
      </c>
      <c r="AD46" s="199">
        <v>54937</v>
      </c>
    </row>
    <row r="47" spans="1:30">
      <c r="A47" s="1" t="s">
        <v>275</v>
      </c>
      <c r="B47" s="6" t="s">
        <v>195</v>
      </c>
      <c r="C47" s="6" t="s">
        <v>195</v>
      </c>
      <c r="D47" s="7">
        <v>4061755</v>
      </c>
      <c r="E47" s="199">
        <v>153404</v>
      </c>
      <c r="F47" s="199">
        <v>126209</v>
      </c>
      <c r="G47" s="199">
        <v>116536</v>
      </c>
      <c r="H47" s="199">
        <v>111964</v>
      </c>
      <c r="I47" s="199">
        <v>102230</v>
      </c>
      <c r="J47" s="199">
        <v>71033</v>
      </c>
      <c r="K47" s="199">
        <v>61095</v>
      </c>
      <c r="L47" s="199">
        <v>57944</v>
      </c>
      <c r="M47" s="199">
        <v>52438</v>
      </c>
      <c r="N47" s="199">
        <v>47511</v>
      </c>
      <c r="O47" s="199">
        <v>67839</v>
      </c>
      <c r="P47" s="199">
        <v>58483</v>
      </c>
      <c r="Q47" s="199">
        <v>55177</v>
      </c>
      <c r="R47" s="199">
        <v>53470</v>
      </c>
      <c r="S47" s="199">
        <v>50098</v>
      </c>
      <c r="T47" s="199">
        <v>49644</v>
      </c>
      <c r="U47" s="199">
        <v>52167</v>
      </c>
      <c r="V47" s="199">
        <v>55921</v>
      </c>
      <c r="W47" s="199">
        <v>53966</v>
      </c>
      <c r="X47" s="199">
        <v>54240</v>
      </c>
      <c r="Y47" s="199">
        <v>52921</v>
      </c>
      <c r="Z47" s="199">
        <v>58276</v>
      </c>
      <c r="AA47" s="199">
        <v>55873</v>
      </c>
      <c r="AB47" s="199">
        <v>52178</v>
      </c>
      <c r="AC47" s="199">
        <v>37691</v>
      </c>
      <c r="AD47" s="199">
        <v>36553</v>
      </c>
    </row>
    <row r="48" spans="1:30">
      <c r="A48" s="1" t="s">
        <v>275</v>
      </c>
      <c r="B48" s="6" t="s">
        <v>197</v>
      </c>
      <c r="C48" s="6" t="s">
        <v>197</v>
      </c>
      <c r="D48" s="7">
        <v>4004389</v>
      </c>
      <c r="E48" s="199">
        <v>24645</v>
      </c>
      <c r="F48" s="199">
        <v>23903</v>
      </c>
      <c r="G48" s="199">
        <v>23335</v>
      </c>
      <c r="H48" s="199">
        <v>22443</v>
      </c>
      <c r="I48" s="199">
        <v>21816</v>
      </c>
      <c r="J48" s="199">
        <v>21062</v>
      </c>
      <c r="K48" s="199">
        <v>21299</v>
      </c>
      <c r="L48" s="199">
        <v>24945</v>
      </c>
      <c r="M48" s="199">
        <v>23189</v>
      </c>
      <c r="N48" s="199">
        <v>21473</v>
      </c>
      <c r="O48" s="199">
        <v>23043</v>
      </c>
      <c r="P48" s="199">
        <v>23086</v>
      </c>
      <c r="Q48" s="199">
        <v>22471</v>
      </c>
      <c r="R48" s="199">
        <v>21979</v>
      </c>
      <c r="S48" s="199">
        <v>21250</v>
      </c>
      <c r="T48" s="199">
        <v>19731</v>
      </c>
      <c r="U48" s="199">
        <v>19990</v>
      </c>
      <c r="V48" s="199">
        <v>24498</v>
      </c>
      <c r="W48" s="199">
        <v>25496</v>
      </c>
      <c r="X48" s="199">
        <v>25053</v>
      </c>
      <c r="Y48" s="199">
        <v>26065</v>
      </c>
      <c r="Z48" s="199">
        <v>24324</v>
      </c>
      <c r="AA48" s="199">
        <v>23912</v>
      </c>
      <c r="AB48" s="199">
        <v>23567</v>
      </c>
      <c r="AC48" s="199">
        <v>14486</v>
      </c>
      <c r="AD48" s="199">
        <v>10892</v>
      </c>
    </row>
    <row r="49" spans="1:30">
      <c r="A49" s="1" t="s">
        <v>275</v>
      </c>
      <c r="B49" s="6" t="s">
        <v>198</v>
      </c>
      <c r="C49" s="6" t="s">
        <v>198</v>
      </c>
      <c r="D49" s="7">
        <v>4057014</v>
      </c>
      <c r="E49" s="199">
        <v>90919</v>
      </c>
      <c r="F49" s="199">
        <v>90258</v>
      </c>
      <c r="G49" s="199">
        <v>85812</v>
      </c>
      <c r="H49" s="199">
        <v>83793</v>
      </c>
      <c r="I49" s="199">
        <v>80296</v>
      </c>
      <c r="J49" s="199">
        <v>90552</v>
      </c>
      <c r="K49" s="199">
        <v>87496</v>
      </c>
      <c r="L49" s="199">
        <v>82024</v>
      </c>
      <c r="M49" s="199">
        <v>79598</v>
      </c>
      <c r="N49" s="199">
        <v>77749</v>
      </c>
      <c r="O49" s="199">
        <v>76492</v>
      </c>
      <c r="P49" s="199">
        <v>71145</v>
      </c>
      <c r="Q49" s="199">
        <v>68055</v>
      </c>
      <c r="R49" s="199">
        <v>65203</v>
      </c>
      <c r="S49" s="199">
        <v>52673</v>
      </c>
      <c r="T49" s="199">
        <v>52709</v>
      </c>
      <c r="U49" s="199">
        <v>52963</v>
      </c>
      <c r="V49" s="199">
        <v>52986</v>
      </c>
      <c r="W49" s="199">
        <v>33443</v>
      </c>
      <c r="X49" s="199">
        <v>30992</v>
      </c>
      <c r="Y49" s="199">
        <v>30285</v>
      </c>
      <c r="Z49" s="199">
        <v>33212</v>
      </c>
      <c r="AA49" s="199">
        <v>31632</v>
      </c>
      <c r="AB49" s="199">
        <v>24364</v>
      </c>
      <c r="AC49" s="199">
        <v>20759</v>
      </c>
      <c r="AD49" s="199">
        <v>18910</v>
      </c>
    </row>
    <row r="50" spans="1:30">
      <c r="B50" s="6" t="s">
        <v>199</v>
      </c>
      <c r="C50" s="6" t="s">
        <v>199</v>
      </c>
      <c r="D50" s="7">
        <v>4057130</v>
      </c>
      <c r="E50" s="199">
        <v>21394</v>
      </c>
      <c r="F50" s="199">
        <v>20520</v>
      </c>
      <c r="G50" s="199">
        <v>18704</v>
      </c>
      <c r="H50" s="199">
        <v>17573</v>
      </c>
      <c r="I50" s="199">
        <v>17170</v>
      </c>
      <c r="J50" s="199">
        <v>18003</v>
      </c>
      <c r="K50" s="199">
        <v>18018</v>
      </c>
      <c r="L50" s="199">
        <v>16113</v>
      </c>
      <c r="M50" s="199">
        <v>15258</v>
      </c>
      <c r="N50" s="199">
        <v>13721</v>
      </c>
      <c r="O50" s="199">
        <v>13361</v>
      </c>
      <c r="P50" s="199">
        <v>16203</v>
      </c>
      <c r="Q50" s="199">
        <v>15771</v>
      </c>
      <c r="R50" s="199">
        <v>15173</v>
      </c>
      <c r="S50" s="199">
        <v>16114</v>
      </c>
      <c r="T50" s="199">
        <v>16044</v>
      </c>
      <c r="U50" s="199">
        <v>16802</v>
      </c>
      <c r="V50" s="199">
        <v>16406</v>
      </c>
      <c r="W50" s="199">
        <v>14805</v>
      </c>
      <c r="X50" s="199">
        <v>15087</v>
      </c>
      <c r="Y50" s="199">
        <v>15193</v>
      </c>
      <c r="Z50" s="199">
        <v>14105</v>
      </c>
      <c r="AA50" s="199">
        <v>13559</v>
      </c>
      <c r="AB50" s="199">
        <v>13029</v>
      </c>
      <c r="AC50" s="199">
        <v>13237</v>
      </c>
      <c r="AD50" s="199" t="s">
        <v>175</v>
      </c>
    </row>
    <row r="51" spans="1:30">
      <c r="B51" s="6" t="s">
        <v>201</v>
      </c>
      <c r="C51" s="6" t="s">
        <v>201</v>
      </c>
      <c r="D51" s="7">
        <v>4057131</v>
      </c>
      <c r="E51" s="199">
        <v>483192</v>
      </c>
      <c r="F51" s="199">
        <v>440637</v>
      </c>
      <c r="G51" s="199">
        <v>398430</v>
      </c>
      <c r="H51" s="199">
        <v>363920</v>
      </c>
      <c r="I51" s="199">
        <v>330620</v>
      </c>
      <c r="J51" s="199">
        <v>319280</v>
      </c>
      <c r="K51" s="199">
        <v>293083</v>
      </c>
      <c r="L51" s="199">
        <v>286883</v>
      </c>
      <c r="M51" s="199">
        <v>297495</v>
      </c>
      <c r="N51" s="199">
        <v>282793</v>
      </c>
      <c r="O51" s="199">
        <v>275292</v>
      </c>
      <c r="P51" s="199">
        <v>275588</v>
      </c>
      <c r="Q51" s="199">
        <v>262758</v>
      </c>
      <c r="R51" s="199">
        <v>255573</v>
      </c>
      <c r="S51" s="199">
        <v>250885</v>
      </c>
      <c r="T51" s="199">
        <v>243507</v>
      </c>
      <c r="U51" s="199">
        <v>246221</v>
      </c>
      <c r="V51" s="199">
        <v>247081</v>
      </c>
      <c r="W51" s="199">
        <v>245200</v>
      </c>
      <c r="X51" s="199">
        <v>240469</v>
      </c>
      <c r="Y51" s="199">
        <v>237149</v>
      </c>
      <c r="Z51" s="199">
        <v>228645</v>
      </c>
      <c r="AA51" s="199">
        <v>225670</v>
      </c>
      <c r="AB51" s="199">
        <v>214882</v>
      </c>
      <c r="AC51" s="199">
        <v>210961</v>
      </c>
      <c r="AD51" s="199">
        <v>205863</v>
      </c>
    </row>
    <row r="52" spans="1:30">
      <c r="B52" s="6" t="s">
        <v>202</v>
      </c>
      <c r="C52" s="6" t="s">
        <v>202</v>
      </c>
      <c r="D52" s="7">
        <v>4012860</v>
      </c>
      <c r="E52" s="199">
        <v>52637</v>
      </c>
      <c r="F52" s="199">
        <v>52861</v>
      </c>
      <c r="G52" s="199">
        <v>51573</v>
      </c>
      <c r="H52" s="199">
        <v>66335</v>
      </c>
      <c r="I52" s="199">
        <v>64617</v>
      </c>
      <c r="J52" s="199">
        <v>69827</v>
      </c>
      <c r="K52" s="199">
        <v>67241</v>
      </c>
      <c r="L52" s="199">
        <v>67882</v>
      </c>
      <c r="M52" s="199">
        <v>68760</v>
      </c>
      <c r="N52" s="199">
        <v>71742</v>
      </c>
      <c r="O52" s="199">
        <v>69307</v>
      </c>
      <c r="P52" s="199">
        <v>65526</v>
      </c>
      <c r="Q52" s="199">
        <v>69276</v>
      </c>
      <c r="R52" s="199">
        <v>71225</v>
      </c>
      <c r="S52" s="199">
        <v>84994</v>
      </c>
      <c r="T52" s="199">
        <v>85186</v>
      </c>
      <c r="U52" s="199">
        <v>82681</v>
      </c>
      <c r="V52" s="199">
        <v>90959</v>
      </c>
      <c r="W52" s="199">
        <v>90770</v>
      </c>
      <c r="X52" s="199">
        <v>96115</v>
      </c>
      <c r="Y52" s="199">
        <v>98033</v>
      </c>
      <c r="Z52" s="199">
        <v>85149</v>
      </c>
      <c r="AA52" s="199">
        <v>85950</v>
      </c>
      <c r="AB52" s="199">
        <v>82975</v>
      </c>
      <c r="AC52" s="199">
        <v>81048</v>
      </c>
      <c r="AD52" s="199">
        <v>87727</v>
      </c>
    </row>
    <row r="53" spans="1:30">
      <c r="B53" s="6" t="s">
        <v>204</v>
      </c>
      <c r="C53" s="6" t="s">
        <v>205</v>
      </c>
      <c r="D53" s="7">
        <v>4061925</v>
      </c>
      <c r="E53" s="199">
        <v>23375</v>
      </c>
      <c r="F53" s="199">
        <v>21948</v>
      </c>
      <c r="G53" s="199">
        <v>20136</v>
      </c>
      <c r="H53" s="199">
        <v>20104</v>
      </c>
      <c r="I53" s="199">
        <v>18028</v>
      </c>
      <c r="J53" s="199">
        <v>17665</v>
      </c>
      <c r="K53" s="199">
        <v>16109</v>
      </c>
      <c r="L53" s="199">
        <v>15159</v>
      </c>
      <c r="M53" s="199">
        <v>14960</v>
      </c>
      <c r="N53" s="199">
        <v>14026</v>
      </c>
      <c r="O53" s="199">
        <v>12872</v>
      </c>
      <c r="P53" s="199">
        <v>10943</v>
      </c>
      <c r="Q53" s="199">
        <v>5537</v>
      </c>
      <c r="R53" s="199">
        <v>4635</v>
      </c>
      <c r="S53" s="199">
        <v>4254</v>
      </c>
      <c r="T53" s="199">
        <v>3612</v>
      </c>
      <c r="U53" s="199">
        <v>3382</v>
      </c>
      <c r="V53" s="199">
        <v>3030</v>
      </c>
      <c r="W53" s="199">
        <v>2703</v>
      </c>
      <c r="X53" s="199">
        <v>2693</v>
      </c>
      <c r="Y53" s="199">
        <v>2672</v>
      </c>
      <c r="Z53" s="199">
        <v>2551</v>
      </c>
      <c r="AA53" s="199">
        <v>2828</v>
      </c>
      <c r="AB53" s="199">
        <v>2400</v>
      </c>
      <c r="AC53" s="199">
        <v>2388</v>
      </c>
      <c r="AD53" s="199">
        <v>2309</v>
      </c>
    </row>
    <row r="54" spans="1:30">
      <c r="B54" s="6" t="s">
        <v>293</v>
      </c>
      <c r="C54" s="6" t="s">
        <v>293</v>
      </c>
      <c r="D54" s="7">
        <v>4057132</v>
      </c>
      <c r="E54" s="199" t="s">
        <v>175</v>
      </c>
      <c r="F54" s="199" t="s">
        <v>175</v>
      </c>
      <c r="G54" s="199" t="s">
        <v>175</v>
      </c>
      <c r="H54" s="199">
        <v>203450</v>
      </c>
      <c r="I54" s="199">
        <v>188971</v>
      </c>
      <c r="J54" s="199">
        <v>184627</v>
      </c>
      <c r="K54" s="199">
        <v>179822</v>
      </c>
      <c r="L54" s="199">
        <v>176327</v>
      </c>
      <c r="M54" s="199">
        <v>138056</v>
      </c>
      <c r="N54" s="199">
        <v>114436</v>
      </c>
      <c r="O54" s="199">
        <v>105686</v>
      </c>
      <c r="P54" s="199">
        <v>104880</v>
      </c>
      <c r="Q54" s="199">
        <v>100838</v>
      </c>
      <c r="R54" s="199">
        <v>96613</v>
      </c>
      <c r="S54" s="199">
        <v>92946</v>
      </c>
      <c r="T54" s="199">
        <v>90780</v>
      </c>
      <c r="U54" s="199">
        <v>91649</v>
      </c>
      <c r="V54" s="199" t="s">
        <v>175</v>
      </c>
      <c r="W54" s="199">
        <v>83878</v>
      </c>
      <c r="X54" s="199">
        <v>80411</v>
      </c>
      <c r="Y54" s="199">
        <v>82909</v>
      </c>
      <c r="Z54" s="199">
        <v>80509</v>
      </c>
      <c r="AA54" s="199">
        <v>78729</v>
      </c>
      <c r="AB54" s="199">
        <v>76519</v>
      </c>
      <c r="AC54" s="199">
        <v>66483</v>
      </c>
      <c r="AD54" s="199">
        <v>64856</v>
      </c>
    </row>
    <row r="55" spans="1:30">
      <c r="A55" s="1" t="s">
        <v>275</v>
      </c>
      <c r="B55" s="6" t="s">
        <v>294</v>
      </c>
      <c r="C55" s="6" t="s">
        <v>294</v>
      </c>
      <c r="D55" s="7">
        <v>4057115</v>
      </c>
      <c r="E55" s="199">
        <v>83438</v>
      </c>
      <c r="F55" s="199">
        <v>91234</v>
      </c>
      <c r="G55" s="199">
        <v>91862</v>
      </c>
      <c r="H55" s="199">
        <v>81249</v>
      </c>
      <c r="I55" s="199">
        <v>72482</v>
      </c>
      <c r="J55" s="199">
        <v>55531</v>
      </c>
      <c r="K55" s="199">
        <v>52968</v>
      </c>
      <c r="L55" s="199">
        <v>46816</v>
      </c>
      <c r="M55" s="199">
        <v>44684</v>
      </c>
      <c r="N55" s="199">
        <v>41512</v>
      </c>
      <c r="O55" s="199">
        <v>38056</v>
      </c>
      <c r="P55" s="199">
        <v>35317</v>
      </c>
      <c r="Q55" s="199">
        <v>33309</v>
      </c>
      <c r="R55" s="199">
        <v>30261</v>
      </c>
      <c r="S55" s="199">
        <v>25565</v>
      </c>
      <c r="T55" s="199">
        <v>24276</v>
      </c>
      <c r="U55" s="199">
        <v>25510</v>
      </c>
      <c r="V55" s="199">
        <v>23693</v>
      </c>
      <c r="W55" s="199">
        <v>22207</v>
      </c>
      <c r="X55" s="199" t="s">
        <v>175</v>
      </c>
      <c r="Y55" s="199">
        <v>16774</v>
      </c>
      <c r="Z55" s="199" t="s">
        <v>175</v>
      </c>
      <c r="AA55" s="199">
        <v>16645</v>
      </c>
      <c r="AB55" s="199">
        <v>15413</v>
      </c>
      <c r="AC55" s="199">
        <v>15817</v>
      </c>
      <c r="AD55" s="199">
        <v>15494</v>
      </c>
    </row>
    <row r="56" spans="1:30">
      <c r="B56" s="6" t="s">
        <v>206</v>
      </c>
      <c r="C56" s="6" t="s">
        <v>206</v>
      </c>
      <c r="D56" s="7">
        <v>4064479</v>
      </c>
      <c r="E56" s="199">
        <v>4944</v>
      </c>
      <c r="F56" s="199">
        <v>4618</v>
      </c>
      <c r="G56" s="199">
        <v>4530</v>
      </c>
      <c r="H56" s="199">
        <v>4507</v>
      </c>
      <c r="I56" s="199">
        <v>4566</v>
      </c>
      <c r="J56" s="199">
        <v>8700</v>
      </c>
      <c r="K56" s="199">
        <v>8577</v>
      </c>
      <c r="L56" s="199">
        <v>8603</v>
      </c>
      <c r="M56" s="199">
        <v>8441</v>
      </c>
      <c r="N56" s="199">
        <v>8135</v>
      </c>
      <c r="O56" s="199">
        <v>6461</v>
      </c>
      <c r="P56" s="199">
        <v>5821</v>
      </c>
      <c r="Q56" s="199">
        <v>5407</v>
      </c>
      <c r="R56" s="199">
        <v>4909</v>
      </c>
      <c r="S56" s="199">
        <v>4489</v>
      </c>
      <c r="T56" s="199">
        <v>4428</v>
      </c>
      <c r="U56" s="199">
        <v>4474</v>
      </c>
      <c r="V56" s="199">
        <v>4274</v>
      </c>
      <c r="W56" s="199">
        <v>4077</v>
      </c>
      <c r="X56" s="199">
        <v>4603</v>
      </c>
      <c r="Y56" s="199">
        <v>4505</v>
      </c>
      <c r="Z56" s="199">
        <v>4431</v>
      </c>
      <c r="AA56" s="199">
        <v>4191</v>
      </c>
      <c r="AB56" s="199">
        <v>4020</v>
      </c>
      <c r="AC56" s="199">
        <v>3796</v>
      </c>
      <c r="AD56" s="199">
        <v>3070</v>
      </c>
    </row>
    <row r="57" spans="1:30">
      <c r="B57" s="6" t="s">
        <v>295</v>
      </c>
      <c r="C57" s="6" t="s">
        <v>295</v>
      </c>
      <c r="D57" s="7">
        <v>4062025</v>
      </c>
      <c r="E57" s="199">
        <v>18335</v>
      </c>
      <c r="F57" s="199">
        <v>16985</v>
      </c>
      <c r="G57" s="199">
        <v>13973</v>
      </c>
      <c r="H57" s="199">
        <v>13515</v>
      </c>
      <c r="I57" s="199">
        <v>13393</v>
      </c>
      <c r="J57" s="199">
        <v>12599</v>
      </c>
      <c r="K57" s="199">
        <v>12362</v>
      </c>
      <c r="L57" s="199">
        <v>12411</v>
      </c>
      <c r="M57" s="199">
        <v>12509</v>
      </c>
      <c r="N57" s="199">
        <v>12284</v>
      </c>
      <c r="O57" s="199">
        <v>11889</v>
      </c>
      <c r="P57" s="199">
        <v>11789</v>
      </c>
      <c r="Q57" s="199">
        <v>11301</v>
      </c>
      <c r="R57" s="199">
        <v>10668</v>
      </c>
      <c r="S57" s="199">
        <v>10436</v>
      </c>
      <c r="T57" s="199">
        <v>10353</v>
      </c>
      <c r="U57" s="199">
        <v>10162</v>
      </c>
      <c r="V57" s="199">
        <v>9921</v>
      </c>
      <c r="W57" s="199">
        <v>9549</v>
      </c>
      <c r="X57" s="199">
        <v>9380</v>
      </c>
      <c r="Y57" s="199">
        <v>9065</v>
      </c>
      <c r="Z57" s="199">
        <v>8903</v>
      </c>
      <c r="AA57" s="199">
        <v>5646</v>
      </c>
      <c r="AB57" s="199">
        <v>5546</v>
      </c>
      <c r="AC57" s="199">
        <v>5399</v>
      </c>
      <c r="AD57" s="199">
        <v>5215</v>
      </c>
    </row>
    <row r="58" spans="1:30">
      <c r="B58" s="6" t="s">
        <v>296</v>
      </c>
      <c r="C58" s="6" t="s">
        <v>296</v>
      </c>
      <c r="D58" s="7">
        <v>4064481</v>
      </c>
      <c r="E58" s="199" t="s">
        <v>175</v>
      </c>
      <c r="F58" s="199" t="s">
        <v>175</v>
      </c>
      <c r="G58" s="199">
        <v>114467</v>
      </c>
      <c r="H58" s="199">
        <v>111656</v>
      </c>
      <c r="I58" s="199">
        <v>107189</v>
      </c>
      <c r="J58" s="199">
        <v>99283</v>
      </c>
      <c r="K58" s="199">
        <v>97861</v>
      </c>
      <c r="L58" s="199">
        <v>95303</v>
      </c>
      <c r="M58" s="199">
        <v>84278</v>
      </c>
      <c r="N58" s="199">
        <v>82303</v>
      </c>
      <c r="O58" s="199">
        <v>72316</v>
      </c>
      <c r="P58" s="199">
        <v>60957</v>
      </c>
      <c r="Q58" s="199">
        <v>53532</v>
      </c>
      <c r="R58" s="199">
        <v>50533</v>
      </c>
      <c r="S58" s="199">
        <v>51298</v>
      </c>
      <c r="T58" s="199">
        <v>52118</v>
      </c>
      <c r="U58" s="199">
        <v>74450</v>
      </c>
      <c r="V58" s="199">
        <v>73882</v>
      </c>
      <c r="W58" s="199">
        <v>80793</v>
      </c>
      <c r="X58" s="199">
        <v>81070</v>
      </c>
      <c r="Y58" s="199">
        <v>77476</v>
      </c>
      <c r="Z58" s="199">
        <v>75054</v>
      </c>
      <c r="AA58" s="199">
        <v>52441</v>
      </c>
      <c r="AB58" s="199">
        <v>85622</v>
      </c>
      <c r="AC58" s="199">
        <v>75757</v>
      </c>
      <c r="AD58" s="199" t="s">
        <v>175</v>
      </c>
    </row>
    <row r="59" spans="1:30">
      <c r="A59" s="1" t="s">
        <v>275</v>
      </c>
      <c r="B59" s="6" t="s">
        <v>207</v>
      </c>
      <c r="C59" s="6" t="s">
        <v>207</v>
      </c>
      <c r="D59" s="7">
        <v>4057093</v>
      </c>
      <c r="E59" s="199">
        <v>25510</v>
      </c>
      <c r="F59" s="199">
        <v>17716</v>
      </c>
      <c r="G59" s="199">
        <v>16488</v>
      </c>
      <c r="H59" s="199">
        <v>14821</v>
      </c>
      <c r="I59" s="199">
        <v>13899</v>
      </c>
      <c r="J59" s="199">
        <v>13612</v>
      </c>
      <c r="K59" s="199">
        <v>14492</v>
      </c>
      <c r="L59" s="199">
        <v>14113</v>
      </c>
      <c r="M59" s="199">
        <v>12631</v>
      </c>
      <c r="N59" s="199">
        <v>11844</v>
      </c>
      <c r="O59" s="199">
        <v>10904</v>
      </c>
      <c r="P59" s="199">
        <v>10438</v>
      </c>
      <c r="Q59" s="199">
        <v>9328</v>
      </c>
      <c r="R59" s="199">
        <v>8641</v>
      </c>
      <c r="S59" s="199">
        <v>7676</v>
      </c>
      <c r="T59" s="199">
        <v>7189</v>
      </c>
      <c r="U59" s="199">
        <v>6494</v>
      </c>
      <c r="V59" s="199">
        <v>6280</v>
      </c>
      <c r="W59" s="199">
        <v>5893</v>
      </c>
      <c r="X59" s="199">
        <v>6570</v>
      </c>
      <c r="Y59" s="199">
        <v>7148</v>
      </c>
      <c r="Z59" s="199">
        <v>7913</v>
      </c>
      <c r="AA59" s="199">
        <v>8109</v>
      </c>
      <c r="AB59" s="199">
        <v>7691</v>
      </c>
      <c r="AC59" s="199">
        <v>7746</v>
      </c>
      <c r="AD59" s="199">
        <v>7619</v>
      </c>
    </row>
    <row r="60" spans="1:30">
      <c r="B60" s="6" t="s">
        <v>208</v>
      </c>
      <c r="C60" s="6" t="s">
        <v>208</v>
      </c>
      <c r="D60" s="7">
        <v>4004218</v>
      </c>
      <c r="E60" s="199">
        <v>491732</v>
      </c>
      <c r="F60" s="199">
        <v>484183</v>
      </c>
      <c r="G60" s="199">
        <v>460316</v>
      </c>
      <c r="H60" s="199">
        <v>393077</v>
      </c>
      <c r="I60" s="199">
        <v>284998</v>
      </c>
      <c r="J60" s="199">
        <v>226029</v>
      </c>
      <c r="K60" s="199">
        <v>204572</v>
      </c>
      <c r="L60" s="199">
        <v>183776</v>
      </c>
      <c r="M60" s="199">
        <v>121403</v>
      </c>
      <c r="N60" s="199">
        <v>92789</v>
      </c>
      <c r="O60" s="199">
        <v>80682</v>
      </c>
      <c r="P60" s="199">
        <v>67539</v>
      </c>
      <c r="Q60" s="199">
        <v>67240</v>
      </c>
      <c r="R60" s="199">
        <v>65781</v>
      </c>
      <c r="S60" s="199">
        <v>66757</v>
      </c>
      <c r="T60" s="199">
        <v>68263</v>
      </c>
      <c r="U60" s="199">
        <v>68490</v>
      </c>
      <c r="V60" s="199">
        <v>69203</v>
      </c>
      <c r="W60" s="199">
        <v>69059</v>
      </c>
      <c r="X60" s="199">
        <v>68076</v>
      </c>
      <c r="Y60" s="199">
        <v>68288</v>
      </c>
      <c r="Z60" s="199">
        <v>70259</v>
      </c>
      <c r="AA60" s="199">
        <v>68438</v>
      </c>
      <c r="AB60" s="199">
        <v>67475</v>
      </c>
      <c r="AC60" s="199">
        <v>68285</v>
      </c>
      <c r="AD60" s="199">
        <v>67105</v>
      </c>
    </row>
    <row r="61" spans="1:30">
      <c r="A61" s="1" t="s">
        <v>275</v>
      </c>
      <c r="B61" s="6" t="s">
        <v>297</v>
      </c>
      <c r="C61" s="6" t="s">
        <v>298</v>
      </c>
      <c r="D61" s="7">
        <v>4062222</v>
      </c>
      <c r="E61" s="199">
        <v>33504</v>
      </c>
      <c r="F61" s="199">
        <v>28643</v>
      </c>
      <c r="G61" s="199">
        <v>28028</v>
      </c>
      <c r="H61" s="199">
        <v>21551</v>
      </c>
      <c r="I61" s="199">
        <v>17970</v>
      </c>
      <c r="J61" s="199">
        <v>16593</v>
      </c>
      <c r="K61" s="199">
        <v>15850</v>
      </c>
      <c r="L61" s="199">
        <v>17039</v>
      </c>
      <c r="M61" s="199">
        <v>16545</v>
      </c>
      <c r="N61" s="199">
        <v>13787</v>
      </c>
      <c r="O61" s="199">
        <v>13152</v>
      </c>
      <c r="P61" s="199">
        <v>12635</v>
      </c>
      <c r="Q61" s="199">
        <v>11897</v>
      </c>
      <c r="R61" s="199">
        <v>10842</v>
      </c>
      <c r="S61" s="199">
        <v>10532</v>
      </c>
      <c r="T61" s="199">
        <v>11325</v>
      </c>
      <c r="U61" s="199">
        <v>10182</v>
      </c>
      <c r="V61" s="199">
        <v>8663</v>
      </c>
      <c r="W61" s="199">
        <v>8286</v>
      </c>
      <c r="X61" s="199">
        <v>8026</v>
      </c>
      <c r="Y61" s="199" t="s">
        <v>175</v>
      </c>
      <c r="Z61" s="199">
        <v>4964</v>
      </c>
      <c r="AA61" s="199">
        <v>4920</v>
      </c>
      <c r="AB61" s="199">
        <v>4989</v>
      </c>
      <c r="AC61" s="199">
        <v>5000</v>
      </c>
      <c r="AD61" s="199">
        <v>4988</v>
      </c>
    </row>
    <row r="62" spans="1:30">
      <c r="B62" s="6" t="s">
        <v>210</v>
      </c>
      <c r="C62" s="6" t="s">
        <v>211</v>
      </c>
      <c r="D62" s="7">
        <v>4057135</v>
      </c>
      <c r="E62" s="199">
        <v>132815</v>
      </c>
      <c r="F62" s="199">
        <v>115565</v>
      </c>
      <c r="G62" s="199">
        <v>109666</v>
      </c>
      <c r="H62" s="199">
        <v>96354</v>
      </c>
      <c r="I62" s="199">
        <v>94039</v>
      </c>
      <c r="J62" s="199">
        <v>95283</v>
      </c>
      <c r="K62" s="199">
        <v>95148</v>
      </c>
      <c r="L62" s="199">
        <v>84661</v>
      </c>
      <c r="M62" s="199">
        <v>78118</v>
      </c>
      <c r="N62" s="199">
        <v>64672</v>
      </c>
      <c r="O62" s="199">
        <v>64615</v>
      </c>
      <c r="P62" s="199">
        <v>66402</v>
      </c>
      <c r="Q62" s="199">
        <v>66657</v>
      </c>
      <c r="R62" s="199">
        <v>94706</v>
      </c>
      <c r="S62" s="199">
        <v>95617</v>
      </c>
      <c r="T62" s="199">
        <v>91870</v>
      </c>
      <c r="U62" s="199">
        <v>127227</v>
      </c>
      <c r="V62" s="199">
        <v>126752</v>
      </c>
      <c r="W62" s="199">
        <v>119568</v>
      </c>
      <c r="X62" s="199">
        <v>116468</v>
      </c>
      <c r="Y62" s="199">
        <v>108984</v>
      </c>
      <c r="Z62" s="199">
        <v>113248</v>
      </c>
      <c r="AA62" s="199">
        <v>106759</v>
      </c>
      <c r="AB62" s="199">
        <v>100903</v>
      </c>
      <c r="AC62" s="199">
        <v>100622</v>
      </c>
      <c r="AD62" s="199">
        <v>95618</v>
      </c>
    </row>
    <row r="63" spans="1:30">
      <c r="B63" s="6" t="s">
        <v>212</v>
      </c>
      <c r="C63" s="6" t="s">
        <v>212</v>
      </c>
      <c r="D63" s="7">
        <v>4063341</v>
      </c>
      <c r="E63" s="199">
        <v>71808</v>
      </c>
      <c r="F63" s="199">
        <v>46965</v>
      </c>
      <c r="G63" s="199">
        <v>42059</v>
      </c>
      <c r="H63" s="199">
        <v>39196</v>
      </c>
      <c r="I63" s="199">
        <v>38838</v>
      </c>
      <c r="J63" s="199">
        <v>47356</v>
      </c>
      <c r="K63" s="199">
        <v>36557</v>
      </c>
      <c r="L63" s="199">
        <v>42636</v>
      </c>
      <c r="M63" s="199">
        <v>38807</v>
      </c>
      <c r="N63" s="199">
        <v>37210</v>
      </c>
      <c r="O63" s="199">
        <v>36047</v>
      </c>
      <c r="P63" s="199">
        <v>38040</v>
      </c>
      <c r="Q63" s="199">
        <v>43266</v>
      </c>
      <c r="R63" s="199">
        <v>42233</v>
      </c>
      <c r="S63" s="199">
        <v>41199</v>
      </c>
      <c r="T63" s="199">
        <v>40843</v>
      </c>
      <c r="U63" s="199">
        <v>39484</v>
      </c>
      <c r="V63" s="199">
        <v>40426</v>
      </c>
      <c r="W63" s="199">
        <v>50350</v>
      </c>
      <c r="X63" s="199">
        <v>47078</v>
      </c>
      <c r="Y63" s="199">
        <v>41668</v>
      </c>
      <c r="Z63" s="199">
        <v>48732</v>
      </c>
      <c r="AA63" s="199">
        <v>43886</v>
      </c>
      <c r="AB63" s="199">
        <v>42182</v>
      </c>
      <c r="AC63" s="199">
        <v>39448</v>
      </c>
      <c r="AD63" s="199">
        <v>36522</v>
      </c>
    </row>
    <row r="64" spans="1:30">
      <c r="A64" s="1" t="s">
        <v>275</v>
      </c>
      <c r="B64" s="6" t="s">
        <v>299</v>
      </c>
      <c r="C64" s="6" t="s">
        <v>299</v>
      </c>
      <c r="D64" s="7">
        <v>4083575</v>
      </c>
      <c r="E64" s="199">
        <v>243986</v>
      </c>
      <c r="F64" s="199">
        <v>239882</v>
      </c>
      <c r="G64" s="199">
        <v>205164</v>
      </c>
      <c r="H64" s="199">
        <v>187225</v>
      </c>
      <c r="I64" s="199">
        <v>186841</v>
      </c>
      <c r="J64" s="199">
        <v>186187</v>
      </c>
      <c r="K64" s="199">
        <v>175422</v>
      </c>
      <c r="L64" s="199">
        <v>167148</v>
      </c>
      <c r="M64" s="199">
        <v>165211</v>
      </c>
      <c r="N64" s="199">
        <v>168404</v>
      </c>
      <c r="O64" s="199">
        <v>167653</v>
      </c>
      <c r="P64" s="199">
        <v>165936</v>
      </c>
      <c r="Q64" s="199">
        <v>153984</v>
      </c>
      <c r="R64" s="199">
        <v>155557</v>
      </c>
      <c r="S64" s="199">
        <v>155611</v>
      </c>
      <c r="T64" s="199">
        <v>158938</v>
      </c>
      <c r="U64" s="199">
        <v>144970</v>
      </c>
      <c r="V64" s="199">
        <v>141863</v>
      </c>
      <c r="W64" s="199">
        <v>137848</v>
      </c>
      <c r="X64" s="199">
        <v>108167</v>
      </c>
      <c r="Y64" s="199" t="s">
        <v>175</v>
      </c>
      <c r="Z64" s="199" t="s">
        <v>175</v>
      </c>
      <c r="AA64" s="199" t="s">
        <v>175</v>
      </c>
      <c r="AB64" s="199" t="s">
        <v>175</v>
      </c>
      <c r="AC64" s="199" t="s">
        <v>175</v>
      </c>
      <c r="AD64" s="199" t="s">
        <v>175</v>
      </c>
    </row>
    <row r="65" spans="1:30">
      <c r="B65" s="6" t="s">
        <v>300</v>
      </c>
      <c r="C65" s="6" t="s">
        <v>300</v>
      </c>
      <c r="D65" s="7">
        <v>4062303</v>
      </c>
      <c r="E65" s="199">
        <v>553</v>
      </c>
      <c r="F65" s="199">
        <v>562</v>
      </c>
      <c r="G65" s="199">
        <v>542</v>
      </c>
      <c r="H65" s="199">
        <v>486</v>
      </c>
      <c r="I65" s="199" t="s">
        <v>175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8</v>
      </c>
      <c r="W65" s="199">
        <v>16</v>
      </c>
      <c r="X65" s="199">
        <v>0</v>
      </c>
      <c r="Y65" s="199">
        <v>0</v>
      </c>
      <c r="Z65" s="199" t="s">
        <v>175</v>
      </c>
      <c r="AA65" s="199" t="s">
        <v>175</v>
      </c>
      <c r="AB65" s="199" t="s">
        <v>175</v>
      </c>
      <c r="AC65" s="199" t="s">
        <v>175</v>
      </c>
      <c r="AD65" s="199" t="s">
        <v>175</v>
      </c>
    </row>
    <row r="66" spans="1:30">
      <c r="B66" s="6" t="s">
        <v>301</v>
      </c>
      <c r="C66" s="6" t="s">
        <v>301</v>
      </c>
      <c r="D66" s="7">
        <v>4083581</v>
      </c>
      <c r="E66" s="199">
        <v>589</v>
      </c>
      <c r="F66" s="199">
        <v>601</v>
      </c>
      <c r="G66" s="199">
        <v>619</v>
      </c>
      <c r="H66" s="199">
        <v>630</v>
      </c>
      <c r="I66" s="199">
        <v>648</v>
      </c>
      <c r="J66" s="199">
        <v>648</v>
      </c>
      <c r="K66" s="199">
        <v>664</v>
      </c>
      <c r="L66" s="199">
        <v>980</v>
      </c>
      <c r="M66" s="199">
        <v>989</v>
      </c>
      <c r="N66" s="199">
        <v>989</v>
      </c>
      <c r="O66" s="199">
        <v>866</v>
      </c>
      <c r="P66" s="199">
        <v>859</v>
      </c>
      <c r="Q66" s="199">
        <v>840</v>
      </c>
      <c r="R66" s="199">
        <v>857</v>
      </c>
      <c r="S66" s="199">
        <v>835</v>
      </c>
      <c r="T66" s="199">
        <v>771</v>
      </c>
      <c r="U66" s="199">
        <v>768</v>
      </c>
      <c r="V66" s="199">
        <v>804</v>
      </c>
      <c r="W66" s="199" t="s">
        <v>175</v>
      </c>
      <c r="X66" s="199">
        <v>784</v>
      </c>
      <c r="Y66" s="199">
        <v>705</v>
      </c>
      <c r="Z66" s="199" t="s">
        <v>175</v>
      </c>
      <c r="AA66" s="199" t="s">
        <v>175</v>
      </c>
      <c r="AB66" s="199" t="s">
        <v>175</v>
      </c>
      <c r="AC66" s="199" t="s">
        <v>175</v>
      </c>
      <c r="AD66" s="199" t="s">
        <v>175</v>
      </c>
    </row>
    <row r="67" spans="1:30">
      <c r="B67" s="6" t="s">
        <v>214</v>
      </c>
      <c r="C67" s="6" t="s">
        <v>214</v>
      </c>
      <c r="D67" s="7">
        <v>4057139</v>
      </c>
      <c r="E67" s="199">
        <v>86608</v>
      </c>
      <c r="F67" s="199">
        <v>83033</v>
      </c>
      <c r="G67" s="199">
        <v>96425</v>
      </c>
      <c r="H67" s="199">
        <v>95344</v>
      </c>
      <c r="I67" s="199">
        <v>87888</v>
      </c>
      <c r="J67" s="199">
        <v>84277</v>
      </c>
      <c r="K67" s="199">
        <v>79390</v>
      </c>
      <c r="L67" s="199">
        <v>74563</v>
      </c>
      <c r="M67" s="199">
        <v>72424</v>
      </c>
      <c r="N67" s="199">
        <v>70344</v>
      </c>
      <c r="O67" s="199">
        <v>69754</v>
      </c>
      <c r="P67" s="199">
        <v>69304</v>
      </c>
      <c r="Q67" s="199">
        <v>67025</v>
      </c>
      <c r="R67" s="199">
        <v>61881</v>
      </c>
      <c r="S67" s="199">
        <v>71102</v>
      </c>
      <c r="T67" s="199">
        <v>67977</v>
      </c>
      <c r="U67" s="199">
        <v>68249</v>
      </c>
      <c r="V67" s="199">
        <v>86596</v>
      </c>
      <c r="W67" s="199">
        <v>99045</v>
      </c>
      <c r="X67" s="199">
        <v>95915</v>
      </c>
      <c r="Y67" s="199">
        <v>80902</v>
      </c>
      <c r="Z67" s="199">
        <v>90219</v>
      </c>
      <c r="AA67" s="199">
        <v>81543</v>
      </c>
      <c r="AB67" s="199">
        <v>74915</v>
      </c>
      <c r="AC67" s="199">
        <v>65559</v>
      </c>
      <c r="AD67" s="199">
        <v>58764</v>
      </c>
    </row>
    <row r="68" spans="1:30">
      <c r="A68" s="1" t="s">
        <v>275</v>
      </c>
      <c r="B68" s="6" t="s">
        <v>216</v>
      </c>
      <c r="C68" s="6" t="s">
        <v>216</v>
      </c>
      <c r="D68" s="7">
        <v>4057095</v>
      </c>
      <c r="E68" s="199" t="s">
        <v>175</v>
      </c>
      <c r="F68" s="199">
        <v>190497</v>
      </c>
      <c r="G68" s="199">
        <v>183488</v>
      </c>
      <c r="H68" s="199">
        <v>141813</v>
      </c>
      <c r="I68" s="199">
        <v>94431</v>
      </c>
      <c r="J68" s="199">
        <v>82569</v>
      </c>
      <c r="K68" s="199">
        <v>92993</v>
      </c>
      <c r="L68" s="199">
        <v>95892</v>
      </c>
      <c r="M68" s="199">
        <v>104061</v>
      </c>
      <c r="N68" s="199">
        <v>108070</v>
      </c>
      <c r="O68" s="199">
        <v>112851</v>
      </c>
      <c r="P68" s="199">
        <v>126294</v>
      </c>
      <c r="Q68" s="199">
        <v>150659</v>
      </c>
      <c r="R68" s="199">
        <v>142874</v>
      </c>
      <c r="S68" s="199">
        <v>147608</v>
      </c>
      <c r="T68" s="199">
        <v>152764</v>
      </c>
      <c r="U68" s="199">
        <v>145124</v>
      </c>
      <c r="V68" s="199">
        <v>140252</v>
      </c>
      <c r="W68" s="199">
        <v>131392</v>
      </c>
      <c r="X68" s="199">
        <v>128928</v>
      </c>
      <c r="Y68" s="199">
        <v>117871</v>
      </c>
      <c r="Z68" s="199">
        <v>105904</v>
      </c>
      <c r="AA68" s="199">
        <v>52355</v>
      </c>
      <c r="AB68" s="199">
        <v>51307</v>
      </c>
      <c r="AC68" s="199">
        <v>42081</v>
      </c>
      <c r="AD68" s="199">
        <v>39315</v>
      </c>
    </row>
    <row r="69" spans="1:30">
      <c r="B69" s="6" t="s">
        <v>217</v>
      </c>
      <c r="C69" s="6" t="s">
        <v>217</v>
      </c>
      <c r="D69" s="7">
        <v>4062485</v>
      </c>
      <c r="E69" s="199">
        <v>41470</v>
      </c>
      <c r="F69" s="199">
        <v>41428</v>
      </c>
      <c r="G69" s="199">
        <v>25700</v>
      </c>
      <c r="H69" s="199">
        <v>23832</v>
      </c>
      <c r="I69" s="199">
        <v>34434</v>
      </c>
      <c r="J69" s="199">
        <v>32812</v>
      </c>
      <c r="K69" s="199">
        <v>32571</v>
      </c>
      <c r="L69" s="199">
        <v>36261</v>
      </c>
      <c r="M69" s="199">
        <v>34698</v>
      </c>
      <c r="N69" s="199">
        <v>32711</v>
      </c>
      <c r="O69" s="199">
        <v>32031</v>
      </c>
      <c r="P69" s="199">
        <v>22344</v>
      </c>
      <c r="Q69" s="199">
        <v>49741</v>
      </c>
      <c r="R69" s="199">
        <v>47919</v>
      </c>
      <c r="S69" s="199">
        <v>42998</v>
      </c>
      <c r="T69" s="199">
        <v>42359</v>
      </c>
      <c r="U69" s="199">
        <v>50553</v>
      </c>
      <c r="V69" s="199">
        <v>51143</v>
      </c>
      <c r="W69" s="199">
        <v>56500</v>
      </c>
      <c r="X69" s="199">
        <v>57022</v>
      </c>
      <c r="Y69" s="199">
        <v>58554</v>
      </c>
      <c r="Z69" s="199">
        <v>59228</v>
      </c>
      <c r="AA69" s="199">
        <v>59948</v>
      </c>
      <c r="AB69" s="199">
        <v>86890</v>
      </c>
      <c r="AC69" s="199">
        <v>113287</v>
      </c>
      <c r="AD69" s="199">
        <v>97190</v>
      </c>
    </row>
    <row r="70" spans="1:30">
      <c r="B70" s="6" t="s">
        <v>218</v>
      </c>
      <c r="C70" s="6" t="s">
        <v>218</v>
      </c>
      <c r="D70" s="7">
        <v>4057140</v>
      </c>
      <c r="E70" s="199">
        <v>267552</v>
      </c>
      <c r="F70" s="199">
        <v>260659</v>
      </c>
      <c r="G70" s="199">
        <v>262091</v>
      </c>
      <c r="H70" s="199">
        <v>265598</v>
      </c>
      <c r="I70" s="199">
        <v>290396</v>
      </c>
      <c r="J70" s="199">
        <v>241412</v>
      </c>
      <c r="K70" s="199">
        <v>225741</v>
      </c>
      <c r="L70" s="199">
        <v>208902</v>
      </c>
      <c r="M70" s="199">
        <v>199297</v>
      </c>
      <c r="N70" s="199">
        <v>200214</v>
      </c>
      <c r="O70" s="199">
        <v>188259</v>
      </c>
      <c r="P70" s="199">
        <v>183106</v>
      </c>
      <c r="Q70" s="199">
        <v>173982</v>
      </c>
      <c r="R70" s="199">
        <v>125589</v>
      </c>
      <c r="S70" s="199">
        <v>122166</v>
      </c>
      <c r="T70" s="199">
        <v>168747</v>
      </c>
      <c r="U70" s="199">
        <v>161179</v>
      </c>
      <c r="V70" s="199">
        <v>136905</v>
      </c>
      <c r="W70" s="199">
        <v>142668</v>
      </c>
      <c r="X70" s="199">
        <v>137650</v>
      </c>
      <c r="Y70" s="199">
        <v>124337</v>
      </c>
      <c r="Z70" s="199">
        <v>119794</v>
      </c>
      <c r="AA70" s="199">
        <v>113485</v>
      </c>
      <c r="AB70" s="199">
        <v>97342</v>
      </c>
      <c r="AC70" s="199">
        <v>97740</v>
      </c>
      <c r="AD70" s="199">
        <v>78239</v>
      </c>
    </row>
    <row r="71" spans="1:30">
      <c r="A71" s="1" t="s">
        <v>275</v>
      </c>
      <c r="B71" s="6" t="s">
        <v>220</v>
      </c>
      <c r="C71" s="6" t="s">
        <v>221</v>
      </c>
      <c r="D71" s="7">
        <v>4057096</v>
      </c>
      <c r="E71" s="199">
        <v>7907</v>
      </c>
      <c r="F71" s="199">
        <v>7386</v>
      </c>
      <c r="G71" s="199">
        <v>6862</v>
      </c>
      <c r="H71" s="199">
        <v>6495</v>
      </c>
      <c r="I71" s="199">
        <v>6220</v>
      </c>
      <c r="J71" s="199">
        <v>5909</v>
      </c>
      <c r="K71" s="199">
        <v>5654</v>
      </c>
      <c r="L71" s="199">
        <v>5351</v>
      </c>
      <c r="M71" s="199">
        <v>4166</v>
      </c>
      <c r="N71" s="199">
        <v>3804</v>
      </c>
      <c r="O71" s="199">
        <v>3721</v>
      </c>
      <c r="P71" s="199">
        <v>3735</v>
      </c>
      <c r="Q71" s="199">
        <v>3640</v>
      </c>
      <c r="R71" s="199">
        <v>3543</v>
      </c>
      <c r="S71" s="199">
        <v>3550</v>
      </c>
      <c r="T71" s="199">
        <v>3362</v>
      </c>
      <c r="U71" s="199">
        <v>3175</v>
      </c>
      <c r="V71" s="199" t="s">
        <v>175</v>
      </c>
      <c r="W71" s="199" t="s">
        <v>175</v>
      </c>
      <c r="X71" s="199">
        <v>3993</v>
      </c>
      <c r="Y71" s="199">
        <v>3877</v>
      </c>
      <c r="Z71" s="199">
        <v>3699</v>
      </c>
      <c r="AA71" s="199">
        <v>3497</v>
      </c>
      <c r="AB71" s="199">
        <v>3254</v>
      </c>
      <c r="AC71" s="199">
        <v>3197</v>
      </c>
      <c r="AD71" s="199">
        <v>2917</v>
      </c>
    </row>
    <row r="72" spans="1:30">
      <c r="B72" s="6" t="s">
        <v>302</v>
      </c>
      <c r="C72" s="6" t="s">
        <v>302</v>
      </c>
      <c r="D72" s="7">
        <v>4057097</v>
      </c>
      <c r="E72" s="199" t="s">
        <v>175</v>
      </c>
      <c r="F72" s="199" t="s">
        <v>175</v>
      </c>
      <c r="G72" s="199">
        <v>14559</v>
      </c>
      <c r="H72" s="199">
        <v>14055</v>
      </c>
      <c r="I72" s="199">
        <v>13701</v>
      </c>
      <c r="J72" s="199">
        <v>11634</v>
      </c>
      <c r="K72" s="199">
        <v>11411</v>
      </c>
      <c r="L72" s="199">
        <v>10659</v>
      </c>
      <c r="M72" s="199">
        <v>10026</v>
      </c>
      <c r="N72" s="199">
        <v>9689</v>
      </c>
      <c r="O72" s="199">
        <v>9557</v>
      </c>
      <c r="P72" s="199">
        <v>10139</v>
      </c>
      <c r="Q72" s="199">
        <v>10193</v>
      </c>
      <c r="R72" s="199">
        <v>10691</v>
      </c>
      <c r="S72" s="199">
        <v>10472</v>
      </c>
      <c r="T72" s="199">
        <v>10306</v>
      </c>
      <c r="U72" s="199">
        <v>10013</v>
      </c>
      <c r="V72" s="199">
        <v>10207</v>
      </c>
      <c r="W72" s="199">
        <v>9723</v>
      </c>
      <c r="X72" s="199">
        <v>9279</v>
      </c>
      <c r="Y72" s="199">
        <v>8578</v>
      </c>
      <c r="Z72" s="199">
        <v>8624</v>
      </c>
      <c r="AA72" s="199">
        <v>8596</v>
      </c>
      <c r="AB72" s="199">
        <v>7799</v>
      </c>
      <c r="AC72" s="199">
        <v>8018</v>
      </c>
      <c r="AD72" s="199">
        <v>7679</v>
      </c>
    </row>
    <row r="73" spans="1:30">
      <c r="B73" s="6" t="s">
        <v>303</v>
      </c>
      <c r="C73" s="6" t="s">
        <v>303</v>
      </c>
      <c r="D73" s="7">
        <v>4057098</v>
      </c>
      <c r="E73" s="199" t="s">
        <v>175</v>
      </c>
      <c r="F73" s="199">
        <v>3824</v>
      </c>
      <c r="G73" s="199">
        <v>3887</v>
      </c>
      <c r="H73" s="199">
        <v>3976</v>
      </c>
      <c r="I73" s="199">
        <v>4703</v>
      </c>
      <c r="J73" s="199">
        <v>3945</v>
      </c>
      <c r="K73" s="199">
        <v>3742</v>
      </c>
      <c r="L73" s="199">
        <v>3862</v>
      </c>
      <c r="M73" s="199">
        <v>3740</v>
      </c>
      <c r="N73" s="199">
        <v>2906</v>
      </c>
      <c r="O73" s="199">
        <v>2918</v>
      </c>
      <c r="P73" s="199">
        <v>3230</v>
      </c>
      <c r="Q73" s="199">
        <v>3251</v>
      </c>
      <c r="R73" s="199">
        <v>3585</v>
      </c>
      <c r="S73" s="199">
        <v>3421</v>
      </c>
      <c r="T73" s="199">
        <v>3812</v>
      </c>
      <c r="U73" s="199">
        <v>3140</v>
      </c>
      <c r="V73" s="199">
        <v>3236</v>
      </c>
      <c r="W73" s="199">
        <v>2550</v>
      </c>
      <c r="X73" s="199" t="s">
        <v>175</v>
      </c>
      <c r="Y73" s="199">
        <v>2762</v>
      </c>
      <c r="Z73" s="199">
        <v>2805</v>
      </c>
      <c r="AA73" s="199">
        <v>2939</v>
      </c>
      <c r="AB73" s="199">
        <v>3082</v>
      </c>
      <c r="AC73" s="199">
        <v>2916</v>
      </c>
      <c r="AD73" s="199">
        <v>2906</v>
      </c>
    </row>
    <row r="74" spans="1:30">
      <c r="A74" s="1" t="s">
        <v>275</v>
      </c>
      <c r="B74" s="6" t="s">
        <v>222</v>
      </c>
      <c r="C74" s="6" t="s">
        <v>222</v>
      </c>
      <c r="D74" s="7">
        <v>4063023</v>
      </c>
      <c r="E74" s="199" t="s">
        <v>175</v>
      </c>
      <c r="F74" s="199">
        <v>238379</v>
      </c>
      <c r="G74" s="199">
        <v>241254</v>
      </c>
      <c r="H74" s="199">
        <v>175755</v>
      </c>
      <c r="I74" s="199">
        <v>169620</v>
      </c>
      <c r="J74" s="199">
        <v>163841</v>
      </c>
      <c r="K74" s="199">
        <v>103567</v>
      </c>
      <c r="L74" s="199">
        <v>53162</v>
      </c>
      <c r="M74" s="199">
        <v>50925</v>
      </c>
      <c r="N74" s="199">
        <v>51621</v>
      </c>
      <c r="O74" s="199">
        <v>50862</v>
      </c>
      <c r="P74" s="199">
        <v>45008</v>
      </c>
      <c r="Q74" s="199">
        <v>41092</v>
      </c>
      <c r="R74" s="199">
        <v>37106</v>
      </c>
      <c r="S74" s="199">
        <v>35499</v>
      </c>
      <c r="T74" s="199">
        <v>34532</v>
      </c>
      <c r="U74" s="199">
        <v>36243</v>
      </c>
      <c r="V74" s="199">
        <v>36345</v>
      </c>
      <c r="W74" s="199">
        <v>33617</v>
      </c>
      <c r="X74" s="199">
        <v>32581</v>
      </c>
      <c r="Y74" s="199">
        <v>32021</v>
      </c>
      <c r="Z74" s="199">
        <v>29275</v>
      </c>
      <c r="AA74" s="199">
        <v>29087</v>
      </c>
      <c r="AB74" s="199">
        <v>26096</v>
      </c>
      <c r="AC74" s="199">
        <v>25142</v>
      </c>
      <c r="AD74" s="199">
        <v>24578</v>
      </c>
    </row>
    <row r="75" spans="1:30">
      <c r="B75" s="6" t="s">
        <v>223</v>
      </c>
      <c r="C75" s="6" t="s">
        <v>223</v>
      </c>
      <c r="D75" s="7">
        <v>4057146</v>
      </c>
      <c r="E75" s="199" t="s">
        <v>175</v>
      </c>
      <c r="F75" s="199">
        <v>1905330</v>
      </c>
      <c r="G75" s="199">
        <v>1824625</v>
      </c>
      <c r="H75" s="199">
        <v>1695119</v>
      </c>
      <c r="I75" s="199">
        <v>1553853</v>
      </c>
      <c r="J75" s="199">
        <v>1437730</v>
      </c>
      <c r="K75" s="199">
        <v>1294842</v>
      </c>
      <c r="L75" s="199">
        <v>1223656</v>
      </c>
      <c r="M75" s="199">
        <v>1023721</v>
      </c>
      <c r="N75" s="199">
        <v>813496</v>
      </c>
      <c r="O75" s="199">
        <v>763570</v>
      </c>
      <c r="P75" s="199">
        <v>626622</v>
      </c>
      <c r="Q75" s="199">
        <v>588518</v>
      </c>
      <c r="R75" s="199">
        <v>566448</v>
      </c>
      <c r="S75" s="199">
        <v>593851</v>
      </c>
      <c r="T75" s="199">
        <v>585016</v>
      </c>
      <c r="U75" s="199">
        <v>586912</v>
      </c>
      <c r="V75" s="199">
        <v>573443</v>
      </c>
      <c r="W75" s="199">
        <v>474075</v>
      </c>
      <c r="X75" s="199">
        <v>468236</v>
      </c>
      <c r="Y75" s="199">
        <v>467557</v>
      </c>
      <c r="Z75" s="199">
        <v>452814</v>
      </c>
      <c r="AA75" s="199">
        <v>438322</v>
      </c>
      <c r="AB75" s="199">
        <v>428551</v>
      </c>
      <c r="AC75" s="199">
        <v>501440</v>
      </c>
      <c r="AD75" s="199" t="s">
        <v>175</v>
      </c>
    </row>
    <row r="76" spans="1:30">
      <c r="A76" s="1" t="s">
        <v>275</v>
      </c>
      <c r="B76" s="6" t="s">
        <v>224</v>
      </c>
      <c r="C76" s="6" t="s">
        <v>225</v>
      </c>
      <c r="D76" s="7">
        <v>4063060</v>
      </c>
      <c r="E76" s="199">
        <v>52823</v>
      </c>
      <c r="F76" s="199">
        <v>48963</v>
      </c>
      <c r="G76" s="199">
        <v>50176</v>
      </c>
      <c r="H76" s="199">
        <v>46381</v>
      </c>
      <c r="I76" s="199">
        <v>40693</v>
      </c>
      <c r="J76" s="199">
        <v>48086</v>
      </c>
      <c r="K76" s="199">
        <v>31810</v>
      </c>
      <c r="L76" s="199">
        <v>31729</v>
      </c>
      <c r="M76" s="199">
        <v>30760</v>
      </c>
      <c r="N76" s="199">
        <v>27508</v>
      </c>
      <c r="O76" s="199">
        <v>27365</v>
      </c>
      <c r="P76" s="199">
        <v>40501</v>
      </c>
      <c r="Q76" s="199">
        <v>40760</v>
      </c>
      <c r="R76" s="199">
        <v>29568</v>
      </c>
      <c r="S76" s="199">
        <v>41605</v>
      </c>
      <c r="T76" s="199">
        <v>40402</v>
      </c>
      <c r="U76" s="199">
        <v>39392</v>
      </c>
      <c r="V76" s="199">
        <v>38933</v>
      </c>
      <c r="W76" s="199">
        <v>38845</v>
      </c>
      <c r="X76" s="199">
        <v>35928</v>
      </c>
      <c r="Y76" s="199">
        <v>30879</v>
      </c>
      <c r="Z76" s="199" t="s">
        <v>175</v>
      </c>
      <c r="AA76" s="199">
        <v>27404</v>
      </c>
      <c r="AB76" s="199">
        <v>28232</v>
      </c>
      <c r="AC76" s="199">
        <v>25890</v>
      </c>
      <c r="AD76" s="199">
        <v>23285</v>
      </c>
    </row>
    <row r="77" spans="1:30">
      <c r="B77" s="6" t="s">
        <v>226</v>
      </c>
      <c r="C77" s="6" t="s">
        <v>226</v>
      </c>
      <c r="D77" s="7">
        <v>4057100</v>
      </c>
      <c r="E77" s="199">
        <v>18882</v>
      </c>
      <c r="F77" s="199">
        <v>26961</v>
      </c>
      <c r="G77" s="199">
        <v>15197</v>
      </c>
      <c r="H77" s="199">
        <v>12436</v>
      </c>
      <c r="I77" s="199">
        <v>12329</v>
      </c>
      <c r="J77" s="199">
        <v>11909</v>
      </c>
      <c r="K77" s="199">
        <v>11008</v>
      </c>
      <c r="L77" s="199">
        <v>10541</v>
      </c>
      <c r="M77" s="199">
        <v>10739</v>
      </c>
      <c r="N77" s="199">
        <v>10846</v>
      </c>
      <c r="O77" s="199">
        <v>10562</v>
      </c>
      <c r="P77" s="199">
        <v>10025</v>
      </c>
      <c r="Q77" s="199">
        <v>8771</v>
      </c>
      <c r="R77" s="199">
        <v>8143</v>
      </c>
      <c r="S77" s="199">
        <v>7835</v>
      </c>
      <c r="T77" s="199">
        <v>7251</v>
      </c>
      <c r="U77" s="199">
        <v>7192</v>
      </c>
      <c r="V77" s="199">
        <v>6637</v>
      </c>
      <c r="W77" s="199">
        <v>6562</v>
      </c>
      <c r="X77" s="199">
        <v>6094</v>
      </c>
      <c r="Y77" s="199">
        <v>5834</v>
      </c>
      <c r="Z77" s="199">
        <v>5531</v>
      </c>
      <c r="AA77" s="199">
        <v>5445</v>
      </c>
      <c r="AB77" s="199">
        <v>5315</v>
      </c>
      <c r="AC77" s="199">
        <v>4895</v>
      </c>
      <c r="AD77" s="199">
        <v>4673</v>
      </c>
    </row>
    <row r="78" spans="1:30">
      <c r="B78" s="6" t="s">
        <v>304</v>
      </c>
      <c r="C78" s="6" t="s">
        <v>304</v>
      </c>
      <c r="D78" s="7">
        <v>4064035</v>
      </c>
      <c r="E78" s="199" t="s">
        <v>175</v>
      </c>
      <c r="F78" s="199">
        <v>9182</v>
      </c>
      <c r="G78" s="199">
        <v>7455</v>
      </c>
      <c r="H78" s="199">
        <v>7865</v>
      </c>
      <c r="I78" s="199">
        <v>7610</v>
      </c>
      <c r="J78" s="199">
        <v>7009</v>
      </c>
      <c r="K78" s="199">
        <v>4911</v>
      </c>
      <c r="L78" s="199">
        <v>5490</v>
      </c>
      <c r="M78" s="199">
        <v>4779</v>
      </c>
      <c r="N78" s="199">
        <v>4599</v>
      </c>
      <c r="O78" s="199">
        <v>4509</v>
      </c>
      <c r="P78" s="199">
        <v>4335</v>
      </c>
      <c r="Q78" s="199">
        <v>4163</v>
      </c>
      <c r="R78" s="199">
        <v>4589</v>
      </c>
      <c r="S78" s="199">
        <v>4462</v>
      </c>
      <c r="T78" s="199">
        <v>4274</v>
      </c>
      <c r="U78" s="199">
        <v>4109</v>
      </c>
      <c r="V78" s="199">
        <v>4043</v>
      </c>
      <c r="W78" s="199" t="s">
        <v>175</v>
      </c>
      <c r="X78" s="199">
        <v>3870</v>
      </c>
      <c r="Y78" s="199">
        <v>3884</v>
      </c>
      <c r="Z78" s="199" t="s">
        <v>175</v>
      </c>
      <c r="AA78" s="199">
        <v>3641</v>
      </c>
      <c r="AB78" s="199">
        <v>3425</v>
      </c>
      <c r="AC78" s="199">
        <v>3246</v>
      </c>
      <c r="AD78" s="199">
        <v>3011</v>
      </c>
    </row>
    <row r="79" spans="1:30">
      <c r="B79" s="6" t="s">
        <v>305</v>
      </c>
      <c r="C79" s="6" t="s">
        <v>305</v>
      </c>
      <c r="D79" s="7">
        <v>4060957</v>
      </c>
      <c r="E79" s="199">
        <v>339888</v>
      </c>
      <c r="F79" s="199">
        <v>309995</v>
      </c>
      <c r="G79" s="199">
        <v>272587</v>
      </c>
      <c r="H79" s="199">
        <v>273351</v>
      </c>
      <c r="I79" s="199">
        <v>233273</v>
      </c>
      <c r="J79" s="199">
        <v>222601</v>
      </c>
      <c r="K79" s="199">
        <v>184471</v>
      </c>
      <c r="L79" s="199">
        <v>170237</v>
      </c>
      <c r="M79" s="199">
        <v>107797</v>
      </c>
      <c r="N79" s="199">
        <v>103089</v>
      </c>
      <c r="O79" s="199">
        <v>95606</v>
      </c>
      <c r="P79" s="199">
        <v>93239</v>
      </c>
      <c r="Q79" s="199">
        <v>91806</v>
      </c>
      <c r="R79" s="199">
        <v>87473</v>
      </c>
      <c r="S79" s="199">
        <v>88198</v>
      </c>
      <c r="T79" s="199">
        <v>87135</v>
      </c>
      <c r="U79" s="199">
        <v>87950</v>
      </c>
      <c r="V79" s="199">
        <v>86626</v>
      </c>
      <c r="W79" s="199">
        <v>84686</v>
      </c>
      <c r="X79" s="199">
        <v>80918</v>
      </c>
      <c r="Y79" s="199">
        <v>78650</v>
      </c>
      <c r="Z79" s="199">
        <v>71726</v>
      </c>
      <c r="AA79" s="199">
        <v>55214</v>
      </c>
      <c r="AB79" s="199">
        <v>50742</v>
      </c>
      <c r="AC79" s="199">
        <v>48195</v>
      </c>
      <c r="AD79" s="199">
        <v>43964</v>
      </c>
    </row>
    <row r="80" spans="1:30">
      <c r="B80" s="6" t="s">
        <v>228</v>
      </c>
      <c r="C80" s="6" t="s">
        <v>228</v>
      </c>
      <c r="D80" s="7">
        <v>4063179</v>
      </c>
      <c r="E80" s="199">
        <v>919</v>
      </c>
      <c r="F80" s="199">
        <v>940</v>
      </c>
      <c r="G80" s="199">
        <v>875</v>
      </c>
      <c r="H80" s="199">
        <v>794</v>
      </c>
      <c r="I80" s="199">
        <v>775</v>
      </c>
      <c r="J80" s="199">
        <v>742</v>
      </c>
      <c r="K80" s="199">
        <v>709</v>
      </c>
      <c r="L80" s="199">
        <v>640</v>
      </c>
      <c r="M80" s="199">
        <v>622</v>
      </c>
      <c r="N80" s="199">
        <v>626</v>
      </c>
      <c r="O80" s="199">
        <v>602</v>
      </c>
      <c r="P80" s="199">
        <v>642</v>
      </c>
      <c r="Q80" s="199">
        <v>626</v>
      </c>
      <c r="R80" s="199">
        <v>633</v>
      </c>
      <c r="S80" s="199">
        <v>635</v>
      </c>
      <c r="T80" s="199">
        <v>592</v>
      </c>
      <c r="U80" s="199">
        <v>587</v>
      </c>
      <c r="V80" s="199">
        <v>586</v>
      </c>
      <c r="W80" s="199">
        <v>637</v>
      </c>
      <c r="X80" s="199">
        <v>615</v>
      </c>
      <c r="Y80" s="199">
        <v>593</v>
      </c>
      <c r="Z80" s="199">
        <v>597</v>
      </c>
      <c r="AA80" s="199">
        <v>564</v>
      </c>
      <c r="AB80" s="199">
        <v>570</v>
      </c>
      <c r="AC80" s="199">
        <v>568</v>
      </c>
      <c r="AD80" s="199">
        <v>508</v>
      </c>
    </row>
    <row r="81" spans="1:30">
      <c r="A81" s="1" t="s">
        <v>275</v>
      </c>
      <c r="B81" s="6" t="s">
        <v>229</v>
      </c>
      <c r="C81" s="6" t="s">
        <v>229</v>
      </c>
      <c r="D81" s="7">
        <v>4063183</v>
      </c>
      <c r="E81" s="199">
        <v>15179</v>
      </c>
      <c r="F81" s="199">
        <v>12195</v>
      </c>
      <c r="G81" s="199">
        <v>11789</v>
      </c>
      <c r="H81" s="199">
        <v>11319</v>
      </c>
      <c r="I81" s="199">
        <v>10873</v>
      </c>
      <c r="J81" s="199">
        <v>10385</v>
      </c>
      <c r="K81" s="199">
        <v>9885</v>
      </c>
      <c r="L81" s="199">
        <v>9509</v>
      </c>
      <c r="M81" s="199">
        <v>8571</v>
      </c>
      <c r="N81" s="199">
        <v>8009</v>
      </c>
      <c r="O81" s="199">
        <v>7577</v>
      </c>
      <c r="P81" s="199">
        <v>7185</v>
      </c>
      <c r="Q81" s="199">
        <v>6911</v>
      </c>
      <c r="R81" s="199">
        <v>6957</v>
      </c>
      <c r="S81" s="199">
        <v>6745</v>
      </c>
      <c r="T81" s="199">
        <v>5961</v>
      </c>
      <c r="U81" s="199">
        <v>6201</v>
      </c>
      <c r="V81" s="199">
        <v>6162</v>
      </c>
      <c r="W81" s="199">
        <v>5882</v>
      </c>
      <c r="X81" s="199">
        <v>5827</v>
      </c>
      <c r="Y81" s="199">
        <v>5818</v>
      </c>
      <c r="Z81" s="199">
        <v>5714</v>
      </c>
      <c r="AA81" s="199">
        <v>5643</v>
      </c>
      <c r="AB81" s="199">
        <v>5415</v>
      </c>
      <c r="AC81" s="199">
        <v>5364</v>
      </c>
      <c r="AD81" s="199">
        <v>5232</v>
      </c>
    </row>
    <row r="82" spans="1:30">
      <c r="B82" s="6" t="s">
        <v>230</v>
      </c>
      <c r="C82" s="6" t="s">
        <v>230</v>
      </c>
      <c r="D82" s="7">
        <v>4063281</v>
      </c>
      <c r="E82" s="199">
        <v>2682</v>
      </c>
      <c r="F82" s="199">
        <v>2559</v>
      </c>
      <c r="G82" s="199">
        <v>2107</v>
      </c>
      <c r="H82" s="199">
        <v>1695</v>
      </c>
      <c r="I82" s="199">
        <v>1327</v>
      </c>
      <c r="J82" s="199">
        <v>1200</v>
      </c>
      <c r="K82" s="199">
        <v>1200</v>
      </c>
      <c r="L82" s="199">
        <v>1168</v>
      </c>
      <c r="M82" s="199">
        <v>1155</v>
      </c>
      <c r="N82" s="199">
        <v>1144</v>
      </c>
      <c r="O82" s="199">
        <v>998</v>
      </c>
      <c r="P82" s="199">
        <v>799</v>
      </c>
      <c r="Q82" s="199">
        <v>558</v>
      </c>
      <c r="R82" s="199">
        <v>526</v>
      </c>
      <c r="S82" s="199">
        <v>449</v>
      </c>
      <c r="T82" s="199">
        <v>423</v>
      </c>
      <c r="U82" s="199">
        <v>380</v>
      </c>
      <c r="V82" s="199">
        <v>310</v>
      </c>
      <c r="W82" s="199">
        <v>258</v>
      </c>
      <c r="X82" s="199">
        <v>237</v>
      </c>
      <c r="Y82" s="199">
        <v>237</v>
      </c>
      <c r="Z82" s="199">
        <v>225</v>
      </c>
      <c r="AA82" s="199">
        <v>221</v>
      </c>
      <c r="AB82" s="199">
        <v>218</v>
      </c>
      <c r="AC82" s="199">
        <v>176</v>
      </c>
      <c r="AD82" s="199">
        <v>163</v>
      </c>
    </row>
    <row r="83" spans="1:30">
      <c r="B83" s="6" t="s">
        <v>231</v>
      </c>
      <c r="C83" s="6" t="s">
        <v>231</v>
      </c>
      <c r="D83" s="7">
        <v>4059746</v>
      </c>
      <c r="E83" s="199">
        <v>172413</v>
      </c>
      <c r="F83" s="199">
        <v>162771</v>
      </c>
      <c r="G83" s="199">
        <v>163321</v>
      </c>
      <c r="H83" s="199">
        <v>161906</v>
      </c>
      <c r="I83" s="199">
        <v>135248</v>
      </c>
      <c r="J83" s="199">
        <v>181694</v>
      </c>
      <c r="K83" s="199">
        <v>156068</v>
      </c>
      <c r="L83" s="199">
        <v>154907</v>
      </c>
      <c r="M83" s="199">
        <v>151995</v>
      </c>
      <c r="N83" s="199">
        <v>150922</v>
      </c>
      <c r="O83" s="199">
        <v>142417</v>
      </c>
      <c r="P83" s="199">
        <v>137880</v>
      </c>
      <c r="Q83" s="199">
        <v>135647</v>
      </c>
      <c r="R83" s="199">
        <v>133831</v>
      </c>
      <c r="S83" s="199">
        <v>134275</v>
      </c>
      <c r="T83" s="199">
        <v>128480</v>
      </c>
      <c r="U83" s="199">
        <v>125060</v>
      </c>
      <c r="V83" s="199">
        <v>124531</v>
      </c>
      <c r="W83" s="199">
        <v>61805</v>
      </c>
      <c r="X83" s="199">
        <v>81317</v>
      </c>
      <c r="Y83" s="199">
        <v>86148</v>
      </c>
      <c r="Z83" s="199">
        <v>83448</v>
      </c>
      <c r="AA83" s="199">
        <v>83637</v>
      </c>
      <c r="AB83" s="199">
        <v>87453</v>
      </c>
      <c r="AC83" s="199">
        <v>77351</v>
      </c>
      <c r="AD83" s="199">
        <v>74460</v>
      </c>
    </row>
    <row r="84" spans="1:30">
      <c r="A84" s="1" t="s">
        <v>275</v>
      </c>
      <c r="B84" s="6" t="s">
        <v>306</v>
      </c>
      <c r="C84" s="6" t="s">
        <v>306</v>
      </c>
      <c r="D84" s="7">
        <v>4062279</v>
      </c>
      <c r="E84" s="199" t="s">
        <v>175</v>
      </c>
      <c r="F84" s="199" t="s">
        <v>175</v>
      </c>
      <c r="G84" s="199" t="s">
        <v>175</v>
      </c>
      <c r="H84" s="199">
        <v>38084</v>
      </c>
      <c r="I84" s="199">
        <v>40747</v>
      </c>
      <c r="J84" s="199">
        <v>39337</v>
      </c>
      <c r="K84" s="199">
        <v>38898</v>
      </c>
      <c r="L84" s="199">
        <v>39054</v>
      </c>
      <c r="M84" s="199">
        <v>40120</v>
      </c>
      <c r="N84" s="199">
        <v>41000</v>
      </c>
      <c r="O84" s="199">
        <v>40294</v>
      </c>
      <c r="P84" s="199">
        <v>40313</v>
      </c>
      <c r="Q84" s="199">
        <v>42883</v>
      </c>
      <c r="R84" s="199">
        <v>41867</v>
      </c>
      <c r="S84" s="199">
        <v>40893</v>
      </c>
      <c r="T84" s="199">
        <v>42136</v>
      </c>
      <c r="U84" s="199">
        <v>39074</v>
      </c>
      <c r="V84" s="199">
        <v>36844</v>
      </c>
      <c r="W84" s="199">
        <v>37088</v>
      </c>
      <c r="X84" s="199">
        <v>33749</v>
      </c>
      <c r="Y84" s="199">
        <v>33309</v>
      </c>
      <c r="Z84" s="199" t="s">
        <v>175</v>
      </c>
      <c r="AA84" s="199">
        <v>30126</v>
      </c>
      <c r="AB84" s="199">
        <v>27649</v>
      </c>
      <c r="AC84" s="199">
        <v>21330</v>
      </c>
      <c r="AD84" s="199">
        <v>3828</v>
      </c>
    </row>
    <row r="85" spans="1:30">
      <c r="A85" s="1" t="s">
        <v>275</v>
      </c>
      <c r="B85" s="6" t="s">
        <v>307</v>
      </c>
      <c r="C85" s="6" t="s">
        <v>307</v>
      </c>
      <c r="D85" s="7">
        <v>4063729</v>
      </c>
      <c r="E85" s="199" t="s">
        <v>175</v>
      </c>
      <c r="F85" s="199" t="s">
        <v>175</v>
      </c>
      <c r="G85" s="199" t="s">
        <v>175</v>
      </c>
      <c r="H85" s="199">
        <v>13981</v>
      </c>
      <c r="I85" s="199">
        <v>13061</v>
      </c>
      <c r="J85" s="199">
        <v>12368</v>
      </c>
      <c r="K85" s="199">
        <v>11235</v>
      </c>
      <c r="L85" s="199">
        <v>10606</v>
      </c>
      <c r="M85" s="199">
        <v>10773</v>
      </c>
      <c r="N85" s="199">
        <v>11769</v>
      </c>
      <c r="O85" s="199">
        <v>12129</v>
      </c>
      <c r="P85" s="199">
        <v>11103</v>
      </c>
      <c r="Q85" s="199">
        <v>11357</v>
      </c>
      <c r="R85" s="199">
        <v>10452</v>
      </c>
      <c r="S85" s="199">
        <v>8988</v>
      </c>
      <c r="T85" s="199">
        <v>8157</v>
      </c>
      <c r="U85" s="199">
        <v>7804</v>
      </c>
      <c r="V85" s="199">
        <v>7336</v>
      </c>
      <c r="W85" s="199">
        <v>6908</v>
      </c>
      <c r="X85" s="199">
        <v>6704</v>
      </c>
      <c r="Y85" s="199">
        <v>6437</v>
      </c>
      <c r="Z85" s="199">
        <v>5909</v>
      </c>
      <c r="AA85" s="199" t="s">
        <v>175</v>
      </c>
      <c r="AB85" s="199" t="s">
        <v>175</v>
      </c>
      <c r="AC85" s="199">
        <v>4566</v>
      </c>
      <c r="AD85" s="199">
        <v>4488</v>
      </c>
    </row>
    <row r="86" spans="1:30">
      <c r="B86" s="6" t="s">
        <v>232</v>
      </c>
      <c r="C86" s="6" t="s">
        <v>232</v>
      </c>
      <c r="D86" s="7">
        <v>4063762</v>
      </c>
      <c r="E86" s="199">
        <v>45716</v>
      </c>
      <c r="F86" s="199">
        <v>47953</v>
      </c>
      <c r="G86" s="199">
        <v>42417</v>
      </c>
      <c r="H86" s="199">
        <v>38572</v>
      </c>
      <c r="I86" s="199">
        <v>27956</v>
      </c>
      <c r="J86" s="199">
        <v>25407</v>
      </c>
      <c r="K86" s="199">
        <v>24641</v>
      </c>
      <c r="L86" s="199">
        <v>23035</v>
      </c>
      <c r="M86" s="199">
        <v>24011</v>
      </c>
      <c r="N86" s="199">
        <v>21637</v>
      </c>
      <c r="O86" s="199">
        <v>21128</v>
      </c>
      <c r="P86" s="199">
        <v>26927</v>
      </c>
      <c r="Q86" s="199">
        <v>21462</v>
      </c>
      <c r="R86" s="199">
        <v>17856</v>
      </c>
      <c r="S86" s="199">
        <v>15601</v>
      </c>
      <c r="T86" s="199">
        <v>10531</v>
      </c>
      <c r="U86" s="199">
        <v>21698</v>
      </c>
      <c r="V86" s="199">
        <v>21305</v>
      </c>
      <c r="W86" s="199">
        <v>20721</v>
      </c>
      <c r="X86" s="199">
        <v>19435</v>
      </c>
      <c r="Y86" s="199">
        <v>20523</v>
      </c>
      <c r="Z86" s="199">
        <v>19313</v>
      </c>
      <c r="AA86" s="199">
        <v>20715</v>
      </c>
      <c r="AB86" s="199">
        <v>21185</v>
      </c>
      <c r="AC86" s="199">
        <v>21060</v>
      </c>
      <c r="AD86" s="199" t="s">
        <v>175</v>
      </c>
    </row>
    <row r="87" spans="1:30">
      <c r="B87" s="6" t="s">
        <v>234</v>
      </c>
      <c r="C87" s="6" t="s">
        <v>234</v>
      </c>
      <c r="D87" s="7">
        <v>4058284</v>
      </c>
      <c r="E87" s="199">
        <v>416386</v>
      </c>
      <c r="F87" s="199">
        <v>409372</v>
      </c>
      <c r="G87" s="199">
        <v>359758</v>
      </c>
      <c r="H87" s="199">
        <v>344305</v>
      </c>
      <c r="I87" s="199">
        <v>305008</v>
      </c>
      <c r="J87" s="199">
        <v>295438</v>
      </c>
      <c r="K87" s="199">
        <v>292100</v>
      </c>
      <c r="L87" s="199">
        <v>280622</v>
      </c>
      <c r="M87" s="199">
        <v>281298</v>
      </c>
      <c r="N87" s="199">
        <v>218592</v>
      </c>
      <c r="O87" s="199">
        <v>219367</v>
      </c>
      <c r="P87" s="199">
        <v>206611</v>
      </c>
      <c r="Q87" s="199">
        <v>214811</v>
      </c>
      <c r="R87" s="199">
        <v>202333</v>
      </c>
      <c r="S87" s="199">
        <v>211439</v>
      </c>
      <c r="T87" s="199">
        <v>193831</v>
      </c>
      <c r="U87" s="199">
        <v>179612</v>
      </c>
      <c r="V87" s="199">
        <v>170089</v>
      </c>
      <c r="W87" s="199">
        <v>164528</v>
      </c>
      <c r="X87" s="199">
        <v>143263</v>
      </c>
      <c r="Y87" s="199">
        <v>137851</v>
      </c>
      <c r="Z87" s="199">
        <v>128483</v>
      </c>
      <c r="AA87" s="199">
        <v>124834</v>
      </c>
      <c r="AB87" s="199">
        <v>120535</v>
      </c>
      <c r="AC87" s="199">
        <v>120329</v>
      </c>
      <c r="AD87" s="199">
        <v>109737</v>
      </c>
    </row>
    <row r="88" spans="1:30">
      <c r="B88" s="6" t="s">
        <v>236</v>
      </c>
      <c r="C88" s="6" t="s">
        <v>236</v>
      </c>
      <c r="D88" s="7">
        <v>4008752</v>
      </c>
      <c r="E88" s="199">
        <v>125142</v>
      </c>
      <c r="F88" s="199">
        <v>112237</v>
      </c>
      <c r="G88" s="199">
        <v>117045</v>
      </c>
      <c r="H88" s="199">
        <v>122033</v>
      </c>
      <c r="I88" s="199">
        <v>118394</v>
      </c>
      <c r="J88" s="199">
        <v>127953</v>
      </c>
      <c r="K88" s="199">
        <v>127509</v>
      </c>
      <c r="L88" s="199">
        <v>117581</v>
      </c>
      <c r="M88" s="199">
        <v>111221</v>
      </c>
      <c r="N88" s="199">
        <v>106530</v>
      </c>
      <c r="O88" s="199">
        <v>105052</v>
      </c>
      <c r="P88" s="199">
        <v>103401</v>
      </c>
      <c r="Q88" s="199">
        <v>99304</v>
      </c>
      <c r="R88" s="199">
        <v>84656</v>
      </c>
      <c r="S88" s="199">
        <v>77923</v>
      </c>
      <c r="T88" s="199">
        <v>60288</v>
      </c>
      <c r="U88" s="199">
        <v>52524</v>
      </c>
      <c r="V88" s="199">
        <v>54742</v>
      </c>
      <c r="W88" s="199">
        <v>99692</v>
      </c>
      <c r="X88" s="199">
        <v>115501</v>
      </c>
      <c r="Y88" s="199">
        <v>107949</v>
      </c>
      <c r="Z88" s="199">
        <v>110493</v>
      </c>
      <c r="AA88" s="199">
        <v>106209</v>
      </c>
      <c r="AB88" s="199">
        <v>106315</v>
      </c>
      <c r="AC88" s="199">
        <v>116830</v>
      </c>
      <c r="AD88" s="199">
        <v>113441</v>
      </c>
    </row>
    <row r="89" spans="1:30">
      <c r="B89" s="6" t="s">
        <v>237</v>
      </c>
      <c r="C89" s="6" t="s">
        <v>237</v>
      </c>
      <c r="D89" s="7">
        <v>4008669</v>
      </c>
      <c r="E89" s="199">
        <v>17428</v>
      </c>
      <c r="F89" s="199">
        <v>15623</v>
      </c>
      <c r="G89" s="199">
        <v>12478</v>
      </c>
      <c r="H89" s="199">
        <v>13165</v>
      </c>
      <c r="I89" s="199">
        <v>12608</v>
      </c>
      <c r="J89" s="199">
        <v>8868</v>
      </c>
      <c r="K89" s="199">
        <v>8101</v>
      </c>
      <c r="L89" s="199">
        <v>7461</v>
      </c>
      <c r="M89" s="199">
        <v>7422</v>
      </c>
      <c r="N89" s="199">
        <v>7090</v>
      </c>
      <c r="O89" s="199">
        <v>7279</v>
      </c>
      <c r="P89" s="199">
        <v>7578</v>
      </c>
      <c r="Q89" s="199">
        <v>7329</v>
      </c>
      <c r="R89" s="199">
        <v>6335</v>
      </c>
      <c r="S89" s="199">
        <v>6579</v>
      </c>
      <c r="T89" s="199">
        <v>11604</v>
      </c>
      <c r="U89" s="199">
        <v>11058</v>
      </c>
      <c r="V89" s="199">
        <v>10825</v>
      </c>
      <c r="W89" s="199">
        <v>12165</v>
      </c>
      <c r="X89" s="199">
        <v>12028</v>
      </c>
      <c r="Y89" s="199">
        <v>11932</v>
      </c>
      <c r="Z89" s="199">
        <v>11063</v>
      </c>
      <c r="AA89" s="199">
        <v>6882</v>
      </c>
      <c r="AB89" s="199">
        <v>6683</v>
      </c>
      <c r="AC89" s="199">
        <v>5996</v>
      </c>
      <c r="AD89" s="199">
        <v>5953</v>
      </c>
    </row>
    <row r="90" spans="1:30">
      <c r="B90" s="6" t="s">
        <v>308</v>
      </c>
      <c r="C90" s="6" t="s">
        <v>309</v>
      </c>
      <c r="D90" s="7">
        <v>4076892</v>
      </c>
      <c r="E90" s="199">
        <v>3467</v>
      </c>
      <c r="F90" s="199">
        <v>3542</v>
      </c>
      <c r="G90" s="199">
        <v>3345</v>
      </c>
      <c r="H90" s="199">
        <v>3306</v>
      </c>
      <c r="I90" s="199">
        <v>3321</v>
      </c>
      <c r="J90" s="199">
        <v>2972</v>
      </c>
      <c r="K90" s="199">
        <v>2861</v>
      </c>
      <c r="L90" s="199">
        <v>2689</v>
      </c>
      <c r="M90" s="199">
        <v>2629</v>
      </c>
      <c r="N90" s="199">
        <v>2565</v>
      </c>
      <c r="O90" s="199">
        <v>2617</v>
      </c>
      <c r="P90" s="199">
        <v>1873</v>
      </c>
      <c r="Q90" s="199">
        <v>1752</v>
      </c>
      <c r="R90" s="199">
        <v>1527</v>
      </c>
      <c r="S90" s="199">
        <v>1560</v>
      </c>
      <c r="T90" s="199">
        <v>1440</v>
      </c>
      <c r="U90" s="199">
        <v>1364</v>
      </c>
      <c r="V90" s="199">
        <v>1398</v>
      </c>
      <c r="W90" s="199">
        <v>1342</v>
      </c>
      <c r="X90" s="199" t="s">
        <v>175</v>
      </c>
      <c r="Y90" s="199" t="s">
        <v>175</v>
      </c>
      <c r="Z90" s="199" t="s">
        <v>175</v>
      </c>
      <c r="AA90" s="199" t="s">
        <v>175</v>
      </c>
      <c r="AB90" s="199" t="s">
        <v>175</v>
      </c>
      <c r="AC90" s="199" t="s">
        <v>175</v>
      </c>
      <c r="AD90" s="199" t="s">
        <v>175</v>
      </c>
    </row>
    <row r="91" spans="1:30">
      <c r="A91" s="1" t="s">
        <v>275</v>
      </c>
      <c r="B91" s="6" t="s">
        <v>238</v>
      </c>
      <c r="C91" s="6" t="s">
        <v>239</v>
      </c>
      <c r="D91" s="7">
        <v>4064141</v>
      </c>
      <c r="E91" s="199">
        <v>89722</v>
      </c>
      <c r="F91" s="199">
        <v>81495</v>
      </c>
      <c r="G91" s="199">
        <v>76805</v>
      </c>
      <c r="H91" s="199">
        <v>75731</v>
      </c>
      <c r="I91" s="199">
        <v>69992</v>
      </c>
      <c r="J91" s="199">
        <v>65555</v>
      </c>
      <c r="K91" s="199">
        <v>66062</v>
      </c>
      <c r="L91" s="199">
        <v>63896</v>
      </c>
      <c r="M91" s="199">
        <v>61963</v>
      </c>
      <c r="N91" s="199">
        <v>59099</v>
      </c>
      <c r="O91" s="199">
        <v>49451</v>
      </c>
      <c r="P91" s="199">
        <v>49502</v>
      </c>
      <c r="Q91" s="199">
        <v>47307</v>
      </c>
      <c r="R91" s="199">
        <v>44076</v>
      </c>
      <c r="S91" s="199">
        <v>80168</v>
      </c>
      <c r="T91" s="199">
        <v>78263</v>
      </c>
      <c r="U91" s="199">
        <v>78436</v>
      </c>
      <c r="V91" s="199">
        <v>80196</v>
      </c>
      <c r="W91" s="199">
        <v>68172</v>
      </c>
      <c r="X91" s="199">
        <v>67961</v>
      </c>
      <c r="Y91" s="199">
        <v>67051</v>
      </c>
      <c r="Z91" s="199">
        <v>64958</v>
      </c>
      <c r="AA91" s="199">
        <v>37292</v>
      </c>
      <c r="AB91" s="199">
        <v>35719</v>
      </c>
      <c r="AC91" s="199">
        <v>32589</v>
      </c>
      <c r="AD91" s="199">
        <v>31639</v>
      </c>
    </row>
  </sheetData>
  <conditionalFormatting sqref="D98">
    <cfRule type="cellIs" dxfId="2" priority="5" operator="equal">
      <formula>"NA"</formula>
    </cfRule>
  </conditionalFormatting>
  <conditionalFormatting sqref="E7:E91">
    <cfRule type="cellIs" dxfId="1" priority="4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3:AD94"/>
  <sheetViews>
    <sheetView topLeftCell="B1" zoomScale="75" zoomScaleNormal="75" workbookViewId="0">
      <selection activeCell="B1" sqref="A1:XFD1048576"/>
    </sheetView>
  </sheetViews>
  <sheetFormatPr defaultColWidth="9.140625" defaultRowHeight="14.45"/>
  <cols>
    <col min="1" max="1" width="14.28515625" style="1" bestFit="1" customWidth="1"/>
    <col min="2" max="3" width="63.7109375" style="1" bestFit="1" customWidth="1"/>
    <col min="4" max="4" width="22" style="1" customWidth="1"/>
    <col min="5" max="30" width="17.5703125" style="160" customWidth="1"/>
    <col min="31" max="16384" width="9.140625" style="160"/>
  </cols>
  <sheetData>
    <row r="3" spans="1:30" ht="43.15">
      <c r="E3" s="198" t="s">
        <v>323</v>
      </c>
      <c r="F3" s="198" t="s">
        <v>323</v>
      </c>
      <c r="G3" s="198" t="s">
        <v>323</v>
      </c>
      <c r="H3" s="198" t="s">
        <v>323</v>
      </c>
      <c r="I3" s="198" t="s">
        <v>323</v>
      </c>
      <c r="J3" s="198" t="s">
        <v>323</v>
      </c>
      <c r="K3" s="198" t="s">
        <v>323</v>
      </c>
      <c r="L3" s="198" t="s">
        <v>323</v>
      </c>
      <c r="M3" s="198" t="s">
        <v>323</v>
      </c>
      <c r="N3" s="198" t="s">
        <v>323</v>
      </c>
      <c r="O3" s="198" t="s">
        <v>323</v>
      </c>
      <c r="P3" s="198" t="s">
        <v>323</v>
      </c>
      <c r="Q3" s="198" t="s">
        <v>323</v>
      </c>
      <c r="R3" s="198" t="s">
        <v>323</v>
      </c>
      <c r="S3" s="198" t="s">
        <v>323</v>
      </c>
      <c r="T3" s="198" t="s">
        <v>323</v>
      </c>
      <c r="U3" s="198" t="s">
        <v>323</v>
      </c>
      <c r="V3" s="198" t="s">
        <v>323</v>
      </c>
      <c r="W3" s="198" t="s">
        <v>323</v>
      </c>
      <c r="X3" s="198" t="s">
        <v>323</v>
      </c>
      <c r="Y3" s="198" t="s">
        <v>323</v>
      </c>
      <c r="Z3" s="198" t="s">
        <v>323</v>
      </c>
      <c r="AA3" s="198" t="s">
        <v>323</v>
      </c>
      <c r="AB3" s="198" t="s">
        <v>323</v>
      </c>
      <c r="AC3" s="198" t="s">
        <v>323</v>
      </c>
      <c r="AD3" s="198" t="s">
        <v>323</v>
      </c>
    </row>
    <row r="4" spans="1:30" ht="28.9">
      <c r="B4" s="2"/>
      <c r="C4" s="2"/>
      <c r="D4" s="2"/>
      <c r="E4" s="198" t="s">
        <v>324</v>
      </c>
      <c r="F4" s="198" t="s">
        <v>324</v>
      </c>
      <c r="G4" s="198" t="s">
        <v>324</v>
      </c>
      <c r="H4" s="198" t="s">
        <v>324</v>
      </c>
      <c r="I4" s="198" t="s">
        <v>324</v>
      </c>
      <c r="J4" s="198" t="s">
        <v>324</v>
      </c>
      <c r="K4" s="198" t="s">
        <v>324</v>
      </c>
      <c r="L4" s="198" t="s">
        <v>324</v>
      </c>
      <c r="M4" s="198" t="s">
        <v>324</v>
      </c>
      <c r="N4" s="198" t="s">
        <v>324</v>
      </c>
      <c r="O4" s="198" t="s">
        <v>324</v>
      </c>
      <c r="P4" s="198" t="s">
        <v>324</v>
      </c>
      <c r="Q4" s="198" t="s">
        <v>324</v>
      </c>
      <c r="R4" s="198" t="s">
        <v>324</v>
      </c>
      <c r="S4" s="198" t="s">
        <v>324</v>
      </c>
      <c r="T4" s="198" t="s">
        <v>324</v>
      </c>
      <c r="U4" s="198" t="s">
        <v>324</v>
      </c>
      <c r="V4" s="198" t="s">
        <v>324</v>
      </c>
      <c r="W4" s="198" t="s">
        <v>324</v>
      </c>
      <c r="X4" s="198" t="s">
        <v>324</v>
      </c>
      <c r="Y4" s="198" t="s">
        <v>324</v>
      </c>
      <c r="Z4" s="198" t="s">
        <v>324</v>
      </c>
      <c r="AA4" s="198" t="s">
        <v>324</v>
      </c>
      <c r="AB4" s="198" t="s">
        <v>324</v>
      </c>
      <c r="AC4" s="198" t="s">
        <v>324</v>
      </c>
      <c r="AD4" s="198" t="s">
        <v>324</v>
      </c>
    </row>
    <row r="5" spans="1:30">
      <c r="A5" s="3" t="s">
        <v>271</v>
      </c>
      <c r="B5" s="4" t="s">
        <v>272</v>
      </c>
      <c r="C5" s="4" t="s">
        <v>273</v>
      </c>
      <c r="D5" s="5" t="s">
        <v>1</v>
      </c>
      <c r="E5" s="198" t="s">
        <v>141</v>
      </c>
      <c r="F5" s="198" t="s">
        <v>140</v>
      </c>
      <c r="G5" s="198" t="s">
        <v>136</v>
      </c>
      <c r="H5" s="198" t="s">
        <v>135</v>
      </c>
      <c r="I5" s="198" t="s">
        <v>133</v>
      </c>
      <c r="J5" s="198" t="s">
        <v>132</v>
      </c>
      <c r="K5" s="198" t="s">
        <v>130</v>
      </c>
      <c r="L5" s="198" t="s">
        <v>129</v>
      </c>
      <c r="M5" s="198" t="s">
        <v>128</v>
      </c>
      <c r="N5" s="198" t="s">
        <v>127</v>
      </c>
      <c r="O5" s="198" t="s">
        <v>126</v>
      </c>
      <c r="P5" s="198" t="s">
        <v>125</v>
      </c>
      <c r="Q5" s="198" t="s">
        <v>120</v>
      </c>
      <c r="R5" s="198" t="s">
        <v>118</v>
      </c>
      <c r="S5" s="198" t="s">
        <v>117</v>
      </c>
      <c r="T5" s="198" t="s">
        <v>116</v>
      </c>
      <c r="U5" s="198" t="s">
        <v>115</v>
      </c>
      <c r="V5" s="198" t="s">
        <v>114</v>
      </c>
      <c r="W5" s="198" t="s">
        <v>113</v>
      </c>
      <c r="X5" s="198" t="s">
        <v>111</v>
      </c>
      <c r="Y5" s="198" t="s">
        <v>107</v>
      </c>
      <c r="Z5" s="198" t="s">
        <v>106</v>
      </c>
      <c r="AA5" s="198" t="s">
        <v>100</v>
      </c>
      <c r="AB5" s="198" t="s">
        <v>316</v>
      </c>
      <c r="AC5" s="198" t="s">
        <v>317</v>
      </c>
      <c r="AD5" s="198" t="s">
        <v>318</v>
      </c>
    </row>
    <row r="6" spans="1:30">
      <c r="B6" s="2"/>
      <c r="C6" s="2"/>
      <c r="D6" s="2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</row>
    <row r="7" spans="1:30">
      <c r="B7" s="6" t="s">
        <v>274</v>
      </c>
      <c r="C7" s="6" t="s">
        <v>274</v>
      </c>
      <c r="D7" s="7">
        <v>4058513</v>
      </c>
      <c r="E7" s="199" t="s">
        <v>175</v>
      </c>
      <c r="F7" s="199" t="s">
        <v>175</v>
      </c>
      <c r="G7" s="199" t="s">
        <v>175</v>
      </c>
      <c r="H7" s="199">
        <v>11167</v>
      </c>
      <c r="I7" s="199">
        <v>10064</v>
      </c>
      <c r="J7" s="199">
        <v>9171</v>
      </c>
      <c r="K7" s="199">
        <v>8527</v>
      </c>
      <c r="L7" s="199">
        <v>8205</v>
      </c>
      <c r="M7" s="199">
        <v>8585</v>
      </c>
      <c r="N7" s="199">
        <v>8186</v>
      </c>
      <c r="O7" s="199">
        <v>8402</v>
      </c>
      <c r="P7" s="199">
        <v>7921</v>
      </c>
      <c r="Q7" s="199">
        <v>7587</v>
      </c>
      <c r="R7" s="199">
        <v>7315</v>
      </c>
      <c r="S7" s="199">
        <v>7520</v>
      </c>
      <c r="T7" s="199">
        <v>7355</v>
      </c>
      <c r="U7" s="199" t="s">
        <v>175</v>
      </c>
      <c r="V7" s="199" t="s">
        <v>175</v>
      </c>
      <c r="W7" s="199" t="s">
        <v>175</v>
      </c>
      <c r="X7" s="199">
        <v>0</v>
      </c>
      <c r="Y7" s="199">
        <v>5958</v>
      </c>
      <c r="Z7" s="199">
        <v>5543</v>
      </c>
      <c r="AA7" s="199">
        <v>5146</v>
      </c>
      <c r="AB7" s="199">
        <v>5158</v>
      </c>
      <c r="AC7" s="199">
        <v>5506</v>
      </c>
      <c r="AD7" s="199">
        <v>5189</v>
      </c>
    </row>
    <row r="8" spans="1:30">
      <c r="B8" s="6" t="s">
        <v>98</v>
      </c>
      <c r="C8" s="6" t="s">
        <v>98</v>
      </c>
      <c r="D8" s="7">
        <v>4054707</v>
      </c>
      <c r="E8" s="199">
        <v>100168</v>
      </c>
      <c r="F8" s="199">
        <v>152868</v>
      </c>
      <c r="G8" s="199">
        <v>129940</v>
      </c>
      <c r="H8" s="199">
        <v>109772</v>
      </c>
      <c r="I8" s="199">
        <v>124397</v>
      </c>
      <c r="J8" s="199">
        <v>115692</v>
      </c>
      <c r="K8" s="199">
        <v>84242</v>
      </c>
      <c r="L8" s="199">
        <v>54299</v>
      </c>
      <c r="M8" s="199">
        <v>66744</v>
      </c>
      <c r="N8" s="199">
        <v>36147</v>
      </c>
      <c r="O8" s="199">
        <v>71779</v>
      </c>
      <c r="P8" s="199">
        <v>54558</v>
      </c>
      <c r="Q8" s="199">
        <v>28752</v>
      </c>
      <c r="R8" s="199">
        <v>59329</v>
      </c>
      <c r="S8" s="199">
        <v>27865</v>
      </c>
      <c r="T8" s="199">
        <v>40574</v>
      </c>
      <c r="U8" s="199" t="s">
        <v>175</v>
      </c>
      <c r="V8" s="199" t="s">
        <v>175</v>
      </c>
      <c r="W8" s="199" t="s">
        <v>175</v>
      </c>
      <c r="X8" s="199" t="s">
        <v>175</v>
      </c>
      <c r="Y8" s="199" t="s">
        <v>175</v>
      </c>
      <c r="Z8" s="199" t="s">
        <v>175</v>
      </c>
      <c r="AA8" s="199" t="s">
        <v>175</v>
      </c>
      <c r="AB8" s="199" t="s">
        <v>175</v>
      </c>
      <c r="AC8" s="199" t="s">
        <v>175</v>
      </c>
      <c r="AD8" s="199" t="s">
        <v>175</v>
      </c>
    </row>
    <row r="9" spans="1:30">
      <c r="B9" s="6"/>
      <c r="C9" s="6"/>
      <c r="D9" s="7"/>
      <c r="E9" s="214"/>
      <c r="F9" s="214">
        <f>+E8/F8-1</f>
        <v>-0.3447418688018421</v>
      </c>
      <c r="G9" s="214">
        <f t="shared" ref="G9:T9" si="0">+F8/G8-1</f>
        <v>0.17645066953978761</v>
      </c>
      <c r="H9" s="214">
        <f t="shared" si="0"/>
        <v>0.18372626899391475</v>
      </c>
      <c r="I9" s="214">
        <f t="shared" si="0"/>
        <v>-0.11756714390218415</v>
      </c>
      <c r="J9" s="214">
        <f t="shared" si="0"/>
        <v>7.5242886284272004E-2</v>
      </c>
      <c r="K9" s="214">
        <f t="shared" si="0"/>
        <v>0.37332921820469589</v>
      </c>
      <c r="L9" s="214">
        <f t="shared" si="0"/>
        <v>0.55144661964308739</v>
      </c>
      <c r="M9" s="214">
        <f t="shared" si="0"/>
        <v>-0.18645870789883734</v>
      </c>
      <c r="N9" s="214">
        <f t="shared" si="0"/>
        <v>0.84646028716076027</v>
      </c>
      <c r="O9" s="214">
        <f t="shared" si="0"/>
        <v>-0.4964125997854526</v>
      </c>
      <c r="P9" s="214">
        <f t="shared" si="0"/>
        <v>0.31564573481432601</v>
      </c>
      <c r="Q9" s="214">
        <f t="shared" si="0"/>
        <v>0.89753756260434048</v>
      </c>
      <c r="R9" s="214">
        <f t="shared" si="0"/>
        <v>-0.51538033676616823</v>
      </c>
      <c r="S9" s="214">
        <f t="shared" si="0"/>
        <v>1.1291584424905796</v>
      </c>
      <c r="T9" s="214">
        <f t="shared" si="0"/>
        <v>-0.31323014738502486</v>
      </c>
      <c r="U9" s="214"/>
      <c r="V9" s="214"/>
      <c r="W9" s="214"/>
      <c r="X9" s="214"/>
      <c r="Y9" s="214"/>
      <c r="Z9" s="214"/>
      <c r="AA9" s="214"/>
      <c r="AB9" s="214"/>
      <c r="AC9" s="214"/>
      <c r="AD9" s="214"/>
    </row>
    <row r="10" spans="1:30">
      <c r="B10" s="6"/>
      <c r="C10" s="6"/>
      <c r="D10" s="7"/>
      <c r="E10" s="214"/>
      <c r="F10" s="214">
        <f>AVERAGE(F9:T9)</f>
        <v>0.17168045901308365</v>
      </c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</row>
    <row r="11" spans="1:30">
      <c r="B11" s="6" t="s">
        <v>145</v>
      </c>
      <c r="C11" s="6" t="s">
        <v>145</v>
      </c>
      <c r="D11" s="7">
        <v>4057075</v>
      </c>
      <c r="E11" s="199">
        <v>24000</v>
      </c>
      <c r="F11" s="199">
        <v>21435</v>
      </c>
      <c r="G11" s="199">
        <v>19909</v>
      </c>
      <c r="H11" s="199">
        <v>18547</v>
      </c>
      <c r="I11" s="199">
        <v>16127</v>
      </c>
      <c r="J11" s="199">
        <v>14289</v>
      </c>
      <c r="K11" s="199">
        <v>12936</v>
      </c>
      <c r="L11" s="199">
        <v>11186</v>
      </c>
      <c r="M11" s="199">
        <v>9199</v>
      </c>
      <c r="N11" s="199">
        <v>8831</v>
      </c>
      <c r="O11" s="199">
        <v>8955</v>
      </c>
      <c r="P11" s="199">
        <v>8906</v>
      </c>
      <c r="Q11" s="199">
        <v>48618</v>
      </c>
      <c r="R11" s="199">
        <v>7904</v>
      </c>
      <c r="S11" s="199">
        <v>7898</v>
      </c>
      <c r="T11" s="199">
        <v>6112</v>
      </c>
      <c r="U11" s="199">
        <v>6696</v>
      </c>
      <c r="V11" s="199">
        <v>6405</v>
      </c>
      <c r="W11" s="199">
        <v>6036</v>
      </c>
      <c r="X11" s="199">
        <v>5808</v>
      </c>
      <c r="Y11" s="199">
        <v>5240</v>
      </c>
      <c r="Z11" s="199">
        <v>4943</v>
      </c>
      <c r="AA11" s="199">
        <v>4431</v>
      </c>
      <c r="AB11" s="199" t="s">
        <v>175</v>
      </c>
      <c r="AC11" s="199">
        <v>3365</v>
      </c>
      <c r="AD11" s="199">
        <v>2902</v>
      </c>
    </row>
    <row r="12" spans="1:30">
      <c r="A12" s="1" t="s">
        <v>275</v>
      </c>
      <c r="B12" s="6" t="s">
        <v>154</v>
      </c>
      <c r="C12" s="6" t="s">
        <v>154</v>
      </c>
      <c r="D12" s="7">
        <v>4007784</v>
      </c>
      <c r="E12" s="199">
        <v>7847</v>
      </c>
      <c r="F12" s="199">
        <v>6800</v>
      </c>
      <c r="G12" s="199">
        <v>7280</v>
      </c>
      <c r="H12" s="199">
        <v>6777</v>
      </c>
      <c r="I12" s="199">
        <v>7210</v>
      </c>
      <c r="J12" s="199">
        <v>2406</v>
      </c>
      <c r="K12" s="199">
        <v>74</v>
      </c>
      <c r="L12" s="199">
        <v>1829</v>
      </c>
      <c r="M12" s="199">
        <v>5442</v>
      </c>
      <c r="N12" s="199">
        <v>4468</v>
      </c>
      <c r="O12" s="199">
        <v>4038</v>
      </c>
      <c r="P12" s="199">
        <v>3420</v>
      </c>
      <c r="Q12" s="199" t="s">
        <v>175</v>
      </c>
      <c r="R12" s="199">
        <v>1488</v>
      </c>
      <c r="S12" s="199">
        <v>1127</v>
      </c>
      <c r="T12" s="199">
        <v>853</v>
      </c>
      <c r="U12" s="199">
        <v>-1571</v>
      </c>
      <c r="V12" s="199">
        <v>-2265</v>
      </c>
      <c r="W12" s="199">
        <v>-1497</v>
      </c>
      <c r="X12" s="199">
        <v>-1496</v>
      </c>
      <c r="Y12" s="199">
        <v>-807</v>
      </c>
      <c r="Z12" s="199">
        <v>-661</v>
      </c>
      <c r="AA12" s="199">
        <v>747</v>
      </c>
      <c r="AB12" s="199">
        <v>643</v>
      </c>
      <c r="AC12" s="199">
        <v>816</v>
      </c>
      <c r="AD12" s="199">
        <v>1173</v>
      </c>
    </row>
    <row r="13" spans="1:30">
      <c r="A13" s="1" t="s">
        <v>275</v>
      </c>
      <c r="B13" s="6" t="s">
        <v>276</v>
      </c>
      <c r="C13" s="6" t="s">
        <v>277</v>
      </c>
      <c r="D13" s="7">
        <v>4058656</v>
      </c>
      <c r="E13" s="199" t="s">
        <v>175</v>
      </c>
      <c r="F13" s="199" t="s">
        <v>175</v>
      </c>
      <c r="G13" s="199" t="s">
        <v>175</v>
      </c>
      <c r="H13" s="199" t="s">
        <v>175</v>
      </c>
      <c r="I13" s="199" t="s">
        <v>175</v>
      </c>
      <c r="J13" s="199" t="s">
        <v>175</v>
      </c>
      <c r="K13" s="199" t="s">
        <v>175</v>
      </c>
      <c r="L13" s="199" t="s">
        <v>175</v>
      </c>
      <c r="M13" s="199" t="s">
        <v>175</v>
      </c>
      <c r="N13" s="199" t="s">
        <v>175</v>
      </c>
      <c r="O13" s="199" t="s">
        <v>175</v>
      </c>
      <c r="P13" s="199" t="s">
        <v>175</v>
      </c>
      <c r="Q13" s="199" t="s">
        <v>175</v>
      </c>
      <c r="R13" s="199" t="s">
        <v>175</v>
      </c>
      <c r="S13" s="199" t="s">
        <v>175</v>
      </c>
      <c r="T13" s="199" t="s">
        <v>175</v>
      </c>
      <c r="U13" s="199" t="s">
        <v>175</v>
      </c>
      <c r="V13" s="199" t="s">
        <v>175</v>
      </c>
      <c r="W13" s="199" t="s">
        <v>175</v>
      </c>
      <c r="X13" s="199" t="s">
        <v>175</v>
      </c>
      <c r="Y13" s="199" t="s">
        <v>175</v>
      </c>
      <c r="Z13" s="199" t="s">
        <v>175</v>
      </c>
      <c r="AA13" s="199" t="s">
        <v>175</v>
      </c>
      <c r="AB13" s="199" t="s">
        <v>175</v>
      </c>
      <c r="AC13" s="199" t="s">
        <v>175</v>
      </c>
      <c r="AD13" s="199" t="s">
        <v>175</v>
      </c>
    </row>
    <row r="14" spans="1:30">
      <c r="A14" s="1" t="s">
        <v>275</v>
      </c>
      <c r="B14" s="6" t="s">
        <v>162</v>
      </c>
      <c r="C14" s="6" t="s">
        <v>163</v>
      </c>
      <c r="D14" s="7">
        <v>4057110</v>
      </c>
      <c r="E14" s="199" t="s">
        <v>175</v>
      </c>
      <c r="F14" s="199" t="s">
        <v>175</v>
      </c>
      <c r="G14" s="199" t="s">
        <v>175</v>
      </c>
      <c r="H14" s="199" t="s">
        <v>175</v>
      </c>
      <c r="I14" s="199" t="s">
        <v>175</v>
      </c>
      <c r="J14" s="199" t="s">
        <v>175</v>
      </c>
      <c r="K14" s="199" t="s">
        <v>175</v>
      </c>
      <c r="L14" s="199" t="s">
        <v>175</v>
      </c>
      <c r="M14" s="199" t="s">
        <v>175</v>
      </c>
      <c r="N14" s="199" t="s">
        <v>175</v>
      </c>
      <c r="O14" s="199" t="s">
        <v>175</v>
      </c>
      <c r="P14" s="199" t="s">
        <v>175</v>
      </c>
      <c r="Q14" s="199" t="s">
        <v>175</v>
      </c>
      <c r="R14" s="199" t="s">
        <v>175</v>
      </c>
      <c r="S14" s="199" t="s">
        <v>175</v>
      </c>
      <c r="T14" s="199" t="s">
        <v>175</v>
      </c>
      <c r="U14" s="199" t="s">
        <v>175</v>
      </c>
      <c r="V14" s="199" t="s">
        <v>175</v>
      </c>
      <c r="W14" s="199" t="s">
        <v>175</v>
      </c>
      <c r="X14" s="199" t="s">
        <v>175</v>
      </c>
      <c r="Y14" s="199" t="s">
        <v>175</v>
      </c>
      <c r="Z14" s="199" t="s">
        <v>175</v>
      </c>
      <c r="AA14" s="199" t="s">
        <v>175</v>
      </c>
      <c r="AB14" s="199" t="s">
        <v>175</v>
      </c>
      <c r="AC14" s="199" t="s">
        <v>175</v>
      </c>
      <c r="AD14" s="199" t="s">
        <v>175</v>
      </c>
    </row>
    <row r="15" spans="1:30">
      <c r="B15" s="6" t="s">
        <v>165</v>
      </c>
      <c r="C15" s="6" t="s">
        <v>165</v>
      </c>
      <c r="D15" s="7">
        <v>4058516</v>
      </c>
      <c r="E15" s="199">
        <v>8181</v>
      </c>
      <c r="F15" s="199">
        <v>9052</v>
      </c>
      <c r="G15" s="199">
        <v>13768</v>
      </c>
      <c r="H15" s="199">
        <v>15693</v>
      </c>
      <c r="I15" s="199">
        <v>17573</v>
      </c>
      <c r="J15" s="199">
        <v>15451</v>
      </c>
      <c r="K15" s="199">
        <v>16013</v>
      </c>
      <c r="L15" s="199">
        <v>14151</v>
      </c>
      <c r="M15" s="199">
        <v>12638</v>
      </c>
      <c r="N15" s="199">
        <v>13381</v>
      </c>
      <c r="O15" s="199">
        <v>16460</v>
      </c>
      <c r="P15" s="199">
        <v>15529</v>
      </c>
      <c r="Q15" s="199">
        <v>14172</v>
      </c>
      <c r="R15" s="199">
        <v>14622</v>
      </c>
      <c r="S15" s="199">
        <v>13768</v>
      </c>
      <c r="T15" s="199">
        <v>13053</v>
      </c>
      <c r="U15" s="199">
        <v>12681</v>
      </c>
      <c r="V15" s="199">
        <v>12736</v>
      </c>
      <c r="W15" s="199">
        <v>12040</v>
      </c>
      <c r="X15" s="199">
        <v>11128</v>
      </c>
      <c r="Y15" s="199">
        <v>10722</v>
      </c>
      <c r="Z15" s="199">
        <v>10961</v>
      </c>
      <c r="AA15" s="199">
        <v>10028</v>
      </c>
      <c r="AB15" s="199">
        <v>9164</v>
      </c>
      <c r="AC15" s="199">
        <v>8719</v>
      </c>
      <c r="AD15" s="199">
        <v>8417</v>
      </c>
    </row>
    <row r="16" spans="1:30">
      <c r="B16" s="6" t="s">
        <v>167</v>
      </c>
      <c r="C16" s="6" t="s">
        <v>167</v>
      </c>
      <c r="D16" s="7">
        <v>4058793</v>
      </c>
      <c r="E16" s="199" t="s">
        <v>175</v>
      </c>
      <c r="F16" s="199" t="s">
        <v>175</v>
      </c>
      <c r="G16" s="199" t="s">
        <v>175</v>
      </c>
      <c r="H16" s="199" t="s">
        <v>175</v>
      </c>
      <c r="I16" s="199" t="s">
        <v>175</v>
      </c>
      <c r="J16" s="199" t="s">
        <v>175</v>
      </c>
      <c r="K16" s="199" t="s">
        <v>175</v>
      </c>
      <c r="L16" s="199" t="s">
        <v>175</v>
      </c>
      <c r="M16" s="199" t="s">
        <v>175</v>
      </c>
      <c r="N16" s="199" t="s">
        <v>175</v>
      </c>
      <c r="O16" s="199" t="s">
        <v>175</v>
      </c>
      <c r="P16" s="199" t="s">
        <v>175</v>
      </c>
      <c r="Q16" s="199" t="s">
        <v>175</v>
      </c>
      <c r="R16" s="199">
        <v>498</v>
      </c>
      <c r="S16" s="199">
        <v>393</v>
      </c>
      <c r="T16" s="199">
        <v>349</v>
      </c>
      <c r="U16" s="199">
        <v>347</v>
      </c>
      <c r="V16" s="199">
        <v>353</v>
      </c>
      <c r="W16" s="199" t="s">
        <v>175</v>
      </c>
      <c r="X16" s="199" t="s">
        <v>175</v>
      </c>
      <c r="Y16" s="199" t="s">
        <v>175</v>
      </c>
      <c r="Z16" s="199">
        <v>191</v>
      </c>
      <c r="AA16" s="199">
        <v>174</v>
      </c>
      <c r="AB16" s="199">
        <v>0</v>
      </c>
      <c r="AC16" s="199">
        <v>270</v>
      </c>
      <c r="AD16" s="199">
        <v>0</v>
      </c>
    </row>
    <row r="17" spans="1:30">
      <c r="A17" s="1" t="s">
        <v>275</v>
      </c>
      <c r="B17" s="6" t="s">
        <v>169</v>
      </c>
      <c r="C17" s="6" t="s">
        <v>169</v>
      </c>
      <c r="D17" s="7">
        <v>4057111</v>
      </c>
      <c r="E17" s="199" t="s">
        <v>175</v>
      </c>
      <c r="F17" s="199" t="s">
        <v>175</v>
      </c>
      <c r="G17" s="199" t="s">
        <v>175</v>
      </c>
      <c r="H17" s="199" t="s">
        <v>175</v>
      </c>
      <c r="I17" s="199" t="s">
        <v>175</v>
      </c>
      <c r="J17" s="199" t="s">
        <v>175</v>
      </c>
      <c r="K17" s="199" t="s">
        <v>175</v>
      </c>
      <c r="L17" s="199" t="s">
        <v>175</v>
      </c>
      <c r="M17" s="199" t="s">
        <v>175</v>
      </c>
      <c r="N17" s="199" t="s">
        <v>175</v>
      </c>
      <c r="O17" s="199" t="s">
        <v>175</v>
      </c>
      <c r="P17" s="199" t="s">
        <v>175</v>
      </c>
      <c r="Q17" s="199" t="s">
        <v>175</v>
      </c>
      <c r="R17" s="199" t="s">
        <v>175</v>
      </c>
      <c r="S17" s="199" t="s">
        <v>175</v>
      </c>
      <c r="T17" s="199" t="s">
        <v>175</v>
      </c>
      <c r="U17" s="199" t="s">
        <v>175</v>
      </c>
      <c r="V17" s="199" t="s">
        <v>175</v>
      </c>
      <c r="W17" s="199" t="s">
        <v>175</v>
      </c>
      <c r="X17" s="199" t="s">
        <v>175</v>
      </c>
      <c r="Y17" s="199" t="s">
        <v>175</v>
      </c>
      <c r="Z17" s="199" t="s">
        <v>175</v>
      </c>
      <c r="AA17" s="199" t="s">
        <v>175</v>
      </c>
      <c r="AB17" s="199">
        <v>28232</v>
      </c>
      <c r="AC17" s="199">
        <v>24740</v>
      </c>
      <c r="AD17" s="199">
        <v>17196</v>
      </c>
    </row>
    <row r="18" spans="1:30">
      <c r="A18" s="1" t="s">
        <v>275</v>
      </c>
      <c r="B18" s="6" t="s">
        <v>170</v>
      </c>
      <c r="C18" s="6" t="s">
        <v>170</v>
      </c>
      <c r="D18" s="7">
        <v>4018679</v>
      </c>
      <c r="E18" s="199">
        <v>82388</v>
      </c>
      <c r="F18" s="199">
        <v>76076</v>
      </c>
      <c r="G18" s="199">
        <v>42173</v>
      </c>
      <c r="H18" s="199">
        <v>44475</v>
      </c>
      <c r="I18" s="199">
        <v>37412</v>
      </c>
      <c r="J18" s="199">
        <v>58280</v>
      </c>
      <c r="K18" s="199">
        <v>50714</v>
      </c>
      <c r="L18" s="199">
        <v>49471</v>
      </c>
      <c r="M18" s="199">
        <v>45770</v>
      </c>
      <c r="N18" s="199">
        <v>47058</v>
      </c>
      <c r="O18" s="199">
        <v>53274</v>
      </c>
      <c r="P18" s="199">
        <v>51619</v>
      </c>
      <c r="Q18" s="199">
        <v>56089</v>
      </c>
      <c r="R18" s="199">
        <v>55832</v>
      </c>
      <c r="S18" s="199">
        <v>56770</v>
      </c>
      <c r="T18" s="199">
        <v>61182</v>
      </c>
      <c r="U18" s="199">
        <v>158826</v>
      </c>
      <c r="V18" s="199">
        <v>79009</v>
      </c>
      <c r="W18" s="199">
        <v>69551</v>
      </c>
      <c r="X18" s="199">
        <v>61877</v>
      </c>
      <c r="Y18" s="199">
        <v>58866</v>
      </c>
      <c r="Z18" s="199">
        <v>57039</v>
      </c>
      <c r="AA18" s="199">
        <v>49161</v>
      </c>
      <c r="AB18" s="199">
        <v>39351</v>
      </c>
      <c r="AC18" s="199">
        <v>41573</v>
      </c>
      <c r="AD18" s="199">
        <v>45993</v>
      </c>
    </row>
    <row r="19" spans="1:30">
      <c r="B19" s="6" t="s">
        <v>172</v>
      </c>
      <c r="C19" s="6" t="s">
        <v>172</v>
      </c>
      <c r="D19" s="7">
        <v>4057112</v>
      </c>
      <c r="E19" s="199">
        <v>31306</v>
      </c>
      <c r="F19" s="199">
        <v>25911</v>
      </c>
      <c r="G19" s="199">
        <v>29116</v>
      </c>
      <c r="H19" s="199">
        <v>27375</v>
      </c>
      <c r="I19" s="199">
        <v>26398</v>
      </c>
      <c r="J19" s="199">
        <v>25786</v>
      </c>
      <c r="K19" s="199">
        <v>25700</v>
      </c>
      <c r="L19" s="199">
        <v>24832</v>
      </c>
      <c r="M19" s="199">
        <v>28356</v>
      </c>
      <c r="N19" s="199">
        <v>27731</v>
      </c>
      <c r="O19" s="199">
        <v>26878</v>
      </c>
      <c r="P19" s="199">
        <v>27219</v>
      </c>
      <c r="Q19" s="199">
        <v>29975</v>
      </c>
      <c r="R19" s="199">
        <v>29043</v>
      </c>
      <c r="S19" s="199">
        <v>26592</v>
      </c>
      <c r="T19" s="199">
        <v>24350</v>
      </c>
      <c r="U19" s="199">
        <v>22678</v>
      </c>
      <c r="V19" s="199">
        <v>20976</v>
      </c>
      <c r="W19" s="199">
        <v>14518</v>
      </c>
      <c r="X19" s="199">
        <v>19120</v>
      </c>
      <c r="Y19" s="199">
        <v>18131</v>
      </c>
      <c r="Z19" s="199">
        <v>17275</v>
      </c>
      <c r="AA19" s="199">
        <v>17352</v>
      </c>
      <c r="AB19" s="199">
        <v>28267</v>
      </c>
      <c r="AC19" s="199">
        <v>26197</v>
      </c>
      <c r="AD19" s="199">
        <v>23748</v>
      </c>
    </row>
    <row r="20" spans="1:30">
      <c r="A20" s="1" t="s">
        <v>275</v>
      </c>
      <c r="B20" s="6" t="s">
        <v>173</v>
      </c>
      <c r="C20" s="6" t="s">
        <v>173</v>
      </c>
      <c r="D20" s="7">
        <v>4057076</v>
      </c>
      <c r="E20" s="199" t="s">
        <v>175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328</v>
      </c>
      <c r="Z20" s="199">
        <v>636</v>
      </c>
      <c r="AA20" s="199">
        <v>944</v>
      </c>
      <c r="AB20" s="199" t="s">
        <v>175</v>
      </c>
      <c r="AC20" s="199">
        <v>1560</v>
      </c>
      <c r="AD20" s="199">
        <v>1891</v>
      </c>
    </row>
    <row r="21" spans="1:30">
      <c r="B21" s="6" t="s">
        <v>278</v>
      </c>
      <c r="C21" s="6" t="s">
        <v>278</v>
      </c>
      <c r="D21" s="7">
        <v>4059166</v>
      </c>
      <c r="E21" s="199">
        <v>10446</v>
      </c>
      <c r="F21" s="199">
        <v>11600</v>
      </c>
      <c r="G21" s="199">
        <v>11113</v>
      </c>
      <c r="H21" s="199">
        <v>11350</v>
      </c>
      <c r="I21" s="199">
        <v>10654</v>
      </c>
      <c r="J21" s="199">
        <v>10323</v>
      </c>
      <c r="K21" s="199">
        <v>9782</v>
      </c>
      <c r="L21" s="199">
        <v>6956</v>
      </c>
      <c r="M21" s="199">
        <v>6865</v>
      </c>
      <c r="N21" s="199">
        <v>6261</v>
      </c>
      <c r="O21" s="199">
        <v>5816</v>
      </c>
      <c r="P21" s="199">
        <v>6258</v>
      </c>
      <c r="Q21" s="199">
        <v>5228</v>
      </c>
      <c r="R21" s="199">
        <v>5785</v>
      </c>
      <c r="S21" s="199">
        <v>7098</v>
      </c>
      <c r="T21" s="199">
        <v>7040</v>
      </c>
      <c r="U21" s="199" t="s">
        <v>175</v>
      </c>
      <c r="V21" s="199" t="s">
        <v>175</v>
      </c>
      <c r="W21" s="199" t="s">
        <v>175</v>
      </c>
      <c r="X21" s="199" t="s">
        <v>175</v>
      </c>
      <c r="Y21" s="199">
        <v>4212</v>
      </c>
      <c r="Z21" s="199" t="s">
        <v>175</v>
      </c>
      <c r="AA21" s="199" t="s">
        <v>175</v>
      </c>
      <c r="AB21" s="199">
        <v>3922</v>
      </c>
      <c r="AC21" s="199">
        <v>3827</v>
      </c>
      <c r="AD21" s="199">
        <v>3178</v>
      </c>
    </row>
    <row r="22" spans="1:30">
      <c r="B22" s="6" t="s">
        <v>279</v>
      </c>
      <c r="C22" s="6" t="s">
        <v>279</v>
      </c>
      <c r="D22" s="7">
        <v>4059227</v>
      </c>
      <c r="E22" s="199" t="s">
        <v>175</v>
      </c>
      <c r="F22" s="199" t="s">
        <v>175</v>
      </c>
      <c r="G22" s="199" t="s">
        <v>175</v>
      </c>
      <c r="H22" s="199" t="s">
        <v>175</v>
      </c>
      <c r="I22" s="199" t="s">
        <v>175</v>
      </c>
      <c r="J22" s="199" t="s">
        <v>175</v>
      </c>
      <c r="K22" s="199" t="s">
        <v>175</v>
      </c>
      <c r="L22" s="199" t="s">
        <v>175</v>
      </c>
      <c r="M22" s="199" t="s">
        <v>175</v>
      </c>
      <c r="N22" s="199" t="s">
        <v>175</v>
      </c>
      <c r="O22" s="199" t="s">
        <v>175</v>
      </c>
      <c r="P22" s="199" t="s">
        <v>175</v>
      </c>
      <c r="Q22" s="199" t="s">
        <v>175</v>
      </c>
      <c r="R22" s="199" t="s">
        <v>175</v>
      </c>
      <c r="S22" s="199" t="s">
        <v>175</v>
      </c>
      <c r="T22" s="199" t="s">
        <v>175</v>
      </c>
      <c r="U22" s="199" t="s">
        <v>175</v>
      </c>
      <c r="V22" s="199" t="s">
        <v>175</v>
      </c>
      <c r="W22" s="199" t="s">
        <v>175</v>
      </c>
      <c r="X22" s="199" t="s">
        <v>175</v>
      </c>
      <c r="Y22" s="199" t="s">
        <v>175</v>
      </c>
      <c r="Z22" s="199" t="s">
        <v>175</v>
      </c>
      <c r="AA22" s="199" t="s">
        <v>175</v>
      </c>
      <c r="AB22" s="199" t="s">
        <v>175</v>
      </c>
      <c r="AC22" s="199">
        <v>0</v>
      </c>
      <c r="AD22" s="199">
        <v>0</v>
      </c>
    </row>
    <row r="23" spans="1:30">
      <c r="A23" s="1" t="s">
        <v>275</v>
      </c>
      <c r="B23" s="6" t="s">
        <v>174</v>
      </c>
      <c r="C23" s="6" t="s">
        <v>174</v>
      </c>
      <c r="D23" s="7">
        <v>4057114</v>
      </c>
      <c r="E23" s="199" t="s">
        <v>175</v>
      </c>
      <c r="F23" s="199" t="s">
        <v>175</v>
      </c>
      <c r="G23" s="199" t="s">
        <v>175</v>
      </c>
      <c r="H23" s="199" t="s">
        <v>175</v>
      </c>
      <c r="I23" s="199" t="s">
        <v>175</v>
      </c>
      <c r="J23" s="199" t="s">
        <v>175</v>
      </c>
      <c r="K23" s="199" t="s">
        <v>175</v>
      </c>
      <c r="L23" s="199" t="s">
        <v>175</v>
      </c>
      <c r="M23" s="199" t="s">
        <v>175</v>
      </c>
      <c r="N23" s="199" t="s">
        <v>175</v>
      </c>
      <c r="O23" s="199" t="s">
        <v>175</v>
      </c>
      <c r="P23" s="199" t="s">
        <v>175</v>
      </c>
      <c r="Q23" s="199" t="s">
        <v>175</v>
      </c>
      <c r="R23" s="199" t="s">
        <v>175</v>
      </c>
      <c r="S23" s="199" t="s">
        <v>175</v>
      </c>
      <c r="T23" s="199" t="s">
        <v>175</v>
      </c>
      <c r="U23" s="199" t="s">
        <v>175</v>
      </c>
      <c r="V23" s="199" t="s">
        <v>175</v>
      </c>
      <c r="W23" s="199" t="s">
        <v>175</v>
      </c>
      <c r="X23" s="199" t="s">
        <v>175</v>
      </c>
      <c r="Y23" s="199" t="s">
        <v>175</v>
      </c>
      <c r="Z23" s="199" t="s">
        <v>175</v>
      </c>
      <c r="AA23" s="199" t="s">
        <v>175</v>
      </c>
      <c r="AB23" s="199" t="s">
        <v>175</v>
      </c>
      <c r="AC23" s="199" t="s">
        <v>175</v>
      </c>
      <c r="AD23" s="199" t="s">
        <v>175</v>
      </c>
    </row>
    <row r="24" spans="1:30">
      <c r="B24" s="6" t="s">
        <v>176</v>
      </c>
      <c r="C24" s="6" t="s">
        <v>176</v>
      </c>
      <c r="D24" s="7">
        <v>4059355</v>
      </c>
      <c r="E24" s="199">
        <v>248</v>
      </c>
      <c r="F24" s="199">
        <v>236</v>
      </c>
      <c r="G24" s="199">
        <v>291</v>
      </c>
      <c r="H24" s="199">
        <v>239</v>
      </c>
      <c r="I24" s="199">
        <v>227</v>
      </c>
      <c r="J24" s="199">
        <v>207</v>
      </c>
      <c r="K24" s="199">
        <v>538</v>
      </c>
      <c r="L24" s="199">
        <v>521</v>
      </c>
      <c r="M24" s="199">
        <v>953</v>
      </c>
      <c r="N24" s="199">
        <v>929</v>
      </c>
      <c r="O24" s="199">
        <v>907</v>
      </c>
      <c r="P24" s="199">
        <v>858</v>
      </c>
      <c r="Q24" s="199">
        <v>804</v>
      </c>
      <c r="R24" s="199">
        <v>568</v>
      </c>
      <c r="S24" s="199">
        <v>745</v>
      </c>
      <c r="T24" s="199">
        <v>775</v>
      </c>
      <c r="U24" s="199">
        <v>1045</v>
      </c>
      <c r="V24" s="199">
        <v>944</v>
      </c>
      <c r="W24" s="199">
        <v>662</v>
      </c>
      <c r="X24" s="199">
        <v>809</v>
      </c>
      <c r="Y24" s="199" t="s">
        <v>175</v>
      </c>
      <c r="Z24" s="199">
        <v>650</v>
      </c>
      <c r="AA24" s="199">
        <v>619</v>
      </c>
      <c r="AB24" s="199">
        <v>619</v>
      </c>
      <c r="AC24" s="199">
        <v>1777</v>
      </c>
      <c r="AD24" s="199">
        <v>1587</v>
      </c>
    </row>
    <row r="25" spans="1:30">
      <c r="B25" s="6" t="s">
        <v>178</v>
      </c>
      <c r="C25" s="6" t="s">
        <v>178</v>
      </c>
      <c r="D25" s="7">
        <v>4088325</v>
      </c>
      <c r="E25" s="199">
        <v>1106</v>
      </c>
      <c r="F25" s="199">
        <v>1055</v>
      </c>
      <c r="G25" s="199">
        <v>988</v>
      </c>
      <c r="H25" s="199">
        <v>206</v>
      </c>
      <c r="I25" s="199">
        <v>224</v>
      </c>
      <c r="J25" s="199">
        <v>220</v>
      </c>
      <c r="K25" s="199">
        <v>182</v>
      </c>
      <c r="L25" s="199">
        <v>172</v>
      </c>
      <c r="M25" s="199">
        <v>169</v>
      </c>
      <c r="N25" s="199">
        <v>201</v>
      </c>
      <c r="O25" s="199">
        <v>262</v>
      </c>
      <c r="P25" s="199">
        <v>258</v>
      </c>
      <c r="Q25" s="199">
        <v>255</v>
      </c>
      <c r="R25" s="199">
        <v>243</v>
      </c>
      <c r="S25" s="199">
        <v>251</v>
      </c>
      <c r="T25" s="199">
        <v>222</v>
      </c>
      <c r="U25" s="199">
        <v>212</v>
      </c>
      <c r="V25" s="199">
        <v>213</v>
      </c>
      <c r="W25" s="199" t="s">
        <v>175</v>
      </c>
      <c r="X25" s="199" t="s">
        <v>175</v>
      </c>
      <c r="Y25" s="199" t="s">
        <v>175</v>
      </c>
      <c r="Z25" s="199">
        <v>225</v>
      </c>
      <c r="AA25" s="199">
        <v>205</v>
      </c>
      <c r="AB25" s="199">
        <v>181</v>
      </c>
      <c r="AC25" s="199">
        <v>600</v>
      </c>
      <c r="AD25" s="199">
        <v>581</v>
      </c>
    </row>
    <row r="26" spans="1:30">
      <c r="B26" s="6" t="s">
        <v>280</v>
      </c>
      <c r="C26" s="6" t="s">
        <v>280</v>
      </c>
      <c r="D26" s="7">
        <v>4088326</v>
      </c>
      <c r="E26" s="199">
        <v>1181</v>
      </c>
      <c r="F26" s="199">
        <v>1181</v>
      </c>
      <c r="G26" s="199">
        <v>1230</v>
      </c>
      <c r="H26" s="199">
        <v>1121</v>
      </c>
      <c r="I26" s="199">
        <v>1326</v>
      </c>
      <c r="J26" s="199">
        <v>1960</v>
      </c>
      <c r="K26" s="199">
        <v>2340</v>
      </c>
      <c r="L26" s="199">
        <v>2340</v>
      </c>
      <c r="M26" s="199">
        <v>2841</v>
      </c>
      <c r="N26" s="199">
        <v>1910</v>
      </c>
      <c r="O26" s="199">
        <v>1982</v>
      </c>
      <c r="P26" s="199">
        <v>2739</v>
      </c>
      <c r="Q26" s="199">
        <v>5819</v>
      </c>
      <c r="R26" s="199">
        <v>5040</v>
      </c>
      <c r="S26" s="199">
        <v>5942</v>
      </c>
      <c r="T26" s="199">
        <v>6034</v>
      </c>
      <c r="U26" s="199">
        <v>5714</v>
      </c>
      <c r="V26" s="199">
        <v>7435</v>
      </c>
      <c r="W26" s="199">
        <v>6938</v>
      </c>
      <c r="X26" s="199">
        <v>6971</v>
      </c>
      <c r="Y26" s="199" t="s">
        <v>175</v>
      </c>
      <c r="Z26" s="199">
        <v>8535</v>
      </c>
      <c r="AA26" s="199">
        <v>22530</v>
      </c>
      <c r="AB26" s="199">
        <v>19602</v>
      </c>
      <c r="AC26" s="199">
        <v>17525</v>
      </c>
      <c r="AD26" s="199">
        <v>16095</v>
      </c>
    </row>
    <row r="27" spans="1:30">
      <c r="A27" s="1" t="s">
        <v>275</v>
      </c>
      <c r="B27" s="6" t="s">
        <v>281</v>
      </c>
      <c r="C27" s="6" t="s">
        <v>281</v>
      </c>
      <c r="D27" s="7">
        <v>4059358</v>
      </c>
      <c r="E27" s="199" t="s">
        <v>175</v>
      </c>
      <c r="F27" s="199" t="s">
        <v>175</v>
      </c>
      <c r="G27" s="199" t="s">
        <v>175</v>
      </c>
      <c r="H27" s="199" t="s">
        <v>175</v>
      </c>
      <c r="I27" s="199" t="s">
        <v>175</v>
      </c>
      <c r="J27" s="199" t="s">
        <v>175</v>
      </c>
      <c r="K27" s="199" t="s">
        <v>175</v>
      </c>
      <c r="L27" s="199" t="s">
        <v>175</v>
      </c>
      <c r="M27" s="199" t="s">
        <v>175</v>
      </c>
      <c r="N27" s="199" t="s">
        <v>175</v>
      </c>
      <c r="O27" s="199" t="s">
        <v>175</v>
      </c>
      <c r="P27" s="199" t="s">
        <v>175</v>
      </c>
      <c r="Q27" s="199" t="s">
        <v>175</v>
      </c>
      <c r="R27" s="199" t="s">
        <v>175</v>
      </c>
      <c r="S27" s="199" t="s">
        <v>175</v>
      </c>
      <c r="T27" s="199" t="s">
        <v>175</v>
      </c>
      <c r="U27" s="199" t="s">
        <v>175</v>
      </c>
      <c r="V27" s="199" t="s">
        <v>175</v>
      </c>
      <c r="W27" s="199" t="s">
        <v>175</v>
      </c>
      <c r="X27" s="199" t="s">
        <v>175</v>
      </c>
      <c r="Y27" s="199">
        <v>7</v>
      </c>
      <c r="Z27" s="199" t="s">
        <v>175</v>
      </c>
      <c r="AA27" s="199" t="s">
        <v>175</v>
      </c>
      <c r="AB27" s="199" t="s">
        <v>175</v>
      </c>
      <c r="AC27" s="199" t="s">
        <v>175</v>
      </c>
      <c r="AD27" s="199" t="s">
        <v>175</v>
      </c>
    </row>
    <row r="28" spans="1:30">
      <c r="B28" s="6" t="s">
        <v>282</v>
      </c>
      <c r="C28" s="6" t="s">
        <v>282</v>
      </c>
      <c r="D28" s="7">
        <v>4059359</v>
      </c>
      <c r="E28" s="199">
        <v>4295</v>
      </c>
      <c r="F28" s="199">
        <v>3218</v>
      </c>
      <c r="G28" s="199">
        <v>2336</v>
      </c>
      <c r="H28" s="199">
        <v>0</v>
      </c>
      <c r="I28" s="199">
        <v>1880</v>
      </c>
      <c r="J28" s="199">
        <v>1578</v>
      </c>
      <c r="K28" s="199">
        <v>1635</v>
      </c>
      <c r="L28" s="199">
        <v>1480</v>
      </c>
      <c r="M28" s="199">
        <v>1447</v>
      </c>
      <c r="N28" s="199">
        <v>1419</v>
      </c>
      <c r="O28" s="199">
        <v>1526</v>
      </c>
      <c r="P28" s="199">
        <v>1640</v>
      </c>
      <c r="Q28" s="199">
        <v>1807</v>
      </c>
      <c r="R28" s="199">
        <v>1730</v>
      </c>
      <c r="S28" s="199">
        <v>1750</v>
      </c>
      <c r="T28" s="199">
        <v>1772</v>
      </c>
      <c r="U28" s="199">
        <v>1656</v>
      </c>
      <c r="V28" s="199" t="s">
        <v>175</v>
      </c>
      <c r="W28" s="199" t="s">
        <v>175</v>
      </c>
      <c r="X28" s="199" t="s">
        <v>175</v>
      </c>
      <c r="Y28" s="199" t="s">
        <v>175</v>
      </c>
      <c r="Z28" s="199" t="s">
        <v>175</v>
      </c>
      <c r="AA28" s="199">
        <v>831</v>
      </c>
      <c r="AB28" s="199">
        <v>679</v>
      </c>
      <c r="AC28" s="199" t="s">
        <v>175</v>
      </c>
      <c r="AD28" s="199" t="s">
        <v>175</v>
      </c>
    </row>
    <row r="29" spans="1:30">
      <c r="A29" s="1" t="s">
        <v>275</v>
      </c>
      <c r="B29" s="6" t="s">
        <v>180</v>
      </c>
      <c r="C29" s="6" t="s">
        <v>180</v>
      </c>
      <c r="D29" s="7">
        <v>4059402</v>
      </c>
      <c r="E29" s="199">
        <v>27537</v>
      </c>
      <c r="F29" s="199">
        <v>24618</v>
      </c>
      <c r="G29" s="199">
        <v>23909</v>
      </c>
      <c r="H29" s="199">
        <v>22431</v>
      </c>
      <c r="I29" s="199" t="s">
        <v>175</v>
      </c>
      <c r="J29" s="199">
        <v>19928</v>
      </c>
      <c r="K29" s="199">
        <v>18981</v>
      </c>
      <c r="L29" s="199">
        <v>17529</v>
      </c>
      <c r="M29" s="199">
        <v>16822</v>
      </c>
      <c r="N29" s="199">
        <v>16854</v>
      </c>
      <c r="O29" s="199">
        <v>16733</v>
      </c>
      <c r="P29" s="199">
        <v>14581</v>
      </c>
      <c r="Q29" s="199">
        <v>14097</v>
      </c>
      <c r="R29" s="199">
        <v>13004</v>
      </c>
      <c r="S29" s="199">
        <v>12053</v>
      </c>
      <c r="T29" s="199">
        <v>12044</v>
      </c>
      <c r="U29" s="199">
        <v>10637</v>
      </c>
      <c r="V29" s="199">
        <v>25749</v>
      </c>
      <c r="W29" s="199" t="s">
        <v>175</v>
      </c>
      <c r="X29" s="199" t="s">
        <v>175</v>
      </c>
      <c r="Y29" s="199" t="s">
        <v>175</v>
      </c>
      <c r="Z29" s="199">
        <v>19455</v>
      </c>
      <c r="AA29" s="199">
        <v>16390</v>
      </c>
      <c r="AB29" s="199">
        <v>15305</v>
      </c>
      <c r="AC29" s="199">
        <v>13307</v>
      </c>
      <c r="AD29" s="199">
        <v>13549</v>
      </c>
    </row>
    <row r="30" spans="1:30">
      <c r="A30" s="1" t="s">
        <v>275</v>
      </c>
      <c r="B30" s="6" t="s">
        <v>182</v>
      </c>
      <c r="C30" s="6" t="s">
        <v>182</v>
      </c>
      <c r="D30" s="7">
        <v>4057080</v>
      </c>
      <c r="E30" s="199">
        <v>1405</v>
      </c>
      <c r="F30" s="199">
        <v>0</v>
      </c>
      <c r="G30" s="199">
        <v>0</v>
      </c>
      <c r="H30" s="199">
        <v>0</v>
      </c>
      <c r="I30" s="199">
        <v>-1</v>
      </c>
      <c r="J30" s="199">
        <v>0</v>
      </c>
      <c r="K30" s="199">
        <v>0</v>
      </c>
      <c r="L30" s="199">
        <v>5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</row>
    <row r="31" spans="1:30">
      <c r="B31" s="6" t="s">
        <v>183</v>
      </c>
      <c r="C31" s="6" t="s">
        <v>183</v>
      </c>
      <c r="D31" s="7">
        <v>4057081</v>
      </c>
      <c r="E31" s="199">
        <v>103586</v>
      </c>
      <c r="F31" s="199">
        <v>86867</v>
      </c>
      <c r="G31" s="199">
        <v>73755</v>
      </c>
      <c r="H31" s="199">
        <v>61821</v>
      </c>
      <c r="I31" s="199">
        <v>53270</v>
      </c>
      <c r="J31" s="199">
        <v>45932</v>
      </c>
      <c r="K31" s="199">
        <v>40492</v>
      </c>
      <c r="L31" s="199">
        <v>38751</v>
      </c>
      <c r="M31" s="199">
        <v>34927</v>
      </c>
      <c r="N31" s="199">
        <v>32081</v>
      </c>
      <c r="O31" s="199">
        <v>27958</v>
      </c>
      <c r="P31" s="199">
        <v>26980</v>
      </c>
      <c r="Q31" s="199">
        <v>28665</v>
      </c>
      <c r="R31" s="199">
        <v>26055</v>
      </c>
      <c r="S31" s="199">
        <v>24459</v>
      </c>
      <c r="T31" s="199">
        <v>26737</v>
      </c>
      <c r="U31" s="199">
        <v>24724</v>
      </c>
      <c r="V31" s="199">
        <v>24418</v>
      </c>
      <c r="W31" s="199">
        <v>22042</v>
      </c>
      <c r="X31" s="199">
        <v>17836</v>
      </c>
      <c r="Y31" s="199">
        <v>22487</v>
      </c>
      <c r="Z31" s="199">
        <v>23036</v>
      </c>
      <c r="AA31" s="199">
        <v>21272</v>
      </c>
      <c r="AB31" s="199">
        <v>15225</v>
      </c>
      <c r="AC31" s="199">
        <v>18620</v>
      </c>
      <c r="AD31" s="199">
        <v>15110</v>
      </c>
    </row>
    <row r="32" spans="1:30">
      <c r="A32" s="1" t="s">
        <v>275</v>
      </c>
      <c r="B32" s="6" t="s">
        <v>185</v>
      </c>
      <c r="C32" s="6" t="s">
        <v>185</v>
      </c>
      <c r="D32" s="7">
        <v>4059459</v>
      </c>
      <c r="E32" s="199">
        <v>8379</v>
      </c>
      <c r="F32" s="199">
        <v>8862</v>
      </c>
      <c r="G32" s="199">
        <v>8501</v>
      </c>
      <c r="H32" s="199">
        <v>8027</v>
      </c>
      <c r="I32" s="199">
        <v>10250</v>
      </c>
      <c r="J32" s="199">
        <v>6428</v>
      </c>
      <c r="K32" s="199">
        <v>5892</v>
      </c>
      <c r="L32" s="199">
        <v>5134</v>
      </c>
      <c r="M32" s="199">
        <v>5004</v>
      </c>
      <c r="N32" s="199">
        <v>4956</v>
      </c>
      <c r="O32" s="199">
        <v>4910</v>
      </c>
      <c r="P32" s="199">
        <v>4916</v>
      </c>
      <c r="Q32" s="199">
        <v>3687</v>
      </c>
      <c r="R32" s="199">
        <v>3501</v>
      </c>
      <c r="S32" s="199">
        <v>3321</v>
      </c>
      <c r="T32" s="199">
        <v>3128</v>
      </c>
      <c r="U32" s="199">
        <v>2900</v>
      </c>
      <c r="V32" s="199">
        <v>2689</v>
      </c>
      <c r="W32" s="199">
        <v>2573</v>
      </c>
      <c r="X32" s="199">
        <v>2376</v>
      </c>
      <c r="Y32" s="199">
        <v>2247</v>
      </c>
      <c r="Z32" s="199">
        <v>2039</v>
      </c>
      <c r="AA32" s="199">
        <v>2414</v>
      </c>
      <c r="AB32" s="199">
        <v>2150</v>
      </c>
      <c r="AC32" s="199">
        <v>1867</v>
      </c>
      <c r="AD32" s="199">
        <v>1713</v>
      </c>
    </row>
    <row r="33" spans="2:30">
      <c r="B33" s="6" t="s">
        <v>186</v>
      </c>
      <c r="C33" s="6" t="s">
        <v>186</v>
      </c>
      <c r="D33" s="7">
        <v>4057118</v>
      </c>
      <c r="E33" s="199">
        <v>10855</v>
      </c>
      <c r="F33" s="199">
        <v>10595</v>
      </c>
      <c r="G33" s="199">
        <v>9902</v>
      </c>
      <c r="H33" s="199">
        <v>13647</v>
      </c>
      <c r="I33" s="199">
        <v>13451</v>
      </c>
      <c r="J33" s="199">
        <v>13240</v>
      </c>
      <c r="K33" s="199">
        <v>12909</v>
      </c>
      <c r="L33" s="199">
        <v>12810</v>
      </c>
      <c r="M33" s="199">
        <v>12517</v>
      </c>
      <c r="N33" s="199">
        <v>11912</v>
      </c>
      <c r="O33" s="199">
        <v>11570</v>
      </c>
      <c r="P33" s="199">
        <v>10824</v>
      </c>
      <c r="Q33" s="199">
        <v>10536</v>
      </c>
      <c r="R33" s="199">
        <v>10252</v>
      </c>
      <c r="S33" s="199">
        <v>9156</v>
      </c>
      <c r="T33" s="199">
        <v>9689</v>
      </c>
      <c r="U33" s="199">
        <v>9640</v>
      </c>
      <c r="V33" s="199">
        <v>9655</v>
      </c>
      <c r="W33" s="199">
        <v>9247</v>
      </c>
      <c r="X33" s="199">
        <v>9281</v>
      </c>
      <c r="Y33" s="199">
        <v>8847</v>
      </c>
      <c r="Z33" s="199">
        <v>8098</v>
      </c>
      <c r="AA33" s="199">
        <v>7576</v>
      </c>
      <c r="AB33" s="199">
        <v>6458</v>
      </c>
      <c r="AC33" s="199">
        <v>5685</v>
      </c>
      <c r="AD33" s="199">
        <v>5093</v>
      </c>
    </row>
    <row r="34" spans="2:30">
      <c r="B34" s="6" t="s">
        <v>188</v>
      </c>
      <c r="C34" s="6" t="s">
        <v>188</v>
      </c>
      <c r="D34" s="7">
        <v>4057126</v>
      </c>
      <c r="E34" s="199">
        <v>97732</v>
      </c>
      <c r="F34" s="199">
        <v>112061</v>
      </c>
      <c r="G34" s="199">
        <v>120680</v>
      </c>
      <c r="H34" s="199">
        <v>113687</v>
      </c>
      <c r="I34" s="199">
        <v>108012</v>
      </c>
      <c r="J34" s="199">
        <v>114292</v>
      </c>
      <c r="K34" s="199">
        <v>117870</v>
      </c>
      <c r="L34" s="199">
        <v>123573</v>
      </c>
      <c r="M34" s="199">
        <v>131682</v>
      </c>
      <c r="N34" s="199">
        <v>147981</v>
      </c>
      <c r="O34" s="199">
        <v>147062</v>
      </c>
      <c r="P34" s="199">
        <v>160857</v>
      </c>
      <c r="Q34" s="199">
        <v>207680</v>
      </c>
      <c r="R34" s="199">
        <v>194922</v>
      </c>
      <c r="S34" s="199">
        <v>182394</v>
      </c>
      <c r="T34" s="199">
        <v>166820</v>
      </c>
      <c r="U34" s="199">
        <v>141319</v>
      </c>
      <c r="V34" s="199">
        <v>137328</v>
      </c>
      <c r="W34" s="199">
        <v>145195</v>
      </c>
      <c r="X34" s="199">
        <v>127549</v>
      </c>
      <c r="Y34" s="199">
        <v>118070</v>
      </c>
      <c r="Z34" s="199">
        <v>113171</v>
      </c>
      <c r="AA34" s="199">
        <v>97435</v>
      </c>
      <c r="AB34" s="199">
        <v>87320</v>
      </c>
      <c r="AC34" s="199">
        <v>84741</v>
      </c>
      <c r="AD34" s="199">
        <v>74150</v>
      </c>
    </row>
    <row r="35" spans="2:30">
      <c r="B35" s="6" t="s">
        <v>283</v>
      </c>
      <c r="C35" s="6" t="s">
        <v>283</v>
      </c>
      <c r="D35" s="7">
        <v>4057103</v>
      </c>
      <c r="E35" s="199" t="s">
        <v>175</v>
      </c>
      <c r="F35" s="199">
        <v>80</v>
      </c>
      <c r="G35" s="199">
        <v>-112</v>
      </c>
      <c r="H35" s="199">
        <v>12</v>
      </c>
      <c r="I35" s="199" t="s">
        <v>175</v>
      </c>
      <c r="J35" s="199">
        <v>60</v>
      </c>
      <c r="K35" s="199">
        <v>60</v>
      </c>
      <c r="L35" s="199">
        <v>60</v>
      </c>
      <c r="M35" s="199">
        <v>60</v>
      </c>
      <c r="N35" s="199">
        <v>60</v>
      </c>
      <c r="O35" s="199">
        <v>325</v>
      </c>
      <c r="P35" s="199">
        <v>47</v>
      </c>
      <c r="Q35" s="199">
        <v>46</v>
      </c>
      <c r="R35" s="199">
        <v>46</v>
      </c>
      <c r="S35" s="199">
        <v>46</v>
      </c>
      <c r="T35" s="199">
        <v>46</v>
      </c>
      <c r="U35" s="199">
        <v>46</v>
      </c>
      <c r="V35" s="199">
        <v>151</v>
      </c>
      <c r="W35" s="199">
        <v>189</v>
      </c>
      <c r="X35" s="199" t="s">
        <v>175</v>
      </c>
      <c r="Y35" s="199" t="s">
        <v>175</v>
      </c>
      <c r="Z35" s="199">
        <v>1625</v>
      </c>
      <c r="AA35" s="199">
        <v>1505</v>
      </c>
      <c r="AB35" s="199">
        <v>1414</v>
      </c>
      <c r="AC35" s="199">
        <v>2033</v>
      </c>
      <c r="AD35" s="199">
        <v>1924</v>
      </c>
    </row>
    <row r="36" spans="2:30">
      <c r="B36" s="6" t="s">
        <v>189</v>
      </c>
      <c r="C36" s="6" t="s">
        <v>189</v>
      </c>
      <c r="D36" s="7">
        <v>4057079</v>
      </c>
      <c r="E36" s="199">
        <v>24961</v>
      </c>
      <c r="F36" s="199">
        <v>22111</v>
      </c>
      <c r="G36" s="199">
        <v>18069</v>
      </c>
      <c r="H36" s="199">
        <v>15532</v>
      </c>
      <c r="I36" s="199">
        <v>13257</v>
      </c>
      <c r="J36" s="199">
        <v>11170</v>
      </c>
      <c r="K36" s="199">
        <v>8681</v>
      </c>
      <c r="L36" s="199">
        <v>6208</v>
      </c>
      <c r="M36" s="199">
        <v>4131</v>
      </c>
      <c r="N36" s="199">
        <v>1260</v>
      </c>
      <c r="O36" s="199">
        <v>2047</v>
      </c>
      <c r="P36" s="199">
        <v>971</v>
      </c>
      <c r="Q36" s="199">
        <v>881</v>
      </c>
      <c r="R36" s="199">
        <v>791</v>
      </c>
      <c r="S36" s="199">
        <v>678</v>
      </c>
      <c r="T36" s="199">
        <v>398</v>
      </c>
      <c r="U36" s="199">
        <v>46</v>
      </c>
      <c r="V36" s="199">
        <v>1034</v>
      </c>
      <c r="W36" s="199">
        <v>2037</v>
      </c>
      <c r="X36" s="199">
        <v>2856</v>
      </c>
      <c r="Y36" s="199">
        <v>4910</v>
      </c>
      <c r="Z36" s="199">
        <v>4720</v>
      </c>
      <c r="AA36" s="199">
        <v>4678</v>
      </c>
      <c r="AB36" s="199">
        <v>4625</v>
      </c>
      <c r="AC36" s="199">
        <v>6773</v>
      </c>
      <c r="AD36" s="199">
        <v>6101</v>
      </c>
    </row>
    <row r="37" spans="2:30">
      <c r="B37" s="6" t="s">
        <v>284</v>
      </c>
      <c r="C37" s="6" t="s">
        <v>285</v>
      </c>
      <c r="D37" s="7">
        <v>4081251</v>
      </c>
      <c r="E37" s="199" t="s">
        <v>175</v>
      </c>
      <c r="F37" s="199" t="s">
        <v>175</v>
      </c>
      <c r="G37" s="199" t="s">
        <v>175</v>
      </c>
      <c r="H37" s="199" t="s">
        <v>175</v>
      </c>
      <c r="I37" s="199" t="s">
        <v>175</v>
      </c>
      <c r="J37" s="199" t="s">
        <v>175</v>
      </c>
      <c r="K37" s="199" t="s">
        <v>175</v>
      </c>
      <c r="L37" s="199" t="s">
        <v>175</v>
      </c>
      <c r="M37" s="199" t="s">
        <v>175</v>
      </c>
      <c r="N37" s="199" t="s">
        <v>175</v>
      </c>
      <c r="O37" s="199" t="s">
        <v>175</v>
      </c>
      <c r="P37" s="199" t="s">
        <v>175</v>
      </c>
      <c r="Q37" s="199" t="s">
        <v>175</v>
      </c>
      <c r="R37" s="199" t="s">
        <v>175</v>
      </c>
      <c r="S37" s="199" t="s">
        <v>175</v>
      </c>
      <c r="T37" s="199" t="s">
        <v>175</v>
      </c>
      <c r="U37" s="199" t="s">
        <v>175</v>
      </c>
      <c r="V37" s="199" t="s">
        <v>175</v>
      </c>
      <c r="W37" s="199" t="s">
        <v>175</v>
      </c>
      <c r="X37" s="199" t="s">
        <v>175</v>
      </c>
      <c r="Y37" s="199" t="s">
        <v>175</v>
      </c>
      <c r="Z37" s="199" t="s">
        <v>175</v>
      </c>
      <c r="AA37" s="199" t="s">
        <v>175</v>
      </c>
      <c r="AB37" s="199" t="s">
        <v>175</v>
      </c>
      <c r="AC37" s="199" t="s">
        <v>175</v>
      </c>
      <c r="AD37" s="199" t="s">
        <v>175</v>
      </c>
    </row>
    <row r="38" spans="2:30">
      <c r="B38" s="6" t="s">
        <v>286</v>
      </c>
      <c r="C38" s="6" t="s">
        <v>286</v>
      </c>
      <c r="D38" s="7">
        <v>4060572</v>
      </c>
      <c r="E38" s="199">
        <v>4121</v>
      </c>
      <c r="F38" s="199">
        <v>2085</v>
      </c>
      <c r="G38" s="199">
        <v>3353</v>
      </c>
      <c r="H38" s="199">
        <v>2400</v>
      </c>
      <c r="I38" s="199">
        <v>3136</v>
      </c>
      <c r="J38" s="199">
        <v>3816</v>
      </c>
      <c r="K38" s="199">
        <v>3713</v>
      </c>
      <c r="L38" s="199">
        <v>3944</v>
      </c>
      <c r="M38" s="199">
        <v>4236</v>
      </c>
      <c r="N38" s="199">
        <v>4031</v>
      </c>
      <c r="O38" s="199">
        <v>3737</v>
      </c>
      <c r="P38" s="199">
        <v>3391</v>
      </c>
      <c r="Q38" s="199">
        <v>3712</v>
      </c>
      <c r="R38" s="199">
        <v>3823</v>
      </c>
      <c r="S38" s="199">
        <v>3772</v>
      </c>
      <c r="T38" s="199">
        <v>6168</v>
      </c>
      <c r="U38" s="199">
        <v>5785</v>
      </c>
      <c r="V38" s="199">
        <v>5572</v>
      </c>
      <c r="W38" s="199" t="s">
        <v>175</v>
      </c>
      <c r="X38" s="199" t="s">
        <v>175</v>
      </c>
      <c r="Y38" s="199" t="s">
        <v>175</v>
      </c>
      <c r="Z38" s="199" t="s">
        <v>175</v>
      </c>
      <c r="AA38" s="199" t="s">
        <v>175</v>
      </c>
      <c r="AB38" s="199">
        <v>4139</v>
      </c>
      <c r="AC38" s="199">
        <v>3478</v>
      </c>
      <c r="AD38" s="199" t="s">
        <v>175</v>
      </c>
    </row>
    <row r="39" spans="2:30">
      <c r="B39" s="6" t="s">
        <v>287</v>
      </c>
      <c r="C39" s="6" t="s">
        <v>287</v>
      </c>
      <c r="D39" s="7">
        <v>4083318</v>
      </c>
      <c r="E39" s="199">
        <v>2350</v>
      </c>
      <c r="F39" s="199">
        <v>2294</v>
      </c>
      <c r="G39" s="199">
        <v>2402</v>
      </c>
      <c r="H39" s="199">
        <v>2402</v>
      </c>
      <c r="I39" s="199">
        <v>2289</v>
      </c>
      <c r="J39" s="199">
        <v>2070</v>
      </c>
      <c r="K39" s="199">
        <v>1954</v>
      </c>
      <c r="L39" s="199">
        <v>1823</v>
      </c>
      <c r="M39" s="199">
        <v>1686</v>
      </c>
      <c r="N39" s="199">
        <v>1467</v>
      </c>
      <c r="O39" s="199">
        <v>1467</v>
      </c>
      <c r="P39" s="199">
        <v>1457</v>
      </c>
      <c r="Q39" s="199">
        <v>1340</v>
      </c>
      <c r="R39" s="199" t="s">
        <v>175</v>
      </c>
      <c r="S39" s="199" t="s">
        <v>175</v>
      </c>
      <c r="T39" s="199" t="s">
        <v>175</v>
      </c>
      <c r="U39" s="199">
        <v>1118</v>
      </c>
      <c r="V39" s="199">
        <v>963</v>
      </c>
      <c r="W39" s="199">
        <v>1076</v>
      </c>
      <c r="X39" s="199" t="s">
        <v>175</v>
      </c>
      <c r="Y39" s="199" t="s">
        <v>175</v>
      </c>
      <c r="Z39" s="199" t="s">
        <v>175</v>
      </c>
      <c r="AA39" s="199" t="s">
        <v>175</v>
      </c>
      <c r="AB39" s="199" t="s">
        <v>175</v>
      </c>
      <c r="AC39" s="199">
        <v>862</v>
      </c>
      <c r="AD39" s="199">
        <v>825</v>
      </c>
    </row>
    <row r="40" spans="2:30">
      <c r="B40" s="6" t="s">
        <v>288</v>
      </c>
      <c r="C40" s="6" t="s">
        <v>288</v>
      </c>
      <c r="D40" s="7">
        <v>4057125</v>
      </c>
      <c r="E40" s="199" t="s">
        <v>175</v>
      </c>
      <c r="F40" s="199" t="s">
        <v>175</v>
      </c>
      <c r="G40" s="199" t="s">
        <v>175</v>
      </c>
      <c r="H40" s="199" t="s">
        <v>175</v>
      </c>
      <c r="I40" s="199" t="s">
        <v>175</v>
      </c>
      <c r="J40" s="199" t="s">
        <v>175</v>
      </c>
      <c r="K40" s="199" t="s">
        <v>175</v>
      </c>
      <c r="L40" s="199" t="s">
        <v>175</v>
      </c>
      <c r="M40" s="199" t="s">
        <v>175</v>
      </c>
      <c r="N40" s="199" t="s">
        <v>175</v>
      </c>
      <c r="O40" s="199" t="s">
        <v>175</v>
      </c>
      <c r="P40" s="199" t="s">
        <v>175</v>
      </c>
      <c r="Q40" s="199" t="s">
        <v>175</v>
      </c>
      <c r="R40" s="199" t="s">
        <v>175</v>
      </c>
      <c r="S40" s="199" t="s">
        <v>175</v>
      </c>
      <c r="T40" s="199" t="s">
        <v>175</v>
      </c>
      <c r="U40" s="199" t="s">
        <v>175</v>
      </c>
      <c r="V40" s="199" t="s">
        <v>175</v>
      </c>
      <c r="W40" s="199" t="s">
        <v>175</v>
      </c>
      <c r="X40" s="199" t="s">
        <v>175</v>
      </c>
      <c r="Y40" s="199" t="s">
        <v>175</v>
      </c>
      <c r="Z40" s="199" t="s">
        <v>175</v>
      </c>
      <c r="AA40" s="199" t="s">
        <v>175</v>
      </c>
      <c r="AB40" s="199" t="s">
        <v>175</v>
      </c>
      <c r="AC40" s="199" t="s">
        <v>175</v>
      </c>
      <c r="AD40" s="199" t="s">
        <v>175</v>
      </c>
    </row>
    <row r="41" spans="2:30">
      <c r="B41" s="6" t="s">
        <v>289</v>
      </c>
      <c r="C41" s="6" t="s">
        <v>289</v>
      </c>
      <c r="D41" s="7">
        <v>4087741</v>
      </c>
      <c r="E41" s="199" t="s">
        <v>175</v>
      </c>
      <c r="F41" s="199" t="s">
        <v>175</v>
      </c>
      <c r="G41" s="199">
        <v>44615</v>
      </c>
      <c r="H41" s="199">
        <v>43197</v>
      </c>
      <c r="I41" s="199">
        <v>42805</v>
      </c>
      <c r="J41" s="199">
        <v>41081</v>
      </c>
      <c r="K41" s="199">
        <v>39548</v>
      </c>
      <c r="L41" s="199">
        <v>36029</v>
      </c>
      <c r="M41" s="199">
        <v>38139</v>
      </c>
      <c r="N41" s="199">
        <v>33253</v>
      </c>
      <c r="O41" s="199">
        <v>33093</v>
      </c>
      <c r="P41" s="199">
        <v>31445</v>
      </c>
      <c r="Q41" s="199">
        <v>33481</v>
      </c>
      <c r="R41" s="199">
        <v>30974</v>
      </c>
      <c r="S41" s="199">
        <v>40129</v>
      </c>
      <c r="T41" s="199">
        <v>38418</v>
      </c>
      <c r="U41" s="199">
        <v>33041</v>
      </c>
      <c r="V41" s="199">
        <v>27740</v>
      </c>
      <c r="W41" s="199">
        <v>27573</v>
      </c>
      <c r="X41" s="199" t="s">
        <v>175</v>
      </c>
      <c r="Y41" s="199">
        <v>18268</v>
      </c>
      <c r="Z41" s="199" t="s">
        <v>175</v>
      </c>
      <c r="AA41" s="199" t="s">
        <v>175</v>
      </c>
      <c r="AB41" s="199" t="s">
        <v>175</v>
      </c>
      <c r="AC41" s="199" t="s">
        <v>175</v>
      </c>
      <c r="AD41" s="199" t="s">
        <v>175</v>
      </c>
    </row>
    <row r="42" spans="2:30">
      <c r="B42" s="6" t="s">
        <v>290</v>
      </c>
      <c r="C42" s="6" t="s">
        <v>290</v>
      </c>
      <c r="D42" s="7">
        <v>4059875</v>
      </c>
      <c r="E42" s="199">
        <v>31423</v>
      </c>
      <c r="F42" s="199">
        <v>21311</v>
      </c>
      <c r="G42" s="199">
        <v>18705</v>
      </c>
      <c r="H42" s="199">
        <v>4924</v>
      </c>
      <c r="I42" s="199">
        <v>10932</v>
      </c>
      <c r="J42" s="199">
        <v>8280</v>
      </c>
      <c r="K42" s="199">
        <v>3663</v>
      </c>
      <c r="L42" s="199">
        <v>3562</v>
      </c>
      <c r="M42" s="199" t="s">
        <v>175</v>
      </c>
      <c r="N42" s="199" t="s">
        <v>175</v>
      </c>
      <c r="O42" s="199" t="s">
        <v>175</v>
      </c>
      <c r="P42" s="199" t="s">
        <v>175</v>
      </c>
      <c r="Q42" s="199" t="s">
        <v>175</v>
      </c>
      <c r="R42" s="199" t="s">
        <v>175</v>
      </c>
      <c r="S42" s="199" t="s">
        <v>175</v>
      </c>
      <c r="T42" s="199" t="s">
        <v>175</v>
      </c>
      <c r="U42" s="199" t="s">
        <v>175</v>
      </c>
      <c r="V42" s="199">
        <v>81</v>
      </c>
      <c r="W42" s="199" t="s">
        <v>175</v>
      </c>
      <c r="X42" s="199" t="s">
        <v>175</v>
      </c>
      <c r="Y42" s="199" t="s">
        <v>175</v>
      </c>
      <c r="Z42" s="199" t="s">
        <v>175</v>
      </c>
      <c r="AA42" s="199" t="s">
        <v>175</v>
      </c>
      <c r="AB42" s="199" t="s">
        <v>175</v>
      </c>
      <c r="AC42" s="199" t="s">
        <v>175</v>
      </c>
      <c r="AD42" s="199" t="s">
        <v>175</v>
      </c>
    </row>
    <row r="43" spans="2:30">
      <c r="B43" s="6" t="s">
        <v>190</v>
      </c>
      <c r="C43" s="6" t="s">
        <v>190</v>
      </c>
      <c r="D43" s="7">
        <v>4057090</v>
      </c>
      <c r="E43" s="199">
        <v>6136</v>
      </c>
      <c r="F43" s="199">
        <v>6051</v>
      </c>
      <c r="G43" s="199">
        <v>5843</v>
      </c>
      <c r="H43" s="199">
        <v>5689</v>
      </c>
      <c r="I43" s="199">
        <v>5752</v>
      </c>
      <c r="J43" s="199">
        <v>5601</v>
      </c>
      <c r="K43" s="199">
        <v>5462</v>
      </c>
      <c r="L43" s="199">
        <v>5130</v>
      </c>
      <c r="M43" s="199">
        <v>4868</v>
      </c>
      <c r="N43" s="199">
        <v>4788</v>
      </c>
      <c r="O43" s="199">
        <v>-172</v>
      </c>
      <c r="P43" s="199">
        <v>6249</v>
      </c>
      <c r="Q43" s="199">
        <v>5911</v>
      </c>
      <c r="R43" s="199">
        <v>5623</v>
      </c>
      <c r="S43" s="199">
        <v>6789</v>
      </c>
      <c r="T43" s="199">
        <v>6413</v>
      </c>
      <c r="U43" s="199">
        <v>5886</v>
      </c>
      <c r="V43" s="199">
        <v>4923</v>
      </c>
      <c r="W43" s="199">
        <v>4988</v>
      </c>
      <c r="X43" s="199">
        <v>6260</v>
      </c>
      <c r="Y43" s="199">
        <v>6753</v>
      </c>
      <c r="Z43" s="199">
        <v>6414</v>
      </c>
      <c r="AA43" s="199">
        <v>5927</v>
      </c>
      <c r="AB43" s="199">
        <v>6690</v>
      </c>
      <c r="AC43" s="199">
        <v>5726</v>
      </c>
      <c r="AD43" s="199" t="s">
        <v>175</v>
      </c>
    </row>
    <row r="44" spans="2:30">
      <c r="B44" s="6" t="s">
        <v>191</v>
      </c>
      <c r="C44" s="6" t="s">
        <v>191</v>
      </c>
      <c r="D44" s="7">
        <v>4008754</v>
      </c>
      <c r="E44" s="199">
        <v>2851</v>
      </c>
      <c r="F44" s="199">
        <v>2479</v>
      </c>
      <c r="G44" s="199">
        <v>1640</v>
      </c>
      <c r="H44" s="199">
        <v>1531</v>
      </c>
      <c r="I44" s="199">
        <v>1535</v>
      </c>
      <c r="J44" s="199">
        <v>2814</v>
      </c>
      <c r="K44" s="199">
        <v>2643</v>
      </c>
      <c r="L44" s="199">
        <v>2324</v>
      </c>
      <c r="M44" s="199">
        <v>2090</v>
      </c>
      <c r="N44" s="199">
        <v>1975</v>
      </c>
      <c r="O44" s="199">
        <v>1762</v>
      </c>
      <c r="P44" s="199">
        <v>1797</v>
      </c>
      <c r="Q44" s="199">
        <v>1661</v>
      </c>
      <c r="R44" s="199">
        <v>1539</v>
      </c>
      <c r="S44" s="199">
        <v>1684</v>
      </c>
      <c r="T44" s="199">
        <v>1524</v>
      </c>
      <c r="U44" s="199">
        <v>1997</v>
      </c>
      <c r="V44" s="199">
        <v>2488</v>
      </c>
      <c r="W44" s="199">
        <v>2772</v>
      </c>
      <c r="X44" s="199">
        <v>3192</v>
      </c>
      <c r="Y44" s="199">
        <v>3580</v>
      </c>
      <c r="Z44" s="199">
        <v>3934</v>
      </c>
      <c r="AA44" s="199">
        <v>4304</v>
      </c>
      <c r="AB44" s="199">
        <v>4691</v>
      </c>
      <c r="AC44" s="199">
        <v>5743</v>
      </c>
      <c r="AD44" s="199">
        <v>6114</v>
      </c>
    </row>
    <row r="45" spans="2:30">
      <c r="B45" s="6" t="s">
        <v>291</v>
      </c>
      <c r="C45" s="6" t="s">
        <v>291</v>
      </c>
      <c r="D45" s="7">
        <v>4061474</v>
      </c>
      <c r="E45" s="199" t="s">
        <v>175</v>
      </c>
      <c r="F45" s="199" t="s">
        <v>175</v>
      </c>
      <c r="G45" s="199" t="s">
        <v>175</v>
      </c>
      <c r="H45" s="199" t="s">
        <v>175</v>
      </c>
      <c r="I45" s="199" t="s">
        <v>175</v>
      </c>
      <c r="J45" s="199" t="s">
        <v>175</v>
      </c>
      <c r="K45" s="199" t="s">
        <v>175</v>
      </c>
      <c r="L45" s="199" t="s">
        <v>175</v>
      </c>
      <c r="M45" s="199" t="s">
        <v>175</v>
      </c>
      <c r="N45" s="199" t="s">
        <v>175</v>
      </c>
      <c r="O45" s="199" t="s">
        <v>175</v>
      </c>
      <c r="P45" s="199" t="s">
        <v>175</v>
      </c>
      <c r="Q45" s="199" t="s">
        <v>175</v>
      </c>
      <c r="R45" s="199" t="s">
        <v>175</v>
      </c>
      <c r="S45" s="199" t="s">
        <v>175</v>
      </c>
      <c r="T45" s="199" t="s">
        <v>175</v>
      </c>
      <c r="U45" s="199" t="s">
        <v>175</v>
      </c>
      <c r="V45" s="199" t="s">
        <v>175</v>
      </c>
      <c r="W45" s="199" t="s">
        <v>175</v>
      </c>
      <c r="X45" s="199" t="s">
        <v>175</v>
      </c>
      <c r="Y45" s="199" t="s">
        <v>175</v>
      </c>
      <c r="Z45" s="199" t="s">
        <v>175</v>
      </c>
      <c r="AA45" s="199" t="s">
        <v>175</v>
      </c>
      <c r="AB45" s="199" t="s">
        <v>175</v>
      </c>
      <c r="AC45" s="199" t="s">
        <v>175</v>
      </c>
      <c r="AD45" s="199" t="s">
        <v>175</v>
      </c>
    </row>
    <row r="46" spans="2:30">
      <c r="B46" s="6" t="s">
        <v>292</v>
      </c>
      <c r="C46" s="6" t="s">
        <v>292</v>
      </c>
      <c r="D46" s="7">
        <v>4076679</v>
      </c>
      <c r="E46" s="199">
        <v>1807</v>
      </c>
      <c r="F46" s="199">
        <v>1836</v>
      </c>
      <c r="G46" s="199">
        <v>1708</v>
      </c>
      <c r="H46" s="199">
        <v>1597</v>
      </c>
      <c r="I46" s="199">
        <v>1492</v>
      </c>
      <c r="J46" s="199">
        <v>1447</v>
      </c>
      <c r="K46" s="199">
        <v>1418</v>
      </c>
      <c r="L46" s="199">
        <v>1332</v>
      </c>
      <c r="M46" s="199">
        <v>1238</v>
      </c>
      <c r="N46" s="199">
        <v>1150</v>
      </c>
      <c r="O46" s="199">
        <v>1055</v>
      </c>
      <c r="P46" s="199">
        <v>995</v>
      </c>
      <c r="Q46" s="199">
        <v>940</v>
      </c>
      <c r="R46" s="199">
        <v>943</v>
      </c>
      <c r="S46" s="199">
        <v>854</v>
      </c>
      <c r="T46" s="199">
        <v>761</v>
      </c>
      <c r="U46" s="199">
        <v>665</v>
      </c>
      <c r="V46" s="199">
        <v>576</v>
      </c>
      <c r="W46" s="199">
        <v>501</v>
      </c>
      <c r="X46" s="199">
        <v>441</v>
      </c>
      <c r="Y46" s="199">
        <v>379</v>
      </c>
      <c r="Z46" s="199" t="s">
        <v>175</v>
      </c>
      <c r="AA46" s="199" t="s">
        <v>175</v>
      </c>
      <c r="AB46" s="199" t="s">
        <v>175</v>
      </c>
      <c r="AC46" s="199" t="s">
        <v>175</v>
      </c>
      <c r="AD46" s="199" t="s">
        <v>175</v>
      </c>
    </row>
    <row r="47" spans="2:30">
      <c r="B47" s="6" t="s">
        <v>193</v>
      </c>
      <c r="C47" s="6" t="s">
        <v>193</v>
      </c>
      <c r="D47" s="7">
        <v>4061634</v>
      </c>
      <c r="E47" s="199">
        <v>16969</v>
      </c>
      <c r="F47" s="199">
        <v>16057</v>
      </c>
      <c r="G47" s="199">
        <v>15621</v>
      </c>
      <c r="H47" s="199">
        <v>15161</v>
      </c>
      <c r="I47" s="199">
        <v>14706</v>
      </c>
      <c r="J47" s="199">
        <v>17518</v>
      </c>
      <c r="K47" s="199">
        <v>18360</v>
      </c>
      <c r="L47" s="199">
        <v>17835</v>
      </c>
      <c r="M47" s="199">
        <v>18099</v>
      </c>
      <c r="N47" s="199">
        <v>19613</v>
      </c>
      <c r="O47" s="199">
        <v>20724</v>
      </c>
      <c r="P47" s="199">
        <v>19848</v>
      </c>
      <c r="Q47" s="199">
        <v>20162</v>
      </c>
      <c r="R47" s="199" t="s">
        <v>175</v>
      </c>
      <c r="S47" s="199" t="s">
        <v>175</v>
      </c>
      <c r="T47" s="199" t="s">
        <v>175</v>
      </c>
      <c r="U47" s="199">
        <v>30024</v>
      </c>
      <c r="V47" s="199" t="s">
        <v>175</v>
      </c>
      <c r="W47" s="199" t="s">
        <v>175</v>
      </c>
      <c r="X47" s="199" t="s">
        <v>175</v>
      </c>
      <c r="Y47" s="199" t="s">
        <v>175</v>
      </c>
      <c r="Z47" s="199">
        <v>18124</v>
      </c>
      <c r="AA47" s="199">
        <v>14938</v>
      </c>
      <c r="AB47" s="199">
        <v>13461</v>
      </c>
      <c r="AC47" s="199">
        <v>11298</v>
      </c>
      <c r="AD47" s="199">
        <v>10309</v>
      </c>
    </row>
    <row r="48" spans="2:30">
      <c r="B48" s="6" t="s">
        <v>194</v>
      </c>
      <c r="C48" s="6" t="s">
        <v>194</v>
      </c>
      <c r="D48" s="7">
        <v>4061687</v>
      </c>
      <c r="E48" s="199">
        <v>83504</v>
      </c>
      <c r="F48" s="199">
        <v>74445</v>
      </c>
      <c r="G48" s="199">
        <v>65899</v>
      </c>
      <c r="H48" s="199">
        <v>55721</v>
      </c>
      <c r="I48" s="199">
        <v>46294</v>
      </c>
      <c r="J48" s="199">
        <v>42604</v>
      </c>
      <c r="K48" s="199">
        <v>38572</v>
      </c>
      <c r="L48" s="199">
        <v>35772</v>
      </c>
      <c r="M48" s="199">
        <v>33495</v>
      </c>
      <c r="N48" s="199">
        <v>32935</v>
      </c>
      <c r="O48" s="199">
        <v>29457</v>
      </c>
      <c r="P48" s="199">
        <v>26368</v>
      </c>
      <c r="Q48" s="199">
        <v>24536</v>
      </c>
      <c r="R48" s="199">
        <v>20454</v>
      </c>
      <c r="S48" s="199">
        <v>7734</v>
      </c>
      <c r="T48" s="199">
        <v>14008</v>
      </c>
      <c r="U48" s="199">
        <v>12120</v>
      </c>
      <c r="V48" s="199">
        <v>12420</v>
      </c>
      <c r="W48" s="199">
        <v>12062</v>
      </c>
      <c r="X48" s="199">
        <v>7116</v>
      </c>
      <c r="Y48" s="199" t="s">
        <v>175</v>
      </c>
      <c r="Z48" s="199">
        <v>9189</v>
      </c>
      <c r="AA48" s="199">
        <v>8006</v>
      </c>
      <c r="AB48" s="199">
        <v>9294</v>
      </c>
      <c r="AC48" s="199">
        <v>10547</v>
      </c>
      <c r="AD48" s="199">
        <v>10017</v>
      </c>
    </row>
    <row r="49" spans="1:30">
      <c r="A49" s="1" t="s">
        <v>275</v>
      </c>
      <c r="B49" s="6" t="s">
        <v>195</v>
      </c>
      <c r="C49" s="6" t="s">
        <v>195</v>
      </c>
      <c r="D49" s="7">
        <v>4061755</v>
      </c>
      <c r="E49" s="199">
        <v>71238</v>
      </c>
      <c r="F49" s="199">
        <v>64304</v>
      </c>
      <c r="G49" s="199">
        <v>70191</v>
      </c>
      <c r="H49" s="199">
        <v>57941</v>
      </c>
      <c r="I49" s="199">
        <v>45913</v>
      </c>
      <c r="J49" s="199">
        <v>37325</v>
      </c>
      <c r="K49" s="199">
        <v>32063</v>
      </c>
      <c r="L49" s="199">
        <v>30468</v>
      </c>
      <c r="M49" s="199">
        <v>26187</v>
      </c>
      <c r="N49" s="199">
        <v>23779</v>
      </c>
      <c r="O49" s="199">
        <v>47079</v>
      </c>
      <c r="P49" s="199">
        <v>47079</v>
      </c>
      <c r="Q49" s="199">
        <v>45525</v>
      </c>
      <c r="R49" s="199">
        <v>43212</v>
      </c>
      <c r="S49" s="199">
        <v>40666</v>
      </c>
      <c r="T49" s="199">
        <v>43574</v>
      </c>
      <c r="U49" s="199">
        <v>43384</v>
      </c>
      <c r="V49" s="199">
        <v>44428</v>
      </c>
      <c r="W49" s="199">
        <v>40463</v>
      </c>
      <c r="X49" s="199">
        <v>36388</v>
      </c>
      <c r="Y49" s="199">
        <v>30882</v>
      </c>
      <c r="Z49" s="199">
        <v>34286</v>
      </c>
      <c r="AA49" s="199">
        <v>28080</v>
      </c>
      <c r="AB49" s="199">
        <v>23005</v>
      </c>
      <c r="AC49" s="199">
        <v>17536</v>
      </c>
      <c r="AD49" s="199">
        <v>16262</v>
      </c>
    </row>
    <row r="50" spans="1:30">
      <c r="A50" s="1" t="s">
        <v>275</v>
      </c>
      <c r="B50" s="6" t="s">
        <v>197</v>
      </c>
      <c r="C50" s="6" t="s">
        <v>197</v>
      </c>
      <c r="D50" s="7">
        <v>4004389</v>
      </c>
      <c r="E50" s="199">
        <v>14458</v>
      </c>
      <c r="F50" s="199">
        <v>13800</v>
      </c>
      <c r="G50" s="199">
        <v>13184</v>
      </c>
      <c r="H50" s="199">
        <v>12394</v>
      </c>
      <c r="I50" s="199">
        <v>11713</v>
      </c>
      <c r="J50" s="199">
        <v>10763</v>
      </c>
      <c r="K50" s="199">
        <v>10517</v>
      </c>
      <c r="L50" s="199">
        <v>13684</v>
      </c>
      <c r="M50" s="199">
        <v>12438</v>
      </c>
      <c r="N50" s="199">
        <v>11237</v>
      </c>
      <c r="O50" s="199">
        <v>12960</v>
      </c>
      <c r="P50" s="199">
        <v>11642</v>
      </c>
      <c r="Q50" s="199">
        <v>10858</v>
      </c>
      <c r="R50" s="199">
        <v>9922</v>
      </c>
      <c r="S50" s="199">
        <v>8699</v>
      </c>
      <c r="T50" s="199">
        <v>7606</v>
      </c>
      <c r="U50" s="199">
        <v>7708</v>
      </c>
      <c r="V50" s="199">
        <v>11105</v>
      </c>
      <c r="W50" s="199">
        <v>11028</v>
      </c>
      <c r="X50" s="199">
        <v>9968</v>
      </c>
      <c r="Y50" s="199" t="s">
        <v>175</v>
      </c>
      <c r="Z50" s="199">
        <v>7229</v>
      </c>
      <c r="AA50" s="199">
        <v>6693</v>
      </c>
      <c r="AB50" s="199">
        <v>6648</v>
      </c>
      <c r="AC50" s="199">
        <v>5069</v>
      </c>
      <c r="AD50" s="199">
        <v>4329</v>
      </c>
    </row>
    <row r="51" spans="1:30">
      <c r="A51" s="1" t="s">
        <v>275</v>
      </c>
      <c r="B51" s="6" t="s">
        <v>198</v>
      </c>
      <c r="C51" s="6" t="s">
        <v>198</v>
      </c>
      <c r="D51" s="7">
        <v>4057014</v>
      </c>
      <c r="E51" s="199">
        <v>45271</v>
      </c>
      <c r="F51" s="199">
        <v>44074</v>
      </c>
      <c r="G51" s="199">
        <v>42178</v>
      </c>
      <c r="H51" s="199">
        <v>38991</v>
      </c>
      <c r="I51" s="199">
        <v>35456</v>
      </c>
      <c r="J51" s="199">
        <v>43358</v>
      </c>
      <c r="K51" s="199">
        <v>39470</v>
      </c>
      <c r="L51" s="199">
        <v>35662</v>
      </c>
      <c r="M51" s="199">
        <v>46323</v>
      </c>
      <c r="N51" s="199">
        <v>28635</v>
      </c>
      <c r="O51" s="199">
        <v>25090</v>
      </c>
      <c r="P51" s="199">
        <v>21871</v>
      </c>
      <c r="Q51" s="199">
        <v>29144</v>
      </c>
      <c r="R51" s="199">
        <v>25231</v>
      </c>
      <c r="S51" s="199">
        <v>13187</v>
      </c>
      <c r="T51" s="199">
        <v>17256</v>
      </c>
      <c r="U51" s="199">
        <v>15132</v>
      </c>
      <c r="V51" s="199">
        <v>12731</v>
      </c>
      <c r="W51" s="199">
        <v>15954</v>
      </c>
      <c r="X51" s="199">
        <v>13655</v>
      </c>
      <c r="Y51" s="199">
        <v>9841</v>
      </c>
      <c r="Z51" s="199">
        <v>7314</v>
      </c>
      <c r="AA51" s="199" t="s">
        <v>175</v>
      </c>
      <c r="AB51" s="199">
        <v>4722</v>
      </c>
      <c r="AC51" s="199">
        <v>2516</v>
      </c>
      <c r="AD51" s="199">
        <v>999</v>
      </c>
    </row>
    <row r="52" spans="1:30">
      <c r="B52" s="6" t="s">
        <v>199</v>
      </c>
      <c r="C52" s="6" t="s">
        <v>199</v>
      </c>
      <c r="D52" s="7">
        <v>4057130</v>
      </c>
      <c r="E52" s="199">
        <v>8137</v>
      </c>
      <c r="F52" s="199">
        <v>7687</v>
      </c>
      <c r="G52" s="199">
        <v>7650</v>
      </c>
      <c r="H52" s="199">
        <v>7440</v>
      </c>
      <c r="I52" s="199">
        <v>7188</v>
      </c>
      <c r="J52" s="199">
        <v>9016</v>
      </c>
      <c r="K52" s="199">
        <v>8623</v>
      </c>
      <c r="L52" s="199">
        <v>7852</v>
      </c>
      <c r="M52" s="199">
        <v>7390</v>
      </c>
      <c r="N52" s="199">
        <v>6974</v>
      </c>
      <c r="O52" s="199">
        <v>7033</v>
      </c>
      <c r="P52" s="199">
        <v>9230</v>
      </c>
      <c r="Q52" s="199">
        <v>8678</v>
      </c>
      <c r="R52" s="199">
        <v>7832</v>
      </c>
      <c r="S52" s="199">
        <v>8643</v>
      </c>
      <c r="T52" s="199">
        <v>8500</v>
      </c>
      <c r="U52" s="199">
        <v>9205</v>
      </c>
      <c r="V52" s="199">
        <v>8525</v>
      </c>
      <c r="W52" s="199">
        <v>8484</v>
      </c>
      <c r="X52" s="199">
        <v>8356</v>
      </c>
      <c r="Y52" s="199">
        <v>8211</v>
      </c>
      <c r="Z52" s="199">
        <v>7879</v>
      </c>
      <c r="AA52" s="199">
        <v>7165</v>
      </c>
      <c r="AB52" s="199">
        <v>6343</v>
      </c>
      <c r="AC52" s="199">
        <v>6081</v>
      </c>
      <c r="AD52" s="199" t="s">
        <v>175</v>
      </c>
    </row>
    <row r="53" spans="1:30">
      <c r="B53" s="6" t="s">
        <v>201</v>
      </c>
      <c r="C53" s="6" t="s">
        <v>201</v>
      </c>
      <c r="D53" s="7">
        <v>4057131</v>
      </c>
      <c r="E53" s="199">
        <v>174352</v>
      </c>
      <c r="F53" s="199">
        <v>163976</v>
      </c>
      <c r="G53" s="199">
        <v>151760</v>
      </c>
      <c r="H53" s="199">
        <v>145649</v>
      </c>
      <c r="I53" s="199">
        <v>150737</v>
      </c>
      <c r="J53" s="199">
        <v>157151</v>
      </c>
      <c r="K53" s="199">
        <v>158457</v>
      </c>
      <c r="L53" s="199">
        <v>155472</v>
      </c>
      <c r="M53" s="199">
        <v>208885</v>
      </c>
      <c r="N53" s="199">
        <v>200428</v>
      </c>
      <c r="O53" s="199">
        <v>183792</v>
      </c>
      <c r="P53" s="199">
        <v>172593</v>
      </c>
      <c r="Q53" s="199">
        <v>159930</v>
      </c>
      <c r="R53" s="199">
        <v>143255</v>
      </c>
      <c r="S53" s="199">
        <v>126980</v>
      </c>
      <c r="T53" s="199">
        <v>130135</v>
      </c>
      <c r="U53" s="199">
        <v>126079</v>
      </c>
      <c r="V53" s="199">
        <v>116381</v>
      </c>
      <c r="W53" s="199">
        <v>108022</v>
      </c>
      <c r="X53" s="199">
        <v>100711</v>
      </c>
      <c r="Y53" s="199">
        <v>99562</v>
      </c>
      <c r="Z53" s="199">
        <v>91914</v>
      </c>
      <c r="AA53" s="199">
        <v>82123</v>
      </c>
      <c r="AB53" s="199">
        <v>72017</v>
      </c>
      <c r="AC53" s="199">
        <v>64515</v>
      </c>
      <c r="AD53" s="199">
        <v>55809</v>
      </c>
    </row>
    <row r="54" spans="1:30">
      <c r="B54" s="6" t="s">
        <v>202</v>
      </c>
      <c r="C54" s="6" t="s">
        <v>202</v>
      </c>
      <c r="D54" s="7">
        <v>4012860</v>
      </c>
      <c r="E54" s="199">
        <v>-77207</v>
      </c>
      <c r="F54" s="199">
        <v>-59933</v>
      </c>
      <c r="G54" s="199">
        <v>-39625</v>
      </c>
      <c r="H54" s="199">
        <v>-6494</v>
      </c>
      <c r="I54" s="199">
        <v>6020</v>
      </c>
      <c r="J54" s="199">
        <v>21757</v>
      </c>
      <c r="K54" s="199">
        <v>24840</v>
      </c>
      <c r="L54" s="199">
        <v>30381</v>
      </c>
      <c r="M54" s="199">
        <v>33278</v>
      </c>
      <c r="N54" s="199">
        <v>40576</v>
      </c>
      <c r="O54" s="199">
        <v>36658</v>
      </c>
      <c r="P54" s="199">
        <v>38248</v>
      </c>
      <c r="Q54" s="199">
        <v>39348</v>
      </c>
      <c r="R54" s="199">
        <v>40600</v>
      </c>
      <c r="S54" s="199">
        <v>46327</v>
      </c>
      <c r="T54" s="199">
        <v>45731</v>
      </c>
      <c r="U54" s="199">
        <v>43241</v>
      </c>
      <c r="V54" s="199">
        <v>46909</v>
      </c>
      <c r="W54" s="199">
        <v>43750</v>
      </c>
      <c r="X54" s="199">
        <v>107836</v>
      </c>
      <c r="Y54" s="199">
        <v>39483</v>
      </c>
      <c r="Z54" s="199">
        <v>37753</v>
      </c>
      <c r="AA54" s="199">
        <v>34463</v>
      </c>
      <c r="AB54" s="199">
        <v>31240</v>
      </c>
      <c r="AC54" s="199">
        <v>32819</v>
      </c>
      <c r="AD54" s="199">
        <v>37579</v>
      </c>
    </row>
    <row r="55" spans="1:30">
      <c r="B55" s="6" t="s">
        <v>204</v>
      </c>
      <c r="C55" s="6" t="s">
        <v>205</v>
      </c>
      <c r="D55" s="7">
        <v>4061925</v>
      </c>
      <c r="E55" s="199">
        <v>12124</v>
      </c>
      <c r="F55" s="199">
        <v>11171</v>
      </c>
      <c r="G55" s="199">
        <v>9618</v>
      </c>
      <c r="H55" s="199">
        <v>9852</v>
      </c>
      <c r="I55" s="199">
        <v>8692</v>
      </c>
      <c r="J55" s="199">
        <v>8289</v>
      </c>
      <c r="K55" s="199">
        <v>6300</v>
      </c>
      <c r="L55" s="199">
        <v>5081</v>
      </c>
      <c r="M55" s="199">
        <v>4639</v>
      </c>
      <c r="N55" s="199">
        <v>4215</v>
      </c>
      <c r="O55" s="199">
        <v>3450</v>
      </c>
      <c r="P55" s="199">
        <v>3212</v>
      </c>
      <c r="Q55" s="199">
        <v>2081</v>
      </c>
      <c r="R55" s="199">
        <v>1879</v>
      </c>
      <c r="S55" s="199">
        <v>1976</v>
      </c>
      <c r="T55" s="199">
        <v>1738</v>
      </c>
      <c r="U55" s="199">
        <v>1533</v>
      </c>
      <c r="V55" s="199">
        <v>1348</v>
      </c>
      <c r="W55" s="199">
        <v>1535</v>
      </c>
      <c r="X55" s="199">
        <v>1445</v>
      </c>
      <c r="Y55" s="199">
        <v>1349</v>
      </c>
      <c r="Z55" s="199">
        <v>1248</v>
      </c>
      <c r="AA55" s="199">
        <v>1459</v>
      </c>
      <c r="AB55" s="199">
        <v>1152</v>
      </c>
      <c r="AC55" s="199">
        <v>1128</v>
      </c>
      <c r="AD55" s="199">
        <v>1098</v>
      </c>
    </row>
    <row r="56" spans="1:30">
      <c r="B56" s="6" t="s">
        <v>293</v>
      </c>
      <c r="C56" s="6" t="s">
        <v>293</v>
      </c>
      <c r="D56" s="7">
        <v>4057132</v>
      </c>
      <c r="E56" s="199" t="s">
        <v>175</v>
      </c>
      <c r="F56" s="199" t="s">
        <v>175</v>
      </c>
      <c r="G56" s="199" t="s">
        <v>175</v>
      </c>
      <c r="H56" s="199">
        <v>126728</v>
      </c>
      <c r="I56" s="199">
        <v>119532</v>
      </c>
      <c r="J56" s="199">
        <v>118388</v>
      </c>
      <c r="K56" s="199">
        <v>118935</v>
      </c>
      <c r="L56" s="199">
        <v>135401</v>
      </c>
      <c r="M56" s="199">
        <v>128985</v>
      </c>
      <c r="N56" s="199">
        <v>119935</v>
      </c>
      <c r="O56" s="199">
        <v>112051</v>
      </c>
      <c r="P56" s="199">
        <v>112074</v>
      </c>
      <c r="Q56" s="199">
        <v>106838</v>
      </c>
      <c r="R56" s="199" t="s">
        <v>175</v>
      </c>
      <c r="S56" s="199" t="s">
        <v>175</v>
      </c>
      <c r="T56" s="199" t="s">
        <v>175</v>
      </c>
      <c r="U56" s="199" t="s">
        <v>175</v>
      </c>
      <c r="V56" s="199" t="s">
        <v>175</v>
      </c>
      <c r="W56" s="199">
        <v>25516</v>
      </c>
      <c r="X56" s="199">
        <v>21135</v>
      </c>
      <c r="Y56" s="199">
        <v>24206</v>
      </c>
      <c r="Z56" s="199">
        <v>31090</v>
      </c>
      <c r="AA56" s="199">
        <v>22523</v>
      </c>
      <c r="AB56" s="199">
        <v>19837</v>
      </c>
      <c r="AC56" s="199">
        <v>17643</v>
      </c>
      <c r="AD56" s="199">
        <v>16899</v>
      </c>
    </row>
    <row r="57" spans="1:30">
      <c r="A57" s="1" t="s">
        <v>275</v>
      </c>
      <c r="B57" s="6" t="s">
        <v>294</v>
      </c>
      <c r="C57" s="6" t="s">
        <v>294</v>
      </c>
      <c r="D57" s="7">
        <v>4057115</v>
      </c>
      <c r="E57" s="199" t="s">
        <v>175</v>
      </c>
      <c r="F57" s="199" t="s">
        <v>175</v>
      </c>
      <c r="G57" s="199" t="s">
        <v>175</v>
      </c>
      <c r="H57" s="199" t="s">
        <v>175</v>
      </c>
      <c r="I57" s="199" t="s">
        <v>175</v>
      </c>
      <c r="J57" s="199" t="s">
        <v>175</v>
      </c>
      <c r="K57" s="199" t="s">
        <v>175</v>
      </c>
      <c r="L57" s="199" t="s">
        <v>175</v>
      </c>
      <c r="M57" s="199" t="s">
        <v>175</v>
      </c>
      <c r="N57" s="199" t="s">
        <v>175</v>
      </c>
      <c r="O57" s="199" t="s">
        <v>175</v>
      </c>
      <c r="P57" s="199" t="s">
        <v>175</v>
      </c>
      <c r="Q57" s="199" t="s">
        <v>175</v>
      </c>
      <c r="R57" s="199" t="s">
        <v>175</v>
      </c>
      <c r="S57" s="199" t="s">
        <v>175</v>
      </c>
      <c r="T57" s="199" t="s">
        <v>175</v>
      </c>
      <c r="U57" s="199" t="s">
        <v>175</v>
      </c>
      <c r="V57" s="199" t="s">
        <v>175</v>
      </c>
      <c r="W57" s="199" t="s">
        <v>175</v>
      </c>
      <c r="X57" s="199" t="s">
        <v>175</v>
      </c>
      <c r="Y57" s="199" t="s">
        <v>175</v>
      </c>
      <c r="Z57" s="199" t="s">
        <v>175</v>
      </c>
      <c r="AA57" s="199" t="s">
        <v>175</v>
      </c>
      <c r="AB57" s="199" t="s">
        <v>175</v>
      </c>
      <c r="AC57" s="199" t="s">
        <v>175</v>
      </c>
      <c r="AD57" s="199" t="s">
        <v>175</v>
      </c>
    </row>
    <row r="58" spans="1:30">
      <c r="B58" s="6" t="s">
        <v>206</v>
      </c>
      <c r="C58" s="6" t="s">
        <v>206</v>
      </c>
      <c r="D58" s="7">
        <v>4064479</v>
      </c>
      <c r="E58" s="199">
        <v>3218</v>
      </c>
      <c r="F58" s="199">
        <v>3176</v>
      </c>
      <c r="G58" s="199">
        <v>3071</v>
      </c>
      <c r="H58" s="199">
        <v>2913</v>
      </c>
      <c r="I58" s="199">
        <v>3495</v>
      </c>
      <c r="J58" s="199">
        <v>6038</v>
      </c>
      <c r="K58" s="199">
        <v>5521</v>
      </c>
      <c r="L58" s="199">
        <v>5083</v>
      </c>
      <c r="M58" s="199">
        <v>4508</v>
      </c>
      <c r="N58" s="199">
        <v>4021</v>
      </c>
      <c r="O58" s="199">
        <v>3705</v>
      </c>
      <c r="P58" s="199">
        <v>3336</v>
      </c>
      <c r="Q58" s="199">
        <v>2977</v>
      </c>
      <c r="R58" s="199">
        <v>2695</v>
      </c>
      <c r="S58" s="199">
        <v>2503</v>
      </c>
      <c r="T58" s="199">
        <v>2404</v>
      </c>
      <c r="U58" s="199">
        <v>2394</v>
      </c>
      <c r="V58" s="199">
        <v>2315</v>
      </c>
      <c r="W58" s="199">
        <v>1612</v>
      </c>
      <c r="X58" s="199">
        <v>2030</v>
      </c>
      <c r="Y58" s="199">
        <v>1936</v>
      </c>
      <c r="Z58" s="199">
        <v>1736</v>
      </c>
      <c r="AA58" s="199">
        <v>1601</v>
      </c>
      <c r="AB58" s="199">
        <v>1477</v>
      </c>
      <c r="AC58" s="199">
        <v>1351</v>
      </c>
      <c r="AD58" s="199">
        <v>1171</v>
      </c>
    </row>
    <row r="59" spans="1:30">
      <c r="B59" s="6" t="s">
        <v>295</v>
      </c>
      <c r="C59" s="6" t="s">
        <v>295</v>
      </c>
      <c r="D59" s="7">
        <v>4062025</v>
      </c>
      <c r="E59" s="199" t="s">
        <v>175</v>
      </c>
      <c r="F59" s="199" t="s">
        <v>175</v>
      </c>
      <c r="G59" s="199" t="s">
        <v>175</v>
      </c>
      <c r="H59" s="199" t="s">
        <v>175</v>
      </c>
      <c r="I59" s="199" t="s">
        <v>175</v>
      </c>
      <c r="J59" s="199" t="s">
        <v>175</v>
      </c>
      <c r="K59" s="199" t="s">
        <v>175</v>
      </c>
      <c r="L59" s="199" t="s">
        <v>175</v>
      </c>
      <c r="M59" s="199" t="s">
        <v>175</v>
      </c>
      <c r="N59" s="199" t="s">
        <v>175</v>
      </c>
      <c r="O59" s="199" t="s">
        <v>175</v>
      </c>
      <c r="P59" s="199" t="s">
        <v>175</v>
      </c>
      <c r="Q59" s="199" t="s">
        <v>175</v>
      </c>
      <c r="R59" s="199" t="s">
        <v>175</v>
      </c>
      <c r="S59" s="199" t="s">
        <v>175</v>
      </c>
      <c r="T59" s="199" t="s">
        <v>175</v>
      </c>
      <c r="U59" s="199" t="s">
        <v>175</v>
      </c>
      <c r="V59" s="199" t="s">
        <v>175</v>
      </c>
      <c r="W59" s="199" t="s">
        <v>175</v>
      </c>
      <c r="X59" s="199" t="s">
        <v>175</v>
      </c>
      <c r="Y59" s="199" t="s">
        <v>175</v>
      </c>
      <c r="Z59" s="199" t="s">
        <v>175</v>
      </c>
      <c r="AA59" s="199" t="s">
        <v>175</v>
      </c>
      <c r="AB59" s="199" t="s">
        <v>175</v>
      </c>
      <c r="AC59" s="199" t="s">
        <v>175</v>
      </c>
      <c r="AD59" s="199" t="s">
        <v>175</v>
      </c>
    </row>
    <row r="60" spans="1:30">
      <c r="B60" s="6" t="s">
        <v>296</v>
      </c>
      <c r="C60" s="6" t="s">
        <v>296</v>
      </c>
      <c r="D60" s="7">
        <v>4064481</v>
      </c>
      <c r="E60" s="199" t="s">
        <v>175</v>
      </c>
      <c r="F60" s="199" t="s">
        <v>175</v>
      </c>
      <c r="G60" s="199">
        <v>74083</v>
      </c>
      <c r="H60" s="199">
        <v>69708</v>
      </c>
      <c r="I60" s="199">
        <v>63149</v>
      </c>
      <c r="J60" s="199">
        <v>56979</v>
      </c>
      <c r="K60" s="199">
        <v>48953</v>
      </c>
      <c r="L60" s="199">
        <v>41555</v>
      </c>
      <c r="M60" s="199">
        <v>35465</v>
      </c>
      <c r="N60" s="199">
        <v>32301</v>
      </c>
      <c r="O60" s="199">
        <v>31761</v>
      </c>
      <c r="P60" s="199">
        <v>26696</v>
      </c>
      <c r="Q60" s="199">
        <v>24590</v>
      </c>
      <c r="R60" s="199">
        <v>21331</v>
      </c>
      <c r="S60" s="199">
        <v>19851</v>
      </c>
      <c r="T60" s="199">
        <v>24595</v>
      </c>
      <c r="U60" s="199">
        <v>40867</v>
      </c>
      <c r="V60" s="199">
        <v>47446</v>
      </c>
      <c r="W60" s="199">
        <v>49734</v>
      </c>
      <c r="X60" s="199">
        <v>44650</v>
      </c>
      <c r="Y60" s="199">
        <v>41104</v>
      </c>
      <c r="Z60" s="199">
        <v>37547</v>
      </c>
      <c r="AA60" s="199">
        <v>22493</v>
      </c>
      <c r="AB60" s="199">
        <v>33592</v>
      </c>
      <c r="AC60" s="199" t="s">
        <v>175</v>
      </c>
      <c r="AD60" s="199" t="s">
        <v>175</v>
      </c>
    </row>
    <row r="61" spans="1:30">
      <c r="A61" s="1" t="s">
        <v>275</v>
      </c>
      <c r="B61" s="6" t="s">
        <v>207</v>
      </c>
      <c r="C61" s="6" t="s">
        <v>207</v>
      </c>
      <c r="D61" s="7">
        <v>4057093</v>
      </c>
      <c r="E61" s="199">
        <v>9392</v>
      </c>
      <c r="F61" s="199">
        <v>9149</v>
      </c>
      <c r="G61" s="199">
        <v>21956</v>
      </c>
      <c r="H61" s="199">
        <v>20395</v>
      </c>
      <c r="I61" s="199">
        <v>18722</v>
      </c>
      <c r="J61" s="199">
        <v>16969</v>
      </c>
      <c r="K61" s="199">
        <v>15823</v>
      </c>
      <c r="L61" s="199">
        <v>15556</v>
      </c>
      <c r="M61" s="199">
        <v>14677</v>
      </c>
      <c r="N61" s="199">
        <v>13786</v>
      </c>
      <c r="O61" s="199">
        <v>13316</v>
      </c>
      <c r="P61" s="199">
        <v>13095</v>
      </c>
      <c r="Q61" s="199">
        <v>12065</v>
      </c>
      <c r="R61" s="199">
        <v>2352</v>
      </c>
      <c r="S61" s="199">
        <v>2562</v>
      </c>
      <c r="T61" s="199">
        <v>2987</v>
      </c>
      <c r="U61" s="199">
        <v>8461</v>
      </c>
      <c r="V61" s="199">
        <v>9215</v>
      </c>
      <c r="W61" s="199">
        <v>9664</v>
      </c>
      <c r="X61" s="199">
        <v>10417</v>
      </c>
      <c r="Y61" s="199">
        <v>10911</v>
      </c>
      <c r="Z61" s="199">
        <v>5482</v>
      </c>
      <c r="AA61" s="199">
        <v>6561</v>
      </c>
      <c r="AB61" s="199">
        <v>7759</v>
      </c>
      <c r="AC61" s="199">
        <v>9044</v>
      </c>
      <c r="AD61" s="199">
        <v>11759</v>
      </c>
    </row>
    <row r="62" spans="1:30">
      <c r="B62" s="6" t="s">
        <v>208</v>
      </c>
      <c r="C62" s="6" t="s">
        <v>208</v>
      </c>
      <c r="D62" s="7">
        <v>4004218</v>
      </c>
      <c r="E62" s="199">
        <v>87470</v>
      </c>
      <c r="F62" s="199">
        <v>78244</v>
      </c>
      <c r="G62" s="199">
        <v>65706</v>
      </c>
      <c r="H62" s="199">
        <v>52753</v>
      </c>
      <c r="I62" s="199">
        <v>41931</v>
      </c>
      <c r="J62" s="199">
        <v>34254</v>
      </c>
      <c r="K62" s="199">
        <v>38002</v>
      </c>
      <c r="L62" s="199">
        <v>31130</v>
      </c>
      <c r="M62" s="199">
        <v>26672</v>
      </c>
      <c r="N62" s="199">
        <v>25620</v>
      </c>
      <c r="O62" s="199">
        <v>30053</v>
      </c>
      <c r="P62" s="199">
        <v>28591</v>
      </c>
      <c r="Q62" s="199">
        <v>27583</v>
      </c>
      <c r="R62" s="199">
        <v>26046</v>
      </c>
      <c r="S62" s="199">
        <v>25795</v>
      </c>
      <c r="T62" s="199">
        <v>26337</v>
      </c>
      <c r="U62" s="199">
        <v>25631</v>
      </c>
      <c r="V62" s="199">
        <v>24396</v>
      </c>
      <c r="W62" s="199">
        <v>23580</v>
      </c>
      <c r="X62" s="199">
        <v>23112</v>
      </c>
      <c r="Y62" s="199">
        <v>21732</v>
      </c>
      <c r="Z62" s="199">
        <v>20711</v>
      </c>
      <c r="AA62" s="199">
        <v>19029</v>
      </c>
      <c r="AB62" s="199">
        <v>17180</v>
      </c>
      <c r="AC62" s="199">
        <v>15318</v>
      </c>
      <c r="AD62" s="199">
        <v>14093</v>
      </c>
    </row>
    <row r="63" spans="1:30">
      <c r="A63" s="1" t="s">
        <v>275</v>
      </c>
      <c r="B63" s="6" t="s">
        <v>297</v>
      </c>
      <c r="C63" s="6" t="s">
        <v>298</v>
      </c>
      <c r="D63" s="7">
        <v>4062222</v>
      </c>
      <c r="E63" s="199" t="s">
        <v>175</v>
      </c>
      <c r="F63" s="199" t="s">
        <v>175</v>
      </c>
      <c r="G63" s="199" t="s">
        <v>175</v>
      </c>
      <c r="H63" s="199" t="s">
        <v>175</v>
      </c>
      <c r="I63" s="199" t="s">
        <v>175</v>
      </c>
      <c r="J63" s="199" t="s">
        <v>175</v>
      </c>
      <c r="K63" s="199" t="s">
        <v>175</v>
      </c>
      <c r="L63" s="199" t="s">
        <v>175</v>
      </c>
      <c r="M63" s="199" t="s">
        <v>175</v>
      </c>
      <c r="N63" s="199" t="s">
        <v>175</v>
      </c>
      <c r="O63" s="199" t="s">
        <v>175</v>
      </c>
      <c r="P63" s="199" t="s">
        <v>175</v>
      </c>
      <c r="Q63" s="199" t="s">
        <v>175</v>
      </c>
      <c r="R63" s="199" t="s">
        <v>175</v>
      </c>
      <c r="S63" s="199" t="s">
        <v>175</v>
      </c>
      <c r="T63" s="199" t="s">
        <v>175</v>
      </c>
      <c r="U63" s="199" t="s">
        <v>175</v>
      </c>
      <c r="V63" s="199" t="s">
        <v>175</v>
      </c>
      <c r="W63" s="199" t="s">
        <v>175</v>
      </c>
      <c r="X63" s="199" t="s">
        <v>175</v>
      </c>
      <c r="Y63" s="199" t="s">
        <v>175</v>
      </c>
      <c r="Z63" s="199" t="s">
        <v>175</v>
      </c>
      <c r="AA63" s="199" t="s">
        <v>175</v>
      </c>
      <c r="AB63" s="199" t="s">
        <v>175</v>
      </c>
      <c r="AC63" s="199" t="s">
        <v>175</v>
      </c>
      <c r="AD63" s="199" t="s">
        <v>175</v>
      </c>
    </row>
    <row r="64" spans="1:30">
      <c r="B64" s="6" t="s">
        <v>210</v>
      </c>
      <c r="C64" s="6" t="s">
        <v>211</v>
      </c>
      <c r="D64" s="7">
        <v>4057135</v>
      </c>
      <c r="E64" s="199">
        <v>46257</v>
      </c>
      <c r="F64" s="199">
        <v>44152</v>
      </c>
      <c r="G64" s="199">
        <v>45419</v>
      </c>
      <c r="H64" s="199">
        <v>44651</v>
      </c>
      <c r="I64" s="199">
        <v>41884</v>
      </c>
      <c r="J64" s="199">
        <v>44479</v>
      </c>
      <c r="K64" s="199">
        <v>47025</v>
      </c>
      <c r="L64" s="199">
        <v>40659</v>
      </c>
      <c r="M64" s="199">
        <v>38159</v>
      </c>
      <c r="N64" s="199">
        <v>34180</v>
      </c>
      <c r="O64" s="199">
        <v>39023</v>
      </c>
      <c r="P64" s="199">
        <v>38654</v>
      </c>
      <c r="Q64" s="199">
        <v>34762</v>
      </c>
      <c r="R64" s="199">
        <v>46375</v>
      </c>
      <c r="S64" s="199">
        <v>47197</v>
      </c>
      <c r="T64" s="199">
        <v>46634</v>
      </c>
      <c r="U64" s="199">
        <v>80485</v>
      </c>
      <c r="V64" s="199">
        <v>74149</v>
      </c>
      <c r="W64" s="199">
        <v>66064</v>
      </c>
      <c r="X64" s="199">
        <v>57925</v>
      </c>
      <c r="Y64" s="199">
        <v>51763</v>
      </c>
      <c r="Z64" s="199">
        <v>52236</v>
      </c>
      <c r="AA64" s="199">
        <v>45858</v>
      </c>
      <c r="AB64" s="199">
        <v>39854</v>
      </c>
      <c r="AC64" s="199">
        <v>37528</v>
      </c>
      <c r="AD64" s="199">
        <v>34820</v>
      </c>
    </row>
    <row r="65" spans="1:30">
      <c r="B65" s="6" t="s">
        <v>212</v>
      </c>
      <c r="C65" s="6" t="s">
        <v>212</v>
      </c>
      <c r="D65" s="7">
        <v>4063341</v>
      </c>
      <c r="E65" s="199">
        <v>45131</v>
      </c>
      <c r="F65" s="199">
        <v>39601</v>
      </c>
      <c r="G65" s="199">
        <v>35263</v>
      </c>
      <c r="H65" s="199">
        <v>30446</v>
      </c>
      <c r="I65" s="199">
        <v>27669</v>
      </c>
      <c r="J65" s="199">
        <v>36385</v>
      </c>
      <c r="K65" s="199">
        <v>39163</v>
      </c>
      <c r="L65" s="199">
        <v>42296</v>
      </c>
      <c r="M65" s="199">
        <v>20578</v>
      </c>
      <c r="N65" s="199">
        <v>40714</v>
      </c>
      <c r="O65" s="199">
        <v>35432</v>
      </c>
      <c r="P65" s="199">
        <v>35414</v>
      </c>
      <c r="Q65" s="199">
        <v>35857</v>
      </c>
      <c r="R65" s="199">
        <v>3270</v>
      </c>
      <c r="S65" s="199">
        <v>32478</v>
      </c>
      <c r="T65" s="199">
        <v>30349</v>
      </c>
      <c r="U65" s="199">
        <v>26170</v>
      </c>
      <c r="V65" s="199">
        <v>25511</v>
      </c>
      <c r="W65" s="199">
        <v>18714</v>
      </c>
      <c r="X65" s="199" t="s">
        <v>175</v>
      </c>
      <c r="Y65" s="199" t="s">
        <v>175</v>
      </c>
      <c r="Z65" s="199">
        <v>19890</v>
      </c>
      <c r="AA65" s="199">
        <v>18643</v>
      </c>
      <c r="AB65" s="199" t="s">
        <v>175</v>
      </c>
      <c r="AC65" s="199" t="s">
        <v>175</v>
      </c>
      <c r="AD65" s="199" t="s">
        <v>175</v>
      </c>
    </row>
    <row r="66" spans="1:30">
      <c r="A66" s="1" t="s">
        <v>275</v>
      </c>
      <c r="B66" s="6" t="s">
        <v>299</v>
      </c>
      <c r="C66" s="6" t="s">
        <v>299</v>
      </c>
      <c r="D66" s="7">
        <v>4083575</v>
      </c>
      <c r="E66" s="199" t="s">
        <v>175</v>
      </c>
      <c r="F66" s="199" t="s">
        <v>175</v>
      </c>
      <c r="G66" s="199" t="s">
        <v>175</v>
      </c>
      <c r="H66" s="199" t="s">
        <v>175</v>
      </c>
      <c r="I66" s="199" t="s">
        <v>175</v>
      </c>
      <c r="J66" s="199" t="s">
        <v>175</v>
      </c>
      <c r="K66" s="199" t="s">
        <v>175</v>
      </c>
      <c r="L66" s="199" t="s">
        <v>175</v>
      </c>
      <c r="M66" s="199" t="s">
        <v>175</v>
      </c>
      <c r="N66" s="199" t="s">
        <v>175</v>
      </c>
      <c r="O66" s="199" t="s">
        <v>175</v>
      </c>
      <c r="P66" s="199" t="s">
        <v>175</v>
      </c>
      <c r="Q66" s="199" t="s">
        <v>175</v>
      </c>
      <c r="R66" s="199" t="s">
        <v>175</v>
      </c>
      <c r="S66" s="199" t="s">
        <v>175</v>
      </c>
      <c r="T66" s="199" t="s">
        <v>175</v>
      </c>
      <c r="U66" s="199" t="s">
        <v>175</v>
      </c>
      <c r="V66" s="199" t="s">
        <v>175</v>
      </c>
      <c r="W66" s="199" t="s">
        <v>175</v>
      </c>
      <c r="X66" s="199" t="s">
        <v>175</v>
      </c>
      <c r="Y66" s="199" t="s">
        <v>175</v>
      </c>
      <c r="Z66" s="199" t="s">
        <v>175</v>
      </c>
      <c r="AA66" s="199" t="s">
        <v>175</v>
      </c>
      <c r="AB66" s="199" t="s">
        <v>175</v>
      </c>
      <c r="AC66" s="199" t="s">
        <v>175</v>
      </c>
      <c r="AD66" s="199" t="s">
        <v>175</v>
      </c>
    </row>
    <row r="67" spans="1:30">
      <c r="B67" s="6" t="s">
        <v>300</v>
      </c>
      <c r="C67" s="6" t="s">
        <v>300</v>
      </c>
      <c r="D67" s="7">
        <v>4062303</v>
      </c>
      <c r="E67" s="199" t="s">
        <v>175</v>
      </c>
      <c r="F67" s="199" t="s">
        <v>175</v>
      </c>
      <c r="G67" s="199" t="s">
        <v>175</v>
      </c>
      <c r="H67" s="199" t="s">
        <v>175</v>
      </c>
      <c r="I67" s="199" t="s">
        <v>175</v>
      </c>
      <c r="J67" s="199" t="s">
        <v>175</v>
      </c>
      <c r="K67" s="199" t="s">
        <v>175</v>
      </c>
      <c r="L67" s="199" t="s">
        <v>175</v>
      </c>
      <c r="M67" s="199" t="s">
        <v>175</v>
      </c>
      <c r="N67" s="199" t="s">
        <v>175</v>
      </c>
      <c r="O67" s="199" t="s">
        <v>175</v>
      </c>
      <c r="P67" s="199" t="s">
        <v>175</v>
      </c>
      <c r="Q67" s="199" t="s">
        <v>175</v>
      </c>
      <c r="R67" s="199" t="s">
        <v>175</v>
      </c>
      <c r="S67" s="199" t="s">
        <v>175</v>
      </c>
      <c r="T67" s="199" t="s">
        <v>175</v>
      </c>
      <c r="U67" s="199" t="s">
        <v>175</v>
      </c>
      <c r="V67" s="199" t="s">
        <v>175</v>
      </c>
      <c r="W67" s="199" t="s">
        <v>175</v>
      </c>
      <c r="X67" s="199" t="s">
        <v>175</v>
      </c>
      <c r="Y67" s="199" t="s">
        <v>175</v>
      </c>
      <c r="Z67" s="199" t="s">
        <v>175</v>
      </c>
      <c r="AA67" s="199" t="s">
        <v>175</v>
      </c>
      <c r="AB67" s="199" t="s">
        <v>175</v>
      </c>
      <c r="AC67" s="199" t="s">
        <v>175</v>
      </c>
      <c r="AD67" s="199" t="s">
        <v>175</v>
      </c>
    </row>
    <row r="68" spans="1:30">
      <c r="B68" s="6" t="s">
        <v>301</v>
      </c>
      <c r="C68" s="6" t="s">
        <v>301</v>
      </c>
      <c r="D68" s="7">
        <v>4083581</v>
      </c>
      <c r="E68" s="199">
        <v>411</v>
      </c>
      <c r="F68" s="199">
        <v>377</v>
      </c>
      <c r="G68" s="199">
        <v>339</v>
      </c>
      <c r="H68" s="199">
        <v>291</v>
      </c>
      <c r="I68" s="199">
        <v>243</v>
      </c>
      <c r="J68" s="199">
        <v>183</v>
      </c>
      <c r="K68" s="199">
        <v>127</v>
      </c>
      <c r="L68" s="199">
        <v>832</v>
      </c>
      <c r="M68" s="199">
        <v>832</v>
      </c>
      <c r="N68" s="199">
        <v>843</v>
      </c>
      <c r="O68" s="199">
        <v>689</v>
      </c>
      <c r="P68" s="199">
        <v>642</v>
      </c>
      <c r="Q68" s="199">
        <v>612</v>
      </c>
      <c r="R68" s="199">
        <v>585</v>
      </c>
      <c r="S68" s="199">
        <v>536</v>
      </c>
      <c r="T68" s="199">
        <v>529</v>
      </c>
      <c r="U68" s="199">
        <v>493</v>
      </c>
      <c r="V68" s="199">
        <v>485</v>
      </c>
      <c r="W68" s="199">
        <v>495</v>
      </c>
      <c r="X68" s="199">
        <v>446</v>
      </c>
      <c r="Y68" s="199" t="s">
        <v>175</v>
      </c>
      <c r="Z68" s="199" t="s">
        <v>175</v>
      </c>
      <c r="AA68" s="199" t="s">
        <v>175</v>
      </c>
      <c r="AB68" s="199" t="s">
        <v>175</v>
      </c>
      <c r="AC68" s="199" t="s">
        <v>175</v>
      </c>
      <c r="AD68" s="199" t="s">
        <v>175</v>
      </c>
    </row>
    <row r="69" spans="1:30">
      <c r="B69" s="6" t="s">
        <v>214</v>
      </c>
      <c r="C69" s="6" t="s">
        <v>214</v>
      </c>
      <c r="D69" s="7">
        <v>4057139</v>
      </c>
      <c r="E69" s="199">
        <v>42983</v>
      </c>
      <c r="F69" s="199">
        <v>35874</v>
      </c>
      <c r="G69" s="199">
        <v>32522</v>
      </c>
      <c r="H69" s="199">
        <v>23274</v>
      </c>
      <c r="I69" s="199">
        <v>16813</v>
      </c>
      <c r="J69" s="199">
        <v>17547</v>
      </c>
      <c r="K69" s="199">
        <v>20688</v>
      </c>
      <c r="L69" s="199">
        <v>19384</v>
      </c>
      <c r="M69" s="199">
        <v>21439</v>
      </c>
      <c r="N69" s="199">
        <v>25005</v>
      </c>
      <c r="O69" s="199">
        <v>28237</v>
      </c>
      <c r="P69" s="199">
        <v>30020</v>
      </c>
      <c r="Q69" s="199">
        <v>28188</v>
      </c>
      <c r="R69" s="199">
        <v>28555</v>
      </c>
      <c r="S69" s="199">
        <v>38301</v>
      </c>
      <c r="T69" s="199">
        <v>34896</v>
      </c>
      <c r="U69" s="199">
        <v>33531</v>
      </c>
      <c r="V69" s="199">
        <v>43843</v>
      </c>
      <c r="W69" s="199">
        <v>51880</v>
      </c>
      <c r="X69" s="199">
        <v>44288</v>
      </c>
      <c r="Y69" s="199">
        <v>31121</v>
      </c>
      <c r="Z69" s="199">
        <v>37540</v>
      </c>
      <c r="AA69" s="199">
        <v>0</v>
      </c>
      <c r="AB69" s="199">
        <v>33944</v>
      </c>
      <c r="AC69" s="199">
        <v>29714</v>
      </c>
      <c r="AD69" s="199">
        <v>26446</v>
      </c>
    </row>
    <row r="70" spans="1:30">
      <c r="A70" s="1" t="s">
        <v>275</v>
      </c>
      <c r="B70" s="6" t="s">
        <v>216</v>
      </c>
      <c r="C70" s="6" t="s">
        <v>216</v>
      </c>
      <c r="D70" s="7">
        <v>4057095</v>
      </c>
      <c r="E70" s="199" t="s">
        <v>175</v>
      </c>
      <c r="F70" s="199">
        <v>82631</v>
      </c>
      <c r="G70" s="199">
        <v>69907</v>
      </c>
      <c r="H70" s="199">
        <v>55843</v>
      </c>
      <c r="I70" s="199">
        <v>48515</v>
      </c>
      <c r="J70" s="199">
        <v>46882</v>
      </c>
      <c r="K70" s="199">
        <v>46682</v>
      </c>
      <c r="L70" s="199">
        <v>53154</v>
      </c>
      <c r="M70" s="199">
        <v>52913</v>
      </c>
      <c r="N70" s="199">
        <v>51112</v>
      </c>
      <c r="O70" s="199">
        <v>51989</v>
      </c>
      <c r="P70" s="199">
        <v>65252</v>
      </c>
      <c r="Q70" s="199">
        <v>79196</v>
      </c>
      <c r="R70" s="199">
        <v>71340</v>
      </c>
      <c r="S70" s="199">
        <v>76654</v>
      </c>
      <c r="T70" s="199">
        <v>83431</v>
      </c>
      <c r="U70" s="199">
        <v>78156</v>
      </c>
      <c r="V70" s="199">
        <v>68552</v>
      </c>
      <c r="W70" s="199">
        <v>55396</v>
      </c>
      <c r="X70" s="199">
        <v>40967</v>
      </c>
      <c r="Y70" s="199">
        <v>38646</v>
      </c>
      <c r="Z70" s="199">
        <v>31961</v>
      </c>
      <c r="AA70" s="199">
        <f>+Z70/(1+AA71)</f>
        <v>30191.851569170041</v>
      </c>
      <c r="AB70" s="199" t="s">
        <v>175</v>
      </c>
      <c r="AC70" s="199" t="s">
        <v>175</v>
      </c>
      <c r="AD70" s="199" t="s">
        <v>175</v>
      </c>
    </row>
    <row r="71" spans="1:30">
      <c r="B71" s="6"/>
      <c r="C71" s="6"/>
      <c r="D71" s="7"/>
      <c r="E71" s="214"/>
      <c r="F71" s="214"/>
      <c r="G71" s="214">
        <f t="shared" ref="G71:Y71" si="1">+F70/G70-1</f>
        <v>0.18201324616991155</v>
      </c>
      <c r="H71" s="214">
        <f t="shared" si="1"/>
        <v>0.25184893361746319</v>
      </c>
      <c r="I71" s="214">
        <f t="shared" si="1"/>
        <v>0.15104606822632172</v>
      </c>
      <c r="J71" s="214">
        <f t="shared" si="1"/>
        <v>3.4832131734994221E-2</v>
      </c>
      <c r="K71" s="214">
        <f t="shared" si="1"/>
        <v>4.2843065849791362E-3</v>
      </c>
      <c r="L71" s="214">
        <f t="shared" si="1"/>
        <v>-0.12175941603642249</v>
      </c>
      <c r="M71" s="214">
        <f t="shared" si="1"/>
        <v>4.554646306200727E-3</v>
      </c>
      <c r="N71" s="214">
        <f t="shared" si="1"/>
        <v>3.5236343715761453E-2</v>
      </c>
      <c r="O71" s="214">
        <f t="shared" si="1"/>
        <v>-1.6868953047760149E-2</v>
      </c>
      <c r="P71" s="214">
        <f t="shared" si="1"/>
        <v>-0.20325813768160361</v>
      </c>
      <c r="Q71" s="214">
        <f t="shared" si="1"/>
        <v>-0.17606949845951814</v>
      </c>
      <c r="R71" s="214">
        <f t="shared" si="1"/>
        <v>0.11012054948135686</v>
      </c>
      <c r="S71" s="214">
        <f t="shared" si="1"/>
        <v>-6.9324497090823667E-2</v>
      </c>
      <c r="T71" s="214">
        <f t="shared" si="1"/>
        <v>-8.1228799846579824E-2</v>
      </c>
      <c r="U71" s="214">
        <f t="shared" si="1"/>
        <v>6.7493218690823475E-2</v>
      </c>
      <c r="V71" s="214">
        <f t="shared" si="1"/>
        <v>0.14009802777453606</v>
      </c>
      <c r="W71" s="214">
        <f t="shared" si="1"/>
        <v>0.23749007148530588</v>
      </c>
      <c r="X71" s="214">
        <f t="shared" si="1"/>
        <v>0.35221031561988925</v>
      </c>
      <c r="Y71" s="214">
        <f t="shared" si="1"/>
        <v>6.00579620141799E-2</v>
      </c>
      <c r="Z71" s="214">
        <f>+Y70/Z70-1</f>
        <v>0.2091611651700509</v>
      </c>
      <c r="AA71" s="214">
        <f>AVERAGE(G71:Z71)</f>
        <v>5.859688422145333E-2</v>
      </c>
      <c r="AB71" s="199"/>
      <c r="AC71" s="199"/>
      <c r="AD71" s="199"/>
    </row>
    <row r="72" spans="1:30">
      <c r="B72" s="6" t="s">
        <v>217</v>
      </c>
      <c r="C72" s="6" t="s">
        <v>217</v>
      </c>
      <c r="D72" s="7">
        <v>4062485</v>
      </c>
      <c r="E72" s="199">
        <v>13976</v>
      </c>
      <c r="F72" s="199">
        <v>13286</v>
      </c>
      <c r="G72" s="199">
        <v>8385</v>
      </c>
      <c r="H72" s="199">
        <v>6937</v>
      </c>
      <c r="I72" s="199">
        <v>17253</v>
      </c>
      <c r="J72" s="199">
        <v>15623</v>
      </c>
      <c r="K72" s="199">
        <v>14420</v>
      </c>
      <c r="L72" s="199">
        <v>17238</v>
      </c>
      <c r="M72" s="199">
        <v>11316</v>
      </c>
      <c r="N72" s="199">
        <v>8239</v>
      </c>
      <c r="O72" s="199">
        <v>5752</v>
      </c>
      <c r="P72" s="199">
        <v>-2004</v>
      </c>
      <c r="Q72" s="199">
        <v>25129</v>
      </c>
      <c r="R72" s="199">
        <v>23204</v>
      </c>
      <c r="S72" s="199">
        <v>18332</v>
      </c>
      <c r="T72" s="199">
        <v>19972</v>
      </c>
      <c r="U72" s="199">
        <v>19677</v>
      </c>
      <c r="V72" s="199">
        <v>17541</v>
      </c>
      <c r="W72" s="199">
        <v>20762</v>
      </c>
      <c r="X72" s="199">
        <v>19466</v>
      </c>
      <c r="Y72" s="199">
        <v>18084</v>
      </c>
      <c r="Z72" s="199">
        <v>17355</v>
      </c>
      <c r="AA72" s="199">
        <v>22649</v>
      </c>
      <c r="AB72" s="199">
        <v>21613</v>
      </c>
      <c r="AC72" s="199">
        <v>24465</v>
      </c>
      <c r="AD72" s="199">
        <v>19795</v>
      </c>
    </row>
    <row r="73" spans="1:30">
      <c r="B73" s="6" t="s">
        <v>218</v>
      </c>
      <c r="C73" s="6" t="s">
        <v>218</v>
      </c>
      <c r="D73" s="7">
        <v>4057140</v>
      </c>
      <c r="E73" s="199">
        <v>133468</v>
      </c>
      <c r="F73" s="199">
        <v>129855</v>
      </c>
      <c r="G73" s="199">
        <v>134553</v>
      </c>
      <c r="H73" s="199">
        <v>128845</v>
      </c>
      <c r="I73" s="199">
        <v>149721</v>
      </c>
      <c r="J73" s="199">
        <v>132819</v>
      </c>
      <c r="K73" s="199">
        <v>130905</v>
      </c>
      <c r="L73" s="199">
        <v>105395</v>
      </c>
      <c r="M73" s="199">
        <v>127494</v>
      </c>
      <c r="N73" s="199">
        <v>131572</v>
      </c>
      <c r="O73" s="199">
        <v>77124</v>
      </c>
      <c r="P73" s="199">
        <v>133855</v>
      </c>
      <c r="Q73" s="199">
        <v>130646</v>
      </c>
      <c r="R73" s="199">
        <v>82689</v>
      </c>
      <c r="S73" s="199">
        <v>77516</v>
      </c>
      <c r="T73" s="199">
        <v>122399</v>
      </c>
      <c r="U73" s="199">
        <v>111043</v>
      </c>
      <c r="V73" s="199">
        <v>103509</v>
      </c>
      <c r="W73" s="199" t="s">
        <v>175</v>
      </c>
      <c r="X73" s="199">
        <v>323836</v>
      </c>
      <c r="Y73" s="199">
        <v>75710</v>
      </c>
      <c r="Z73" s="199">
        <v>73735</v>
      </c>
      <c r="AA73" s="199">
        <v>59307</v>
      </c>
      <c r="AB73" s="199">
        <v>50832</v>
      </c>
      <c r="AC73" s="199">
        <v>43447</v>
      </c>
      <c r="AD73" s="199">
        <v>35884</v>
      </c>
    </row>
    <row r="74" spans="1:30">
      <c r="A74" s="1" t="s">
        <v>275</v>
      </c>
      <c r="B74" s="6" t="s">
        <v>220</v>
      </c>
      <c r="C74" s="6" t="s">
        <v>221</v>
      </c>
      <c r="D74" s="7">
        <v>4057096</v>
      </c>
      <c r="E74" s="199">
        <v>3667</v>
      </c>
      <c r="F74" s="199">
        <v>3470</v>
      </c>
      <c r="G74" s="199">
        <v>3136</v>
      </c>
      <c r="H74" s="199">
        <v>2889</v>
      </c>
      <c r="I74" s="199">
        <v>2686</v>
      </c>
      <c r="J74" s="199">
        <v>4307</v>
      </c>
      <c r="K74" s="199">
        <v>2195</v>
      </c>
      <c r="L74" s="199">
        <v>2405</v>
      </c>
      <c r="M74" s="199">
        <v>2235</v>
      </c>
      <c r="N74" s="199">
        <v>2093</v>
      </c>
      <c r="O74" s="199">
        <v>2040</v>
      </c>
      <c r="P74" s="199">
        <v>1969</v>
      </c>
      <c r="Q74" s="199">
        <v>1675</v>
      </c>
      <c r="R74" s="199">
        <v>1541</v>
      </c>
      <c r="S74" s="199">
        <v>1578</v>
      </c>
      <c r="T74" s="199">
        <v>1451</v>
      </c>
      <c r="U74" s="199">
        <v>1400</v>
      </c>
      <c r="V74" s="199" t="s">
        <v>175</v>
      </c>
      <c r="W74" s="199" t="s">
        <v>175</v>
      </c>
      <c r="X74" s="199">
        <v>2079</v>
      </c>
      <c r="Y74" s="199">
        <v>1928</v>
      </c>
      <c r="Z74" s="199">
        <v>1784</v>
      </c>
      <c r="AA74" s="199">
        <v>1649</v>
      </c>
      <c r="AB74" s="199">
        <v>1520</v>
      </c>
      <c r="AC74" s="199">
        <v>1320</v>
      </c>
      <c r="AD74" s="199">
        <v>1278</v>
      </c>
    </row>
    <row r="75" spans="1:30">
      <c r="B75" s="6" t="s">
        <v>302</v>
      </c>
      <c r="C75" s="6" t="s">
        <v>302</v>
      </c>
      <c r="D75" s="7">
        <v>4057097</v>
      </c>
      <c r="E75" s="199" t="s">
        <v>175</v>
      </c>
      <c r="F75" s="199" t="s">
        <v>175</v>
      </c>
      <c r="G75" s="199">
        <v>5423</v>
      </c>
      <c r="H75" s="199">
        <v>4912</v>
      </c>
      <c r="I75" s="199">
        <v>5650</v>
      </c>
      <c r="J75" s="199">
        <v>5351</v>
      </c>
      <c r="K75" s="199">
        <v>5186</v>
      </c>
      <c r="L75" s="199">
        <v>4673</v>
      </c>
      <c r="M75" s="199">
        <v>4659</v>
      </c>
      <c r="N75" s="199">
        <v>4614</v>
      </c>
      <c r="O75" s="199">
        <v>4272</v>
      </c>
      <c r="P75" s="199">
        <v>4301</v>
      </c>
      <c r="Q75" s="199">
        <v>4062</v>
      </c>
      <c r="R75" s="199">
        <v>3890</v>
      </c>
      <c r="S75" s="199">
        <v>3401</v>
      </c>
      <c r="T75" s="199">
        <v>3117</v>
      </c>
      <c r="U75" s="199">
        <v>2605</v>
      </c>
      <c r="V75" s="199">
        <v>2494</v>
      </c>
      <c r="W75" s="199">
        <v>2058</v>
      </c>
      <c r="X75" s="199">
        <v>1656</v>
      </c>
      <c r="Y75" s="199">
        <v>1346</v>
      </c>
      <c r="Z75" s="199">
        <v>1320</v>
      </c>
      <c r="AA75" s="199">
        <v>1233</v>
      </c>
      <c r="AB75" s="199">
        <v>1093</v>
      </c>
      <c r="AC75" s="199">
        <v>1592</v>
      </c>
      <c r="AD75" s="199">
        <v>1726</v>
      </c>
    </row>
    <row r="76" spans="1:30">
      <c r="B76" s="6" t="s">
        <v>303</v>
      </c>
      <c r="C76" s="6" t="s">
        <v>303</v>
      </c>
      <c r="D76" s="7">
        <v>4057098</v>
      </c>
      <c r="E76" s="199" t="s">
        <v>175</v>
      </c>
      <c r="F76" s="199">
        <v>9135</v>
      </c>
      <c r="G76" s="199">
        <v>8313</v>
      </c>
      <c r="H76" s="199">
        <v>7536</v>
      </c>
      <c r="I76" s="199">
        <v>7765</v>
      </c>
      <c r="J76" s="199">
        <v>6032</v>
      </c>
      <c r="K76" s="199">
        <v>4593</v>
      </c>
      <c r="L76" s="199">
        <v>3149</v>
      </c>
      <c r="M76" s="199">
        <v>1631</v>
      </c>
      <c r="N76" s="199">
        <v>879</v>
      </c>
      <c r="O76" s="199">
        <v>649</v>
      </c>
      <c r="P76" s="199">
        <v>41</v>
      </c>
      <c r="Q76" s="199">
        <v>-266</v>
      </c>
      <c r="R76" s="199">
        <v>94</v>
      </c>
      <c r="S76" s="199">
        <v>-333</v>
      </c>
      <c r="T76" s="199">
        <v>750</v>
      </c>
      <c r="U76" s="199">
        <v>639</v>
      </c>
      <c r="V76" s="199">
        <v>708</v>
      </c>
      <c r="W76" s="199">
        <v>803</v>
      </c>
      <c r="X76" s="199" t="s">
        <v>175</v>
      </c>
      <c r="Y76" s="199">
        <v>1198</v>
      </c>
      <c r="Z76" s="199">
        <v>1194</v>
      </c>
      <c r="AA76" s="199">
        <v>1210</v>
      </c>
      <c r="AB76" s="199">
        <v>1237</v>
      </c>
      <c r="AC76" s="199">
        <v>1195</v>
      </c>
      <c r="AD76" s="199" t="s">
        <v>175</v>
      </c>
    </row>
    <row r="77" spans="1:30">
      <c r="A77" s="1" t="s">
        <v>275</v>
      </c>
      <c r="B77" s="6" t="s">
        <v>222</v>
      </c>
      <c r="C77" s="6" t="s">
        <v>222</v>
      </c>
      <c r="D77" s="7">
        <v>4063023</v>
      </c>
      <c r="E77" s="199" t="s">
        <v>175</v>
      </c>
      <c r="F77" s="199">
        <v>64475</v>
      </c>
      <c r="G77" s="199">
        <v>56557</v>
      </c>
      <c r="H77" s="199">
        <v>53152</v>
      </c>
      <c r="I77" s="199">
        <v>41434</v>
      </c>
      <c r="J77" s="199">
        <v>29423</v>
      </c>
      <c r="K77" s="199">
        <v>24046</v>
      </c>
      <c r="L77" s="199">
        <v>19148</v>
      </c>
      <c r="M77" s="199">
        <v>19523</v>
      </c>
      <c r="N77" s="199">
        <v>23793</v>
      </c>
      <c r="O77" s="199">
        <v>22897</v>
      </c>
      <c r="P77" s="199">
        <v>20259</v>
      </c>
      <c r="Q77" s="199">
        <v>17304</v>
      </c>
      <c r="R77" s="199">
        <v>15723</v>
      </c>
      <c r="S77" s="199">
        <v>14445</v>
      </c>
      <c r="T77" s="199">
        <v>13963</v>
      </c>
      <c r="U77" s="199">
        <v>14449</v>
      </c>
      <c r="V77" s="199">
        <v>11130</v>
      </c>
      <c r="W77" s="199">
        <v>9966</v>
      </c>
      <c r="X77" s="199">
        <v>9085</v>
      </c>
      <c r="Y77" s="199">
        <v>9263</v>
      </c>
      <c r="Z77" s="199">
        <v>7896</v>
      </c>
      <c r="AA77" s="199">
        <v>8120</v>
      </c>
      <c r="AB77" s="199">
        <v>7533</v>
      </c>
      <c r="AC77" s="199">
        <v>7808</v>
      </c>
      <c r="AD77" s="199">
        <v>7022</v>
      </c>
    </row>
    <row r="78" spans="1:30">
      <c r="B78" s="6" t="s">
        <v>223</v>
      </c>
      <c r="C78" s="6" t="s">
        <v>223</v>
      </c>
      <c r="D78" s="7">
        <v>4057146</v>
      </c>
      <c r="E78" s="199" t="s">
        <v>175</v>
      </c>
      <c r="F78" s="199">
        <v>1213595</v>
      </c>
      <c r="G78" s="199">
        <v>1102814</v>
      </c>
      <c r="H78" s="199">
        <v>964742</v>
      </c>
      <c r="I78" s="199">
        <v>876767</v>
      </c>
      <c r="J78" s="199">
        <v>766104</v>
      </c>
      <c r="K78" s="199">
        <v>675741</v>
      </c>
      <c r="L78" s="199">
        <v>570350</v>
      </c>
      <c r="M78" s="199">
        <v>460539</v>
      </c>
      <c r="N78" s="199">
        <v>399254</v>
      </c>
      <c r="O78" s="199">
        <v>425482</v>
      </c>
      <c r="P78" s="199">
        <v>382593</v>
      </c>
      <c r="Q78" s="199">
        <v>345452</v>
      </c>
      <c r="R78" s="199">
        <v>310010</v>
      </c>
      <c r="S78" s="199">
        <v>329561</v>
      </c>
      <c r="T78" s="199">
        <v>303875</v>
      </c>
      <c r="U78" s="199">
        <v>306755</v>
      </c>
      <c r="V78" s="199">
        <v>268886</v>
      </c>
      <c r="W78" s="199">
        <v>222865</v>
      </c>
      <c r="X78" s="199">
        <v>203946</v>
      </c>
      <c r="Y78" s="199">
        <v>184022</v>
      </c>
      <c r="Z78" s="199">
        <v>152975</v>
      </c>
      <c r="AA78" s="199">
        <v>127100</v>
      </c>
      <c r="AB78" s="199">
        <v>109818</v>
      </c>
      <c r="AC78" s="199" t="s">
        <v>175</v>
      </c>
      <c r="AD78" s="199" t="s">
        <v>175</v>
      </c>
    </row>
    <row r="79" spans="1:30">
      <c r="A79" s="1" t="s">
        <v>275</v>
      </c>
      <c r="B79" s="6" t="s">
        <v>224</v>
      </c>
      <c r="C79" s="6" t="s">
        <v>225</v>
      </c>
      <c r="D79" s="7">
        <v>4063060</v>
      </c>
      <c r="E79" s="199">
        <v>18158</v>
      </c>
      <c r="F79" s="199">
        <v>15083</v>
      </c>
      <c r="G79" s="199">
        <v>12541</v>
      </c>
      <c r="H79" s="199">
        <v>9210</v>
      </c>
      <c r="I79" s="199">
        <v>7264</v>
      </c>
      <c r="J79" s="199">
        <v>6649</v>
      </c>
      <c r="K79" s="199">
        <v>5812</v>
      </c>
      <c r="L79" s="199">
        <v>6199</v>
      </c>
      <c r="M79" s="199">
        <v>5458</v>
      </c>
      <c r="N79" s="199">
        <v>6858</v>
      </c>
      <c r="O79" s="199">
        <v>15098</v>
      </c>
      <c r="P79" s="199">
        <v>15445</v>
      </c>
      <c r="Q79" s="199">
        <v>13566</v>
      </c>
      <c r="R79" s="199">
        <v>14818</v>
      </c>
      <c r="S79" s="199">
        <v>27386</v>
      </c>
      <c r="T79" s="199">
        <v>24623</v>
      </c>
      <c r="U79" s="199">
        <v>21304</v>
      </c>
      <c r="V79" s="199">
        <v>18049</v>
      </c>
      <c r="W79" s="199">
        <v>14310</v>
      </c>
      <c r="X79" s="199">
        <v>10655</v>
      </c>
      <c r="Y79" s="199">
        <v>11305</v>
      </c>
      <c r="Z79" s="199" t="s">
        <v>175</v>
      </c>
      <c r="AA79" s="199">
        <v>9501</v>
      </c>
      <c r="AB79" s="199">
        <v>10933</v>
      </c>
      <c r="AC79" s="199">
        <v>9603</v>
      </c>
      <c r="AD79" s="199">
        <v>9431</v>
      </c>
    </row>
    <row r="80" spans="1:30">
      <c r="B80" s="6" t="s">
        <v>226</v>
      </c>
      <c r="C80" s="6" t="s">
        <v>226</v>
      </c>
      <c r="D80" s="7">
        <v>4057100</v>
      </c>
      <c r="E80" s="199">
        <v>7570</v>
      </c>
      <c r="F80" s="199" t="s">
        <v>175</v>
      </c>
      <c r="G80" s="199">
        <v>7373</v>
      </c>
      <c r="H80" s="199">
        <v>6869</v>
      </c>
      <c r="I80" s="199">
        <v>6699</v>
      </c>
      <c r="J80" s="199">
        <v>6230</v>
      </c>
      <c r="K80" s="199">
        <v>5896</v>
      </c>
      <c r="L80" s="199">
        <v>5908</v>
      </c>
      <c r="M80" s="199">
        <v>6032</v>
      </c>
      <c r="N80" s="199">
        <v>6258</v>
      </c>
      <c r="O80" s="199">
        <v>5988</v>
      </c>
      <c r="P80" s="199">
        <v>5436</v>
      </c>
      <c r="Q80" s="199">
        <v>5141</v>
      </c>
      <c r="R80" s="199">
        <v>4663</v>
      </c>
      <c r="S80" s="199">
        <v>4276</v>
      </c>
      <c r="T80" s="199">
        <v>4130</v>
      </c>
      <c r="U80" s="199">
        <v>3779</v>
      </c>
      <c r="V80" s="199">
        <v>3466</v>
      </c>
      <c r="W80" s="199">
        <v>3403</v>
      </c>
      <c r="X80" s="199">
        <v>3029</v>
      </c>
      <c r="Y80" s="199">
        <v>2855</v>
      </c>
      <c r="Z80" s="199">
        <v>2632</v>
      </c>
      <c r="AA80" s="199">
        <v>2602</v>
      </c>
      <c r="AB80" s="199">
        <v>2426</v>
      </c>
      <c r="AC80" s="199">
        <v>2381</v>
      </c>
      <c r="AD80" s="199">
        <v>2265</v>
      </c>
    </row>
    <row r="81" spans="1:30">
      <c r="B81" s="6" t="s">
        <v>304</v>
      </c>
      <c r="C81" s="6" t="s">
        <v>304</v>
      </c>
      <c r="D81" s="7">
        <v>4064035</v>
      </c>
      <c r="E81" s="199" t="s">
        <v>175</v>
      </c>
      <c r="F81" s="199">
        <v>3838</v>
      </c>
      <c r="G81" s="199">
        <v>3732</v>
      </c>
      <c r="H81" s="199">
        <v>4678</v>
      </c>
      <c r="I81" s="199">
        <v>4531</v>
      </c>
      <c r="J81" s="199">
        <v>4299</v>
      </c>
      <c r="K81" s="199">
        <v>4102</v>
      </c>
      <c r="L81" s="199">
        <v>3898</v>
      </c>
      <c r="M81" s="199">
        <v>3912</v>
      </c>
      <c r="N81" s="199">
        <v>3793</v>
      </c>
      <c r="O81" s="199">
        <v>3629</v>
      </c>
      <c r="P81" s="199">
        <v>3448</v>
      </c>
      <c r="Q81" s="199">
        <v>3327</v>
      </c>
      <c r="R81" s="199">
        <v>3716</v>
      </c>
      <c r="S81" s="199" t="s">
        <v>175</v>
      </c>
      <c r="T81" s="199">
        <v>3488</v>
      </c>
      <c r="U81" s="199">
        <v>3336</v>
      </c>
      <c r="V81" s="199" t="s">
        <v>175</v>
      </c>
      <c r="W81" s="199" t="s">
        <v>175</v>
      </c>
      <c r="X81" s="199">
        <v>2995</v>
      </c>
      <c r="Y81" s="199" t="s">
        <v>175</v>
      </c>
      <c r="Z81" s="199" t="s">
        <v>175</v>
      </c>
      <c r="AA81" s="199" t="s">
        <v>175</v>
      </c>
      <c r="AB81" s="199" t="s">
        <v>175</v>
      </c>
      <c r="AC81" s="199" t="s">
        <v>175</v>
      </c>
      <c r="AD81" s="199" t="s">
        <v>175</v>
      </c>
    </row>
    <row r="82" spans="1:30">
      <c r="B82" s="6" t="s">
        <v>305</v>
      </c>
      <c r="C82" s="6" t="s">
        <v>305</v>
      </c>
      <c r="D82" s="7">
        <v>4060957</v>
      </c>
      <c r="E82" s="199">
        <v>59584</v>
      </c>
      <c r="F82" s="199">
        <v>50727</v>
      </c>
      <c r="G82" s="199">
        <v>44746</v>
      </c>
      <c r="H82" s="199">
        <v>37556</v>
      </c>
      <c r="I82" s="199">
        <v>33777</v>
      </c>
      <c r="J82" s="199">
        <v>32187</v>
      </c>
      <c r="K82" s="199">
        <v>30381</v>
      </c>
      <c r="L82" s="199">
        <v>28097</v>
      </c>
      <c r="M82" s="199">
        <v>24972</v>
      </c>
      <c r="N82" s="199">
        <v>22366</v>
      </c>
      <c r="O82" s="199">
        <v>21478</v>
      </c>
      <c r="P82" s="199">
        <v>22548</v>
      </c>
      <c r="Q82" s="199">
        <v>21948</v>
      </c>
      <c r="R82" s="199">
        <v>22104</v>
      </c>
      <c r="S82" s="199">
        <v>25334</v>
      </c>
      <c r="T82" s="199">
        <v>27266</v>
      </c>
      <c r="U82" s="199">
        <v>29674</v>
      </c>
      <c r="V82" s="199">
        <v>28525</v>
      </c>
      <c r="W82" s="199">
        <v>25545</v>
      </c>
      <c r="X82" s="199">
        <v>24577</v>
      </c>
      <c r="Y82" s="199">
        <v>27352</v>
      </c>
      <c r="Z82" s="199">
        <v>24147</v>
      </c>
      <c r="AA82" s="199">
        <v>23177</v>
      </c>
      <c r="AB82" s="199">
        <v>20827</v>
      </c>
      <c r="AC82" s="199">
        <v>18934</v>
      </c>
      <c r="AD82" s="199">
        <v>16969</v>
      </c>
    </row>
    <row r="83" spans="1:30">
      <c r="B83" s="6" t="s">
        <v>228</v>
      </c>
      <c r="C83" s="6" t="s">
        <v>228</v>
      </c>
      <c r="D83" s="7">
        <v>4063179</v>
      </c>
      <c r="E83" s="199">
        <v>592</v>
      </c>
      <c r="F83" s="199" t="s">
        <v>175</v>
      </c>
      <c r="G83" s="199">
        <v>526</v>
      </c>
      <c r="H83" s="199">
        <v>503</v>
      </c>
      <c r="I83" s="199">
        <v>437</v>
      </c>
      <c r="J83" s="199">
        <v>496</v>
      </c>
      <c r="K83" s="199">
        <v>479</v>
      </c>
      <c r="L83" s="199">
        <v>424</v>
      </c>
      <c r="M83" s="199">
        <v>409</v>
      </c>
      <c r="N83" s="199">
        <v>378</v>
      </c>
      <c r="O83" s="199">
        <v>342</v>
      </c>
      <c r="P83" s="199">
        <v>320</v>
      </c>
      <c r="Q83" s="199">
        <v>327</v>
      </c>
      <c r="R83" s="199">
        <v>277</v>
      </c>
      <c r="S83" s="199">
        <v>339</v>
      </c>
      <c r="T83" s="199">
        <v>317</v>
      </c>
      <c r="U83" s="199">
        <v>318</v>
      </c>
      <c r="V83" s="199">
        <v>280</v>
      </c>
      <c r="W83" s="199">
        <v>340</v>
      </c>
      <c r="X83" s="199" t="s">
        <v>175</v>
      </c>
      <c r="Y83" s="199" t="s">
        <v>175</v>
      </c>
      <c r="Z83" s="199">
        <v>247</v>
      </c>
      <c r="AA83" s="199">
        <v>213</v>
      </c>
      <c r="AB83" s="199">
        <v>174</v>
      </c>
      <c r="AC83" s="199" t="s">
        <v>175</v>
      </c>
      <c r="AD83" s="199" t="s">
        <v>175</v>
      </c>
    </row>
    <row r="84" spans="1:30">
      <c r="A84" s="1" t="s">
        <v>275</v>
      </c>
      <c r="B84" s="6" t="s">
        <v>229</v>
      </c>
      <c r="C84" s="6" t="s">
        <v>229</v>
      </c>
      <c r="D84" s="7">
        <v>4063183</v>
      </c>
      <c r="E84" s="199">
        <v>6497</v>
      </c>
      <c r="F84" s="199">
        <v>5829</v>
      </c>
      <c r="G84" s="199">
        <v>5439</v>
      </c>
      <c r="H84" s="199" t="s">
        <v>175</v>
      </c>
      <c r="I84" s="199">
        <v>5170</v>
      </c>
      <c r="J84" s="199">
        <v>4799</v>
      </c>
      <c r="K84" s="199">
        <v>4306</v>
      </c>
      <c r="L84" s="199">
        <v>3724</v>
      </c>
      <c r="M84" s="199">
        <v>3492</v>
      </c>
      <c r="N84" s="199">
        <v>3153</v>
      </c>
      <c r="O84" s="199">
        <v>2877</v>
      </c>
      <c r="P84" s="199">
        <v>2640</v>
      </c>
      <c r="Q84" s="199">
        <v>2291</v>
      </c>
      <c r="R84" s="199">
        <v>2220</v>
      </c>
      <c r="S84" s="199">
        <v>2013</v>
      </c>
      <c r="T84" s="199">
        <v>2136</v>
      </c>
      <c r="U84" s="199">
        <v>2166</v>
      </c>
      <c r="V84" s="199">
        <v>2028</v>
      </c>
      <c r="W84" s="199">
        <v>1868</v>
      </c>
      <c r="X84" s="199">
        <v>1684</v>
      </c>
      <c r="Y84" s="199">
        <v>1537</v>
      </c>
      <c r="Z84" s="199">
        <v>1392</v>
      </c>
      <c r="AA84" s="199">
        <v>1303</v>
      </c>
      <c r="AB84" s="199" t="s">
        <v>175</v>
      </c>
      <c r="AC84" s="199">
        <v>824</v>
      </c>
      <c r="AD84" s="199">
        <v>614</v>
      </c>
    </row>
    <row r="85" spans="1:30">
      <c r="B85" s="6" t="s">
        <v>230</v>
      </c>
      <c r="C85" s="6" t="s">
        <v>230</v>
      </c>
      <c r="D85" s="7">
        <v>4063281</v>
      </c>
      <c r="E85" s="199">
        <v>1000</v>
      </c>
      <c r="F85" s="199">
        <v>856</v>
      </c>
      <c r="G85" s="199">
        <v>494</v>
      </c>
      <c r="H85" s="199">
        <v>474</v>
      </c>
      <c r="I85" s="199">
        <v>521</v>
      </c>
      <c r="J85" s="199">
        <v>549</v>
      </c>
      <c r="K85" s="199">
        <v>478</v>
      </c>
      <c r="L85" s="199">
        <v>420</v>
      </c>
      <c r="M85" s="199">
        <v>270</v>
      </c>
      <c r="N85" s="199">
        <v>365</v>
      </c>
      <c r="O85" s="199">
        <v>262</v>
      </c>
      <c r="P85" s="199">
        <v>246</v>
      </c>
      <c r="Q85" s="199">
        <v>198</v>
      </c>
      <c r="R85" s="199">
        <v>179</v>
      </c>
      <c r="S85" s="199">
        <v>169</v>
      </c>
      <c r="T85" s="199">
        <v>168</v>
      </c>
      <c r="U85" s="199">
        <v>148</v>
      </c>
      <c r="V85" s="199">
        <v>126</v>
      </c>
      <c r="W85" s="199">
        <v>112</v>
      </c>
      <c r="X85" s="199">
        <v>102</v>
      </c>
      <c r="Y85" s="199">
        <v>93</v>
      </c>
      <c r="Z85" s="199">
        <v>83</v>
      </c>
      <c r="AA85" s="199">
        <v>74</v>
      </c>
      <c r="AB85" s="199">
        <v>65</v>
      </c>
      <c r="AC85" s="199">
        <v>56</v>
      </c>
      <c r="AD85" s="199">
        <v>50</v>
      </c>
    </row>
    <row r="86" spans="1:30">
      <c r="B86" s="6" t="s">
        <v>231</v>
      </c>
      <c r="C86" s="6" t="s">
        <v>231</v>
      </c>
      <c r="D86" s="7">
        <v>4059746</v>
      </c>
      <c r="E86" s="199">
        <v>-134693</v>
      </c>
      <c r="F86" s="199">
        <v>-111209</v>
      </c>
      <c r="G86" s="199">
        <v>-147341</v>
      </c>
      <c r="H86" s="199">
        <v>-124017</v>
      </c>
      <c r="I86" s="199">
        <v>-100896</v>
      </c>
      <c r="J86" s="199">
        <v>-2784</v>
      </c>
      <c r="K86" s="199">
        <v>14505</v>
      </c>
      <c r="L86" s="199">
        <v>33064</v>
      </c>
      <c r="M86" s="199">
        <v>47271</v>
      </c>
      <c r="N86" s="199">
        <v>61309</v>
      </c>
      <c r="O86" s="199">
        <v>70978</v>
      </c>
      <c r="P86" s="199">
        <v>80139</v>
      </c>
      <c r="Q86" s="199">
        <v>89350</v>
      </c>
      <c r="R86" s="199">
        <v>83528</v>
      </c>
      <c r="S86" s="199">
        <v>76859</v>
      </c>
      <c r="T86" s="199">
        <v>82645</v>
      </c>
      <c r="U86" s="199">
        <v>140244</v>
      </c>
      <c r="V86" s="199">
        <v>138844</v>
      </c>
      <c r="W86" s="199">
        <v>26110</v>
      </c>
      <c r="X86" s="199">
        <v>41761</v>
      </c>
      <c r="Y86" s="199">
        <v>41638</v>
      </c>
      <c r="Z86" s="199">
        <v>38602</v>
      </c>
      <c r="AA86" s="199">
        <v>36560</v>
      </c>
      <c r="AB86" s="199">
        <v>33139</v>
      </c>
      <c r="AC86" s="199">
        <v>22896</v>
      </c>
      <c r="AD86" s="199" t="s">
        <v>175</v>
      </c>
    </row>
    <row r="87" spans="1:30">
      <c r="A87" s="1" t="s">
        <v>275</v>
      </c>
      <c r="B87" s="6" t="s">
        <v>306</v>
      </c>
      <c r="C87" s="6" t="s">
        <v>306</v>
      </c>
      <c r="D87" s="7">
        <v>4062279</v>
      </c>
      <c r="E87" s="199" t="s">
        <v>175</v>
      </c>
      <c r="F87" s="199" t="s">
        <v>175</v>
      </c>
      <c r="G87" s="199" t="s">
        <v>175</v>
      </c>
      <c r="H87" s="199" t="s">
        <v>175</v>
      </c>
      <c r="I87" s="199" t="s">
        <v>175</v>
      </c>
      <c r="J87" s="199" t="s">
        <v>175</v>
      </c>
      <c r="K87" s="199" t="s">
        <v>175</v>
      </c>
      <c r="L87" s="199" t="s">
        <v>175</v>
      </c>
      <c r="M87" s="199" t="s">
        <v>175</v>
      </c>
      <c r="N87" s="199" t="s">
        <v>175</v>
      </c>
      <c r="O87" s="199" t="s">
        <v>175</v>
      </c>
      <c r="P87" s="199" t="s">
        <v>175</v>
      </c>
      <c r="Q87" s="199" t="s">
        <v>175</v>
      </c>
      <c r="R87" s="199" t="s">
        <v>175</v>
      </c>
      <c r="S87" s="199" t="s">
        <v>175</v>
      </c>
      <c r="T87" s="199" t="s">
        <v>175</v>
      </c>
      <c r="U87" s="199" t="s">
        <v>175</v>
      </c>
      <c r="V87" s="199" t="s">
        <v>175</v>
      </c>
      <c r="W87" s="199" t="s">
        <v>175</v>
      </c>
      <c r="X87" s="199" t="s">
        <v>175</v>
      </c>
      <c r="Y87" s="199" t="s">
        <v>175</v>
      </c>
      <c r="Z87" s="199" t="s">
        <v>175</v>
      </c>
      <c r="AA87" s="199" t="s">
        <v>175</v>
      </c>
      <c r="AB87" s="199" t="s">
        <v>175</v>
      </c>
      <c r="AC87" s="199" t="s">
        <v>175</v>
      </c>
      <c r="AD87" s="199" t="s">
        <v>175</v>
      </c>
    </row>
    <row r="88" spans="1:30">
      <c r="A88" s="1" t="s">
        <v>275</v>
      </c>
      <c r="B88" s="6" t="s">
        <v>307</v>
      </c>
      <c r="C88" s="6" t="s">
        <v>307</v>
      </c>
      <c r="D88" s="7">
        <v>4063729</v>
      </c>
      <c r="E88" s="199" t="s">
        <v>175</v>
      </c>
      <c r="F88" s="199" t="s">
        <v>175</v>
      </c>
      <c r="G88" s="199" t="s">
        <v>175</v>
      </c>
      <c r="H88" s="199">
        <v>6333</v>
      </c>
      <c r="I88" s="199">
        <v>5472</v>
      </c>
      <c r="J88" s="199">
        <v>5085</v>
      </c>
      <c r="K88" s="199">
        <v>19937</v>
      </c>
      <c r="L88" s="199">
        <v>18140</v>
      </c>
      <c r="M88" s="199">
        <v>17050</v>
      </c>
      <c r="N88" s="199">
        <v>16282</v>
      </c>
      <c r="O88" s="199">
        <v>15496</v>
      </c>
      <c r="P88" s="199">
        <v>13319</v>
      </c>
      <c r="Q88" s="199">
        <v>12446</v>
      </c>
      <c r="R88" s="199">
        <v>10527</v>
      </c>
      <c r="S88" s="199">
        <v>8708</v>
      </c>
      <c r="T88" s="199">
        <v>4766</v>
      </c>
      <c r="U88" s="199">
        <v>4361</v>
      </c>
      <c r="V88" s="199">
        <v>3770</v>
      </c>
      <c r="W88" s="199">
        <v>3634</v>
      </c>
      <c r="X88" s="199">
        <v>3271</v>
      </c>
      <c r="Y88" s="199">
        <v>2977</v>
      </c>
      <c r="Z88" s="199">
        <v>2626</v>
      </c>
      <c r="AA88" s="199" t="s">
        <v>175</v>
      </c>
      <c r="AB88" s="199" t="s">
        <v>175</v>
      </c>
      <c r="AC88" s="199">
        <v>2113</v>
      </c>
      <c r="AD88" s="199">
        <v>1453</v>
      </c>
    </row>
    <row r="89" spans="1:30">
      <c r="B89" s="6" t="s">
        <v>232</v>
      </c>
      <c r="C89" s="6" t="s">
        <v>232</v>
      </c>
      <c r="D89" s="7">
        <v>4063762</v>
      </c>
      <c r="E89" s="199">
        <v>7317</v>
      </c>
      <c r="F89" s="199">
        <v>10445</v>
      </c>
      <c r="G89" s="199">
        <v>9476</v>
      </c>
      <c r="H89" s="199">
        <v>7617</v>
      </c>
      <c r="I89" s="199">
        <v>5380</v>
      </c>
      <c r="J89" s="199">
        <v>4987</v>
      </c>
      <c r="K89" s="199">
        <v>5165</v>
      </c>
      <c r="L89" s="199">
        <v>9012</v>
      </c>
      <c r="M89" s="199">
        <v>4637</v>
      </c>
      <c r="N89" s="199">
        <v>2874</v>
      </c>
      <c r="O89" s="199">
        <v>2041</v>
      </c>
      <c r="P89" s="199">
        <v>459</v>
      </c>
      <c r="Q89" s="199">
        <v>275</v>
      </c>
      <c r="R89" s="199">
        <v>-620</v>
      </c>
      <c r="S89" s="199">
        <v>1886</v>
      </c>
      <c r="T89" s="199">
        <v>1964</v>
      </c>
      <c r="U89" s="199">
        <v>11127</v>
      </c>
      <c r="V89" s="199">
        <v>9785</v>
      </c>
      <c r="W89" s="199">
        <v>7902</v>
      </c>
      <c r="X89" s="199">
        <v>6652</v>
      </c>
      <c r="Y89" s="199">
        <v>6247</v>
      </c>
      <c r="Z89" s="199">
        <v>6122</v>
      </c>
      <c r="AA89" s="199">
        <v>6204</v>
      </c>
      <c r="AB89" s="199">
        <v>7510</v>
      </c>
      <c r="AC89" s="199">
        <v>7134</v>
      </c>
      <c r="AD89" s="199" t="s">
        <v>175</v>
      </c>
    </row>
    <row r="90" spans="1:30">
      <c r="B90" s="6" t="s">
        <v>234</v>
      </c>
      <c r="C90" s="6" t="s">
        <v>234</v>
      </c>
      <c r="D90" s="7">
        <v>4058284</v>
      </c>
      <c r="E90" s="199">
        <v>46616</v>
      </c>
      <c r="F90" s="199">
        <v>42961</v>
      </c>
      <c r="G90" s="199">
        <v>35137</v>
      </c>
      <c r="H90" s="199">
        <v>31725</v>
      </c>
      <c r="I90" s="199">
        <v>25651</v>
      </c>
      <c r="J90" s="199">
        <v>28850</v>
      </c>
      <c r="K90" s="199">
        <v>25548</v>
      </c>
      <c r="L90" s="199">
        <v>21682</v>
      </c>
      <c r="M90" s="199">
        <v>18581</v>
      </c>
      <c r="N90" s="199">
        <v>28902</v>
      </c>
      <c r="O90" s="199">
        <v>25805</v>
      </c>
      <c r="P90" s="199">
        <v>28050</v>
      </c>
      <c r="Q90" s="199">
        <v>5837</v>
      </c>
      <c r="R90" s="199">
        <v>11132</v>
      </c>
      <c r="S90" s="199">
        <v>28000</v>
      </c>
      <c r="T90" s="199">
        <v>24842</v>
      </c>
      <c r="U90" s="199">
        <v>23484</v>
      </c>
      <c r="V90" s="199">
        <v>22159</v>
      </c>
      <c r="W90" s="199">
        <v>31765</v>
      </c>
      <c r="X90" s="199">
        <v>49299</v>
      </c>
      <c r="Y90" s="199">
        <v>49539</v>
      </c>
      <c r="Z90" s="199">
        <v>49243</v>
      </c>
      <c r="AA90" s="199">
        <v>45220</v>
      </c>
      <c r="AB90" s="199">
        <v>43438</v>
      </c>
      <c r="AC90" s="199">
        <v>43661</v>
      </c>
      <c r="AD90" s="199">
        <v>39008</v>
      </c>
    </row>
    <row r="91" spans="1:30">
      <c r="B91" s="6" t="s">
        <v>236</v>
      </c>
      <c r="C91" s="6" t="s">
        <v>236</v>
      </c>
      <c r="D91" s="7">
        <v>4008752</v>
      </c>
      <c r="E91" s="199">
        <v>48867</v>
      </c>
      <c r="F91" s="199">
        <v>43290</v>
      </c>
      <c r="G91" s="199">
        <v>51133</v>
      </c>
      <c r="H91" s="199">
        <v>59381</v>
      </c>
      <c r="I91" s="199">
        <v>59722</v>
      </c>
      <c r="J91" s="199">
        <v>69976</v>
      </c>
      <c r="K91" s="199">
        <v>66112</v>
      </c>
      <c r="L91" s="199">
        <v>59324</v>
      </c>
      <c r="M91" s="199">
        <v>54584</v>
      </c>
      <c r="N91" s="199">
        <v>49597</v>
      </c>
      <c r="O91" s="199">
        <v>44692</v>
      </c>
      <c r="P91" s="199">
        <v>42450</v>
      </c>
      <c r="Q91" s="199">
        <v>37032</v>
      </c>
      <c r="R91" s="199">
        <v>33383</v>
      </c>
      <c r="S91" s="199">
        <v>29057</v>
      </c>
      <c r="T91" s="199">
        <v>27525</v>
      </c>
      <c r="U91" s="199">
        <v>23536</v>
      </c>
      <c r="V91" s="199">
        <v>22643</v>
      </c>
      <c r="W91" s="199">
        <v>66580</v>
      </c>
      <c r="X91" s="199">
        <v>73390</v>
      </c>
      <c r="Y91" s="199">
        <v>63851</v>
      </c>
      <c r="Z91" s="199">
        <v>61181</v>
      </c>
      <c r="AA91" s="199">
        <v>56207</v>
      </c>
      <c r="AB91" s="199">
        <v>51877</v>
      </c>
      <c r="AC91" s="199">
        <v>61781</v>
      </c>
      <c r="AD91" s="199">
        <v>53157</v>
      </c>
    </row>
    <row r="92" spans="1:30">
      <c r="B92" s="6" t="s">
        <v>237</v>
      </c>
      <c r="C92" s="6" t="s">
        <v>237</v>
      </c>
      <c r="D92" s="7">
        <v>4008669</v>
      </c>
      <c r="E92" s="199">
        <v>4931</v>
      </c>
      <c r="F92" s="199">
        <v>4349</v>
      </c>
      <c r="G92" s="199">
        <v>3366</v>
      </c>
      <c r="H92" s="199">
        <v>5053</v>
      </c>
      <c r="I92" s="199">
        <v>5544</v>
      </c>
      <c r="J92" s="199">
        <v>5296</v>
      </c>
      <c r="K92" s="199">
        <v>5152</v>
      </c>
      <c r="L92" s="199">
        <v>4858</v>
      </c>
      <c r="M92" s="199">
        <v>4364</v>
      </c>
      <c r="N92" s="199">
        <v>3637</v>
      </c>
      <c r="O92" s="199">
        <v>3212</v>
      </c>
      <c r="P92" s="199">
        <v>3043</v>
      </c>
      <c r="Q92" s="199">
        <v>2379</v>
      </c>
      <c r="R92" s="199">
        <v>4896</v>
      </c>
      <c r="S92" s="199">
        <v>-6963</v>
      </c>
      <c r="T92" s="199">
        <v>9111</v>
      </c>
      <c r="U92" s="199">
        <v>7939</v>
      </c>
      <c r="V92" s="199">
        <v>6928</v>
      </c>
      <c r="W92" s="199">
        <v>7042</v>
      </c>
      <c r="X92" s="199">
        <v>5601</v>
      </c>
      <c r="Y92" s="199">
        <v>4811</v>
      </c>
      <c r="Z92" s="199">
        <v>3042</v>
      </c>
      <c r="AA92" s="199">
        <v>3179</v>
      </c>
      <c r="AB92" s="199">
        <v>2629</v>
      </c>
      <c r="AC92" s="199">
        <v>2152</v>
      </c>
      <c r="AD92" s="199">
        <v>1880</v>
      </c>
    </row>
    <row r="93" spans="1:30">
      <c r="B93" s="6" t="s">
        <v>308</v>
      </c>
      <c r="C93" s="6" t="s">
        <v>309</v>
      </c>
      <c r="D93" s="7">
        <v>4076892</v>
      </c>
      <c r="E93" s="199">
        <v>2595</v>
      </c>
      <c r="F93" s="199">
        <v>2497</v>
      </c>
      <c r="G93" s="199">
        <v>2333</v>
      </c>
      <c r="H93" s="199">
        <v>2174</v>
      </c>
      <c r="I93" s="199">
        <v>2097</v>
      </c>
      <c r="J93" s="199">
        <v>1958</v>
      </c>
      <c r="K93" s="199">
        <v>1880</v>
      </c>
      <c r="L93" s="199">
        <v>1948</v>
      </c>
      <c r="M93" s="199">
        <v>1843</v>
      </c>
      <c r="N93" s="199">
        <v>1706</v>
      </c>
      <c r="O93" s="199">
        <v>1601</v>
      </c>
      <c r="P93" s="199">
        <v>1365</v>
      </c>
      <c r="Q93" s="199">
        <v>1264</v>
      </c>
      <c r="R93" s="199">
        <v>1323</v>
      </c>
      <c r="S93" s="199">
        <v>1309</v>
      </c>
      <c r="T93" s="199">
        <v>1268</v>
      </c>
      <c r="U93" s="199">
        <v>1220</v>
      </c>
      <c r="V93" s="199">
        <v>1216</v>
      </c>
      <c r="W93" s="199" t="s">
        <v>175</v>
      </c>
      <c r="X93" s="199" t="s">
        <v>175</v>
      </c>
      <c r="Y93" s="199" t="s">
        <v>175</v>
      </c>
      <c r="Z93" s="199" t="s">
        <v>175</v>
      </c>
      <c r="AA93" s="199" t="s">
        <v>175</v>
      </c>
      <c r="AB93" s="199" t="s">
        <v>175</v>
      </c>
      <c r="AC93" s="199" t="s">
        <v>175</v>
      </c>
      <c r="AD93" s="199" t="s">
        <v>175</v>
      </c>
    </row>
    <row r="94" spans="1:30">
      <c r="A94" s="1" t="s">
        <v>275</v>
      </c>
      <c r="B94" s="6" t="s">
        <v>238</v>
      </c>
      <c r="C94" s="6" t="s">
        <v>239</v>
      </c>
      <c r="D94" s="7">
        <v>4064141</v>
      </c>
      <c r="E94" s="199">
        <v>34015</v>
      </c>
      <c r="F94" s="199">
        <v>29590</v>
      </c>
      <c r="G94" s="199">
        <v>26926</v>
      </c>
      <c r="H94" s="199">
        <v>28244</v>
      </c>
      <c r="I94" s="199">
        <v>26367</v>
      </c>
      <c r="J94" s="199">
        <v>27938</v>
      </c>
      <c r="K94" s="199">
        <v>25956</v>
      </c>
      <c r="L94" s="199">
        <v>43520</v>
      </c>
      <c r="M94" s="199">
        <v>38728</v>
      </c>
      <c r="N94" s="199">
        <v>35203</v>
      </c>
      <c r="O94" s="199">
        <v>30594</v>
      </c>
      <c r="P94" s="199">
        <v>30213</v>
      </c>
      <c r="Q94" s="199">
        <v>56503</v>
      </c>
      <c r="R94" s="199">
        <v>50882</v>
      </c>
      <c r="S94" s="199">
        <v>43671</v>
      </c>
      <c r="T94" s="199">
        <v>37642</v>
      </c>
      <c r="U94" s="199">
        <v>33109</v>
      </c>
      <c r="V94" s="199">
        <v>29686</v>
      </c>
      <c r="W94" s="199">
        <v>26384</v>
      </c>
      <c r="X94" s="199" t="s">
        <v>175</v>
      </c>
      <c r="Y94" s="199" t="s">
        <v>175</v>
      </c>
      <c r="Z94" s="199">
        <v>12606</v>
      </c>
      <c r="AA94" s="199">
        <v>10549</v>
      </c>
      <c r="AB94" s="199">
        <v>9061</v>
      </c>
      <c r="AC94" s="199">
        <v>7550</v>
      </c>
      <c r="AD94" s="199">
        <v>9271</v>
      </c>
    </row>
  </sheetData>
  <conditionalFormatting sqref="E7:E207">
    <cfRule type="cellIs" dxfId="0" priority="1" operator="equal">
      <formula>"NA"</formula>
    </cfRule>
  </conditionalFormatting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3:AE91"/>
  <sheetViews>
    <sheetView zoomScale="75" zoomScaleNormal="75" workbookViewId="0">
      <selection activeCell="A3" sqref="A1:XFD1048576"/>
    </sheetView>
  </sheetViews>
  <sheetFormatPr defaultColWidth="9.140625" defaultRowHeight="13.15"/>
  <cols>
    <col min="1" max="1" width="14.28515625" style="1" bestFit="1" customWidth="1"/>
    <col min="2" max="3" width="63.7109375" style="1" bestFit="1" customWidth="1"/>
    <col min="4" max="4" width="22" style="1" bestFit="1" customWidth="1"/>
    <col min="5" max="8" width="19" style="1" customWidth="1"/>
    <col min="9" max="21" width="17.5703125" style="1" customWidth="1"/>
    <col min="22" max="22" width="19" style="1" customWidth="1"/>
    <col min="23" max="27" width="17.5703125" style="1" customWidth="1"/>
    <col min="28" max="16384" width="9.140625" style="1"/>
  </cols>
  <sheetData>
    <row r="3" spans="1:31" ht="53.45">
      <c r="E3" s="198" t="s">
        <v>325</v>
      </c>
      <c r="F3" s="9" t="s">
        <v>326</v>
      </c>
      <c r="G3" s="9" t="s">
        <v>327</v>
      </c>
      <c r="H3" s="9" t="s">
        <v>328</v>
      </c>
      <c r="I3" s="9" t="s">
        <v>329</v>
      </c>
      <c r="J3" s="9" t="s">
        <v>330</v>
      </c>
      <c r="K3" s="9" t="s">
        <v>331</v>
      </c>
      <c r="L3" s="9" t="s">
        <v>332</v>
      </c>
      <c r="M3" s="9" t="s">
        <v>333</v>
      </c>
      <c r="N3" s="9" t="s">
        <v>334</v>
      </c>
      <c r="O3" s="9" t="s">
        <v>335</v>
      </c>
      <c r="P3" s="9" t="s">
        <v>336</v>
      </c>
      <c r="Q3" s="9" t="s">
        <v>337</v>
      </c>
      <c r="R3" s="9" t="s">
        <v>338</v>
      </c>
      <c r="S3" s="9" t="s">
        <v>339</v>
      </c>
      <c r="T3" s="9" t="s">
        <v>340</v>
      </c>
      <c r="U3" s="9" t="s">
        <v>341</v>
      </c>
      <c r="V3" s="9" t="s">
        <v>342</v>
      </c>
      <c r="W3" s="9" t="s">
        <v>343</v>
      </c>
      <c r="X3" s="9" t="s">
        <v>344</v>
      </c>
      <c r="Y3" s="9" t="s">
        <v>345</v>
      </c>
      <c r="Z3" s="9" t="s">
        <v>346</v>
      </c>
      <c r="AA3" s="9" t="s">
        <v>347</v>
      </c>
      <c r="AB3" s="1" t="s">
        <v>348</v>
      </c>
      <c r="AC3" s="1" t="s">
        <v>349</v>
      </c>
      <c r="AD3" s="1" t="s">
        <v>350</v>
      </c>
      <c r="AE3" s="1" t="s">
        <v>351</v>
      </c>
    </row>
    <row r="4" spans="1:31" ht="28.9">
      <c r="B4" s="2"/>
      <c r="C4" s="2"/>
      <c r="D4" s="2"/>
      <c r="E4" s="198" t="s">
        <v>352</v>
      </c>
      <c r="F4" s="9" t="s">
        <v>353</v>
      </c>
      <c r="G4" s="9" t="s">
        <v>353</v>
      </c>
      <c r="H4" s="9" t="s">
        <v>353</v>
      </c>
      <c r="I4" s="9" t="s">
        <v>353</v>
      </c>
      <c r="J4" s="9" t="s">
        <v>353</v>
      </c>
      <c r="K4" s="9" t="s">
        <v>353</v>
      </c>
      <c r="L4" s="9" t="s">
        <v>353</v>
      </c>
      <c r="M4" s="9" t="s">
        <v>353</v>
      </c>
      <c r="N4" s="9" t="s">
        <v>353</v>
      </c>
      <c r="O4" s="9" t="s">
        <v>353</v>
      </c>
      <c r="P4" s="9" t="s">
        <v>353</v>
      </c>
      <c r="Q4" s="9" t="s">
        <v>353</v>
      </c>
      <c r="R4" s="9" t="s">
        <v>353</v>
      </c>
      <c r="S4" s="9" t="s">
        <v>353</v>
      </c>
      <c r="T4" s="9" t="s">
        <v>353</v>
      </c>
      <c r="U4" s="9" t="s">
        <v>353</v>
      </c>
      <c r="V4" s="9" t="s">
        <v>353</v>
      </c>
      <c r="W4" s="9" t="s">
        <v>353</v>
      </c>
      <c r="X4" s="9" t="s">
        <v>353</v>
      </c>
      <c r="Y4" s="9" t="s">
        <v>353</v>
      </c>
      <c r="Z4" s="9" t="s">
        <v>353</v>
      </c>
      <c r="AA4" s="9" t="s">
        <v>353</v>
      </c>
      <c r="AB4" s="1" t="s">
        <v>353</v>
      </c>
      <c r="AC4" s="1" t="s">
        <v>353</v>
      </c>
      <c r="AD4" s="1" t="s">
        <v>353</v>
      </c>
      <c r="AE4" s="1" t="s">
        <v>353</v>
      </c>
    </row>
    <row r="5" spans="1:31" ht="14.45">
      <c r="A5" s="3" t="s">
        <v>271</v>
      </c>
      <c r="B5" s="4" t="s">
        <v>272</v>
      </c>
      <c r="C5" s="4" t="s">
        <v>273</v>
      </c>
      <c r="D5" s="5" t="s">
        <v>1</v>
      </c>
      <c r="E5" s="198" t="s">
        <v>142</v>
      </c>
      <c r="F5" s="9" t="s">
        <v>141</v>
      </c>
      <c r="G5" s="9" t="s">
        <v>140</v>
      </c>
      <c r="H5" s="9" t="s">
        <v>136</v>
      </c>
      <c r="I5" s="9" t="s">
        <v>135</v>
      </c>
      <c r="J5" s="9" t="s">
        <v>133</v>
      </c>
      <c r="K5" s="9" t="s">
        <v>132</v>
      </c>
      <c r="L5" s="9" t="s">
        <v>130</v>
      </c>
      <c r="M5" s="9" t="s">
        <v>129</v>
      </c>
      <c r="N5" s="9" t="s">
        <v>128</v>
      </c>
      <c r="O5" s="9" t="s">
        <v>127</v>
      </c>
      <c r="P5" s="9" t="s">
        <v>126</v>
      </c>
      <c r="Q5" s="9" t="s">
        <v>125</v>
      </c>
      <c r="R5" s="9" t="s">
        <v>120</v>
      </c>
      <c r="S5" s="9" t="s">
        <v>118</v>
      </c>
      <c r="T5" s="9" t="s">
        <v>117</v>
      </c>
      <c r="U5" s="9" t="s">
        <v>116</v>
      </c>
      <c r="V5" s="9" t="s">
        <v>115</v>
      </c>
      <c r="W5" s="9" t="s">
        <v>114</v>
      </c>
      <c r="X5" s="9" t="s">
        <v>113</v>
      </c>
      <c r="Y5" s="9" t="s">
        <v>111</v>
      </c>
      <c r="Z5" s="9" t="s">
        <v>107</v>
      </c>
      <c r="AA5" s="9" t="s">
        <v>106</v>
      </c>
      <c r="AB5" s="1" t="s">
        <v>100</v>
      </c>
      <c r="AC5" s="1" t="s">
        <v>316</v>
      </c>
      <c r="AD5" s="1" t="s">
        <v>317</v>
      </c>
      <c r="AE5" s="1" t="s">
        <v>318</v>
      </c>
    </row>
    <row r="6" spans="1:31">
      <c r="B6" s="2"/>
      <c r="C6" s="2"/>
      <c r="D6" s="2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31">
      <c r="B7" s="6" t="s">
        <v>274</v>
      </c>
      <c r="C7" s="6" t="s">
        <v>274</v>
      </c>
      <c r="D7" s="7">
        <v>4058513</v>
      </c>
      <c r="E7" s="197" t="s">
        <v>175</v>
      </c>
      <c r="F7" s="197" t="s">
        <v>175</v>
      </c>
      <c r="G7" s="197" t="s">
        <v>175</v>
      </c>
      <c r="H7" s="197" t="s">
        <v>175</v>
      </c>
      <c r="I7" s="197">
        <v>8904</v>
      </c>
      <c r="J7" s="197">
        <v>4226</v>
      </c>
      <c r="K7" s="197">
        <v>4502</v>
      </c>
      <c r="L7" s="197">
        <v>4013</v>
      </c>
      <c r="M7" s="197">
        <v>3396</v>
      </c>
      <c r="N7" s="197">
        <v>2259</v>
      </c>
      <c r="O7" s="197">
        <v>2122</v>
      </c>
      <c r="P7" s="197">
        <v>3110</v>
      </c>
      <c r="Q7" s="197">
        <v>3606</v>
      </c>
      <c r="R7" s="197">
        <v>2853</v>
      </c>
      <c r="S7" s="197">
        <v>3257</v>
      </c>
      <c r="T7" s="197">
        <v>2875</v>
      </c>
      <c r="U7" s="197">
        <v>2826</v>
      </c>
      <c r="V7" s="197">
        <v>1937</v>
      </c>
      <c r="W7" s="197">
        <v>1305</v>
      </c>
      <c r="X7" s="197">
        <v>1902</v>
      </c>
      <c r="Y7" s="197" t="s">
        <v>175</v>
      </c>
      <c r="Z7" s="197" t="s">
        <v>175</v>
      </c>
      <c r="AA7" s="197" t="s">
        <v>175</v>
      </c>
      <c r="AB7" s="1" t="s">
        <v>175</v>
      </c>
      <c r="AC7" s="1" t="s">
        <v>175</v>
      </c>
      <c r="AD7" s="1" t="s">
        <v>175</v>
      </c>
      <c r="AE7" s="1" t="s">
        <v>175</v>
      </c>
    </row>
    <row r="8" spans="1:31">
      <c r="B8" s="6" t="s">
        <v>98</v>
      </c>
      <c r="C8" s="6" t="s">
        <v>98</v>
      </c>
      <c r="D8" s="7">
        <v>4054707</v>
      </c>
      <c r="E8" s="197">
        <v>262371</v>
      </c>
      <c r="F8" s="197">
        <v>163650</v>
      </c>
      <c r="G8" s="197">
        <v>210651</v>
      </c>
      <c r="H8" s="197">
        <v>199177</v>
      </c>
      <c r="I8" s="197">
        <v>197431</v>
      </c>
      <c r="J8" s="197">
        <v>197690</v>
      </c>
      <c r="K8" s="197">
        <v>225205</v>
      </c>
      <c r="L8" s="197">
        <v>176212</v>
      </c>
      <c r="M8" s="197">
        <v>143553</v>
      </c>
      <c r="N8" s="197">
        <v>69639</v>
      </c>
      <c r="O8" s="197">
        <v>223485</v>
      </c>
      <c r="P8" s="197">
        <v>112536</v>
      </c>
      <c r="Q8" s="197">
        <v>175450</v>
      </c>
      <c r="R8" s="197">
        <v>125734</v>
      </c>
      <c r="S8" s="197">
        <v>90558</v>
      </c>
      <c r="T8" s="197">
        <v>70711</v>
      </c>
      <c r="U8" s="197">
        <v>156227</v>
      </c>
      <c r="V8" s="197">
        <v>89428</v>
      </c>
      <c r="W8" s="197">
        <v>79948</v>
      </c>
      <c r="X8" s="197">
        <v>96943</v>
      </c>
      <c r="Y8" s="197">
        <v>92757</v>
      </c>
      <c r="Z8" s="197">
        <v>96835</v>
      </c>
      <c r="AA8" s="197">
        <v>109283</v>
      </c>
      <c r="AB8" s="1">
        <v>84798</v>
      </c>
      <c r="AC8" s="1">
        <v>0</v>
      </c>
      <c r="AD8" s="1">
        <v>0</v>
      </c>
      <c r="AE8" s="1">
        <v>0</v>
      </c>
    </row>
    <row r="9" spans="1:31">
      <c r="B9" s="6" t="s">
        <v>145</v>
      </c>
      <c r="C9" s="6" t="s">
        <v>145</v>
      </c>
      <c r="D9" s="7">
        <v>4057075</v>
      </c>
      <c r="E9" s="197">
        <v>15077</v>
      </c>
      <c r="F9" s="197">
        <v>83187</v>
      </c>
      <c r="G9" s="197">
        <v>96658</v>
      </c>
      <c r="H9" s="197">
        <v>96973</v>
      </c>
      <c r="I9" s="197">
        <v>82850</v>
      </c>
      <c r="J9" s="197">
        <v>78774</v>
      </c>
      <c r="K9" s="197">
        <v>70596</v>
      </c>
      <c r="L9" s="197">
        <v>52761</v>
      </c>
      <c r="M9" s="197">
        <v>62293</v>
      </c>
      <c r="N9" s="197">
        <v>24260</v>
      </c>
      <c r="O9" s="197">
        <v>34464</v>
      </c>
      <c r="P9" s="197">
        <v>26396</v>
      </c>
      <c r="Q9" s="197">
        <v>35762</v>
      </c>
      <c r="R9" s="197">
        <v>54381</v>
      </c>
      <c r="S9" s="197">
        <v>46636</v>
      </c>
      <c r="T9" s="197">
        <v>33443</v>
      </c>
      <c r="U9" s="197">
        <v>24415</v>
      </c>
      <c r="V9" s="197">
        <v>20977</v>
      </c>
      <c r="W9" s="197">
        <v>20064</v>
      </c>
      <c r="X9" s="197">
        <v>16713</v>
      </c>
      <c r="Y9" s="197">
        <v>16438</v>
      </c>
      <c r="Z9" s="197">
        <v>24644</v>
      </c>
      <c r="AA9" s="197">
        <v>20879</v>
      </c>
      <c r="AB9" s="1">
        <v>24460</v>
      </c>
      <c r="AC9" s="1" t="s">
        <v>175</v>
      </c>
      <c r="AD9" s="1">
        <v>0</v>
      </c>
      <c r="AE9" s="1">
        <v>0</v>
      </c>
    </row>
    <row r="10" spans="1:31">
      <c r="A10" s="1" t="s">
        <v>275</v>
      </c>
      <c r="B10" s="6" t="s">
        <v>154</v>
      </c>
      <c r="C10" s="6" t="s">
        <v>154</v>
      </c>
      <c r="D10" s="7">
        <v>4007784</v>
      </c>
      <c r="E10" s="197">
        <v>401846.52</v>
      </c>
      <c r="F10" s="197">
        <v>336562</v>
      </c>
      <c r="G10" s="197">
        <v>399000</v>
      </c>
      <c r="H10" s="197">
        <v>253684</v>
      </c>
      <c r="I10" s="197">
        <v>232572</v>
      </c>
      <c r="J10" s="197">
        <v>222151</v>
      </c>
      <c r="K10" s="197">
        <v>195451</v>
      </c>
      <c r="L10" s="197">
        <v>108610</v>
      </c>
      <c r="M10" s="197">
        <v>111865</v>
      </c>
      <c r="N10" s="197">
        <v>164182</v>
      </c>
      <c r="O10" s="197">
        <v>74924</v>
      </c>
      <c r="P10" s="197">
        <v>61438</v>
      </c>
      <c r="Q10" s="197">
        <v>43244</v>
      </c>
      <c r="R10" s="197">
        <v>48406</v>
      </c>
      <c r="S10" s="197">
        <v>40267</v>
      </c>
      <c r="T10" s="197">
        <v>40545</v>
      </c>
      <c r="U10" s="197">
        <v>41985</v>
      </c>
      <c r="V10" s="197">
        <v>36090</v>
      </c>
      <c r="W10" s="197">
        <v>36538</v>
      </c>
      <c r="X10" s="197">
        <v>38181</v>
      </c>
      <c r="Y10" s="197">
        <v>44374</v>
      </c>
      <c r="Z10" s="197">
        <v>48342</v>
      </c>
      <c r="AA10" s="197">
        <v>54256</v>
      </c>
      <c r="AB10" s="1">
        <v>73204</v>
      </c>
      <c r="AC10" s="1" t="s">
        <v>175</v>
      </c>
      <c r="AD10" s="1" t="s">
        <v>175</v>
      </c>
      <c r="AE10" s="1">
        <v>78002</v>
      </c>
    </row>
    <row r="11" spans="1:31">
      <c r="A11" s="1" t="s">
        <v>275</v>
      </c>
      <c r="B11" s="6" t="s">
        <v>276</v>
      </c>
      <c r="C11" s="6" t="s">
        <v>277</v>
      </c>
      <c r="D11" s="7">
        <v>4058656</v>
      </c>
      <c r="E11" s="197" t="s">
        <v>175</v>
      </c>
      <c r="F11" s="197">
        <v>57032</v>
      </c>
      <c r="G11" s="197">
        <v>332981</v>
      </c>
      <c r="H11" s="197">
        <v>131256</v>
      </c>
      <c r="I11" s="197">
        <v>117081</v>
      </c>
      <c r="J11" s="197">
        <v>120067</v>
      </c>
      <c r="K11" s="197">
        <v>72338</v>
      </c>
      <c r="L11" s="197">
        <v>98296</v>
      </c>
      <c r="M11" s="197">
        <v>53926</v>
      </c>
      <c r="N11" s="197">
        <v>65105</v>
      </c>
      <c r="O11" s="197">
        <v>49525</v>
      </c>
      <c r="P11" s="197">
        <v>34792</v>
      </c>
      <c r="Q11" s="197">
        <v>44981</v>
      </c>
      <c r="R11" s="197">
        <v>52662</v>
      </c>
      <c r="S11" s="197">
        <v>51131</v>
      </c>
      <c r="T11" s="197">
        <v>54619</v>
      </c>
      <c r="U11" s="197">
        <v>29428</v>
      </c>
      <c r="V11" s="197">
        <v>18850</v>
      </c>
      <c r="W11" s="197">
        <v>17166</v>
      </c>
      <c r="X11" s="197">
        <v>15710</v>
      </c>
      <c r="Y11" s="197">
        <v>16448</v>
      </c>
      <c r="Z11" s="197" t="s">
        <v>175</v>
      </c>
      <c r="AA11" s="197">
        <v>14893</v>
      </c>
      <c r="AB11" s="1" t="s">
        <v>175</v>
      </c>
      <c r="AC11" s="1" t="s">
        <v>175</v>
      </c>
      <c r="AD11" s="1" t="s">
        <v>175</v>
      </c>
      <c r="AE11" s="1" t="s">
        <v>175</v>
      </c>
    </row>
    <row r="12" spans="1:31">
      <c r="A12" s="1" t="s">
        <v>275</v>
      </c>
      <c r="B12" s="6" t="s">
        <v>162</v>
      </c>
      <c r="C12" s="6" t="s">
        <v>163</v>
      </c>
      <c r="D12" s="7">
        <v>4057110</v>
      </c>
      <c r="E12" s="197">
        <v>876</v>
      </c>
      <c r="F12" s="197">
        <v>4902</v>
      </c>
      <c r="G12" s="197">
        <v>4079</v>
      </c>
      <c r="H12" s="197">
        <v>4956</v>
      </c>
      <c r="I12" s="197">
        <v>4743</v>
      </c>
      <c r="J12" s="197">
        <v>5372</v>
      </c>
      <c r="K12" s="197">
        <v>4286</v>
      </c>
      <c r="L12" s="197">
        <v>4788</v>
      </c>
      <c r="M12" s="197">
        <v>6163</v>
      </c>
      <c r="N12" s="197">
        <v>4877</v>
      </c>
      <c r="O12" s="197">
        <v>3244</v>
      </c>
      <c r="P12" s="197">
        <v>2721</v>
      </c>
      <c r="Q12" s="197">
        <v>2270</v>
      </c>
      <c r="R12" s="197">
        <v>3233</v>
      </c>
      <c r="S12" s="197">
        <v>2552</v>
      </c>
      <c r="T12" s="197">
        <v>2166</v>
      </c>
      <c r="U12" s="197">
        <v>2187</v>
      </c>
      <c r="V12" s="197">
        <v>2293</v>
      </c>
      <c r="W12" s="197">
        <v>1597</v>
      </c>
      <c r="X12" s="197">
        <v>1930</v>
      </c>
      <c r="Y12" s="197">
        <v>2035</v>
      </c>
      <c r="Z12" s="197">
        <v>2234</v>
      </c>
      <c r="AA12" s="197">
        <v>1884</v>
      </c>
      <c r="AB12" s="1">
        <v>5166</v>
      </c>
      <c r="AC12" s="1" t="s">
        <v>175</v>
      </c>
      <c r="AD12" s="1" t="s">
        <v>175</v>
      </c>
      <c r="AE12" s="1" t="s">
        <v>175</v>
      </c>
    </row>
    <row r="13" spans="1:31">
      <c r="B13" s="6" t="s">
        <v>165</v>
      </c>
      <c r="C13" s="6" t="s">
        <v>165</v>
      </c>
      <c r="D13" s="7">
        <v>4058516</v>
      </c>
      <c r="E13" s="197">
        <v>58721</v>
      </c>
      <c r="F13" s="197">
        <v>23450</v>
      </c>
      <c r="G13" s="197">
        <v>22039</v>
      </c>
      <c r="H13" s="197">
        <v>17938</v>
      </c>
      <c r="I13" s="197">
        <v>32070</v>
      </c>
      <c r="J13" s="197">
        <v>35697</v>
      </c>
      <c r="K13" s="197">
        <v>24837</v>
      </c>
      <c r="L13" s="197">
        <v>16710</v>
      </c>
      <c r="M13" s="197">
        <v>15461</v>
      </c>
      <c r="N13" s="197">
        <v>15379</v>
      </c>
      <c r="O13" s="197">
        <v>11183</v>
      </c>
      <c r="P13" s="197">
        <v>5455</v>
      </c>
      <c r="Q13" s="197">
        <v>3673</v>
      </c>
      <c r="R13" s="197">
        <v>1868</v>
      </c>
      <c r="S13" s="197">
        <v>5232</v>
      </c>
      <c r="T13" s="197">
        <v>7575</v>
      </c>
      <c r="U13" s="197">
        <v>7170</v>
      </c>
      <c r="V13" s="197">
        <v>5319</v>
      </c>
      <c r="W13" s="197">
        <v>4413</v>
      </c>
      <c r="X13" s="197">
        <v>3179</v>
      </c>
      <c r="Y13" s="197">
        <v>2569</v>
      </c>
      <c r="Z13" s="197">
        <v>3129</v>
      </c>
      <c r="AA13" s="197">
        <v>4408</v>
      </c>
      <c r="AB13" s="1">
        <v>5691</v>
      </c>
      <c r="AC13" s="1">
        <v>0</v>
      </c>
      <c r="AD13" s="1">
        <v>0</v>
      </c>
      <c r="AE13" s="1">
        <v>0</v>
      </c>
    </row>
    <row r="14" spans="1:31">
      <c r="B14" s="6" t="s">
        <v>167</v>
      </c>
      <c r="C14" s="6" t="s">
        <v>167</v>
      </c>
      <c r="D14" s="7">
        <v>4058793</v>
      </c>
      <c r="E14" s="197">
        <v>2314</v>
      </c>
      <c r="F14" s="197">
        <v>2423</v>
      </c>
      <c r="G14" s="197">
        <v>1570</v>
      </c>
      <c r="H14" s="197">
        <v>1603</v>
      </c>
      <c r="I14" s="197">
        <v>68</v>
      </c>
      <c r="J14" s="197">
        <v>465</v>
      </c>
      <c r="K14" s="197">
        <v>270</v>
      </c>
      <c r="L14" s="197">
        <v>103</v>
      </c>
      <c r="M14" s="197">
        <v>56</v>
      </c>
      <c r="N14" s="197">
        <v>420</v>
      </c>
      <c r="O14" s="197">
        <v>226</v>
      </c>
      <c r="P14" s="197">
        <v>202</v>
      </c>
      <c r="Q14" s="197">
        <v>440</v>
      </c>
      <c r="R14" s="197">
        <v>366</v>
      </c>
      <c r="S14" s="197">
        <v>374</v>
      </c>
      <c r="T14" s="197">
        <v>466</v>
      </c>
      <c r="U14" s="197">
        <v>652</v>
      </c>
      <c r="V14" s="197">
        <v>748</v>
      </c>
      <c r="W14" s="197">
        <v>391</v>
      </c>
      <c r="X14" s="197">
        <v>475</v>
      </c>
      <c r="Y14" s="197">
        <v>613</v>
      </c>
      <c r="Z14" s="197">
        <v>409</v>
      </c>
      <c r="AA14" s="197">
        <v>483</v>
      </c>
      <c r="AB14" s="1">
        <v>440</v>
      </c>
      <c r="AC14" s="1" t="s">
        <v>175</v>
      </c>
      <c r="AD14" s="1" t="s">
        <v>175</v>
      </c>
      <c r="AE14" s="1" t="s">
        <v>175</v>
      </c>
    </row>
    <row r="15" spans="1:31">
      <c r="A15" s="1" t="s">
        <v>275</v>
      </c>
      <c r="B15" s="6" t="s">
        <v>169</v>
      </c>
      <c r="C15" s="6" t="s">
        <v>169</v>
      </c>
      <c r="D15" s="7">
        <v>4057111</v>
      </c>
      <c r="E15" s="197">
        <v>170443.24400000001</v>
      </c>
      <c r="F15" s="197">
        <v>115249</v>
      </c>
      <c r="G15" s="197">
        <v>120908</v>
      </c>
      <c r="H15" s="197">
        <v>90088</v>
      </c>
      <c r="I15" s="197">
        <v>99053</v>
      </c>
      <c r="J15" s="197">
        <v>86820</v>
      </c>
      <c r="K15" s="197">
        <v>80387</v>
      </c>
      <c r="L15" s="197">
        <v>85068</v>
      </c>
      <c r="M15" s="197">
        <v>56659</v>
      </c>
      <c r="N15" s="197">
        <v>91463</v>
      </c>
      <c r="O15" s="197">
        <v>88772</v>
      </c>
      <c r="P15" s="197">
        <v>82414</v>
      </c>
      <c r="Q15" s="197">
        <v>102421</v>
      </c>
      <c r="R15" s="197">
        <v>71787</v>
      </c>
      <c r="S15" s="197">
        <v>48309</v>
      </c>
      <c r="T15" s="197">
        <v>50191</v>
      </c>
      <c r="U15" s="197">
        <v>26478</v>
      </c>
      <c r="V15" s="197">
        <v>57010</v>
      </c>
      <c r="W15" s="197">
        <v>42717</v>
      </c>
      <c r="X15" s="197">
        <v>96693</v>
      </c>
      <c r="Y15" s="197">
        <v>95946</v>
      </c>
      <c r="Z15" s="197">
        <v>59222</v>
      </c>
      <c r="AA15" s="197">
        <v>44686</v>
      </c>
      <c r="AB15" s="1">
        <v>49200</v>
      </c>
      <c r="AC15" s="1">
        <v>0</v>
      </c>
      <c r="AD15" s="1">
        <v>0</v>
      </c>
      <c r="AE15" s="1">
        <v>0</v>
      </c>
    </row>
    <row r="16" spans="1:31">
      <c r="A16" s="1" t="s">
        <v>275</v>
      </c>
      <c r="B16" s="6" t="s">
        <v>170</v>
      </c>
      <c r="C16" s="6" t="s">
        <v>170</v>
      </c>
      <c r="D16" s="7">
        <v>4018679</v>
      </c>
      <c r="E16" s="197">
        <v>476594</v>
      </c>
      <c r="F16" s="197">
        <v>370927</v>
      </c>
      <c r="G16" s="197">
        <v>899746</v>
      </c>
      <c r="H16" s="197">
        <v>627568</v>
      </c>
      <c r="I16" s="197">
        <v>443763</v>
      </c>
      <c r="J16" s="197">
        <v>257319</v>
      </c>
      <c r="K16" s="197">
        <v>268204</v>
      </c>
      <c r="L16" s="197">
        <v>309923</v>
      </c>
      <c r="M16" s="197">
        <v>94476</v>
      </c>
      <c r="N16" s="197">
        <v>114225</v>
      </c>
      <c r="O16" s="197">
        <v>161069</v>
      </c>
      <c r="P16" s="197">
        <v>155300</v>
      </c>
      <c r="Q16" s="197">
        <v>126296</v>
      </c>
      <c r="R16" s="197">
        <v>179733</v>
      </c>
      <c r="S16" s="197">
        <v>108370</v>
      </c>
      <c r="T16" s="197">
        <v>133989</v>
      </c>
      <c r="U16" s="197">
        <v>110310</v>
      </c>
      <c r="V16" s="197">
        <v>146160</v>
      </c>
      <c r="W16" s="197">
        <v>130161</v>
      </c>
      <c r="X16" s="197">
        <v>112651</v>
      </c>
      <c r="Y16" s="197">
        <v>67776</v>
      </c>
      <c r="Z16" s="197">
        <v>94562</v>
      </c>
      <c r="AA16" s="197">
        <v>88293</v>
      </c>
      <c r="AB16" s="1">
        <v>72879</v>
      </c>
      <c r="AC16" s="1">
        <v>0</v>
      </c>
      <c r="AD16" s="1">
        <v>0</v>
      </c>
      <c r="AE16" s="1">
        <v>0</v>
      </c>
    </row>
    <row r="17" spans="1:31">
      <c r="B17" s="6" t="s">
        <v>172</v>
      </c>
      <c r="C17" s="6" t="s">
        <v>172</v>
      </c>
      <c r="D17" s="7">
        <v>4057112</v>
      </c>
      <c r="E17" s="197">
        <v>56437</v>
      </c>
      <c r="F17" s="197">
        <v>96416</v>
      </c>
      <c r="G17" s="197">
        <v>73360</v>
      </c>
      <c r="H17" s="197">
        <v>88477</v>
      </c>
      <c r="I17" s="197">
        <v>64716</v>
      </c>
      <c r="J17" s="197">
        <v>53044</v>
      </c>
      <c r="K17" s="197">
        <v>58575</v>
      </c>
      <c r="L17" s="197">
        <v>26317</v>
      </c>
      <c r="M17" s="197">
        <v>25482</v>
      </c>
      <c r="N17" s="197">
        <v>28477</v>
      </c>
      <c r="O17" s="197">
        <v>14019</v>
      </c>
      <c r="P17" s="197">
        <v>7534</v>
      </c>
      <c r="Q17" s="197">
        <v>9872</v>
      </c>
      <c r="R17" s="197">
        <v>20724</v>
      </c>
      <c r="S17" s="197">
        <v>24566</v>
      </c>
      <c r="T17" s="197">
        <v>18247</v>
      </c>
      <c r="U17" s="197">
        <v>20988</v>
      </c>
      <c r="V17" s="197">
        <v>29310</v>
      </c>
      <c r="W17" s="197">
        <v>22030</v>
      </c>
      <c r="X17" s="197">
        <v>14800</v>
      </c>
      <c r="Y17" s="197">
        <v>14397</v>
      </c>
      <c r="Z17" s="197">
        <v>16919</v>
      </c>
      <c r="AA17" s="197">
        <v>20610</v>
      </c>
      <c r="AB17" s="1">
        <v>23848</v>
      </c>
      <c r="AC17" s="1">
        <v>0</v>
      </c>
      <c r="AD17" s="1">
        <v>0</v>
      </c>
      <c r="AE17" s="1">
        <v>0</v>
      </c>
    </row>
    <row r="18" spans="1:31">
      <c r="A18" s="1" t="s">
        <v>275</v>
      </c>
      <c r="B18" s="6" t="s">
        <v>173</v>
      </c>
      <c r="C18" s="6" t="s">
        <v>173</v>
      </c>
      <c r="D18" s="7">
        <v>4057076</v>
      </c>
      <c r="E18" s="197">
        <v>59179</v>
      </c>
      <c r="F18" s="197" t="s">
        <v>175</v>
      </c>
      <c r="G18" s="197">
        <v>53165</v>
      </c>
      <c r="H18" s="197">
        <v>67272</v>
      </c>
      <c r="I18" s="197">
        <v>48366</v>
      </c>
      <c r="J18" s="197">
        <v>43308</v>
      </c>
      <c r="K18" s="197">
        <v>36670</v>
      </c>
      <c r="L18" s="197">
        <v>23525</v>
      </c>
      <c r="M18" s="197">
        <v>36005</v>
      </c>
      <c r="N18" s="197">
        <v>19448</v>
      </c>
      <c r="O18" s="197">
        <v>13088</v>
      </c>
      <c r="P18" s="197">
        <v>10974</v>
      </c>
      <c r="Q18" s="197">
        <v>17213</v>
      </c>
      <c r="R18" s="197">
        <v>14866</v>
      </c>
      <c r="S18" s="197">
        <v>12228</v>
      </c>
      <c r="T18" s="197">
        <v>12556</v>
      </c>
      <c r="U18" s="197">
        <v>12340</v>
      </c>
      <c r="V18" s="197">
        <v>15738</v>
      </c>
      <c r="W18" s="197">
        <v>10063</v>
      </c>
      <c r="X18" s="197">
        <v>8861</v>
      </c>
      <c r="Y18" s="197">
        <v>7022</v>
      </c>
      <c r="Z18" s="197">
        <v>7529</v>
      </c>
      <c r="AA18" s="197">
        <v>6332</v>
      </c>
      <c r="AB18" s="1">
        <v>7337</v>
      </c>
      <c r="AC18" s="1">
        <v>0</v>
      </c>
      <c r="AD18" s="1">
        <v>0</v>
      </c>
      <c r="AE18" s="1">
        <v>0</v>
      </c>
    </row>
    <row r="19" spans="1:31">
      <c r="B19" s="6" t="s">
        <v>278</v>
      </c>
      <c r="C19" s="6" t="s">
        <v>278</v>
      </c>
      <c r="D19" s="7">
        <v>4059166</v>
      </c>
      <c r="E19" s="197" t="s">
        <v>175</v>
      </c>
      <c r="F19" s="197">
        <v>15892</v>
      </c>
      <c r="G19" s="197">
        <v>48213</v>
      </c>
      <c r="H19" s="197">
        <v>4426</v>
      </c>
      <c r="I19" s="197">
        <v>9349</v>
      </c>
      <c r="J19" s="197">
        <v>9850</v>
      </c>
      <c r="K19" s="197">
        <v>13147</v>
      </c>
      <c r="L19" s="197">
        <v>19657</v>
      </c>
      <c r="M19" s="197">
        <v>4125</v>
      </c>
      <c r="N19" s="197">
        <v>4387</v>
      </c>
      <c r="O19" s="197">
        <v>8001</v>
      </c>
      <c r="P19" s="197">
        <v>1525</v>
      </c>
      <c r="Q19" s="197">
        <v>9832</v>
      </c>
      <c r="R19" s="197">
        <v>6035</v>
      </c>
      <c r="S19" s="197">
        <v>4989</v>
      </c>
      <c r="T19" s="197">
        <v>6699</v>
      </c>
      <c r="U19" s="197">
        <v>2283</v>
      </c>
      <c r="V19" s="197">
        <v>4200</v>
      </c>
      <c r="W19" s="197">
        <v>3507</v>
      </c>
      <c r="X19" s="197">
        <v>1366</v>
      </c>
      <c r="Y19" s="197">
        <v>4537</v>
      </c>
      <c r="Z19" s="197">
        <v>3111</v>
      </c>
      <c r="AA19" s="197" t="s">
        <v>175</v>
      </c>
      <c r="AB19" s="1" t="s">
        <v>175</v>
      </c>
      <c r="AC19" s="1">
        <v>0</v>
      </c>
      <c r="AD19" s="1">
        <v>0</v>
      </c>
      <c r="AE19" s="1">
        <v>0</v>
      </c>
    </row>
    <row r="20" spans="1:31">
      <c r="B20" s="6" t="s">
        <v>279</v>
      </c>
      <c r="C20" s="6" t="s">
        <v>279</v>
      </c>
      <c r="D20" s="7">
        <v>4059227</v>
      </c>
      <c r="E20" s="197" t="s">
        <v>175</v>
      </c>
      <c r="F20" s="197">
        <v>699</v>
      </c>
      <c r="G20" s="197">
        <v>535</v>
      </c>
      <c r="H20" s="197">
        <v>602</v>
      </c>
      <c r="I20" s="197">
        <v>759</v>
      </c>
      <c r="J20" s="197">
        <v>725</v>
      </c>
      <c r="K20" s="197">
        <v>424</v>
      </c>
      <c r="L20" s="197">
        <v>62</v>
      </c>
      <c r="M20" s="197">
        <v>911</v>
      </c>
      <c r="N20" s="197">
        <v>274</v>
      </c>
      <c r="O20" s="197">
        <v>366</v>
      </c>
      <c r="P20" s="197">
        <v>521</v>
      </c>
      <c r="Q20" s="197">
        <v>287</v>
      </c>
      <c r="R20" s="197">
        <v>700</v>
      </c>
      <c r="S20" s="197">
        <v>63</v>
      </c>
      <c r="T20" s="197">
        <v>456</v>
      </c>
      <c r="U20" s="197">
        <v>387</v>
      </c>
      <c r="V20" s="197" t="s">
        <v>175</v>
      </c>
      <c r="W20" s="197">
        <v>356</v>
      </c>
      <c r="X20" s="197">
        <v>597</v>
      </c>
      <c r="Y20" s="197" t="s">
        <v>175</v>
      </c>
      <c r="Z20" s="197">
        <v>520</v>
      </c>
      <c r="AA20" s="197" t="s">
        <v>175</v>
      </c>
      <c r="AB20" s="1" t="s">
        <v>175</v>
      </c>
      <c r="AC20" s="1" t="s">
        <v>175</v>
      </c>
      <c r="AD20" s="1">
        <v>0</v>
      </c>
      <c r="AE20" s="1">
        <v>0</v>
      </c>
    </row>
    <row r="21" spans="1:31">
      <c r="A21" s="1" t="s">
        <v>275</v>
      </c>
      <c r="B21" s="6" t="s">
        <v>174</v>
      </c>
      <c r="C21" s="6" t="s">
        <v>174</v>
      </c>
      <c r="D21" s="7">
        <v>4057114</v>
      </c>
      <c r="E21" s="197" t="s">
        <v>175</v>
      </c>
      <c r="F21" s="197">
        <v>37935</v>
      </c>
      <c r="G21" s="197">
        <v>20813</v>
      </c>
      <c r="H21" s="197">
        <v>20302</v>
      </c>
      <c r="I21" s="197">
        <v>16910</v>
      </c>
      <c r="J21" s="197">
        <v>15411</v>
      </c>
      <c r="K21" s="197">
        <v>12714</v>
      </c>
      <c r="L21" s="197">
        <v>15374</v>
      </c>
      <c r="M21" s="197">
        <v>11885</v>
      </c>
      <c r="N21" s="197">
        <v>17040</v>
      </c>
      <c r="O21" s="197">
        <v>15303</v>
      </c>
      <c r="P21" s="197">
        <v>10193</v>
      </c>
      <c r="Q21" s="197">
        <v>13753</v>
      </c>
      <c r="R21" s="197">
        <v>9098</v>
      </c>
      <c r="S21" s="197">
        <v>12350</v>
      </c>
      <c r="T21" s="197">
        <v>7201</v>
      </c>
      <c r="U21" s="197">
        <v>8863</v>
      </c>
      <c r="V21" s="197">
        <v>10670</v>
      </c>
      <c r="W21" s="197">
        <v>10170</v>
      </c>
      <c r="X21" s="197">
        <v>20282</v>
      </c>
      <c r="Y21" s="197">
        <v>22350</v>
      </c>
      <c r="Z21" s="197">
        <v>12467</v>
      </c>
      <c r="AA21" s="197">
        <v>24088</v>
      </c>
      <c r="AB21" s="1">
        <v>22978</v>
      </c>
      <c r="AC21" s="1">
        <v>0</v>
      </c>
      <c r="AD21" s="1">
        <v>0</v>
      </c>
      <c r="AE21" s="1">
        <v>0</v>
      </c>
    </row>
    <row r="22" spans="1:31">
      <c r="B22" s="6" t="s">
        <v>176</v>
      </c>
      <c r="C22" s="6" t="s">
        <v>176</v>
      </c>
      <c r="D22" s="7">
        <v>4059355</v>
      </c>
      <c r="E22" s="197">
        <v>65321</v>
      </c>
      <c r="F22" s="197">
        <v>59334</v>
      </c>
      <c r="G22" s="197">
        <v>54071</v>
      </c>
      <c r="H22" s="197">
        <v>36820</v>
      </c>
      <c r="I22" s="197">
        <v>33566</v>
      </c>
      <c r="J22" s="197">
        <v>33397</v>
      </c>
      <c r="K22" s="197">
        <v>31981</v>
      </c>
      <c r="L22" s="197">
        <v>30152</v>
      </c>
      <c r="M22" s="197">
        <v>20770</v>
      </c>
      <c r="N22" s="197">
        <v>17628</v>
      </c>
      <c r="O22" s="197">
        <v>14062</v>
      </c>
      <c r="P22" s="197">
        <v>8574</v>
      </c>
      <c r="Q22" s="197">
        <v>12789</v>
      </c>
      <c r="R22" s="197">
        <v>12674</v>
      </c>
      <c r="S22" s="197">
        <v>9282</v>
      </c>
      <c r="T22" s="197">
        <v>10771</v>
      </c>
      <c r="U22" s="197">
        <v>6468</v>
      </c>
      <c r="V22" s="197">
        <v>7903</v>
      </c>
      <c r="W22" s="197">
        <v>8279</v>
      </c>
      <c r="X22" s="197">
        <v>11911</v>
      </c>
      <c r="Y22" s="197">
        <v>10108</v>
      </c>
      <c r="Z22" s="197">
        <v>0</v>
      </c>
      <c r="AA22" s="197">
        <v>9952</v>
      </c>
      <c r="AB22" s="1">
        <v>10063</v>
      </c>
      <c r="AC22" s="1">
        <v>0</v>
      </c>
      <c r="AD22" s="1">
        <v>0</v>
      </c>
      <c r="AE22" s="1">
        <v>0</v>
      </c>
    </row>
    <row r="23" spans="1:31">
      <c r="B23" s="6" t="s">
        <v>178</v>
      </c>
      <c r="C23" s="6" t="s">
        <v>178</v>
      </c>
      <c r="D23" s="7">
        <v>4088325</v>
      </c>
      <c r="E23" s="197">
        <v>32117</v>
      </c>
      <c r="F23" s="197">
        <v>21186</v>
      </c>
      <c r="G23" s="197">
        <v>26770</v>
      </c>
      <c r="H23" s="197">
        <v>21894</v>
      </c>
      <c r="I23" s="197">
        <v>17957</v>
      </c>
      <c r="J23" s="197">
        <v>11541</v>
      </c>
      <c r="K23" s="197">
        <v>15680</v>
      </c>
      <c r="L23" s="197">
        <v>13403</v>
      </c>
      <c r="M23" s="197">
        <v>8974</v>
      </c>
      <c r="N23" s="197">
        <v>8967</v>
      </c>
      <c r="O23" s="197">
        <v>8306</v>
      </c>
      <c r="P23" s="197">
        <v>6179</v>
      </c>
      <c r="Q23" s="197">
        <v>9773</v>
      </c>
      <c r="R23" s="197">
        <v>4823</v>
      </c>
      <c r="S23" s="197">
        <v>4424</v>
      </c>
      <c r="T23" s="197">
        <v>3823</v>
      </c>
      <c r="U23" s="197">
        <v>3900</v>
      </c>
      <c r="V23" s="197">
        <v>3107</v>
      </c>
      <c r="W23" s="197">
        <v>943</v>
      </c>
      <c r="X23" s="197">
        <v>1751</v>
      </c>
      <c r="Y23" s="197">
        <v>3868</v>
      </c>
      <c r="Z23" s="197">
        <v>3364</v>
      </c>
      <c r="AA23" s="197">
        <v>3292</v>
      </c>
      <c r="AB23" s="1">
        <v>5144</v>
      </c>
      <c r="AC23" s="1">
        <v>0</v>
      </c>
      <c r="AD23" s="1">
        <v>0</v>
      </c>
      <c r="AE23" s="1">
        <v>0</v>
      </c>
    </row>
    <row r="24" spans="1:31">
      <c r="B24" s="6" t="s">
        <v>280</v>
      </c>
      <c r="C24" s="6" t="s">
        <v>280</v>
      </c>
      <c r="D24" s="7">
        <v>4088326</v>
      </c>
      <c r="E24" s="197" t="s">
        <v>175</v>
      </c>
      <c r="F24" s="197">
        <v>388392</v>
      </c>
      <c r="G24" s="197">
        <v>355188</v>
      </c>
      <c r="H24" s="197">
        <v>312741</v>
      </c>
      <c r="I24" s="197">
        <v>333972</v>
      </c>
      <c r="J24" s="197">
        <v>371110</v>
      </c>
      <c r="K24" s="197">
        <v>279713</v>
      </c>
      <c r="L24" s="197">
        <v>263070</v>
      </c>
      <c r="M24" s="197">
        <v>242141</v>
      </c>
      <c r="N24" s="197">
        <v>226068</v>
      </c>
      <c r="O24" s="197">
        <v>172262</v>
      </c>
      <c r="P24" s="197">
        <v>165128</v>
      </c>
      <c r="Q24" s="197">
        <v>153346</v>
      </c>
      <c r="R24" s="197">
        <v>170581</v>
      </c>
      <c r="S24" s="197">
        <v>64764</v>
      </c>
      <c r="T24" s="197">
        <v>91393</v>
      </c>
      <c r="U24" s="197">
        <v>55080</v>
      </c>
      <c r="V24" s="197">
        <v>54236</v>
      </c>
      <c r="W24" s="197">
        <v>43607</v>
      </c>
      <c r="X24" s="197">
        <v>64451</v>
      </c>
      <c r="Y24" s="197">
        <v>44930</v>
      </c>
      <c r="Z24" s="197" t="s">
        <v>175</v>
      </c>
      <c r="AA24" s="197">
        <v>61257</v>
      </c>
      <c r="AB24" s="1">
        <v>56947</v>
      </c>
      <c r="AC24" s="1">
        <v>0</v>
      </c>
      <c r="AD24" s="1">
        <v>0</v>
      </c>
      <c r="AE24" s="1">
        <v>0</v>
      </c>
    </row>
    <row r="25" spans="1:31">
      <c r="A25" s="1" t="s">
        <v>275</v>
      </c>
      <c r="B25" s="6" t="s">
        <v>281</v>
      </c>
      <c r="C25" s="6" t="s">
        <v>281</v>
      </c>
      <c r="D25" s="7">
        <v>4059358</v>
      </c>
      <c r="E25" s="197" t="s">
        <v>175</v>
      </c>
      <c r="F25" s="197">
        <v>304069</v>
      </c>
      <c r="G25" s="197">
        <v>272448</v>
      </c>
      <c r="H25" s="197">
        <v>278099</v>
      </c>
      <c r="I25" s="197">
        <v>228500</v>
      </c>
      <c r="J25" s="197">
        <v>213236</v>
      </c>
      <c r="K25" s="197">
        <v>173788</v>
      </c>
      <c r="L25" s="197">
        <v>171218</v>
      </c>
      <c r="M25" s="197">
        <v>150935</v>
      </c>
      <c r="N25" s="197">
        <v>134954</v>
      </c>
      <c r="O25" s="197">
        <v>99275</v>
      </c>
      <c r="P25" s="197">
        <v>62713</v>
      </c>
      <c r="Q25" s="197">
        <v>83379</v>
      </c>
      <c r="R25" s="197">
        <v>70094</v>
      </c>
      <c r="S25" s="197">
        <v>48721</v>
      </c>
      <c r="T25" s="197">
        <v>44718</v>
      </c>
      <c r="U25" s="197">
        <v>40374</v>
      </c>
      <c r="V25" s="197">
        <v>21051</v>
      </c>
      <c r="W25" s="197">
        <v>19999</v>
      </c>
      <c r="X25" s="197">
        <v>21008</v>
      </c>
      <c r="Y25" s="197">
        <v>27507</v>
      </c>
      <c r="Z25" s="197">
        <v>24413</v>
      </c>
      <c r="AA25" s="197">
        <v>19747</v>
      </c>
      <c r="AB25" s="1">
        <v>32364</v>
      </c>
      <c r="AC25" s="1">
        <v>0</v>
      </c>
      <c r="AD25" s="1">
        <v>0</v>
      </c>
      <c r="AE25" s="1">
        <v>0</v>
      </c>
    </row>
    <row r="26" spans="1:31">
      <c r="B26" s="6" t="s">
        <v>282</v>
      </c>
      <c r="C26" s="6" t="s">
        <v>282</v>
      </c>
      <c r="D26" s="7">
        <v>4059359</v>
      </c>
      <c r="E26" s="197" t="s">
        <v>175</v>
      </c>
      <c r="F26" s="197">
        <v>101546</v>
      </c>
      <c r="G26" s="197">
        <v>120165</v>
      </c>
      <c r="H26" s="197">
        <v>82496</v>
      </c>
      <c r="I26" s="197">
        <v>89660</v>
      </c>
      <c r="J26" s="197">
        <v>97249</v>
      </c>
      <c r="K26" s="197">
        <v>76043</v>
      </c>
      <c r="L26" s="197">
        <v>92305</v>
      </c>
      <c r="M26" s="197">
        <v>80991</v>
      </c>
      <c r="N26" s="197">
        <v>50461</v>
      </c>
      <c r="O26" s="197">
        <v>30238</v>
      </c>
      <c r="P26" s="197">
        <v>65348</v>
      </c>
      <c r="Q26" s="197">
        <v>24678</v>
      </c>
      <c r="R26" s="197">
        <v>30523</v>
      </c>
      <c r="S26" s="197">
        <v>26827</v>
      </c>
      <c r="T26" s="197">
        <v>26809</v>
      </c>
      <c r="U26" s="197">
        <v>27796</v>
      </c>
      <c r="V26" s="197">
        <v>22439</v>
      </c>
      <c r="W26" s="197">
        <v>33915</v>
      </c>
      <c r="X26" s="197">
        <v>19839</v>
      </c>
      <c r="Y26" s="197">
        <v>28887</v>
      </c>
      <c r="Z26" s="197">
        <v>29266</v>
      </c>
      <c r="AA26" s="197" t="s">
        <v>175</v>
      </c>
      <c r="AB26" s="1">
        <v>40467</v>
      </c>
      <c r="AC26" s="1">
        <v>0</v>
      </c>
      <c r="AD26" s="1" t="s">
        <v>175</v>
      </c>
      <c r="AE26" s="1" t="s">
        <v>175</v>
      </c>
    </row>
    <row r="27" spans="1:31">
      <c r="A27" s="1" t="s">
        <v>275</v>
      </c>
      <c r="B27" s="6" t="s">
        <v>180</v>
      </c>
      <c r="C27" s="6" t="s">
        <v>180</v>
      </c>
      <c r="D27" s="7">
        <v>4059402</v>
      </c>
      <c r="E27" s="197">
        <v>51678</v>
      </c>
      <c r="F27" s="197">
        <v>38432</v>
      </c>
      <c r="G27" s="197">
        <v>43649</v>
      </c>
      <c r="H27" s="197">
        <v>41115</v>
      </c>
      <c r="I27" s="197">
        <v>36900</v>
      </c>
      <c r="J27" s="197">
        <v>48310</v>
      </c>
      <c r="K27" s="197">
        <v>52106</v>
      </c>
      <c r="L27" s="197">
        <v>42858</v>
      </c>
      <c r="M27" s="197">
        <v>30921</v>
      </c>
      <c r="N27" s="197">
        <v>29963</v>
      </c>
      <c r="O27" s="197">
        <v>23110</v>
      </c>
      <c r="P27" s="197">
        <v>19085</v>
      </c>
      <c r="Q27" s="197">
        <v>13808</v>
      </c>
      <c r="R27" s="197">
        <v>21327</v>
      </c>
      <c r="S27" s="197">
        <v>22797</v>
      </c>
      <c r="T27" s="197">
        <v>19187</v>
      </c>
      <c r="U27" s="197">
        <v>18769</v>
      </c>
      <c r="V27" s="197">
        <v>17251</v>
      </c>
      <c r="W27" s="197">
        <v>16792</v>
      </c>
      <c r="X27" s="197">
        <v>18818</v>
      </c>
      <c r="Y27" s="197">
        <v>20283</v>
      </c>
      <c r="Z27" s="197">
        <v>16150</v>
      </c>
      <c r="AA27" s="197">
        <v>16352</v>
      </c>
      <c r="AB27" s="1">
        <v>17494</v>
      </c>
      <c r="AC27" s="1">
        <v>0</v>
      </c>
      <c r="AD27" s="1">
        <v>0</v>
      </c>
      <c r="AE27" s="1">
        <v>0</v>
      </c>
    </row>
    <row r="28" spans="1:31">
      <c r="A28" s="1" t="s">
        <v>275</v>
      </c>
      <c r="B28" s="6" t="s">
        <v>182</v>
      </c>
      <c r="C28" s="6" t="s">
        <v>182</v>
      </c>
      <c r="D28" s="7">
        <v>4057080</v>
      </c>
      <c r="E28" s="197">
        <v>1174807</v>
      </c>
      <c r="F28" s="197">
        <v>600822</v>
      </c>
      <c r="G28" s="197">
        <v>821756</v>
      </c>
      <c r="H28" s="197">
        <v>739835</v>
      </c>
      <c r="I28" s="197">
        <v>677610</v>
      </c>
      <c r="J28" s="197">
        <v>547152</v>
      </c>
      <c r="K28" s="197">
        <v>657034</v>
      </c>
      <c r="L28" s="197">
        <v>508904</v>
      </c>
      <c r="M28" s="197">
        <v>335339</v>
      </c>
      <c r="N28" s="197">
        <v>324103</v>
      </c>
      <c r="O28" s="197">
        <v>319478</v>
      </c>
      <c r="P28" s="197">
        <v>289439</v>
      </c>
      <c r="Q28" s="197">
        <v>253099</v>
      </c>
      <c r="R28" s="197">
        <v>231151</v>
      </c>
      <c r="S28" s="197">
        <v>146195</v>
      </c>
      <c r="T28" s="197">
        <v>161831</v>
      </c>
      <c r="U28" s="197">
        <v>140485</v>
      </c>
      <c r="V28" s="197">
        <v>142023</v>
      </c>
      <c r="W28" s="197">
        <v>138071</v>
      </c>
      <c r="X28" s="197">
        <v>120419</v>
      </c>
      <c r="Y28" s="197">
        <v>94152</v>
      </c>
      <c r="Z28" s="197">
        <v>87371</v>
      </c>
      <c r="AA28" s="197">
        <v>91883</v>
      </c>
      <c r="AB28" s="1">
        <v>94451</v>
      </c>
      <c r="AC28" s="1">
        <v>0</v>
      </c>
      <c r="AD28" s="1">
        <v>0</v>
      </c>
      <c r="AE28" s="1">
        <v>0</v>
      </c>
    </row>
    <row r="29" spans="1:31">
      <c r="B29" s="6" t="s">
        <v>183</v>
      </c>
      <c r="C29" s="6" t="s">
        <v>183</v>
      </c>
      <c r="D29" s="7">
        <v>4057081</v>
      </c>
      <c r="E29" s="197">
        <v>656622</v>
      </c>
      <c r="F29" s="197">
        <v>481405</v>
      </c>
      <c r="G29" s="197">
        <v>590954</v>
      </c>
      <c r="H29" s="197">
        <v>486899</v>
      </c>
      <c r="I29" s="197">
        <v>394545</v>
      </c>
      <c r="J29" s="197">
        <v>324644</v>
      </c>
      <c r="K29" s="197">
        <v>273076</v>
      </c>
      <c r="L29" s="197">
        <v>240078</v>
      </c>
      <c r="M29" s="197">
        <v>163183</v>
      </c>
      <c r="N29" s="197">
        <v>128481</v>
      </c>
      <c r="O29" s="197">
        <v>97700</v>
      </c>
      <c r="P29" s="197">
        <v>106197</v>
      </c>
      <c r="Q29" s="197">
        <v>110951</v>
      </c>
      <c r="R29" s="197">
        <v>81780</v>
      </c>
      <c r="S29" s="197">
        <v>77548</v>
      </c>
      <c r="T29" s="197">
        <v>85018</v>
      </c>
      <c r="U29" s="197">
        <v>91333</v>
      </c>
      <c r="V29" s="197">
        <v>88031</v>
      </c>
      <c r="W29" s="197">
        <v>83974</v>
      </c>
      <c r="X29" s="197">
        <v>97186</v>
      </c>
      <c r="Y29" s="197">
        <v>90232</v>
      </c>
      <c r="Z29" s="197">
        <v>88307</v>
      </c>
      <c r="AA29" s="197">
        <v>83445</v>
      </c>
      <c r="AB29" s="1">
        <v>82485</v>
      </c>
      <c r="AC29" s="1">
        <v>0</v>
      </c>
      <c r="AD29" s="1">
        <v>0</v>
      </c>
      <c r="AE29" s="1">
        <v>0</v>
      </c>
    </row>
    <row r="30" spans="1:31">
      <c r="A30" s="1" t="s">
        <v>275</v>
      </c>
      <c r="B30" s="6" t="s">
        <v>185</v>
      </c>
      <c r="C30" s="6" t="s">
        <v>185</v>
      </c>
      <c r="D30" s="7">
        <v>4059459</v>
      </c>
      <c r="E30" s="197">
        <v>8379</v>
      </c>
      <c r="F30" s="197">
        <v>4861</v>
      </c>
      <c r="G30" s="197">
        <v>3761</v>
      </c>
      <c r="H30" s="197">
        <v>6215</v>
      </c>
      <c r="I30" s="197">
        <v>3554</v>
      </c>
      <c r="J30" s="197">
        <v>10186</v>
      </c>
      <c r="K30" s="197">
        <v>2247</v>
      </c>
      <c r="L30" s="197">
        <v>6646</v>
      </c>
      <c r="M30" s="197">
        <v>6217</v>
      </c>
      <c r="N30" s="197">
        <v>5772</v>
      </c>
      <c r="O30" s="197">
        <v>4544</v>
      </c>
      <c r="P30" s="197">
        <v>5193</v>
      </c>
      <c r="Q30" s="197">
        <v>4713</v>
      </c>
      <c r="R30" s="197">
        <v>5152</v>
      </c>
      <c r="S30" s="197">
        <v>1429</v>
      </c>
      <c r="T30" s="197">
        <v>1885</v>
      </c>
      <c r="U30" s="197">
        <v>981</v>
      </c>
      <c r="V30" s="197">
        <v>623</v>
      </c>
      <c r="W30" s="197">
        <v>707</v>
      </c>
      <c r="X30" s="197">
        <v>649</v>
      </c>
      <c r="Y30" s="197">
        <v>649</v>
      </c>
      <c r="Z30" s="197">
        <v>518</v>
      </c>
      <c r="AA30" s="197">
        <v>595</v>
      </c>
      <c r="AB30" s="1">
        <v>717</v>
      </c>
      <c r="AC30" s="1">
        <v>0</v>
      </c>
      <c r="AD30" s="1">
        <v>0</v>
      </c>
      <c r="AE30" s="1">
        <v>0</v>
      </c>
    </row>
    <row r="31" spans="1:31">
      <c r="B31" s="6" t="s">
        <v>186</v>
      </c>
      <c r="C31" s="6" t="s">
        <v>186</v>
      </c>
      <c r="D31" s="7">
        <v>4057118</v>
      </c>
      <c r="E31" s="197">
        <v>4193</v>
      </c>
      <c r="F31" s="197">
        <v>8636</v>
      </c>
      <c r="G31" s="197">
        <v>9438</v>
      </c>
      <c r="H31" s="197">
        <v>4739</v>
      </c>
      <c r="I31" s="197">
        <v>4393</v>
      </c>
      <c r="J31" s="197">
        <v>4339</v>
      </c>
      <c r="K31" s="197">
        <v>3777</v>
      </c>
      <c r="L31" s="197">
        <v>4318</v>
      </c>
      <c r="M31" s="197">
        <v>3694</v>
      </c>
      <c r="N31" s="197">
        <v>5470</v>
      </c>
      <c r="O31" s="197">
        <v>3005</v>
      </c>
      <c r="P31" s="197">
        <v>2936</v>
      </c>
      <c r="Q31" s="197">
        <v>2541</v>
      </c>
      <c r="R31" s="197">
        <v>3723</v>
      </c>
      <c r="S31" s="197">
        <v>2565</v>
      </c>
      <c r="T31" s="197">
        <v>2836</v>
      </c>
      <c r="U31" s="197">
        <v>2909</v>
      </c>
      <c r="V31" s="197">
        <v>3082</v>
      </c>
      <c r="W31" s="197">
        <v>4452</v>
      </c>
      <c r="X31" s="197">
        <v>2590</v>
      </c>
      <c r="Y31" s="197">
        <v>3102</v>
      </c>
      <c r="Z31" s="197">
        <v>4328</v>
      </c>
      <c r="AA31" s="197">
        <v>4714</v>
      </c>
      <c r="AB31" s="1">
        <v>6817</v>
      </c>
      <c r="AC31" s="1">
        <v>0</v>
      </c>
      <c r="AD31" s="1">
        <v>0</v>
      </c>
      <c r="AE31" s="1">
        <v>0</v>
      </c>
    </row>
    <row r="32" spans="1:31">
      <c r="B32" s="6" t="s">
        <v>188</v>
      </c>
      <c r="C32" s="6" t="s">
        <v>188</v>
      </c>
      <c r="D32" s="7">
        <v>4057126</v>
      </c>
      <c r="E32" s="197">
        <v>409680</v>
      </c>
      <c r="F32" s="197">
        <v>399983</v>
      </c>
      <c r="G32" s="197">
        <v>289984</v>
      </c>
      <c r="H32" s="197">
        <v>312736</v>
      </c>
      <c r="I32" s="197">
        <v>225243</v>
      </c>
      <c r="J32" s="197">
        <v>221966</v>
      </c>
      <c r="K32" s="197">
        <v>158781</v>
      </c>
      <c r="L32" s="197">
        <v>172353</v>
      </c>
      <c r="M32" s="197">
        <v>174586</v>
      </c>
      <c r="N32" s="197">
        <v>104107</v>
      </c>
      <c r="O32" s="197">
        <v>140740</v>
      </c>
      <c r="P32" s="197">
        <v>88996</v>
      </c>
      <c r="Q32" s="197">
        <v>84063</v>
      </c>
      <c r="R32" s="197">
        <v>155119</v>
      </c>
      <c r="S32" s="197">
        <v>17300</v>
      </c>
      <c r="T32" s="197">
        <v>95326</v>
      </c>
      <c r="U32" s="197">
        <v>76034</v>
      </c>
      <c r="V32" s="197">
        <v>63639</v>
      </c>
      <c r="W32" s="197">
        <v>62464</v>
      </c>
      <c r="X32" s="197">
        <v>56512</v>
      </c>
      <c r="Y32" s="197">
        <v>64405</v>
      </c>
      <c r="Z32" s="197">
        <v>75957</v>
      </c>
      <c r="AA32" s="197">
        <v>67599</v>
      </c>
      <c r="AB32" s="1">
        <v>59234</v>
      </c>
      <c r="AC32" s="1">
        <v>0</v>
      </c>
      <c r="AD32" s="1">
        <v>0</v>
      </c>
      <c r="AE32" s="1">
        <v>0</v>
      </c>
    </row>
    <row r="33" spans="1:31">
      <c r="B33" s="6" t="s">
        <v>283</v>
      </c>
      <c r="C33" s="6" t="s">
        <v>283</v>
      </c>
      <c r="D33" s="7">
        <v>4057103</v>
      </c>
      <c r="E33" s="197" t="s">
        <v>175</v>
      </c>
      <c r="F33" s="197" t="s">
        <v>175</v>
      </c>
      <c r="G33" s="197">
        <v>68080</v>
      </c>
      <c r="H33" s="197">
        <v>78538</v>
      </c>
      <c r="I33" s="197">
        <v>31828</v>
      </c>
      <c r="J33" s="197" t="s">
        <v>175</v>
      </c>
      <c r="K33" s="197">
        <v>10957</v>
      </c>
      <c r="L33" s="197">
        <v>8542</v>
      </c>
      <c r="M33" s="197">
        <v>9069</v>
      </c>
      <c r="N33" s="197">
        <v>15165</v>
      </c>
      <c r="O33" s="197">
        <v>10571</v>
      </c>
      <c r="P33" s="197">
        <v>18629</v>
      </c>
      <c r="Q33" s="197">
        <v>34926</v>
      </c>
      <c r="R33" s="197">
        <v>28817</v>
      </c>
      <c r="S33" s="197">
        <v>24535</v>
      </c>
      <c r="T33" s="197">
        <v>24007</v>
      </c>
      <c r="U33" s="197">
        <v>22331</v>
      </c>
      <c r="V33" s="197">
        <v>18406</v>
      </c>
      <c r="W33" s="197">
        <v>25292</v>
      </c>
      <c r="X33" s="197">
        <v>19928</v>
      </c>
      <c r="Y33" s="197">
        <v>14413</v>
      </c>
      <c r="Z33" s="197">
        <v>11384</v>
      </c>
      <c r="AA33" s="197">
        <v>10170</v>
      </c>
      <c r="AB33" s="1">
        <v>9690</v>
      </c>
      <c r="AC33" s="1">
        <v>0</v>
      </c>
      <c r="AD33" s="1">
        <v>0</v>
      </c>
      <c r="AE33" s="1">
        <v>0</v>
      </c>
    </row>
    <row r="34" spans="1:31">
      <c r="B34" s="6" t="s">
        <v>189</v>
      </c>
      <c r="C34" s="6" t="s">
        <v>189</v>
      </c>
      <c r="D34" s="7">
        <v>4057079</v>
      </c>
      <c r="E34" s="197">
        <v>217785</v>
      </c>
      <c r="F34" s="197">
        <v>150021</v>
      </c>
      <c r="G34" s="197">
        <v>135381</v>
      </c>
      <c r="H34" s="197">
        <v>97092</v>
      </c>
      <c r="I34" s="197">
        <v>84688</v>
      </c>
      <c r="J34" s="197">
        <v>76635</v>
      </c>
      <c r="K34" s="197">
        <v>90603</v>
      </c>
      <c r="L34" s="197">
        <v>92946</v>
      </c>
      <c r="M34" s="197">
        <v>99677</v>
      </c>
      <c r="N34" s="197">
        <v>97772</v>
      </c>
      <c r="O34" s="197">
        <v>108388</v>
      </c>
      <c r="P34" s="197">
        <v>109756</v>
      </c>
      <c r="Q34" s="197">
        <v>102390</v>
      </c>
      <c r="R34" s="197">
        <v>112409</v>
      </c>
      <c r="S34" s="197">
        <v>85638</v>
      </c>
      <c r="T34" s="197">
        <v>80358</v>
      </c>
      <c r="U34" s="197">
        <v>80239</v>
      </c>
      <c r="V34" s="197">
        <v>85199</v>
      </c>
      <c r="W34" s="197">
        <v>84077</v>
      </c>
      <c r="X34" s="197">
        <v>64139</v>
      </c>
      <c r="Y34" s="197">
        <v>51387</v>
      </c>
      <c r="Z34" s="197">
        <v>26924</v>
      </c>
      <c r="AA34" s="197">
        <v>29583</v>
      </c>
      <c r="AB34" s="1">
        <v>29962</v>
      </c>
      <c r="AC34" s="1">
        <v>0</v>
      </c>
      <c r="AD34" s="1">
        <v>0</v>
      </c>
      <c r="AE34" s="1">
        <v>0</v>
      </c>
    </row>
    <row r="35" spans="1:31">
      <c r="B35" s="6" t="s">
        <v>284</v>
      </c>
      <c r="C35" s="6" t="s">
        <v>285</v>
      </c>
      <c r="D35" s="7">
        <v>4081251</v>
      </c>
      <c r="E35" s="197" t="s">
        <v>175</v>
      </c>
      <c r="F35" s="197" t="s">
        <v>175</v>
      </c>
      <c r="G35" s="197">
        <v>43</v>
      </c>
      <c r="H35" s="197">
        <v>0</v>
      </c>
      <c r="I35" s="197">
        <v>0</v>
      </c>
      <c r="J35" s="197">
        <v>57</v>
      </c>
      <c r="K35" s="197" t="s">
        <v>175</v>
      </c>
      <c r="L35" s="197">
        <v>84</v>
      </c>
      <c r="M35" s="197">
        <v>25</v>
      </c>
      <c r="N35" s="197">
        <v>56</v>
      </c>
      <c r="O35" s="197">
        <v>52</v>
      </c>
      <c r="P35" s="197">
        <v>45</v>
      </c>
      <c r="Q35" s="197">
        <v>23</v>
      </c>
      <c r="R35" s="197">
        <v>42</v>
      </c>
      <c r="S35" s="197">
        <v>35</v>
      </c>
      <c r="T35" s="197">
        <v>20</v>
      </c>
      <c r="U35" s="197">
        <v>79</v>
      </c>
      <c r="V35" s="197">
        <v>33</v>
      </c>
      <c r="W35" s="197">
        <v>37</v>
      </c>
      <c r="X35" s="197">
        <v>59</v>
      </c>
      <c r="Y35" s="197">
        <v>19</v>
      </c>
      <c r="Z35" s="197">
        <v>24</v>
      </c>
      <c r="AA35" s="197" t="s">
        <v>175</v>
      </c>
      <c r="AB35" s="1" t="s">
        <v>175</v>
      </c>
      <c r="AC35" s="1" t="s">
        <v>175</v>
      </c>
      <c r="AD35" s="1" t="s">
        <v>175</v>
      </c>
      <c r="AE35" s="1" t="s">
        <v>175</v>
      </c>
    </row>
    <row r="36" spans="1:31">
      <c r="B36" s="6" t="s">
        <v>286</v>
      </c>
      <c r="C36" s="6" t="s">
        <v>286</v>
      </c>
      <c r="D36" s="7">
        <v>4060572</v>
      </c>
      <c r="E36" s="197" t="s">
        <v>175</v>
      </c>
      <c r="F36" s="197">
        <v>44643</v>
      </c>
      <c r="G36" s="197">
        <v>36843</v>
      </c>
      <c r="H36" s="197">
        <v>31096</v>
      </c>
      <c r="I36" s="197">
        <v>34539</v>
      </c>
      <c r="J36" s="197">
        <v>36786</v>
      </c>
      <c r="K36" s="197">
        <v>15416</v>
      </c>
      <c r="L36" s="197">
        <v>20635</v>
      </c>
      <c r="M36" s="197">
        <v>7904</v>
      </c>
      <c r="N36" s="197">
        <v>8003</v>
      </c>
      <c r="O36" s="197">
        <v>10753</v>
      </c>
      <c r="P36" s="197">
        <v>7208</v>
      </c>
      <c r="Q36" s="197">
        <v>8810</v>
      </c>
      <c r="R36" s="197">
        <v>9611</v>
      </c>
      <c r="S36" s="197">
        <v>8456</v>
      </c>
      <c r="T36" s="197">
        <v>8685</v>
      </c>
      <c r="U36" s="197">
        <v>7187</v>
      </c>
      <c r="V36" s="197">
        <v>7056</v>
      </c>
      <c r="W36" s="197">
        <v>10577</v>
      </c>
      <c r="X36" s="197">
        <v>10240</v>
      </c>
      <c r="Y36" s="197">
        <v>8890</v>
      </c>
      <c r="Z36" s="197">
        <v>7121</v>
      </c>
      <c r="AA36" s="197" t="s">
        <v>175</v>
      </c>
      <c r="AB36" s="1" t="s">
        <v>175</v>
      </c>
      <c r="AC36" s="1">
        <v>0</v>
      </c>
      <c r="AD36" s="1">
        <v>0</v>
      </c>
      <c r="AE36" s="1">
        <v>0</v>
      </c>
    </row>
    <row r="37" spans="1:31">
      <c r="B37" s="6" t="s">
        <v>287</v>
      </c>
      <c r="C37" s="6" t="s">
        <v>287</v>
      </c>
      <c r="D37" s="7">
        <v>4083318</v>
      </c>
      <c r="E37" s="197" t="s">
        <v>175</v>
      </c>
      <c r="F37" s="197">
        <v>528</v>
      </c>
      <c r="G37" s="197">
        <v>312</v>
      </c>
      <c r="H37" s="197">
        <v>316</v>
      </c>
      <c r="I37" s="197">
        <v>176</v>
      </c>
      <c r="J37" s="197">
        <v>258</v>
      </c>
      <c r="K37" s="197">
        <v>498</v>
      </c>
      <c r="L37" s="197">
        <v>341</v>
      </c>
      <c r="M37" s="197">
        <v>486</v>
      </c>
      <c r="N37" s="197">
        <v>314</v>
      </c>
      <c r="O37" s="197">
        <v>304</v>
      </c>
      <c r="P37" s="197">
        <v>237</v>
      </c>
      <c r="Q37" s="197">
        <v>202</v>
      </c>
      <c r="R37" s="197">
        <v>156</v>
      </c>
      <c r="S37" s="197">
        <v>158</v>
      </c>
      <c r="T37" s="197">
        <v>207</v>
      </c>
      <c r="U37" s="197">
        <v>186</v>
      </c>
      <c r="V37" s="197">
        <v>223</v>
      </c>
      <c r="W37" s="197">
        <v>283</v>
      </c>
      <c r="X37" s="197">
        <v>371</v>
      </c>
      <c r="Y37" s="197" t="s">
        <v>175</v>
      </c>
      <c r="Z37" s="197" t="s">
        <v>175</v>
      </c>
      <c r="AA37" s="197" t="s">
        <v>175</v>
      </c>
      <c r="AB37" s="1" t="s">
        <v>175</v>
      </c>
      <c r="AC37" s="1" t="s">
        <v>175</v>
      </c>
      <c r="AD37" s="1">
        <v>0</v>
      </c>
      <c r="AE37" s="1">
        <v>0</v>
      </c>
    </row>
    <row r="38" spans="1:31">
      <c r="B38" s="6" t="s">
        <v>288</v>
      </c>
      <c r="C38" s="6" t="s">
        <v>288</v>
      </c>
      <c r="D38" s="7">
        <v>4057125</v>
      </c>
      <c r="E38" s="197" t="s">
        <v>175</v>
      </c>
      <c r="F38" s="197">
        <v>67968</v>
      </c>
      <c r="G38" s="197">
        <v>300551</v>
      </c>
      <c r="H38" s="197">
        <v>246286</v>
      </c>
      <c r="I38" s="197">
        <v>43345</v>
      </c>
      <c r="J38" s="197">
        <v>59540</v>
      </c>
      <c r="K38" s="197">
        <v>83772</v>
      </c>
      <c r="L38" s="197">
        <v>44323</v>
      </c>
      <c r="M38" s="197">
        <v>52979</v>
      </c>
      <c r="N38" s="197">
        <v>83287</v>
      </c>
      <c r="O38" s="197">
        <v>25622</v>
      </c>
      <c r="P38" s="197">
        <v>23878</v>
      </c>
      <c r="Q38" s="197">
        <v>89149</v>
      </c>
      <c r="R38" s="197">
        <v>19488</v>
      </c>
      <c r="S38" s="197">
        <v>22712</v>
      </c>
      <c r="T38" s="197">
        <v>26676</v>
      </c>
      <c r="U38" s="197">
        <v>99533</v>
      </c>
      <c r="V38" s="197">
        <v>60972</v>
      </c>
      <c r="W38" s="197">
        <v>28696</v>
      </c>
      <c r="X38" s="197">
        <v>19037</v>
      </c>
      <c r="Y38" s="197">
        <v>77427</v>
      </c>
      <c r="Z38" s="197">
        <v>31665</v>
      </c>
      <c r="AA38" s="197">
        <v>35737</v>
      </c>
      <c r="AB38" s="1">
        <v>36483</v>
      </c>
      <c r="AC38" s="1">
        <v>0</v>
      </c>
      <c r="AD38" s="1">
        <v>0</v>
      </c>
      <c r="AE38" s="1">
        <v>0</v>
      </c>
    </row>
    <row r="39" spans="1:31">
      <c r="B39" s="6" t="s">
        <v>289</v>
      </c>
      <c r="C39" s="6" t="s">
        <v>289</v>
      </c>
      <c r="D39" s="7">
        <v>4087741</v>
      </c>
      <c r="E39" s="197" t="s">
        <v>175</v>
      </c>
      <c r="F39" s="197" t="s">
        <v>175</v>
      </c>
      <c r="G39" s="197" t="s">
        <v>175</v>
      </c>
      <c r="H39" s="197">
        <v>83827</v>
      </c>
      <c r="I39" s="197">
        <v>69702</v>
      </c>
      <c r="J39" s="197">
        <v>66586</v>
      </c>
      <c r="K39" s="197">
        <v>53817</v>
      </c>
      <c r="L39" s="197">
        <v>53969</v>
      </c>
      <c r="M39" s="197">
        <v>44188</v>
      </c>
      <c r="N39" s="197">
        <v>48344</v>
      </c>
      <c r="O39" s="197">
        <v>36472</v>
      </c>
      <c r="P39" s="197">
        <v>38559</v>
      </c>
      <c r="Q39" s="197">
        <v>37074</v>
      </c>
      <c r="R39" s="197">
        <v>45748</v>
      </c>
      <c r="S39" s="197">
        <v>42022</v>
      </c>
      <c r="T39" s="197">
        <v>44846</v>
      </c>
      <c r="U39" s="197">
        <v>45887</v>
      </c>
      <c r="V39" s="197">
        <v>41866</v>
      </c>
      <c r="W39" s="197">
        <v>49019</v>
      </c>
      <c r="X39" s="197">
        <v>69880</v>
      </c>
      <c r="Y39" s="197" t="s">
        <v>175</v>
      </c>
      <c r="Z39" s="197">
        <v>43097</v>
      </c>
      <c r="AA39" s="197" t="s">
        <v>175</v>
      </c>
      <c r="AB39" s="1" t="s">
        <v>175</v>
      </c>
      <c r="AC39" s="1" t="s">
        <v>175</v>
      </c>
      <c r="AD39" s="1" t="s">
        <v>175</v>
      </c>
      <c r="AE39" s="1" t="s">
        <v>175</v>
      </c>
    </row>
    <row r="40" spans="1:31">
      <c r="B40" s="6" t="s">
        <v>290</v>
      </c>
      <c r="C40" s="6" t="s">
        <v>290</v>
      </c>
      <c r="D40" s="7">
        <v>4059875</v>
      </c>
      <c r="E40" s="197" t="s">
        <v>175</v>
      </c>
      <c r="F40" s="197">
        <v>80720</v>
      </c>
      <c r="G40" s="197">
        <v>51564</v>
      </c>
      <c r="H40" s="197">
        <v>40671</v>
      </c>
      <c r="I40" s="197">
        <v>36982</v>
      </c>
      <c r="J40" s="197">
        <v>17576</v>
      </c>
      <c r="K40" s="197">
        <v>28241</v>
      </c>
      <c r="L40" s="197">
        <v>13605</v>
      </c>
      <c r="M40" s="197">
        <v>6963</v>
      </c>
      <c r="N40" s="197">
        <v>8700</v>
      </c>
      <c r="O40" s="197">
        <v>11360</v>
      </c>
      <c r="P40" s="197">
        <v>9567</v>
      </c>
      <c r="Q40" s="197">
        <v>19063</v>
      </c>
      <c r="R40" s="197">
        <v>15247</v>
      </c>
      <c r="S40" s="197">
        <v>17521</v>
      </c>
      <c r="T40" s="197">
        <v>18134</v>
      </c>
      <c r="U40" s="197">
        <v>3902</v>
      </c>
      <c r="V40" s="197">
        <v>13444</v>
      </c>
      <c r="W40" s="197">
        <v>25755</v>
      </c>
      <c r="X40" s="197">
        <v>10688</v>
      </c>
      <c r="Y40" s="197" t="s">
        <v>175</v>
      </c>
      <c r="Z40" s="197">
        <v>11760</v>
      </c>
      <c r="AA40" s="197">
        <v>8857</v>
      </c>
      <c r="AB40" s="1">
        <v>11337</v>
      </c>
      <c r="AC40" s="1">
        <v>0</v>
      </c>
      <c r="AD40" s="1">
        <v>0</v>
      </c>
      <c r="AE40" s="1">
        <v>0</v>
      </c>
    </row>
    <row r="41" spans="1:31">
      <c r="B41" s="6" t="s">
        <v>190</v>
      </c>
      <c r="C41" s="6" t="s">
        <v>190</v>
      </c>
      <c r="D41" s="7">
        <v>4057090</v>
      </c>
      <c r="E41" s="197">
        <v>79674</v>
      </c>
      <c r="F41" s="197">
        <v>55589</v>
      </c>
      <c r="G41" s="197">
        <v>49021</v>
      </c>
      <c r="H41" s="197">
        <v>43630</v>
      </c>
      <c r="I41" s="197">
        <v>63064</v>
      </c>
      <c r="J41" s="197">
        <v>74085</v>
      </c>
      <c r="K41" s="197">
        <v>69167</v>
      </c>
      <c r="L41" s="197">
        <v>64319</v>
      </c>
      <c r="M41" s="197">
        <v>64443</v>
      </c>
      <c r="N41" s="197">
        <v>36861</v>
      </c>
      <c r="O41" s="197">
        <v>42431</v>
      </c>
      <c r="P41" s="197">
        <v>39862</v>
      </c>
      <c r="Q41" s="197">
        <v>42188</v>
      </c>
      <c r="R41" s="197">
        <v>48893</v>
      </c>
      <c r="S41" s="197">
        <v>25972</v>
      </c>
      <c r="T41" s="197">
        <v>17851</v>
      </c>
      <c r="U41" s="197">
        <v>20975</v>
      </c>
      <c r="V41" s="197">
        <v>17399</v>
      </c>
      <c r="W41" s="197">
        <v>39077</v>
      </c>
      <c r="X41" s="197">
        <v>27104</v>
      </c>
      <c r="Y41" s="197">
        <v>20337</v>
      </c>
      <c r="Z41" s="197">
        <v>22737</v>
      </c>
      <c r="AA41" s="197">
        <v>26841</v>
      </c>
      <c r="AB41" s="1">
        <v>6220</v>
      </c>
      <c r="AC41" s="1">
        <v>0</v>
      </c>
      <c r="AD41" s="1">
        <v>0</v>
      </c>
      <c r="AE41" s="1">
        <v>0</v>
      </c>
    </row>
    <row r="42" spans="1:31">
      <c r="B42" s="6" t="s">
        <v>191</v>
      </c>
      <c r="C42" s="6" t="s">
        <v>191</v>
      </c>
      <c r="D42" s="7">
        <v>4008754</v>
      </c>
      <c r="E42" s="197">
        <v>23646</v>
      </c>
      <c r="F42" s="197">
        <v>23919</v>
      </c>
      <c r="G42" s="197">
        <v>20698</v>
      </c>
      <c r="H42" s="197">
        <v>23442</v>
      </c>
      <c r="I42" s="197">
        <v>19801</v>
      </c>
      <c r="J42" s="197">
        <v>16001</v>
      </c>
      <c r="K42" s="197">
        <v>15330</v>
      </c>
      <c r="L42" s="197">
        <v>19537</v>
      </c>
      <c r="M42" s="197">
        <v>17556</v>
      </c>
      <c r="N42" s="197">
        <v>13517</v>
      </c>
      <c r="O42" s="197">
        <v>15740</v>
      </c>
      <c r="P42" s="197">
        <v>10446</v>
      </c>
      <c r="Q42" s="197">
        <v>15675</v>
      </c>
      <c r="R42" s="197">
        <v>10456</v>
      </c>
      <c r="S42" s="197">
        <v>7492</v>
      </c>
      <c r="T42" s="197">
        <v>7622</v>
      </c>
      <c r="U42" s="197">
        <v>10180</v>
      </c>
      <c r="V42" s="197">
        <v>8119</v>
      </c>
      <c r="W42" s="197">
        <v>10717</v>
      </c>
      <c r="X42" s="197">
        <v>14372</v>
      </c>
      <c r="Y42" s="197">
        <v>4552</v>
      </c>
      <c r="Z42" s="197">
        <v>6920</v>
      </c>
      <c r="AA42" s="197">
        <v>4932</v>
      </c>
      <c r="AB42" s="1">
        <v>3563</v>
      </c>
      <c r="AC42" s="1">
        <v>0</v>
      </c>
      <c r="AD42" s="1">
        <v>0</v>
      </c>
      <c r="AE42" s="1">
        <v>0</v>
      </c>
    </row>
    <row r="43" spans="1:31">
      <c r="B43" s="6" t="s">
        <v>291</v>
      </c>
      <c r="C43" s="6" t="s">
        <v>291</v>
      </c>
      <c r="D43" s="7">
        <v>4061474</v>
      </c>
      <c r="E43" s="197" t="s">
        <v>175</v>
      </c>
      <c r="F43" s="197">
        <v>1018</v>
      </c>
      <c r="G43" s="197">
        <v>1042</v>
      </c>
      <c r="H43" s="197">
        <v>844</v>
      </c>
      <c r="I43" s="197">
        <v>832</v>
      </c>
      <c r="J43" s="197">
        <v>757</v>
      </c>
      <c r="K43" s="197">
        <v>1283</v>
      </c>
      <c r="L43" s="197">
        <v>1153</v>
      </c>
      <c r="M43" s="197">
        <v>921</v>
      </c>
      <c r="N43" s="197">
        <v>534</v>
      </c>
      <c r="O43" s="197">
        <v>509</v>
      </c>
      <c r="P43" s="197">
        <v>926</v>
      </c>
      <c r="Q43" s="197">
        <v>633</v>
      </c>
      <c r="R43" s="197">
        <v>830</v>
      </c>
      <c r="S43" s="197">
        <v>366</v>
      </c>
      <c r="T43" s="197">
        <v>460</v>
      </c>
      <c r="U43" s="197">
        <v>467</v>
      </c>
      <c r="V43" s="197">
        <v>494</v>
      </c>
      <c r="W43" s="197">
        <v>4448</v>
      </c>
      <c r="X43" s="197">
        <v>456</v>
      </c>
      <c r="Y43" s="197" t="s">
        <v>175</v>
      </c>
      <c r="Z43" s="197">
        <v>503</v>
      </c>
      <c r="AA43" s="197" t="s">
        <v>175</v>
      </c>
      <c r="AB43" s="1" t="s">
        <v>175</v>
      </c>
      <c r="AC43" s="1">
        <v>0</v>
      </c>
      <c r="AD43" s="1">
        <v>0</v>
      </c>
      <c r="AE43" s="1">
        <v>0</v>
      </c>
    </row>
    <row r="44" spans="1:31">
      <c r="B44" s="6" t="s">
        <v>292</v>
      </c>
      <c r="C44" s="6" t="s">
        <v>292</v>
      </c>
      <c r="D44" s="7">
        <v>4076679</v>
      </c>
      <c r="E44" s="197" t="s">
        <v>175</v>
      </c>
      <c r="F44" s="197">
        <v>1921</v>
      </c>
      <c r="G44" s="197">
        <v>2212</v>
      </c>
      <c r="H44" s="197">
        <v>2042</v>
      </c>
      <c r="I44" s="197">
        <v>1755</v>
      </c>
      <c r="J44" s="197">
        <v>1854</v>
      </c>
      <c r="K44" s="197">
        <v>3377</v>
      </c>
      <c r="L44" s="197">
        <v>2375</v>
      </c>
      <c r="M44" s="197">
        <v>1180</v>
      </c>
      <c r="N44" s="197">
        <v>1006</v>
      </c>
      <c r="O44" s="197">
        <v>1183</v>
      </c>
      <c r="P44" s="197">
        <v>1210</v>
      </c>
      <c r="Q44" s="197">
        <v>872</v>
      </c>
      <c r="R44" s="197">
        <v>1035</v>
      </c>
      <c r="S44" s="197">
        <v>858</v>
      </c>
      <c r="T44" s="197">
        <v>1650</v>
      </c>
      <c r="U44" s="197">
        <v>1277</v>
      </c>
      <c r="V44" s="197">
        <v>803</v>
      </c>
      <c r="W44" s="197">
        <v>1320</v>
      </c>
      <c r="X44" s="197">
        <v>1844</v>
      </c>
      <c r="Y44" s="197">
        <v>925</v>
      </c>
      <c r="Z44" s="197">
        <v>660</v>
      </c>
      <c r="AA44" s="197" t="s">
        <v>175</v>
      </c>
      <c r="AB44" s="1" t="s">
        <v>175</v>
      </c>
      <c r="AC44" s="1" t="s">
        <v>175</v>
      </c>
      <c r="AD44" s="1" t="s">
        <v>175</v>
      </c>
      <c r="AE44" s="1" t="s">
        <v>175</v>
      </c>
    </row>
    <row r="45" spans="1:31">
      <c r="B45" s="6" t="s">
        <v>193</v>
      </c>
      <c r="C45" s="6" t="s">
        <v>193</v>
      </c>
      <c r="D45" s="7">
        <v>4061634</v>
      </c>
      <c r="E45" s="197">
        <v>34726</v>
      </c>
      <c r="F45" s="197">
        <v>47499</v>
      </c>
      <c r="G45" s="197">
        <v>53712</v>
      </c>
      <c r="H45" s="197">
        <v>59885</v>
      </c>
      <c r="I45" s="197">
        <v>25315</v>
      </c>
      <c r="J45" s="197">
        <v>18926</v>
      </c>
      <c r="K45" s="197">
        <v>18247</v>
      </c>
      <c r="L45" s="197">
        <v>14265</v>
      </c>
      <c r="M45" s="197">
        <v>11404</v>
      </c>
      <c r="N45" s="197">
        <v>10956</v>
      </c>
      <c r="O45" s="197">
        <v>10551</v>
      </c>
      <c r="P45" s="197">
        <v>11418</v>
      </c>
      <c r="Q45" s="197">
        <v>11861</v>
      </c>
      <c r="R45" s="197">
        <v>15381</v>
      </c>
      <c r="S45" s="197">
        <v>9453</v>
      </c>
      <c r="T45" s="197">
        <v>11302</v>
      </c>
      <c r="U45" s="197">
        <v>8032</v>
      </c>
      <c r="V45" s="197">
        <v>14431</v>
      </c>
      <c r="W45" s="197">
        <v>9272</v>
      </c>
      <c r="X45" s="197">
        <v>10629</v>
      </c>
      <c r="Y45" s="197">
        <v>5359</v>
      </c>
      <c r="Z45" s="197">
        <v>9021</v>
      </c>
      <c r="AA45" s="197">
        <v>7613</v>
      </c>
      <c r="AB45" s="1">
        <v>6695</v>
      </c>
      <c r="AC45" s="1">
        <v>0</v>
      </c>
      <c r="AD45" s="1">
        <v>0</v>
      </c>
      <c r="AE45" s="1">
        <v>0</v>
      </c>
    </row>
    <row r="46" spans="1:31">
      <c r="B46" s="6" t="s">
        <v>194</v>
      </c>
      <c r="C46" s="6" t="s">
        <v>194</v>
      </c>
      <c r="D46" s="7">
        <v>4061687</v>
      </c>
      <c r="E46" s="197">
        <v>30339</v>
      </c>
      <c r="F46" s="197">
        <v>27578</v>
      </c>
      <c r="G46" s="197">
        <v>26424</v>
      </c>
      <c r="H46" s="197">
        <v>24784</v>
      </c>
      <c r="I46" s="197">
        <v>23354</v>
      </c>
      <c r="J46" s="197">
        <v>22866</v>
      </c>
      <c r="K46" s="197">
        <v>13136</v>
      </c>
      <c r="L46" s="197">
        <v>53890</v>
      </c>
      <c r="M46" s="197">
        <v>43554</v>
      </c>
      <c r="N46" s="197">
        <v>51368</v>
      </c>
      <c r="O46" s="197">
        <v>45129</v>
      </c>
      <c r="P46" s="197">
        <v>48215</v>
      </c>
      <c r="Q46" s="197">
        <v>41216</v>
      </c>
      <c r="R46" s="197">
        <v>50025</v>
      </c>
      <c r="S46" s="197">
        <v>45253</v>
      </c>
      <c r="T46" s="197">
        <v>46149</v>
      </c>
      <c r="U46" s="197">
        <v>40851</v>
      </c>
      <c r="V46" s="197">
        <v>43937</v>
      </c>
      <c r="W46" s="197">
        <v>46370</v>
      </c>
      <c r="X46" s="197">
        <v>45547</v>
      </c>
      <c r="Y46" s="197">
        <v>12458</v>
      </c>
      <c r="Z46" s="197">
        <v>45762</v>
      </c>
      <c r="AA46" s="197">
        <v>45387</v>
      </c>
      <c r="AB46" s="1">
        <v>43375</v>
      </c>
      <c r="AC46" s="1">
        <v>60513</v>
      </c>
      <c r="AD46" s="1">
        <v>58859</v>
      </c>
      <c r="AE46" s="1">
        <v>60650</v>
      </c>
    </row>
    <row r="47" spans="1:31">
      <c r="A47" s="1" t="s">
        <v>275</v>
      </c>
      <c r="B47" s="6" t="s">
        <v>195</v>
      </c>
      <c r="C47" s="6" t="s">
        <v>195</v>
      </c>
      <c r="D47" s="7">
        <v>4061755</v>
      </c>
      <c r="E47" s="197">
        <v>270229.40100000001</v>
      </c>
      <c r="F47" s="197">
        <v>143086</v>
      </c>
      <c r="G47" s="197">
        <v>204775</v>
      </c>
      <c r="H47" s="197">
        <v>131089</v>
      </c>
      <c r="I47" s="197">
        <v>150679</v>
      </c>
      <c r="J47" s="197">
        <v>127654</v>
      </c>
      <c r="K47" s="197">
        <v>120059</v>
      </c>
      <c r="L47" s="197">
        <v>103472</v>
      </c>
      <c r="M47" s="197">
        <v>81631</v>
      </c>
      <c r="N47" s="197">
        <v>38735</v>
      </c>
      <c r="O47" s="197">
        <v>63151</v>
      </c>
      <c r="P47" s="197">
        <v>35802</v>
      </c>
      <c r="Q47" s="197">
        <v>45492</v>
      </c>
      <c r="R47" s="197">
        <v>45068</v>
      </c>
      <c r="S47" s="197">
        <v>41352</v>
      </c>
      <c r="T47" s="197">
        <v>36902</v>
      </c>
      <c r="U47" s="197">
        <v>42588</v>
      </c>
      <c r="V47" s="197">
        <v>45942</v>
      </c>
      <c r="W47" s="197">
        <v>33977</v>
      </c>
      <c r="X47" s="197">
        <v>36913</v>
      </c>
      <c r="Y47" s="197">
        <v>35879</v>
      </c>
      <c r="Z47" s="197">
        <v>38779</v>
      </c>
      <c r="AA47" s="197">
        <v>39322</v>
      </c>
      <c r="AB47" s="1">
        <v>37147</v>
      </c>
      <c r="AC47" s="1">
        <v>0</v>
      </c>
      <c r="AD47" s="1">
        <v>0</v>
      </c>
      <c r="AE47" s="1">
        <v>0</v>
      </c>
    </row>
    <row r="48" spans="1:31">
      <c r="A48" s="1" t="s">
        <v>275</v>
      </c>
      <c r="B48" s="6" t="s">
        <v>197</v>
      </c>
      <c r="C48" s="6" t="s">
        <v>197</v>
      </c>
      <c r="D48" s="7">
        <v>4004389</v>
      </c>
      <c r="E48" s="197">
        <v>93161</v>
      </c>
      <c r="F48" s="197">
        <v>63498</v>
      </c>
      <c r="G48" s="197">
        <v>84505</v>
      </c>
      <c r="H48" s="197">
        <v>42463</v>
      </c>
      <c r="I48" s="197">
        <v>63067</v>
      </c>
      <c r="J48" s="197">
        <v>49602</v>
      </c>
      <c r="K48" s="197">
        <v>32774</v>
      </c>
      <c r="L48" s="197">
        <v>66849</v>
      </c>
      <c r="M48" s="197">
        <v>33014</v>
      </c>
      <c r="N48" s="197">
        <v>35356</v>
      </c>
      <c r="O48" s="197">
        <v>30900</v>
      </c>
      <c r="P48" s="197">
        <v>20137</v>
      </c>
      <c r="Q48" s="197">
        <v>19528</v>
      </c>
      <c r="R48" s="197">
        <v>24819</v>
      </c>
      <c r="S48" s="197">
        <v>17520</v>
      </c>
      <c r="T48" s="197">
        <v>16310</v>
      </c>
      <c r="U48" s="197">
        <v>15345</v>
      </c>
      <c r="V48" s="197">
        <v>19542</v>
      </c>
      <c r="W48" s="197">
        <v>22051</v>
      </c>
      <c r="X48" s="197">
        <v>21493</v>
      </c>
      <c r="Y48" s="197">
        <v>22013</v>
      </c>
      <c r="Z48" s="197">
        <v>20185</v>
      </c>
      <c r="AA48" s="197">
        <v>26200</v>
      </c>
      <c r="AB48" s="1">
        <v>31449</v>
      </c>
      <c r="AC48" s="1">
        <v>0</v>
      </c>
      <c r="AD48" s="1">
        <v>0</v>
      </c>
      <c r="AE48" s="1">
        <v>0</v>
      </c>
    </row>
    <row r="49" spans="1:31">
      <c r="A49" s="1" t="s">
        <v>275</v>
      </c>
      <c r="B49" s="6" t="s">
        <v>198</v>
      </c>
      <c r="C49" s="6" t="s">
        <v>198</v>
      </c>
      <c r="D49" s="7">
        <v>4057014</v>
      </c>
      <c r="E49" s="197">
        <v>122093</v>
      </c>
      <c r="F49" s="197">
        <v>99009</v>
      </c>
      <c r="G49" s="197">
        <v>101385</v>
      </c>
      <c r="H49" s="197">
        <v>97827</v>
      </c>
      <c r="I49" s="197">
        <v>95505</v>
      </c>
      <c r="J49" s="197">
        <v>81144</v>
      </c>
      <c r="K49" s="197">
        <v>107916</v>
      </c>
      <c r="L49" s="197">
        <v>83801</v>
      </c>
      <c r="M49" s="197">
        <v>51741</v>
      </c>
      <c r="N49" s="197">
        <v>46545</v>
      </c>
      <c r="O49" s="197">
        <v>59802</v>
      </c>
      <c r="P49" s="197">
        <v>55435</v>
      </c>
      <c r="Q49" s="197">
        <v>62903</v>
      </c>
      <c r="R49" s="197">
        <v>63450</v>
      </c>
      <c r="S49" s="197">
        <v>54148</v>
      </c>
      <c r="T49" s="197">
        <v>64046</v>
      </c>
      <c r="U49" s="197">
        <v>74924</v>
      </c>
      <c r="V49" s="197">
        <v>33944</v>
      </c>
      <c r="W49" s="197">
        <v>50984</v>
      </c>
      <c r="X49" s="197">
        <v>5996</v>
      </c>
      <c r="Y49" s="197">
        <v>39514</v>
      </c>
      <c r="Z49" s="197">
        <v>50931</v>
      </c>
      <c r="AA49" s="197">
        <v>71563</v>
      </c>
      <c r="AB49" s="1">
        <v>41808</v>
      </c>
      <c r="AC49" s="1">
        <v>0</v>
      </c>
      <c r="AD49" s="1">
        <v>0</v>
      </c>
      <c r="AE49" s="1">
        <v>0</v>
      </c>
    </row>
    <row r="50" spans="1:31">
      <c r="B50" s="6" t="s">
        <v>199</v>
      </c>
      <c r="C50" s="6" t="s">
        <v>199</v>
      </c>
      <c r="D50" s="7">
        <v>4057130</v>
      </c>
      <c r="E50" s="197">
        <v>31660</v>
      </c>
      <c r="F50" s="197">
        <v>19592</v>
      </c>
      <c r="G50" s="197">
        <v>27330</v>
      </c>
      <c r="H50" s="197">
        <v>53291</v>
      </c>
      <c r="I50" s="197">
        <v>30029</v>
      </c>
      <c r="J50" s="197">
        <v>17652</v>
      </c>
      <c r="K50" s="197">
        <v>32687</v>
      </c>
      <c r="L50" s="197">
        <v>31214</v>
      </c>
      <c r="M50" s="197">
        <v>25173</v>
      </c>
      <c r="N50" s="197">
        <v>15082</v>
      </c>
      <c r="O50" s="197">
        <v>5979</v>
      </c>
      <c r="P50" s="197">
        <v>9532</v>
      </c>
      <c r="Q50" s="197">
        <v>6411</v>
      </c>
      <c r="R50" s="197">
        <v>9519</v>
      </c>
      <c r="S50" s="197">
        <v>6792</v>
      </c>
      <c r="T50" s="197">
        <v>7710</v>
      </c>
      <c r="U50" s="197">
        <v>12834</v>
      </c>
      <c r="V50" s="197">
        <v>8464</v>
      </c>
      <c r="W50" s="197">
        <v>7123</v>
      </c>
      <c r="X50" s="197">
        <v>9639</v>
      </c>
      <c r="Y50" s="197">
        <v>6639</v>
      </c>
      <c r="Z50" s="197">
        <v>10573</v>
      </c>
      <c r="AA50" s="197">
        <v>10053</v>
      </c>
      <c r="AB50" s="1">
        <v>10025</v>
      </c>
      <c r="AC50" s="1">
        <v>0</v>
      </c>
      <c r="AD50" s="1">
        <v>0</v>
      </c>
      <c r="AE50" s="1" t="s">
        <v>175</v>
      </c>
    </row>
    <row r="51" spans="1:31">
      <c r="B51" s="6" t="s">
        <v>201</v>
      </c>
      <c r="C51" s="6" t="s">
        <v>201</v>
      </c>
      <c r="D51" s="7">
        <v>4057131</v>
      </c>
      <c r="E51" s="197">
        <v>378489</v>
      </c>
      <c r="F51" s="197">
        <v>411692</v>
      </c>
      <c r="G51" s="197">
        <v>473456</v>
      </c>
      <c r="H51" s="197">
        <v>371808</v>
      </c>
      <c r="I51" s="197">
        <v>267330</v>
      </c>
      <c r="J51" s="197">
        <v>239184</v>
      </c>
      <c r="K51" s="197">
        <v>250988</v>
      </c>
      <c r="L51" s="197">
        <v>138561</v>
      </c>
      <c r="M51" s="197">
        <v>127289</v>
      </c>
      <c r="N51" s="197">
        <v>111344</v>
      </c>
      <c r="O51" s="197">
        <v>106288</v>
      </c>
      <c r="P51" s="197">
        <v>110513</v>
      </c>
      <c r="Q51" s="197">
        <v>112762</v>
      </c>
      <c r="R51" s="197">
        <v>121628</v>
      </c>
      <c r="S51" s="197">
        <v>105278</v>
      </c>
      <c r="T51" s="197">
        <v>111073</v>
      </c>
      <c r="U51" s="197">
        <v>114566</v>
      </c>
      <c r="V51" s="197">
        <v>107642</v>
      </c>
      <c r="W51" s="197">
        <v>117190</v>
      </c>
      <c r="X51" s="197">
        <v>101672</v>
      </c>
      <c r="Y51" s="197">
        <v>105964</v>
      </c>
      <c r="Z51" s="197">
        <v>86506</v>
      </c>
      <c r="AA51" s="197">
        <v>83643</v>
      </c>
      <c r="AB51" s="1">
        <v>69195</v>
      </c>
      <c r="AC51" s="1">
        <v>0</v>
      </c>
      <c r="AD51" s="1">
        <v>0</v>
      </c>
      <c r="AE51" s="1">
        <v>0</v>
      </c>
    </row>
    <row r="52" spans="1:31">
      <c r="B52" s="6" t="s">
        <v>202</v>
      </c>
      <c r="C52" s="6" t="s">
        <v>202</v>
      </c>
      <c r="D52" s="7">
        <v>4012860</v>
      </c>
      <c r="E52" s="197">
        <v>244298</v>
      </c>
      <c r="F52" s="197">
        <v>130762</v>
      </c>
      <c r="G52" s="197">
        <v>131761</v>
      </c>
      <c r="H52" s="197">
        <v>135793</v>
      </c>
      <c r="I52" s="197">
        <v>105974</v>
      </c>
      <c r="J52" s="197">
        <v>124523</v>
      </c>
      <c r="K52" s="197">
        <v>92122</v>
      </c>
      <c r="L52" s="197">
        <v>97440</v>
      </c>
      <c r="M52" s="197">
        <v>83381</v>
      </c>
      <c r="N52" s="197">
        <v>75555</v>
      </c>
      <c r="O52" s="197">
        <v>44416</v>
      </c>
      <c r="P52" s="197">
        <v>24429</v>
      </c>
      <c r="Q52" s="197">
        <v>34996</v>
      </c>
      <c r="R52" s="197">
        <v>37490</v>
      </c>
      <c r="S52" s="197">
        <v>37090</v>
      </c>
      <c r="T52" s="197">
        <v>46886</v>
      </c>
      <c r="U52" s="197">
        <v>32919</v>
      </c>
      <c r="V52" s="197">
        <v>36162</v>
      </c>
      <c r="W52" s="197">
        <v>40086</v>
      </c>
      <c r="X52" s="197">
        <v>37118</v>
      </c>
      <c r="Y52" s="197">
        <v>40816</v>
      </c>
      <c r="Z52" s="197">
        <v>44945</v>
      </c>
      <c r="AA52" s="197">
        <v>31879</v>
      </c>
      <c r="AB52" s="1">
        <v>36444</v>
      </c>
      <c r="AC52" s="1">
        <v>0</v>
      </c>
      <c r="AD52" s="1">
        <v>0</v>
      </c>
      <c r="AE52" s="1">
        <v>0</v>
      </c>
    </row>
    <row r="53" spans="1:31">
      <c r="B53" s="6" t="s">
        <v>204</v>
      </c>
      <c r="C53" s="6" t="s">
        <v>205</v>
      </c>
      <c r="D53" s="7">
        <v>4061925</v>
      </c>
      <c r="E53" s="197">
        <v>31200</v>
      </c>
      <c r="F53" s="197">
        <v>26374</v>
      </c>
      <c r="G53" s="197">
        <v>18435</v>
      </c>
      <c r="H53" s="197">
        <v>19791</v>
      </c>
      <c r="I53" s="197">
        <v>23159</v>
      </c>
      <c r="J53" s="197">
        <v>19987</v>
      </c>
      <c r="K53" s="197">
        <v>19330</v>
      </c>
      <c r="L53" s="197">
        <v>20466</v>
      </c>
      <c r="M53" s="197">
        <v>11933</v>
      </c>
      <c r="N53" s="197">
        <v>10056</v>
      </c>
      <c r="O53" s="197">
        <v>13190</v>
      </c>
      <c r="P53" s="197">
        <v>9607</v>
      </c>
      <c r="Q53" s="197">
        <v>9896</v>
      </c>
      <c r="R53" s="197">
        <v>4148</v>
      </c>
      <c r="S53" s="197">
        <v>6844</v>
      </c>
      <c r="T53" s="197">
        <v>5032</v>
      </c>
      <c r="U53" s="197">
        <v>8735</v>
      </c>
      <c r="V53" s="197">
        <v>8263</v>
      </c>
      <c r="W53" s="197">
        <v>7292</v>
      </c>
      <c r="X53" s="197">
        <v>4884</v>
      </c>
      <c r="Y53" s="197">
        <v>3838</v>
      </c>
      <c r="Z53" s="197">
        <v>7313</v>
      </c>
      <c r="AA53" s="197">
        <v>6291</v>
      </c>
      <c r="AB53" s="1">
        <v>6740</v>
      </c>
      <c r="AC53" s="1">
        <v>0</v>
      </c>
      <c r="AD53" s="1">
        <v>0</v>
      </c>
      <c r="AE53" s="1">
        <v>0</v>
      </c>
    </row>
    <row r="54" spans="1:31">
      <c r="B54" s="6" t="s">
        <v>293</v>
      </c>
      <c r="C54" s="6" t="s">
        <v>293</v>
      </c>
      <c r="D54" s="7">
        <v>4057132</v>
      </c>
      <c r="E54" s="197" t="s">
        <v>175</v>
      </c>
      <c r="F54" s="197" t="s">
        <v>175</v>
      </c>
      <c r="G54" s="197" t="s">
        <v>175</v>
      </c>
      <c r="H54" s="197" t="s">
        <v>175</v>
      </c>
      <c r="I54" s="197">
        <v>87873</v>
      </c>
      <c r="J54" s="197">
        <v>83468</v>
      </c>
      <c r="K54" s="197">
        <v>73446</v>
      </c>
      <c r="L54" s="197">
        <v>73398</v>
      </c>
      <c r="M54" s="197">
        <v>62428</v>
      </c>
      <c r="N54" s="197">
        <v>57124</v>
      </c>
      <c r="O54" s="197">
        <v>52393</v>
      </c>
      <c r="P54" s="197">
        <v>46937</v>
      </c>
      <c r="Q54" s="197">
        <v>66267</v>
      </c>
      <c r="R54" s="197">
        <v>77066</v>
      </c>
      <c r="S54" s="197">
        <v>83764</v>
      </c>
      <c r="T54" s="197">
        <v>87315</v>
      </c>
      <c r="U54" s="197">
        <v>69018</v>
      </c>
      <c r="V54" s="197">
        <v>76206</v>
      </c>
      <c r="W54" s="197" t="s">
        <v>175</v>
      </c>
      <c r="X54" s="197">
        <v>60713</v>
      </c>
      <c r="Y54" s="197">
        <v>56307</v>
      </c>
      <c r="Z54" s="197">
        <v>61342</v>
      </c>
      <c r="AA54" s="197">
        <v>62575</v>
      </c>
      <c r="AB54" s="1">
        <v>60796</v>
      </c>
      <c r="AC54" s="1">
        <v>0</v>
      </c>
      <c r="AD54" s="1">
        <v>0</v>
      </c>
      <c r="AE54" s="1">
        <v>0</v>
      </c>
    </row>
    <row r="55" spans="1:31">
      <c r="A55" s="1" t="s">
        <v>275</v>
      </c>
      <c r="B55" s="6" t="s">
        <v>294</v>
      </c>
      <c r="C55" s="6" t="s">
        <v>294</v>
      </c>
      <c r="D55" s="7">
        <v>4057115</v>
      </c>
      <c r="E55" s="197" t="s">
        <v>175</v>
      </c>
      <c r="F55" s="197">
        <v>60819</v>
      </c>
      <c r="G55" s="197">
        <v>66379</v>
      </c>
      <c r="H55" s="197">
        <v>58594</v>
      </c>
      <c r="I55" s="197">
        <v>50520</v>
      </c>
      <c r="J55" s="197">
        <v>44972</v>
      </c>
      <c r="K55" s="197">
        <v>35446</v>
      </c>
      <c r="L55" s="197">
        <v>23248</v>
      </c>
      <c r="M55" s="197">
        <v>26653</v>
      </c>
      <c r="N55" s="197">
        <v>28612</v>
      </c>
      <c r="O55" s="197">
        <v>24229</v>
      </c>
      <c r="P55" s="197">
        <v>14420</v>
      </c>
      <c r="Q55" s="197">
        <v>19250</v>
      </c>
      <c r="R55" s="197">
        <v>17157</v>
      </c>
      <c r="S55" s="197">
        <v>14822</v>
      </c>
      <c r="T55" s="197">
        <v>16354</v>
      </c>
      <c r="U55" s="197">
        <v>11562</v>
      </c>
      <c r="V55" s="197">
        <v>15445</v>
      </c>
      <c r="W55" s="197" t="s">
        <v>175</v>
      </c>
      <c r="X55" s="197">
        <v>35901</v>
      </c>
      <c r="Y55" s="197" t="s">
        <v>175</v>
      </c>
      <c r="Z55" s="197">
        <v>0</v>
      </c>
      <c r="AA55" s="197" t="s">
        <v>175</v>
      </c>
      <c r="AB55" s="1">
        <v>18490</v>
      </c>
      <c r="AC55" s="1">
        <v>0</v>
      </c>
      <c r="AD55" s="1">
        <v>0</v>
      </c>
      <c r="AE55" s="1">
        <v>0</v>
      </c>
    </row>
    <row r="56" spans="1:31">
      <c r="B56" s="6" t="s">
        <v>206</v>
      </c>
      <c r="C56" s="6" t="s">
        <v>206</v>
      </c>
      <c r="D56" s="7">
        <v>4064479</v>
      </c>
      <c r="E56" s="197">
        <v>2084</v>
      </c>
      <c r="F56" s="197">
        <v>3191</v>
      </c>
      <c r="G56" s="197">
        <v>2362</v>
      </c>
      <c r="H56" s="197">
        <v>2416</v>
      </c>
      <c r="I56" s="197">
        <v>2541</v>
      </c>
      <c r="J56" s="197">
        <v>2458</v>
      </c>
      <c r="K56" s="197">
        <v>2302</v>
      </c>
      <c r="L56" s="197">
        <v>1491</v>
      </c>
      <c r="M56" s="197">
        <v>2240</v>
      </c>
      <c r="N56" s="197">
        <v>2057</v>
      </c>
      <c r="O56" s="197">
        <v>2196</v>
      </c>
      <c r="P56" s="197">
        <v>2532</v>
      </c>
      <c r="Q56" s="197">
        <v>1275</v>
      </c>
      <c r="R56" s="197">
        <v>1831</v>
      </c>
      <c r="S56" s="197">
        <v>1483</v>
      </c>
      <c r="T56" s="197">
        <v>1813</v>
      </c>
      <c r="U56" s="197">
        <v>1601</v>
      </c>
      <c r="V56" s="197">
        <v>1504</v>
      </c>
      <c r="W56" s="197">
        <v>1399</v>
      </c>
      <c r="X56" s="197">
        <v>1288</v>
      </c>
      <c r="Y56" s="197">
        <v>1580</v>
      </c>
      <c r="Z56" s="197">
        <v>1515</v>
      </c>
      <c r="AA56" s="197">
        <v>1446</v>
      </c>
      <c r="AB56" s="1">
        <v>1332</v>
      </c>
      <c r="AC56" s="1">
        <v>0</v>
      </c>
      <c r="AD56" s="1">
        <v>1903</v>
      </c>
      <c r="AE56" s="1">
        <v>0</v>
      </c>
    </row>
    <row r="57" spans="1:31">
      <c r="B57" s="6" t="s">
        <v>295</v>
      </c>
      <c r="C57" s="6" t="s">
        <v>295</v>
      </c>
      <c r="D57" s="7">
        <v>4062025</v>
      </c>
      <c r="E57" s="197" t="s">
        <v>175</v>
      </c>
      <c r="F57" s="197">
        <v>9517</v>
      </c>
      <c r="G57" s="197">
        <v>1799</v>
      </c>
      <c r="H57" s="197">
        <v>1779</v>
      </c>
      <c r="I57" s="197">
        <v>2484</v>
      </c>
      <c r="J57" s="197">
        <v>4624</v>
      </c>
      <c r="K57" s="197">
        <v>2525</v>
      </c>
      <c r="L57" s="197">
        <v>5111</v>
      </c>
      <c r="M57" s="197">
        <v>1785</v>
      </c>
      <c r="N57" s="197">
        <v>2037</v>
      </c>
      <c r="O57" s="197">
        <v>1986</v>
      </c>
      <c r="P57" s="197">
        <v>1345</v>
      </c>
      <c r="Q57" s="197">
        <v>1719</v>
      </c>
      <c r="R57" s="197">
        <v>2380</v>
      </c>
      <c r="S57" s="197">
        <v>1955</v>
      </c>
      <c r="T57" s="197">
        <v>1330</v>
      </c>
      <c r="U57" s="197">
        <v>973</v>
      </c>
      <c r="V57" s="197">
        <v>1831</v>
      </c>
      <c r="W57" s="197">
        <v>1255</v>
      </c>
      <c r="X57" s="197">
        <v>1177</v>
      </c>
      <c r="Y57" s="197">
        <v>1300</v>
      </c>
      <c r="Z57" s="197">
        <v>985</v>
      </c>
      <c r="AA57" s="197">
        <v>1480</v>
      </c>
      <c r="AB57" s="1">
        <v>1803</v>
      </c>
      <c r="AC57" s="1">
        <v>0</v>
      </c>
      <c r="AD57" s="1">
        <v>0</v>
      </c>
      <c r="AE57" s="1">
        <v>0</v>
      </c>
    </row>
    <row r="58" spans="1:31">
      <c r="B58" s="6" t="s">
        <v>296</v>
      </c>
      <c r="C58" s="6" t="s">
        <v>296</v>
      </c>
      <c r="D58" s="7">
        <v>4064481</v>
      </c>
      <c r="E58" s="197" t="s">
        <v>175</v>
      </c>
      <c r="F58" s="197" t="s">
        <v>175</v>
      </c>
      <c r="G58" s="197" t="s">
        <v>175</v>
      </c>
      <c r="H58" s="197">
        <v>86155</v>
      </c>
      <c r="I58" s="197">
        <v>99013</v>
      </c>
      <c r="J58" s="197">
        <v>100005</v>
      </c>
      <c r="K58" s="197">
        <v>114587</v>
      </c>
      <c r="L58" s="197">
        <v>103546</v>
      </c>
      <c r="M58" s="197">
        <v>96914</v>
      </c>
      <c r="N58" s="197">
        <v>83988</v>
      </c>
      <c r="O58" s="197">
        <v>75155</v>
      </c>
      <c r="P58" s="197">
        <v>92465</v>
      </c>
      <c r="Q58" s="197">
        <v>63785</v>
      </c>
      <c r="R58" s="197">
        <v>78581</v>
      </c>
      <c r="S58" s="197">
        <v>71591</v>
      </c>
      <c r="T58" s="197">
        <v>47755</v>
      </c>
      <c r="U58" s="197">
        <v>54857</v>
      </c>
      <c r="V58" s="197">
        <v>48724</v>
      </c>
      <c r="W58" s="197">
        <v>72218</v>
      </c>
      <c r="X58" s="197">
        <v>29168</v>
      </c>
      <c r="Y58" s="197">
        <v>49017</v>
      </c>
      <c r="Z58" s="197">
        <v>45068</v>
      </c>
      <c r="AA58" s="197">
        <v>37836</v>
      </c>
      <c r="AB58" s="1">
        <v>31146</v>
      </c>
      <c r="AC58" s="1">
        <v>0</v>
      </c>
      <c r="AD58" s="1">
        <v>0</v>
      </c>
      <c r="AE58" s="1" t="s">
        <v>175</v>
      </c>
    </row>
    <row r="59" spans="1:31">
      <c r="A59" s="1" t="s">
        <v>275</v>
      </c>
      <c r="B59" s="6" t="s">
        <v>207</v>
      </c>
      <c r="C59" s="6" t="s">
        <v>207</v>
      </c>
      <c r="D59" s="7">
        <v>4057093</v>
      </c>
      <c r="E59" s="197">
        <v>54730</v>
      </c>
      <c r="F59" s="197">
        <v>40093</v>
      </c>
      <c r="G59" s="197">
        <v>61074</v>
      </c>
      <c r="H59" s="197">
        <v>45951</v>
      </c>
      <c r="I59" s="197">
        <v>47212</v>
      </c>
      <c r="J59" s="197">
        <v>43855</v>
      </c>
      <c r="K59" s="197">
        <v>38576</v>
      </c>
      <c r="L59" s="197">
        <v>24311</v>
      </c>
      <c r="M59" s="197">
        <v>28708</v>
      </c>
      <c r="N59" s="197">
        <v>38746</v>
      </c>
      <c r="O59" s="197">
        <v>27377</v>
      </c>
      <c r="P59" s="197">
        <v>35852</v>
      </c>
      <c r="Q59" s="197">
        <v>21247</v>
      </c>
      <c r="R59" s="197">
        <v>20764</v>
      </c>
      <c r="S59" s="197">
        <v>17723</v>
      </c>
      <c r="T59" s="197">
        <v>19456</v>
      </c>
      <c r="U59" s="197">
        <v>17182</v>
      </c>
      <c r="V59" s="197">
        <v>16225</v>
      </c>
      <c r="W59" s="197">
        <v>15557</v>
      </c>
      <c r="X59" s="197">
        <v>12975</v>
      </c>
      <c r="Y59" s="197">
        <v>12679</v>
      </c>
      <c r="Z59" s="197">
        <v>17319</v>
      </c>
      <c r="AA59" s="197">
        <v>17400</v>
      </c>
      <c r="AB59" s="1">
        <v>14717</v>
      </c>
      <c r="AC59" s="1">
        <v>0</v>
      </c>
      <c r="AD59" s="1">
        <v>0</v>
      </c>
      <c r="AE59" s="1">
        <v>0</v>
      </c>
    </row>
    <row r="60" spans="1:31">
      <c r="B60" s="6" t="s">
        <v>208</v>
      </c>
      <c r="C60" s="6" t="s">
        <v>208</v>
      </c>
      <c r="D60" s="7">
        <v>4004218</v>
      </c>
      <c r="E60" s="197">
        <v>1199092.95</v>
      </c>
      <c r="F60" s="197">
        <v>1051764</v>
      </c>
      <c r="G60" s="197">
        <v>914707</v>
      </c>
      <c r="H60" s="197">
        <v>959458</v>
      </c>
      <c r="I60" s="197">
        <v>843826</v>
      </c>
      <c r="J60" s="197">
        <v>938464</v>
      </c>
      <c r="K60" s="197">
        <v>671886</v>
      </c>
      <c r="L60" s="197">
        <v>596995</v>
      </c>
      <c r="M60" s="197">
        <v>594565</v>
      </c>
      <c r="N60" s="197">
        <v>450738</v>
      </c>
      <c r="O60" s="197">
        <v>344276</v>
      </c>
      <c r="P60" s="197">
        <v>280787</v>
      </c>
      <c r="Q60" s="197">
        <v>262792</v>
      </c>
      <c r="R60" s="197">
        <v>248068</v>
      </c>
      <c r="S60" s="197">
        <v>204236</v>
      </c>
      <c r="T60" s="197">
        <v>201139</v>
      </c>
      <c r="U60" s="197">
        <v>188063</v>
      </c>
      <c r="V60" s="197">
        <v>170384</v>
      </c>
      <c r="W60" s="197">
        <v>171847</v>
      </c>
      <c r="X60" s="197">
        <v>178769</v>
      </c>
      <c r="Y60" s="197">
        <v>164978</v>
      </c>
      <c r="Z60" s="197">
        <v>150169</v>
      </c>
      <c r="AA60" s="197">
        <v>186974</v>
      </c>
      <c r="AB60" s="1">
        <v>196405</v>
      </c>
      <c r="AC60" s="1">
        <v>0</v>
      </c>
      <c r="AD60" s="1">
        <v>0</v>
      </c>
      <c r="AE60" s="1">
        <v>0</v>
      </c>
    </row>
    <row r="61" spans="1:31">
      <c r="A61" s="1" t="s">
        <v>275</v>
      </c>
      <c r="B61" s="6" t="s">
        <v>297</v>
      </c>
      <c r="C61" s="6" t="s">
        <v>298</v>
      </c>
      <c r="D61" s="7">
        <v>4062222</v>
      </c>
      <c r="E61" s="197" t="s">
        <v>175</v>
      </c>
      <c r="F61" s="197">
        <v>206824</v>
      </c>
      <c r="G61" s="197">
        <v>217513</v>
      </c>
      <c r="H61" s="197">
        <v>184940</v>
      </c>
      <c r="I61" s="197">
        <v>158413</v>
      </c>
      <c r="J61" s="197">
        <v>137240</v>
      </c>
      <c r="K61" s="197">
        <v>134210</v>
      </c>
      <c r="L61" s="197">
        <v>116388</v>
      </c>
      <c r="M61" s="197">
        <v>83326</v>
      </c>
      <c r="N61" s="197">
        <v>79110</v>
      </c>
      <c r="O61" s="197">
        <v>64693</v>
      </c>
      <c r="P61" s="197">
        <v>61532</v>
      </c>
      <c r="Q61" s="197">
        <v>53440</v>
      </c>
      <c r="R61" s="197">
        <v>59187</v>
      </c>
      <c r="S61" s="197">
        <v>48693</v>
      </c>
      <c r="T61" s="197">
        <v>56193</v>
      </c>
      <c r="U61" s="197">
        <v>47940</v>
      </c>
      <c r="V61" s="197">
        <v>53750</v>
      </c>
      <c r="W61" s="197">
        <v>60543</v>
      </c>
      <c r="X61" s="197">
        <v>38989</v>
      </c>
      <c r="Y61" s="197">
        <v>106712</v>
      </c>
      <c r="Z61" s="197" t="s">
        <v>175</v>
      </c>
      <c r="AA61" s="197">
        <v>3713</v>
      </c>
      <c r="AB61" s="1">
        <v>5243</v>
      </c>
      <c r="AC61" s="1">
        <v>0</v>
      </c>
      <c r="AD61" s="1">
        <v>0</v>
      </c>
      <c r="AE61" s="1">
        <v>0</v>
      </c>
    </row>
    <row r="62" spans="1:31">
      <c r="B62" s="6" t="s">
        <v>210</v>
      </c>
      <c r="C62" s="6" t="s">
        <v>211</v>
      </c>
      <c r="D62" s="7">
        <v>4057135</v>
      </c>
      <c r="E62" s="197">
        <v>338834</v>
      </c>
      <c r="F62" s="197">
        <v>534562</v>
      </c>
      <c r="G62" s="197">
        <v>414285</v>
      </c>
      <c r="H62" s="197">
        <v>352003</v>
      </c>
      <c r="I62" s="197">
        <v>355876</v>
      </c>
      <c r="J62" s="197">
        <v>229083</v>
      </c>
      <c r="K62" s="197">
        <v>332216</v>
      </c>
      <c r="L62" s="197">
        <v>259442</v>
      </c>
      <c r="M62" s="197">
        <v>304610</v>
      </c>
      <c r="N62" s="197">
        <v>223706</v>
      </c>
      <c r="O62" s="197">
        <v>191552</v>
      </c>
      <c r="P62" s="197">
        <v>168910</v>
      </c>
      <c r="Q62" s="197">
        <v>56714</v>
      </c>
      <c r="R62" s="197">
        <v>117769</v>
      </c>
      <c r="S62" s="197">
        <v>78853</v>
      </c>
      <c r="T62" s="197">
        <v>70211</v>
      </c>
      <c r="U62" s="197">
        <v>54795</v>
      </c>
      <c r="V62" s="197">
        <v>50016</v>
      </c>
      <c r="W62" s="197">
        <v>35405</v>
      </c>
      <c r="X62" s="197">
        <v>50577</v>
      </c>
      <c r="Y62" s="197">
        <v>68464</v>
      </c>
      <c r="Z62" s="197">
        <v>56835</v>
      </c>
      <c r="AA62" s="197">
        <v>49270</v>
      </c>
      <c r="AB62" s="1">
        <v>41407</v>
      </c>
      <c r="AC62" s="1">
        <v>0</v>
      </c>
      <c r="AD62" s="1">
        <v>0</v>
      </c>
      <c r="AE62" s="1">
        <v>0</v>
      </c>
    </row>
    <row r="63" spans="1:31">
      <c r="B63" s="6" t="s">
        <v>212</v>
      </c>
      <c r="C63" s="6" t="s">
        <v>212</v>
      </c>
      <c r="D63" s="7">
        <v>4063341</v>
      </c>
      <c r="E63" s="197">
        <v>287153</v>
      </c>
      <c r="F63" s="197">
        <v>241689</v>
      </c>
      <c r="G63" s="197">
        <v>174542</v>
      </c>
      <c r="H63" s="197">
        <v>146440</v>
      </c>
      <c r="I63" s="197">
        <v>117169</v>
      </c>
      <c r="J63" s="197">
        <v>111742</v>
      </c>
      <c r="K63" s="197">
        <v>92874</v>
      </c>
      <c r="L63" s="197">
        <v>68179</v>
      </c>
      <c r="M63" s="197">
        <v>82623</v>
      </c>
      <c r="N63" s="197">
        <v>53089</v>
      </c>
      <c r="O63" s="197">
        <v>58176</v>
      </c>
      <c r="P63" s="197">
        <v>48022</v>
      </c>
      <c r="Q63" s="197">
        <v>59754</v>
      </c>
      <c r="R63" s="197">
        <v>42244</v>
      </c>
      <c r="S63" s="197">
        <v>33594</v>
      </c>
      <c r="T63" s="197">
        <v>49421</v>
      </c>
      <c r="U63" s="197">
        <v>31836</v>
      </c>
      <c r="V63" s="197">
        <v>37869</v>
      </c>
      <c r="W63" s="197">
        <v>69653</v>
      </c>
      <c r="X63" s="197">
        <v>47016</v>
      </c>
      <c r="Y63" s="197">
        <v>25807</v>
      </c>
      <c r="Z63" s="197">
        <v>0</v>
      </c>
      <c r="AA63" s="197">
        <v>70775</v>
      </c>
      <c r="AB63" s="1">
        <v>0</v>
      </c>
      <c r="AC63" s="1">
        <v>0</v>
      </c>
      <c r="AD63" s="1">
        <v>0</v>
      </c>
      <c r="AE63" s="1">
        <v>0</v>
      </c>
    </row>
    <row r="64" spans="1:31">
      <c r="A64" s="1" t="s">
        <v>275</v>
      </c>
      <c r="B64" s="6" t="s">
        <v>299</v>
      </c>
      <c r="C64" s="6" t="s">
        <v>299</v>
      </c>
      <c r="D64" s="7">
        <v>4083575</v>
      </c>
      <c r="E64" s="197" t="s">
        <v>175</v>
      </c>
      <c r="F64" s="197">
        <v>68883</v>
      </c>
      <c r="G64" s="197">
        <v>36907</v>
      </c>
      <c r="H64" s="197">
        <v>66097</v>
      </c>
      <c r="I64" s="197">
        <v>35034</v>
      </c>
      <c r="J64" s="197">
        <v>56501</v>
      </c>
      <c r="K64" s="197">
        <v>23606</v>
      </c>
      <c r="L64" s="197">
        <v>45175</v>
      </c>
      <c r="M64" s="197">
        <v>44350</v>
      </c>
      <c r="N64" s="197">
        <v>26941</v>
      </c>
      <c r="O64" s="197">
        <v>24515</v>
      </c>
      <c r="P64" s="197">
        <v>27877</v>
      </c>
      <c r="Q64" s="197">
        <v>37652</v>
      </c>
      <c r="R64" s="197">
        <v>36855</v>
      </c>
      <c r="S64" s="197">
        <v>38262</v>
      </c>
      <c r="T64" s="197">
        <v>36953</v>
      </c>
      <c r="U64" s="197">
        <v>34855</v>
      </c>
      <c r="V64" s="197">
        <v>36517</v>
      </c>
      <c r="W64" s="197">
        <v>29691</v>
      </c>
      <c r="X64" s="197">
        <v>73545</v>
      </c>
      <c r="Y64" s="197">
        <v>28194</v>
      </c>
      <c r="Z64" s="197" t="s">
        <v>175</v>
      </c>
      <c r="AA64" s="197" t="s">
        <v>175</v>
      </c>
      <c r="AB64" s="1" t="s">
        <v>175</v>
      </c>
      <c r="AC64" s="1" t="s">
        <v>175</v>
      </c>
      <c r="AD64" s="1" t="s">
        <v>175</v>
      </c>
      <c r="AE64" s="1" t="s">
        <v>175</v>
      </c>
    </row>
    <row r="65" spans="1:31">
      <c r="B65" s="6" t="s">
        <v>300</v>
      </c>
      <c r="C65" s="6" t="s">
        <v>300</v>
      </c>
      <c r="D65" s="7">
        <v>4062303</v>
      </c>
      <c r="E65" s="197" t="s">
        <v>175</v>
      </c>
      <c r="F65" s="197">
        <v>84</v>
      </c>
      <c r="G65" s="197">
        <v>322</v>
      </c>
      <c r="H65" s="197">
        <v>114</v>
      </c>
      <c r="I65" s="197" t="s">
        <v>175</v>
      </c>
      <c r="J65" s="197" t="s">
        <v>175</v>
      </c>
      <c r="K65" s="197">
        <v>134</v>
      </c>
      <c r="L65" s="197">
        <v>73</v>
      </c>
      <c r="M65" s="197">
        <v>127</v>
      </c>
      <c r="N65" s="197">
        <v>492</v>
      </c>
      <c r="O65" s="197">
        <v>95</v>
      </c>
      <c r="P65" s="197">
        <v>122</v>
      </c>
      <c r="Q65" s="197">
        <v>71</v>
      </c>
      <c r="R65" s="197">
        <v>190</v>
      </c>
      <c r="S65" s="197">
        <v>181</v>
      </c>
      <c r="T65" s="197">
        <v>152</v>
      </c>
      <c r="U65" s="197">
        <v>361</v>
      </c>
      <c r="V65" s="197">
        <v>58</v>
      </c>
      <c r="W65" s="197">
        <v>25</v>
      </c>
      <c r="X65" s="197">
        <v>84</v>
      </c>
      <c r="Y65" s="197">
        <v>100</v>
      </c>
      <c r="Z65" s="197">
        <v>6</v>
      </c>
      <c r="AA65" s="197" t="s">
        <v>175</v>
      </c>
      <c r="AB65" s="1" t="s">
        <v>175</v>
      </c>
      <c r="AC65" s="1" t="s">
        <v>175</v>
      </c>
      <c r="AD65" s="1" t="s">
        <v>175</v>
      </c>
      <c r="AE65" s="1" t="s">
        <v>175</v>
      </c>
    </row>
    <row r="66" spans="1:31">
      <c r="B66" s="6" t="s">
        <v>301</v>
      </c>
      <c r="C66" s="6" t="s">
        <v>301</v>
      </c>
      <c r="D66" s="7">
        <v>4083581</v>
      </c>
      <c r="E66" s="197" t="s">
        <v>175</v>
      </c>
      <c r="F66" s="197">
        <v>298</v>
      </c>
      <c r="G66" s="197">
        <v>239</v>
      </c>
      <c r="H66" s="197">
        <v>292</v>
      </c>
      <c r="I66" s="197">
        <v>740</v>
      </c>
      <c r="J66" s="197">
        <v>469</v>
      </c>
      <c r="K66" s="197">
        <v>569</v>
      </c>
      <c r="L66" s="197">
        <v>308</v>
      </c>
      <c r="M66" s="197">
        <v>346</v>
      </c>
      <c r="N66" s="197">
        <v>5</v>
      </c>
      <c r="O66" s="197">
        <v>7</v>
      </c>
      <c r="P66" s="197">
        <v>0</v>
      </c>
      <c r="Q66" s="197">
        <v>11</v>
      </c>
      <c r="R66" s="197">
        <v>8</v>
      </c>
      <c r="S66" s="197">
        <v>122</v>
      </c>
      <c r="T66" s="197">
        <v>81</v>
      </c>
      <c r="U66" s="197">
        <v>316</v>
      </c>
      <c r="V66" s="197">
        <v>351</v>
      </c>
      <c r="W66" s="197">
        <v>128</v>
      </c>
      <c r="X66" s="197" t="s">
        <v>175</v>
      </c>
      <c r="Y66" s="197">
        <v>351</v>
      </c>
      <c r="Z66" s="197">
        <v>50</v>
      </c>
      <c r="AA66" s="197" t="s">
        <v>175</v>
      </c>
      <c r="AB66" s="1" t="s">
        <v>175</v>
      </c>
      <c r="AC66" s="1" t="s">
        <v>175</v>
      </c>
      <c r="AD66" s="1" t="s">
        <v>175</v>
      </c>
      <c r="AE66" s="1" t="s">
        <v>175</v>
      </c>
    </row>
    <row r="67" spans="1:31">
      <c r="B67" s="6" t="s">
        <v>214</v>
      </c>
      <c r="C67" s="6" t="s">
        <v>214</v>
      </c>
      <c r="D67" s="7">
        <v>4057139</v>
      </c>
      <c r="E67" s="197">
        <v>135423.149</v>
      </c>
      <c r="F67" s="197">
        <v>115197</v>
      </c>
      <c r="G67" s="197">
        <v>142060</v>
      </c>
      <c r="H67" s="197">
        <v>72919</v>
      </c>
      <c r="I67" s="197">
        <v>70861</v>
      </c>
      <c r="J67" s="197">
        <v>98653</v>
      </c>
      <c r="K67" s="197">
        <v>75856</v>
      </c>
      <c r="L67" s="197">
        <v>93556</v>
      </c>
      <c r="M67" s="197">
        <v>45046</v>
      </c>
      <c r="N67" s="197">
        <v>44813</v>
      </c>
      <c r="O67" s="197">
        <v>51184</v>
      </c>
      <c r="P67" s="197">
        <v>34391</v>
      </c>
      <c r="Q67" s="197">
        <v>26503</v>
      </c>
      <c r="R67" s="197">
        <v>57881</v>
      </c>
      <c r="S67" s="197">
        <v>74266</v>
      </c>
      <c r="T67" s="197">
        <v>73730</v>
      </c>
      <c r="U67" s="197">
        <v>51666</v>
      </c>
      <c r="V67" s="197">
        <v>41557</v>
      </c>
      <c r="W67" s="197">
        <v>38931</v>
      </c>
      <c r="X67" s="197">
        <v>37114</v>
      </c>
      <c r="Y67" s="197">
        <v>57307</v>
      </c>
      <c r="Z67" s="197">
        <v>21130</v>
      </c>
      <c r="AA67" s="197">
        <v>27352</v>
      </c>
      <c r="AB67" s="1">
        <v>40284</v>
      </c>
      <c r="AC67" s="1">
        <v>0</v>
      </c>
      <c r="AD67" s="1">
        <v>0</v>
      </c>
      <c r="AE67" s="1">
        <v>0</v>
      </c>
    </row>
    <row r="68" spans="1:31">
      <c r="A68" s="1" t="s">
        <v>275</v>
      </c>
      <c r="B68" s="6" t="s">
        <v>216</v>
      </c>
      <c r="C68" s="6" t="s">
        <v>216</v>
      </c>
      <c r="D68" s="7">
        <v>4057095</v>
      </c>
      <c r="E68" s="197">
        <v>646217.01100000006</v>
      </c>
      <c r="F68" s="197" t="s">
        <v>175</v>
      </c>
      <c r="G68" s="197">
        <v>663349</v>
      </c>
      <c r="H68" s="197">
        <v>764322</v>
      </c>
      <c r="I68" s="197">
        <v>733366</v>
      </c>
      <c r="J68" s="197">
        <v>566819</v>
      </c>
      <c r="K68" s="197">
        <v>437196</v>
      </c>
      <c r="L68" s="197">
        <v>277317</v>
      </c>
      <c r="M68" s="197">
        <v>143751</v>
      </c>
      <c r="N68" s="197">
        <v>213179</v>
      </c>
      <c r="O68" s="197">
        <v>189163</v>
      </c>
      <c r="P68" s="197">
        <v>291120</v>
      </c>
      <c r="Q68" s="197">
        <v>223510</v>
      </c>
      <c r="R68" s="197">
        <v>200011</v>
      </c>
      <c r="S68" s="197">
        <v>166946</v>
      </c>
      <c r="T68" s="197">
        <v>187959</v>
      </c>
      <c r="U68" s="197">
        <v>187512</v>
      </c>
      <c r="V68" s="197">
        <v>155225</v>
      </c>
      <c r="W68" s="197">
        <v>153387</v>
      </c>
      <c r="X68" s="197">
        <v>150814</v>
      </c>
      <c r="Y68" s="197">
        <v>135898</v>
      </c>
      <c r="Z68" s="197">
        <v>135607</v>
      </c>
      <c r="AA68" s="197">
        <v>127298</v>
      </c>
      <c r="AB68" s="1">
        <v>140541</v>
      </c>
      <c r="AC68" s="1">
        <v>0</v>
      </c>
      <c r="AD68" s="1">
        <v>0</v>
      </c>
      <c r="AE68" s="1">
        <v>0</v>
      </c>
    </row>
    <row r="69" spans="1:31">
      <c r="B69" s="6" t="s">
        <v>217</v>
      </c>
      <c r="C69" s="6" t="s">
        <v>217</v>
      </c>
      <c r="D69" s="7">
        <v>4062485</v>
      </c>
      <c r="E69" s="197">
        <v>223517</v>
      </c>
      <c r="F69" s="197">
        <v>280663</v>
      </c>
      <c r="G69" s="197">
        <v>271692</v>
      </c>
      <c r="H69" s="197">
        <v>242041</v>
      </c>
      <c r="I69" s="197">
        <v>239404</v>
      </c>
      <c r="J69" s="197">
        <v>196495</v>
      </c>
      <c r="K69" s="197">
        <v>150535</v>
      </c>
      <c r="L69" s="197">
        <v>164006</v>
      </c>
      <c r="M69" s="197">
        <v>128154</v>
      </c>
      <c r="N69" s="197">
        <v>151987</v>
      </c>
      <c r="O69" s="197">
        <v>107466</v>
      </c>
      <c r="P69" s="197">
        <v>124742</v>
      </c>
      <c r="Q69" s="197">
        <v>172488</v>
      </c>
      <c r="R69" s="197">
        <v>166450</v>
      </c>
      <c r="S69" s="197">
        <v>197844</v>
      </c>
      <c r="T69" s="197">
        <v>151290</v>
      </c>
      <c r="U69" s="197">
        <v>121279</v>
      </c>
      <c r="V69" s="197">
        <v>112319</v>
      </c>
      <c r="W69" s="197">
        <v>94930</v>
      </c>
      <c r="X69" s="197">
        <v>108344</v>
      </c>
      <c r="Y69" s="197">
        <v>120053</v>
      </c>
      <c r="Z69" s="197">
        <v>87479</v>
      </c>
      <c r="AA69" s="197">
        <v>105976</v>
      </c>
      <c r="AB69" s="1">
        <v>84052</v>
      </c>
      <c r="AC69" s="1" t="s">
        <v>175</v>
      </c>
      <c r="AD69" s="1" t="s">
        <v>175</v>
      </c>
      <c r="AE69" s="1">
        <v>0</v>
      </c>
    </row>
    <row r="70" spans="1:31">
      <c r="B70" s="6" t="s">
        <v>218</v>
      </c>
      <c r="C70" s="6" t="s">
        <v>218</v>
      </c>
      <c r="D70" s="7">
        <v>4057140</v>
      </c>
      <c r="E70" s="197">
        <v>263420</v>
      </c>
      <c r="F70" s="197">
        <v>1732</v>
      </c>
      <c r="G70" s="197">
        <v>4678</v>
      </c>
      <c r="H70" s="197">
        <v>132274</v>
      </c>
      <c r="I70" s="197">
        <v>185269</v>
      </c>
      <c r="J70" s="197">
        <v>200009</v>
      </c>
      <c r="K70" s="197">
        <v>203899</v>
      </c>
      <c r="L70" s="197">
        <v>172069</v>
      </c>
      <c r="M70" s="197">
        <v>179458</v>
      </c>
      <c r="N70" s="197">
        <v>125343</v>
      </c>
      <c r="O70" s="197">
        <v>98619</v>
      </c>
      <c r="P70" s="197">
        <v>78057</v>
      </c>
      <c r="Q70" s="197">
        <v>54532</v>
      </c>
      <c r="R70" s="197">
        <v>122491</v>
      </c>
      <c r="S70" s="197">
        <v>117447</v>
      </c>
      <c r="T70" s="197">
        <v>74190</v>
      </c>
      <c r="U70" s="197">
        <v>58907</v>
      </c>
      <c r="V70" s="197">
        <v>57921</v>
      </c>
      <c r="W70" s="197">
        <v>63959</v>
      </c>
      <c r="X70" s="197">
        <v>78626</v>
      </c>
      <c r="Y70" s="197">
        <v>56613</v>
      </c>
      <c r="Z70" s="197">
        <v>95334</v>
      </c>
      <c r="AA70" s="197">
        <v>40107</v>
      </c>
      <c r="AB70" s="1">
        <v>49562</v>
      </c>
      <c r="AC70" s="1">
        <v>0</v>
      </c>
      <c r="AD70" s="1">
        <v>0</v>
      </c>
      <c r="AE70" s="1">
        <v>0</v>
      </c>
    </row>
    <row r="71" spans="1:31">
      <c r="A71" s="1" t="s">
        <v>275</v>
      </c>
      <c r="B71" s="6" t="s">
        <v>220</v>
      </c>
      <c r="C71" s="6" t="s">
        <v>221</v>
      </c>
      <c r="D71" s="7">
        <v>4057096</v>
      </c>
      <c r="E71" s="197">
        <v>106714</v>
      </c>
      <c r="F71" s="197">
        <v>45298</v>
      </c>
      <c r="G71" s="197">
        <v>87764</v>
      </c>
      <c r="H71" s="197">
        <v>38809</v>
      </c>
      <c r="I71" s="197">
        <v>82147</v>
      </c>
      <c r="J71" s="197">
        <v>35666</v>
      </c>
      <c r="K71" s="197">
        <v>22894</v>
      </c>
      <c r="L71" s="197">
        <v>30330</v>
      </c>
      <c r="M71" s="197">
        <v>27676</v>
      </c>
      <c r="N71" s="197">
        <v>34218</v>
      </c>
      <c r="O71" s="197">
        <v>24337</v>
      </c>
      <c r="P71" s="197">
        <v>20074</v>
      </c>
      <c r="Q71" s="197">
        <v>13647</v>
      </c>
      <c r="R71" s="197">
        <v>21592</v>
      </c>
      <c r="S71" s="197">
        <v>16470</v>
      </c>
      <c r="T71" s="197">
        <v>15100</v>
      </c>
      <c r="U71" s="197">
        <v>16673</v>
      </c>
      <c r="V71" s="197">
        <v>42137</v>
      </c>
      <c r="W71" s="197" t="s">
        <v>175</v>
      </c>
      <c r="X71" s="197" t="s">
        <v>175</v>
      </c>
      <c r="Y71" s="197">
        <v>29742</v>
      </c>
      <c r="Z71" s="197">
        <v>21145</v>
      </c>
      <c r="AA71" s="197">
        <v>22320</v>
      </c>
      <c r="AB71" s="1">
        <v>20438</v>
      </c>
      <c r="AC71" s="1">
        <v>0</v>
      </c>
      <c r="AD71" s="1">
        <v>0</v>
      </c>
      <c r="AE71" s="1">
        <v>0</v>
      </c>
    </row>
    <row r="72" spans="1:31">
      <c r="B72" s="6" t="s">
        <v>302</v>
      </c>
      <c r="C72" s="6" t="s">
        <v>302</v>
      </c>
      <c r="D72" s="7">
        <v>4057097</v>
      </c>
      <c r="E72" s="197" t="s">
        <v>175</v>
      </c>
      <c r="F72" s="197" t="s">
        <v>175</v>
      </c>
      <c r="G72" s="197" t="s">
        <v>175</v>
      </c>
      <c r="H72" s="197">
        <v>176983</v>
      </c>
      <c r="I72" s="197">
        <v>267106</v>
      </c>
      <c r="J72" s="197">
        <v>225907</v>
      </c>
      <c r="K72" s="197">
        <v>62318</v>
      </c>
      <c r="L72" s="197">
        <v>67544</v>
      </c>
      <c r="M72" s="197">
        <v>30616</v>
      </c>
      <c r="N72" s="197">
        <v>41694</v>
      </c>
      <c r="O72" s="197">
        <v>40715</v>
      </c>
      <c r="P72" s="197">
        <v>71642</v>
      </c>
      <c r="Q72" s="197">
        <v>45433</v>
      </c>
      <c r="R72" s="197">
        <v>20126</v>
      </c>
      <c r="S72" s="197">
        <v>24488</v>
      </c>
      <c r="T72" s="197">
        <v>30091</v>
      </c>
      <c r="U72" s="197">
        <v>22858</v>
      </c>
      <c r="V72" s="197">
        <v>24156</v>
      </c>
      <c r="W72" s="197">
        <v>32926</v>
      </c>
      <c r="X72" s="197">
        <v>25682</v>
      </c>
      <c r="Y72" s="197">
        <v>23200</v>
      </c>
      <c r="Z72" s="197">
        <v>22303</v>
      </c>
      <c r="AA72" s="197">
        <v>26369</v>
      </c>
      <c r="AB72" s="1">
        <v>20160</v>
      </c>
      <c r="AC72" s="1">
        <v>0</v>
      </c>
      <c r="AD72" s="1">
        <v>0</v>
      </c>
      <c r="AE72" s="1">
        <v>0</v>
      </c>
    </row>
    <row r="73" spans="1:31">
      <c r="B73" s="6" t="s">
        <v>303</v>
      </c>
      <c r="C73" s="6" t="s">
        <v>303</v>
      </c>
      <c r="D73" s="7">
        <v>4057098</v>
      </c>
      <c r="E73" s="197" t="s">
        <v>175</v>
      </c>
      <c r="F73" s="197" t="s">
        <v>175</v>
      </c>
      <c r="G73" s="197">
        <v>14830</v>
      </c>
      <c r="H73" s="197">
        <v>14398</v>
      </c>
      <c r="I73" s="197">
        <v>9323</v>
      </c>
      <c r="J73" s="197">
        <v>7425</v>
      </c>
      <c r="K73" s="197">
        <v>9908</v>
      </c>
      <c r="L73" s="197">
        <v>9629</v>
      </c>
      <c r="M73" s="197">
        <v>16477</v>
      </c>
      <c r="N73" s="197">
        <v>28751</v>
      </c>
      <c r="O73" s="197">
        <v>9554</v>
      </c>
      <c r="P73" s="197">
        <v>11400</v>
      </c>
      <c r="Q73" s="197">
        <v>18128</v>
      </c>
      <c r="R73" s="197">
        <v>12045</v>
      </c>
      <c r="S73" s="197">
        <v>15289</v>
      </c>
      <c r="T73" s="197">
        <v>11936</v>
      </c>
      <c r="U73" s="197">
        <v>13886</v>
      </c>
      <c r="V73" s="197">
        <v>9906</v>
      </c>
      <c r="W73" s="197">
        <v>16062</v>
      </c>
      <c r="X73" s="197">
        <v>12116</v>
      </c>
      <c r="Y73" s="197" t="s">
        <v>175</v>
      </c>
      <c r="Z73" s="197">
        <v>12964</v>
      </c>
      <c r="AA73" s="197">
        <v>7412</v>
      </c>
      <c r="AB73" s="1">
        <v>8170</v>
      </c>
      <c r="AC73" s="1">
        <v>0</v>
      </c>
      <c r="AD73" s="1">
        <v>0</v>
      </c>
      <c r="AE73" s="1">
        <v>0</v>
      </c>
    </row>
    <row r="74" spans="1:31">
      <c r="A74" s="1" t="s">
        <v>275</v>
      </c>
      <c r="B74" s="6" t="s">
        <v>222</v>
      </c>
      <c r="C74" s="6" t="s">
        <v>222</v>
      </c>
      <c r="D74" s="7">
        <v>4063023</v>
      </c>
      <c r="E74" s="197">
        <v>239351.49900000001</v>
      </c>
      <c r="F74" s="197" t="s">
        <v>175</v>
      </c>
      <c r="G74" s="197">
        <v>245163</v>
      </c>
      <c r="H74" s="197">
        <v>209117</v>
      </c>
      <c r="I74" s="197">
        <v>196188</v>
      </c>
      <c r="J74" s="197">
        <v>184744</v>
      </c>
      <c r="K74" s="197">
        <v>161566</v>
      </c>
      <c r="L74" s="197">
        <v>142763</v>
      </c>
      <c r="M74" s="197">
        <v>126662</v>
      </c>
      <c r="N74" s="197">
        <v>130046</v>
      </c>
      <c r="O74" s="197">
        <v>94075</v>
      </c>
      <c r="P74" s="197">
        <v>65494</v>
      </c>
      <c r="Q74" s="197">
        <v>65868</v>
      </c>
      <c r="R74" s="197">
        <v>47235</v>
      </c>
      <c r="S74" s="197">
        <v>45155</v>
      </c>
      <c r="T74" s="197">
        <v>50256</v>
      </c>
      <c r="U74" s="197">
        <v>54874</v>
      </c>
      <c r="V74" s="197">
        <v>51008</v>
      </c>
      <c r="W74" s="197">
        <v>39065</v>
      </c>
      <c r="X74" s="197">
        <v>38906</v>
      </c>
      <c r="Y74" s="197">
        <v>36892</v>
      </c>
      <c r="Z74" s="197">
        <v>38416</v>
      </c>
      <c r="AA74" s="197">
        <v>35223</v>
      </c>
      <c r="AB74" s="1">
        <v>36447</v>
      </c>
      <c r="AC74" s="1">
        <v>0</v>
      </c>
      <c r="AD74" s="1">
        <v>0</v>
      </c>
      <c r="AE74" s="1">
        <v>0</v>
      </c>
    </row>
    <row r="75" spans="1:31">
      <c r="B75" s="6" t="s">
        <v>223</v>
      </c>
      <c r="C75" s="6" t="s">
        <v>223</v>
      </c>
      <c r="D75" s="7">
        <v>4057146</v>
      </c>
      <c r="E75" s="197">
        <v>773734.55299999996</v>
      </c>
      <c r="F75" s="197" t="s">
        <v>175</v>
      </c>
      <c r="G75" s="197">
        <v>590467</v>
      </c>
      <c r="H75" s="197">
        <v>588006</v>
      </c>
      <c r="I75" s="197">
        <v>720721</v>
      </c>
      <c r="J75" s="197">
        <v>736668</v>
      </c>
      <c r="K75" s="197">
        <v>692498</v>
      </c>
      <c r="L75" s="197">
        <v>537091</v>
      </c>
      <c r="M75" s="197">
        <v>368615</v>
      </c>
      <c r="N75" s="197">
        <v>338643</v>
      </c>
      <c r="O75" s="197">
        <v>499476</v>
      </c>
      <c r="P75" s="197">
        <v>264309</v>
      </c>
      <c r="Q75" s="197">
        <v>250929</v>
      </c>
      <c r="R75" s="197">
        <v>243215</v>
      </c>
      <c r="S75" s="197">
        <v>284009</v>
      </c>
      <c r="T75" s="197">
        <v>305454</v>
      </c>
      <c r="U75" s="197">
        <v>333799</v>
      </c>
      <c r="V75" s="197">
        <v>238031</v>
      </c>
      <c r="W75" s="197">
        <v>212920</v>
      </c>
      <c r="X75" s="197">
        <v>172199</v>
      </c>
      <c r="Y75" s="197">
        <v>133617</v>
      </c>
      <c r="Z75" s="197">
        <v>124796</v>
      </c>
      <c r="AA75" s="197">
        <v>97757</v>
      </c>
      <c r="AB75" s="1">
        <v>95686</v>
      </c>
      <c r="AC75" s="1">
        <v>0</v>
      </c>
      <c r="AD75" s="1">
        <v>0</v>
      </c>
      <c r="AE75" s="1" t="s">
        <v>175</v>
      </c>
    </row>
    <row r="76" spans="1:31">
      <c r="A76" s="1" t="s">
        <v>275</v>
      </c>
      <c r="B76" s="6" t="s">
        <v>224</v>
      </c>
      <c r="C76" s="6" t="s">
        <v>225</v>
      </c>
      <c r="D76" s="7">
        <v>4063060</v>
      </c>
      <c r="E76" s="197">
        <v>52875</v>
      </c>
      <c r="F76" s="197">
        <v>65744</v>
      </c>
      <c r="G76" s="197">
        <v>62806</v>
      </c>
      <c r="H76" s="197">
        <v>54189</v>
      </c>
      <c r="I76" s="197">
        <v>45219</v>
      </c>
      <c r="J76" s="197">
        <v>45675</v>
      </c>
      <c r="K76" s="197">
        <v>60039</v>
      </c>
      <c r="L76" s="197">
        <v>48986</v>
      </c>
      <c r="M76" s="197">
        <v>46418</v>
      </c>
      <c r="N76" s="197">
        <v>36182</v>
      </c>
      <c r="O76" s="197">
        <v>23801</v>
      </c>
      <c r="P76" s="197">
        <v>19771</v>
      </c>
      <c r="Q76" s="197">
        <v>20092</v>
      </c>
      <c r="R76" s="197">
        <v>20247</v>
      </c>
      <c r="S76" s="197">
        <v>21336</v>
      </c>
      <c r="T76" s="197">
        <v>21924</v>
      </c>
      <c r="U76" s="197">
        <v>20007</v>
      </c>
      <c r="V76" s="197">
        <v>18949</v>
      </c>
      <c r="W76" s="197">
        <v>21551</v>
      </c>
      <c r="X76" s="197">
        <v>21583</v>
      </c>
      <c r="Y76" s="197">
        <v>24279</v>
      </c>
      <c r="Z76" s="197">
        <v>6183</v>
      </c>
      <c r="AA76" s="197" t="s">
        <v>175</v>
      </c>
      <c r="AB76" s="1">
        <v>17352</v>
      </c>
      <c r="AC76" s="1">
        <v>0</v>
      </c>
      <c r="AD76" s="1">
        <v>0</v>
      </c>
      <c r="AE76" s="1">
        <v>0</v>
      </c>
    </row>
    <row r="77" spans="1:31">
      <c r="B77" s="6" t="s">
        <v>226</v>
      </c>
      <c r="C77" s="6" t="s">
        <v>226</v>
      </c>
      <c r="D77" s="7">
        <v>4057100</v>
      </c>
      <c r="E77" s="197">
        <v>28716</v>
      </c>
      <c r="F77" s="197">
        <v>37013</v>
      </c>
      <c r="G77" s="197" t="s">
        <v>175</v>
      </c>
      <c r="H77" s="197">
        <v>39071</v>
      </c>
      <c r="I77" s="197">
        <v>28052</v>
      </c>
      <c r="J77" s="197">
        <v>27173</v>
      </c>
      <c r="K77" s="197">
        <v>29541</v>
      </c>
      <c r="L77" s="197">
        <v>25792</v>
      </c>
      <c r="M77" s="197">
        <v>12128</v>
      </c>
      <c r="N77" s="197">
        <v>9032</v>
      </c>
      <c r="O77" s="197">
        <v>9131</v>
      </c>
      <c r="P77" s="197">
        <v>6739</v>
      </c>
      <c r="Q77" s="197">
        <v>7915</v>
      </c>
      <c r="R77" s="197">
        <v>8705</v>
      </c>
      <c r="S77" s="197">
        <v>6228</v>
      </c>
      <c r="T77" s="197">
        <v>7668</v>
      </c>
      <c r="U77" s="197">
        <v>7584</v>
      </c>
      <c r="V77" s="197">
        <v>4967</v>
      </c>
      <c r="W77" s="197">
        <v>6283</v>
      </c>
      <c r="X77" s="197">
        <v>9240</v>
      </c>
      <c r="Y77" s="197">
        <v>2640</v>
      </c>
      <c r="Z77" s="197">
        <v>4657</v>
      </c>
      <c r="AA77" s="197">
        <v>6078</v>
      </c>
      <c r="AB77" s="1">
        <v>4833</v>
      </c>
      <c r="AC77" s="1">
        <v>0</v>
      </c>
      <c r="AD77" s="1">
        <v>0</v>
      </c>
      <c r="AE77" s="1">
        <v>0</v>
      </c>
    </row>
    <row r="78" spans="1:31">
      <c r="B78" s="6" t="s">
        <v>304</v>
      </c>
      <c r="C78" s="6" t="s">
        <v>304</v>
      </c>
      <c r="D78" s="7">
        <v>4064035</v>
      </c>
      <c r="E78" s="197" t="s">
        <v>175</v>
      </c>
      <c r="F78" s="197" t="s">
        <v>175</v>
      </c>
      <c r="G78" s="197">
        <v>5832</v>
      </c>
      <c r="H78" s="197">
        <v>3132</v>
      </c>
      <c r="I78" s="197">
        <v>1598</v>
      </c>
      <c r="J78" s="197">
        <v>2271</v>
      </c>
      <c r="K78" s="197">
        <v>1736</v>
      </c>
      <c r="L78" s="197">
        <v>2790</v>
      </c>
      <c r="M78" s="197">
        <v>2010</v>
      </c>
      <c r="N78" s="197">
        <v>1083</v>
      </c>
      <c r="O78" s="197">
        <v>1099</v>
      </c>
      <c r="P78" s="197">
        <v>1217</v>
      </c>
      <c r="Q78" s="197">
        <v>1160</v>
      </c>
      <c r="R78" s="197">
        <v>1640</v>
      </c>
      <c r="S78" s="197">
        <v>1327</v>
      </c>
      <c r="T78" s="197">
        <v>1092</v>
      </c>
      <c r="U78" s="197">
        <v>952</v>
      </c>
      <c r="V78" s="197">
        <v>976</v>
      </c>
      <c r="W78" s="197">
        <v>1088</v>
      </c>
      <c r="X78" s="197" t="s">
        <v>175</v>
      </c>
      <c r="Y78" s="197">
        <v>814</v>
      </c>
      <c r="Z78" s="197">
        <v>1127</v>
      </c>
      <c r="AA78" s="197" t="s">
        <v>175</v>
      </c>
      <c r="AB78" s="1">
        <v>0</v>
      </c>
      <c r="AC78" s="1">
        <v>0</v>
      </c>
      <c r="AD78" s="1">
        <v>0</v>
      </c>
      <c r="AE78" s="1">
        <v>0</v>
      </c>
    </row>
    <row r="79" spans="1:31">
      <c r="B79" s="6" t="s">
        <v>305</v>
      </c>
      <c r="C79" s="6" t="s">
        <v>305</v>
      </c>
      <c r="D79" s="7">
        <v>4060957</v>
      </c>
      <c r="E79" s="197" t="s">
        <v>175</v>
      </c>
      <c r="F79" s="197">
        <v>164736</v>
      </c>
      <c r="G79" s="197">
        <v>162784</v>
      </c>
      <c r="H79" s="197">
        <v>126745</v>
      </c>
      <c r="I79" s="197">
        <v>154036</v>
      </c>
      <c r="J79" s="197">
        <v>103260</v>
      </c>
      <c r="K79" s="197">
        <v>95837</v>
      </c>
      <c r="L79" s="197">
        <v>78867</v>
      </c>
      <c r="M79" s="197">
        <v>69754</v>
      </c>
      <c r="N79" s="197">
        <v>63515</v>
      </c>
      <c r="O79" s="197">
        <v>54454</v>
      </c>
      <c r="P79" s="197">
        <v>46503</v>
      </c>
      <c r="Q79" s="197">
        <v>46493</v>
      </c>
      <c r="R79" s="197">
        <v>49767</v>
      </c>
      <c r="S79" s="197">
        <v>47470</v>
      </c>
      <c r="T79" s="197">
        <v>48292</v>
      </c>
      <c r="U79" s="197">
        <v>47849</v>
      </c>
      <c r="V79" s="197">
        <v>41649</v>
      </c>
      <c r="W79" s="197">
        <v>44247</v>
      </c>
      <c r="X79" s="197">
        <v>42758</v>
      </c>
      <c r="Y79" s="197">
        <v>37416</v>
      </c>
      <c r="Z79" s="197">
        <v>38503</v>
      </c>
      <c r="AA79" s="197">
        <v>33540</v>
      </c>
      <c r="AB79" s="1">
        <v>34992</v>
      </c>
      <c r="AC79" s="1">
        <v>0</v>
      </c>
      <c r="AD79" s="1">
        <v>0</v>
      </c>
      <c r="AE79" s="1">
        <v>0</v>
      </c>
    </row>
    <row r="80" spans="1:31">
      <c r="B80" s="6" t="s">
        <v>228</v>
      </c>
      <c r="C80" s="6" t="s">
        <v>228</v>
      </c>
      <c r="D80" s="7">
        <v>4063179</v>
      </c>
      <c r="E80" s="197">
        <v>309</v>
      </c>
      <c r="F80" s="197">
        <v>236</v>
      </c>
      <c r="G80" s="197" t="s">
        <v>175</v>
      </c>
      <c r="H80" s="197">
        <v>309</v>
      </c>
      <c r="I80" s="197">
        <v>149</v>
      </c>
      <c r="J80" s="197">
        <v>124</v>
      </c>
      <c r="K80" s="197">
        <v>170</v>
      </c>
      <c r="L80" s="197">
        <v>93</v>
      </c>
      <c r="M80" s="197">
        <v>85</v>
      </c>
      <c r="N80" s="197">
        <v>47</v>
      </c>
      <c r="O80" s="197">
        <v>78</v>
      </c>
      <c r="P80" s="197">
        <v>308</v>
      </c>
      <c r="Q80" s="197">
        <v>93</v>
      </c>
      <c r="R80" s="197">
        <v>78</v>
      </c>
      <c r="S80" s="197">
        <v>39</v>
      </c>
      <c r="T80" s="197">
        <v>60</v>
      </c>
      <c r="U80" s="197">
        <v>30</v>
      </c>
      <c r="V80" s="197">
        <v>67</v>
      </c>
      <c r="W80" s="197">
        <v>53</v>
      </c>
      <c r="X80" s="197">
        <v>84</v>
      </c>
      <c r="Y80" s="197">
        <v>95</v>
      </c>
      <c r="Z80" s="197">
        <v>33</v>
      </c>
      <c r="AA80" s="197">
        <v>64</v>
      </c>
      <c r="AB80" s="1">
        <v>89</v>
      </c>
      <c r="AC80" s="1">
        <v>0</v>
      </c>
      <c r="AD80" s="1">
        <v>0</v>
      </c>
      <c r="AE80" s="1">
        <v>0</v>
      </c>
    </row>
    <row r="81" spans="1:31">
      <c r="A81" s="1" t="s">
        <v>275</v>
      </c>
      <c r="B81" s="6" t="s">
        <v>229</v>
      </c>
      <c r="C81" s="6" t="s">
        <v>229</v>
      </c>
      <c r="D81" s="7">
        <v>4063183</v>
      </c>
      <c r="E81" s="197">
        <v>-105</v>
      </c>
      <c r="F81" s="197">
        <v>32</v>
      </c>
      <c r="G81" s="197">
        <v>-21150</v>
      </c>
      <c r="H81" s="197">
        <v>-1827</v>
      </c>
      <c r="I81" s="197" t="s">
        <v>175</v>
      </c>
      <c r="J81" s="197">
        <v>-404</v>
      </c>
      <c r="K81" s="197">
        <v>31793</v>
      </c>
      <c r="L81" s="197">
        <v>2787</v>
      </c>
      <c r="M81" s="197">
        <v>13145</v>
      </c>
      <c r="N81" s="197">
        <v>1518</v>
      </c>
      <c r="O81" s="197">
        <v>667</v>
      </c>
      <c r="P81" s="197">
        <v>1074</v>
      </c>
      <c r="Q81" s="197">
        <v>1510</v>
      </c>
      <c r="R81" s="197">
        <v>761</v>
      </c>
      <c r="S81" s="197">
        <v>1106</v>
      </c>
      <c r="T81" s="197">
        <v>513</v>
      </c>
      <c r="U81" s="197">
        <v>686</v>
      </c>
      <c r="V81" s="197">
        <v>460</v>
      </c>
      <c r="W81" s="197">
        <v>420</v>
      </c>
      <c r="X81" s="197">
        <v>412</v>
      </c>
      <c r="Y81" s="197">
        <v>562</v>
      </c>
      <c r="Z81" s="197">
        <v>831</v>
      </c>
      <c r="AA81" s="197">
        <v>616</v>
      </c>
      <c r="AB81" s="1">
        <v>2156</v>
      </c>
      <c r="AC81" s="1">
        <v>0</v>
      </c>
      <c r="AD81" s="1">
        <v>0</v>
      </c>
      <c r="AE81" s="1">
        <v>0</v>
      </c>
    </row>
    <row r="82" spans="1:31">
      <c r="B82" s="6" t="s">
        <v>230</v>
      </c>
      <c r="C82" s="6" t="s">
        <v>230</v>
      </c>
      <c r="D82" s="7">
        <v>4063281</v>
      </c>
      <c r="E82" s="197">
        <v>2722</v>
      </c>
      <c r="F82" s="197">
        <v>1436</v>
      </c>
      <c r="G82" s="197">
        <v>2188</v>
      </c>
      <c r="H82" s="197">
        <v>2761</v>
      </c>
      <c r="I82" s="197">
        <v>2475</v>
      </c>
      <c r="J82" s="197">
        <v>1438</v>
      </c>
      <c r="K82" s="197">
        <v>488</v>
      </c>
      <c r="L82" s="197">
        <v>1048</v>
      </c>
      <c r="M82" s="197">
        <v>1344</v>
      </c>
      <c r="N82" s="197">
        <v>662</v>
      </c>
      <c r="O82" s="197">
        <v>547</v>
      </c>
      <c r="P82" s="197">
        <v>402</v>
      </c>
      <c r="Q82" s="197">
        <v>563</v>
      </c>
      <c r="R82" s="197">
        <v>642</v>
      </c>
      <c r="S82" s="197">
        <v>396</v>
      </c>
      <c r="T82" s="197">
        <v>476</v>
      </c>
      <c r="U82" s="197">
        <v>507</v>
      </c>
      <c r="V82" s="197">
        <v>525</v>
      </c>
      <c r="W82" s="197">
        <v>618</v>
      </c>
      <c r="X82" s="197">
        <v>948</v>
      </c>
      <c r="Y82" s="197">
        <v>417</v>
      </c>
      <c r="Z82" s="197">
        <v>442</v>
      </c>
      <c r="AA82" s="197">
        <v>316</v>
      </c>
      <c r="AB82" s="1">
        <v>337</v>
      </c>
      <c r="AC82" s="1">
        <v>0</v>
      </c>
      <c r="AD82" s="1">
        <v>0</v>
      </c>
      <c r="AE82" s="1">
        <v>0</v>
      </c>
    </row>
    <row r="83" spans="1:31">
      <c r="B83" s="6" t="s">
        <v>231</v>
      </c>
      <c r="C83" s="6" t="s">
        <v>231</v>
      </c>
      <c r="D83" s="7">
        <v>4059746</v>
      </c>
      <c r="E83" s="197">
        <v>321479</v>
      </c>
      <c r="F83" s="197">
        <v>191508</v>
      </c>
      <c r="G83" s="197">
        <v>328982</v>
      </c>
      <c r="H83" s="197">
        <v>211387</v>
      </c>
      <c r="I83" s="197">
        <v>258491</v>
      </c>
      <c r="J83" s="197">
        <v>256809</v>
      </c>
      <c r="K83" s="197">
        <v>243349</v>
      </c>
      <c r="L83" s="197">
        <v>208114</v>
      </c>
      <c r="M83" s="197">
        <v>217175</v>
      </c>
      <c r="N83" s="197">
        <v>199361</v>
      </c>
      <c r="O83" s="197">
        <v>168082</v>
      </c>
      <c r="P83" s="197">
        <v>142061</v>
      </c>
      <c r="Q83" s="197">
        <v>115442</v>
      </c>
      <c r="R83" s="197">
        <v>107979</v>
      </c>
      <c r="S83" s="197">
        <v>66456</v>
      </c>
      <c r="T83" s="197">
        <v>61306</v>
      </c>
      <c r="U83" s="197">
        <v>58561</v>
      </c>
      <c r="V83" s="197">
        <v>55008</v>
      </c>
      <c r="W83" s="197">
        <v>61448</v>
      </c>
      <c r="X83" s="197">
        <v>61019</v>
      </c>
      <c r="Y83" s="197">
        <v>34271</v>
      </c>
      <c r="Z83" s="197">
        <v>46321</v>
      </c>
      <c r="AA83" s="197">
        <v>35618</v>
      </c>
      <c r="AB83" s="1">
        <v>42230</v>
      </c>
      <c r="AC83" s="1">
        <v>0</v>
      </c>
      <c r="AD83" s="1">
        <v>0</v>
      </c>
      <c r="AE83" s="1">
        <v>0</v>
      </c>
    </row>
    <row r="84" spans="1:31">
      <c r="A84" s="1" t="s">
        <v>275</v>
      </c>
      <c r="B84" s="6" t="s">
        <v>306</v>
      </c>
      <c r="C84" s="6" t="s">
        <v>306</v>
      </c>
      <c r="D84" s="7">
        <v>4062279</v>
      </c>
      <c r="E84" s="197" t="s">
        <v>175</v>
      </c>
      <c r="F84" s="197" t="s">
        <v>175</v>
      </c>
      <c r="G84" s="197" t="s">
        <v>175</v>
      </c>
      <c r="H84" s="197" t="s">
        <v>175</v>
      </c>
      <c r="I84" s="197">
        <v>47626</v>
      </c>
      <c r="J84" s="197">
        <v>46853</v>
      </c>
      <c r="K84" s="197">
        <v>46317</v>
      </c>
      <c r="L84" s="197">
        <v>36689</v>
      </c>
      <c r="M84" s="197">
        <v>34142</v>
      </c>
      <c r="N84" s="197">
        <v>23611</v>
      </c>
      <c r="O84" s="197">
        <v>23848</v>
      </c>
      <c r="P84" s="197">
        <v>12328</v>
      </c>
      <c r="Q84" s="197">
        <v>15915</v>
      </c>
      <c r="R84" s="197">
        <v>21508</v>
      </c>
      <c r="S84" s="197">
        <v>17003</v>
      </c>
      <c r="T84" s="197">
        <v>13547</v>
      </c>
      <c r="U84" s="197">
        <v>21077</v>
      </c>
      <c r="V84" s="197">
        <v>20052</v>
      </c>
      <c r="W84" s="197">
        <v>19382</v>
      </c>
      <c r="X84" s="197">
        <v>11175</v>
      </c>
      <c r="Y84" s="197">
        <v>23415</v>
      </c>
      <c r="Z84" s="197">
        <v>23252</v>
      </c>
      <c r="AA84" s="197" t="s">
        <v>175</v>
      </c>
      <c r="AB84" s="1">
        <v>20124</v>
      </c>
      <c r="AC84" s="1">
        <v>0</v>
      </c>
      <c r="AD84" s="1">
        <v>0</v>
      </c>
      <c r="AE84" s="1">
        <v>0</v>
      </c>
    </row>
    <row r="85" spans="1:31">
      <c r="A85" s="1" t="s">
        <v>275</v>
      </c>
      <c r="B85" s="6" t="s">
        <v>307</v>
      </c>
      <c r="C85" s="6" t="s">
        <v>307</v>
      </c>
      <c r="D85" s="7">
        <v>4063729</v>
      </c>
      <c r="E85" s="197" t="s">
        <v>175</v>
      </c>
      <c r="F85" s="197" t="s">
        <v>175</v>
      </c>
      <c r="G85" s="197" t="s">
        <v>175</v>
      </c>
      <c r="H85" s="197" t="s">
        <v>175</v>
      </c>
      <c r="I85" s="197">
        <v>14915</v>
      </c>
      <c r="J85" s="197">
        <v>8738</v>
      </c>
      <c r="K85" s="197">
        <v>9815</v>
      </c>
      <c r="L85" s="197">
        <v>9634</v>
      </c>
      <c r="M85" s="197">
        <v>9411</v>
      </c>
      <c r="N85" s="197">
        <v>9180</v>
      </c>
      <c r="O85" s="197">
        <v>6864</v>
      </c>
      <c r="P85" s="197">
        <v>8465</v>
      </c>
      <c r="Q85" s="197">
        <v>10237</v>
      </c>
      <c r="R85" s="197">
        <v>9768</v>
      </c>
      <c r="S85" s="197">
        <v>7926</v>
      </c>
      <c r="T85" s="197">
        <v>7619</v>
      </c>
      <c r="U85" s="197">
        <v>10343</v>
      </c>
      <c r="V85" s="197">
        <v>9545</v>
      </c>
      <c r="W85" s="197">
        <v>5495</v>
      </c>
      <c r="X85" s="197">
        <v>3417</v>
      </c>
      <c r="Y85" s="197">
        <v>3535</v>
      </c>
      <c r="Z85" s="197">
        <v>3708</v>
      </c>
      <c r="AA85" s="197">
        <v>3344</v>
      </c>
      <c r="AB85" s="1" t="s">
        <v>175</v>
      </c>
      <c r="AC85" s="1" t="s">
        <v>175</v>
      </c>
      <c r="AD85" s="1">
        <v>0</v>
      </c>
      <c r="AE85" s="1">
        <v>0</v>
      </c>
    </row>
    <row r="86" spans="1:31">
      <c r="B86" s="6" t="s">
        <v>232</v>
      </c>
      <c r="C86" s="6" t="s">
        <v>232</v>
      </c>
      <c r="D86" s="7">
        <v>4063762</v>
      </c>
      <c r="E86" s="197">
        <v>119710.47</v>
      </c>
      <c r="F86" s="197">
        <v>230244</v>
      </c>
      <c r="G86" s="197">
        <v>83667</v>
      </c>
      <c r="H86" s="197">
        <v>46120</v>
      </c>
      <c r="I86" s="197">
        <v>53367</v>
      </c>
      <c r="J86" s="197">
        <v>88302</v>
      </c>
      <c r="K86" s="197">
        <v>50758</v>
      </c>
      <c r="L86" s="197">
        <v>64014</v>
      </c>
      <c r="M86" s="197">
        <v>35900</v>
      </c>
      <c r="N86" s="197">
        <v>36933</v>
      </c>
      <c r="O86" s="197">
        <v>52683</v>
      </c>
      <c r="P86" s="197">
        <v>29298</v>
      </c>
      <c r="Q86" s="197">
        <v>23630</v>
      </c>
      <c r="R86" s="197">
        <v>11158</v>
      </c>
      <c r="S86" s="197">
        <v>39146</v>
      </c>
      <c r="T86" s="197">
        <v>8173</v>
      </c>
      <c r="U86" s="197">
        <v>18001</v>
      </c>
      <c r="V86" s="197">
        <v>10745</v>
      </c>
      <c r="W86" s="197">
        <v>28348</v>
      </c>
      <c r="X86" s="197">
        <v>4520</v>
      </c>
      <c r="Y86" s="197">
        <v>3127</v>
      </c>
      <c r="Z86" s="197">
        <v>24914</v>
      </c>
      <c r="AA86" s="197">
        <v>17418</v>
      </c>
      <c r="AB86" s="1">
        <v>20888</v>
      </c>
      <c r="AC86" s="1">
        <v>0</v>
      </c>
      <c r="AD86" s="1">
        <v>0</v>
      </c>
      <c r="AE86" s="1" t="s">
        <v>175</v>
      </c>
    </row>
    <row r="87" spans="1:31">
      <c r="B87" s="6" t="s">
        <v>234</v>
      </c>
      <c r="C87" s="6" t="s">
        <v>234</v>
      </c>
      <c r="D87" s="7">
        <v>4058284</v>
      </c>
      <c r="E87" s="197">
        <v>292588.853</v>
      </c>
      <c r="F87" s="197">
        <v>286246</v>
      </c>
      <c r="G87" s="197">
        <v>279450</v>
      </c>
      <c r="H87" s="197">
        <v>279668</v>
      </c>
      <c r="I87" s="197">
        <v>225817</v>
      </c>
      <c r="J87" s="197">
        <v>277773</v>
      </c>
      <c r="K87" s="197">
        <v>237154</v>
      </c>
      <c r="L87" s="197">
        <v>254313</v>
      </c>
      <c r="M87" s="197">
        <v>164004</v>
      </c>
      <c r="N87" s="197">
        <v>118123</v>
      </c>
      <c r="O87" s="197">
        <v>87011</v>
      </c>
      <c r="P87" s="197">
        <v>80080</v>
      </c>
      <c r="Q87" s="197">
        <v>92749</v>
      </c>
      <c r="R87" s="197">
        <v>103244</v>
      </c>
      <c r="S87" s="197">
        <v>87593</v>
      </c>
      <c r="T87" s="197">
        <v>116598</v>
      </c>
      <c r="U87" s="197">
        <v>70998</v>
      </c>
      <c r="V87" s="197">
        <v>75644</v>
      </c>
      <c r="W87" s="197">
        <v>82278</v>
      </c>
      <c r="X87" s="197">
        <v>113527</v>
      </c>
      <c r="Y87" s="197">
        <v>112248</v>
      </c>
      <c r="Z87" s="197">
        <v>100033</v>
      </c>
      <c r="AA87" s="197">
        <v>86039</v>
      </c>
      <c r="AB87" s="1">
        <v>98483</v>
      </c>
      <c r="AC87" s="1">
        <v>0</v>
      </c>
      <c r="AD87" s="1">
        <v>0</v>
      </c>
      <c r="AE87" s="1">
        <v>0</v>
      </c>
    </row>
    <row r="88" spans="1:31">
      <c r="B88" s="6" t="s">
        <v>236</v>
      </c>
      <c r="C88" s="6" t="s">
        <v>236</v>
      </c>
      <c r="D88" s="7">
        <v>4008752</v>
      </c>
      <c r="E88" s="197">
        <v>125524</v>
      </c>
      <c r="F88" s="197">
        <v>136913</v>
      </c>
      <c r="G88" s="197">
        <v>156761</v>
      </c>
      <c r="H88" s="197">
        <v>134043</v>
      </c>
      <c r="I88" s="197">
        <v>149642</v>
      </c>
      <c r="J88" s="197">
        <v>109519</v>
      </c>
      <c r="K88" s="197">
        <v>237906</v>
      </c>
      <c r="L88" s="197">
        <v>139849</v>
      </c>
      <c r="M88" s="197">
        <v>119400</v>
      </c>
      <c r="N88" s="197">
        <v>112569</v>
      </c>
      <c r="O88" s="197">
        <v>77117</v>
      </c>
      <c r="P88" s="197">
        <v>65517</v>
      </c>
      <c r="Q88" s="197">
        <v>56538</v>
      </c>
      <c r="R88" s="197">
        <v>67590</v>
      </c>
      <c r="S88" s="197">
        <v>44063</v>
      </c>
      <c r="T88" s="197">
        <v>37928</v>
      </c>
      <c r="U88" s="197">
        <v>39644</v>
      </c>
      <c r="V88" s="197">
        <v>44561</v>
      </c>
      <c r="W88" s="197">
        <v>39213</v>
      </c>
      <c r="X88" s="197">
        <v>46734</v>
      </c>
      <c r="Y88" s="197">
        <v>28158</v>
      </c>
      <c r="Z88" s="197">
        <v>36781</v>
      </c>
      <c r="AA88" s="197">
        <v>28638</v>
      </c>
      <c r="AB88" s="1">
        <v>27463</v>
      </c>
      <c r="AC88" s="1">
        <v>0</v>
      </c>
      <c r="AD88" s="1">
        <v>0</v>
      </c>
      <c r="AE88" s="1">
        <v>0</v>
      </c>
    </row>
    <row r="89" spans="1:31">
      <c r="B89" s="6" t="s">
        <v>237</v>
      </c>
      <c r="C89" s="6" t="s">
        <v>237</v>
      </c>
      <c r="D89" s="7">
        <v>4008669</v>
      </c>
      <c r="E89" s="197">
        <v>44814</v>
      </c>
      <c r="F89" s="197">
        <v>63947</v>
      </c>
      <c r="G89" s="197">
        <v>40681</v>
      </c>
      <c r="H89" s="197">
        <v>42753</v>
      </c>
      <c r="I89" s="197">
        <v>41559</v>
      </c>
      <c r="J89" s="197">
        <v>48571</v>
      </c>
      <c r="K89" s="197">
        <v>33675</v>
      </c>
      <c r="L89" s="197">
        <v>21266</v>
      </c>
      <c r="M89" s="197">
        <v>19159</v>
      </c>
      <c r="N89" s="197">
        <v>14260</v>
      </c>
      <c r="O89" s="197">
        <v>15536</v>
      </c>
      <c r="P89" s="197">
        <v>20274</v>
      </c>
      <c r="Q89" s="197">
        <v>25250</v>
      </c>
      <c r="R89" s="197">
        <v>30563</v>
      </c>
      <c r="S89" s="197">
        <v>4301</v>
      </c>
      <c r="T89" s="197" t="s">
        <v>175</v>
      </c>
      <c r="U89" s="197">
        <v>15931</v>
      </c>
      <c r="V89" s="197">
        <v>18903</v>
      </c>
      <c r="W89" s="197">
        <v>16462</v>
      </c>
      <c r="X89" s="197">
        <v>6134</v>
      </c>
      <c r="Y89" s="197">
        <v>11237</v>
      </c>
      <c r="Z89" s="197">
        <v>15138</v>
      </c>
      <c r="AA89" s="197">
        <v>10210</v>
      </c>
      <c r="AB89" s="1">
        <v>7050</v>
      </c>
      <c r="AC89" s="1">
        <v>0</v>
      </c>
      <c r="AD89" s="1">
        <v>0</v>
      </c>
      <c r="AE89" s="1">
        <v>0</v>
      </c>
    </row>
    <row r="90" spans="1:31">
      <c r="B90" s="6" t="s">
        <v>308</v>
      </c>
      <c r="C90" s="6" t="s">
        <v>309</v>
      </c>
      <c r="D90" s="7">
        <v>4076892</v>
      </c>
      <c r="E90" s="197" t="s">
        <v>175</v>
      </c>
      <c r="F90" s="197">
        <v>127</v>
      </c>
      <c r="G90" s="197">
        <v>210</v>
      </c>
      <c r="H90" s="197">
        <v>100</v>
      </c>
      <c r="I90" s="197">
        <v>107</v>
      </c>
      <c r="J90" s="197">
        <v>251</v>
      </c>
      <c r="K90" s="197">
        <v>207</v>
      </c>
      <c r="L90" s="197">
        <v>200</v>
      </c>
      <c r="M90" s="197">
        <v>95</v>
      </c>
      <c r="N90" s="197">
        <v>210</v>
      </c>
      <c r="O90" s="197">
        <v>503</v>
      </c>
      <c r="P90" s="197">
        <v>716</v>
      </c>
      <c r="Q90" s="197">
        <v>310</v>
      </c>
      <c r="R90" s="197">
        <v>472</v>
      </c>
      <c r="S90" s="197">
        <v>556</v>
      </c>
      <c r="T90" s="197">
        <v>150</v>
      </c>
      <c r="U90" s="197">
        <v>191</v>
      </c>
      <c r="V90" s="197">
        <v>131</v>
      </c>
      <c r="W90" s="197">
        <v>410</v>
      </c>
      <c r="X90" s="197">
        <v>101</v>
      </c>
      <c r="Y90" s="197" t="s">
        <v>175</v>
      </c>
      <c r="Z90" s="197" t="s">
        <v>175</v>
      </c>
      <c r="AA90" s="197" t="s">
        <v>175</v>
      </c>
      <c r="AB90" s="1" t="s">
        <v>175</v>
      </c>
      <c r="AC90" s="1" t="s">
        <v>175</v>
      </c>
      <c r="AD90" s="1" t="s">
        <v>175</v>
      </c>
      <c r="AE90" s="1" t="s">
        <v>175</v>
      </c>
    </row>
    <row r="91" spans="1:31">
      <c r="A91" s="1" t="s">
        <v>275</v>
      </c>
      <c r="B91" s="6" t="s">
        <v>238</v>
      </c>
      <c r="C91" s="6" t="s">
        <v>239</v>
      </c>
      <c r="D91" s="7">
        <v>4064141</v>
      </c>
      <c r="E91" s="197">
        <v>195582</v>
      </c>
      <c r="F91" s="197">
        <v>187318</v>
      </c>
      <c r="G91" s="197">
        <v>199657</v>
      </c>
      <c r="H91" s="197">
        <v>164259</v>
      </c>
      <c r="I91" s="197">
        <v>113048</v>
      </c>
      <c r="J91" s="197">
        <v>138150</v>
      </c>
      <c r="K91" s="197">
        <v>70590</v>
      </c>
      <c r="L91" s="197">
        <v>98247</v>
      </c>
      <c r="M91" s="197">
        <v>91488</v>
      </c>
      <c r="N91" s="197">
        <v>90248</v>
      </c>
      <c r="O91" s="197">
        <v>101025</v>
      </c>
      <c r="P91" s="197">
        <v>57438</v>
      </c>
      <c r="Q91" s="197">
        <v>62955</v>
      </c>
      <c r="R91" s="197">
        <v>58978</v>
      </c>
      <c r="S91" s="197">
        <v>26596</v>
      </c>
      <c r="T91" s="197">
        <v>31112</v>
      </c>
      <c r="U91" s="197">
        <v>38473</v>
      </c>
      <c r="V91" s="197">
        <v>45512</v>
      </c>
      <c r="W91" s="197">
        <v>52497</v>
      </c>
      <c r="X91" s="197">
        <v>44077</v>
      </c>
      <c r="Y91" s="197">
        <v>23946</v>
      </c>
      <c r="Z91" s="197">
        <v>17984</v>
      </c>
      <c r="AA91" s="197">
        <v>20230</v>
      </c>
      <c r="AB91" s="1">
        <v>22874</v>
      </c>
      <c r="AC91" s="1">
        <v>0</v>
      </c>
      <c r="AD91" s="1">
        <v>0</v>
      </c>
      <c r="AE91" s="1">
        <v>0</v>
      </c>
    </row>
  </sheetData>
  <pageMargins left="0.75" right="0.75" top="1" bottom="1" header="0.5" footer="0.5"/>
  <pageSetup paperSize="0" scale="255" orientation="landscape" horizontalDpi="300" verticalDpi="30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DF03B111AE4A46B96BC00628899F8B" ma:contentTypeVersion="28" ma:contentTypeDescription="Create a new document." ma:contentTypeScope="" ma:versionID="d4452d5a0ce9a0ecb062d1a93c9a36a5">
  <xsd:schema xmlns:xsd="http://www.w3.org/2001/XMLSchema" xmlns:xs="http://www.w3.org/2001/XMLSchema" xmlns:p="http://schemas.microsoft.com/office/2006/metadata/properties" xmlns:ns1="http://schemas.microsoft.com/sharepoint/v3" xmlns:ns2="bc9be6ef-036f-4d38-ab45-2a4da0c93cb0" xmlns:ns3="79eb6668-01c5-4cb9-9feb-9820398bbe3e" targetNamespace="http://schemas.microsoft.com/office/2006/metadata/properties" ma:root="true" ma:fieldsID="2363653435e6b0605989a36c99470ea3" ns1:_="" ns2:_="" ns3:_="">
    <xsd:import namespace="http://schemas.microsoft.com/sharepoint/v3"/>
    <xsd:import namespace="bc9be6ef-036f-4d38-ab45-2a4da0c93cb0"/>
    <xsd:import namespace="79eb6668-01c5-4cb9-9feb-9820398bbe3e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Area" minOccurs="0"/>
                <xsd:element ref="ns3:RegLead" minOccurs="0"/>
                <xsd:element ref="ns3:Legal" minOccurs="0"/>
                <xsd:element ref="ns3:Intervenor" minOccurs="0"/>
                <xsd:element ref="ns3:Exhibit" minOccurs="0"/>
                <xsd:element ref="ns3:Category" minOccurs="0"/>
                <xsd:element ref="ns3:KeySupport" minOccurs="0"/>
                <xsd:element ref="ns3:Witnesses" minOccurs="0"/>
                <xsd:element ref="ns3:TeamsPlannerStatus" minOccurs="0"/>
                <xsd:element ref="ns3:Int_x002f_Exhibit_x002f_Tab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Expert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Location" minOccurs="0"/>
                <xsd:element ref="ns3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3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3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9be6ef-036f-4d38-ab45-2a4da0c93cb0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34" nillable="true" ma:displayName="Taxonomy Catch All Column" ma:hidden="true" ma:list="{485c2eee-05f3-4690-8304-71d58c5f0dab}" ma:internalName="TaxCatchAll" ma:showField="CatchAllData" ma:web="bc9be6ef-036f-4d38-ab45-2a4da0c93c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eb6668-01c5-4cb9-9feb-9820398bbe3e" elementFormDefault="qualified">
    <xsd:import namespace="http://schemas.microsoft.com/office/2006/documentManagement/types"/>
    <xsd:import namespace="http://schemas.microsoft.com/office/infopath/2007/PartnerControls"/>
    <xsd:element name="Area" ma:index="11" nillable="true" ma:displayName="Area" ma:format="Dropdown" ma:internalName="Area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BD"/>
                    <xsd:enumeration value="Customer Care"/>
                    <xsd:enumeration value="Energy Services"/>
                    <xsd:enumeration value="Energy Transition"/>
                    <xsd:enumeration value="Engineering"/>
                    <xsd:enumeration value="Finance"/>
                    <xsd:enumeration value="Operations"/>
                    <xsd:enumeration value="Rates"/>
                    <xsd:enumeration value="Regulatory"/>
                  </xsd:restriction>
                </xsd:simpleType>
              </xsd:element>
            </xsd:sequence>
          </xsd:extension>
        </xsd:complexContent>
      </xsd:complexType>
    </xsd:element>
    <xsd:element name="RegLead" ma:index="12" nillable="true" ma:displayName="Regulatory" ma:format="Dropdown" ma:list="UserInfo" ma:SharePointGroup="0" ma:internalName="RegLead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egal" ma:index="13" nillable="true" ma:displayName="Legal" ma:format="Dropdown" ma:list="UserInfo" ma:SharePointGroup="0" ma:internalName="Legal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ntervenor" ma:index="14" nillable="true" ma:displayName="Intervenor" ma:format="Dropdown" ma:internalName="Intervenor">
      <xsd:simpleType>
        <xsd:restriction base="dms:Choice">
          <xsd:enumeration value="A.Valastro"/>
          <xsd:enumeration value="APPro"/>
          <xsd:enumeration value="Atura"/>
          <xsd:enumeration value="BOMA"/>
          <xsd:enumeration value="CBA"/>
          <xsd:enumeration value="CCC"/>
          <xsd:enumeration value="CME"/>
          <xsd:enumeration value="ED"/>
          <xsd:enumeration value="Enercare"/>
          <xsd:enumeration value="EP"/>
          <xsd:enumeration value="HRAI"/>
          <xsd:enumeration value="F.Shah"/>
          <xsd:enumeration value="FRPO"/>
          <xsd:enumeration value="GEC"/>
          <xsd:enumeration value="GFN"/>
          <xsd:enumeration value="IESO"/>
          <xsd:enumeration value="IGUA"/>
          <xsd:enumeration value="KCES"/>
          <xsd:enumeration value="Kitchener"/>
          <xsd:enumeration value="LPMA"/>
          <xsd:enumeration value="M.Garnick"/>
          <xsd:enumeration value="OAPPA"/>
          <xsd:enumeration value="OGVG"/>
          <xsd:enumeration value="Otter Creek"/>
          <xsd:enumeration value="PP"/>
          <xsd:enumeration value="QMA"/>
          <xsd:enumeration value="R.Houldin"/>
          <xsd:enumeration value="RNG Coalition"/>
          <xsd:enumeration value="S.Riddell"/>
          <xsd:enumeration value="SEC"/>
          <xsd:enumeration value="SNNG"/>
          <xsd:enumeration value="TCPL"/>
          <xsd:enumeration value="TFG/M"/>
          <xsd:enumeration value="Unifor"/>
          <xsd:enumeration value="VECC"/>
          <xsd:enumeration value="STAFF"/>
        </xsd:restriction>
      </xsd:simpleType>
    </xsd:element>
    <xsd:element name="Exhibit" ma:index="15" nillable="true" ma:displayName="Exhibit" ma:internalName="Exhibit">
      <xsd:simpleType>
        <xsd:restriction base="dms:Number"/>
      </xsd:simpleType>
    </xsd:element>
    <xsd:element name="Category" ma:index="16" nillable="true" ma:displayName="Classification" ma:format="Dropdown" ma:internalName="Category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1"/>
                    <xsd:enumeration value="2"/>
                    <xsd:enumeration value="3"/>
                    <xsd:enumeration value="4"/>
                  </xsd:restriction>
                </xsd:simpleType>
              </xsd:element>
            </xsd:sequence>
          </xsd:extension>
        </xsd:complexContent>
      </xsd:complexType>
    </xsd:element>
    <xsd:element name="KeySupport" ma:index="17" nillable="true" ma:displayName="Key Support" ma:description="*Not Maintained by Regulatory*" ma:format="Dropdown" ma:list="UserInfo" ma:SharePointGroup="0" ma:internalName="KeySupport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Witnesses" ma:index="18" nillable="true" ma:displayName="Witness" ma:format="Dropdown" ma:internalName="Witnesses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.J. Kearney"/>
                    <xsd:enumeration value="Alicia Lenny"/>
                    <xsd:enumeration value="Adam Gellman"/>
                    <xsd:enumeration value="Adam Stiers"/>
                    <xsd:enumeration value="Ainslie Murdock"/>
                    <xsd:enumeration value="Ala Abusalhieh"/>
                    <xsd:enumeration value="Alex Hews"/>
                    <xsd:enumeration value="Alexandra Burke"/>
                    <xsd:enumeration value="Amber Vanderiviere"/>
                    <xsd:enumeration value="Amir Hasan"/>
                    <xsd:enumeration value="Amy Leuschner"/>
                    <xsd:enumeration value="Amy Mikhaila"/>
                    <xsd:enumeration value="Andrea Seguin"/>
                    <xsd:enumeration value="Angela Scott"/>
                    <xsd:enumeration value="Ann-Marie Hessian"/>
                    <xsd:enumeration value="Anton Kacicnik"/>
                    <xsd:enumeration value="Aqeel Zaidi"/>
                    <xsd:enumeration value="Arnold Meurling"/>
                    <xsd:enumeration value="Asha Patel"/>
                    <xsd:enumeration value="Ben McIntyre"/>
                    <xsd:enumeration value="Bob Wellington"/>
                    <xsd:enumeration value="Bradley Clark"/>
                    <xsd:enumeration value="Brandon So"/>
                    <xsd:enumeration value="Brianna Hamilton"/>
                    <xsd:enumeration value="Brittany Zimmer"/>
                    <xsd:enumeration value="Cara-Lynne Wade"/>
                    <xsd:enumeration value="Catherine Ho"/>
                    <xsd:enumeration value="Chad Cook"/>
                    <xsd:enumeration value="Chris Ripley"/>
                    <xsd:enumeration value="Cody Wood"/>
                    <xsd:enumeration value="Colin Healey"/>
                    <xsd:enumeration value="Cora Carriveau"/>
                    <xsd:enumeration value="Craig Fernandes"/>
                    <xsd:enumeration value="Dan Pleckaitis"/>
                    <xsd:enumeration value="Danielle Dreveny"/>
                    <xsd:enumeration value="Dave Hoffman"/>
                    <xsd:enumeration value="Dave Janisse"/>
                    <xsd:enumeration value="Deborah Schmidt"/>
                    <xsd:enumeration value="Diane Simmons"/>
                    <xsd:enumeration value="Dwayne Conrod"/>
                    <xsd:enumeration value="Edward Hou"/>
                    <xsd:enumeration value="Elena Chang"/>
                    <xsd:enumeration value="Emily Nisbet"/>
                    <xsd:enumeration value="Eric Zhang"/>
                    <xsd:enumeration value="Faheem Ahmad"/>
                    <xsd:enumeration value="Gesiena Antuma"/>
                    <xsd:enumeration value="Gilmer Bashualdo-Hilario"/>
                    <xsd:enumeration value="Gord Dillon"/>
                    <xsd:enumeration value="Gord Lau"/>
                    <xsd:enumeration value="Greg Kaminski"/>
                    <xsd:enumeration value="Heidi Steinberg"/>
                    <xsd:enumeration value="Helen Huang"/>
                    <xsd:enumeration value="Hilary Thompson"/>
                    <xsd:enumeration value="Hulya Sayyan"/>
                    <xsd:enumeration value="Ian MacPherson"/>
                    <xsd:enumeration value="Ian McLeod"/>
                    <xsd:enumeration value="Jackie Collier"/>
                    <xsd:enumeration value="Jamee Lynn Laing"/>
                    <xsd:enumeration value="Jane Huang"/>
                    <xsd:enumeration value="Jane Pinsonneault"/>
                    <xsd:enumeration value="Janee O'Donohue"/>
                    <xsd:enumeration value="Jason Bond"/>
                    <xsd:enumeration value="Jason Gillett"/>
                    <xsd:enumeration value="Jason Vinagre"/>
                    <xsd:enumeration value="Jeff Cadotte"/>
                    <xsd:enumeration value="Jenn Cardoso"/>
                    <xsd:enumeration value="Jenna Vanderveen"/>
                    <xsd:enumeration value="Jennifer Burnham"/>
                    <xsd:enumeration value="Jennifer Heard"/>
                    <xsd:enumeration value="Jennifer Murphy"/>
                    <xsd:enumeration value="Jeremy Getson"/>
                    <xsd:enumeration value="Joseph Dimeo"/>
                    <xsd:enumeration value="Joel Denomy"/>
                    <xsd:enumeration value="Joey Cyples"/>
                    <xsd:enumeration value="John Gillis"/>
                    <xsd:enumeration value="Joseph Dimeo"/>
                    <xsd:enumeration value="Julie Rader"/>
                    <xsd:enumeration value="Karen Sweet"/>
                    <xsd:enumeration value="Katie Hooper"/>
                    <xsd:enumeration value="Kent Kerrigan"/>
                    <xsd:enumeration value="Kim Vitek"/>
                    <xsd:enumeration value="Kurt Holmes"/>
                    <xsd:enumeration value="Laura Sheehan"/>
                    <xsd:enumeration value="Leanne Sidorkewicz"/>
                    <xsd:enumeration value="Lee-Ann Giroux"/>
                    <xsd:enumeration value="Lisa Marusic"/>
                    <xsd:enumeration value="Louie Jeromel"/>
                    <xsd:enumeration value="Luna Munro"/>
                    <xsd:enumeration value="Lyne McMurchie"/>
                    <xsd:enumeration value="Margarita Suarez"/>
                    <xsd:enumeration value="Matt St. Pierre"/>
                    <xsd:enumeration value="Max Hagerman"/>
                    <xsd:enumeration value="Melinda Yan"/>
                    <xsd:enumeration value="Melissa Debevc"/>
                    <xsd:enumeration value="Michael Abate"/>
                    <xsd:enumeration value="Michael McGivery"/>
                    <xsd:enumeration value="Michelle Tian"/>
                    <xsd:enumeration value="Mike Wagle"/>
                    <xsd:enumeration value="Neerajah Raviraj"/>
                    <xsd:enumeration value="Nicole Brunner"/>
                    <xsd:enumeration value="Paaras Sood"/>
                    <xsd:enumeration value="Paolo Mastronardi"/>
                    <xsd:enumeration value="Pat Squires"/>
                    <xsd:enumeration value="Paul Baxter"/>
                    <xsd:enumeration value="Peter Mussio"/>
                    <xsd:enumeration value="Rachel Goodreau"/>
                    <xsd:enumeration value="Rakesh Torul"/>
                    <xsd:enumeration value="Ravi Sigurdson"/>
                    <xsd:enumeration value="Rob DiMaria"/>
                    <xsd:enumeration value="Rob Ford"/>
                    <xsd:enumeration value="Rob Goodreau"/>
                    <xsd:enumeration value="Robert Rutitis"/>
                    <xsd:enumeration value="Robin Stevenson"/>
                    <xsd:enumeration value="Ruth Swan"/>
                    <xsd:enumeration value="Ryan Cheung"/>
                    <xsd:enumeration value="Ryan Organ"/>
                    <xsd:enumeration value="Ryan Small"/>
                    <xsd:enumeration value="Ryan Stelmaschuk"/>
                    <xsd:enumeration value="Sam McDermott"/>
                    <xsd:enumeration value="Sara Hale"/>
                    <xsd:enumeration value="Sarah Tope"/>
                    <xsd:enumeration value="Scott Dodd"/>
                    <xsd:enumeration value="Scott Hines"/>
                    <xsd:enumeration value="Sean Collier"/>
                    <xsd:enumeration value="Stephanie Fife"/>
                    <xsd:enumeration value="Steve Dantzer"/>
                    <xsd:enumeration value="Steve Edwardson"/>
                    <xsd:enumeration value="Steve Kay"/>
                    <xsd:enumeration value="Steve Pardy"/>
                    <xsd:enumeration value="Steven Brignall"/>
                    <xsd:enumeration value="Steven Riccio"/>
                    <xsd:enumeration value="Steven Shen"/>
                    <xsd:enumeration value="Sunny Swatch"/>
                    <xsd:enumeration value="Sutha Ariyalingam"/>
                    <xsd:enumeration value="Tanya Ferguson"/>
                    <xsd:enumeration value="Teresa Chan"/>
                    <xsd:enumeration value="Tiffany Jonkins"/>
                    <xsd:enumeration value="Tom Byng"/>
                    <xsd:enumeration value="Tracey Teed Martin"/>
                    <xsd:enumeration value="Tracy Lynch"/>
                    <xsd:enumeration value="Trinette Lindley"/>
                    <xsd:enumeration value="Tyler Brady"/>
                    <xsd:enumeration value="Vanessa Innis"/>
                    <xsd:enumeration value="Victoria Wang"/>
                    <xsd:enumeration value="Warren Fisher"/>
                    <xsd:enumeration value="Warren Reinisch"/>
                    <xsd:enumeration value="Wayne Passmore"/>
                    <xsd:enumeration value="Yousuf Zaki"/>
                    <xsd:enumeration value="Malini Giridhar"/>
                    <xsd:enumeration value="Mark Kitchen"/>
                    <xsd:enumeration value="Lesley Austin"/>
                    <xsd:enumeration value="Rob Sterling"/>
                    <xsd:enumeration value="Lauren Whitwham"/>
                    <xsd:enumeration value="Evan Tomek"/>
                  </xsd:restriction>
                </xsd:simpleType>
              </xsd:element>
            </xsd:sequence>
          </xsd:extension>
        </xsd:complexContent>
      </xsd:complexType>
    </xsd:element>
    <xsd:element name="TeamsPlannerStatus" ma:index="19" nillable="true" ma:displayName="Teams Planner Status" ma:default="Draft Response" ma:format="Dropdown" ma:internalName="TeamsPlannerStatus">
      <xsd:simpleType>
        <xsd:restriction base="dms:Choice">
          <xsd:enumeration value="Draft Response"/>
          <xsd:enumeration value="Regulatory Review"/>
          <xsd:enumeration value="Back to witness"/>
          <xsd:enumeration value="Legal Review"/>
          <xsd:enumeration value="Executive Review"/>
          <xsd:enumeration value="Final"/>
          <xsd:enumeration value="Functional Area Review"/>
          <xsd:enumeration value="Back to Witness Post Functional Area"/>
        </xsd:restriction>
      </xsd:simpleType>
    </xsd:element>
    <xsd:element name="Int_x002f_Exhibit_x002f_Tab" ma:index="20" nillable="true" ma:displayName="Exhibit/Int/Quest" ma:internalName="Int_x002f_Exhibit_x002f_Tab">
      <xsd:simpleType>
        <xsd:restriction base="dms:Text">
          <xsd:maxLength value="255"/>
        </xsd:restriction>
      </xsd:simpleType>
    </xsd:element>
    <xsd:element name="MediaServiceMetadata" ma:index="2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xpert" ma:index="25" nillable="true" ma:displayName="Expert" ma:default="0" ma:internalName="Expert">
      <xsd:simpleType>
        <xsd:restriction base="dms:Boolean"/>
      </xsd:simpleType>
    </xsd:element>
    <xsd:element name="MediaServiceDateTaken" ma:index="2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3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33" nillable="true" ma:taxonomy="true" ma:internalName="lcf76f155ced4ddcb4097134ff3c332f" ma:taxonomyFieldName="MediaServiceImageTags" ma:displayName="Image Tags" ma:readOnly="false" ma:fieldId="{5cf76f15-5ced-4ddc-b409-7134ff3c332f}" ma:taxonomyMulti="true" ma:sspId="6f1b9f00-8d2c-4c36-af1d-c0006bf6acb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35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3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9eb6668-01c5-4cb9-9feb-9820398bbe3e">
      <Terms xmlns="http://schemas.microsoft.com/office/infopath/2007/PartnerControls"/>
    </lcf76f155ced4ddcb4097134ff3c332f>
    <_ip_UnifiedCompliancePolicyUIAction xmlns="http://schemas.microsoft.com/sharepoint/v3" xsi:nil="true"/>
    <KeySupport xmlns="79eb6668-01c5-4cb9-9feb-9820398bbe3e">
      <UserInfo>
        <DisplayName/>
        <AccountId xsi:nil="true"/>
        <AccountType/>
      </UserInfo>
    </KeySupport>
    <Area xmlns="79eb6668-01c5-4cb9-9feb-9820398bbe3e" xsi:nil="true"/>
    <Int_x002f_Exhibit_x002f_Tab xmlns="79eb6668-01c5-4cb9-9feb-9820398bbe3e" xsi:nil="true"/>
    <TeamsPlannerStatus xmlns="79eb6668-01c5-4cb9-9feb-9820398bbe3e">Draft Response</TeamsPlannerStatus>
    <Intervenor xmlns="79eb6668-01c5-4cb9-9feb-9820398bbe3e" xsi:nil="true"/>
    <TaxCatchAll xmlns="bc9be6ef-036f-4d38-ab45-2a4da0c93cb0" xsi:nil="true"/>
    <RegLead xmlns="79eb6668-01c5-4cb9-9feb-9820398bbe3e">
      <UserInfo>
        <DisplayName/>
        <AccountId xsi:nil="true"/>
        <AccountType/>
      </UserInfo>
    </RegLead>
    <_ip_UnifiedCompliancePolicyProperties xmlns="http://schemas.microsoft.com/sharepoint/v3" xsi:nil="true"/>
    <Legal xmlns="79eb6668-01c5-4cb9-9feb-9820398bbe3e">
      <UserInfo>
        <DisplayName/>
        <AccountId xsi:nil="true"/>
        <AccountType/>
      </UserInfo>
    </Legal>
    <Exhibit xmlns="79eb6668-01c5-4cb9-9feb-9820398bbe3e" xsi:nil="true"/>
    <Category xmlns="79eb6668-01c5-4cb9-9feb-9820398bbe3e" xsi:nil="true"/>
    <Expert xmlns="79eb6668-01c5-4cb9-9feb-9820398bbe3e">false</Expert>
    <Witnesses xmlns="79eb6668-01c5-4cb9-9feb-9820398bbe3e" xsi:nil="true"/>
    <_dlc_DocId xmlns="bc9be6ef-036f-4d38-ab45-2a4da0c93cb0">C6U45NHNYSXQ-1112273616-933</_dlc_DocId>
    <_dlc_DocIdUrl xmlns="bc9be6ef-036f-4d38-ab45-2a4da0c93cb0">
      <Url>https://enbridge.sharepoint.com/teams/EB-2022-02002024Rebasing/_layouts/15/DocIdRedir.aspx?ID=C6U45NHNYSXQ-1112273616-933</Url>
      <Description>C6U45NHNYSXQ-1112273616-933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F08FF8-3917-4F66-ADDA-CDEC32957FEE}"/>
</file>

<file path=customXml/itemProps2.xml><?xml version="1.0" encoding="utf-8"?>
<ds:datastoreItem xmlns:ds="http://schemas.openxmlformats.org/officeDocument/2006/customXml" ds:itemID="{E79C3832-565B-42E2-8E7D-E45F0CEDC262}"/>
</file>

<file path=customXml/itemProps3.xml><?xml version="1.0" encoding="utf-8"?>
<ds:datastoreItem xmlns:ds="http://schemas.openxmlformats.org/officeDocument/2006/customXml" ds:itemID="{4E55A347-B7E5-4797-BAB6-2339DAE67077}"/>
</file>

<file path=customXml/itemProps4.xml><?xml version="1.0" encoding="utf-8"?>
<ds:datastoreItem xmlns:ds="http://schemas.openxmlformats.org/officeDocument/2006/customXml" ds:itemID="{E2D32ECA-C19F-4EF2-8EAC-294B2F358B1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Gross, Isaiah</dc:creator>
  <cp:keywords/>
  <dc:description/>
  <cp:lastModifiedBy>Angela Monforton</cp:lastModifiedBy>
  <cp:revision/>
  <dcterms:created xsi:type="dcterms:W3CDTF">2021-08-25T23:06:48Z</dcterms:created>
  <dcterms:modified xsi:type="dcterms:W3CDTF">2024-06-28T00:38:47Z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0x010100DDDF03B111AE4A46B96BC00628899F8B</vt:lpwstr>
  </property>
  <property fmtid="{D5CDD505-2E9C-101B-9397-08002B2CF9AE}" pid="3" name="{A44787D4-0540-4523-9961-78E4036D8C6D}">
    <vt:lpwstr>{E7AD03DF-890E-412A-A018-1855534FE21C}</vt:lpwstr>
  </property>
  <property fmtid="{D5CDD505-2E9C-101B-9397-08002B2CF9AE}" pid="4" name="_dlc_DocIdItemGuid">
    <vt:lpwstr>dc3f0fe5-0916-4349-81f2-dc730d8a4e38</vt:lpwstr>
  </property>
  <property fmtid="{D5CDD505-2E9C-101B-9397-08002B2CF9AE}" pid="5" name="MediaServiceImageTags">
    <vt:lpwstr/>
  </property>
</Properties>
</file>